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2.xml" ContentType="application/vnd.openxmlformats-officedocument.drawing+xml"/>
  <Override PartName="/xl/tables/table2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updateLinks="always" codeName="EstaPasta_de_trabalho" refreshAllConnections="1" defaultThemeVersion="124226"/>
  <mc:AlternateContent xmlns:mc="http://schemas.openxmlformats.org/markup-compatibility/2006">
    <mc:Choice Requires="x15">
      <x15ac:absPath xmlns:x15ac="http://schemas.microsoft.com/office/spreadsheetml/2010/11/ac" url="S:\Modelos Laudos Compartilhados\"/>
    </mc:Choice>
  </mc:AlternateContent>
  <bookViews>
    <workbookView xWindow="16215" yWindow="90" windowWidth="16575" windowHeight="14250" tabRatio="838"/>
  </bookViews>
  <sheets>
    <sheet name="Cabeçalho" sheetId="37" r:id="rId1"/>
    <sheet name="Plan4" sheetId="67" state="hidden" r:id="rId2"/>
    <sheet name="Plan3" sheetId="66" state="hidden" r:id="rId3"/>
    <sheet name="medidas Unfors" sheetId="1" state="hidden" r:id="rId4"/>
    <sheet name="medidas Fluke" sheetId="4" state="hidden" r:id="rId5"/>
    <sheet name="Tabelas" sheetId="14" state="hidden" r:id="rId6"/>
    <sheet name="Normas Utilizadas" sheetId="62" state="hidden" r:id="rId7"/>
    <sheet name="Calibração" sheetId="58" state="hidden" r:id="rId8"/>
    <sheet name="Tabelas2" sheetId="38" state="hidden" r:id="rId9"/>
    <sheet name="convencional" sheetId="11" state="hidden" r:id="rId10"/>
    <sheet name="LAUDO convencional" sheetId="32" state="hidden" r:id="rId11"/>
    <sheet name="fluor" sheetId="17" state="hidden" r:id="rId12"/>
    <sheet name="LAUDO fluor" sheetId="39" state="hidden" r:id="rId13"/>
    <sheet name="fantoma mama" sheetId="50" state="hidden" r:id="rId14"/>
    <sheet name="LAUDO Fantoma Diário" sheetId="59" state="hidden" r:id="rId15"/>
    <sheet name="LAUDO Fantoma" sheetId="51" state="hidden" r:id="rId16"/>
    <sheet name="mamo" sheetId="40" state="hidden" r:id="rId17"/>
    <sheet name="LAUDO mamo" sheetId="43" state="hidden" r:id="rId18"/>
    <sheet name="N° CT" sheetId="60" state="hidden" r:id="rId19"/>
    <sheet name="LAUDO N° CT" sheetId="61" state="hidden" r:id="rId20"/>
    <sheet name="tomografia" sheetId="16" state="hidden" r:id="rId21"/>
    <sheet name="LAUDO tomo" sheetId="30" state="hidden" r:id="rId22"/>
    <sheet name="extraoral" sheetId="6" state="hidden" r:id="rId23"/>
    <sheet name="LAUDO extra" sheetId="26" state="hidden" r:id="rId24"/>
    <sheet name="intraoral" sheetId="3" state="hidden" r:id="rId25"/>
    <sheet name="LAUDO intra" sheetId="24" state="hidden" r:id="rId26"/>
    <sheet name="doses" sheetId="21" state="hidden" r:id="rId27"/>
    <sheet name="LAUDO doses" sheetId="33" state="hidden" r:id="rId28"/>
    <sheet name="Ultrassom" sheetId="56" state="hidden" r:id="rId29"/>
    <sheet name="LAUDO Ultrassom" sheetId="57" state="hidden" r:id="rId30"/>
    <sheet name="Ressonância" sheetId="64" state="hidden" r:id="rId31"/>
    <sheet name="LAUDO Ressonância" sheetId="63" state="hidden" r:id="rId32"/>
    <sheet name="LAUDO EPIs" sheetId="41" state="hidden" r:id="rId33"/>
    <sheet name="negat e monit" sheetId="22" state="hidden" r:id="rId34"/>
    <sheet name="LAUDO negat e monit" sheetId="45" state="hidden" r:id="rId35"/>
    <sheet name="Acessórios" sheetId="53" state="hidden" r:id="rId36"/>
    <sheet name="LAUDO Acessórios" sheetId="52" state="hidden" r:id="rId37"/>
    <sheet name="LR e FUGA" sheetId="47" state="hidden" r:id="rId38"/>
    <sheet name="LAUDO Levantamento" sheetId="46" state="hidden" r:id="rId39"/>
    <sheet name="Mini Auditoria" sheetId="54" state="hidden" r:id="rId40"/>
    <sheet name="Rel_MiniAuditoria" sheetId="55" state="hidden" r:id="rId41"/>
    <sheet name="DB" sheetId="36" state="hidden" r:id="rId42"/>
    <sheet name="Plan1" sheetId="48" state="hidden" r:id="rId43"/>
    <sheet name="Plan2" sheetId="65" state="hidden" r:id="rId44"/>
    <sheet name="rendimento" sheetId="35" state="hidden" r:id="rId45"/>
  </sheets>
  <definedNames>
    <definedName name="_xlnm._FilterDatabase" localSheetId="24" hidden="1">intraoral!$A$1:$F$8</definedName>
    <definedName name="_xlnm._FilterDatabase" localSheetId="36" hidden="1">'LAUDO Acessórios'!$K$1:$K$695</definedName>
    <definedName name="_xlnm._FilterDatabase" localSheetId="10" hidden="1">'LAUDO convencional'!$K$1:$K$390</definedName>
    <definedName name="_xlnm._FilterDatabase" localSheetId="27" hidden="1">'LAUDO doses'!$J$1:$J$166</definedName>
    <definedName name="_xlnm._FilterDatabase" localSheetId="32" hidden="1">'LAUDO EPIs'!$K$1:$K$404</definedName>
    <definedName name="_xlnm._FilterDatabase" localSheetId="23" hidden="1">'LAUDO extra'!$K$1:$K$235</definedName>
    <definedName name="_xlnm._FilterDatabase" localSheetId="15" hidden="1">'LAUDO Fantoma'!$K$1:$K$110</definedName>
    <definedName name="_xlnm._FilterDatabase" localSheetId="14" hidden="1">'LAUDO Fantoma Diário'!$K$1:$K$380</definedName>
    <definedName name="_xlnm._FilterDatabase" localSheetId="12" hidden="1">'LAUDO fluor'!$K$1:$K$569</definedName>
    <definedName name="_xlnm._FilterDatabase" localSheetId="25" hidden="1">'LAUDO intra'!$K$1:$K$251</definedName>
    <definedName name="_xlnm._FilterDatabase" localSheetId="38" hidden="1">'LAUDO Levantamento'!$K$1:$K$236</definedName>
    <definedName name="_xlnm._FilterDatabase" localSheetId="17" hidden="1">'LAUDO mamo'!$K$1:$K$291</definedName>
    <definedName name="_xlnm._FilterDatabase" localSheetId="19" hidden="1">'LAUDO N° CT'!$K$1:$K$158</definedName>
    <definedName name="_xlnm._FilterDatabase" localSheetId="34" hidden="1">'LAUDO negat e monit'!$M$1:$M$314</definedName>
    <definedName name="_xlnm._FilterDatabase" localSheetId="31" hidden="1">'LAUDO Ressonância'!$K$1:$K$269</definedName>
    <definedName name="_xlnm._FilterDatabase" localSheetId="21" hidden="1">'LAUDO tomo'!$K$1:$K$237</definedName>
    <definedName name="_xlnm._FilterDatabase" localSheetId="29" hidden="1">'LAUDO Ultrassom'!$K$1:$K$1108</definedName>
    <definedName name="_xlnm._FilterDatabase" localSheetId="40" hidden="1">Rel_MiniAuditoria!$K$1:$K$160</definedName>
    <definedName name="_xlnm.Print_Area" localSheetId="13">'fantoma mama'!$A$3:$Q$278</definedName>
    <definedName name="_xlnm.Print_Area" localSheetId="36">'LAUDO Acessórios'!$A$1:$J$695</definedName>
    <definedName name="_xlnm.Print_Area" localSheetId="10">'LAUDO convencional'!$A$1:$J$386</definedName>
    <definedName name="_xlnm.Print_Area" localSheetId="27">'LAUDO doses'!$A$1:$I$166</definedName>
    <definedName name="_xlnm.Print_Area" localSheetId="32">'LAUDO EPIs'!$A$1:$J$404</definedName>
    <definedName name="_xlnm.Print_Area" localSheetId="23">'LAUDO extra'!$A$1:$J$230</definedName>
    <definedName name="_xlnm.Print_Area" localSheetId="15">'LAUDO Fantoma'!$A$1:$J$111</definedName>
    <definedName name="_xlnm.Print_Area" localSheetId="14">'LAUDO Fantoma Diário'!$A$1:$J$380</definedName>
    <definedName name="_xlnm.Print_Area" localSheetId="12">'LAUDO fluor'!$A$1:$J$540</definedName>
    <definedName name="_xlnm.Print_Area" localSheetId="25">'LAUDO intra'!$A$1:$J$252</definedName>
    <definedName name="_xlnm.Print_Area" localSheetId="38">'LAUDO Levantamento'!$A$1:$J$239</definedName>
    <definedName name="_xlnm.Print_Area" localSheetId="17">'LAUDO mamo'!$A$1:$J$291</definedName>
    <definedName name="_xlnm.Print_Area" localSheetId="19">'LAUDO N° CT'!$A$1:$J$158</definedName>
    <definedName name="_xlnm.Print_Area" localSheetId="34">'LAUDO negat e monit'!$A$1:$L$313</definedName>
    <definedName name="_xlnm.Print_Area" localSheetId="31">'LAUDO Ressonância'!$A$1:$J$254</definedName>
    <definedName name="_xlnm.Print_Area" localSheetId="21">'LAUDO tomo'!$A$1:$J$237</definedName>
    <definedName name="_xlnm.Print_Area" localSheetId="29">'LAUDO Ultrassom'!$A$1:$J$1065</definedName>
    <definedName name="_xlnm.Print_Area" localSheetId="43">Plan2!$A$1:$J$60</definedName>
    <definedName name="_xlnm.Print_Area" localSheetId="40">Rel_MiniAuditoria!$A$1:$J$113</definedName>
    <definedName name="campo">fluor!$H$203:$H$203</definedName>
    <definedName name="CampoMagneticoRM">Ressonância!$B$5</definedName>
    <definedName name="Certificado">Cabeçalho!$G$29</definedName>
    <definedName name="colifluor">fluor!#REF!</definedName>
    <definedName name="Consulta_de_mysql" localSheetId="41" hidden="1">DB!$A$1:$AM$9352</definedName>
    <definedName name="F_lamor">Ressonância!$B$3</definedName>
    <definedName name="FCluximetro">Calibração!$B$2</definedName>
    <definedName name="FR20cm">Tabelas!$L$43</definedName>
    <definedName name="FR27cm">Tabelas!$L$44</definedName>
    <definedName name="FugaCabecote">'LR e FUGA'!$C$21</definedName>
    <definedName name="IntroNR32">Tabelas!$G$27</definedName>
    <definedName name="IntroPrazoArmazenamento">Tabelas!$G$26</definedName>
    <definedName name="IntroProtocolo">Tabelas!$G$28</definedName>
    <definedName name="IntroRDC">Tabelas!$G$25</definedName>
    <definedName name="multimedidor" localSheetId="32">#REF!</definedName>
    <definedName name="multimedidor">#REF!</definedName>
    <definedName name="OBJETIVO">Tabelas!$G$19</definedName>
    <definedName name="ObjetivoCorreções">Tabelas!$G$20</definedName>
    <definedName name="posto">doses!$L$22:$L$23</definedName>
    <definedName name="Profissional">Cabeçalho!$B$19</definedName>
    <definedName name="Responsável">Cabeçalho!$B$13</definedName>
    <definedName name="RESTRICAO">Tabelas!$G$18</definedName>
    <definedName name="retardo">Tabelas!$H$1:$H$3</definedName>
    <definedName name="simnão" localSheetId="32">#REF!</definedName>
    <definedName name="simnão">#REF!</definedName>
    <definedName name="SNNA" localSheetId="11">fluor!#REF!</definedName>
    <definedName name="SNNA">fluor!#REF!</definedName>
    <definedName name="tipo" localSheetId="32">#REF!</definedName>
    <definedName name="tipo">#REF!</definedName>
    <definedName name="tipo_equip" localSheetId="32">#REF!</definedName>
    <definedName name="tipo_equip">#REF!</definedName>
    <definedName name="tipocolimador">Tabelas!$J$1:$J$3</definedName>
    <definedName name="tipofluor">Tabelas2!$A$13:$A$16</definedName>
    <definedName name="_xlnm.Print_Titles" localSheetId="36">'LAUDO Acessórios'!$1:$1</definedName>
    <definedName name="_xlnm.Print_Titles" localSheetId="10">'LAUDO convencional'!$1:$1</definedName>
    <definedName name="_xlnm.Print_Titles" localSheetId="27">'LAUDO doses'!$1:$1</definedName>
    <definedName name="_xlnm.Print_Titles" localSheetId="32">'LAUDO EPIs'!$1:$1</definedName>
    <definedName name="_xlnm.Print_Titles" localSheetId="23">'LAUDO extra'!$1:$1</definedName>
    <definedName name="_xlnm.Print_Titles" localSheetId="12">'LAUDO fluor'!$1:$1</definedName>
    <definedName name="_xlnm.Print_Titles" localSheetId="25">'LAUDO intra'!$1:$1</definedName>
    <definedName name="_xlnm.Print_Titles" localSheetId="38">'LAUDO Levantamento'!$1:$1</definedName>
    <definedName name="_xlnm.Print_Titles" localSheetId="17">'LAUDO mamo'!$1:$1</definedName>
    <definedName name="_xlnm.Print_Titles" localSheetId="34">'LAUDO negat e monit'!$1:$1</definedName>
    <definedName name="_xlnm.Print_Titles" localSheetId="21">'LAUDO tomo'!$1:$1</definedName>
    <definedName name="VALIDADE">Tabelas!$G$24</definedName>
  </definedNames>
  <calcPr calcId="152511"/>
</workbook>
</file>

<file path=xl/calcChain.xml><?xml version="1.0" encoding="utf-8"?>
<calcChain xmlns="http://schemas.openxmlformats.org/spreadsheetml/2006/main">
  <c r="I367" i="39" l="1"/>
  <c r="K345" i="39" l="1"/>
  <c r="G66" i="24" l="1"/>
  <c r="K207" i="24" s="1"/>
  <c r="K208" i="24" s="1"/>
  <c r="I74" i="64" l="1"/>
  <c r="F75" i="64"/>
  <c r="F76" i="64"/>
  <c r="F77" i="64"/>
  <c r="F74" i="64"/>
  <c r="C130" i="64"/>
  <c r="E133" i="64" s="1"/>
  <c r="H11" i="47" l="1"/>
  <c r="H10" i="47"/>
  <c r="H224" i="32" l="1"/>
  <c r="H168" i="30"/>
  <c r="H388" i="39"/>
  <c r="H289" i="39"/>
  <c r="J289" i="39"/>
  <c r="C16" i="40"/>
  <c r="F17" i="16" l="1"/>
  <c r="B92" i="40"/>
  <c r="K251" i="32" l="1"/>
  <c r="K252" i="32" s="1"/>
  <c r="K253" i="32" s="1"/>
  <c r="K28" i="32"/>
  <c r="K29" i="32" s="1"/>
  <c r="E1" i="32"/>
  <c r="B207" i="46" l="1"/>
  <c r="K50" i="46" l="1"/>
  <c r="F182" i="32" l="1"/>
  <c r="F181" i="32"/>
  <c r="F177" i="32"/>
  <c r="A177" i="32"/>
  <c r="F176" i="32"/>
  <c r="F175" i="32"/>
  <c r="A175" i="32"/>
  <c r="F174" i="32"/>
  <c r="H178" i="32"/>
  <c r="H179" i="32"/>
  <c r="H180" i="32"/>
  <c r="H176" i="32"/>
  <c r="H174" i="32"/>
  <c r="K180" i="32"/>
  <c r="H182" i="32"/>
  <c r="K182" i="32" s="1"/>
  <c r="F173" i="32"/>
  <c r="C49" i="11"/>
  <c r="B211" i="40" l="1"/>
  <c r="B204" i="40"/>
  <c r="A151" i="39" l="1"/>
  <c r="E59" i="32" l="1"/>
  <c r="E59" i="24"/>
  <c r="E43" i="33"/>
  <c r="E51" i="33"/>
  <c r="E59" i="30"/>
  <c r="K71" i="43"/>
  <c r="K72" i="43" s="1"/>
  <c r="K73" i="43" s="1"/>
  <c r="K88" i="43"/>
  <c r="K89" i="43" s="1"/>
  <c r="K90" i="43" s="1"/>
  <c r="E59" i="43"/>
  <c r="E60" i="39" l="1"/>
  <c r="E42" i="33" l="1"/>
  <c r="E51" i="24"/>
  <c r="E49" i="63" l="1"/>
  <c r="E45" i="57"/>
  <c r="E58" i="24"/>
  <c r="E53" i="26"/>
  <c r="E46" i="26"/>
  <c r="E58" i="30"/>
  <c r="E51" i="30"/>
  <c r="E51" i="43"/>
  <c r="E58" i="43"/>
  <c r="E51" i="32"/>
  <c r="E58" i="32"/>
  <c r="H71" i="26"/>
  <c r="G71" i="26"/>
  <c r="F71" i="26"/>
  <c r="E71" i="26"/>
  <c r="D71" i="26"/>
  <c r="C71" i="26"/>
  <c r="B71" i="26"/>
  <c r="D70" i="26" l="1"/>
  <c r="E50" i="33"/>
  <c r="E49" i="33"/>
  <c r="E48" i="33"/>
  <c r="E47" i="33"/>
  <c r="E46" i="33"/>
  <c r="E45" i="33"/>
  <c r="E44" i="33"/>
  <c r="P288" i="39"/>
  <c r="P287" i="39"/>
  <c r="I387" i="39" s="1"/>
  <c r="H387" i="39" s="1"/>
  <c r="P286" i="39"/>
  <c r="I386" i="39" s="1"/>
  <c r="H386" i="39" s="1"/>
  <c r="E48" i="63" l="1"/>
  <c r="E47" i="63"/>
  <c r="AB65" i="57"/>
  <c r="AA65" i="57"/>
  <c r="Z65" i="57"/>
  <c r="Y65" i="57"/>
  <c r="X65" i="57"/>
  <c r="W65" i="57"/>
  <c r="V65" i="57"/>
  <c r="U65" i="57"/>
  <c r="T90" i="57"/>
  <c r="T89" i="57"/>
  <c r="T88" i="57"/>
  <c r="T82" i="57"/>
  <c r="T81" i="57"/>
  <c r="T80" i="57"/>
  <c r="T79" i="57"/>
  <c r="T78" i="57"/>
  <c r="T77" i="57"/>
  <c r="T76" i="57"/>
  <c r="T73" i="57"/>
  <c r="E44" i="57"/>
  <c r="E43" i="57"/>
  <c r="E58" i="39"/>
  <c r="E57" i="39"/>
  <c r="E56" i="39"/>
  <c r="E55" i="39"/>
  <c r="E54" i="39"/>
  <c r="E53" i="39"/>
  <c r="E59" i="39"/>
  <c r="E52" i="39"/>
  <c r="E57" i="43"/>
  <c r="E56" i="43"/>
  <c r="E55" i="43"/>
  <c r="E54" i="43"/>
  <c r="E53" i="43"/>
  <c r="E52" i="43"/>
  <c r="E57" i="30"/>
  <c r="E56" i="30"/>
  <c r="E55" i="30"/>
  <c r="E54" i="30"/>
  <c r="E53" i="30"/>
  <c r="K637" i="52"/>
  <c r="U170" i="53"/>
  <c r="V170" i="53" s="1"/>
  <c r="AC65" i="57" l="1"/>
  <c r="I1012" i="57" s="1"/>
  <c r="H1012" i="57" s="1"/>
  <c r="G1012" i="57" s="1"/>
  <c r="E52" i="30"/>
  <c r="L111" i="26"/>
  <c r="I173" i="26" s="1"/>
  <c r="E52" i="26"/>
  <c r="E51" i="26"/>
  <c r="E50" i="26"/>
  <c r="E49" i="37"/>
  <c r="E49" i="26"/>
  <c r="E48" i="26"/>
  <c r="E47" i="26"/>
  <c r="E57" i="24" l="1"/>
  <c r="E56" i="24"/>
  <c r="E55" i="24"/>
  <c r="E54" i="24"/>
  <c r="E53" i="24"/>
  <c r="E52" i="24"/>
  <c r="B12" i="37"/>
  <c r="C153" i="33" l="1"/>
  <c r="C263" i="45"/>
  <c r="C37" i="41"/>
  <c r="C381" i="41" s="1"/>
  <c r="H155" i="32"/>
  <c r="J155" i="32" s="1"/>
  <c r="L155" i="32" s="1"/>
  <c r="I224" i="32" s="1"/>
  <c r="B177" i="11"/>
  <c r="B179" i="11"/>
  <c r="J177" i="11" l="1"/>
  <c r="H177" i="11"/>
  <c r="F177" i="11"/>
  <c r="D177" i="11"/>
  <c r="G179" i="11"/>
  <c r="F179" i="11"/>
  <c r="E179" i="11"/>
  <c r="D179" i="11"/>
  <c r="C179" i="11"/>
  <c r="H31" i="11"/>
  <c r="N31" i="11" s="1"/>
  <c r="T31" i="11" s="1"/>
  <c r="Z31" i="11" s="1"/>
  <c r="AF31" i="11" s="1"/>
  <c r="AL31" i="11" s="1"/>
  <c r="Z28" i="11"/>
  <c r="T28" i="11"/>
  <c r="N28" i="11"/>
  <c r="H28" i="11"/>
  <c r="B28" i="11"/>
  <c r="I636" i="52"/>
  <c r="I630" i="52"/>
  <c r="K282" i="52"/>
  <c r="K281" i="52"/>
  <c r="K280" i="52"/>
  <c r="K279" i="52"/>
  <c r="K278" i="52"/>
  <c r="K369" i="52"/>
  <c r="K371" i="52" s="1"/>
  <c r="K373" i="52" s="1"/>
  <c r="K375" i="52" s="1"/>
  <c r="K377" i="52" s="1"/>
  <c r="K379" i="52" s="1"/>
  <c r="K381" i="52" s="1"/>
  <c r="K479" i="52"/>
  <c r="K478" i="52"/>
  <c r="V185" i="22"/>
  <c r="V167" i="22"/>
  <c r="V146" i="22"/>
  <c r="V122" i="22"/>
  <c r="V103" i="22"/>
  <c r="V85" i="22"/>
  <c r="V65" i="22"/>
  <c r="V45" i="22"/>
  <c r="V31" i="22"/>
  <c r="V23" i="22"/>
  <c r="V4" i="22"/>
  <c r="E57" i="32"/>
  <c r="E56" i="32"/>
  <c r="E55" i="32"/>
  <c r="E54" i="32"/>
  <c r="E53" i="32"/>
  <c r="E52" i="32"/>
  <c r="K176" i="32"/>
  <c r="K179" i="32"/>
  <c r="K178" i="32"/>
  <c r="H172" i="32"/>
  <c r="H171" i="32"/>
  <c r="M39" i="45" l="1"/>
  <c r="M38" i="45"/>
  <c r="F180" i="32" l="1"/>
  <c r="F179" i="32"/>
  <c r="F178" i="32"/>
  <c r="F172" i="32"/>
  <c r="F171" i="32"/>
  <c r="K635" i="52" l="1"/>
  <c r="A111" i="57"/>
  <c r="A211" i="43"/>
  <c r="A210" i="43"/>
  <c r="A170" i="32" l="1"/>
  <c r="A169" i="32"/>
  <c r="A193" i="32"/>
  <c r="A187" i="32"/>
  <c r="A185" i="32"/>
  <c r="A183" i="32"/>
  <c r="A181" i="32"/>
  <c r="A179" i="32"/>
  <c r="A173" i="32"/>
  <c r="A164" i="32"/>
  <c r="A155" i="39"/>
  <c r="A137" i="32" l="1"/>
  <c r="E41" i="33" l="1"/>
  <c r="E40" i="33"/>
  <c r="E50" i="32"/>
  <c r="E49" i="32"/>
  <c r="E178" i="11"/>
  <c r="C178" i="11"/>
  <c r="F96" i="33" l="1"/>
  <c r="A203" i="46" l="1"/>
  <c r="A38" i="46"/>
  <c r="A217" i="46"/>
  <c r="B21" i="37"/>
  <c r="F18" i="46" s="1"/>
  <c r="B4" i="37"/>
  <c r="C17" i="65" s="1"/>
  <c r="H3" i="47"/>
  <c r="A31" i="46" l="1"/>
  <c r="H4" i="47"/>
  <c r="H5" i="47"/>
  <c r="J225" i="45"/>
  <c r="J224" i="45"/>
  <c r="J205" i="45"/>
  <c r="J204" i="45"/>
  <c r="J185" i="45"/>
  <c r="J184" i="45"/>
  <c r="J165" i="45"/>
  <c r="J164" i="45"/>
  <c r="J145" i="45"/>
  <c r="J144" i="45"/>
  <c r="J125" i="45"/>
  <c r="J124" i="45"/>
  <c r="J105" i="45"/>
  <c r="J104" i="45"/>
  <c r="J85" i="45"/>
  <c r="J84" i="45"/>
  <c r="J65" i="45"/>
  <c r="J64" i="45"/>
  <c r="C227" i="45"/>
  <c r="C226" i="45"/>
  <c r="C225" i="45"/>
  <c r="C224" i="45"/>
  <c r="C207" i="45"/>
  <c r="C206" i="45"/>
  <c r="C205" i="45"/>
  <c r="C204" i="45"/>
  <c r="C187" i="45"/>
  <c r="C186" i="45"/>
  <c r="C185" i="45"/>
  <c r="C184" i="45"/>
  <c r="C167" i="45"/>
  <c r="C166" i="45"/>
  <c r="C165" i="45"/>
  <c r="C164" i="45"/>
  <c r="C147" i="45"/>
  <c r="C146" i="45"/>
  <c r="C145" i="45"/>
  <c r="C144" i="45"/>
  <c r="C127" i="45"/>
  <c r="C126" i="45"/>
  <c r="C125" i="45"/>
  <c r="C124" i="45"/>
  <c r="C107" i="45"/>
  <c r="C106" i="45"/>
  <c r="C105" i="45"/>
  <c r="C104" i="45"/>
  <c r="C87" i="45"/>
  <c r="C86" i="45"/>
  <c r="C85" i="45"/>
  <c r="C84" i="45"/>
  <c r="C67" i="45"/>
  <c r="C66" i="45"/>
  <c r="C65" i="45"/>
  <c r="C64" i="45"/>
  <c r="C46" i="45"/>
  <c r="C45" i="45"/>
  <c r="C44" i="45"/>
  <c r="J45" i="45"/>
  <c r="J44" i="45"/>
  <c r="K31" i="46" l="1"/>
  <c r="K32" i="46" s="1"/>
  <c r="K33" i="46" s="1"/>
  <c r="K34" i="46" s="1"/>
  <c r="A201" i="46"/>
  <c r="S7" i="38"/>
  <c r="R4" i="38" s="1"/>
  <c r="C326" i="56" l="1"/>
  <c r="C235" i="56"/>
  <c r="C144" i="56"/>
  <c r="C872" i="56"/>
  <c r="C781" i="56"/>
  <c r="C690" i="56"/>
  <c r="C599" i="56"/>
  <c r="C508" i="56"/>
  <c r="C417" i="56"/>
  <c r="C419" i="56" s="1"/>
  <c r="C92" i="40"/>
  <c r="E92" i="40"/>
  <c r="H92" i="40"/>
  <c r="I92" i="40"/>
  <c r="G92" i="40"/>
  <c r="F92" i="40"/>
  <c r="K92" i="40"/>
  <c r="D92" i="40"/>
  <c r="J92" i="40"/>
  <c r="K174" i="63" l="1"/>
  <c r="A173" i="63"/>
  <c r="A220" i="63"/>
  <c r="E134" i="64"/>
  <c r="E135" i="64"/>
  <c r="E136" i="64"/>
  <c r="A182" i="63"/>
  <c r="A177" i="63"/>
  <c r="I179" i="64"/>
  <c r="G180" i="64"/>
  <c r="I180" i="64" s="1"/>
  <c r="A250" i="63" l="1"/>
  <c r="C13" i="60"/>
  <c r="D13" i="60" s="1"/>
  <c r="E13" i="60" s="1"/>
  <c r="F13" i="60" s="1"/>
  <c r="G13" i="60" s="1"/>
  <c r="H13" i="60" s="1"/>
  <c r="I13" i="60" s="1"/>
  <c r="J13" i="60" s="1"/>
  <c r="K13" i="60" s="1"/>
  <c r="L13" i="60" s="1"/>
  <c r="M13" i="60" s="1"/>
  <c r="N13" i="60" s="1"/>
  <c r="O13" i="60" s="1"/>
  <c r="P13" i="60" s="1"/>
  <c r="Q13" i="60" s="1"/>
  <c r="R13" i="60" s="1"/>
  <c r="S13" i="60" s="1"/>
  <c r="T13" i="60" s="1"/>
  <c r="U13" i="60" s="1"/>
  <c r="V13" i="60" s="1"/>
  <c r="W13" i="60" s="1"/>
  <c r="X13" i="60" s="1"/>
  <c r="Y13" i="60" s="1"/>
  <c r="Z13" i="60" s="1"/>
  <c r="AA13" i="60" s="1"/>
  <c r="AB13" i="60" s="1"/>
  <c r="AC13" i="60" s="1"/>
  <c r="AD13" i="60" s="1"/>
  <c r="AE13" i="60" s="1"/>
  <c r="AF13" i="60" s="1"/>
  <c r="AG13" i="60" s="1"/>
  <c r="AH13" i="60" s="1"/>
  <c r="AI13" i="60" s="1"/>
  <c r="AJ13" i="60" s="1"/>
  <c r="AK13" i="60" s="1"/>
  <c r="AL13" i="60" s="1"/>
  <c r="AM13" i="60" s="1"/>
  <c r="AN13" i="60" s="1"/>
  <c r="AO13" i="60" s="1"/>
  <c r="AP13" i="60" s="1"/>
  <c r="AQ13" i="60" s="1"/>
  <c r="AR13" i="60" s="1"/>
  <c r="AS13" i="60" s="1"/>
  <c r="AT13" i="60" s="1"/>
  <c r="AU13" i="60" s="1"/>
  <c r="AV13" i="60" s="1"/>
  <c r="AW13" i="60" s="1"/>
  <c r="AX13" i="60" s="1"/>
  <c r="AY13" i="60" s="1"/>
  <c r="AZ13" i="60" s="1"/>
  <c r="BA13" i="60" s="1"/>
  <c r="C12" i="60"/>
  <c r="D12" i="60" s="1"/>
  <c r="E12" i="60" s="1"/>
  <c r="F12" i="60" s="1"/>
  <c r="G12" i="60" s="1"/>
  <c r="H12" i="60" s="1"/>
  <c r="I12" i="60" s="1"/>
  <c r="J12" i="60" s="1"/>
  <c r="K12" i="60" s="1"/>
  <c r="L12" i="60" s="1"/>
  <c r="M12" i="60" s="1"/>
  <c r="N12" i="60" s="1"/>
  <c r="O12" i="60" s="1"/>
  <c r="P12" i="60" s="1"/>
  <c r="Q12" i="60" s="1"/>
  <c r="R12" i="60" s="1"/>
  <c r="S12" i="60" s="1"/>
  <c r="T12" i="60" s="1"/>
  <c r="U12" i="60" s="1"/>
  <c r="V12" i="60" s="1"/>
  <c r="W12" i="60" s="1"/>
  <c r="X12" i="60" s="1"/>
  <c r="Y12" i="60" s="1"/>
  <c r="Z12" i="60" s="1"/>
  <c r="AA12" i="60" s="1"/>
  <c r="AB12" i="60" s="1"/>
  <c r="AC12" i="60" s="1"/>
  <c r="AD12" i="60" s="1"/>
  <c r="AE12" i="60" s="1"/>
  <c r="AF12" i="60" s="1"/>
  <c r="AG12" i="60" s="1"/>
  <c r="AH12" i="60" s="1"/>
  <c r="AI12" i="60" s="1"/>
  <c r="AJ12" i="60" s="1"/>
  <c r="AK12" i="60" s="1"/>
  <c r="AL12" i="60" s="1"/>
  <c r="AM12" i="60" s="1"/>
  <c r="AN12" i="60" s="1"/>
  <c r="AO12" i="60" s="1"/>
  <c r="AP12" i="60" s="1"/>
  <c r="AQ12" i="60" s="1"/>
  <c r="AR12" i="60" s="1"/>
  <c r="AS12" i="60" s="1"/>
  <c r="AT12" i="60" s="1"/>
  <c r="AU12" i="60" s="1"/>
  <c r="AV12" i="60" s="1"/>
  <c r="AW12" i="60" s="1"/>
  <c r="AX12" i="60" s="1"/>
  <c r="AY12" i="60" s="1"/>
  <c r="AZ12" i="60" s="1"/>
  <c r="BA12" i="60" s="1"/>
  <c r="C61" i="60"/>
  <c r="D61" i="60"/>
  <c r="E61" i="60"/>
  <c r="F61" i="60"/>
  <c r="G61" i="60"/>
  <c r="H61" i="60"/>
  <c r="I61" i="60"/>
  <c r="J61" i="60"/>
  <c r="K61" i="60"/>
  <c r="L61" i="60"/>
  <c r="M61" i="60"/>
  <c r="N61" i="60"/>
  <c r="O61" i="60"/>
  <c r="P61" i="60"/>
  <c r="Q61" i="60"/>
  <c r="R61" i="60"/>
  <c r="S61" i="60"/>
  <c r="T61" i="60"/>
  <c r="U61" i="60"/>
  <c r="V61" i="60"/>
  <c r="W61" i="60"/>
  <c r="X61" i="60"/>
  <c r="Y61" i="60"/>
  <c r="Z61" i="60"/>
  <c r="AA61" i="60"/>
  <c r="AB61" i="60"/>
  <c r="AC61" i="60"/>
  <c r="AD61" i="60"/>
  <c r="AE61" i="60"/>
  <c r="AF61" i="60"/>
  <c r="AG61" i="60"/>
  <c r="AH61" i="60"/>
  <c r="AI61" i="60"/>
  <c r="AJ61" i="60"/>
  <c r="AK61" i="60"/>
  <c r="AL61" i="60"/>
  <c r="AM61" i="60"/>
  <c r="AN61" i="60"/>
  <c r="AO61" i="60"/>
  <c r="AP61" i="60"/>
  <c r="AQ61" i="60"/>
  <c r="AR61" i="60"/>
  <c r="AS61" i="60"/>
  <c r="AT61" i="60"/>
  <c r="AU61" i="60"/>
  <c r="AV61" i="60"/>
  <c r="AW61" i="60"/>
  <c r="AX61" i="60"/>
  <c r="AY61" i="60"/>
  <c r="AZ61" i="60"/>
  <c r="BA61" i="60"/>
  <c r="C63" i="60"/>
  <c r="D63" i="60"/>
  <c r="E63" i="60"/>
  <c r="F63" i="60"/>
  <c r="G63" i="60"/>
  <c r="H63" i="60"/>
  <c r="I63" i="60"/>
  <c r="J63" i="60"/>
  <c r="K63" i="60"/>
  <c r="L63" i="60"/>
  <c r="M63" i="60"/>
  <c r="N63" i="60"/>
  <c r="O63" i="60"/>
  <c r="P63" i="60"/>
  <c r="Q63" i="60"/>
  <c r="R63" i="60"/>
  <c r="S63" i="60"/>
  <c r="T63" i="60"/>
  <c r="U63" i="60"/>
  <c r="V63" i="60"/>
  <c r="W63" i="60"/>
  <c r="X63" i="60"/>
  <c r="Y63" i="60"/>
  <c r="Z63" i="60"/>
  <c r="AA63" i="60"/>
  <c r="AB63" i="60"/>
  <c r="AC63" i="60"/>
  <c r="AD63" i="60"/>
  <c r="AE63" i="60"/>
  <c r="AF63" i="60"/>
  <c r="AG63" i="60"/>
  <c r="AH63" i="60"/>
  <c r="AI63" i="60"/>
  <c r="AJ63" i="60"/>
  <c r="AK63" i="60"/>
  <c r="AL63" i="60"/>
  <c r="AM63" i="60"/>
  <c r="AN63" i="60"/>
  <c r="AO63" i="60"/>
  <c r="AP63" i="60"/>
  <c r="AQ63" i="60"/>
  <c r="AR63" i="60"/>
  <c r="AS63" i="60"/>
  <c r="AT63" i="60"/>
  <c r="AU63" i="60"/>
  <c r="AV63" i="60"/>
  <c r="AW63" i="60"/>
  <c r="AX63" i="60"/>
  <c r="AY63" i="60"/>
  <c r="AZ63" i="60"/>
  <c r="BA63" i="60"/>
  <c r="C65" i="60"/>
  <c r="C66" i="60" s="1"/>
  <c r="D65" i="60"/>
  <c r="D66" i="60" s="1"/>
  <c r="E65" i="60"/>
  <c r="E66" i="60" s="1"/>
  <c r="F65" i="60"/>
  <c r="F66" i="60" s="1"/>
  <c r="G65" i="60"/>
  <c r="G66" i="60" s="1"/>
  <c r="H65" i="60"/>
  <c r="H66" i="60" s="1"/>
  <c r="I65" i="60"/>
  <c r="I66" i="60" s="1"/>
  <c r="J65" i="60"/>
  <c r="K65" i="60"/>
  <c r="K66" i="60" s="1"/>
  <c r="L65" i="60"/>
  <c r="L66" i="60" s="1"/>
  <c r="M65" i="60"/>
  <c r="M66" i="60" s="1"/>
  <c r="N65" i="60"/>
  <c r="N66" i="60" s="1"/>
  <c r="O65" i="60"/>
  <c r="O66" i="60" s="1"/>
  <c r="P65" i="60"/>
  <c r="P66" i="60" s="1"/>
  <c r="Q65" i="60"/>
  <c r="Q66" i="60" s="1"/>
  <c r="R65" i="60"/>
  <c r="S65" i="60"/>
  <c r="S66" i="60" s="1"/>
  <c r="T65" i="60"/>
  <c r="T66" i="60" s="1"/>
  <c r="U65" i="60"/>
  <c r="U66" i="60" s="1"/>
  <c r="V65" i="60"/>
  <c r="V66" i="60" s="1"/>
  <c r="W65" i="60"/>
  <c r="W66" i="60" s="1"/>
  <c r="X65" i="60"/>
  <c r="X66" i="60" s="1"/>
  <c r="Y65" i="60"/>
  <c r="Y66" i="60" s="1"/>
  <c r="Z65" i="60"/>
  <c r="AA65" i="60"/>
  <c r="AA66" i="60" s="1"/>
  <c r="AB65" i="60"/>
  <c r="AB66" i="60" s="1"/>
  <c r="AC65" i="60"/>
  <c r="AC66" i="60" s="1"/>
  <c r="AD65" i="60"/>
  <c r="AD66" i="60" s="1"/>
  <c r="AE65" i="60"/>
  <c r="AE66" i="60" s="1"/>
  <c r="AF65" i="60"/>
  <c r="AF66" i="60" s="1"/>
  <c r="AG65" i="60"/>
  <c r="AG66" i="60" s="1"/>
  <c r="AH65" i="60"/>
  <c r="AH66" i="60" s="1"/>
  <c r="AI65" i="60"/>
  <c r="AI66" i="60" s="1"/>
  <c r="AJ65" i="60"/>
  <c r="AJ66" i="60" s="1"/>
  <c r="AK65" i="60"/>
  <c r="AK66" i="60" s="1"/>
  <c r="AL65" i="60"/>
  <c r="AL66" i="60" s="1"/>
  <c r="AM65" i="60"/>
  <c r="AM66" i="60" s="1"/>
  <c r="AN65" i="60"/>
  <c r="AN66" i="60" s="1"/>
  <c r="AO65" i="60"/>
  <c r="AO66" i="60" s="1"/>
  <c r="AP65" i="60"/>
  <c r="AP66" i="60" s="1"/>
  <c r="AQ65" i="60"/>
  <c r="AQ66" i="60" s="1"/>
  <c r="AR65" i="60"/>
  <c r="AR66" i="60" s="1"/>
  <c r="AS65" i="60"/>
  <c r="AS66" i="60" s="1"/>
  <c r="AT65" i="60"/>
  <c r="AT66" i="60" s="1"/>
  <c r="AU65" i="60"/>
  <c r="AU66" i="60" s="1"/>
  <c r="AV65" i="60"/>
  <c r="AV66" i="60" s="1"/>
  <c r="AW65" i="60"/>
  <c r="AW66" i="60" s="1"/>
  <c r="AX65" i="60"/>
  <c r="AX66" i="60" s="1"/>
  <c r="AY65" i="60"/>
  <c r="AY66" i="60" s="1"/>
  <c r="AZ65" i="60"/>
  <c r="AZ66" i="60" s="1"/>
  <c r="BA65" i="60"/>
  <c r="BA66" i="60" s="1"/>
  <c r="J66" i="60"/>
  <c r="R66" i="60"/>
  <c r="Z66" i="60"/>
  <c r="C67" i="60"/>
  <c r="C68" i="60" s="1"/>
  <c r="D67" i="60"/>
  <c r="D68" i="60" s="1"/>
  <c r="E67" i="60"/>
  <c r="E68" i="60" s="1"/>
  <c r="F67" i="60"/>
  <c r="G67" i="60"/>
  <c r="G68" i="60" s="1"/>
  <c r="H67" i="60"/>
  <c r="H68" i="60" s="1"/>
  <c r="I67" i="60"/>
  <c r="I68" i="60" s="1"/>
  <c r="J67" i="60"/>
  <c r="J68" i="60" s="1"/>
  <c r="K67" i="60"/>
  <c r="K68" i="60" s="1"/>
  <c r="L67" i="60"/>
  <c r="L68" i="60" s="1"/>
  <c r="M67" i="60"/>
  <c r="M68" i="60" s="1"/>
  <c r="N67" i="60"/>
  <c r="N68" i="60" s="1"/>
  <c r="O67" i="60"/>
  <c r="O68" i="60" s="1"/>
  <c r="P67" i="60"/>
  <c r="P68" i="60" s="1"/>
  <c r="Q67" i="60"/>
  <c r="Q68" i="60" s="1"/>
  <c r="R67" i="60"/>
  <c r="R68" i="60" s="1"/>
  <c r="S67" i="60"/>
  <c r="S68" i="60" s="1"/>
  <c r="T67" i="60"/>
  <c r="T68" i="60" s="1"/>
  <c r="U67" i="60"/>
  <c r="U68" i="60" s="1"/>
  <c r="V67" i="60"/>
  <c r="V68" i="60" s="1"/>
  <c r="W67" i="60"/>
  <c r="W68" i="60" s="1"/>
  <c r="X67" i="60"/>
  <c r="X68" i="60" s="1"/>
  <c r="Y67" i="60"/>
  <c r="Y68" i="60" s="1"/>
  <c r="Z67" i="60"/>
  <c r="Z68" i="60" s="1"/>
  <c r="AA67" i="60"/>
  <c r="AA68" i="60" s="1"/>
  <c r="AB67" i="60"/>
  <c r="AB68" i="60" s="1"/>
  <c r="AC67" i="60"/>
  <c r="AC68" i="60" s="1"/>
  <c r="AD67" i="60"/>
  <c r="AD68" i="60" s="1"/>
  <c r="AE67" i="60"/>
  <c r="AE68" i="60" s="1"/>
  <c r="AF67" i="60"/>
  <c r="AF68" i="60" s="1"/>
  <c r="AG67" i="60"/>
  <c r="AG68" i="60" s="1"/>
  <c r="AH67" i="60"/>
  <c r="AH68" i="60" s="1"/>
  <c r="AI67" i="60"/>
  <c r="AI68" i="60" s="1"/>
  <c r="AJ67" i="60"/>
  <c r="AJ68" i="60" s="1"/>
  <c r="AK67" i="60"/>
  <c r="AK68" i="60" s="1"/>
  <c r="AL67" i="60"/>
  <c r="AL68" i="60" s="1"/>
  <c r="AM67" i="60"/>
  <c r="AM68" i="60" s="1"/>
  <c r="AN67" i="60"/>
  <c r="AN68" i="60" s="1"/>
  <c r="AO67" i="60"/>
  <c r="AO68" i="60" s="1"/>
  <c r="AP67" i="60"/>
  <c r="AP68" i="60" s="1"/>
  <c r="AQ67" i="60"/>
  <c r="AQ68" i="60" s="1"/>
  <c r="AR67" i="60"/>
  <c r="AR68" i="60" s="1"/>
  <c r="AS67" i="60"/>
  <c r="AS68" i="60" s="1"/>
  <c r="AT67" i="60"/>
  <c r="AT68" i="60" s="1"/>
  <c r="AU67" i="60"/>
  <c r="AU68" i="60" s="1"/>
  <c r="AV67" i="60"/>
  <c r="AV68" i="60" s="1"/>
  <c r="AW67" i="60"/>
  <c r="AW68" i="60" s="1"/>
  <c r="AX67" i="60"/>
  <c r="AX68" i="60" s="1"/>
  <c r="AY67" i="60"/>
  <c r="AY68" i="60" s="1"/>
  <c r="AZ67" i="60"/>
  <c r="AZ68" i="60" s="1"/>
  <c r="BA67" i="60"/>
  <c r="BA68" i="60" s="1"/>
  <c r="F68" i="60"/>
  <c r="C69" i="60"/>
  <c r="C70" i="60" s="1"/>
  <c r="D69" i="60"/>
  <c r="D70" i="60" s="1"/>
  <c r="E69" i="60"/>
  <c r="E70" i="60" s="1"/>
  <c r="F69" i="60"/>
  <c r="G69" i="60"/>
  <c r="H69" i="60"/>
  <c r="H70" i="60" s="1"/>
  <c r="I69" i="60"/>
  <c r="I70" i="60" s="1"/>
  <c r="J69" i="60"/>
  <c r="J70" i="60" s="1"/>
  <c r="K69" i="60"/>
  <c r="K70" i="60" s="1"/>
  <c r="L69" i="60"/>
  <c r="L70" i="60" s="1"/>
  <c r="M69" i="60"/>
  <c r="M70" i="60" s="1"/>
  <c r="N69" i="60"/>
  <c r="N70" i="60" s="1"/>
  <c r="O69" i="60"/>
  <c r="O70" i="60" s="1"/>
  <c r="P69" i="60"/>
  <c r="P70" i="60" s="1"/>
  <c r="Q69" i="60"/>
  <c r="Q70" i="60" s="1"/>
  <c r="R69" i="60"/>
  <c r="R70" i="60" s="1"/>
  <c r="S69" i="60"/>
  <c r="S70" i="60" s="1"/>
  <c r="T69" i="60"/>
  <c r="T70" i="60" s="1"/>
  <c r="U69" i="60"/>
  <c r="U70" i="60" s="1"/>
  <c r="V69" i="60"/>
  <c r="V70" i="60" s="1"/>
  <c r="W69" i="60"/>
  <c r="W70" i="60" s="1"/>
  <c r="X69" i="60"/>
  <c r="X70" i="60" s="1"/>
  <c r="Y69" i="60"/>
  <c r="Y70" i="60" s="1"/>
  <c r="Z69" i="60"/>
  <c r="Z70" i="60" s="1"/>
  <c r="AA69" i="60"/>
  <c r="AA70" i="60" s="1"/>
  <c r="AB69" i="60"/>
  <c r="AB70" i="60" s="1"/>
  <c r="AC69" i="60"/>
  <c r="AC70" i="60" s="1"/>
  <c r="AD69" i="60"/>
  <c r="AD70" i="60" s="1"/>
  <c r="AE69" i="60"/>
  <c r="AE70" i="60" s="1"/>
  <c r="AF69" i="60"/>
  <c r="AF70" i="60" s="1"/>
  <c r="AG69" i="60"/>
  <c r="AG70" i="60" s="1"/>
  <c r="AH69" i="60"/>
  <c r="AH70" i="60" s="1"/>
  <c r="AI69" i="60"/>
  <c r="AI70" i="60" s="1"/>
  <c r="AJ69" i="60"/>
  <c r="AJ70" i="60" s="1"/>
  <c r="AK69" i="60"/>
  <c r="AK70" i="60" s="1"/>
  <c r="AL69" i="60"/>
  <c r="AL70" i="60" s="1"/>
  <c r="AM69" i="60"/>
  <c r="AM70" i="60" s="1"/>
  <c r="AN69" i="60"/>
  <c r="AN70" i="60" s="1"/>
  <c r="AO69" i="60"/>
  <c r="AO70" i="60" s="1"/>
  <c r="AP69" i="60"/>
  <c r="AP70" i="60" s="1"/>
  <c r="AQ69" i="60"/>
  <c r="AQ70" i="60" s="1"/>
  <c r="AR69" i="60"/>
  <c r="AR70" i="60" s="1"/>
  <c r="AS69" i="60"/>
  <c r="AS70" i="60" s="1"/>
  <c r="AT69" i="60"/>
  <c r="AT70" i="60" s="1"/>
  <c r="AU69" i="60"/>
  <c r="AU70" i="60" s="1"/>
  <c r="AV69" i="60"/>
  <c r="AV70" i="60" s="1"/>
  <c r="AW69" i="60"/>
  <c r="AW70" i="60" s="1"/>
  <c r="AX69" i="60"/>
  <c r="AX70" i="60" s="1"/>
  <c r="AY69" i="60"/>
  <c r="AY70" i="60" s="1"/>
  <c r="AZ69" i="60"/>
  <c r="AZ70" i="60" s="1"/>
  <c r="BA69" i="60"/>
  <c r="BA70" i="60" s="1"/>
  <c r="F70" i="60"/>
  <c r="G70" i="60"/>
  <c r="B43" i="60" l="1"/>
  <c r="A12" i="64" l="1"/>
  <c r="A10" i="64"/>
  <c r="A377" i="32" l="1"/>
  <c r="A371" i="32"/>
  <c r="A373" i="32"/>
  <c r="B22" i="64"/>
  <c r="E46" i="63" s="1"/>
  <c r="A89" i="63"/>
  <c r="D133" i="64"/>
  <c r="A248" i="63"/>
  <c r="A178" i="63"/>
  <c r="A181" i="63"/>
  <c r="A176" i="63"/>
  <c r="K178" i="63"/>
  <c r="A29" i="63"/>
  <c r="B201" i="64"/>
  <c r="A201" i="64"/>
  <c r="B200" i="64"/>
  <c r="A200" i="64"/>
  <c r="B199" i="64"/>
  <c r="A199" i="64"/>
  <c r="B198" i="64"/>
  <c r="A198" i="64"/>
  <c r="B197" i="64"/>
  <c r="A197" i="64"/>
  <c r="B196" i="64"/>
  <c r="A196" i="64"/>
  <c r="B195" i="64"/>
  <c r="A195" i="64"/>
  <c r="B194" i="64"/>
  <c r="A194" i="64"/>
  <c r="B193" i="64"/>
  <c r="A193" i="64"/>
  <c r="B192" i="64"/>
  <c r="A192" i="64"/>
  <c r="A180" i="64"/>
  <c r="B180" i="64"/>
  <c r="A181" i="64"/>
  <c r="B181" i="64"/>
  <c r="A182" i="64"/>
  <c r="B182" i="64"/>
  <c r="A183" i="64"/>
  <c r="B183" i="64"/>
  <c r="A184" i="64"/>
  <c r="B184" i="64"/>
  <c r="A185" i="64"/>
  <c r="B185" i="64"/>
  <c r="A186" i="64"/>
  <c r="B186" i="64"/>
  <c r="A187" i="64"/>
  <c r="B187" i="64"/>
  <c r="A188" i="64"/>
  <c r="B188" i="64"/>
  <c r="B179" i="64"/>
  <c r="A179" i="64"/>
  <c r="A235" i="63"/>
  <c r="E180" i="64"/>
  <c r="H180" i="64" s="1"/>
  <c r="F112" i="63" s="1"/>
  <c r="E181" i="64"/>
  <c r="H181" i="64" s="1"/>
  <c r="F113" i="63" s="1"/>
  <c r="E182" i="64"/>
  <c r="H182" i="64" s="1"/>
  <c r="F114" i="63" s="1"/>
  <c r="E183" i="64"/>
  <c r="H183" i="64" s="1"/>
  <c r="F115" i="63" s="1"/>
  <c r="E184" i="64"/>
  <c r="H184" i="64" s="1"/>
  <c r="F116" i="63" s="1"/>
  <c r="E185" i="64"/>
  <c r="H185" i="64" s="1"/>
  <c r="F117" i="63" s="1"/>
  <c r="E186" i="64"/>
  <c r="H186" i="64" s="1"/>
  <c r="F118" i="63" s="1"/>
  <c r="E187" i="64"/>
  <c r="H187" i="64" s="1"/>
  <c r="F119" i="63" s="1"/>
  <c r="E188" i="64"/>
  <c r="H188" i="64" s="1"/>
  <c r="F120" i="63" s="1"/>
  <c r="E179" i="64"/>
  <c r="G181" i="64"/>
  <c r="I181" i="64" s="1"/>
  <c r="G182" i="64"/>
  <c r="I182" i="64" s="1"/>
  <c r="G183" i="64"/>
  <c r="I183" i="64" s="1"/>
  <c r="G184" i="64"/>
  <c r="I184" i="64" s="1"/>
  <c r="G185" i="64"/>
  <c r="I185" i="64" s="1"/>
  <c r="G186" i="64"/>
  <c r="I186" i="64" s="1"/>
  <c r="G187" i="64"/>
  <c r="I187" i="64" s="1"/>
  <c r="G188" i="64"/>
  <c r="I188" i="64" s="1"/>
  <c r="A170" i="63"/>
  <c r="M214" i="64"/>
  <c r="M215" i="64"/>
  <c r="M216" i="64"/>
  <c r="M217" i="64"/>
  <c r="M218" i="64"/>
  <c r="M219" i="64"/>
  <c r="M220" i="64"/>
  <c r="M221" i="64"/>
  <c r="M222" i="64"/>
  <c r="M213" i="64"/>
  <c r="A231" i="63" s="1"/>
  <c r="F232" i="64"/>
  <c r="I112" i="63"/>
  <c r="Q112" i="63" s="1"/>
  <c r="I113" i="63"/>
  <c r="Q113" i="63" s="1"/>
  <c r="I114" i="63"/>
  <c r="Q114" i="63" s="1"/>
  <c r="I115" i="63"/>
  <c r="Q115" i="63" s="1"/>
  <c r="I116" i="63"/>
  <c r="Q116" i="63" s="1"/>
  <c r="I117" i="63"/>
  <c r="Q117" i="63" s="1"/>
  <c r="I118" i="63"/>
  <c r="Q118" i="63" s="1"/>
  <c r="I119" i="63"/>
  <c r="Q119" i="63" s="1"/>
  <c r="I120" i="63"/>
  <c r="Q120" i="63" s="1"/>
  <c r="I111" i="63"/>
  <c r="Q111" i="63" s="1"/>
  <c r="H112" i="63"/>
  <c r="H113" i="63"/>
  <c r="H114" i="63"/>
  <c r="H115" i="63"/>
  <c r="H116" i="63"/>
  <c r="H117" i="63"/>
  <c r="H118" i="63"/>
  <c r="H119" i="63"/>
  <c r="H120" i="63"/>
  <c r="H111" i="63"/>
  <c r="D112" i="63"/>
  <c r="D113" i="63"/>
  <c r="D114" i="63"/>
  <c r="D115" i="63"/>
  <c r="D116" i="63"/>
  <c r="D117" i="63"/>
  <c r="D118" i="63"/>
  <c r="D119" i="63"/>
  <c r="D120" i="63"/>
  <c r="A157" i="63"/>
  <c r="C117" i="64"/>
  <c r="E147" i="63" s="1"/>
  <c r="O147" i="63" s="1"/>
  <c r="C148" i="63"/>
  <c r="C149" i="63"/>
  <c r="C150" i="63"/>
  <c r="C147" i="63"/>
  <c r="J97" i="64"/>
  <c r="J100" i="64"/>
  <c r="K100" i="64" s="1"/>
  <c r="G136" i="63" s="1"/>
  <c r="J99" i="64"/>
  <c r="K99" i="64" s="1"/>
  <c r="G135" i="63" s="1"/>
  <c r="J98" i="64"/>
  <c r="K98" i="64" s="1"/>
  <c r="G134" i="63" s="1"/>
  <c r="J96" i="64"/>
  <c r="K96" i="64" s="1"/>
  <c r="G132" i="63" s="1"/>
  <c r="D62" i="64"/>
  <c r="N222" i="64"/>
  <c r="E120" i="63" s="1"/>
  <c r="O120" i="63" s="1"/>
  <c r="N221" i="64"/>
  <c r="E119" i="63" s="1"/>
  <c r="O119" i="63" s="1"/>
  <c r="N220" i="64"/>
  <c r="E118" i="63" s="1"/>
  <c r="O118" i="63" s="1"/>
  <c r="N219" i="64"/>
  <c r="E117" i="63" s="1"/>
  <c r="O117" i="63" s="1"/>
  <c r="N218" i="64"/>
  <c r="E116" i="63" s="1"/>
  <c r="O116" i="63" s="1"/>
  <c r="N217" i="64"/>
  <c r="E115" i="63" s="1"/>
  <c r="O115" i="63" s="1"/>
  <c r="N216" i="64"/>
  <c r="E114" i="63" s="1"/>
  <c r="O114" i="63" s="1"/>
  <c r="N215" i="64"/>
  <c r="E113" i="63" s="1"/>
  <c r="O113" i="63" s="1"/>
  <c r="N214" i="64"/>
  <c r="E112" i="63" s="1"/>
  <c r="O112" i="63" s="1"/>
  <c r="F233" i="64"/>
  <c r="K223" i="63" s="1"/>
  <c r="K225" i="63" s="1"/>
  <c r="C120" i="64"/>
  <c r="E150" i="63" s="1"/>
  <c r="O150" i="63" s="1"/>
  <c r="C119" i="64"/>
  <c r="E149" i="63" s="1"/>
  <c r="O149" i="63" s="1"/>
  <c r="C118" i="64"/>
  <c r="E148" i="63" s="1"/>
  <c r="O148" i="63" s="1"/>
  <c r="C136" i="63"/>
  <c r="C135" i="63"/>
  <c r="C134" i="63"/>
  <c r="C112" i="63"/>
  <c r="C113" i="63"/>
  <c r="C114" i="63"/>
  <c r="C115" i="63"/>
  <c r="C116" i="63"/>
  <c r="C117" i="63"/>
  <c r="C118" i="63"/>
  <c r="C119" i="63"/>
  <c r="C120" i="63"/>
  <c r="C111" i="63"/>
  <c r="A112" i="63"/>
  <c r="K112" i="63" s="1"/>
  <c r="A113" i="63"/>
  <c r="K113" i="63" s="1"/>
  <c r="A114" i="63"/>
  <c r="K114" i="63" s="1"/>
  <c r="A115" i="63"/>
  <c r="K115" i="63" s="1"/>
  <c r="A116" i="63"/>
  <c r="K116" i="63" s="1"/>
  <c r="A117" i="63"/>
  <c r="K117" i="63" s="1"/>
  <c r="A118" i="63"/>
  <c r="K118" i="63" s="1"/>
  <c r="A119" i="63"/>
  <c r="K119" i="63" s="1"/>
  <c r="A120" i="63"/>
  <c r="K120" i="63" s="1"/>
  <c r="A111" i="63"/>
  <c r="K111" i="63" s="1"/>
  <c r="C110" i="63"/>
  <c r="A110" i="63"/>
  <c r="B243" i="64"/>
  <c r="A243" i="64"/>
  <c r="B242" i="64"/>
  <c r="A242" i="64"/>
  <c r="B241" i="64"/>
  <c r="A241" i="64"/>
  <c r="B240" i="64"/>
  <c r="A240" i="64"/>
  <c r="B239" i="64"/>
  <c r="A239" i="64"/>
  <c r="B238" i="64"/>
  <c r="A238" i="64"/>
  <c r="B237" i="64"/>
  <c r="A237" i="64"/>
  <c r="B236" i="64"/>
  <c r="A236" i="64"/>
  <c r="B235" i="64"/>
  <c r="A235" i="64"/>
  <c r="B234" i="64"/>
  <c r="A234" i="64"/>
  <c r="A99" i="63"/>
  <c r="A134" i="63" s="1"/>
  <c r="A100" i="63"/>
  <c r="A135" i="63" s="1"/>
  <c r="A101" i="63"/>
  <c r="A136" i="63" s="1"/>
  <c r="A98" i="63"/>
  <c r="A133" i="63" s="1"/>
  <c r="C97" i="64"/>
  <c r="C98" i="64"/>
  <c r="C99" i="64"/>
  <c r="C100" i="64"/>
  <c r="C96" i="64"/>
  <c r="E201" i="64"/>
  <c r="E200" i="64"/>
  <c r="E199" i="64"/>
  <c r="E198" i="64"/>
  <c r="E197" i="64"/>
  <c r="E196" i="64"/>
  <c r="E195" i="64"/>
  <c r="E194" i="64"/>
  <c r="E193" i="64"/>
  <c r="E192" i="64"/>
  <c r="A168" i="63"/>
  <c r="L37" i="64"/>
  <c r="D80" i="63" s="1"/>
  <c r="K80" i="63" s="1"/>
  <c r="K81" i="63" s="1"/>
  <c r="K82" i="63" s="1"/>
  <c r="L36" i="64"/>
  <c r="D77" i="63" s="1"/>
  <c r="K77" i="63" s="1"/>
  <c r="K78" i="63" s="1"/>
  <c r="K79" i="63" s="1"/>
  <c r="L34" i="64"/>
  <c r="D71" i="63" s="1"/>
  <c r="K71" i="63" s="1"/>
  <c r="K72" i="63" s="1"/>
  <c r="K73" i="63" s="1"/>
  <c r="L33" i="64"/>
  <c r="D68" i="63" s="1"/>
  <c r="K68" i="63" s="1"/>
  <c r="K69" i="63" s="1"/>
  <c r="K70" i="63" s="1"/>
  <c r="A80" i="63"/>
  <c r="A77" i="63"/>
  <c r="A74" i="63"/>
  <c r="A71" i="63"/>
  <c r="A68" i="63"/>
  <c r="A132" i="63" s="1"/>
  <c r="G59" i="63"/>
  <c r="K215" i="63" s="1"/>
  <c r="G60" i="63"/>
  <c r="K217" i="63" s="1"/>
  <c r="G61" i="63"/>
  <c r="G62" i="63"/>
  <c r="G63" i="63"/>
  <c r="G56" i="63"/>
  <c r="K206" i="63" s="1"/>
  <c r="K209" i="63" s="1"/>
  <c r="G57" i="63"/>
  <c r="G58" i="63"/>
  <c r="K212" i="63" s="1"/>
  <c r="G55" i="63"/>
  <c r="E45" i="63"/>
  <c r="E44" i="63"/>
  <c r="I210" i="64"/>
  <c r="I208" i="64" s="1"/>
  <c r="B210" i="64"/>
  <c r="D214" i="64" s="1"/>
  <c r="I213" i="64"/>
  <c r="I199" i="63" l="1"/>
  <c r="I193" i="63"/>
  <c r="K210" i="63"/>
  <c r="K211" i="63" s="1"/>
  <c r="K57" i="63"/>
  <c r="K205" i="63"/>
  <c r="K55" i="63"/>
  <c r="K98" i="63"/>
  <c r="K100" i="63"/>
  <c r="K135" i="63"/>
  <c r="K132" i="63"/>
  <c r="K147" i="63"/>
  <c r="K136" i="63"/>
  <c r="K101" i="63"/>
  <c r="K149" i="63"/>
  <c r="K133" i="63"/>
  <c r="K150" i="63"/>
  <c r="K219" i="63"/>
  <c r="K218" i="63"/>
  <c r="K216" i="63"/>
  <c r="K214" i="63"/>
  <c r="K213" i="63"/>
  <c r="K207" i="63"/>
  <c r="K208" i="63"/>
  <c r="K248" i="63"/>
  <c r="K249" i="63" s="1"/>
  <c r="L97" i="64"/>
  <c r="I133" i="63" s="1"/>
  <c r="Q133" i="63" s="1"/>
  <c r="K97" i="64"/>
  <c r="G133" i="63" s="1"/>
  <c r="L99" i="64"/>
  <c r="I135" i="63" s="1"/>
  <c r="Q135" i="63" s="1"/>
  <c r="L96" i="64"/>
  <c r="I132" i="63" s="1"/>
  <c r="L98" i="64"/>
  <c r="I134" i="63" s="1"/>
  <c r="Q134" i="63" s="1"/>
  <c r="L100" i="64"/>
  <c r="I136" i="63" s="1"/>
  <c r="Q136" i="63" s="1"/>
  <c r="G112" i="63"/>
  <c r="P112" i="63" s="1"/>
  <c r="G117" i="63"/>
  <c r="P117" i="63" s="1"/>
  <c r="G116" i="63"/>
  <c r="P116" i="63" s="1"/>
  <c r="G115" i="63"/>
  <c r="P115" i="63" s="1"/>
  <c r="G114" i="63"/>
  <c r="P114" i="63" s="1"/>
  <c r="G120" i="63"/>
  <c r="P120" i="63" s="1"/>
  <c r="G113" i="63"/>
  <c r="P113" i="63" s="1"/>
  <c r="G119" i="63"/>
  <c r="P119" i="63" s="1"/>
  <c r="G118" i="63"/>
  <c r="P118" i="63" s="1"/>
  <c r="A147" i="63"/>
  <c r="A148" i="63"/>
  <c r="A149" i="63"/>
  <c r="A150" i="63"/>
  <c r="K218" i="64"/>
  <c r="K217" i="64"/>
  <c r="D221" i="64"/>
  <c r="K213" i="64"/>
  <c r="D220" i="64"/>
  <c r="K219" i="64"/>
  <c r="K216" i="64"/>
  <c r="D219" i="64"/>
  <c r="D218" i="64"/>
  <c r="K215" i="64"/>
  <c r="K222" i="64"/>
  <c r="D216" i="64"/>
  <c r="K221" i="64"/>
  <c r="D213" i="64"/>
  <c r="D215" i="64"/>
  <c r="D217" i="64"/>
  <c r="K214" i="64"/>
  <c r="K220" i="64"/>
  <c r="D222" i="64"/>
  <c r="H179" i="64"/>
  <c r="A214" i="64"/>
  <c r="B214" i="64"/>
  <c r="A215" i="64"/>
  <c r="B215" i="64"/>
  <c r="A216" i="64"/>
  <c r="B216" i="64"/>
  <c r="A217" i="64"/>
  <c r="B217" i="64"/>
  <c r="A218" i="64"/>
  <c r="B218" i="64"/>
  <c r="A219" i="64"/>
  <c r="B219" i="64"/>
  <c r="A220" i="64"/>
  <c r="B220" i="64"/>
  <c r="A221" i="64"/>
  <c r="B221" i="64"/>
  <c r="A222" i="64"/>
  <c r="B222" i="64"/>
  <c r="B213" i="64"/>
  <c r="A213" i="64"/>
  <c r="D134" i="64"/>
  <c r="D135" i="64"/>
  <c r="D136" i="64"/>
  <c r="A162" i="64"/>
  <c r="B162" i="64"/>
  <c r="A163" i="64"/>
  <c r="B163" i="64"/>
  <c r="A164" i="64"/>
  <c r="B164" i="64"/>
  <c r="A165" i="64"/>
  <c r="B165" i="64"/>
  <c r="A166" i="64"/>
  <c r="B166" i="64"/>
  <c r="A167" i="64"/>
  <c r="B167" i="64"/>
  <c r="A168" i="64"/>
  <c r="B168" i="64"/>
  <c r="A169" i="64"/>
  <c r="B169" i="64"/>
  <c r="A170" i="64"/>
  <c r="B170" i="64"/>
  <c r="B161" i="64"/>
  <c r="A161" i="64"/>
  <c r="I162" i="64"/>
  <c r="I163" i="64"/>
  <c r="I164" i="64"/>
  <c r="I165" i="64"/>
  <c r="I166" i="64"/>
  <c r="I167" i="64"/>
  <c r="I168" i="64"/>
  <c r="I169" i="64"/>
  <c r="I170" i="64"/>
  <c r="I161" i="64"/>
  <c r="H170" i="64"/>
  <c r="G170" i="64"/>
  <c r="H169" i="64"/>
  <c r="G169" i="64"/>
  <c r="H168" i="64"/>
  <c r="G168" i="64"/>
  <c r="H167" i="64"/>
  <c r="G167" i="64"/>
  <c r="H166" i="64"/>
  <c r="G166" i="64"/>
  <c r="H165" i="64"/>
  <c r="G165" i="64"/>
  <c r="H164" i="64"/>
  <c r="G164" i="64"/>
  <c r="H163" i="64"/>
  <c r="G163" i="64"/>
  <c r="H162" i="64"/>
  <c r="G162" i="64"/>
  <c r="H161" i="64"/>
  <c r="G161" i="64"/>
  <c r="H149" i="64"/>
  <c r="J112" i="63" s="1"/>
  <c r="H150" i="64"/>
  <c r="J113" i="63" s="1"/>
  <c r="H151" i="64"/>
  <c r="J114" i="63" s="1"/>
  <c r="H152" i="64"/>
  <c r="J115" i="63" s="1"/>
  <c r="H153" i="64"/>
  <c r="J116" i="63" s="1"/>
  <c r="H154" i="64"/>
  <c r="J117" i="63" s="1"/>
  <c r="H155" i="64"/>
  <c r="J118" i="63" s="1"/>
  <c r="H156" i="64"/>
  <c r="J119" i="63" s="1"/>
  <c r="H157" i="64"/>
  <c r="J120" i="63" s="1"/>
  <c r="H148" i="64"/>
  <c r="J110" i="63" s="1"/>
  <c r="A105" i="63" s="1"/>
  <c r="G149" i="64"/>
  <c r="G150" i="64"/>
  <c r="G151" i="64"/>
  <c r="G152" i="64"/>
  <c r="G153" i="64"/>
  <c r="G154" i="64"/>
  <c r="G155" i="64"/>
  <c r="G156" i="64"/>
  <c r="G157" i="64"/>
  <c r="G148" i="64"/>
  <c r="C145" i="64"/>
  <c r="I149" i="64"/>
  <c r="I150" i="64"/>
  <c r="I151" i="64"/>
  <c r="I152" i="64"/>
  <c r="I153" i="64"/>
  <c r="I154" i="64"/>
  <c r="I155" i="64"/>
  <c r="I156" i="64"/>
  <c r="I157" i="64"/>
  <c r="E75" i="64"/>
  <c r="E76" i="64"/>
  <c r="E77" i="64"/>
  <c r="E74" i="64"/>
  <c r="I75" i="64"/>
  <c r="I76" i="64"/>
  <c r="I77" i="64"/>
  <c r="B75" i="64"/>
  <c r="B76" i="64"/>
  <c r="B77" i="64"/>
  <c r="B74" i="64"/>
  <c r="D63" i="64"/>
  <c r="E63" i="64" s="1"/>
  <c r="F63" i="64" s="1"/>
  <c r="D134" i="63" s="1"/>
  <c r="O134" i="63" s="1"/>
  <c r="D64" i="64"/>
  <c r="E64" i="64" s="1"/>
  <c r="F64" i="64" s="1"/>
  <c r="D135" i="63" s="1"/>
  <c r="O135" i="63" s="1"/>
  <c r="D65" i="64"/>
  <c r="E65" i="64" s="1"/>
  <c r="F65" i="64" s="1"/>
  <c r="D136" i="63" s="1"/>
  <c r="O136" i="63" s="1"/>
  <c r="E62" i="64"/>
  <c r="H52" i="64"/>
  <c r="B46" i="64" s="1"/>
  <c r="H53" i="64"/>
  <c r="B47" i="64" s="1"/>
  <c r="H54" i="64"/>
  <c r="B48" i="64" s="1"/>
  <c r="H51" i="64"/>
  <c r="B45" i="64" s="1"/>
  <c r="C45" i="64" s="1"/>
  <c r="J35" i="64"/>
  <c r="L35" i="64" s="1"/>
  <c r="D74" i="63" s="1"/>
  <c r="K74" i="63" s="1"/>
  <c r="C26" i="64"/>
  <c r="C24" i="64"/>
  <c r="D89" i="63" s="1"/>
  <c r="B24" i="64"/>
  <c r="B26" i="64"/>
  <c r="B1" i="64"/>
  <c r="B1" i="11"/>
  <c r="K185" i="63"/>
  <c r="K186" i="63" s="1"/>
  <c r="A161" i="63"/>
  <c r="K157" i="63"/>
  <c r="K158" i="63" s="1"/>
  <c r="K59" i="63"/>
  <c r="K56" i="63"/>
  <c r="I40" i="63"/>
  <c r="G40" i="63"/>
  <c r="D40" i="63"/>
  <c r="A40" i="63"/>
  <c r="K34" i="63"/>
  <c r="K35" i="63" s="1"/>
  <c r="A32" i="63"/>
  <c r="A24" i="63"/>
  <c r="E1" i="63"/>
  <c r="I196" i="63" l="1"/>
  <c r="H196" i="63" s="1"/>
  <c r="K245" i="63"/>
  <c r="K247" i="63" s="1"/>
  <c r="K75" i="63"/>
  <c r="K76" i="63" s="1"/>
  <c r="K148" i="63"/>
  <c r="K99" i="63"/>
  <c r="K134" i="63"/>
  <c r="J111" i="63"/>
  <c r="I131" i="63"/>
  <c r="G146" i="63"/>
  <c r="E146" i="63"/>
  <c r="F136" i="64"/>
  <c r="G150" i="63" s="1"/>
  <c r="P150" i="63" s="1"/>
  <c r="F150" i="63"/>
  <c r="F135" i="64"/>
  <c r="G149" i="63" s="1"/>
  <c r="P149" i="63" s="1"/>
  <c r="F149" i="63"/>
  <c r="F134" i="64"/>
  <c r="G148" i="63" s="1"/>
  <c r="P148" i="63" s="1"/>
  <c r="F148" i="63"/>
  <c r="G111" i="63"/>
  <c r="F111" i="63"/>
  <c r="F133" i="64"/>
  <c r="G147" i="63" s="1"/>
  <c r="P147" i="63" s="1"/>
  <c r="F147" i="63"/>
  <c r="D97" i="63"/>
  <c r="E110" i="63" s="1"/>
  <c r="G110" i="63" s="1"/>
  <c r="I110" i="63" s="1"/>
  <c r="D131" i="63"/>
  <c r="F131" i="63"/>
  <c r="F62" i="64"/>
  <c r="D133" i="63" s="1"/>
  <c r="C133" i="63"/>
  <c r="C47" i="64"/>
  <c r="D100" i="63" s="1"/>
  <c r="O100" i="63" s="1"/>
  <c r="C100" i="63"/>
  <c r="C46" i="64"/>
  <c r="D99" i="63" s="1"/>
  <c r="O99" i="63" s="1"/>
  <c r="C99" i="63"/>
  <c r="C48" i="64"/>
  <c r="D101" i="63" s="1"/>
  <c r="O101" i="63" s="1"/>
  <c r="C101" i="63"/>
  <c r="D98" i="63"/>
  <c r="O98" i="63" s="1"/>
  <c r="C98" i="63"/>
  <c r="A27" i="64"/>
  <c r="F55" i="63"/>
  <c r="F88" i="63" s="1"/>
  <c r="B27" i="64"/>
  <c r="F89" i="63" s="1"/>
  <c r="L213" i="64"/>
  <c r="D111" i="63" s="1"/>
  <c r="I178" i="64"/>
  <c r="N212" i="64"/>
  <c r="F132" i="64"/>
  <c r="K160" i="64"/>
  <c r="K147" i="64"/>
  <c r="C116" i="64"/>
  <c r="J77" i="64"/>
  <c r="J76" i="64"/>
  <c r="K73" i="64"/>
  <c r="C44" i="64"/>
  <c r="J75" i="64"/>
  <c r="L95" i="64"/>
  <c r="J74" i="64"/>
  <c r="E233" i="64"/>
  <c r="F61" i="64"/>
  <c r="AH172" i="53"/>
  <c r="I200" i="63" l="1"/>
  <c r="H200" i="63" s="1"/>
  <c r="I192" i="63"/>
  <c r="H192" i="63" s="1"/>
  <c r="K220" i="63"/>
  <c r="K222" i="63" s="1"/>
  <c r="O89" i="63"/>
  <c r="I191" i="63" s="1"/>
  <c r="H191" i="63" s="1"/>
  <c r="K239" i="63"/>
  <c r="K240" i="63" s="1"/>
  <c r="O133" i="63"/>
  <c r="I197" i="63" s="1"/>
  <c r="K235" i="63"/>
  <c r="K237" i="63" s="1"/>
  <c r="P111" i="63"/>
  <c r="I195" i="63" s="1"/>
  <c r="H195" i="63" s="1"/>
  <c r="K246" i="63"/>
  <c r="K250" i="63"/>
  <c r="K251" i="63" s="1"/>
  <c r="K179" i="63"/>
  <c r="K180" i="63"/>
  <c r="E136" i="63"/>
  <c r="K77" i="64"/>
  <c r="F136" i="63" s="1"/>
  <c r="P136" i="63" s="1"/>
  <c r="K74" i="64"/>
  <c r="F133" i="63" s="1"/>
  <c r="P133" i="63" s="1"/>
  <c r="E133" i="63"/>
  <c r="K227" i="63"/>
  <c r="K230" i="63" s="1"/>
  <c r="E134" i="63"/>
  <c r="K75" i="64"/>
  <c r="F134" i="63" s="1"/>
  <c r="P134" i="63" s="1"/>
  <c r="K76" i="64"/>
  <c r="F135" i="63" s="1"/>
  <c r="P135" i="63" s="1"/>
  <c r="E135" i="63"/>
  <c r="N213" i="64"/>
  <c r="E111" i="63" s="1"/>
  <c r="K226" i="63"/>
  <c r="K224" i="63"/>
  <c r="F57" i="63"/>
  <c r="F58" i="63" s="1"/>
  <c r="F59" i="63" s="1"/>
  <c r="F60" i="63" s="1"/>
  <c r="F56" i="6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170" i="53"/>
  <c r="BX170" i="53"/>
  <c r="M140" i="11"/>
  <c r="L140" i="11"/>
  <c r="K140" i="11"/>
  <c r="J140" i="11"/>
  <c r="J139" i="11"/>
  <c r="K139" i="11"/>
  <c r="M139" i="11"/>
  <c r="L139" i="11"/>
  <c r="K241" i="63" l="1"/>
  <c r="K238" i="63"/>
  <c r="K221" i="63"/>
  <c r="K236" i="63"/>
  <c r="I198" i="63"/>
  <c r="H198" i="63" s="1"/>
  <c r="K231" i="63"/>
  <c r="K234" i="63" s="1"/>
  <c r="O111" i="63"/>
  <c r="I194" i="63" s="1"/>
  <c r="H194" i="63" s="1"/>
  <c r="M138" i="11"/>
  <c r="K141" i="11"/>
  <c r="K242" i="63"/>
  <c r="K244" i="63" s="1"/>
  <c r="K228" i="63"/>
  <c r="K229" i="63"/>
  <c r="K138" i="11"/>
  <c r="L141" i="11"/>
  <c r="J138" i="11"/>
  <c r="M141" i="11"/>
  <c r="L138" i="11"/>
  <c r="J141" i="11"/>
  <c r="A157" i="17"/>
  <c r="K232" i="63" l="1"/>
  <c r="K233" i="63"/>
  <c r="C140" i="11"/>
  <c r="K243" i="63"/>
  <c r="C139" i="11"/>
  <c r="A1003" i="57"/>
  <c r="A988" i="57"/>
  <c r="A30" i="57"/>
  <c r="A34" i="39"/>
  <c r="A148" i="33"/>
  <c r="A132" i="33"/>
  <c r="A25" i="33"/>
  <c r="A112" i="46"/>
  <c r="A126" i="46"/>
  <c r="A34" i="52"/>
  <c r="A618" i="52"/>
  <c r="A601" i="52"/>
  <c r="A51" i="52"/>
  <c r="Q170" i="53"/>
  <c r="K146" i="26"/>
  <c r="A258" i="45"/>
  <c r="A243" i="45"/>
  <c r="A32" i="45"/>
  <c r="A375" i="41"/>
  <c r="A367" i="41"/>
  <c r="A174" i="24"/>
  <c r="A142" i="24"/>
  <c r="A38" i="24"/>
  <c r="A35" i="24"/>
  <c r="A150" i="26"/>
  <c r="A122" i="26"/>
  <c r="A33" i="26"/>
  <c r="A30" i="26"/>
  <c r="A154" i="30"/>
  <c r="A130" i="30"/>
  <c r="A34" i="30"/>
  <c r="G20" i="14"/>
  <c r="A37" i="30"/>
  <c r="A35" i="43"/>
  <c r="A38" i="43"/>
  <c r="A163" i="43"/>
  <c r="A193" i="43"/>
  <c r="A338" i="39"/>
  <c r="A301" i="39"/>
  <c r="A37" i="39"/>
  <c r="A39" i="32"/>
  <c r="A92" i="51"/>
  <c r="A215" i="32"/>
  <c r="A36" i="32"/>
  <c r="D115" i="16"/>
  <c r="F115" i="16"/>
  <c r="B122" i="21"/>
  <c r="B115" i="16"/>
  <c r="F122" i="21"/>
  <c r="E122" i="21"/>
  <c r="C122" i="21"/>
  <c r="D122" i="21"/>
  <c r="A252" i="63" l="1"/>
  <c r="A32" i="57"/>
  <c r="A34" i="63"/>
  <c r="A39" i="30"/>
  <c r="A40" i="43"/>
  <c r="A35" i="26"/>
  <c r="A50" i="46"/>
  <c r="A41" i="32"/>
  <c r="A39" i="39"/>
  <c r="A40" i="24"/>
  <c r="A254" i="32"/>
  <c r="A81" i="51"/>
  <c r="A117" i="59"/>
  <c r="BA43" i="60" l="1"/>
  <c r="BA44" i="60" s="1"/>
  <c r="AZ43" i="60"/>
  <c r="AZ44" i="60" s="1"/>
  <c r="AY43" i="60"/>
  <c r="AY44" i="60" s="1"/>
  <c r="AX43" i="60"/>
  <c r="AX44" i="60" s="1"/>
  <c r="AW43" i="60"/>
  <c r="AW44" i="60" s="1"/>
  <c r="AV43" i="60"/>
  <c r="AV44" i="60" s="1"/>
  <c r="AU43" i="60"/>
  <c r="AU44" i="60" s="1"/>
  <c r="AT43" i="60"/>
  <c r="AT44" i="60" s="1"/>
  <c r="AS43" i="60"/>
  <c r="AS44" i="60" s="1"/>
  <c r="AR43" i="60"/>
  <c r="AR44" i="60" s="1"/>
  <c r="AQ43" i="60"/>
  <c r="AQ44" i="60" s="1"/>
  <c r="AP43" i="60"/>
  <c r="AP44" i="60" s="1"/>
  <c r="AO43" i="60"/>
  <c r="AO44" i="60" s="1"/>
  <c r="AN43" i="60"/>
  <c r="AN44" i="60" s="1"/>
  <c r="AM43" i="60"/>
  <c r="AM44" i="60" s="1"/>
  <c r="AL43" i="60"/>
  <c r="AL44" i="60" s="1"/>
  <c r="AK43" i="60"/>
  <c r="AK44" i="60" s="1"/>
  <c r="AJ43" i="60"/>
  <c r="AJ44" i="60" s="1"/>
  <c r="AI43" i="60"/>
  <c r="AI44" i="60" s="1"/>
  <c r="AH43" i="60"/>
  <c r="AH44" i="60" s="1"/>
  <c r="AG43" i="60"/>
  <c r="AG44" i="60" s="1"/>
  <c r="AF43" i="60"/>
  <c r="AF44" i="60" s="1"/>
  <c r="AE43" i="60"/>
  <c r="AE44" i="60" s="1"/>
  <c r="AD43" i="60"/>
  <c r="AD44" i="60" s="1"/>
  <c r="AC43" i="60"/>
  <c r="AC44" i="60" s="1"/>
  <c r="AB43" i="60"/>
  <c r="AB44" i="60" s="1"/>
  <c r="AA43" i="60"/>
  <c r="AA44" i="60" s="1"/>
  <c r="Z43" i="60"/>
  <c r="Z44" i="60" s="1"/>
  <c r="Y43" i="60"/>
  <c r="Y44" i="60" s="1"/>
  <c r="X43" i="60"/>
  <c r="X44" i="60" s="1"/>
  <c r="W43" i="60"/>
  <c r="W44" i="60" s="1"/>
  <c r="V43" i="60"/>
  <c r="V44" i="60" s="1"/>
  <c r="U43" i="60"/>
  <c r="U44" i="60" s="1"/>
  <c r="T43" i="60"/>
  <c r="T44" i="60" s="1"/>
  <c r="S43" i="60"/>
  <c r="S44" i="60" s="1"/>
  <c r="R43" i="60"/>
  <c r="R44" i="60" s="1"/>
  <c r="Q43" i="60"/>
  <c r="Q44" i="60" s="1"/>
  <c r="P43" i="60"/>
  <c r="P44" i="60" s="1"/>
  <c r="O43" i="60"/>
  <c r="O44" i="60" s="1"/>
  <c r="N43" i="60"/>
  <c r="N44" i="60" s="1"/>
  <c r="M43" i="60"/>
  <c r="M44" i="60" s="1"/>
  <c r="L43" i="60"/>
  <c r="L44" i="60" s="1"/>
  <c r="K43" i="60"/>
  <c r="K44" i="60" s="1"/>
  <c r="J43" i="60"/>
  <c r="J44" i="60" s="1"/>
  <c r="I43" i="60"/>
  <c r="I44" i="60" s="1"/>
  <c r="H43" i="60"/>
  <c r="H44" i="60" s="1"/>
  <c r="G43" i="60"/>
  <c r="G44" i="60" s="1"/>
  <c r="F43" i="60"/>
  <c r="F44" i="60" s="1"/>
  <c r="E43" i="60"/>
  <c r="E44" i="60" s="1"/>
  <c r="D43" i="60"/>
  <c r="D44" i="60" s="1"/>
  <c r="C43" i="60"/>
  <c r="C44" i="60" s="1"/>
  <c r="C121" i="6" l="1"/>
  <c r="D121" i="6" s="1"/>
  <c r="E121" i="6" s="1"/>
  <c r="F121" i="6" s="1"/>
  <c r="C120" i="21"/>
  <c r="D120" i="21" s="1"/>
  <c r="E120" i="21" s="1"/>
  <c r="F120" i="21" s="1"/>
  <c r="D219" i="40"/>
  <c r="D180" i="40"/>
  <c r="D178" i="40"/>
  <c r="C169" i="40"/>
  <c r="D169" i="40" s="1"/>
  <c r="C123" i="6"/>
  <c r="D123" i="6"/>
  <c r="B123" i="6"/>
  <c r="F123" i="6"/>
  <c r="E123" i="6"/>
  <c r="B182" i="40" l="1"/>
  <c r="F124" i="6"/>
  <c r="F125" i="6" s="1"/>
  <c r="F126" i="6" s="1"/>
  <c r="E124" i="6"/>
  <c r="E125" i="6" s="1"/>
  <c r="E126" i="6" s="1"/>
  <c r="D124" i="6"/>
  <c r="D125" i="6" s="1"/>
  <c r="D126" i="6" s="1"/>
  <c r="C124" i="6"/>
  <c r="C125" i="6" s="1"/>
  <c r="C126" i="6" s="1"/>
  <c r="B160" i="40"/>
  <c r="E155" i="40" s="1"/>
  <c r="D156" i="40"/>
  <c r="D157" i="40"/>
  <c r="D158" i="40"/>
  <c r="D159" i="40"/>
  <c r="D155" i="40"/>
  <c r="F133" i="40"/>
  <c r="F134" i="40"/>
  <c r="F135" i="40"/>
  <c r="F136" i="40"/>
  <c r="F137" i="40"/>
  <c r="F138" i="40"/>
  <c r="F139" i="40"/>
  <c r="F140" i="40"/>
  <c r="F141" i="40"/>
  <c r="C133" i="40"/>
  <c r="D133" i="40"/>
  <c r="E133" i="40"/>
  <c r="C134" i="40"/>
  <c r="D134" i="40"/>
  <c r="E134" i="40"/>
  <c r="C135" i="40"/>
  <c r="D135" i="40"/>
  <c r="E135" i="40"/>
  <c r="C136" i="40"/>
  <c r="D136" i="40"/>
  <c r="E136" i="40"/>
  <c r="C137" i="40"/>
  <c r="D137" i="40"/>
  <c r="E137" i="40"/>
  <c r="C138" i="40"/>
  <c r="D138" i="40"/>
  <c r="E138" i="40"/>
  <c r="C139" i="40"/>
  <c r="D139" i="40"/>
  <c r="E139" i="40"/>
  <c r="C140" i="40"/>
  <c r="D140" i="40"/>
  <c r="E140" i="40"/>
  <c r="C141" i="40"/>
  <c r="D141" i="40"/>
  <c r="E141" i="40"/>
  <c r="F132" i="40"/>
  <c r="E132" i="40"/>
  <c r="D132" i="40"/>
  <c r="C132" i="40"/>
  <c r="I146" i="40"/>
  <c r="H146" i="40"/>
  <c r="G146" i="40"/>
  <c r="F146" i="40"/>
  <c r="E146" i="40"/>
  <c r="D146" i="40"/>
  <c r="C146" i="40"/>
  <c r="C145" i="40"/>
  <c r="I145" i="40"/>
  <c r="H145" i="40"/>
  <c r="G145" i="40"/>
  <c r="F145" i="40"/>
  <c r="E145" i="40"/>
  <c r="D145" i="40"/>
  <c r="N127" i="43"/>
  <c r="A207" i="43" l="1"/>
  <c r="E159" i="40"/>
  <c r="E158" i="40"/>
  <c r="E157" i="40"/>
  <c r="E156" i="40"/>
  <c r="K200" i="22"/>
  <c r="J200" i="22"/>
  <c r="I200" i="22"/>
  <c r="H200" i="22"/>
  <c r="G200" i="22"/>
  <c r="F200" i="22"/>
  <c r="E200" i="22"/>
  <c r="D200" i="22"/>
  <c r="C200" i="22"/>
  <c r="B200" i="22"/>
  <c r="K180" i="22"/>
  <c r="J180" i="22"/>
  <c r="I180" i="22"/>
  <c r="H180" i="22"/>
  <c r="G180" i="22"/>
  <c r="F180" i="22"/>
  <c r="E180" i="22"/>
  <c r="D180" i="22"/>
  <c r="C180" i="22"/>
  <c r="B180" i="22"/>
  <c r="K160" i="22"/>
  <c r="J160" i="22"/>
  <c r="I160" i="22"/>
  <c r="H160" i="22"/>
  <c r="G160" i="22"/>
  <c r="F160" i="22"/>
  <c r="E160" i="22"/>
  <c r="D160" i="22"/>
  <c r="C160" i="22"/>
  <c r="B160" i="22"/>
  <c r="K140" i="22"/>
  <c r="J140" i="22"/>
  <c r="I140" i="22"/>
  <c r="H140" i="22"/>
  <c r="G140" i="22"/>
  <c r="F140" i="22"/>
  <c r="E140" i="22"/>
  <c r="D140" i="22"/>
  <c r="C140" i="22"/>
  <c r="B140" i="22"/>
  <c r="K120" i="22"/>
  <c r="J120" i="22"/>
  <c r="I120" i="22"/>
  <c r="H120" i="22"/>
  <c r="G120" i="22"/>
  <c r="F120" i="22"/>
  <c r="E120" i="22"/>
  <c r="D120" i="22"/>
  <c r="C120" i="22"/>
  <c r="B120" i="22"/>
  <c r="K100" i="22"/>
  <c r="J100" i="22"/>
  <c r="I100" i="22"/>
  <c r="H100" i="22"/>
  <c r="G100" i="22"/>
  <c r="F100" i="22"/>
  <c r="E100" i="22"/>
  <c r="D100" i="22"/>
  <c r="C100" i="22"/>
  <c r="B100" i="22"/>
  <c r="K80" i="22"/>
  <c r="J80" i="22"/>
  <c r="I80" i="22"/>
  <c r="H80" i="22"/>
  <c r="G80" i="22"/>
  <c r="F80" i="22"/>
  <c r="E80" i="22"/>
  <c r="D80" i="22"/>
  <c r="C80" i="22"/>
  <c r="B80" i="22"/>
  <c r="K60" i="22"/>
  <c r="J60" i="22"/>
  <c r="I60" i="22"/>
  <c r="H60" i="22"/>
  <c r="G60" i="22"/>
  <c r="F60" i="22"/>
  <c r="E60" i="22"/>
  <c r="D60" i="22"/>
  <c r="C60" i="22"/>
  <c r="B60" i="22"/>
  <c r="K40" i="22"/>
  <c r="J40" i="22"/>
  <c r="I40" i="22"/>
  <c r="H40" i="22"/>
  <c r="G40" i="22"/>
  <c r="F40" i="22"/>
  <c r="E40" i="22"/>
  <c r="D40" i="22"/>
  <c r="C40" i="22"/>
  <c r="B40" i="22"/>
  <c r="C20" i="22"/>
  <c r="D20" i="22"/>
  <c r="E20" i="22"/>
  <c r="F20" i="22"/>
  <c r="G20" i="22"/>
  <c r="H20" i="22"/>
  <c r="I20" i="22"/>
  <c r="J20" i="22"/>
  <c r="K20" i="22"/>
  <c r="B20" i="22"/>
  <c r="B19" i="22"/>
  <c r="E160" i="40" l="1"/>
  <c r="F160" i="40" s="1"/>
  <c r="C4" i="60"/>
  <c r="D4" i="60" s="1"/>
  <c r="E4" i="60" s="1"/>
  <c r="F4" i="60" s="1"/>
  <c r="G4" i="60" s="1"/>
  <c r="H4" i="60" s="1"/>
  <c r="I4" i="60" s="1"/>
  <c r="J4" i="60" s="1"/>
  <c r="K4" i="60" s="1"/>
  <c r="L4" i="60" s="1"/>
  <c r="M4" i="60" s="1"/>
  <c r="N4" i="60" s="1"/>
  <c r="O4" i="60" s="1"/>
  <c r="P4" i="60" s="1"/>
  <c r="Q4" i="60" s="1"/>
  <c r="R4" i="60" s="1"/>
  <c r="S4" i="60" s="1"/>
  <c r="T4" i="60" s="1"/>
  <c r="U4" i="60" s="1"/>
  <c r="V4" i="60" s="1"/>
  <c r="W4" i="60" s="1"/>
  <c r="X4" i="60" s="1"/>
  <c r="Y4" i="60" s="1"/>
  <c r="Z4" i="60" s="1"/>
  <c r="AA4" i="60" s="1"/>
  <c r="BA47" i="60"/>
  <c r="AZ47" i="60"/>
  <c r="AY47" i="60"/>
  <c r="AX47" i="60"/>
  <c r="AW47" i="60"/>
  <c r="AV47" i="60"/>
  <c r="AU47" i="60"/>
  <c r="AT47" i="60"/>
  <c r="AS47" i="60"/>
  <c r="AR47" i="60"/>
  <c r="AQ47" i="60"/>
  <c r="AP47" i="60"/>
  <c r="AO47" i="60"/>
  <c r="AN47" i="60"/>
  <c r="AM47" i="60"/>
  <c r="AL47" i="60"/>
  <c r="AK47" i="60"/>
  <c r="AJ47" i="60"/>
  <c r="AI47" i="60"/>
  <c r="AH47" i="60"/>
  <c r="AG47" i="60"/>
  <c r="AF47" i="60"/>
  <c r="AE47" i="60"/>
  <c r="AD47" i="60"/>
  <c r="AC47" i="60"/>
  <c r="AB47" i="60"/>
  <c r="AA47" i="60"/>
  <c r="BA41" i="60"/>
  <c r="BA42" i="60" s="1"/>
  <c r="AZ41" i="60"/>
  <c r="AZ42" i="60" s="1"/>
  <c r="AY41" i="60"/>
  <c r="AY42" i="60" s="1"/>
  <c r="AX41" i="60"/>
  <c r="AX42" i="60" s="1"/>
  <c r="AW41" i="60"/>
  <c r="AW42" i="60" s="1"/>
  <c r="AV41" i="60"/>
  <c r="AV42" i="60" s="1"/>
  <c r="AU41" i="60"/>
  <c r="AU42" i="60" s="1"/>
  <c r="AT41" i="60"/>
  <c r="AT42" i="60" s="1"/>
  <c r="AS41" i="60"/>
  <c r="AS42" i="60" s="1"/>
  <c r="AR41" i="60"/>
  <c r="AR42" i="60" s="1"/>
  <c r="AQ41" i="60"/>
  <c r="AQ42" i="60" s="1"/>
  <c r="AP41" i="60"/>
  <c r="AP42" i="60" s="1"/>
  <c r="AO41" i="60"/>
  <c r="AO42" i="60" s="1"/>
  <c r="AN41" i="60"/>
  <c r="AN42" i="60" s="1"/>
  <c r="AM41" i="60"/>
  <c r="AM42" i="60" s="1"/>
  <c r="AL41" i="60"/>
  <c r="AL42" i="60" s="1"/>
  <c r="AK41" i="60"/>
  <c r="AK42" i="60" s="1"/>
  <c r="AJ41" i="60"/>
  <c r="AJ42" i="60" s="1"/>
  <c r="AI41" i="60"/>
  <c r="AI42" i="60" s="1"/>
  <c r="AH41" i="60"/>
  <c r="AH42" i="60" s="1"/>
  <c r="AG41" i="60"/>
  <c r="AG42" i="60" s="1"/>
  <c r="AF41" i="60"/>
  <c r="AF42" i="60" s="1"/>
  <c r="AE41" i="60"/>
  <c r="AE42" i="60" s="1"/>
  <c r="AD41" i="60"/>
  <c r="AD42" i="60" s="1"/>
  <c r="AC41" i="60"/>
  <c r="AC42" i="60" s="1"/>
  <c r="AB41" i="60"/>
  <c r="AB42" i="60" s="1"/>
  <c r="AA41" i="60"/>
  <c r="AA42" i="60" s="1"/>
  <c r="BA39" i="60"/>
  <c r="BA40" i="60" s="1"/>
  <c r="AZ39" i="60"/>
  <c r="AZ40" i="60" s="1"/>
  <c r="AY39" i="60"/>
  <c r="AY40" i="60" s="1"/>
  <c r="AX39" i="60"/>
  <c r="AX40" i="60" s="1"/>
  <c r="AW39" i="60"/>
  <c r="AW40" i="60" s="1"/>
  <c r="AV39" i="60"/>
  <c r="AV40" i="60" s="1"/>
  <c r="AU39" i="60"/>
  <c r="AU40" i="60" s="1"/>
  <c r="AT39" i="60"/>
  <c r="AT40" i="60" s="1"/>
  <c r="AS39" i="60"/>
  <c r="AS40" i="60" s="1"/>
  <c r="AR39" i="60"/>
  <c r="AR40" i="60" s="1"/>
  <c r="AQ39" i="60"/>
  <c r="AQ40" i="60" s="1"/>
  <c r="AP39" i="60"/>
  <c r="AP40" i="60" s="1"/>
  <c r="AO39" i="60"/>
  <c r="AO40" i="60" s="1"/>
  <c r="AN39" i="60"/>
  <c r="AN40" i="60" s="1"/>
  <c r="AM39" i="60"/>
  <c r="AM40" i="60" s="1"/>
  <c r="AL39" i="60"/>
  <c r="AL40" i="60" s="1"/>
  <c r="AK39" i="60"/>
  <c r="AK40" i="60" s="1"/>
  <c r="AJ39" i="60"/>
  <c r="AJ40" i="60" s="1"/>
  <c r="AI39" i="60"/>
  <c r="AI40" i="60" s="1"/>
  <c r="AH39" i="60"/>
  <c r="AH40" i="60" s="1"/>
  <c r="AG39" i="60"/>
  <c r="AG40" i="60" s="1"/>
  <c r="AF39" i="60"/>
  <c r="AF40" i="60" s="1"/>
  <c r="AE39" i="60"/>
  <c r="AE40" i="60" s="1"/>
  <c r="AD39" i="60"/>
  <c r="AD40" i="60" s="1"/>
  <c r="AC39" i="60"/>
  <c r="AC40" i="60" s="1"/>
  <c r="AB39" i="60"/>
  <c r="AB40" i="60" s="1"/>
  <c r="AA39" i="60"/>
  <c r="AA40" i="60" s="1"/>
  <c r="BA37" i="60"/>
  <c r="AZ37" i="60"/>
  <c r="AY37" i="60"/>
  <c r="AX37" i="60"/>
  <c r="AW37" i="60"/>
  <c r="AV37" i="60"/>
  <c r="AU37" i="60"/>
  <c r="AT37" i="60"/>
  <c r="AS37" i="60"/>
  <c r="AR37" i="60"/>
  <c r="AQ37" i="60"/>
  <c r="AP37" i="60"/>
  <c r="AO37" i="60"/>
  <c r="AN37" i="60"/>
  <c r="AM37" i="60"/>
  <c r="AL37" i="60"/>
  <c r="AK37" i="60"/>
  <c r="AJ37" i="60"/>
  <c r="AI37" i="60"/>
  <c r="AH37" i="60"/>
  <c r="AG37" i="60"/>
  <c r="AF37" i="60"/>
  <c r="AE37" i="60"/>
  <c r="AD37" i="60"/>
  <c r="AC37" i="60"/>
  <c r="AB37" i="60"/>
  <c r="AA37" i="60"/>
  <c r="BA35" i="60"/>
  <c r="AZ35" i="60"/>
  <c r="AY35" i="60"/>
  <c r="AX35" i="60"/>
  <c r="AW35" i="60"/>
  <c r="AV35" i="60"/>
  <c r="AU35" i="60"/>
  <c r="AT35" i="60"/>
  <c r="AS35" i="60"/>
  <c r="AR35" i="60"/>
  <c r="AQ35" i="60"/>
  <c r="AP35" i="60"/>
  <c r="AO35" i="60"/>
  <c r="AN35" i="60"/>
  <c r="AM35" i="60"/>
  <c r="AL35" i="60"/>
  <c r="AK35" i="60"/>
  <c r="AJ35" i="60"/>
  <c r="AI35" i="60"/>
  <c r="AH35" i="60"/>
  <c r="AG35" i="60"/>
  <c r="AF35" i="60"/>
  <c r="AE35" i="60"/>
  <c r="AD35" i="60"/>
  <c r="AC35" i="60"/>
  <c r="AB35" i="60"/>
  <c r="AA35" i="60"/>
  <c r="BA21" i="60"/>
  <c r="AZ21" i="60"/>
  <c r="AY21" i="60"/>
  <c r="AX21" i="60"/>
  <c r="AW21" i="60"/>
  <c r="AV21" i="60"/>
  <c r="AU21" i="60"/>
  <c r="AT21" i="60"/>
  <c r="AS21" i="60"/>
  <c r="AR21" i="60"/>
  <c r="AQ21" i="60"/>
  <c r="AP21" i="60"/>
  <c r="AO21" i="60"/>
  <c r="AN21" i="60"/>
  <c r="AM21" i="60"/>
  <c r="AL21" i="60"/>
  <c r="AK21" i="60"/>
  <c r="AJ21" i="60"/>
  <c r="AI21" i="60"/>
  <c r="AH21" i="60"/>
  <c r="AG21" i="60"/>
  <c r="AF21" i="60"/>
  <c r="AE21" i="60"/>
  <c r="AD21" i="60"/>
  <c r="AC21" i="60"/>
  <c r="AB21" i="60"/>
  <c r="AA21" i="60"/>
  <c r="Z21" i="60"/>
  <c r="Z35" i="60"/>
  <c r="Z37" i="60"/>
  <c r="Z39" i="60"/>
  <c r="Z40" i="60" s="1"/>
  <c r="Z41" i="60"/>
  <c r="Z42" i="60" s="1"/>
  <c r="Z47" i="60"/>
  <c r="Y21" i="60"/>
  <c r="Y35" i="60"/>
  <c r="Y37" i="60"/>
  <c r="Y39" i="60"/>
  <c r="Y40" i="60" s="1"/>
  <c r="Y41" i="60"/>
  <c r="Y42" i="60" s="1"/>
  <c r="Y47" i="60"/>
  <c r="AB4" i="60" l="1"/>
  <c r="AC4" i="60" s="1"/>
  <c r="AD4" i="60" s="1"/>
  <c r="AE4" i="60" s="1"/>
  <c r="AF4" i="60" s="1"/>
  <c r="AG4" i="60" s="1"/>
  <c r="AH4" i="60" s="1"/>
  <c r="AI4" i="60" s="1"/>
  <c r="AJ4" i="60" s="1"/>
  <c r="AK4" i="60" s="1"/>
  <c r="AL4" i="60" s="1"/>
  <c r="AM4" i="60" s="1"/>
  <c r="AN4" i="60" s="1"/>
  <c r="AO4" i="60" s="1"/>
  <c r="AP4" i="60" s="1"/>
  <c r="AQ4" i="60" s="1"/>
  <c r="AR4" i="60" s="1"/>
  <c r="AS4" i="60" s="1"/>
  <c r="AT4" i="60" s="1"/>
  <c r="AU4" i="60" s="1"/>
  <c r="AV4" i="60" s="1"/>
  <c r="AW4" i="60" s="1"/>
  <c r="AX4" i="60" s="1"/>
  <c r="AY4" i="60" s="1"/>
  <c r="AZ4" i="60" s="1"/>
  <c r="BA4" i="60" s="1"/>
  <c r="D77" i="61"/>
  <c r="D78" i="61"/>
  <c r="I1" i="61"/>
  <c r="D64" i="61"/>
  <c r="G64" i="61"/>
  <c r="D75" i="61"/>
  <c r="G75" i="61" s="1"/>
  <c r="D76" i="61"/>
  <c r="G76" i="61" s="1"/>
  <c r="L46" i="48"/>
  <c r="L44" i="48"/>
  <c r="L43" i="48"/>
  <c r="L42" i="48"/>
  <c r="L41" i="48"/>
  <c r="L37" i="48"/>
  <c r="L34" i="48"/>
  <c r="L33" i="48"/>
  <c r="L32" i="48"/>
  <c r="L30" i="48"/>
  <c r="L29" i="48"/>
  <c r="I78" i="61" l="1"/>
  <c r="G78" i="61"/>
  <c r="I77" i="61"/>
  <c r="G77" i="61"/>
  <c r="C18" i="60"/>
  <c r="C17" i="60"/>
  <c r="C16" i="60"/>
  <c r="D16" i="60" s="1"/>
  <c r="E16" i="60" s="1"/>
  <c r="F16" i="60" s="1"/>
  <c r="G16" i="60" s="1"/>
  <c r="H16" i="60" s="1"/>
  <c r="I16" i="60" s="1"/>
  <c r="J16" i="60" s="1"/>
  <c r="K16" i="60" s="1"/>
  <c r="L16" i="60" s="1"/>
  <c r="M16" i="60" s="1"/>
  <c r="N16" i="60" s="1"/>
  <c r="O16" i="60" s="1"/>
  <c r="P16" i="60" s="1"/>
  <c r="Q16" i="60" s="1"/>
  <c r="R16" i="60" s="1"/>
  <c r="S16" i="60" s="1"/>
  <c r="T16" i="60" s="1"/>
  <c r="U16" i="60" s="1"/>
  <c r="V16" i="60" s="1"/>
  <c r="W16" i="60" s="1"/>
  <c r="X16" i="60" s="1"/>
  <c r="Y16" i="60" s="1"/>
  <c r="Z16" i="60" s="1"/>
  <c r="AA16" i="60" s="1"/>
  <c r="AB16" i="60" s="1"/>
  <c r="AC16" i="60" s="1"/>
  <c r="AD16" i="60" s="1"/>
  <c r="AE16" i="60" s="1"/>
  <c r="AF16" i="60" s="1"/>
  <c r="AG16" i="60" s="1"/>
  <c r="AH16" i="60" s="1"/>
  <c r="AI16" i="60" s="1"/>
  <c r="AJ16" i="60" s="1"/>
  <c r="AK16" i="60" s="1"/>
  <c r="AL16" i="60" s="1"/>
  <c r="AM16" i="60" s="1"/>
  <c r="AN16" i="60" s="1"/>
  <c r="AO16" i="60" s="1"/>
  <c r="AP16" i="60" s="1"/>
  <c r="AQ16" i="60" s="1"/>
  <c r="AR16" i="60" s="1"/>
  <c r="AS16" i="60" s="1"/>
  <c r="AT16" i="60" s="1"/>
  <c r="AU16" i="60" s="1"/>
  <c r="AV16" i="60" s="1"/>
  <c r="AW16" i="60" s="1"/>
  <c r="AX16" i="60" s="1"/>
  <c r="AY16" i="60" s="1"/>
  <c r="AZ16" i="60" s="1"/>
  <c r="BA16" i="60" s="1"/>
  <c r="C15" i="60"/>
  <c r="D15" i="60" s="1"/>
  <c r="E15" i="60" s="1"/>
  <c r="F15" i="60" s="1"/>
  <c r="G15" i="60" s="1"/>
  <c r="H15" i="60" s="1"/>
  <c r="I15" i="60" s="1"/>
  <c r="J15" i="60" s="1"/>
  <c r="K15" i="60" s="1"/>
  <c r="L15" i="60" s="1"/>
  <c r="M15" i="60" s="1"/>
  <c r="N15" i="60" s="1"/>
  <c r="O15" i="60" s="1"/>
  <c r="P15" i="60" s="1"/>
  <c r="Q15" i="60" s="1"/>
  <c r="R15" i="60" s="1"/>
  <c r="S15" i="60" s="1"/>
  <c r="T15" i="60" s="1"/>
  <c r="U15" i="60" s="1"/>
  <c r="V15" i="60" s="1"/>
  <c r="W15" i="60" s="1"/>
  <c r="X15" i="60" s="1"/>
  <c r="Y15" i="60" s="1"/>
  <c r="Z15" i="60" s="1"/>
  <c r="AA15" i="60" s="1"/>
  <c r="AB15" i="60" s="1"/>
  <c r="AC15" i="60" s="1"/>
  <c r="AD15" i="60" s="1"/>
  <c r="AE15" i="60" s="1"/>
  <c r="AF15" i="60" s="1"/>
  <c r="AG15" i="60" s="1"/>
  <c r="AH15" i="60" s="1"/>
  <c r="AI15" i="60" s="1"/>
  <c r="AJ15" i="60" s="1"/>
  <c r="AK15" i="60" s="1"/>
  <c r="AL15" i="60" s="1"/>
  <c r="AM15" i="60" s="1"/>
  <c r="AN15" i="60" s="1"/>
  <c r="AO15" i="60" s="1"/>
  <c r="AP15" i="60" s="1"/>
  <c r="AQ15" i="60" s="1"/>
  <c r="AR15" i="60" s="1"/>
  <c r="AS15" i="60" s="1"/>
  <c r="AT15" i="60" s="1"/>
  <c r="AU15" i="60" s="1"/>
  <c r="AV15" i="60" s="1"/>
  <c r="AW15" i="60" s="1"/>
  <c r="AX15" i="60" s="1"/>
  <c r="AY15" i="60" s="1"/>
  <c r="AZ15" i="60" s="1"/>
  <c r="BA15" i="60" s="1"/>
  <c r="C11" i="60"/>
  <c r="D11" i="60" s="1"/>
  <c r="E11" i="60" s="1"/>
  <c r="F11" i="60" s="1"/>
  <c r="G11" i="60" s="1"/>
  <c r="H11" i="60" s="1"/>
  <c r="I11" i="60" s="1"/>
  <c r="J11" i="60" s="1"/>
  <c r="K11" i="60" s="1"/>
  <c r="L11" i="60" s="1"/>
  <c r="M11" i="60" s="1"/>
  <c r="N11" i="60" s="1"/>
  <c r="O11" i="60" s="1"/>
  <c r="P11" i="60" s="1"/>
  <c r="Q11" i="60" s="1"/>
  <c r="R11" i="60" s="1"/>
  <c r="S11" i="60" s="1"/>
  <c r="T11" i="60" s="1"/>
  <c r="U11" i="60" s="1"/>
  <c r="V11" i="60" s="1"/>
  <c r="W11" i="60" s="1"/>
  <c r="X11" i="60" s="1"/>
  <c r="Y11" i="60" s="1"/>
  <c r="C10" i="60"/>
  <c r="D10" i="60" s="1"/>
  <c r="E10" i="60" s="1"/>
  <c r="F10" i="60" s="1"/>
  <c r="G10" i="60" s="1"/>
  <c r="H10" i="60" s="1"/>
  <c r="I10" i="60" s="1"/>
  <c r="J10" i="60" s="1"/>
  <c r="K10" i="60" s="1"/>
  <c r="L10" i="60" s="1"/>
  <c r="M10" i="60" s="1"/>
  <c r="N10" i="60" s="1"/>
  <c r="O10" i="60" s="1"/>
  <c r="P10" i="60" s="1"/>
  <c r="Q10" i="60" s="1"/>
  <c r="R10" i="60" s="1"/>
  <c r="S10" i="60" s="1"/>
  <c r="T10" i="60" s="1"/>
  <c r="U10" i="60" s="1"/>
  <c r="V10" i="60" s="1"/>
  <c r="W10" i="60" s="1"/>
  <c r="X10" i="60" s="1"/>
  <c r="Y10" i="60" s="1"/>
  <c r="D17" i="60" l="1"/>
  <c r="C62" i="60"/>
  <c r="D18" i="60"/>
  <c r="C64" i="60"/>
  <c r="Z10" i="60"/>
  <c r="Z11" i="60"/>
  <c r="X47" i="60"/>
  <c r="W47" i="60"/>
  <c r="V47" i="60"/>
  <c r="U47" i="60"/>
  <c r="T47" i="60"/>
  <c r="S47" i="60"/>
  <c r="R47" i="60"/>
  <c r="Q47" i="60"/>
  <c r="P47" i="60"/>
  <c r="O47" i="60"/>
  <c r="N47" i="60"/>
  <c r="M47" i="60"/>
  <c r="L47" i="60"/>
  <c r="K47" i="60"/>
  <c r="J47" i="60"/>
  <c r="I47" i="60"/>
  <c r="H47" i="60"/>
  <c r="G47" i="60"/>
  <c r="F47" i="60"/>
  <c r="E47" i="60"/>
  <c r="D47" i="60"/>
  <c r="C47" i="60"/>
  <c r="B47" i="60"/>
  <c r="K92" i="61" s="1"/>
  <c r="X21" i="60"/>
  <c r="W21" i="60"/>
  <c r="V21" i="60"/>
  <c r="U21" i="60"/>
  <c r="T21" i="60"/>
  <c r="S21" i="60"/>
  <c r="R21" i="60"/>
  <c r="Q21" i="60"/>
  <c r="P21" i="60"/>
  <c r="O21" i="60"/>
  <c r="N21" i="60"/>
  <c r="M21" i="60"/>
  <c r="L21" i="60"/>
  <c r="K21" i="60"/>
  <c r="J21" i="60"/>
  <c r="I21" i="60"/>
  <c r="H21" i="60"/>
  <c r="G21" i="60"/>
  <c r="F21" i="60"/>
  <c r="E21" i="60"/>
  <c r="D21" i="60"/>
  <c r="C21" i="60"/>
  <c r="B21" i="60"/>
  <c r="E18" i="60" l="1"/>
  <c r="D64" i="60"/>
  <c r="E17" i="60"/>
  <c r="D62" i="60"/>
  <c r="K93" i="61"/>
  <c r="K94" i="61" s="1"/>
  <c r="K95" i="61" s="1"/>
  <c r="K96" i="61" s="1"/>
  <c r="K97" i="61" s="1"/>
  <c r="K98" i="61" s="1"/>
  <c r="K99" i="61" s="1"/>
  <c r="K147" i="61"/>
  <c r="K84" i="61"/>
  <c r="AA10" i="60"/>
  <c r="AA11" i="60"/>
  <c r="B69" i="60"/>
  <c r="B70" i="60" s="1"/>
  <c r="B67" i="60"/>
  <c r="B68" i="60" s="1"/>
  <c r="B61" i="60"/>
  <c r="B65" i="60"/>
  <c r="B63" i="60"/>
  <c r="C35" i="60"/>
  <c r="C36" i="60" s="1"/>
  <c r="D35" i="60"/>
  <c r="D36" i="60" s="1"/>
  <c r="E35" i="60"/>
  <c r="F35" i="60"/>
  <c r="G35" i="60"/>
  <c r="H35" i="60"/>
  <c r="I35" i="60"/>
  <c r="J35" i="60"/>
  <c r="K35" i="60"/>
  <c r="L35" i="60"/>
  <c r="M35" i="60"/>
  <c r="N35" i="60"/>
  <c r="O35" i="60"/>
  <c r="P35" i="60"/>
  <c r="Q35" i="60"/>
  <c r="R35" i="60"/>
  <c r="S35" i="60"/>
  <c r="T35" i="60"/>
  <c r="U35" i="60"/>
  <c r="V35" i="60"/>
  <c r="W35" i="60"/>
  <c r="X35" i="60"/>
  <c r="C37" i="60"/>
  <c r="C38" i="60" s="1"/>
  <c r="D37" i="60"/>
  <c r="D38" i="60" s="1"/>
  <c r="E37" i="60"/>
  <c r="E38" i="60" s="1"/>
  <c r="F37" i="60"/>
  <c r="G37" i="60"/>
  <c r="H37" i="60"/>
  <c r="I37" i="60"/>
  <c r="J37" i="60"/>
  <c r="K37" i="60"/>
  <c r="L37" i="60"/>
  <c r="M37" i="60"/>
  <c r="N37" i="60"/>
  <c r="O37" i="60"/>
  <c r="P37" i="60"/>
  <c r="Q37" i="60"/>
  <c r="R37" i="60"/>
  <c r="S37" i="60"/>
  <c r="T37" i="60"/>
  <c r="U37" i="60"/>
  <c r="V37" i="60"/>
  <c r="W37" i="60"/>
  <c r="X37" i="60"/>
  <c r="C39" i="60"/>
  <c r="C40" i="60" s="1"/>
  <c r="D39" i="60"/>
  <c r="D40" i="60" s="1"/>
  <c r="E39" i="60"/>
  <c r="E40" i="60" s="1"/>
  <c r="F39" i="60"/>
  <c r="F40" i="60" s="1"/>
  <c r="G39" i="60"/>
  <c r="G40" i="60" s="1"/>
  <c r="H39" i="60"/>
  <c r="H40" i="60" s="1"/>
  <c r="I39" i="60"/>
  <c r="I40" i="60" s="1"/>
  <c r="J39" i="60"/>
  <c r="J40" i="60" s="1"/>
  <c r="K39" i="60"/>
  <c r="K40" i="60" s="1"/>
  <c r="L39" i="60"/>
  <c r="L40" i="60" s="1"/>
  <c r="M39" i="60"/>
  <c r="M40" i="60" s="1"/>
  <c r="N39" i="60"/>
  <c r="N40" i="60" s="1"/>
  <c r="O39" i="60"/>
  <c r="O40" i="60" s="1"/>
  <c r="P39" i="60"/>
  <c r="P40" i="60" s="1"/>
  <c r="Q39" i="60"/>
  <c r="Q40" i="60" s="1"/>
  <c r="R39" i="60"/>
  <c r="R40" i="60" s="1"/>
  <c r="S39" i="60"/>
  <c r="S40" i="60" s="1"/>
  <c r="T39" i="60"/>
  <c r="T40" i="60" s="1"/>
  <c r="U39" i="60"/>
  <c r="U40" i="60" s="1"/>
  <c r="V39" i="60"/>
  <c r="V40" i="60" s="1"/>
  <c r="W39" i="60"/>
  <c r="W40" i="60" s="1"/>
  <c r="X39" i="60"/>
  <c r="X40" i="60" s="1"/>
  <c r="C41" i="60"/>
  <c r="C42" i="60" s="1"/>
  <c r="D41" i="60"/>
  <c r="D42" i="60" s="1"/>
  <c r="E41" i="60"/>
  <c r="E42" i="60" s="1"/>
  <c r="F41" i="60"/>
  <c r="F42" i="60" s="1"/>
  <c r="G41" i="60"/>
  <c r="G42" i="60" s="1"/>
  <c r="H41" i="60"/>
  <c r="H42" i="60" s="1"/>
  <c r="I41" i="60"/>
  <c r="I42" i="60" s="1"/>
  <c r="J41" i="60"/>
  <c r="J42" i="60" s="1"/>
  <c r="K41" i="60"/>
  <c r="K42" i="60" s="1"/>
  <c r="L41" i="60"/>
  <c r="L42" i="60" s="1"/>
  <c r="M41" i="60"/>
  <c r="M42" i="60" s="1"/>
  <c r="N41" i="60"/>
  <c r="N42" i="60" s="1"/>
  <c r="O41" i="60"/>
  <c r="O42" i="60" s="1"/>
  <c r="P41" i="60"/>
  <c r="P42" i="60" s="1"/>
  <c r="Q41" i="60"/>
  <c r="Q42" i="60" s="1"/>
  <c r="R41" i="60"/>
  <c r="R42" i="60" s="1"/>
  <c r="S41" i="60"/>
  <c r="S42" i="60" s="1"/>
  <c r="T41" i="60"/>
  <c r="T42" i="60" s="1"/>
  <c r="U41" i="60"/>
  <c r="U42" i="60" s="1"/>
  <c r="V41" i="60"/>
  <c r="V42" i="60" s="1"/>
  <c r="W41" i="60"/>
  <c r="W42" i="60" s="1"/>
  <c r="X41" i="60"/>
  <c r="X42" i="60" s="1"/>
  <c r="B44" i="60"/>
  <c r="B41" i="60"/>
  <c r="B39" i="60"/>
  <c r="D87" i="61" s="1"/>
  <c r="B37" i="60"/>
  <c r="B35" i="60"/>
  <c r="E36" i="60" l="1"/>
  <c r="F17" i="60"/>
  <c r="F36" i="60" s="1"/>
  <c r="E62" i="60"/>
  <c r="F18" i="60"/>
  <c r="F38" i="60" s="1"/>
  <c r="E64" i="60"/>
  <c r="D88" i="61"/>
  <c r="B42" i="60"/>
  <c r="F88" i="61" s="1"/>
  <c r="F97" i="61"/>
  <c r="D97" i="61"/>
  <c r="B36" i="60"/>
  <c r="F85" i="61" s="1"/>
  <c r="D85" i="61"/>
  <c r="F96" i="61"/>
  <c r="D96" i="61"/>
  <c r="B38" i="60"/>
  <c r="F86" i="61" s="1"/>
  <c r="D86" i="61"/>
  <c r="B64" i="60"/>
  <c r="F94" i="61" s="1"/>
  <c r="D94" i="61"/>
  <c r="B62" i="60"/>
  <c r="F93" i="61" s="1"/>
  <c r="D93" i="61"/>
  <c r="F89" i="61"/>
  <c r="D89" i="61"/>
  <c r="B66" i="60"/>
  <c r="F95" i="61" s="1"/>
  <c r="D95" i="61"/>
  <c r="K85" i="61"/>
  <c r="K86" i="61" s="1"/>
  <c r="K87" i="61" s="1"/>
  <c r="K88" i="61" s="1"/>
  <c r="K89" i="61" s="1"/>
  <c r="K90" i="61" s="1"/>
  <c r="K91" i="61" s="1"/>
  <c r="K133" i="61"/>
  <c r="K156" i="61"/>
  <c r="K148" i="61"/>
  <c r="K152" i="61"/>
  <c r="K151" i="61"/>
  <c r="K150" i="61"/>
  <c r="K149" i="61"/>
  <c r="K155" i="61"/>
  <c r="K154" i="61"/>
  <c r="K153" i="61"/>
  <c r="K158" i="61"/>
  <c r="K157" i="61"/>
  <c r="AB11" i="60"/>
  <c r="AB10" i="60"/>
  <c r="B40" i="60"/>
  <c r="F87" i="61" s="1"/>
  <c r="M3" i="61"/>
  <c r="C30" i="16"/>
  <c r="D28" i="16"/>
  <c r="A122" i="61"/>
  <c r="A113" i="61"/>
  <c r="A32" i="61"/>
  <c r="K106" i="61"/>
  <c r="A115" i="61" s="1"/>
  <c r="G18" i="60" l="1"/>
  <c r="F64" i="60"/>
  <c r="G17" i="60"/>
  <c r="F62" i="60"/>
  <c r="K139" i="61"/>
  <c r="K145" i="61"/>
  <c r="K136" i="61"/>
  <c r="K143" i="61"/>
  <c r="K142" i="61"/>
  <c r="K141" i="61"/>
  <c r="K140" i="61"/>
  <c r="K138" i="61"/>
  <c r="K137" i="61"/>
  <c r="K144" i="61"/>
  <c r="K135" i="61"/>
  <c r="K134" i="61"/>
  <c r="AC10" i="60"/>
  <c r="AC11" i="60"/>
  <c r="K120" i="61"/>
  <c r="K104" i="61"/>
  <c r="K107" i="61"/>
  <c r="H17" i="60" l="1"/>
  <c r="G62" i="60"/>
  <c r="G36" i="60"/>
  <c r="H18" i="60"/>
  <c r="G64" i="60"/>
  <c r="G38" i="60"/>
  <c r="AD11" i="60"/>
  <c r="AD10" i="60"/>
  <c r="A53" i="61"/>
  <c r="I18" i="60" l="1"/>
  <c r="H64" i="60"/>
  <c r="H38" i="60"/>
  <c r="I17" i="60"/>
  <c r="H62" i="60"/>
  <c r="H36" i="60"/>
  <c r="AE11" i="60"/>
  <c r="AE10" i="60"/>
  <c r="K105" i="61"/>
  <c r="F84" i="61"/>
  <c r="B70" i="61"/>
  <c r="A60" i="61"/>
  <c r="I76" i="61"/>
  <c r="I75" i="61"/>
  <c r="J17" i="60" l="1"/>
  <c r="I62" i="60"/>
  <c r="I36" i="60"/>
  <c r="J18" i="60"/>
  <c r="I64" i="60"/>
  <c r="I38" i="60"/>
  <c r="AF10" i="60"/>
  <c r="AF11" i="60"/>
  <c r="F92" i="61"/>
  <c r="K124" i="61" s="1"/>
  <c r="K121" i="61"/>
  <c r="K18" i="60" l="1"/>
  <c r="J64" i="60"/>
  <c r="J38" i="60"/>
  <c r="K17" i="60"/>
  <c r="J62" i="60"/>
  <c r="J36" i="60"/>
  <c r="AG10" i="60"/>
  <c r="AG11" i="60"/>
  <c r="A22" i="61"/>
  <c r="K117" i="61"/>
  <c r="I45" i="61"/>
  <c r="G45" i="61"/>
  <c r="D45" i="61"/>
  <c r="A45" i="61"/>
  <c r="A27" i="61"/>
  <c r="G1" i="61"/>
  <c r="G129" i="61" s="1"/>
  <c r="L17" i="60" l="1"/>
  <c r="K62" i="60"/>
  <c r="K36" i="60"/>
  <c r="L18" i="60"/>
  <c r="K64" i="60"/>
  <c r="K38" i="60"/>
  <c r="AH10" i="60"/>
  <c r="AH11" i="60"/>
  <c r="G50" i="61"/>
  <c r="G100" i="61"/>
  <c r="K119" i="61"/>
  <c r="K118" i="61"/>
  <c r="J142" i="33"/>
  <c r="M18" i="60" l="1"/>
  <c r="L64" i="60"/>
  <c r="L38" i="60"/>
  <c r="M17" i="60"/>
  <c r="L62" i="60"/>
  <c r="L36" i="60"/>
  <c r="AI11" i="60"/>
  <c r="AI10" i="60"/>
  <c r="K115" i="61"/>
  <c r="K116" i="61" s="1"/>
  <c r="K113" i="61"/>
  <c r="K114" i="61" s="1"/>
  <c r="K125" i="61"/>
  <c r="K126" i="61" s="1"/>
  <c r="K127" i="61" s="1"/>
  <c r="K128" i="61" s="1"/>
  <c r="K993" i="57"/>
  <c r="K994" i="57" s="1"/>
  <c r="N17" i="60" l="1"/>
  <c r="M62" i="60"/>
  <c r="M36" i="60"/>
  <c r="N18" i="60"/>
  <c r="M64" i="60"/>
  <c r="M38" i="60"/>
  <c r="AJ10" i="60"/>
  <c r="AJ11" i="60"/>
  <c r="K108" i="61"/>
  <c r="K122" i="61"/>
  <c r="K123" i="61" s="1"/>
  <c r="A977" i="57"/>
  <c r="A976" i="57"/>
  <c r="G977" i="57"/>
  <c r="K977" i="57" s="1"/>
  <c r="G976" i="57"/>
  <c r="K976" i="57" s="1"/>
  <c r="G975" i="57"/>
  <c r="K975" i="57" s="1"/>
  <c r="A975" i="57"/>
  <c r="J936" i="56"/>
  <c r="J935" i="56" s="1"/>
  <c r="I977" i="57" s="1"/>
  <c r="G936" i="56"/>
  <c r="G935" i="56" s="1"/>
  <c r="I976" i="57" s="1"/>
  <c r="D935" i="56"/>
  <c r="I975" i="57" s="1"/>
  <c r="J934" i="56"/>
  <c r="G934" i="56"/>
  <c r="D934" i="56"/>
  <c r="A881" i="57"/>
  <c r="A880" i="57"/>
  <c r="G881" i="57"/>
  <c r="K881" i="57" s="1"/>
  <c r="G880" i="57"/>
  <c r="K880" i="57" s="1"/>
  <c r="G879" i="57"/>
  <c r="K879" i="57" s="1"/>
  <c r="A879" i="57"/>
  <c r="J845" i="56"/>
  <c r="J844" i="56" s="1"/>
  <c r="I881" i="57" s="1"/>
  <c r="G845" i="56"/>
  <c r="G844" i="56" s="1"/>
  <c r="I880" i="57" s="1"/>
  <c r="D844" i="56"/>
  <c r="I879" i="57" s="1"/>
  <c r="J843" i="56"/>
  <c r="G843" i="56"/>
  <c r="D843" i="56"/>
  <c r="G785" i="57"/>
  <c r="K785" i="57" s="1"/>
  <c r="G784" i="57"/>
  <c r="K784" i="57" s="1"/>
  <c r="G783" i="57"/>
  <c r="K783" i="57" s="1"/>
  <c r="A785" i="57"/>
  <c r="A784" i="57"/>
  <c r="A783" i="57"/>
  <c r="J754" i="56"/>
  <c r="J753" i="56" s="1"/>
  <c r="I785" i="57" s="1"/>
  <c r="AB90" i="57" s="1"/>
  <c r="G754" i="56"/>
  <c r="G753" i="56" s="1"/>
  <c r="I784" i="57" s="1"/>
  <c r="AB89" i="57" s="1"/>
  <c r="D753" i="56"/>
  <c r="I783" i="57" s="1"/>
  <c r="AB88" i="57" s="1"/>
  <c r="J752" i="56"/>
  <c r="G752" i="56"/>
  <c r="D752" i="56"/>
  <c r="G689" i="57"/>
  <c r="K689" i="57" s="1"/>
  <c r="G688" i="57"/>
  <c r="G687" i="57"/>
  <c r="A689" i="57"/>
  <c r="A688" i="57"/>
  <c r="A687" i="57"/>
  <c r="J663" i="56"/>
  <c r="J662" i="56" s="1"/>
  <c r="I689" i="57" s="1"/>
  <c r="AA90" i="57" s="1"/>
  <c r="G663" i="56"/>
  <c r="G662" i="56" s="1"/>
  <c r="I688" i="57" s="1"/>
  <c r="AA89" i="57" s="1"/>
  <c r="D662" i="56"/>
  <c r="I687" i="57" s="1"/>
  <c r="AA88" i="57" s="1"/>
  <c r="J661" i="56"/>
  <c r="G661" i="56"/>
  <c r="D661" i="56"/>
  <c r="G593" i="57"/>
  <c r="K593" i="57" s="1"/>
  <c r="G592" i="57"/>
  <c r="K592" i="57" s="1"/>
  <c r="G591" i="57"/>
  <c r="K591" i="57" s="1"/>
  <c r="A593" i="57"/>
  <c r="A592" i="57"/>
  <c r="A591" i="57"/>
  <c r="J572" i="56"/>
  <c r="J571" i="56" s="1"/>
  <c r="I593" i="57" s="1"/>
  <c r="Z90" i="57" s="1"/>
  <c r="G572" i="56"/>
  <c r="G571" i="56" s="1"/>
  <c r="I592" i="57" s="1"/>
  <c r="Z89" i="57" s="1"/>
  <c r="D571" i="56"/>
  <c r="I591" i="57" s="1"/>
  <c r="Z88" i="57" s="1"/>
  <c r="J570" i="56"/>
  <c r="G570" i="56"/>
  <c r="D570" i="56"/>
  <c r="G497" i="57"/>
  <c r="K497" i="57" s="1"/>
  <c r="G496" i="57"/>
  <c r="K496" i="57" s="1"/>
  <c r="G495" i="57"/>
  <c r="K495" i="57" s="1"/>
  <c r="A497" i="57"/>
  <c r="A496" i="57"/>
  <c r="A495" i="57"/>
  <c r="J481" i="56"/>
  <c r="J480" i="56" s="1"/>
  <c r="I497" i="57" s="1"/>
  <c r="Y90" i="57" s="1"/>
  <c r="G481" i="56"/>
  <c r="G480" i="56" s="1"/>
  <c r="I496" i="57" s="1"/>
  <c r="Y89" i="57" s="1"/>
  <c r="D480" i="56"/>
  <c r="I495" i="57" s="1"/>
  <c r="Y88" i="57" s="1"/>
  <c r="J479" i="56"/>
  <c r="G479" i="56"/>
  <c r="D479" i="56"/>
  <c r="G305" i="57"/>
  <c r="K305" i="57" s="1"/>
  <c r="G304" i="57"/>
  <c r="K304" i="57" s="1"/>
  <c r="G303" i="57"/>
  <c r="K303" i="57" s="1"/>
  <c r="G401" i="57"/>
  <c r="K401" i="57" s="1"/>
  <c r="G400" i="57"/>
  <c r="K400" i="57" s="1"/>
  <c r="G399" i="57"/>
  <c r="K399" i="57" s="1"/>
  <c r="A401" i="57"/>
  <c r="A400" i="57"/>
  <c r="A399" i="57"/>
  <c r="J390" i="56"/>
  <c r="J389" i="56" s="1"/>
  <c r="I401" i="57" s="1"/>
  <c r="X90" i="57" s="1"/>
  <c r="G390" i="56"/>
  <c r="G389" i="56" s="1"/>
  <c r="I400" i="57" s="1"/>
  <c r="X89" i="57" s="1"/>
  <c r="D389" i="56"/>
  <c r="I399" i="57" s="1"/>
  <c r="X88" i="57" s="1"/>
  <c r="J388" i="56"/>
  <c r="G388" i="56"/>
  <c r="D388" i="56"/>
  <c r="A305" i="57"/>
  <c r="A304" i="57"/>
  <c r="A303" i="57"/>
  <c r="J299" i="56"/>
  <c r="J298" i="56" s="1"/>
  <c r="I305" i="57" s="1"/>
  <c r="W90" i="57" s="1"/>
  <c r="G299" i="56"/>
  <c r="G298" i="56" s="1"/>
  <c r="I304" i="57" s="1"/>
  <c r="W89" i="57" s="1"/>
  <c r="D298" i="56"/>
  <c r="I303" i="57" s="1"/>
  <c r="W88" i="57" s="1"/>
  <c r="J297" i="56"/>
  <c r="G297" i="56"/>
  <c r="D297" i="56"/>
  <c r="G209" i="57"/>
  <c r="K209" i="57" s="1"/>
  <c r="G208" i="57"/>
  <c r="K208" i="57" s="1"/>
  <c r="G207" i="57"/>
  <c r="K207" i="57" s="1"/>
  <c r="A209" i="57"/>
  <c r="A208" i="57"/>
  <c r="A207" i="57"/>
  <c r="J208" i="56"/>
  <c r="J207" i="56" s="1"/>
  <c r="I209" i="57" s="1"/>
  <c r="V90" i="57" s="1"/>
  <c r="G208" i="56"/>
  <c r="G207" i="56" s="1"/>
  <c r="I208" i="57" s="1"/>
  <c r="V89" i="57" s="1"/>
  <c r="D207" i="56"/>
  <c r="I207" i="57" s="1"/>
  <c r="V88" i="57" s="1"/>
  <c r="J206" i="56"/>
  <c r="G206" i="56"/>
  <c r="D206" i="56"/>
  <c r="D902" i="56"/>
  <c r="D811" i="56"/>
  <c r="D720" i="56"/>
  <c r="D629" i="56"/>
  <c r="D538" i="56"/>
  <c r="D447" i="56"/>
  <c r="D356" i="56"/>
  <c r="D265" i="56"/>
  <c r="D174" i="56"/>
  <c r="D887" i="56"/>
  <c r="D796" i="56"/>
  <c r="D705" i="56"/>
  <c r="D614" i="56"/>
  <c r="D523" i="56"/>
  <c r="D432" i="56"/>
  <c r="D341" i="56"/>
  <c r="D250" i="56"/>
  <c r="D159" i="56"/>
  <c r="D874" i="56"/>
  <c r="B874" i="56"/>
  <c r="D873" i="56"/>
  <c r="B873" i="56"/>
  <c r="D783" i="56"/>
  <c r="B783" i="56"/>
  <c r="D782" i="56"/>
  <c r="B782" i="56"/>
  <c r="D692" i="56"/>
  <c r="B692" i="56"/>
  <c r="D691" i="56"/>
  <c r="B691" i="56"/>
  <c r="C691" i="56"/>
  <c r="D601" i="56"/>
  <c r="B601" i="56"/>
  <c r="D600" i="56"/>
  <c r="B600" i="56"/>
  <c r="D510" i="56"/>
  <c r="B510" i="56"/>
  <c r="D509" i="56"/>
  <c r="B509" i="56"/>
  <c r="D419" i="56"/>
  <c r="B419" i="56"/>
  <c r="D418" i="56"/>
  <c r="B418" i="56"/>
  <c r="D328" i="56"/>
  <c r="B328" i="56"/>
  <c r="D327" i="56"/>
  <c r="B327" i="56"/>
  <c r="D237" i="56"/>
  <c r="B237" i="56"/>
  <c r="D236" i="56"/>
  <c r="B236" i="56"/>
  <c r="D146" i="56"/>
  <c r="B146" i="56"/>
  <c r="D145" i="56"/>
  <c r="B145" i="56"/>
  <c r="D69" i="56"/>
  <c r="C54" i="56"/>
  <c r="C62" i="56"/>
  <c r="A1055" i="57"/>
  <c r="D111" i="56"/>
  <c r="O18" i="60" l="1"/>
  <c r="N64" i="60"/>
  <c r="N38" i="60"/>
  <c r="O17" i="60"/>
  <c r="N62" i="60"/>
  <c r="N36" i="60"/>
  <c r="AK10" i="60"/>
  <c r="AK11" i="60"/>
  <c r="K109" i="61"/>
  <c r="C873" i="56"/>
  <c r="C874" i="56" s="1"/>
  <c r="C782" i="56"/>
  <c r="C783" i="56" s="1"/>
  <c r="C692" i="56"/>
  <c r="C600" i="56"/>
  <c r="C601" i="56" s="1"/>
  <c r="C509" i="56"/>
  <c r="C510" i="56" s="1"/>
  <c r="C418" i="56"/>
  <c r="C327" i="56"/>
  <c r="C328" i="56" s="1"/>
  <c r="C236" i="56"/>
  <c r="C237" i="56" s="1"/>
  <c r="C145" i="56"/>
  <c r="C146" i="56" s="1"/>
  <c r="A113" i="57"/>
  <c r="A112" i="57"/>
  <c r="G113" i="57"/>
  <c r="K113" i="57" s="1"/>
  <c r="G112" i="57"/>
  <c r="K112" i="57" s="1"/>
  <c r="G111" i="57"/>
  <c r="K111" i="57" s="1"/>
  <c r="I111" i="57"/>
  <c r="U88" i="57" s="1"/>
  <c r="AC88" i="57" s="1"/>
  <c r="D110" i="56"/>
  <c r="D84" i="56"/>
  <c r="P17" i="60" l="1"/>
  <c r="O62" i="60"/>
  <c r="O36" i="60"/>
  <c r="P18" i="60"/>
  <c r="O64" i="60"/>
  <c r="O38" i="60"/>
  <c r="AL11" i="60"/>
  <c r="AL10" i="60"/>
  <c r="I86" i="26"/>
  <c r="Q18" i="60" l="1"/>
  <c r="P64" i="60"/>
  <c r="P38" i="60"/>
  <c r="Q17" i="60"/>
  <c r="P62" i="60"/>
  <c r="P36" i="60"/>
  <c r="AM11" i="60"/>
  <c r="AM10" i="60"/>
  <c r="R17" i="60" l="1"/>
  <c r="Q62" i="60"/>
  <c r="Q36" i="60"/>
  <c r="R18" i="60"/>
  <c r="Q64" i="60"/>
  <c r="Q38" i="60"/>
  <c r="AN11" i="60"/>
  <c r="AN10" i="60"/>
  <c r="C36" i="16"/>
  <c r="C35" i="16"/>
  <c r="D35" i="16" s="1"/>
  <c r="S18" i="60" l="1"/>
  <c r="R64" i="60"/>
  <c r="R38" i="60"/>
  <c r="S17" i="60"/>
  <c r="R62" i="60"/>
  <c r="R36" i="60"/>
  <c r="AO10" i="60"/>
  <c r="AO11" i="60"/>
  <c r="A195" i="39"/>
  <c r="T17" i="60" l="1"/>
  <c r="S62" i="60"/>
  <c r="S36" i="60"/>
  <c r="T18" i="60"/>
  <c r="S64" i="60"/>
  <c r="S38" i="60"/>
  <c r="AP10" i="60"/>
  <c r="AP11" i="60"/>
  <c r="I274" i="52"/>
  <c r="I273" i="52"/>
  <c r="K47" i="52"/>
  <c r="K48" i="52" s="1"/>
  <c r="K49" i="52"/>
  <c r="K50" i="52" s="1"/>
  <c r="K36" i="52"/>
  <c r="K37" i="52" s="1"/>
  <c r="S4" i="38"/>
  <c r="A207" i="32" s="1"/>
  <c r="U18" i="60" l="1"/>
  <c r="T64" i="60"/>
  <c r="T38" i="60"/>
  <c r="U17" i="60"/>
  <c r="T62" i="60"/>
  <c r="T36" i="60"/>
  <c r="AQ10" i="60"/>
  <c r="AQ11" i="60"/>
  <c r="A687" i="52"/>
  <c r="I1" i="59"/>
  <c r="I97" i="59" s="1"/>
  <c r="V17" i="60" l="1"/>
  <c r="U62" i="60"/>
  <c r="U36" i="60"/>
  <c r="V18" i="60"/>
  <c r="U64" i="60"/>
  <c r="U38" i="60"/>
  <c r="AR10" i="60"/>
  <c r="AR11" i="60"/>
  <c r="B4" i="50"/>
  <c r="A48" i="59"/>
  <c r="K302" i="59"/>
  <c r="K303" i="59" s="1"/>
  <c r="K379" i="59" s="1"/>
  <c r="K380" i="59" s="1"/>
  <c r="K222" i="59"/>
  <c r="K223" i="59" s="1"/>
  <c r="K299" i="59" s="1"/>
  <c r="K300" i="59" s="1"/>
  <c r="H305" i="59"/>
  <c r="H306" i="59" s="1"/>
  <c r="G305" i="59"/>
  <c r="G306" i="59" s="1"/>
  <c r="D306" i="59"/>
  <c r="F306" i="59" s="1"/>
  <c r="I306" i="59" s="1"/>
  <c r="D305" i="59"/>
  <c r="F305" i="59" s="1"/>
  <c r="I305" i="59" s="1"/>
  <c r="D304" i="59"/>
  <c r="F304" i="59" s="1"/>
  <c r="I304" i="59" s="1"/>
  <c r="A302" i="59"/>
  <c r="L308" i="59"/>
  <c r="L311" i="59" s="1"/>
  <c r="L314" i="59" s="1"/>
  <c r="L317" i="59" s="1"/>
  <c r="L320" i="59" s="1"/>
  <c r="L323" i="59" s="1"/>
  <c r="L326" i="59" s="1"/>
  <c r="L329" i="59" s="1"/>
  <c r="L332" i="59" s="1"/>
  <c r="L335" i="59" s="1"/>
  <c r="L338" i="59" s="1"/>
  <c r="L341" i="59" s="1"/>
  <c r="L344" i="59" s="1"/>
  <c r="L347" i="59" s="1"/>
  <c r="L350" i="59" s="1"/>
  <c r="L353" i="59" s="1"/>
  <c r="L356" i="59" s="1"/>
  <c r="L359" i="59" s="1"/>
  <c r="L362" i="59" s="1"/>
  <c r="L365" i="59" s="1"/>
  <c r="L368" i="59" s="1"/>
  <c r="L371" i="59" s="1"/>
  <c r="L374" i="59" s="1"/>
  <c r="L377" i="59" s="1"/>
  <c r="H377" i="59" s="1"/>
  <c r="H378" i="59" s="1"/>
  <c r="H225" i="59"/>
  <c r="H226" i="59" s="1"/>
  <c r="G225" i="59"/>
  <c r="G226" i="59" s="1"/>
  <c r="D226" i="59"/>
  <c r="F226" i="59" s="1"/>
  <c r="I226" i="59" s="1"/>
  <c r="D225" i="59"/>
  <c r="F225" i="59" s="1"/>
  <c r="I225" i="59" s="1"/>
  <c r="D224" i="59"/>
  <c r="F224" i="59" s="1"/>
  <c r="I224" i="59" s="1"/>
  <c r="L228" i="59"/>
  <c r="H145" i="59"/>
  <c r="H146" i="59" s="1"/>
  <c r="G145" i="59"/>
  <c r="G146" i="59" s="1"/>
  <c r="D146" i="59"/>
  <c r="D145" i="59"/>
  <c r="D144" i="59"/>
  <c r="L148" i="59"/>
  <c r="H148" i="59" s="1"/>
  <c r="H149" i="59" s="1"/>
  <c r="W18" i="60" l="1"/>
  <c r="V64" i="60"/>
  <c r="V38" i="60"/>
  <c r="W17" i="60"/>
  <c r="V62" i="60"/>
  <c r="V36" i="60"/>
  <c r="AS11" i="60"/>
  <c r="AS10" i="60"/>
  <c r="C4" i="50"/>
  <c r="D4" i="50" s="1"/>
  <c r="E4" i="50" s="1"/>
  <c r="F4" i="50" s="1"/>
  <c r="G4" i="50" s="1"/>
  <c r="H4" i="50" s="1"/>
  <c r="I4" i="50" s="1"/>
  <c r="J4" i="50" s="1"/>
  <c r="K4" i="50" s="1"/>
  <c r="L4" i="50" s="1"/>
  <c r="M4" i="50" s="1"/>
  <c r="N4" i="50" s="1"/>
  <c r="O4" i="50" s="1"/>
  <c r="P4" i="50" s="1"/>
  <c r="Q4" i="50" s="1"/>
  <c r="R4" i="50" s="1"/>
  <c r="S4" i="50" s="1"/>
  <c r="T4" i="50" s="1"/>
  <c r="U4" i="50" s="1"/>
  <c r="V4" i="50" s="1"/>
  <c r="W4" i="50" s="1"/>
  <c r="X4" i="50" s="1"/>
  <c r="Y4" i="50" s="1"/>
  <c r="Z4" i="50" s="1"/>
  <c r="D312" i="59"/>
  <c r="F312" i="59" s="1"/>
  <c r="I312" i="59" s="1"/>
  <c r="A145" i="59"/>
  <c r="A146" i="59" s="1"/>
  <c r="D326" i="59"/>
  <c r="F326" i="59" s="1"/>
  <c r="I326" i="59" s="1"/>
  <c r="D332" i="59"/>
  <c r="F332" i="59" s="1"/>
  <c r="I332" i="59" s="1"/>
  <c r="D345" i="59"/>
  <c r="F345" i="59" s="1"/>
  <c r="I345" i="59" s="1"/>
  <c r="G353" i="59"/>
  <c r="G354" i="59" s="1"/>
  <c r="G377" i="59"/>
  <c r="G378" i="59" s="1"/>
  <c r="H329" i="59"/>
  <c r="H330" i="59" s="1"/>
  <c r="D313" i="59"/>
  <c r="F313" i="59" s="1"/>
  <c r="I313" i="59" s="1"/>
  <c r="D360" i="59"/>
  <c r="F360" i="59" s="1"/>
  <c r="I360" i="59" s="1"/>
  <c r="G317" i="59"/>
  <c r="G318" i="59" s="1"/>
  <c r="D338" i="59"/>
  <c r="F338" i="59" s="1"/>
  <c r="I338" i="59" s="1"/>
  <c r="D361" i="59"/>
  <c r="F361" i="59" s="1"/>
  <c r="I361" i="59" s="1"/>
  <c r="G332" i="59"/>
  <c r="G333" i="59" s="1"/>
  <c r="H317" i="59"/>
  <c r="H318" i="59" s="1"/>
  <c r="D340" i="59"/>
  <c r="F340" i="59" s="1"/>
  <c r="I340" i="59" s="1"/>
  <c r="D369" i="59"/>
  <c r="F369" i="59" s="1"/>
  <c r="I369" i="59" s="1"/>
  <c r="D356" i="59"/>
  <c r="F356" i="59" s="1"/>
  <c r="I356" i="59" s="1"/>
  <c r="D320" i="59"/>
  <c r="F320" i="59" s="1"/>
  <c r="I320" i="59" s="1"/>
  <c r="G344" i="59"/>
  <c r="G343" i="59" s="1"/>
  <c r="H371" i="59"/>
  <c r="H370" i="59" s="1"/>
  <c r="D325" i="59"/>
  <c r="F325" i="59" s="1"/>
  <c r="I325" i="59" s="1"/>
  <c r="H344" i="59"/>
  <c r="H345" i="59" s="1"/>
  <c r="D377" i="59"/>
  <c r="F377" i="59" s="1"/>
  <c r="I377" i="59" s="1"/>
  <c r="A225" i="59"/>
  <c r="A224" i="59" s="1"/>
  <c r="K224" i="59" s="1"/>
  <c r="A305" i="59"/>
  <c r="A304" i="59" s="1"/>
  <c r="K304" i="59" s="1"/>
  <c r="D308" i="59"/>
  <c r="F308" i="59" s="1"/>
  <c r="I308" i="59" s="1"/>
  <c r="G320" i="59"/>
  <c r="G321" i="59" s="1"/>
  <c r="H332" i="59"/>
  <c r="H333" i="59" s="1"/>
  <c r="H347" i="59"/>
  <c r="H348" i="59" s="1"/>
  <c r="D364" i="59"/>
  <c r="F364" i="59" s="1"/>
  <c r="I364" i="59" s="1"/>
  <c r="H311" i="59"/>
  <c r="H312" i="59" s="1"/>
  <c r="D324" i="59"/>
  <c r="F324" i="59" s="1"/>
  <c r="I324" i="59" s="1"/>
  <c r="D337" i="59"/>
  <c r="F337" i="59" s="1"/>
  <c r="I337" i="59" s="1"/>
  <c r="G368" i="59"/>
  <c r="G369" i="59" s="1"/>
  <c r="D353" i="59"/>
  <c r="F353" i="59" s="1"/>
  <c r="I353" i="59" s="1"/>
  <c r="H368" i="59"/>
  <c r="H367" i="59" s="1"/>
  <c r="G308" i="59"/>
  <c r="G307" i="59" s="1"/>
  <c r="D314" i="59"/>
  <c r="F314" i="59" s="1"/>
  <c r="I314" i="59" s="1"/>
  <c r="H320" i="59"/>
  <c r="H321" i="59" s="1"/>
  <c r="D328" i="59"/>
  <c r="F328" i="59" s="1"/>
  <c r="I328" i="59" s="1"/>
  <c r="D333" i="59"/>
  <c r="F333" i="59" s="1"/>
  <c r="I333" i="59" s="1"/>
  <c r="D348" i="59"/>
  <c r="F348" i="59" s="1"/>
  <c r="I348" i="59" s="1"/>
  <c r="G356" i="59"/>
  <c r="G355" i="59" s="1"/>
  <c r="D372" i="59"/>
  <c r="F372" i="59" s="1"/>
  <c r="I372" i="59" s="1"/>
  <c r="H308" i="59"/>
  <c r="H309" i="59" s="1"/>
  <c r="D316" i="59"/>
  <c r="F316" i="59" s="1"/>
  <c r="I316" i="59" s="1"/>
  <c r="D321" i="59"/>
  <c r="F321" i="59" s="1"/>
  <c r="I321" i="59" s="1"/>
  <c r="D334" i="59"/>
  <c r="F334" i="59" s="1"/>
  <c r="I334" i="59" s="1"/>
  <c r="D341" i="59"/>
  <c r="F341" i="59" s="1"/>
  <c r="I341" i="59" s="1"/>
  <c r="D349" i="59"/>
  <c r="F349" i="59" s="1"/>
  <c r="I349" i="59" s="1"/>
  <c r="H356" i="59"/>
  <c r="H357" i="59" s="1"/>
  <c r="D365" i="59"/>
  <c r="F365" i="59" s="1"/>
  <c r="I365" i="59" s="1"/>
  <c r="D373" i="59"/>
  <c r="F373" i="59" s="1"/>
  <c r="I373" i="59" s="1"/>
  <c r="D309" i="59"/>
  <c r="F309" i="59" s="1"/>
  <c r="I309" i="59" s="1"/>
  <c r="D322" i="59"/>
  <c r="F322" i="59" s="1"/>
  <c r="I322" i="59" s="1"/>
  <c r="D329" i="59"/>
  <c r="F329" i="59" s="1"/>
  <c r="I329" i="59" s="1"/>
  <c r="H335" i="59"/>
  <c r="H334" i="59" s="1"/>
  <c r="G341" i="59"/>
  <c r="G340" i="59" s="1"/>
  <c r="D357" i="59"/>
  <c r="F357" i="59" s="1"/>
  <c r="I357" i="59" s="1"/>
  <c r="G365" i="59"/>
  <c r="G364" i="59" s="1"/>
  <c r="D310" i="59"/>
  <c r="F310" i="59" s="1"/>
  <c r="I310" i="59" s="1"/>
  <c r="D317" i="59"/>
  <c r="F317" i="59" s="1"/>
  <c r="I317" i="59" s="1"/>
  <c r="H323" i="59"/>
  <c r="H322" i="59" s="1"/>
  <c r="G329" i="59"/>
  <c r="G328" i="59" s="1"/>
  <c r="D336" i="59"/>
  <c r="F336" i="59" s="1"/>
  <c r="I336" i="59" s="1"/>
  <c r="D344" i="59"/>
  <c r="F344" i="59" s="1"/>
  <c r="I344" i="59" s="1"/>
  <c r="D352" i="59"/>
  <c r="F352" i="59" s="1"/>
  <c r="I352" i="59" s="1"/>
  <c r="H359" i="59"/>
  <c r="H360" i="59" s="1"/>
  <c r="D368" i="59"/>
  <c r="F368" i="59" s="1"/>
  <c r="I368" i="59" s="1"/>
  <c r="D376" i="59"/>
  <c r="F376" i="59" s="1"/>
  <c r="I376" i="59" s="1"/>
  <c r="L231" i="59"/>
  <c r="H228" i="59"/>
  <c r="H229" i="59" s="1"/>
  <c r="D229" i="59"/>
  <c r="F229" i="59" s="1"/>
  <c r="I229" i="59" s="1"/>
  <c r="G228" i="59"/>
  <c r="G229" i="59" s="1"/>
  <c r="D228" i="59"/>
  <c r="F228" i="59" s="1"/>
  <c r="I228" i="59" s="1"/>
  <c r="D227" i="59"/>
  <c r="F227" i="59" s="1"/>
  <c r="I227" i="59" s="1"/>
  <c r="D149" i="59"/>
  <c r="D148" i="59"/>
  <c r="D147" i="59"/>
  <c r="L151" i="59"/>
  <c r="G148" i="59"/>
  <c r="G149" i="59" s="1"/>
  <c r="D346" i="59"/>
  <c r="F346" i="59" s="1"/>
  <c r="I346" i="59" s="1"/>
  <c r="D358" i="59"/>
  <c r="F358" i="59" s="1"/>
  <c r="I358" i="59" s="1"/>
  <c r="H365" i="59"/>
  <c r="H364" i="59" s="1"/>
  <c r="D370" i="59"/>
  <c r="F370" i="59" s="1"/>
  <c r="I370" i="59" s="1"/>
  <c r="D374" i="59"/>
  <c r="F374" i="59" s="1"/>
  <c r="I374" i="59" s="1"/>
  <c r="G314" i="59"/>
  <c r="G315" i="59" s="1"/>
  <c r="D318" i="59"/>
  <c r="F318" i="59" s="1"/>
  <c r="I318" i="59" s="1"/>
  <c r="G326" i="59"/>
  <c r="G325" i="59" s="1"/>
  <c r="D330" i="59"/>
  <c r="F330" i="59" s="1"/>
  <c r="I330" i="59" s="1"/>
  <c r="G338" i="59"/>
  <c r="G339" i="59" s="1"/>
  <c r="D342" i="59"/>
  <c r="F342" i="59" s="1"/>
  <c r="I342" i="59" s="1"/>
  <c r="G350" i="59"/>
  <c r="G351" i="59" s="1"/>
  <c r="D354" i="59"/>
  <c r="F354" i="59" s="1"/>
  <c r="I354" i="59" s="1"/>
  <c r="G362" i="59"/>
  <c r="G363" i="59" s="1"/>
  <c r="D366" i="59"/>
  <c r="F366" i="59" s="1"/>
  <c r="I366" i="59" s="1"/>
  <c r="G374" i="59"/>
  <c r="G373" i="59" s="1"/>
  <c r="D378" i="59"/>
  <c r="F378" i="59" s="1"/>
  <c r="I378" i="59" s="1"/>
  <c r="H341" i="59"/>
  <c r="H340" i="59" s="1"/>
  <c r="D350" i="59"/>
  <c r="F350" i="59" s="1"/>
  <c r="I350" i="59" s="1"/>
  <c r="H353" i="59"/>
  <c r="H352" i="59" s="1"/>
  <c r="D362" i="59"/>
  <c r="F362" i="59" s="1"/>
  <c r="I362" i="59" s="1"/>
  <c r="D307" i="59"/>
  <c r="F307" i="59" s="1"/>
  <c r="I307" i="59" s="1"/>
  <c r="D311" i="59"/>
  <c r="F311" i="59" s="1"/>
  <c r="I311" i="59" s="1"/>
  <c r="H314" i="59"/>
  <c r="H315" i="59" s="1"/>
  <c r="D319" i="59"/>
  <c r="F319" i="59" s="1"/>
  <c r="I319" i="59" s="1"/>
  <c r="D323" i="59"/>
  <c r="F323" i="59" s="1"/>
  <c r="I323" i="59" s="1"/>
  <c r="H326" i="59"/>
  <c r="H325" i="59" s="1"/>
  <c r="D331" i="59"/>
  <c r="F331" i="59" s="1"/>
  <c r="I331" i="59" s="1"/>
  <c r="D335" i="59"/>
  <c r="F335" i="59" s="1"/>
  <c r="I335" i="59" s="1"/>
  <c r="H338" i="59"/>
  <c r="H337" i="59" s="1"/>
  <c r="D343" i="59"/>
  <c r="F343" i="59" s="1"/>
  <c r="I343" i="59" s="1"/>
  <c r="D347" i="59"/>
  <c r="F347" i="59" s="1"/>
  <c r="I347" i="59" s="1"/>
  <c r="H350" i="59"/>
  <c r="H351" i="59" s="1"/>
  <c r="D355" i="59"/>
  <c r="F355" i="59" s="1"/>
  <c r="I355" i="59" s="1"/>
  <c r="D359" i="59"/>
  <c r="F359" i="59" s="1"/>
  <c r="I359" i="59" s="1"/>
  <c r="H362" i="59"/>
  <c r="H363" i="59" s="1"/>
  <c r="D367" i="59"/>
  <c r="F367" i="59" s="1"/>
  <c r="I367" i="59" s="1"/>
  <c r="D371" i="59"/>
  <c r="F371" i="59" s="1"/>
  <c r="I371" i="59" s="1"/>
  <c r="H374" i="59"/>
  <c r="H375" i="59" s="1"/>
  <c r="G311" i="59"/>
  <c r="G312" i="59" s="1"/>
  <c r="D315" i="59"/>
  <c r="F315" i="59" s="1"/>
  <c r="I315" i="59" s="1"/>
  <c r="G323" i="59"/>
  <c r="G324" i="59" s="1"/>
  <c r="D327" i="59"/>
  <c r="F327" i="59" s="1"/>
  <c r="I327" i="59" s="1"/>
  <c r="G335" i="59"/>
  <c r="G336" i="59" s="1"/>
  <c r="D339" i="59"/>
  <c r="F339" i="59" s="1"/>
  <c r="I339" i="59" s="1"/>
  <c r="G347" i="59"/>
  <c r="G348" i="59" s="1"/>
  <c r="D351" i="59"/>
  <c r="F351" i="59" s="1"/>
  <c r="I351" i="59" s="1"/>
  <c r="G359" i="59"/>
  <c r="G360" i="59" s="1"/>
  <c r="D363" i="59"/>
  <c r="F363" i="59" s="1"/>
  <c r="I363" i="59" s="1"/>
  <c r="G371" i="59"/>
  <c r="G370" i="59" s="1"/>
  <c r="D375" i="59"/>
  <c r="F375" i="59" s="1"/>
  <c r="I375" i="59" s="1"/>
  <c r="K301" i="59"/>
  <c r="K221" i="59"/>
  <c r="H376" i="59"/>
  <c r="G304" i="59"/>
  <c r="H304" i="59"/>
  <c r="G224" i="59"/>
  <c r="H224" i="59"/>
  <c r="G144" i="59"/>
  <c r="H144" i="59"/>
  <c r="H147" i="59"/>
  <c r="A222" i="59"/>
  <c r="X17" i="60" l="1"/>
  <c r="W62" i="60"/>
  <c r="W36" i="60"/>
  <c r="X18" i="60"/>
  <c r="W64" i="60"/>
  <c r="W38" i="60"/>
  <c r="AT11" i="60"/>
  <c r="AT10" i="60"/>
  <c r="I129" i="61"/>
  <c r="I100" i="61"/>
  <c r="A311" i="59"/>
  <c r="A310" i="59" s="1"/>
  <c r="K310" i="59" s="1"/>
  <c r="A228" i="59"/>
  <c r="A227" i="59" s="1"/>
  <c r="K227" i="59" s="1"/>
  <c r="A314" i="59"/>
  <c r="A313" i="59" s="1"/>
  <c r="K313" i="59" s="1"/>
  <c r="A148" i="59"/>
  <c r="A147" i="59" s="1"/>
  <c r="K147" i="59" s="1"/>
  <c r="A308" i="59"/>
  <c r="A307" i="59" s="1"/>
  <c r="K307" i="59" s="1"/>
  <c r="I50" i="61"/>
  <c r="A144" i="59"/>
  <c r="G376" i="59"/>
  <c r="H328" i="59"/>
  <c r="A320" i="59"/>
  <c r="A319" i="59" s="1"/>
  <c r="K319" i="59" s="1"/>
  <c r="G352" i="59"/>
  <c r="A317" i="59"/>
  <c r="A316" i="59" s="1"/>
  <c r="K316" i="59" s="1"/>
  <c r="G345" i="59"/>
  <c r="A306" i="59"/>
  <c r="K306" i="59" s="1"/>
  <c r="A323" i="59"/>
  <c r="A324" i="59" s="1"/>
  <c r="K324" i="59" s="1"/>
  <c r="H343" i="59"/>
  <c r="H316" i="59"/>
  <c r="G316" i="59"/>
  <c r="K225" i="59"/>
  <c r="A226" i="59"/>
  <c r="K226" i="59" s="1"/>
  <c r="H331" i="59"/>
  <c r="G319" i="59"/>
  <c r="G331" i="59"/>
  <c r="H372" i="59"/>
  <c r="A326" i="59"/>
  <c r="G367" i="59"/>
  <c r="K305" i="59"/>
  <c r="H227" i="59"/>
  <c r="H346" i="59"/>
  <c r="G337" i="59"/>
  <c r="H313" i="59"/>
  <c r="G334" i="59"/>
  <c r="H307" i="59"/>
  <c r="H310" i="59"/>
  <c r="H319" i="59"/>
  <c r="G330" i="59"/>
  <c r="H369" i="59"/>
  <c r="H355" i="59"/>
  <c r="H373" i="59"/>
  <c r="G342" i="59"/>
  <c r="G375" i="59"/>
  <c r="H336" i="59"/>
  <c r="H324" i="59"/>
  <c r="G346" i="59"/>
  <c r="H339" i="59"/>
  <c r="G309" i="59"/>
  <c r="G366" i="59"/>
  <c r="G147" i="59"/>
  <c r="H327" i="59"/>
  <c r="H358" i="59"/>
  <c r="G357" i="59"/>
  <c r="D150" i="59"/>
  <c r="F150" i="59" s="1"/>
  <c r="I150" i="59" s="1"/>
  <c r="G151" i="59"/>
  <c r="H151" i="59"/>
  <c r="L154" i="59"/>
  <c r="A151" i="59"/>
  <c r="D152" i="59"/>
  <c r="F152" i="59" s="1"/>
  <c r="I152" i="59" s="1"/>
  <c r="D151" i="59"/>
  <c r="F151" i="59" s="1"/>
  <c r="I151" i="59" s="1"/>
  <c r="G227" i="59"/>
  <c r="G322" i="59"/>
  <c r="G327" i="59"/>
  <c r="H349" i="59"/>
  <c r="H354" i="59"/>
  <c r="G358" i="59"/>
  <c r="G349" i="59"/>
  <c r="G313" i="59"/>
  <c r="H361" i="59"/>
  <c r="G372" i="59"/>
  <c r="H366" i="59"/>
  <c r="G310" i="59"/>
  <c r="G361" i="59"/>
  <c r="H342" i="59"/>
  <c r="L234" i="59"/>
  <c r="D230" i="59"/>
  <c r="F230" i="59" s="1"/>
  <c r="I230" i="59" s="1"/>
  <c r="A231" i="59"/>
  <c r="G231" i="59"/>
  <c r="D232" i="59"/>
  <c r="F232" i="59" s="1"/>
  <c r="I232" i="59" s="1"/>
  <c r="D231" i="59"/>
  <c r="F231" i="59" s="1"/>
  <c r="I231" i="59" s="1"/>
  <c r="H231" i="59"/>
  <c r="K142" i="59"/>
  <c r="F149" i="59"/>
  <c r="I149" i="59" s="1"/>
  <c r="F148" i="59"/>
  <c r="I148" i="59" s="1"/>
  <c r="F147" i="59"/>
  <c r="I147" i="59" s="1"/>
  <c r="F146" i="59"/>
  <c r="I146" i="59" s="1"/>
  <c r="F145" i="59"/>
  <c r="I145" i="59" s="1"/>
  <c r="F144" i="59"/>
  <c r="I144" i="59" s="1"/>
  <c r="K146" i="59"/>
  <c r="A119" i="59"/>
  <c r="A60" i="59"/>
  <c r="I42" i="59"/>
  <c r="G42" i="59"/>
  <c r="D42" i="59"/>
  <c r="A42" i="59"/>
  <c r="K41" i="59"/>
  <c r="K42" i="59" s="1"/>
  <c r="K43" i="59" s="1"/>
  <c r="K44" i="59" s="1"/>
  <c r="A40" i="59"/>
  <c r="A39" i="59"/>
  <c r="I36" i="59"/>
  <c r="G36" i="59"/>
  <c r="D36" i="59"/>
  <c r="A36" i="59"/>
  <c r="A29" i="59"/>
  <c r="A25" i="59"/>
  <c r="A22" i="59"/>
  <c r="G1" i="59"/>
  <c r="G97" i="59" s="1"/>
  <c r="Y18" i="60" l="1"/>
  <c r="X64" i="60"/>
  <c r="X38" i="60"/>
  <c r="Y17" i="60"/>
  <c r="X62" i="60"/>
  <c r="X36" i="60"/>
  <c r="AU10" i="60"/>
  <c r="AU11" i="60"/>
  <c r="K228" i="59"/>
  <c r="A312" i="59"/>
  <c r="K312" i="59" s="1"/>
  <c r="A315" i="59"/>
  <c r="K315" i="59" s="1"/>
  <c r="K311" i="59"/>
  <c r="A229" i="59"/>
  <c r="K229" i="59" s="1"/>
  <c r="K314" i="59"/>
  <c r="A149" i="59"/>
  <c r="K149" i="59" s="1"/>
  <c r="A309" i="59"/>
  <c r="K309" i="59" s="1"/>
  <c r="K308" i="59"/>
  <c r="K320" i="59"/>
  <c r="A318" i="59"/>
  <c r="K318" i="59" s="1"/>
  <c r="K317" i="59"/>
  <c r="A321" i="59"/>
  <c r="K321" i="59" s="1"/>
  <c r="A322" i="59"/>
  <c r="K322" i="59" s="1"/>
  <c r="K323" i="59"/>
  <c r="A327" i="59"/>
  <c r="K327" i="59" s="1"/>
  <c r="K326" i="59"/>
  <c r="A325" i="59"/>
  <c r="K325" i="59" s="1"/>
  <c r="A329" i="59"/>
  <c r="G45" i="59"/>
  <c r="G138" i="59"/>
  <c r="I45" i="59"/>
  <c r="I138" i="59"/>
  <c r="A152" i="59"/>
  <c r="K152" i="59" s="1"/>
  <c r="A150" i="59"/>
  <c r="K150" i="59" s="1"/>
  <c r="H154" i="59"/>
  <c r="G154" i="59"/>
  <c r="D155" i="59"/>
  <c r="F155" i="59" s="1"/>
  <c r="I155" i="59" s="1"/>
  <c r="L157" i="59"/>
  <c r="D154" i="59"/>
  <c r="F154" i="59" s="1"/>
  <c r="I154" i="59" s="1"/>
  <c r="D153" i="59"/>
  <c r="F153" i="59" s="1"/>
  <c r="I153" i="59" s="1"/>
  <c r="A154" i="59"/>
  <c r="K154" i="59" s="1"/>
  <c r="A230" i="59"/>
  <c r="K230" i="59" s="1"/>
  <c r="A232" i="59"/>
  <c r="K232" i="59" s="1"/>
  <c r="K231" i="59"/>
  <c r="H232" i="59"/>
  <c r="H230" i="59"/>
  <c r="H152" i="59"/>
  <c r="H150" i="59"/>
  <c r="G232" i="59"/>
  <c r="G230" i="59"/>
  <c r="G152" i="59"/>
  <c r="G150" i="59"/>
  <c r="L237" i="59"/>
  <c r="D235" i="59"/>
  <c r="F235" i="59" s="1"/>
  <c r="I235" i="59" s="1"/>
  <c r="D233" i="59"/>
  <c r="F233" i="59" s="1"/>
  <c r="I233" i="59" s="1"/>
  <c r="D234" i="59"/>
  <c r="F234" i="59" s="1"/>
  <c r="I234" i="59" s="1"/>
  <c r="A234" i="59"/>
  <c r="H234" i="59"/>
  <c r="G234" i="59"/>
  <c r="K143" i="59"/>
  <c r="K219" i="59" s="1"/>
  <c r="K220" i="59" s="1"/>
  <c r="K141" i="59"/>
  <c r="K151" i="59"/>
  <c r="K148" i="59"/>
  <c r="K145" i="59"/>
  <c r="K144" i="59"/>
  <c r="C79" i="11"/>
  <c r="S2" i="14"/>
  <c r="S3" i="14"/>
  <c r="S4" i="14"/>
  <c r="S5" i="14"/>
  <c r="S6" i="14"/>
  <c r="S7" i="14"/>
  <c r="S8" i="14"/>
  <c r="S9" i="14"/>
  <c r="S10" i="14"/>
  <c r="S11" i="14"/>
  <c r="Y62" i="60" l="1"/>
  <c r="Z17" i="60"/>
  <c r="Y36" i="60"/>
  <c r="Y64" i="60"/>
  <c r="Z18" i="60"/>
  <c r="Y38" i="60"/>
  <c r="AV11" i="60"/>
  <c r="AV10" i="60"/>
  <c r="A328" i="59"/>
  <c r="K328" i="59" s="1"/>
  <c r="K329" i="59"/>
  <c r="A330" i="59"/>
  <c r="K330" i="59" s="1"/>
  <c r="A332" i="59"/>
  <c r="G235" i="59"/>
  <c r="G233" i="59"/>
  <c r="H155" i="59"/>
  <c r="H153" i="59"/>
  <c r="L240" i="59"/>
  <c r="H237" i="59"/>
  <c r="G237" i="59"/>
  <c r="D238" i="59"/>
  <c r="F238" i="59" s="1"/>
  <c r="I238" i="59" s="1"/>
  <c r="A237" i="59"/>
  <c r="D236" i="59"/>
  <c r="F236" i="59" s="1"/>
  <c r="I236" i="59" s="1"/>
  <c r="D237" i="59"/>
  <c r="F237" i="59" s="1"/>
  <c r="I237" i="59" s="1"/>
  <c r="G155" i="59"/>
  <c r="G153" i="59"/>
  <c r="H235" i="59"/>
  <c r="H233" i="59"/>
  <c r="D158" i="59"/>
  <c r="F158" i="59" s="1"/>
  <c r="I158" i="59" s="1"/>
  <c r="L160" i="59"/>
  <c r="D157" i="59"/>
  <c r="F157" i="59" s="1"/>
  <c r="I157" i="59" s="1"/>
  <c r="D156" i="59"/>
  <c r="F156" i="59" s="1"/>
  <c r="I156" i="59" s="1"/>
  <c r="A157" i="59"/>
  <c r="H157" i="59"/>
  <c r="G157" i="59"/>
  <c r="A233" i="59"/>
  <c r="K233" i="59" s="1"/>
  <c r="A235" i="59"/>
  <c r="K235" i="59" s="1"/>
  <c r="K234" i="59"/>
  <c r="A155" i="59"/>
  <c r="K155" i="59" s="1"/>
  <c r="A153" i="59"/>
  <c r="K153" i="59" s="1"/>
  <c r="A58" i="51"/>
  <c r="A48" i="51"/>
  <c r="D63" i="51"/>
  <c r="A29" i="51"/>
  <c r="Z64" i="60" l="1"/>
  <c r="AA18" i="60"/>
  <c r="Z38" i="60"/>
  <c r="Z62" i="60"/>
  <c r="AA17" i="60"/>
  <c r="Z36" i="60"/>
  <c r="AW10" i="60"/>
  <c r="AW11" i="60"/>
  <c r="A335" i="59"/>
  <c r="A331" i="59"/>
  <c r="K331" i="59" s="1"/>
  <c r="A333" i="59"/>
  <c r="K333" i="59" s="1"/>
  <c r="K332" i="59"/>
  <c r="K129" i="59"/>
  <c r="K130" i="59" s="1"/>
  <c r="K131" i="59" s="1"/>
  <c r="K132" i="59" s="1"/>
  <c r="K133" i="59" s="1"/>
  <c r="K134" i="59" s="1"/>
  <c r="K135" i="59" s="1"/>
  <c r="K136" i="59" s="1"/>
  <c r="K137" i="59" s="1"/>
  <c r="G238" i="59"/>
  <c r="G236" i="59"/>
  <c r="G158" i="59"/>
  <c r="G156" i="59"/>
  <c r="H238" i="59"/>
  <c r="H236" i="59"/>
  <c r="H158" i="59"/>
  <c r="H156" i="59"/>
  <c r="L243" i="59"/>
  <c r="H240" i="59"/>
  <c r="D241" i="59"/>
  <c r="F241" i="59" s="1"/>
  <c r="I241" i="59" s="1"/>
  <c r="G240" i="59"/>
  <c r="D240" i="59"/>
  <c r="F240" i="59" s="1"/>
  <c r="I240" i="59" s="1"/>
  <c r="A240" i="59"/>
  <c r="D239" i="59"/>
  <c r="F239" i="59" s="1"/>
  <c r="I239" i="59" s="1"/>
  <c r="A158" i="59"/>
  <c r="K158" i="59" s="1"/>
  <c r="A156" i="59"/>
  <c r="K156" i="59" s="1"/>
  <c r="K157" i="59"/>
  <c r="L163" i="59"/>
  <c r="D161" i="59"/>
  <c r="F161" i="59" s="1"/>
  <c r="I161" i="59" s="1"/>
  <c r="A160" i="59"/>
  <c r="H160" i="59"/>
  <c r="D160" i="59"/>
  <c r="F160" i="59" s="1"/>
  <c r="I160" i="59" s="1"/>
  <c r="D159" i="59"/>
  <c r="F159" i="59" s="1"/>
  <c r="I159" i="59" s="1"/>
  <c r="G160" i="59"/>
  <c r="A236" i="59"/>
  <c r="K236" i="59" s="1"/>
  <c r="K237" i="59"/>
  <c r="A238" i="59"/>
  <c r="K238" i="59" s="1"/>
  <c r="A24" i="41"/>
  <c r="A25" i="45"/>
  <c r="A24" i="52"/>
  <c r="A24" i="57"/>
  <c r="A29" i="24"/>
  <c r="A24" i="26"/>
  <c r="A28" i="30"/>
  <c r="A31" i="43"/>
  <c r="A28" i="39"/>
  <c r="A25" i="51"/>
  <c r="A22" i="51"/>
  <c r="G25" i="14"/>
  <c r="A30" i="32"/>
  <c r="AA62" i="60" l="1"/>
  <c r="AA36" i="60"/>
  <c r="AB17" i="60"/>
  <c r="AA64" i="60"/>
  <c r="AB18" i="60"/>
  <c r="AA38" i="60"/>
  <c r="A21" i="45"/>
  <c r="A22" i="63"/>
  <c r="A27" i="43"/>
  <c r="AX10" i="60"/>
  <c r="AX11" i="60"/>
  <c r="A334" i="59"/>
  <c r="K334" i="59" s="1"/>
  <c r="K335" i="59"/>
  <c r="A336" i="59"/>
  <c r="K336" i="59" s="1"/>
  <c r="A338" i="59"/>
  <c r="A127" i="59"/>
  <c r="L166" i="59"/>
  <c r="G163" i="59"/>
  <c r="D163" i="59"/>
  <c r="F163" i="59" s="1"/>
  <c r="I163" i="59" s="1"/>
  <c r="H163" i="59"/>
  <c r="D164" i="59"/>
  <c r="F164" i="59" s="1"/>
  <c r="I164" i="59" s="1"/>
  <c r="A163" i="59"/>
  <c r="D162" i="59"/>
  <c r="F162" i="59" s="1"/>
  <c r="I162" i="59" s="1"/>
  <c r="H241" i="59"/>
  <c r="H239" i="59"/>
  <c r="A239" i="59"/>
  <c r="K239" i="59" s="1"/>
  <c r="K240" i="59"/>
  <c r="A241" i="59"/>
  <c r="K241" i="59" s="1"/>
  <c r="G241" i="59"/>
  <c r="G239" i="59"/>
  <c r="G161" i="59"/>
  <c r="G159" i="59"/>
  <c r="L246" i="59"/>
  <c r="G243" i="59"/>
  <c r="D242" i="59"/>
  <c r="F242" i="59" s="1"/>
  <c r="I242" i="59" s="1"/>
  <c r="D243" i="59"/>
  <c r="F243" i="59" s="1"/>
  <c r="I243" i="59" s="1"/>
  <c r="H243" i="59"/>
  <c r="A243" i="59"/>
  <c r="D244" i="59"/>
  <c r="F244" i="59" s="1"/>
  <c r="I244" i="59" s="1"/>
  <c r="H161" i="59"/>
  <c r="H159" i="59"/>
  <c r="A159" i="59"/>
  <c r="K159" i="59" s="1"/>
  <c r="A161" i="59"/>
  <c r="K161" i="59" s="1"/>
  <c r="K160" i="59"/>
  <c r="F62" i="46"/>
  <c r="F61" i="46"/>
  <c r="F60" i="46"/>
  <c r="E1" i="57"/>
  <c r="E1" i="33"/>
  <c r="E1" i="24"/>
  <c r="E1" i="26"/>
  <c r="E1" i="30"/>
  <c r="E1" i="43"/>
  <c r="E1" i="39"/>
  <c r="E1" i="46"/>
  <c r="AB64" i="60" l="1"/>
  <c r="AC18" i="60"/>
  <c r="AB38" i="60"/>
  <c r="AB62" i="60"/>
  <c r="AC17" i="60"/>
  <c r="AB36" i="60"/>
  <c r="AY11" i="60"/>
  <c r="AY10" i="60"/>
  <c r="A337" i="59"/>
  <c r="K337" i="59" s="1"/>
  <c r="K338" i="59"/>
  <c r="A339" i="59"/>
  <c r="K339" i="59" s="1"/>
  <c r="A341" i="59"/>
  <c r="A242" i="59"/>
  <c r="K242" i="59" s="1"/>
  <c r="A244" i="59"/>
  <c r="K244" i="59" s="1"/>
  <c r="K243" i="59"/>
  <c r="H244" i="59"/>
  <c r="H242" i="59"/>
  <c r="G164" i="59"/>
  <c r="G162" i="59"/>
  <c r="A164" i="59"/>
  <c r="K164" i="59" s="1"/>
  <c r="A162" i="59"/>
  <c r="K162" i="59" s="1"/>
  <c r="K163" i="59"/>
  <c r="H162" i="59"/>
  <c r="H164" i="59"/>
  <c r="G244" i="59"/>
  <c r="G242" i="59"/>
  <c r="L249" i="59"/>
  <c r="D247" i="59"/>
  <c r="F247" i="59" s="1"/>
  <c r="I247" i="59" s="1"/>
  <c r="D245" i="59"/>
  <c r="F245" i="59" s="1"/>
  <c r="I245" i="59" s="1"/>
  <c r="D246" i="59"/>
  <c r="F246" i="59" s="1"/>
  <c r="I246" i="59" s="1"/>
  <c r="A246" i="59"/>
  <c r="H246" i="59"/>
  <c r="G246" i="59"/>
  <c r="L169" i="59"/>
  <c r="H166" i="59"/>
  <c r="D166" i="59"/>
  <c r="F166" i="59" s="1"/>
  <c r="I166" i="59" s="1"/>
  <c r="G166" i="59"/>
  <c r="D165" i="59"/>
  <c r="F165" i="59" s="1"/>
  <c r="I165" i="59" s="1"/>
  <c r="A166" i="59"/>
  <c r="D167" i="59"/>
  <c r="F167" i="59" s="1"/>
  <c r="I167" i="59" s="1"/>
  <c r="B25" i="58"/>
  <c r="B23" i="58"/>
  <c r="C25" i="58"/>
  <c r="C23" i="58"/>
  <c r="D24" i="58"/>
  <c r="D25" i="58"/>
  <c r="D23" i="58"/>
  <c r="E18" i="58"/>
  <c r="E19" i="58"/>
  <c r="E20" i="58"/>
  <c r="E21" i="58"/>
  <c r="E22" i="58"/>
  <c r="E17" i="58"/>
  <c r="C9" i="47"/>
  <c r="AC62" i="60" l="1"/>
  <c r="AC36" i="60"/>
  <c r="AD17" i="60"/>
  <c r="AC64" i="60"/>
  <c r="AD18" i="60"/>
  <c r="AC38" i="60"/>
  <c r="E26" i="47"/>
  <c r="E25" i="47"/>
  <c r="F25" i="47" s="1"/>
  <c r="AZ10" i="60"/>
  <c r="AZ11" i="60"/>
  <c r="A344" i="59"/>
  <c r="A342" i="59"/>
  <c r="K342" i="59" s="1"/>
  <c r="K341" i="59"/>
  <c r="A340" i="59"/>
  <c r="K340" i="59" s="1"/>
  <c r="A167" i="59"/>
  <c r="K167" i="59" s="1"/>
  <c r="A165" i="59"/>
  <c r="K165" i="59" s="1"/>
  <c r="K166" i="59"/>
  <c r="A247" i="59"/>
  <c r="K247" i="59" s="1"/>
  <c r="K246" i="59"/>
  <c r="A245" i="59"/>
  <c r="K245" i="59" s="1"/>
  <c r="L172" i="59"/>
  <c r="A169" i="59"/>
  <c r="D170" i="59"/>
  <c r="F170" i="59" s="1"/>
  <c r="I170" i="59" s="1"/>
  <c r="H169" i="59"/>
  <c r="D169" i="59"/>
  <c r="F169" i="59" s="1"/>
  <c r="I169" i="59" s="1"/>
  <c r="G169" i="59"/>
  <c r="D168" i="59"/>
  <c r="F168" i="59" s="1"/>
  <c r="I168" i="59" s="1"/>
  <c r="G245" i="59"/>
  <c r="G247" i="59"/>
  <c r="H167" i="59"/>
  <c r="H165" i="59"/>
  <c r="L252" i="59"/>
  <c r="G249" i="59"/>
  <c r="H249" i="59"/>
  <c r="A249" i="59"/>
  <c r="D250" i="59"/>
  <c r="F250" i="59" s="1"/>
  <c r="I250" i="59" s="1"/>
  <c r="D249" i="59"/>
  <c r="F249" i="59" s="1"/>
  <c r="I249" i="59" s="1"/>
  <c r="D248" i="59"/>
  <c r="F248" i="59" s="1"/>
  <c r="I248" i="59" s="1"/>
  <c r="H245" i="59"/>
  <c r="H247" i="59"/>
  <c r="G167" i="59"/>
  <c r="G165" i="59"/>
  <c r="A265" i="32"/>
  <c r="AD64" i="60" l="1"/>
  <c r="AE18" i="60"/>
  <c r="AD38" i="60"/>
  <c r="AD62" i="60"/>
  <c r="AD36" i="60"/>
  <c r="AE17" i="60"/>
  <c r="BA10" i="60"/>
  <c r="BA11" i="60"/>
  <c r="A343" i="59"/>
  <c r="K343" i="59" s="1"/>
  <c r="A345" i="59"/>
  <c r="K345" i="59" s="1"/>
  <c r="K344" i="59"/>
  <c r="A347" i="59"/>
  <c r="A250" i="59"/>
  <c r="K250" i="59" s="1"/>
  <c r="K249" i="59"/>
  <c r="A248" i="59"/>
  <c r="K248" i="59" s="1"/>
  <c r="H250" i="59"/>
  <c r="H248" i="59"/>
  <c r="G250" i="59"/>
  <c r="G248" i="59"/>
  <c r="L175" i="59"/>
  <c r="A172" i="59"/>
  <c r="D171" i="59"/>
  <c r="F171" i="59" s="1"/>
  <c r="I171" i="59" s="1"/>
  <c r="D173" i="59"/>
  <c r="F173" i="59" s="1"/>
  <c r="I173" i="59" s="1"/>
  <c r="D172" i="59"/>
  <c r="F172" i="59" s="1"/>
  <c r="I172" i="59" s="1"/>
  <c r="G172" i="59"/>
  <c r="H172" i="59"/>
  <c r="L255" i="59"/>
  <c r="H252" i="59"/>
  <c r="D253" i="59"/>
  <c r="F253" i="59" s="1"/>
  <c r="I253" i="59" s="1"/>
  <c r="G252" i="59"/>
  <c r="D252" i="59"/>
  <c r="F252" i="59" s="1"/>
  <c r="I252" i="59" s="1"/>
  <c r="A252" i="59"/>
  <c r="D251" i="59"/>
  <c r="F251" i="59" s="1"/>
  <c r="I251" i="59" s="1"/>
  <c r="H170" i="59"/>
  <c r="H168" i="59"/>
  <c r="A170" i="59"/>
  <c r="K170" i="59" s="1"/>
  <c r="A168" i="59"/>
  <c r="K168" i="59" s="1"/>
  <c r="K169" i="59"/>
  <c r="G170" i="59"/>
  <c r="G168" i="59"/>
  <c r="K178" i="52"/>
  <c r="K179" i="52" s="1"/>
  <c r="K180" i="52" s="1"/>
  <c r="K181" i="52" s="1"/>
  <c r="K182" i="52" s="1"/>
  <c r="K42" i="52"/>
  <c r="K40" i="52" s="1"/>
  <c r="K41" i="52" s="1"/>
  <c r="B581" i="17"/>
  <c r="AE62" i="60" l="1"/>
  <c r="AF17" i="60"/>
  <c r="AE36" i="60"/>
  <c r="AE64" i="60"/>
  <c r="AF18" i="60"/>
  <c r="AE38" i="60"/>
  <c r="A346" i="59"/>
  <c r="K346" i="59" s="1"/>
  <c r="A348" i="59"/>
  <c r="K348" i="59" s="1"/>
  <c r="K347" i="59"/>
  <c r="A350" i="59"/>
  <c r="D174" i="59"/>
  <c r="F174" i="59" s="1"/>
  <c r="I174" i="59" s="1"/>
  <c r="L178" i="59"/>
  <c r="H175" i="59"/>
  <c r="G175" i="59"/>
  <c r="D176" i="59"/>
  <c r="F176" i="59" s="1"/>
  <c r="I176" i="59" s="1"/>
  <c r="A175" i="59"/>
  <c r="D175" i="59"/>
  <c r="F175" i="59" s="1"/>
  <c r="I175" i="59" s="1"/>
  <c r="G173" i="59"/>
  <c r="G171" i="59"/>
  <c r="A251" i="59"/>
  <c r="K251" i="59" s="1"/>
  <c r="A253" i="59"/>
  <c r="K253" i="59" s="1"/>
  <c r="K252" i="59"/>
  <c r="H253" i="59"/>
  <c r="H251" i="59"/>
  <c r="L258" i="59"/>
  <c r="D254" i="59"/>
  <c r="F254" i="59" s="1"/>
  <c r="I254" i="59" s="1"/>
  <c r="D256" i="59"/>
  <c r="F256" i="59" s="1"/>
  <c r="I256" i="59" s="1"/>
  <c r="D255" i="59"/>
  <c r="F255" i="59" s="1"/>
  <c r="I255" i="59" s="1"/>
  <c r="A255" i="59"/>
  <c r="H255" i="59"/>
  <c r="G255" i="59"/>
  <c r="H173" i="59"/>
  <c r="H171" i="59"/>
  <c r="G253" i="59"/>
  <c r="G251" i="59"/>
  <c r="A171" i="59"/>
  <c r="K171" i="59" s="1"/>
  <c r="A173" i="59"/>
  <c r="K173" i="59" s="1"/>
  <c r="K172" i="59"/>
  <c r="K43" i="52"/>
  <c r="K45" i="52"/>
  <c r="AF64" i="60" l="1"/>
  <c r="AG18" i="60"/>
  <c r="AF38" i="60"/>
  <c r="AF62" i="60"/>
  <c r="AG17" i="60"/>
  <c r="AF36" i="60"/>
  <c r="A351" i="59"/>
  <c r="K351" i="59" s="1"/>
  <c r="A349" i="59"/>
  <c r="K349" i="59" s="1"/>
  <c r="K350" i="59"/>
  <c r="A353" i="59"/>
  <c r="A176" i="59"/>
  <c r="K176" i="59" s="1"/>
  <c r="A174" i="59"/>
  <c r="K174" i="59" s="1"/>
  <c r="K175" i="59"/>
  <c r="G256" i="59"/>
  <c r="G254" i="59"/>
  <c r="H256" i="59"/>
  <c r="H254" i="59"/>
  <c r="G174" i="59"/>
  <c r="G176" i="59"/>
  <c r="H176" i="59"/>
  <c r="H174" i="59"/>
  <c r="L181" i="59"/>
  <c r="H178" i="59"/>
  <c r="G178" i="59"/>
  <c r="D179" i="59"/>
  <c r="F179" i="59" s="1"/>
  <c r="I179" i="59" s="1"/>
  <c r="D177" i="59"/>
  <c r="F177" i="59" s="1"/>
  <c r="I177" i="59" s="1"/>
  <c r="A178" i="59"/>
  <c r="D178" i="59"/>
  <c r="F178" i="59" s="1"/>
  <c r="I178" i="59" s="1"/>
  <c r="L261" i="59"/>
  <c r="D259" i="59"/>
  <c r="F259" i="59" s="1"/>
  <c r="I259" i="59" s="1"/>
  <c r="D258" i="59"/>
  <c r="F258" i="59" s="1"/>
  <c r="I258" i="59" s="1"/>
  <c r="D257" i="59"/>
  <c r="F257" i="59" s="1"/>
  <c r="I257" i="59" s="1"/>
  <c r="A258" i="59"/>
  <c r="H258" i="59"/>
  <c r="G258" i="59"/>
  <c r="A254" i="59"/>
  <c r="K254" i="59" s="1"/>
  <c r="A256" i="59"/>
  <c r="K256" i="59" s="1"/>
  <c r="K255" i="59"/>
  <c r="A28" i="55"/>
  <c r="AG62" i="60" l="1"/>
  <c r="AH17" i="60"/>
  <c r="AG36" i="60"/>
  <c r="AG64" i="60"/>
  <c r="AG38" i="60"/>
  <c r="AH18" i="60"/>
  <c r="A354" i="59"/>
  <c r="K354" i="59" s="1"/>
  <c r="K353" i="59"/>
  <c r="A352" i="59"/>
  <c r="K352" i="59" s="1"/>
  <c r="A356" i="59"/>
  <c r="A259" i="59"/>
  <c r="K259" i="59" s="1"/>
  <c r="K258" i="59"/>
  <c r="A257" i="59"/>
  <c r="K257" i="59" s="1"/>
  <c r="G177" i="59"/>
  <c r="G179" i="59"/>
  <c r="L184" i="59"/>
  <c r="D182" i="59"/>
  <c r="F182" i="59" s="1"/>
  <c r="I182" i="59" s="1"/>
  <c r="D181" i="59"/>
  <c r="F181" i="59" s="1"/>
  <c r="I181" i="59" s="1"/>
  <c r="D180" i="59"/>
  <c r="F180" i="59" s="1"/>
  <c r="I180" i="59" s="1"/>
  <c r="A181" i="59"/>
  <c r="H181" i="59"/>
  <c r="G181" i="59"/>
  <c r="L264" i="59"/>
  <c r="H261" i="59"/>
  <c r="G261" i="59"/>
  <c r="D260" i="59"/>
  <c r="F260" i="59" s="1"/>
  <c r="I260" i="59" s="1"/>
  <c r="D262" i="59"/>
  <c r="F262" i="59" s="1"/>
  <c r="I262" i="59" s="1"/>
  <c r="A261" i="59"/>
  <c r="D261" i="59"/>
  <c r="F261" i="59" s="1"/>
  <c r="I261" i="59" s="1"/>
  <c r="H259" i="59"/>
  <c r="H257" i="59"/>
  <c r="H179" i="59"/>
  <c r="H177" i="59"/>
  <c r="G259" i="59"/>
  <c r="G257" i="59"/>
  <c r="A179" i="59"/>
  <c r="K179" i="59" s="1"/>
  <c r="A177" i="59"/>
  <c r="K177" i="59" s="1"/>
  <c r="K178" i="59"/>
  <c r="O16" i="6"/>
  <c r="J43" i="6"/>
  <c r="H41" i="6"/>
  <c r="J44" i="6"/>
  <c r="I44" i="6"/>
  <c r="I45" i="6"/>
  <c r="H43" i="6"/>
  <c r="H45" i="6"/>
  <c r="H53" i="6"/>
  <c r="J41" i="6"/>
  <c r="H44" i="6"/>
  <c r="I41" i="6"/>
  <c r="H42" i="6"/>
  <c r="J42" i="6"/>
  <c r="J45" i="6"/>
  <c r="I42" i="6"/>
  <c r="I43" i="6"/>
  <c r="AH64" i="60" l="1"/>
  <c r="AI18" i="60"/>
  <c r="AH38" i="60"/>
  <c r="AH62" i="60"/>
  <c r="AH36" i="60"/>
  <c r="AI17" i="60"/>
  <c r="A359" i="59"/>
  <c r="A357" i="59"/>
  <c r="K357" i="59" s="1"/>
  <c r="K356" i="59"/>
  <c r="A355" i="59"/>
  <c r="K355" i="59" s="1"/>
  <c r="G180" i="59"/>
  <c r="G182" i="59"/>
  <c r="H180" i="59"/>
  <c r="H182" i="59"/>
  <c r="A262" i="59"/>
  <c r="K262" i="59" s="1"/>
  <c r="K261" i="59"/>
  <c r="A260" i="59"/>
  <c r="K260" i="59" s="1"/>
  <c r="A182" i="59"/>
  <c r="K182" i="59" s="1"/>
  <c r="A180" i="59"/>
  <c r="K180" i="59" s="1"/>
  <c r="K181" i="59"/>
  <c r="G260" i="59"/>
  <c r="G262" i="59"/>
  <c r="H260" i="59"/>
  <c r="H262" i="59"/>
  <c r="L187" i="59"/>
  <c r="D185" i="59"/>
  <c r="F185" i="59" s="1"/>
  <c r="I185" i="59" s="1"/>
  <c r="D183" i="59"/>
  <c r="F183" i="59" s="1"/>
  <c r="I183" i="59" s="1"/>
  <c r="G184" i="59"/>
  <c r="D184" i="59"/>
  <c r="F184" i="59" s="1"/>
  <c r="I184" i="59" s="1"/>
  <c r="A184" i="59"/>
  <c r="H184" i="59"/>
  <c r="L267" i="59"/>
  <c r="H264" i="59"/>
  <c r="D265" i="59"/>
  <c r="F265" i="59" s="1"/>
  <c r="I265" i="59" s="1"/>
  <c r="D263" i="59"/>
  <c r="F263" i="59" s="1"/>
  <c r="I263" i="59" s="1"/>
  <c r="G264" i="59"/>
  <c r="D264" i="59"/>
  <c r="F264" i="59" s="1"/>
  <c r="I264" i="59" s="1"/>
  <c r="A264" i="59"/>
  <c r="H46" i="6"/>
  <c r="I46" i="6"/>
  <c r="J46" i="6"/>
  <c r="H54" i="6"/>
  <c r="H59" i="6"/>
  <c r="AI62" i="60" l="1"/>
  <c r="AI36" i="60"/>
  <c r="AJ17" i="60"/>
  <c r="AI64" i="60"/>
  <c r="AJ18" i="60"/>
  <c r="AI38" i="60"/>
  <c r="A358" i="59"/>
  <c r="K358" i="59" s="1"/>
  <c r="K359" i="59"/>
  <c r="A360" i="59"/>
  <c r="K360" i="59" s="1"/>
  <c r="A362" i="59"/>
  <c r="H265" i="59"/>
  <c r="H263" i="59"/>
  <c r="L190" i="59"/>
  <c r="A187" i="59"/>
  <c r="G187" i="59"/>
  <c r="D187" i="59"/>
  <c r="F187" i="59" s="1"/>
  <c r="I187" i="59" s="1"/>
  <c r="H187" i="59"/>
  <c r="D188" i="59"/>
  <c r="F188" i="59" s="1"/>
  <c r="I188" i="59" s="1"/>
  <c r="D186" i="59"/>
  <c r="F186" i="59" s="1"/>
  <c r="I186" i="59" s="1"/>
  <c r="A263" i="59"/>
  <c r="K263" i="59" s="1"/>
  <c r="A265" i="59"/>
  <c r="K265" i="59" s="1"/>
  <c r="K264" i="59"/>
  <c r="G265" i="59"/>
  <c r="G263" i="59"/>
  <c r="G183" i="59"/>
  <c r="G185" i="59"/>
  <c r="L270" i="59"/>
  <c r="D266" i="59"/>
  <c r="F266" i="59" s="1"/>
  <c r="I266" i="59" s="1"/>
  <c r="A267" i="59"/>
  <c r="H267" i="59"/>
  <c r="D268" i="59"/>
  <c r="F268" i="59" s="1"/>
  <c r="I268" i="59" s="1"/>
  <c r="D267" i="59"/>
  <c r="F267" i="59" s="1"/>
  <c r="I267" i="59" s="1"/>
  <c r="G267" i="59"/>
  <c r="H183" i="59"/>
  <c r="H185" i="59"/>
  <c r="A183" i="59"/>
  <c r="K183" i="59" s="1"/>
  <c r="A185" i="59"/>
  <c r="K185" i="59" s="1"/>
  <c r="K184" i="59"/>
  <c r="H97" i="26"/>
  <c r="K97" i="26" s="1"/>
  <c r="J97" i="26"/>
  <c r="H96" i="26"/>
  <c r="K96" i="26" s="1"/>
  <c r="J96" i="26"/>
  <c r="H60" i="6"/>
  <c r="AJ64" i="60" l="1"/>
  <c r="AJ38" i="60"/>
  <c r="AK18" i="60"/>
  <c r="AJ62" i="60"/>
  <c r="AJ36" i="60"/>
  <c r="AK17" i="60"/>
  <c r="A365" i="59"/>
  <c r="A361" i="59"/>
  <c r="K361" i="59" s="1"/>
  <c r="A363" i="59"/>
  <c r="K363" i="59" s="1"/>
  <c r="K362" i="59"/>
  <c r="H188" i="59"/>
  <c r="H186" i="59"/>
  <c r="G188" i="59"/>
  <c r="G186" i="59"/>
  <c r="A266" i="59"/>
  <c r="K266" i="59" s="1"/>
  <c r="K267" i="59"/>
  <c r="A268" i="59"/>
  <c r="K268" i="59" s="1"/>
  <c r="D191" i="59"/>
  <c r="F191" i="59" s="1"/>
  <c r="I191" i="59" s="1"/>
  <c r="L193" i="59"/>
  <c r="G190" i="59"/>
  <c r="D189" i="59"/>
  <c r="F189" i="59" s="1"/>
  <c r="I189" i="59" s="1"/>
  <c r="A190" i="59"/>
  <c r="H190" i="59"/>
  <c r="D190" i="59"/>
  <c r="F190" i="59" s="1"/>
  <c r="I190" i="59" s="1"/>
  <c r="G268" i="59"/>
  <c r="G266" i="59"/>
  <c r="H268" i="59"/>
  <c r="H266" i="59"/>
  <c r="A188" i="59"/>
  <c r="K188" i="59" s="1"/>
  <c r="A186" i="59"/>
  <c r="K186" i="59" s="1"/>
  <c r="K187" i="59"/>
  <c r="L273" i="59"/>
  <c r="D271" i="59"/>
  <c r="F271" i="59" s="1"/>
  <c r="I271" i="59" s="1"/>
  <c r="D270" i="59"/>
  <c r="F270" i="59" s="1"/>
  <c r="I270" i="59" s="1"/>
  <c r="A270" i="59"/>
  <c r="D269" i="59"/>
  <c r="F269" i="59" s="1"/>
  <c r="I269" i="59" s="1"/>
  <c r="H270" i="59"/>
  <c r="G270" i="59"/>
  <c r="A155" i="46"/>
  <c r="A653" i="52"/>
  <c r="AK62" i="60" l="1"/>
  <c r="AK36" i="60"/>
  <c r="AL17" i="60"/>
  <c r="AK64" i="60"/>
  <c r="AK38" i="60"/>
  <c r="AL18" i="60"/>
  <c r="A364" i="59"/>
  <c r="K364" i="59" s="1"/>
  <c r="A366" i="59"/>
  <c r="K366" i="59" s="1"/>
  <c r="K365" i="59"/>
  <c r="A368" i="59"/>
  <c r="L276" i="59"/>
  <c r="G273" i="59"/>
  <c r="D274" i="59"/>
  <c r="F274" i="59" s="1"/>
  <c r="I274" i="59" s="1"/>
  <c r="H273" i="59"/>
  <c r="A273" i="59"/>
  <c r="D272" i="59"/>
  <c r="F272" i="59" s="1"/>
  <c r="I272" i="59" s="1"/>
  <c r="D273" i="59"/>
  <c r="F273" i="59" s="1"/>
  <c r="I273" i="59" s="1"/>
  <c r="G271" i="59"/>
  <c r="G269" i="59"/>
  <c r="H271" i="59"/>
  <c r="H269" i="59"/>
  <c r="H191" i="59"/>
  <c r="H189" i="59"/>
  <c r="A191" i="59"/>
  <c r="K191" i="59" s="1"/>
  <c r="A189" i="59"/>
  <c r="K189" i="59" s="1"/>
  <c r="K190" i="59"/>
  <c r="G191" i="59"/>
  <c r="G189" i="59"/>
  <c r="A269" i="59"/>
  <c r="K269" i="59" s="1"/>
  <c r="K270" i="59"/>
  <c r="A271" i="59"/>
  <c r="K271" i="59" s="1"/>
  <c r="L196" i="59"/>
  <c r="H193" i="59"/>
  <c r="A193" i="59"/>
  <c r="G193" i="59"/>
  <c r="D194" i="59"/>
  <c r="F194" i="59" s="1"/>
  <c r="I194" i="59" s="1"/>
  <c r="D193" i="59"/>
  <c r="F193" i="59" s="1"/>
  <c r="I193" i="59" s="1"/>
  <c r="D192" i="59"/>
  <c r="F192" i="59" s="1"/>
  <c r="I192" i="59" s="1"/>
  <c r="A166" i="46"/>
  <c r="A990" i="57"/>
  <c r="A22" i="57"/>
  <c r="A22" i="33"/>
  <c r="A31" i="24"/>
  <c r="A26" i="26"/>
  <c r="A30" i="30"/>
  <c r="A30" i="39"/>
  <c r="G18" i="14"/>
  <c r="A32" i="32"/>
  <c r="A26" i="52"/>
  <c r="A22" i="26"/>
  <c r="A609" i="52"/>
  <c r="H186" i="52"/>
  <c r="A36" i="52"/>
  <c r="A185" i="52"/>
  <c r="K185" i="52"/>
  <c r="K186" i="52" s="1"/>
  <c r="K187" i="52" s="1"/>
  <c r="K188" i="52" s="1"/>
  <c r="K189" i="52" s="1"/>
  <c r="K190" i="52" s="1"/>
  <c r="C188" i="52"/>
  <c r="H188" i="52" s="1"/>
  <c r="C187" i="52"/>
  <c r="E187" i="52" s="1"/>
  <c r="E186" i="52"/>
  <c r="E173" i="52"/>
  <c r="E179" i="52"/>
  <c r="E167" i="52"/>
  <c r="E161" i="52"/>
  <c r="C191" i="52"/>
  <c r="H191" i="52" s="1"/>
  <c r="C190" i="52"/>
  <c r="H190" i="52" s="1"/>
  <c r="C189" i="52"/>
  <c r="H189" i="52" s="1"/>
  <c r="K191" i="52" l="1"/>
  <c r="K194" i="52"/>
  <c r="K198" i="52" s="1"/>
  <c r="K199" i="52" s="1"/>
  <c r="K200" i="52" s="1"/>
  <c r="K201" i="52" s="1"/>
  <c r="AL64" i="60"/>
  <c r="AM18" i="60"/>
  <c r="AL38" i="60"/>
  <c r="AL62" i="60"/>
  <c r="AL36" i="60"/>
  <c r="AM17" i="60"/>
  <c r="A129" i="59"/>
  <c r="A124" i="61"/>
  <c r="A371" i="59"/>
  <c r="A369" i="59"/>
  <c r="K369" i="59" s="1"/>
  <c r="A367" i="59"/>
  <c r="K367" i="59" s="1"/>
  <c r="K368" i="59"/>
  <c r="L199" i="59"/>
  <c r="A196" i="59"/>
  <c r="D196" i="59"/>
  <c r="F196" i="59" s="1"/>
  <c r="I196" i="59" s="1"/>
  <c r="D197" i="59"/>
  <c r="F197" i="59" s="1"/>
  <c r="I197" i="59" s="1"/>
  <c r="D195" i="59"/>
  <c r="F195" i="59" s="1"/>
  <c r="I195" i="59" s="1"/>
  <c r="H196" i="59"/>
  <c r="G196" i="59"/>
  <c r="H274" i="59"/>
  <c r="H272" i="59"/>
  <c r="G274" i="59"/>
  <c r="G272" i="59"/>
  <c r="A194" i="59"/>
  <c r="K194" i="59" s="1"/>
  <c r="A192" i="59"/>
  <c r="K192" i="59" s="1"/>
  <c r="K193" i="59"/>
  <c r="H194" i="59"/>
  <c r="H192" i="59"/>
  <c r="A272" i="59"/>
  <c r="K272" i="59" s="1"/>
  <c r="K273" i="59"/>
  <c r="A274" i="59"/>
  <c r="K274" i="59" s="1"/>
  <c r="G194" i="59"/>
  <c r="G192" i="59"/>
  <c r="L279" i="59"/>
  <c r="H276" i="59"/>
  <c r="D277" i="59"/>
  <c r="F277" i="59" s="1"/>
  <c r="I277" i="59" s="1"/>
  <c r="G276" i="59"/>
  <c r="D276" i="59"/>
  <c r="F276" i="59" s="1"/>
  <c r="I276" i="59" s="1"/>
  <c r="A276" i="59"/>
  <c r="D275" i="59"/>
  <c r="F275" i="59" s="1"/>
  <c r="I275" i="59" s="1"/>
  <c r="A380" i="32"/>
  <c r="A102" i="51"/>
  <c r="A248" i="24"/>
  <c r="A173" i="46"/>
  <c r="A535" i="39"/>
  <c r="A161" i="33"/>
  <c r="A287" i="43"/>
  <c r="A28" i="32"/>
  <c r="A22" i="41"/>
  <c r="A232" i="30"/>
  <c r="A26" i="39"/>
  <c r="A225" i="26"/>
  <c r="A22" i="52"/>
  <c r="A27" i="24"/>
  <c r="A26" i="30"/>
  <c r="A308" i="45"/>
  <c r="A691" i="52"/>
  <c r="K653" i="52"/>
  <c r="K654" i="52" s="1"/>
  <c r="K655" i="52" s="1"/>
  <c r="K656" i="52" s="1"/>
  <c r="K184" i="52"/>
  <c r="Q171" i="53"/>
  <c r="Q172" i="53"/>
  <c r="Q173" i="53"/>
  <c r="Q174" i="53"/>
  <c r="Q175" i="53"/>
  <c r="Q176" i="53"/>
  <c r="Q177" i="53"/>
  <c r="Q178" i="53"/>
  <c r="Q179" i="53"/>
  <c r="Q180" i="53"/>
  <c r="Q181" i="53"/>
  <c r="Q182" i="53"/>
  <c r="Q183" i="53"/>
  <c r="Q184" i="53"/>
  <c r="Q185" i="53"/>
  <c r="Q186" i="53"/>
  <c r="Q187" i="53"/>
  <c r="Q188" i="53"/>
  <c r="Q189" i="53"/>
  <c r="Q190" i="53"/>
  <c r="Q191" i="53"/>
  <c r="Q192" i="53"/>
  <c r="Q193" i="53"/>
  <c r="Q194" i="53"/>
  <c r="Q195" i="53"/>
  <c r="Q196" i="53"/>
  <c r="Q197" i="53"/>
  <c r="Q198" i="53"/>
  <c r="Q199" i="53"/>
  <c r="Q200" i="53"/>
  <c r="Q201" i="53"/>
  <c r="Q202" i="53"/>
  <c r="Q203" i="53"/>
  <c r="Q204" i="53"/>
  <c r="Q205" i="53"/>
  <c r="Q206" i="53"/>
  <c r="Q207" i="53"/>
  <c r="Q208" i="53"/>
  <c r="Q209" i="53"/>
  <c r="Q210" i="53"/>
  <c r="Q211" i="53"/>
  <c r="Q212" i="53"/>
  <c r="Q213" i="53"/>
  <c r="Q214" i="53"/>
  <c r="Q215" i="53"/>
  <c r="Q216" i="53"/>
  <c r="Q217" i="53"/>
  <c r="Q218" i="53"/>
  <c r="Q219" i="53"/>
  <c r="Q220" i="53"/>
  <c r="Q221" i="53"/>
  <c r="Q222" i="53"/>
  <c r="Q223" i="53"/>
  <c r="Q224" i="53"/>
  <c r="Q225" i="53"/>
  <c r="Q226" i="53"/>
  <c r="Q227" i="53"/>
  <c r="Q228" i="53"/>
  <c r="Q229" i="53"/>
  <c r="Q230" i="53"/>
  <c r="Q231" i="53"/>
  <c r="Q232" i="53"/>
  <c r="Q233" i="53"/>
  <c r="Q234" i="53"/>
  <c r="Q235" i="53"/>
  <c r="Q236" i="53"/>
  <c r="Q237" i="53"/>
  <c r="Q238" i="53"/>
  <c r="Q239" i="53"/>
  <c r="Q240" i="53"/>
  <c r="Q241" i="53"/>
  <c r="Q242" i="53"/>
  <c r="Q243" i="53"/>
  <c r="Q244" i="53"/>
  <c r="Q245" i="53"/>
  <c r="Q246" i="53"/>
  <c r="Q247" i="53"/>
  <c r="Q248" i="53"/>
  <c r="Q249" i="53"/>
  <c r="K202" i="52" l="1"/>
  <c r="K203" i="52" s="1"/>
  <c r="K204" i="52" s="1"/>
  <c r="K205" i="52"/>
  <c r="K192" i="52"/>
  <c r="K196" i="52" s="1"/>
  <c r="K195" i="52"/>
  <c r="AM62" i="60"/>
  <c r="AM36" i="60"/>
  <c r="AN17" i="60"/>
  <c r="AM64" i="60"/>
  <c r="AM38" i="60"/>
  <c r="AN18" i="60"/>
  <c r="A370" i="59"/>
  <c r="K370" i="59" s="1"/>
  <c r="K371" i="59"/>
  <c r="A372" i="59"/>
  <c r="K372" i="59" s="1"/>
  <c r="A377" i="59"/>
  <c r="A374" i="59"/>
  <c r="G197" i="59"/>
  <c r="G195" i="59"/>
  <c r="L282" i="59"/>
  <c r="D280" i="59"/>
  <c r="F280" i="59" s="1"/>
  <c r="I280" i="59" s="1"/>
  <c r="A279" i="59"/>
  <c r="D278" i="59"/>
  <c r="F278" i="59" s="1"/>
  <c r="I278" i="59" s="1"/>
  <c r="H279" i="59"/>
  <c r="G279" i="59"/>
  <c r="D279" i="59"/>
  <c r="F279" i="59" s="1"/>
  <c r="I279" i="59" s="1"/>
  <c r="H197" i="59"/>
  <c r="H195" i="59"/>
  <c r="A197" i="59"/>
  <c r="K197" i="59" s="1"/>
  <c r="A195" i="59"/>
  <c r="K195" i="59" s="1"/>
  <c r="K196" i="59"/>
  <c r="H275" i="59"/>
  <c r="H277" i="59"/>
  <c r="A275" i="59"/>
  <c r="K275" i="59" s="1"/>
  <c r="K276" i="59"/>
  <c r="A277" i="59"/>
  <c r="K277" i="59" s="1"/>
  <c r="G275" i="59"/>
  <c r="G277" i="59"/>
  <c r="L202" i="59"/>
  <c r="D199" i="59"/>
  <c r="F199" i="59" s="1"/>
  <c r="I199" i="59" s="1"/>
  <c r="D198" i="59"/>
  <c r="F198" i="59" s="1"/>
  <c r="I198" i="59" s="1"/>
  <c r="G199" i="59"/>
  <c r="A199" i="59"/>
  <c r="D200" i="59"/>
  <c r="F200" i="59" s="1"/>
  <c r="I200" i="59" s="1"/>
  <c r="H199" i="59"/>
  <c r="K609" i="52"/>
  <c r="AN64" i="60" l="1"/>
  <c r="AO18" i="60"/>
  <c r="AN38" i="60"/>
  <c r="AN62" i="60"/>
  <c r="AO17" i="60"/>
  <c r="AN36" i="60"/>
  <c r="A373" i="59"/>
  <c r="K373" i="59" s="1"/>
  <c r="A375" i="59"/>
  <c r="K375" i="59" s="1"/>
  <c r="K374" i="59"/>
  <c r="A376" i="59"/>
  <c r="K376" i="59" s="1"/>
  <c r="K377" i="59"/>
  <c r="A378" i="59"/>
  <c r="K378" i="59" s="1"/>
  <c r="H280" i="59"/>
  <c r="H278" i="59"/>
  <c r="L205" i="59"/>
  <c r="G202" i="59"/>
  <c r="H202" i="59"/>
  <c r="D203" i="59"/>
  <c r="F203" i="59" s="1"/>
  <c r="I203" i="59" s="1"/>
  <c r="D201" i="59"/>
  <c r="F201" i="59" s="1"/>
  <c r="I201" i="59" s="1"/>
  <c r="A202" i="59"/>
  <c r="D202" i="59"/>
  <c r="F202" i="59" s="1"/>
  <c r="I202" i="59" s="1"/>
  <c r="H200" i="59"/>
  <c r="H198" i="59"/>
  <c r="A200" i="59"/>
  <c r="K200" i="59" s="1"/>
  <c r="A198" i="59"/>
  <c r="K198" i="59" s="1"/>
  <c r="K199" i="59"/>
  <c r="G280" i="59"/>
  <c r="G278" i="59"/>
  <c r="A278" i="59"/>
  <c r="K278" i="59" s="1"/>
  <c r="K279" i="59"/>
  <c r="A280" i="59"/>
  <c r="K280" i="59" s="1"/>
  <c r="L285" i="59"/>
  <c r="D283" i="59"/>
  <c r="F283" i="59" s="1"/>
  <c r="I283" i="59" s="1"/>
  <c r="D282" i="59"/>
  <c r="F282" i="59" s="1"/>
  <c r="I282" i="59" s="1"/>
  <c r="A282" i="59"/>
  <c r="D281" i="59"/>
  <c r="F281" i="59" s="1"/>
  <c r="I281" i="59" s="1"/>
  <c r="H282" i="59"/>
  <c r="G282" i="59"/>
  <c r="G200" i="59"/>
  <c r="G198" i="59"/>
  <c r="J110" i="26"/>
  <c r="K214" i="26" s="1"/>
  <c r="K215" i="26" s="1"/>
  <c r="H110" i="26"/>
  <c r="J197" i="32"/>
  <c r="J129" i="24"/>
  <c r="H129" i="24"/>
  <c r="J152" i="43"/>
  <c r="H152" i="43"/>
  <c r="A284" i="43"/>
  <c r="C69" i="40"/>
  <c r="D69" i="40"/>
  <c r="K271" i="43" l="1"/>
  <c r="K272" i="43" s="1"/>
  <c r="R152" i="43"/>
  <c r="I223" i="43" s="1"/>
  <c r="H223" i="43" s="1"/>
  <c r="K158" i="24"/>
  <c r="K159" i="24" s="1"/>
  <c r="L129" i="24"/>
  <c r="I192" i="24" s="1"/>
  <c r="H197" i="32"/>
  <c r="L197" i="32"/>
  <c r="I243" i="32" s="1"/>
  <c r="H243" i="32" s="1"/>
  <c r="AO62" i="60"/>
  <c r="AO36" i="60"/>
  <c r="AP17" i="60"/>
  <c r="AO64" i="60"/>
  <c r="AO38" i="60"/>
  <c r="AP18" i="60"/>
  <c r="H203" i="59"/>
  <c r="H201" i="59"/>
  <c r="L288" i="59"/>
  <c r="D286" i="59"/>
  <c r="F286" i="59" s="1"/>
  <c r="I286" i="59" s="1"/>
  <c r="H285" i="59"/>
  <c r="G285" i="59"/>
  <c r="D284" i="59"/>
  <c r="F284" i="59" s="1"/>
  <c r="I284" i="59" s="1"/>
  <c r="D285" i="59"/>
  <c r="F285" i="59" s="1"/>
  <c r="I285" i="59" s="1"/>
  <c r="A285" i="59"/>
  <c r="H205" i="59"/>
  <c r="G205" i="59"/>
  <c r="D206" i="59"/>
  <c r="F206" i="59" s="1"/>
  <c r="I206" i="59" s="1"/>
  <c r="D205" i="59"/>
  <c r="F205" i="59" s="1"/>
  <c r="I205" i="59" s="1"/>
  <c r="D204" i="59"/>
  <c r="F204" i="59" s="1"/>
  <c r="I204" i="59" s="1"/>
  <c r="A205" i="59"/>
  <c r="L208" i="59"/>
  <c r="G283" i="59"/>
  <c r="G281" i="59"/>
  <c r="A201" i="59"/>
  <c r="K201" i="59" s="1"/>
  <c r="A203" i="59"/>
  <c r="K203" i="59" s="1"/>
  <c r="K202" i="59"/>
  <c r="A281" i="59"/>
  <c r="K281" i="59" s="1"/>
  <c r="A283" i="59"/>
  <c r="K283" i="59" s="1"/>
  <c r="K282" i="59"/>
  <c r="G203" i="59"/>
  <c r="G201" i="59"/>
  <c r="H283" i="59"/>
  <c r="H281" i="59"/>
  <c r="L152" i="43"/>
  <c r="M152" i="43"/>
  <c r="H135" i="43"/>
  <c r="A135" i="43"/>
  <c r="C71" i="40"/>
  <c r="H147" i="43"/>
  <c r="A147" i="43"/>
  <c r="J151" i="43"/>
  <c r="R151" i="43" s="1"/>
  <c r="I222" i="43" s="1"/>
  <c r="H151" i="43"/>
  <c r="AP64" i="60" l="1"/>
  <c r="AQ18" i="60"/>
  <c r="AP38" i="60"/>
  <c r="AP62" i="60"/>
  <c r="AQ17" i="60"/>
  <c r="AP36" i="60"/>
  <c r="K182" i="43"/>
  <c r="K183" i="43" s="1"/>
  <c r="K184" i="43"/>
  <c r="L211" i="59"/>
  <c r="D207" i="59"/>
  <c r="F207" i="59" s="1"/>
  <c r="I207" i="59" s="1"/>
  <c r="G208" i="59"/>
  <c r="D209" i="59"/>
  <c r="F209" i="59" s="1"/>
  <c r="I209" i="59" s="1"/>
  <c r="A208" i="59"/>
  <c r="D208" i="59"/>
  <c r="F208" i="59" s="1"/>
  <c r="I208" i="59" s="1"/>
  <c r="H208" i="59"/>
  <c r="L291" i="59"/>
  <c r="H288" i="59"/>
  <c r="D289" i="59"/>
  <c r="F289" i="59" s="1"/>
  <c r="I289" i="59" s="1"/>
  <c r="G288" i="59"/>
  <c r="D288" i="59"/>
  <c r="F288" i="59" s="1"/>
  <c r="I288" i="59" s="1"/>
  <c r="A288" i="59"/>
  <c r="D287" i="59"/>
  <c r="F287" i="59" s="1"/>
  <c r="I287" i="59" s="1"/>
  <c r="H206" i="59"/>
  <c r="H204" i="59"/>
  <c r="A204" i="59"/>
  <c r="K204" i="59" s="1"/>
  <c r="A206" i="59"/>
  <c r="K206" i="59" s="1"/>
  <c r="K205" i="59"/>
  <c r="G286" i="59"/>
  <c r="G284" i="59"/>
  <c r="H286" i="59"/>
  <c r="H284" i="59"/>
  <c r="G206" i="59"/>
  <c r="G204" i="59"/>
  <c r="A284" i="59"/>
  <c r="K284" i="59" s="1"/>
  <c r="A286" i="59"/>
  <c r="K286" i="59" s="1"/>
  <c r="K285" i="59"/>
  <c r="N152" i="43"/>
  <c r="M151" i="43"/>
  <c r="L151" i="43"/>
  <c r="A212" i="40"/>
  <c r="A210" i="40"/>
  <c r="C173" i="40"/>
  <c r="C174" i="40"/>
  <c r="C171" i="40"/>
  <c r="D171" i="40" s="1"/>
  <c r="J147" i="43" s="1"/>
  <c r="R147" i="43" s="1"/>
  <c r="I218" i="43" s="1"/>
  <c r="H218" i="43" s="1"/>
  <c r="J111" i="26"/>
  <c r="H111" i="26"/>
  <c r="H130" i="24"/>
  <c r="J130" i="24"/>
  <c r="K144" i="26" l="1"/>
  <c r="K145" i="26" s="1"/>
  <c r="L110" i="26"/>
  <c r="I172" i="26" s="1"/>
  <c r="K160" i="24"/>
  <c r="K169" i="24" s="1"/>
  <c r="L130" i="24"/>
  <c r="I191" i="24" s="1"/>
  <c r="AQ62" i="60"/>
  <c r="AR17" i="60"/>
  <c r="AQ36" i="60"/>
  <c r="AQ64" i="60"/>
  <c r="AQ38" i="60"/>
  <c r="AR18" i="60"/>
  <c r="K187" i="43"/>
  <c r="K185" i="43"/>
  <c r="K186" i="43"/>
  <c r="N151" i="43"/>
  <c r="A289" i="59"/>
  <c r="K289" i="59" s="1"/>
  <c r="K288" i="59"/>
  <c r="A287" i="59"/>
  <c r="K287" i="59" s="1"/>
  <c r="G289" i="59"/>
  <c r="G287" i="59"/>
  <c r="L294" i="59"/>
  <c r="D292" i="59"/>
  <c r="F292" i="59" s="1"/>
  <c r="I292" i="59" s="1"/>
  <c r="D291" i="59"/>
  <c r="F291" i="59" s="1"/>
  <c r="I291" i="59" s="1"/>
  <c r="H291" i="59"/>
  <c r="D290" i="59"/>
  <c r="F290" i="59" s="1"/>
  <c r="I290" i="59" s="1"/>
  <c r="A291" i="59"/>
  <c r="G291" i="59"/>
  <c r="H209" i="59"/>
  <c r="H207" i="59"/>
  <c r="A209" i="59"/>
  <c r="K209" i="59" s="1"/>
  <c r="A207" i="59"/>
  <c r="K207" i="59" s="1"/>
  <c r="K208" i="59"/>
  <c r="G209" i="59"/>
  <c r="G207" i="59"/>
  <c r="H289" i="59"/>
  <c r="H287" i="59"/>
  <c r="L214" i="59"/>
  <c r="A211" i="59"/>
  <c r="D212" i="59"/>
  <c r="F212" i="59" s="1"/>
  <c r="I212" i="59" s="1"/>
  <c r="D210" i="59"/>
  <c r="F210" i="59" s="1"/>
  <c r="I210" i="59" s="1"/>
  <c r="H211" i="59"/>
  <c r="G211" i="59"/>
  <c r="D211" i="59"/>
  <c r="F211" i="59" s="1"/>
  <c r="I211" i="59" s="1"/>
  <c r="K161" i="24"/>
  <c r="K170" i="24"/>
  <c r="K171" i="24" s="1"/>
  <c r="M147" i="43"/>
  <c r="L147" i="43"/>
  <c r="K147" i="43"/>
  <c r="D71" i="40"/>
  <c r="J135" i="43" s="1"/>
  <c r="R135" i="43" s="1"/>
  <c r="I207" i="43" s="1"/>
  <c r="A144" i="17"/>
  <c r="A329" i="39"/>
  <c r="G549" i="17"/>
  <c r="F549" i="17"/>
  <c r="E549" i="17"/>
  <c r="D549" i="17"/>
  <c r="C549" i="17"/>
  <c r="B549" i="17"/>
  <c r="H74" i="39"/>
  <c r="K326" i="39" s="1"/>
  <c r="K328" i="39" s="1"/>
  <c r="AR64" i="60" l="1"/>
  <c r="AS18" i="60"/>
  <c r="AR38" i="60"/>
  <c r="AR62" i="60"/>
  <c r="AS17" i="60"/>
  <c r="AR36" i="60"/>
  <c r="L217" i="59"/>
  <c r="D215" i="59"/>
  <c r="F215" i="59" s="1"/>
  <c r="I215" i="59" s="1"/>
  <c r="D214" i="59"/>
  <c r="F214" i="59" s="1"/>
  <c r="I214" i="59" s="1"/>
  <c r="A214" i="59"/>
  <c r="H214" i="59"/>
  <c r="D213" i="59"/>
  <c r="F213" i="59" s="1"/>
  <c r="I213" i="59" s="1"/>
  <c r="G214" i="59"/>
  <c r="L297" i="59"/>
  <c r="D295" i="59"/>
  <c r="F295" i="59" s="1"/>
  <c r="I295" i="59" s="1"/>
  <c r="D293" i="59"/>
  <c r="F293" i="59" s="1"/>
  <c r="I293" i="59" s="1"/>
  <c r="D294" i="59"/>
  <c r="F294" i="59" s="1"/>
  <c r="I294" i="59" s="1"/>
  <c r="A294" i="59"/>
  <c r="H294" i="59"/>
  <c r="G294" i="59"/>
  <c r="G290" i="59"/>
  <c r="G292" i="59"/>
  <c r="H212" i="59"/>
  <c r="H210" i="59"/>
  <c r="A210" i="59"/>
  <c r="K210" i="59" s="1"/>
  <c r="A212" i="59"/>
  <c r="K212" i="59" s="1"/>
  <c r="K211" i="59"/>
  <c r="G212" i="59"/>
  <c r="G210" i="59"/>
  <c r="A292" i="59"/>
  <c r="K292" i="59" s="1"/>
  <c r="A290" i="59"/>
  <c r="K290" i="59" s="1"/>
  <c r="K291" i="59"/>
  <c r="H290" i="59"/>
  <c r="H292" i="59"/>
  <c r="N147" i="43"/>
  <c r="K327" i="39"/>
  <c r="K199" i="22"/>
  <c r="J199" i="22"/>
  <c r="I199" i="22"/>
  <c r="H199" i="22"/>
  <c r="G199" i="22"/>
  <c r="F199" i="22"/>
  <c r="E199" i="22"/>
  <c r="D199" i="22"/>
  <c r="C199" i="22"/>
  <c r="B199" i="22"/>
  <c r="K179" i="22"/>
  <c r="J179" i="22"/>
  <c r="I179" i="22"/>
  <c r="H179" i="22"/>
  <c r="G179" i="22"/>
  <c r="F179" i="22"/>
  <c r="E179" i="22"/>
  <c r="D179" i="22"/>
  <c r="C179" i="22"/>
  <c r="B179" i="22"/>
  <c r="K159" i="22"/>
  <c r="J159" i="22"/>
  <c r="I159" i="22"/>
  <c r="H159" i="22"/>
  <c r="G159" i="22"/>
  <c r="F159" i="22"/>
  <c r="E159" i="22"/>
  <c r="D159" i="22"/>
  <c r="C159" i="22"/>
  <c r="B159" i="22"/>
  <c r="K139" i="22"/>
  <c r="J139" i="22"/>
  <c r="I139" i="22"/>
  <c r="H139" i="22"/>
  <c r="G139" i="22"/>
  <c r="F139" i="22"/>
  <c r="E139" i="22"/>
  <c r="D139" i="22"/>
  <c r="C139" i="22"/>
  <c r="B139" i="22"/>
  <c r="K119" i="22"/>
  <c r="J119" i="22"/>
  <c r="I119" i="22"/>
  <c r="H119" i="22"/>
  <c r="G119" i="22"/>
  <c r="F119" i="22"/>
  <c r="E119" i="22"/>
  <c r="D119" i="22"/>
  <c r="C119" i="22"/>
  <c r="B119" i="22"/>
  <c r="K99" i="22"/>
  <c r="J99" i="22"/>
  <c r="I99" i="22"/>
  <c r="H99" i="22"/>
  <c r="G99" i="22"/>
  <c r="F99" i="22"/>
  <c r="E99" i="22"/>
  <c r="D99" i="22"/>
  <c r="C99" i="22"/>
  <c r="B99" i="22"/>
  <c r="K79" i="22"/>
  <c r="J79" i="22"/>
  <c r="I79" i="22"/>
  <c r="H79" i="22"/>
  <c r="G79" i="22"/>
  <c r="F79" i="22"/>
  <c r="E79" i="22"/>
  <c r="D79" i="22"/>
  <c r="C79" i="22"/>
  <c r="B79" i="22"/>
  <c r="K59" i="22"/>
  <c r="J59" i="22"/>
  <c r="I59" i="22"/>
  <c r="H59" i="22"/>
  <c r="G59" i="22"/>
  <c r="F59" i="22"/>
  <c r="E59" i="22"/>
  <c r="D59" i="22"/>
  <c r="C59" i="22"/>
  <c r="B59" i="22"/>
  <c r="K39" i="22"/>
  <c r="J39" i="22"/>
  <c r="I39" i="22"/>
  <c r="H39" i="22"/>
  <c r="G39" i="22"/>
  <c r="F39" i="22"/>
  <c r="E39" i="22"/>
  <c r="D39" i="22"/>
  <c r="C39" i="22"/>
  <c r="B39" i="22"/>
  <c r="C19" i="22"/>
  <c r="D19" i="22"/>
  <c r="E19" i="22"/>
  <c r="F19" i="22"/>
  <c r="G19" i="22"/>
  <c r="H19" i="22"/>
  <c r="I19" i="22"/>
  <c r="J19" i="22"/>
  <c r="K19" i="22"/>
  <c r="AS62" i="60" l="1"/>
  <c r="AT17" i="60"/>
  <c r="AS36" i="60"/>
  <c r="AS64" i="60"/>
  <c r="AS38" i="60"/>
  <c r="AT18" i="60"/>
  <c r="H213" i="59"/>
  <c r="H215" i="59"/>
  <c r="A215" i="59"/>
  <c r="K215" i="59" s="1"/>
  <c r="A213" i="59"/>
  <c r="K213" i="59" s="1"/>
  <c r="K214" i="59"/>
  <c r="G297" i="59"/>
  <c r="H297" i="59"/>
  <c r="D298" i="59"/>
  <c r="F298" i="59" s="1"/>
  <c r="I298" i="59" s="1"/>
  <c r="D296" i="59"/>
  <c r="F296" i="59" s="1"/>
  <c r="I296" i="59" s="1"/>
  <c r="D297" i="59"/>
  <c r="F297" i="59" s="1"/>
  <c r="I297" i="59" s="1"/>
  <c r="A297" i="59"/>
  <c r="G215" i="59"/>
  <c r="G213" i="59"/>
  <c r="G293" i="59"/>
  <c r="G295" i="59"/>
  <c r="H295" i="59"/>
  <c r="H293" i="59"/>
  <c r="A293" i="59"/>
  <c r="K293" i="59" s="1"/>
  <c r="K294" i="59"/>
  <c r="A295" i="59"/>
  <c r="K295" i="59" s="1"/>
  <c r="H217" i="59"/>
  <c r="A217" i="59"/>
  <c r="G217" i="59"/>
  <c r="D218" i="59"/>
  <c r="F218" i="59" s="1"/>
  <c r="I218" i="59" s="1"/>
  <c r="D217" i="59"/>
  <c r="F217" i="59" s="1"/>
  <c r="I217" i="59" s="1"/>
  <c r="D216" i="59"/>
  <c r="F216" i="59" s="1"/>
  <c r="I216" i="59" s="1"/>
  <c r="G9" i="22"/>
  <c r="G8" i="22"/>
  <c r="H193" i="32"/>
  <c r="AT64" i="60" l="1"/>
  <c r="AT38" i="60"/>
  <c r="AU18" i="60"/>
  <c r="AT62" i="60"/>
  <c r="AU17" i="60"/>
  <c r="AT36" i="60"/>
  <c r="G298" i="59"/>
  <c r="G296" i="59"/>
  <c r="A296" i="59"/>
  <c r="K296" i="59" s="1"/>
  <c r="A298" i="59"/>
  <c r="K298" i="59" s="1"/>
  <c r="K297" i="59"/>
  <c r="H298" i="59"/>
  <c r="H296" i="59"/>
  <c r="H218" i="59"/>
  <c r="H216" i="59"/>
  <c r="G218" i="59"/>
  <c r="G216" i="59"/>
  <c r="A218" i="59"/>
  <c r="K218" i="59" s="1"/>
  <c r="A216" i="59"/>
  <c r="K216" i="59" s="1"/>
  <c r="K217" i="59"/>
  <c r="A107" i="26"/>
  <c r="A170" i="26" s="1"/>
  <c r="A106" i="26"/>
  <c r="A169" i="26" s="1"/>
  <c r="C92" i="6"/>
  <c r="C96" i="6"/>
  <c r="C97" i="6"/>
  <c r="J107" i="26" s="1"/>
  <c r="L107" i="26" s="1"/>
  <c r="AU62" i="60" l="1"/>
  <c r="AV17" i="60"/>
  <c r="AU36" i="60"/>
  <c r="AU64" i="60"/>
  <c r="AV18" i="60"/>
  <c r="AU38" i="60"/>
  <c r="A32" i="52"/>
  <c r="AV62" i="60" l="1"/>
  <c r="AW17" i="60"/>
  <c r="AV36" i="60"/>
  <c r="AV64" i="60"/>
  <c r="AW18" i="60"/>
  <c r="AV38" i="60"/>
  <c r="C171" i="53"/>
  <c r="C172" i="53" s="1"/>
  <c r="CM170" i="53"/>
  <c r="CL170" i="53"/>
  <c r="CK170" i="53"/>
  <c r="CJ170" i="53"/>
  <c r="CI170" i="53"/>
  <c r="CH170" i="53"/>
  <c r="CG170" i="53"/>
  <c r="CE170" i="53"/>
  <c r="CD170" i="53"/>
  <c r="CC170" i="53"/>
  <c r="CB170" i="53"/>
  <c r="CA170" i="53"/>
  <c r="BZ170" i="53"/>
  <c r="BY170" i="53"/>
  <c r="B395" i="52"/>
  <c r="A395" i="52"/>
  <c r="D335" i="52"/>
  <c r="K335" i="52" s="1"/>
  <c r="D336" i="52"/>
  <c r="K336" i="52" s="1"/>
  <c r="D337" i="52"/>
  <c r="K337" i="52" s="1"/>
  <c r="D338" i="52"/>
  <c r="K338" i="52" s="1"/>
  <c r="D339" i="52"/>
  <c r="K339" i="52" s="1"/>
  <c r="D340" i="52"/>
  <c r="K340" i="52" s="1"/>
  <c r="D341" i="52"/>
  <c r="K341" i="52" s="1"/>
  <c r="D342" i="52"/>
  <c r="K342" i="52" s="1"/>
  <c r="D343" i="52"/>
  <c r="K343" i="52" s="1"/>
  <c r="D344" i="52"/>
  <c r="K344" i="52" s="1"/>
  <c r="D345" i="52"/>
  <c r="K345" i="52" s="1"/>
  <c r="D346" i="52"/>
  <c r="K346" i="52" s="1"/>
  <c r="D347" i="52"/>
  <c r="K347" i="52" s="1"/>
  <c r="D348" i="52"/>
  <c r="K348" i="52" s="1"/>
  <c r="D349" i="52"/>
  <c r="K349" i="52" s="1"/>
  <c r="D350" i="52"/>
  <c r="K350" i="52" s="1"/>
  <c r="D351" i="52"/>
  <c r="K351" i="52" s="1"/>
  <c r="D352" i="52"/>
  <c r="K352" i="52" s="1"/>
  <c r="D353" i="52"/>
  <c r="K353" i="52" s="1"/>
  <c r="D354" i="52"/>
  <c r="K354" i="52" s="1"/>
  <c r="D355" i="52"/>
  <c r="K355" i="52" s="1"/>
  <c r="D356" i="52"/>
  <c r="K356" i="52" s="1"/>
  <c r="D357" i="52"/>
  <c r="K357" i="52" s="1"/>
  <c r="D358" i="52"/>
  <c r="K358" i="52" s="1"/>
  <c r="D359" i="52"/>
  <c r="K359" i="52" s="1"/>
  <c r="D360" i="52"/>
  <c r="K360" i="52" s="1"/>
  <c r="D361" i="52"/>
  <c r="K361" i="52" s="1"/>
  <c r="D362" i="52"/>
  <c r="K362" i="52" s="1"/>
  <c r="D363" i="52"/>
  <c r="K363" i="52" s="1"/>
  <c r="D364" i="52"/>
  <c r="K364" i="52" s="1"/>
  <c r="D286" i="52"/>
  <c r="K286" i="52" s="1"/>
  <c r="D287" i="52"/>
  <c r="K287" i="52" s="1"/>
  <c r="D288" i="52"/>
  <c r="K288" i="52" s="1"/>
  <c r="D289" i="52"/>
  <c r="K289" i="52" s="1"/>
  <c r="D290" i="52"/>
  <c r="K290" i="52" s="1"/>
  <c r="D291" i="52"/>
  <c r="K291" i="52" s="1"/>
  <c r="D292" i="52"/>
  <c r="D293" i="52"/>
  <c r="K293" i="52" s="1"/>
  <c r="D294" i="52"/>
  <c r="K294" i="52" s="1"/>
  <c r="D295" i="52"/>
  <c r="K295" i="52" s="1"/>
  <c r="D296" i="52"/>
  <c r="D297" i="52"/>
  <c r="K297" i="52" s="1"/>
  <c r="D298" i="52"/>
  <c r="K298" i="52" s="1"/>
  <c r="D299" i="52"/>
  <c r="K299" i="52" s="1"/>
  <c r="D300" i="52"/>
  <c r="K300" i="52" s="1"/>
  <c r="D301" i="52"/>
  <c r="K301" i="52" s="1"/>
  <c r="D302" i="52"/>
  <c r="K302" i="52" s="1"/>
  <c r="D303" i="52"/>
  <c r="K303" i="52" s="1"/>
  <c r="D304" i="52"/>
  <c r="K304" i="52" s="1"/>
  <c r="D305" i="52"/>
  <c r="K305" i="52" s="1"/>
  <c r="D306" i="52"/>
  <c r="K306" i="52" s="1"/>
  <c r="D307" i="52"/>
  <c r="K307" i="52" s="1"/>
  <c r="D308" i="52"/>
  <c r="D309" i="52"/>
  <c r="K309" i="52" s="1"/>
  <c r="D310" i="52"/>
  <c r="K310" i="52" s="1"/>
  <c r="D311" i="52"/>
  <c r="K311" i="52" s="1"/>
  <c r="D312" i="52"/>
  <c r="D313" i="52"/>
  <c r="K313" i="52" s="1"/>
  <c r="D314" i="52"/>
  <c r="K314" i="52" s="1"/>
  <c r="D315" i="52"/>
  <c r="K315" i="52" s="1"/>
  <c r="D316" i="52"/>
  <c r="K316" i="52" s="1"/>
  <c r="D317" i="52"/>
  <c r="K317" i="52" s="1"/>
  <c r="D318" i="52"/>
  <c r="K318" i="52" s="1"/>
  <c r="D319" i="52"/>
  <c r="K319" i="52" s="1"/>
  <c r="D320" i="52"/>
  <c r="K320" i="52" s="1"/>
  <c r="D321" i="52"/>
  <c r="K321" i="52" s="1"/>
  <c r="D322" i="52"/>
  <c r="K322" i="52" s="1"/>
  <c r="D323" i="52"/>
  <c r="K323" i="52" s="1"/>
  <c r="D324" i="52"/>
  <c r="D325" i="52"/>
  <c r="K325" i="52" s="1"/>
  <c r="D326" i="52"/>
  <c r="K326" i="52" s="1"/>
  <c r="D327" i="52"/>
  <c r="K327" i="52" s="1"/>
  <c r="D328" i="52"/>
  <c r="D329" i="52"/>
  <c r="K329" i="52" s="1"/>
  <c r="D330" i="52"/>
  <c r="K330" i="52" s="1"/>
  <c r="D331" i="52"/>
  <c r="K331" i="52" s="1"/>
  <c r="D332" i="52"/>
  <c r="K332" i="52" s="1"/>
  <c r="D333" i="52"/>
  <c r="K333" i="52" s="1"/>
  <c r="D334" i="52"/>
  <c r="K334" i="52" s="1"/>
  <c r="O171" i="53"/>
  <c r="P171" i="53" s="1"/>
  <c r="G286" i="52" s="1"/>
  <c r="M286" i="52" s="1"/>
  <c r="H286" i="52"/>
  <c r="O172" i="53"/>
  <c r="P172" i="53"/>
  <c r="G287" i="52" s="1"/>
  <c r="M287" i="52" s="1"/>
  <c r="H287" i="52"/>
  <c r="O173" i="53"/>
  <c r="P173" i="53"/>
  <c r="G288" i="52" s="1"/>
  <c r="M288" i="52" s="1"/>
  <c r="H288" i="52"/>
  <c r="O174" i="53"/>
  <c r="P174" i="53"/>
  <c r="G289" i="52" s="1"/>
  <c r="M289" i="52" s="1"/>
  <c r="H289" i="52"/>
  <c r="O175" i="53"/>
  <c r="P175" i="53"/>
  <c r="G290" i="52" s="1"/>
  <c r="M290" i="52" s="1"/>
  <c r="H290" i="52"/>
  <c r="O176" i="53"/>
  <c r="P176" i="53"/>
  <c r="G291" i="52" s="1"/>
  <c r="M291" i="52" s="1"/>
  <c r="H291" i="52"/>
  <c r="O177" i="53"/>
  <c r="P177" i="53"/>
  <c r="G292" i="52" s="1"/>
  <c r="M292" i="52" s="1"/>
  <c r="H292" i="52"/>
  <c r="O178" i="53"/>
  <c r="P178" i="53"/>
  <c r="G293" i="52" s="1"/>
  <c r="M293" i="52" s="1"/>
  <c r="H293" i="52"/>
  <c r="O179" i="53"/>
  <c r="P179" i="53"/>
  <c r="G294" i="52" s="1"/>
  <c r="M294" i="52" s="1"/>
  <c r="H294" i="52"/>
  <c r="O180" i="53"/>
  <c r="P180" i="53"/>
  <c r="G295" i="52" s="1"/>
  <c r="M295" i="52" s="1"/>
  <c r="H295" i="52"/>
  <c r="O181" i="53"/>
  <c r="P181" i="53"/>
  <c r="G296" i="52" s="1"/>
  <c r="M296" i="52" s="1"/>
  <c r="H296" i="52"/>
  <c r="O182" i="53"/>
  <c r="P182" i="53"/>
  <c r="G297" i="52" s="1"/>
  <c r="M297" i="52" s="1"/>
  <c r="H297" i="52"/>
  <c r="O183" i="53"/>
  <c r="P183" i="53"/>
  <c r="G298" i="52" s="1"/>
  <c r="M298" i="52" s="1"/>
  <c r="H298" i="52"/>
  <c r="O184" i="53"/>
  <c r="P184" i="53"/>
  <c r="G299" i="52" s="1"/>
  <c r="M299" i="52" s="1"/>
  <c r="H299" i="52"/>
  <c r="O185" i="53"/>
  <c r="P185" i="53"/>
  <c r="G300" i="52" s="1"/>
  <c r="M300" i="52" s="1"/>
  <c r="H300" i="52"/>
  <c r="O186" i="53"/>
  <c r="P186" i="53"/>
  <c r="G301" i="52" s="1"/>
  <c r="M301" i="52" s="1"/>
  <c r="H301" i="52"/>
  <c r="O187" i="53"/>
  <c r="P187" i="53"/>
  <c r="G302" i="52" s="1"/>
  <c r="M302" i="52" s="1"/>
  <c r="H302" i="52"/>
  <c r="O188" i="53"/>
  <c r="P188" i="53"/>
  <c r="G303" i="52" s="1"/>
  <c r="M303" i="52" s="1"/>
  <c r="H303" i="52"/>
  <c r="O189" i="53"/>
  <c r="P189" i="53"/>
  <c r="G304" i="52" s="1"/>
  <c r="M304" i="52" s="1"/>
  <c r="H304" i="52"/>
  <c r="O190" i="53"/>
  <c r="P190" i="53"/>
  <c r="G305" i="52" s="1"/>
  <c r="M305" i="52" s="1"/>
  <c r="H305" i="52"/>
  <c r="O191" i="53"/>
  <c r="P191" i="53"/>
  <c r="G306" i="52" s="1"/>
  <c r="M306" i="52" s="1"/>
  <c r="H306" i="52"/>
  <c r="O192" i="53"/>
  <c r="P192" i="53"/>
  <c r="G307" i="52" s="1"/>
  <c r="M307" i="52" s="1"/>
  <c r="H307" i="52"/>
  <c r="O193" i="53"/>
  <c r="P193" i="53"/>
  <c r="G308" i="52" s="1"/>
  <c r="M308" i="52" s="1"/>
  <c r="H308" i="52"/>
  <c r="O194" i="53"/>
  <c r="P194" i="53"/>
  <c r="G309" i="52" s="1"/>
  <c r="M309" i="52" s="1"/>
  <c r="H309" i="52"/>
  <c r="O195" i="53"/>
  <c r="P195" i="53"/>
  <c r="G310" i="52" s="1"/>
  <c r="M310" i="52" s="1"/>
  <c r="H310" i="52"/>
  <c r="O196" i="53"/>
  <c r="P196" i="53"/>
  <c r="G311" i="52" s="1"/>
  <c r="M311" i="52" s="1"/>
  <c r="H311" i="52"/>
  <c r="O197" i="53"/>
  <c r="P197" i="53"/>
  <c r="G312" i="52" s="1"/>
  <c r="M312" i="52" s="1"/>
  <c r="H312" i="52"/>
  <c r="O198" i="53"/>
  <c r="P198" i="53"/>
  <c r="G313" i="52" s="1"/>
  <c r="M313" i="52" s="1"/>
  <c r="H313" i="52"/>
  <c r="O199" i="53"/>
  <c r="P199" i="53"/>
  <c r="G314" i="52" s="1"/>
  <c r="M314" i="52" s="1"/>
  <c r="H314" i="52"/>
  <c r="O200" i="53"/>
  <c r="P200" i="53"/>
  <c r="G315" i="52" s="1"/>
  <c r="M315" i="52" s="1"/>
  <c r="H315" i="52"/>
  <c r="O201" i="53"/>
  <c r="P201" i="53"/>
  <c r="G316" i="52" s="1"/>
  <c r="M316" i="52" s="1"/>
  <c r="H316" i="52"/>
  <c r="O202" i="53"/>
  <c r="P202" i="53"/>
  <c r="G317" i="52" s="1"/>
  <c r="M317" i="52" s="1"/>
  <c r="H317" i="52"/>
  <c r="O203" i="53"/>
  <c r="P203" i="53"/>
  <c r="G318" i="52" s="1"/>
  <c r="M318" i="52" s="1"/>
  <c r="H318" i="52"/>
  <c r="O204" i="53"/>
  <c r="P204" i="53"/>
  <c r="G319" i="52" s="1"/>
  <c r="M319" i="52" s="1"/>
  <c r="H319" i="52"/>
  <c r="O205" i="53"/>
  <c r="P205" i="53"/>
  <c r="G320" i="52" s="1"/>
  <c r="M320" i="52" s="1"/>
  <c r="H320" i="52"/>
  <c r="O206" i="53"/>
  <c r="P206" i="53"/>
  <c r="G321" i="52" s="1"/>
  <c r="M321" i="52" s="1"/>
  <c r="H321" i="52"/>
  <c r="O207" i="53"/>
  <c r="P207" i="53"/>
  <c r="G322" i="52" s="1"/>
  <c r="M322" i="52" s="1"/>
  <c r="H322" i="52"/>
  <c r="O208" i="53"/>
  <c r="P208" i="53"/>
  <c r="G323" i="52" s="1"/>
  <c r="M323" i="52" s="1"/>
  <c r="H323" i="52"/>
  <c r="O209" i="53"/>
  <c r="P209" i="53"/>
  <c r="G324" i="52" s="1"/>
  <c r="M324" i="52" s="1"/>
  <c r="H324" i="52"/>
  <c r="O210" i="53"/>
  <c r="P210" i="53"/>
  <c r="G325" i="52" s="1"/>
  <c r="M325" i="52" s="1"/>
  <c r="H325" i="52"/>
  <c r="O211" i="53"/>
  <c r="P211" i="53"/>
  <c r="G326" i="52" s="1"/>
  <c r="M326" i="52" s="1"/>
  <c r="H326" i="52"/>
  <c r="O212" i="53"/>
  <c r="P212" i="53"/>
  <c r="G327" i="52" s="1"/>
  <c r="M327" i="52" s="1"/>
  <c r="H327" i="52"/>
  <c r="O213" i="53"/>
  <c r="P213" i="53"/>
  <c r="G328" i="52" s="1"/>
  <c r="M328" i="52" s="1"/>
  <c r="H328" i="52"/>
  <c r="O214" i="53"/>
  <c r="P214" i="53"/>
  <c r="G329" i="52" s="1"/>
  <c r="M329" i="52" s="1"/>
  <c r="H329" i="52"/>
  <c r="O215" i="53"/>
  <c r="P215" i="53"/>
  <c r="G330" i="52" s="1"/>
  <c r="M330" i="52" s="1"/>
  <c r="H330" i="52"/>
  <c r="O216" i="53"/>
  <c r="P216" i="53"/>
  <c r="G331" i="52" s="1"/>
  <c r="M331" i="52" s="1"/>
  <c r="H331" i="52"/>
  <c r="O217" i="53"/>
  <c r="P217" i="53"/>
  <c r="G332" i="52" s="1"/>
  <c r="M332" i="52" s="1"/>
  <c r="H332" i="52"/>
  <c r="O218" i="53"/>
  <c r="P218" i="53"/>
  <c r="G333" i="52" s="1"/>
  <c r="M333" i="52" s="1"/>
  <c r="H333" i="52"/>
  <c r="O219" i="53"/>
  <c r="P219" i="53"/>
  <c r="G334" i="52" s="1"/>
  <c r="M334" i="52" s="1"/>
  <c r="H334" i="52"/>
  <c r="O220" i="53"/>
  <c r="P220" i="53"/>
  <c r="G335" i="52" s="1"/>
  <c r="M335" i="52" s="1"/>
  <c r="H335" i="52"/>
  <c r="O221" i="53"/>
  <c r="P221" i="53"/>
  <c r="G336" i="52" s="1"/>
  <c r="M336" i="52" s="1"/>
  <c r="H336" i="52"/>
  <c r="O222" i="53"/>
  <c r="P222" i="53"/>
  <c r="G337" i="52" s="1"/>
  <c r="M337" i="52" s="1"/>
  <c r="H337" i="52"/>
  <c r="O223" i="53"/>
  <c r="P223" i="53"/>
  <c r="G338" i="52" s="1"/>
  <c r="M338" i="52" s="1"/>
  <c r="H338" i="52"/>
  <c r="O224" i="53"/>
  <c r="P224" i="53"/>
  <c r="G339" i="52" s="1"/>
  <c r="M339" i="52" s="1"/>
  <c r="H339" i="52"/>
  <c r="O225" i="53"/>
  <c r="P225" i="53"/>
  <c r="G340" i="52" s="1"/>
  <c r="M340" i="52" s="1"/>
  <c r="H340" i="52"/>
  <c r="O226" i="53"/>
  <c r="P226" i="53"/>
  <c r="G341" i="52" s="1"/>
  <c r="M341" i="52" s="1"/>
  <c r="H341" i="52"/>
  <c r="O227" i="53"/>
  <c r="P227" i="53"/>
  <c r="G342" i="52" s="1"/>
  <c r="M342" i="52" s="1"/>
  <c r="H342" i="52"/>
  <c r="O228" i="53"/>
  <c r="P228" i="53"/>
  <c r="G343" i="52" s="1"/>
  <c r="M343" i="52" s="1"/>
  <c r="H343" i="52"/>
  <c r="O229" i="53"/>
  <c r="P229" i="53"/>
  <c r="G344" i="52" s="1"/>
  <c r="M344" i="52" s="1"/>
  <c r="H344" i="52"/>
  <c r="O230" i="53"/>
  <c r="P230" i="53"/>
  <c r="G345" i="52" s="1"/>
  <c r="M345" i="52" s="1"/>
  <c r="H345" i="52"/>
  <c r="O231" i="53"/>
  <c r="P231" i="53"/>
  <c r="G346" i="52" s="1"/>
  <c r="M346" i="52" s="1"/>
  <c r="H346" i="52"/>
  <c r="O232" i="53"/>
  <c r="P232" i="53"/>
  <c r="G347" i="52" s="1"/>
  <c r="M347" i="52" s="1"/>
  <c r="H347" i="52"/>
  <c r="O233" i="53"/>
  <c r="P233" i="53"/>
  <c r="G348" i="52" s="1"/>
  <c r="M348" i="52" s="1"/>
  <c r="H348" i="52"/>
  <c r="O234" i="53"/>
  <c r="P234" i="53"/>
  <c r="G349" i="52" s="1"/>
  <c r="M349" i="52" s="1"/>
  <c r="H349" i="52"/>
  <c r="O235" i="53"/>
  <c r="P235" i="53"/>
  <c r="G350" i="52" s="1"/>
  <c r="M350" i="52" s="1"/>
  <c r="H350" i="52"/>
  <c r="O236" i="53"/>
  <c r="P236" i="53"/>
  <c r="G351" i="52" s="1"/>
  <c r="M351" i="52" s="1"/>
  <c r="H351" i="52"/>
  <c r="O237" i="53"/>
  <c r="P237" i="53"/>
  <c r="G352" i="52" s="1"/>
  <c r="M352" i="52" s="1"/>
  <c r="H352" i="52"/>
  <c r="O238" i="53"/>
  <c r="P238" i="53"/>
  <c r="G353" i="52" s="1"/>
  <c r="M353" i="52" s="1"/>
  <c r="H353" i="52"/>
  <c r="O239" i="53"/>
  <c r="P239" i="53"/>
  <c r="G354" i="52" s="1"/>
  <c r="M354" i="52" s="1"/>
  <c r="H354" i="52"/>
  <c r="O240" i="53"/>
  <c r="P240" i="53"/>
  <c r="G355" i="52" s="1"/>
  <c r="M355" i="52" s="1"/>
  <c r="H355" i="52"/>
  <c r="O241" i="53"/>
  <c r="P241" i="53"/>
  <c r="G356" i="52" s="1"/>
  <c r="M356" i="52" s="1"/>
  <c r="H356" i="52"/>
  <c r="O242" i="53"/>
  <c r="P242" i="53"/>
  <c r="G357" i="52" s="1"/>
  <c r="M357" i="52" s="1"/>
  <c r="H357" i="52"/>
  <c r="O243" i="53"/>
  <c r="P243" i="53"/>
  <c r="G358" i="52" s="1"/>
  <c r="M358" i="52" s="1"/>
  <c r="H358" i="52"/>
  <c r="O244" i="53"/>
  <c r="P244" i="53"/>
  <c r="G359" i="52" s="1"/>
  <c r="M359" i="52" s="1"/>
  <c r="H359" i="52"/>
  <c r="O245" i="53"/>
  <c r="P245" i="53"/>
  <c r="G360" i="52" s="1"/>
  <c r="M360" i="52" s="1"/>
  <c r="H360" i="52"/>
  <c r="O246" i="53"/>
  <c r="P246" i="53"/>
  <c r="G361" i="52" s="1"/>
  <c r="M361" i="52" s="1"/>
  <c r="H361" i="52"/>
  <c r="O247" i="53"/>
  <c r="P247" i="53"/>
  <c r="G362" i="52" s="1"/>
  <c r="M362" i="52" s="1"/>
  <c r="H362" i="52"/>
  <c r="O248" i="53"/>
  <c r="P248" i="53"/>
  <c r="G363" i="52" s="1"/>
  <c r="M363" i="52" s="1"/>
  <c r="H363" i="52"/>
  <c r="O249" i="53"/>
  <c r="P249" i="53"/>
  <c r="G364" i="52" s="1"/>
  <c r="M364" i="52" s="1"/>
  <c r="H364" i="52"/>
  <c r="D285" i="52"/>
  <c r="B285" i="52"/>
  <c r="A285" i="52"/>
  <c r="H285" i="52"/>
  <c r="K285" i="52" l="1"/>
  <c r="I628" i="52"/>
  <c r="AW64" i="60"/>
  <c r="AX18" i="60"/>
  <c r="AW38" i="60"/>
  <c r="AW62" i="60"/>
  <c r="AW36" i="60"/>
  <c r="AX17" i="60"/>
  <c r="C173" i="53"/>
  <c r="R243" i="53"/>
  <c r="I358" i="52" s="1"/>
  <c r="J358" i="52" s="1"/>
  <c r="F358" i="52"/>
  <c r="R235" i="53"/>
  <c r="I350" i="52" s="1"/>
  <c r="J350" i="52" s="1"/>
  <c r="F350" i="52"/>
  <c r="R227" i="53"/>
  <c r="I342" i="52" s="1"/>
  <c r="J342" i="52" s="1"/>
  <c r="F342" i="52"/>
  <c r="R219" i="53"/>
  <c r="I334" i="52" s="1"/>
  <c r="J334" i="52" s="1"/>
  <c r="F334" i="52"/>
  <c r="R211" i="53"/>
  <c r="I326" i="52" s="1"/>
  <c r="J326" i="52" s="1"/>
  <c r="F326" i="52"/>
  <c r="R203" i="53"/>
  <c r="I318" i="52" s="1"/>
  <c r="J318" i="52" s="1"/>
  <c r="F318" i="52"/>
  <c r="R195" i="53"/>
  <c r="I310" i="52" s="1"/>
  <c r="J310" i="52" s="1"/>
  <c r="F310" i="52"/>
  <c r="R187" i="53"/>
  <c r="I302" i="52" s="1"/>
  <c r="J302" i="52" s="1"/>
  <c r="F302" i="52"/>
  <c r="R179" i="53"/>
  <c r="I294" i="52" s="1"/>
  <c r="J294" i="52" s="1"/>
  <c r="F294" i="52"/>
  <c r="R171" i="53"/>
  <c r="I286" i="52" s="1"/>
  <c r="F286" i="52"/>
  <c r="R249" i="53"/>
  <c r="I364" i="52" s="1"/>
  <c r="J364" i="52" s="1"/>
  <c r="F364" i="52"/>
  <c r="R241" i="53"/>
  <c r="I356" i="52" s="1"/>
  <c r="J356" i="52" s="1"/>
  <c r="F356" i="52"/>
  <c r="R233" i="53"/>
  <c r="I348" i="52" s="1"/>
  <c r="J348" i="52" s="1"/>
  <c r="F348" i="52"/>
  <c r="R225" i="53"/>
  <c r="I340" i="52" s="1"/>
  <c r="J340" i="52" s="1"/>
  <c r="F340" i="52"/>
  <c r="R217" i="53"/>
  <c r="I332" i="52" s="1"/>
  <c r="J332" i="52" s="1"/>
  <c r="F332" i="52"/>
  <c r="R209" i="53"/>
  <c r="I324" i="52" s="1"/>
  <c r="J324" i="52" s="1"/>
  <c r="F324" i="52"/>
  <c r="R201" i="53"/>
  <c r="I316" i="52" s="1"/>
  <c r="F316" i="52"/>
  <c r="R193" i="53"/>
  <c r="I308" i="52" s="1"/>
  <c r="J308" i="52" s="1"/>
  <c r="F308" i="52"/>
  <c r="R189" i="53"/>
  <c r="I304" i="52" s="1"/>
  <c r="J304" i="52" s="1"/>
  <c r="F304" i="52"/>
  <c r="R247" i="53"/>
  <c r="I362" i="52" s="1"/>
  <c r="J362" i="52" s="1"/>
  <c r="F362" i="52"/>
  <c r="R239" i="53"/>
  <c r="I354" i="52" s="1"/>
  <c r="J354" i="52" s="1"/>
  <c r="F354" i="52"/>
  <c r="R231" i="53"/>
  <c r="I346" i="52" s="1"/>
  <c r="J346" i="52" s="1"/>
  <c r="F346" i="52"/>
  <c r="R223" i="53"/>
  <c r="I338" i="52" s="1"/>
  <c r="J338" i="52" s="1"/>
  <c r="F338" i="52"/>
  <c r="R215" i="53"/>
  <c r="I330" i="52" s="1"/>
  <c r="J330" i="52" s="1"/>
  <c r="F330" i="52"/>
  <c r="R207" i="53"/>
  <c r="I322" i="52" s="1"/>
  <c r="J322" i="52" s="1"/>
  <c r="F322" i="52"/>
  <c r="R199" i="53"/>
  <c r="I314" i="52" s="1"/>
  <c r="J314" i="52" s="1"/>
  <c r="F314" i="52"/>
  <c r="R191" i="53"/>
  <c r="I306" i="52" s="1"/>
  <c r="J306" i="52" s="1"/>
  <c r="F306" i="52"/>
  <c r="R183" i="53"/>
  <c r="I298" i="52" s="1"/>
  <c r="J298" i="52" s="1"/>
  <c r="F298" i="52"/>
  <c r="R175" i="53"/>
  <c r="I290" i="52" s="1"/>
  <c r="J290" i="52" s="1"/>
  <c r="F290" i="52"/>
  <c r="R245" i="53"/>
  <c r="I360" i="52" s="1"/>
  <c r="J360" i="52" s="1"/>
  <c r="F360" i="52"/>
  <c r="R237" i="53"/>
  <c r="I352" i="52" s="1"/>
  <c r="J352" i="52" s="1"/>
  <c r="F352" i="52"/>
  <c r="R229" i="53"/>
  <c r="I344" i="52" s="1"/>
  <c r="J344" i="52" s="1"/>
  <c r="F344" i="52"/>
  <c r="R221" i="53"/>
  <c r="I336" i="52" s="1"/>
  <c r="J336" i="52" s="1"/>
  <c r="F336" i="52"/>
  <c r="R213" i="53"/>
  <c r="I328" i="52" s="1"/>
  <c r="J328" i="52" s="1"/>
  <c r="F328" i="52"/>
  <c r="R205" i="53"/>
  <c r="I320" i="52" s="1"/>
  <c r="J320" i="52" s="1"/>
  <c r="F320" i="52"/>
  <c r="R197" i="53"/>
  <c r="I312" i="52" s="1"/>
  <c r="J312" i="52" s="1"/>
  <c r="F312" i="52"/>
  <c r="R185" i="53"/>
  <c r="I300" i="52" s="1"/>
  <c r="J300" i="52" s="1"/>
  <c r="F300" i="52"/>
  <c r="R181" i="53"/>
  <c r="I296" i="52" s="1"/>
  <c r="J296" i="52" s="1"/>
  <c r="F296" i="52"/>
  <c r="R177" i="53"/>
  <c r="I292" i="52" s="1"/>
  <c r="J292" i="52" s="1"/>
  <c r="F292" i="52"/>
  <c r="R173" i="53"/>
  <c r="I288" i="52" s="1"/>
  <c r="J288" i="52" s="1"/>
  <c r="F288" i="52"/>
  <c r="R246" i="53"/>
  <c r="I361" i="52" s="1"/>
  <c r="J361" i="52" s="1"/>
  <c r="R242" i="53"/>
  <c r="I357" i="52" s="1"/>
  <c r="J357" i="52" s="1"/>
  <c r="R238" i="53"/>
  <c r="I353" i="52" s="1"/>
  <c r="J353" i="52" s="1"/>
  <c r="R234" i="53"/>
  <c r="I349" i="52" s="1"/>
  <c r="J349" i="52" s="1"/>
  <c r="R230" i="53"/>
  <c r="I345" i="52" s="1"/>
  <c r="J345" i="52" s="1"/>
  <c r="R226" i="53"/>
  <c r="I341" i="52" s="1"/>
  <c r="J341" i="52" s="1"/>
  <c r="R222" i="53"/>
  <c r="I337" i="52" s="1"/>
  <c r="J337" i="52" s="1"/>
  <c r="R218" i="53"/>
  <c r="I333" i="52" s="1"/>
  <c r="J333" i="52" s="1"/>
  <c r="R214" i="53"/>
  <c r="I329" i="52" s="1"/>
  <c r="J329" i="52" s="1"/>
  <c r="R210" i="53"/>
  <c r="I325" i="52" s="1"/>
  <c r="J325" i="52" s="1"/>
  <c r="R206" i="53"/>
  <c r="I321" i="52" s="1"/>
  <c r="J321" i="52" s="1"/>
  <c r="R202" i="53"/>
  <c r="I317" i="52" s="1"/>
  <c r="J317" i="52" s="1"/>
  <c r="R198" i="53"/>
  <c r="I313" i="52" s="1"/>
  <c r="J313" i="52" s="1"/>
  <c r="R194" i="53"/>
  <c r="I309" i="52" s="1"/>
  <c r="J309" i="52" s="1"/>
  <c r="F309" i="52"/>
  <c r="R190" i="53"/>
  <c r="I305" i="52" s="1"/>
  <c r="J305" i="52" s="1"/>
  <c r="F305" i="52"/>
  <c r="R186" i="53"/>
  <c r="I301" i="52" s="1"/>
  <c r="J301" i="52" s="1"/>
  <c r="F301" i="52"/>
  <c r="R182" i="53"/>
  <c r="I297" i="52" s="1"/>
  <c r="J297" i="52" s="1"/>
  <c r="F297" i="52"/>
  <c r="R178" i="53"/>
  <c r="I293" i="52" s="1"/>
  <c r="J293" i="52" s="1"/>
  <c r="F293" i="52"/>
  <c r="R174" i="53"/>
  <c r="I289" i="52" s="1"/>
  <c r="J289" i="52" s="1"/>
  <c r="F289" i="52"/>
  <c r="R248" i="53"/>
  <c r="I363" i="52" s="1"/>
  <c r="J363" i="52" s="1"/>
  <c r="R244" i="53"/>
  <c r="I359" i="52" s="1"/>
  <c r="J359" i="52" s="1"/>
  <c r="R240" i="53"/>
  <c r="I355" i="52" s="1"/>
  <c r="J355" i="52" s="1"/>
  <c r="R236" i="53"/>
  <c r="I351" i="52" s="1"/>
  <c r="J351" i="52" s="1"/>
  <c r="R232" i="53"/>
  <c r="I347" i="52" s="1"/>
  <c r="J347" i="52" s="1"/>
  <c r="R228" i="53"/>
  <c r="I343" i="52" s="1"/>
  <c r="J343" i="52" s="1"/>
  <c r="R224" i="53"/>
  <c r="I339" i="52" s="1"/>
  <c r="J339" i="52" s="1"/>
  <c r="R220" i="53"/>
  <c r="I335" i="52" s="1"/>
  <c r="J335" i="52" s="1"/>
  <c r="R216" i="53"/>
  <c r="I331" i="52" s="1"/>
  <c r="R212" i="53"/>
  <c r="I327" i="52" s="1"/>
  <c r="J327" i="52" s="1"/>
  <c r="R208" i="53"/>
  <c r="I323" i="52" s="1"/>
  <c r="J323" i="52" s="1"/>
  <c r="R204" i="53"/>
  <c r="I319" i="52" s="1"/>
  <c r="J319" i="52" s="1"/>
  <c r="R200" i="53"/>
  <c r="I315" i="52" s="1"/>
  <c r="J315" i="52" s="1"/>
  <c r="R196" i="53"/>
  <c r="I311" i="52" s="1"/>
  <c r="J311" i="52" s="1"/>
  <c r="F311" i="52"/>
  <c r="R192" i="53"/>
  <c r="I307" i="52" s="1"/>
  <c r="J307" i="52" s="1"/>
  <c r="F307" i="52"/>
  <c r="R188" i="53"/>
  <c r="I303" i="52" s="1"/>
  <c r="J303" i="52" s="1"/>
  <c r="F303" i="52"/>
  <c r="R184" i="53"/>
  <c r="I299" i="52" s="1"/>
  <c r="J299" i="52" s="1"/>
  <c r="F299" i="52"/>
  <c r="R180" i="53"/>
  <c r="I295" i="52" s="1"/>
  <c r="J295" i="52" s="1"/>
  <c r="F295" i="52"/>
  <c r="R176" i="53"/>
  <c r="I291" i="52" s="1"/>
  <c r="J291" i="52" s="1"/>
  <c r="F291" i="52"/>
  <c r="R172" i="53"/>
  <c r="I287" i="52" s="1"/>
  <c r="J287" i="52" s="1"/>
  <c r="F287" i="52"/>
  <c r="F363" i="52"/>
  <c r="F361" i="52"/>
  <c r="F359" i="52"/>
  <c r="F357" i="52"/>
  <c r="F355" i="52"/>
  <c r="F353" i="52"/>
  <c r="F351" i="52"/>
  <c r="F349" i="52"/>
  <c r="F347" i="52"/>
  <c r="F345" i="52"/>
  <c r="F343" i="52"/>
  <c r="F341" i="52"/>
  <c r="F339" i="52"/>
  <c r="F337" i="52"/>
  <c r="F335" i="52"/>
  <c r="F333" i="52"/>
  <c r="F331" i="52"/>
  <c r="F329" i="52"/>
  <c r="F327" i="52"/>
  <c r="F325" i="52"/>
  <c r="F323" i="52"/>
  <c r="F321" i="52"/>
  <c r="F319" i="52"/>
  <c r="F317" i="52"/>
  <c r="F315" i="52"/>
  <c r="F313" i="52"/>
  <c r="CF170" i="53"/>
  <c r="C174" i="53"/>
  <c r="J316" i="52"/>
  <c r="J331" i="52"/>
  <c r="J286" i="52"/>
  <c r="K328" i="52"/>
  <c r="K324" i="52"/>
  <c r="K312" i="52"/>
  <c r="K308" i="52"/>
  <c r="K296" i="52"/>
  <c r="K292" i="52"/>
  <c r="AX62" i="60" l="1"/>
  <c r="AY17" i="60"/>
  <c r="AX36" i="60"/>
  <c r="AX64" i="60"/>
  <c r="AX38" i="60"/>
  <c r="AY18" i="60"/>
  <c r="K270" i="52"/>
  <c r="K271" i="52" s="1"/>
  <c r="K272" i="52" s="1"/>
  <c r="K273" i="52" s="1"/>
  <c r="K274" i="52" s="1"/>
  <c r="K275" i="52" s="1"/>
  <c r="K276" i="52" s="1"/>
  <c r="C175" i="53"/>
  <c r="K277" i="52"/>
  <c r="K670" i="52" l="1"/>
  <c r="K673" i="52" s="1"/>
  <c r="K628" i="52"/>
  <c r="AY64" i="60"/>
  <c r="AZ18" i="60"/>
  <c r="AY38" i="60"/>
  <c r="AY62" i="60"/>
  <c r="AY36" i="60"/>
  <c r="AZ17" i="60"/>
  <c r="K672" i="52"/>
  <c r="K671" i="52"/>
  <c r="K687" i="52"/>
  <c r="K688" i="52" s="1"/>
  <c r="K689" i="52" s="1"/>
  <c r="C176" i="53"/>
  <c r="K283" i="52"/>
  <c r="K284" i="52" s="1"/>
  <c r="K365" i="52"/>
  <c r="K366" i="52" s="1"/>
  <c r="K368" i="52" s="1"/>
  <c r="K370" i="52" s="1"/>
  <c r="K393" i="52" l="1"/>
  <c r="K372" i="52"/>
  <c r="K374" i="52" s="1"/>
  <c r="K376" i="52" s="1"/>
  <c r="K378" i="52" s="1"/>
  <c r="K380" i="52" s="1"/>
  <c r="K382" i="52" s="1"/>
  <c r="K394" i="52" s="1"/>
  <c r="AZ62" i="60"/>
  <c r="AZ36" i="60"/>
  <c r="BA17" i="60"/>
  <c r="AZ64" i="60"/>
  <c r="AZ38" i="60"/>
  <c r="BA18" i="60"/>
  <c r="C177" i="53"/>
  <c r="K46" i="52"/>
  <c r="K44" i="52"/>
  <c r="AO171" i="53"/>
  <c r="AZ171" i="53"/>
  <c r="BA171" i="53"/>
  <c r="BR171" i="53"/>
  <c r="BS171" i="53"/>
  <c r="AO172" i="53"/>
  <c r="AZ172" i="53"/>
  <c r="BA172" i="53"/>
  <c r="BU172" i="53"/>
  <c r="BR172" i="53"/>
  <c r="BS172" i="53"/>
  <c r="AO173" i="53"/>
  <c r="AZ173" i="53"/>
  <c r="BA173" i="53"/>
  <c r="BR173" i="53"/>
  <c r="BS173" i="53"/>
  <c r="AO174" i="53"/>
  <c r="AZ174" i="53"/>
  <c r="BA174" i="53"/>
  <c r="BR174" i="53"/>
  <c r="BS174" i="53"/>
  <c r="AO175" i="53"/>
  <c r="AZ175" i="53"/>
  <c r="BA175" i="53"/>
  <c r="BR175" i="53"/>
  <c r="BS175" i="53"/>
  <c r="AO176" i="53"/>
  <c r="AZ176" i="53"/>
  <c r="BA176" i="53"/>
  <c r="BR176" i="53"/>
  <c r="BS176" i="53"/>
  <c r="AO177" i="53"/>
  <c r="AZ177" i="53"/>
  <c r="BA177" i="53"/>
  <c r="BR177" i="53"/>
  <c r="BS177" i="53"/>
  <c r="AO178" i="53"/>
  <c r="AZ178" i="53"/>
  <c r="BA178" i="53"/>
  <c r="BR178" i="53"/>
  <c r="BS178" i="53"/>
  <c r="AO179" i="53"/>
  <c r="AZ179" i="53"/>
  <c r="BA179" i="53"/>
  <c r="BR179" i="53"/>
  <c r="BS179" i="53"/>
  <c r="AO180" i="53"/>
  <c r="AZ180" i="53"/>
  <c r="BA180" i="53"/>
  <c r="BU180" i="53"/>
  <c r="BR180" i="53"/>
  <c r="BS180" i="53"/>
  <c r="AO181" i="53"/>
  <c r="BD181" i="53" s="1"/>
  <c r="AZ181" i="53"/>
  <c r="BA181" i="53"/>
  <c r="BV181" i="53"/>
  <c r="BR181" i="53"/>
  <c r="BS181" i="53"/>
  <c r="AO182" i="53"/>
  <c r="AZ182" i="53"/>
  <c r="BA182" i="53"/>
  <c r="BR182" i="53"/>
  <c r="BS182" i="53"/>
  <c r="AO183" i="53"/>
  <c r="AZ183" i="53"/>
  <c r="BA183" i="53"/>
  <c r="BR183" i="53"/>
  <c r="BS183" i="53"/>
  <c r="AO184" i="53"/>
  <c r="AZ184" i="53"/>
  <c r="BA184" i="53"/>
  <c r="BR184" i="53"/>
  <c r="BS184" i="53"/>
  <c r="AO185" i="53"/>
  <c r="AZ185" i="53"/>
  <c r="BA185" i="53"/>
  <c r="BR185" i="53"/>
  <c r="BS185" i="53"/>
  <c r="AO186" i="53"/>
  <c r="AZ186" i="53"/>
  <c r="BA186" i="53"/>
  <c r="BR186" i="53"/>
  <c r="BS186" i="53"/>
  <c r="AO187" i="53"/>
  <c r="AZ187" i="53"/>
  <c r="BA187" i="53"/>
  <c r="BR187" i="53"/>
  <c r="BS187" i="53"/>
  <c r="AO188" i="53"/>
  <c r="AZ188" i="53"/>
  <c r="BA188" i="53"/>
  <c r="BR188" i="53"/>
  <c r="BS188" i="53"/>
  <c r="AO189" i="53"/>
  <c r="AZ189" i="53"/>
  <c r="BA189" i="53"/>
  <c r="BR189" i="53"/>
  <c r="BS189" i="53"/>
  <c r="AO190" i="53"/>
  <c r="AZ190" i="53"/>
  <c r="BA190" i="53"/>
  <c r="BR190" i="53"/>
  <c r="BS190" i="53"/>
  <c r="AO191" i="53"/>
  <c r="AZ191" i="53"/>
  <c r="BA191" i="53"/>
  <c r="BV191" i="53"/>
  <c r="BR191" i="53"/>
  <c r="BS191" i="53"/>
  <c r="AO192" i="53"/>
  <c r="AZ192" i="53"/>
  <c r="BA192" i="53"/>
  <c r="BR192" i="53"/>
  <c r="BS192" i="53"/>
  <c r="AO193" i="53"/>
  <c r="AZ193" i="53"/>
  <c r="BA193" i="53"/>
  <c r="BR193" i="53"/>
  <c r="BS193" i="53"/>
  <c r="AO194" i="53"/>
  <c r="AZ194" i="53"/>
  <c r="BA194" i="53"/>
  <c r="BU194" i="53"/>
  <c r="BR194" i="53"/>
  <c r="BS194" i="53"/>
  <c r="AO195" i="53"/>
  <c r="AZ195" i="53"/>
  <c r="BA195" i="53"/>
  <c r="BR195" i="53"/>
  <c r="BS195" i="53"/>
  <c r="AO196" i="53"/>
  <c r="AZ196" i="53"/>
  <c r="BA196" i="53"/>
  <c r="BR196" i="53"/>
  <c r="BS196" i="53"/>
  <c r="AO197" i="53"/>
  <c r="AZ197" i="53"/>
  <c r="BA197" i="53"/>
  <c r="BV197" i="53"/>
  <c r="BR197" i="53"/>
  <c r="BS197" i="53"/>
  <c r="AO198" i="53"/>
  <c r="AZ198" i="53"/>
  <c r="BA198" i="53"/>
  <c r="BR198" i="53"/>
  <c r="BS198" i="53"/>
  <c r="AO199" i="53"/>
  <c r="AZ199" i="53"/>
  <c r="BA199" i="53"/>
  <c r="BV199" i="53"/>
  <c r="BR199" i="53"/>
  <c r="BS199" i="53"/>
  <c r="AO200" i="53"/>
  <c r="AZ200" i="53"/>
  <c r="BA200" i="53"/>
  <c r="BR200" i="53"/>
  <c r="BS200" i="53"/>
  <c r="AO201" i="53"/>
  <c r="AZ201" i="53"/>
  <c r="BA201" i="53"/>
  <c r="BR201" i="53"/>
  <c r="BS201" i="53"/>
  <c r="AO202" i="53"/>
  <c r="AZ202" i="53"/>
  <c r="BA202" i="53"/>
  <c r="BR202" i="53"/>
  <c r="BS202" i="53"/>
  <c r="AO203" i="53"/>
  <c r="AZ203" i="53"/>
  <c r="BA203" i="53"/>
  <c r="BR203" i="53"/>
  <c r="BS203" i="53"/>
  <c r="AO204" i="53"/>
  <c r="AZ204" i="53"/>
  <c r="BA204" i="53"/>
  <c r="BR204" i="53"/>
  <c r="BS204" i="53"/>
  <c r="AO205" i="53"/>
  <c r="AZ205" i="53"/>
  <c r="BA205" i="53"/>
  <c r="BR205" i="53"/>
  <c r="BS205" i="53"/>
  <c r="AO206" i="53"/>
  <c r="AZ206" i="53"/>
  <c r="BA206" i="53"/>
  <c r="BV206" i="53"/>
  <c r="BR206" i="53"/>
  <c r="BS206" i="53"/>
  <c r="AO207" i="53"/>
  <c r="AZ207" i="53"/>
  <c r="BA207" i="53"/>
  <c r="BR207" i="53"/>
  <c r="BS207" i="53"/>
  <c r="AO208" i="53"/>
  <c r="AZ208" i="53"/>
  <c r="BA208" i="53"/>
  <c r="BR208" i="53"/>
  <c r="BS208" i="53"/>
  <c r="AO209" i="53"/>
  <c r="AZ209" i="53"/>
  <c r="BA209" i="53"/>
  <c r="BR209" i="53"/>
  <c r="BS209" i="53"/>
  <c r="AO210" i="53"/>
  <c r="AZ210" i="53"/>
  <c r="BA210" i="53"/>
  <c r="BR210" i="53"/>
  <c r="BS210" i="53"/>
  <c r="AO211" i="53"/>
  <c r="AZ211" i="53"/>
  <c r="BA211" i="53"/>
  <c r="BR211" i="53"/>
  <c r="BS211" i="53"/>
  <c r="AO212" i="53"/>
  <c r="AZ212" i="53"/>
  <c r="BA212" i="53"/>
  <c r="BV212" i="53"/>
  <c r="BR212" i="53"/>
  <c r="BS212" i="53"/>
  <c r="AO213" i="53"/>
  <c r="AZ213" i="53"/>
  <c r="BA213" i="53"/>
  <c r="BR213" i="53"/>
  <c r="BS213" i="53"/>
  <c r="AO214" i="53"/>
  <c r="AZ214" i="53"/>
  <c r="BA214" i="53"/>
  <c r="BR214" i="53"/>
  <c r="BS214" i="53"/>
  <c r="AO215" i="53"/>
  <c r="AZ215" i="53"/>
  <c r="BA215" i="53"/>
  <c r="BR215" i="53"/>
  <c r="BS215" i="53"/>
  <c r="AO216" i="53"/>
  <c r="AZ216" i="53"/>
  <c r="BA216" i="53"/>
  <c r="BV216" i="53"/>
  <c r="BR216" i="53"/>
  <c r="BS216" i="53"/>
  <c r="AO217" i="53"/>
  <c r="AZ217" i="53"/>
  <c r="BA217" i="53"/>
  <c r="BR217" i="53"/>
  <c r="BS217" i="53"/>
  <c r="AO218" i="53"/>
  <c r="AZ218" i="53"/>
  <c r="BA218" i="53"/>
  <c r="BR218" i="53"/>
  <c r="BS218" i="53"/>
  <c r="AO219" i="53"/>
  <c r="AZ219" i="53"/>
  <c r="BA219" i="53"/>
  <c r="BR219" i="53"/>
  <c r="BS219" i="53"/>
  <c r="AO220" i="53"/>
  <c r="AZ220" i="53"/>
  <c r="BA220" i="53"/>
  <c r="BR220" i="53"/>
  <c r="BS220" i="53"/>
  <c r="AO221" i="53"/>
  <c r="AZ221" i="53"/>
  <c r="BA221" i="53"/>
  <c r="BR221" i="53"/>
  <c r="BS221" i="53"/>
  <c r="AO222" i="53"/>
  <c r="AZ222" i="53"/>
  <c r="BA222" i="53"/>
  <c r="BR222" i="53"/>
  <c r="BS222" i="53"/>
  <c r="AO223" i="53"/>
  <c r="AZ223" i="53"/>
  <c r="BA223" i="53"/>
  <c r="BV223" i="53"/>
  <c r="BR223" i="53"/>
  <c r="BS223" i="53"/>
  <c r="AO224" i="53"/>
  <c r="AZ224" i="53"/>
  <c r="BA224" i="53"/>
  <c r="BR224" i="53"/>
  <c r="BS224" i="53"/>
  <c r="AO225" i="53"/>
  <c r="AZ225" i="53"/>
  <c r="BA225" i="53"/>
  <c r="BR225" i="53"/>
  <c r="BS225" i="53"/>
  <c r="AO226" i="53"/>
  <c r="AZ226" i="53"/>
  <c r="BA226" i="53"/>
  <c r="BR226" i="53"/>
  <c r="BS226" i="53"/>
  <c r="AO227" i="53"/>
  <c r="AZ227" i="53"/>
  <c r="BA227" i="53"/>
  <c r="BR227" i="53"/>
  <c r="BS227" i="53"/>
  <c r="AO228" i="53"/>
  <c r="AZ228" i="53"/>
  <c r="BA228" i="53"/>
  <c r="BR228" i="53"/>
  <c r="BS228" i="53"/>
  <c r="AO229" i="53"/>
  <c r="AZ229" i="53"/>
  <c r="BA229" i="53"/>
  <c r="BV229" i="53"/>
  <c r="BR229" i="53"/>
  <c r="BS229" i="53"/>
  <c r="AO230" i="53"/>
  <c r="AZ230" i="53"/>
  <c r="BA230" i="53"/>
  <c r="BV230" i="53"/>
  <c r="BR230" i="53"/>
  <c r="BS230" i="53"/>
  <c r="AO231" i="53"/>
  <c r="AZ231" i="53"/>
  <c r="BA231" i="53"/>
  <c r="BR231" i="53"/>
  <c r="BS231" i="53"/>
  <c r="AO232" i="53"/>
  <c r="AZ232" i="53"/>
  <c r="BA232" i="53"/>
  <c r="BR232" i="53"/>
  <c r="BS232" i="53"/>
  <c r="AO233" i="53"/>
  <c r="AZ233" i="53"/>
  <c r="BA233" i="53"/>
  <c r="BR233" i="53"/>
  <c r="BS233" i="53"/>
  <c r="AO234" i="53"/>
  <c r="AZ234" i="53"/>
  <c r="BA234" i="53"/>
  <c r="BR234" i="53"/>
  <c r="BS234" i="53"/>
  <c r="AO235" i="53"/>
  <c r="AZ235" i="53"/>
  <c r="BA235" i="53"/>
  <c r="BV235" i="53"/>
  <c r="BR235" i="53"/>
  <c r="BS235" i="53"/>
  <c r="AO236" i="53"/>
  <c r="AZ236" i="53"/>
  <c r="BA236" i="53"/>
  <c r="BR236" i="53"/>
  <c r="BS236" i="53"/>
  <c r="AO237" i="53"/>
  <c r="AZ237" i="53"/>
  <c r="BA237" i="53"/>
  <c r="BR237" i="53"/>
  <c r="BS237" i="53"/>
  <c r="AO238" i="53"/>
  <c r="AZ238" i="53"/>
  <c r="BA238" i="53"/>
  <c r="BR238" i="53"/>
  <c r="BS238" i="53"/>
  <c r="AO239" i="53"/>
  <c r="AZ239" i="53"/>
  <c r="BA239" i="53"/>
  <c r="BR239" i="53"/>
  <c r="BS239" i="53"/>
  <c r="AO240" i="53"/>
  <c r="AZ240" i="53"/>
  <c r="BA240" i="53"/>
  <c r="BU240" i="53"/>
  <c r="BR240" i="53"/>
  <c r="BS240" i="53"/>
  <c r="AO241" i="53"/>
  <c r="AZ241" i="53"/>
  <c r="BA241" i="53"/>
  <c r="BR241" i="53"/>
  <c r="BS241" i="53"/>
  <c r="AO242" i="53"/>
  <c r="AZ242" i="53"/>
  <c r="BA242" i="53"/>
  <c r="BU242" i="53"/>
  <c r="BR242" i="53"/>
  <c r="BS242" i="53"/>
  <c r="AO243" i="53"/>
  <c r="AZ243" i="53"/>
  <c r="BA243" i="53"/>
  <c r="BV243" i="53"/>
  <c r="BR243" i="53"/>
  <c r="BS243" i="53"/>
  <c r="AO244" i="53"/>
  <c r="AZ244" i="53"/>
  <c r="BA244" i="53"/>
  <c r="BR244" i="53"/>
  <c r="BS244" i="53"/>
  <c r="AO245" i="53"/>
  <c r="AZ245" i="53"/>
  <c r="BA245" i="53"/>
  <c r="BR245" i="53"/>
  <c r="BS245" i="53"/>
  <c r="AO246" i="53"/>
  <c r="BD246" i="53" s="1"/>
  <c r="AZ246" i="53"/>
  <c r="BA246" i="53"/>
  <c r="BU246" i="53"/>
  <c r="BR246" i="53"/>
  <c r="BS246" i="53"/>
  <c r="AO247" i="53"/>
  <c r="AZ247" i="53"/>
  <c r="BA247" i="53"/>
  <c r="BR247" i="53"/>
  <c r="BS247" i="53"/>
  <c r="AO248" i="53"/>
  <c r="AZ248" i="53"/>
  <c r="BA248" i="53"/>
  <c r="BR248" i="53"/>
  <c r="BS248" i="53"/>
  <c r="AO249" i="53"/>
  <c r="AZ249" i="53"/>
  <c r="BA249" i="53"/>
  <c r="BR249" i="53"/>
  <c r="BS249" i="53"/>
  <c r="BG168" i="53"/>
  <c r="AO168" i="53"/>
  <c r="W168" i="53"/>
  <c r="AO170" i="53"/>
  <c r="BC168" i="53" s="1"/>
  <c r="BS170" i="53"/>
  <c r="BR170" i="53"/>
  <c r="BA170" i="53"/>
  <c r="AZ170" i="53"/>
  <c r="AH171" i="53"/>
  <c r="AI171" i="53"/>
  <c r="AI172" i="53"/>
  <c r="AJ172" i="53" s="1"/>
  <c r="AH173" i="53"/>
  <c r="AI173" i="53"/>
  <c r="AH174" i="53"/>
  <c r="AI174" i="53"/>
  <c r="AH175" i="53"/>
  <c r="AI175" i="53"/>
  <c r="AH176" i="53"/>
  <c r="AI176" i="53"/>
  <c r="AH177" i="53"/>
  <c r="AI177" i="53"/>
  <c r="AH178" i="53"/>
  <c r="AI178" i="53"/>
  <c r="AH179" i="53"/>
  <c r="AI179" i="53"/>
  <c r="AH180" i="53"/>
  <c r="AI180" i="53"/>
  <c r="AH181" i="53"/>
  <c r="AI181" i="53"/>
  <c r="AH182" i="53"/>
  <c r="AI182" i="53"/>
  <c r="AH183" i="53"/>
  <c r="AI183" i="53"/>
  <c r="AH184" i="53"/>
  <c r="AI184" i="53"/>
  <c r="AH185" i="53"/>
  <c r="AI185" i="53"/>
  <c r="AH186" i="53"/>
  <c r="AI186" i="53"/>
  <c r="AH187" i="53"/>
  <c r="AI187" i="53"/>
  <c r="AH188" i="53"/>
  <c r="AI188" i="53"/>
  <c r="AH189" i="53"/>
  <c r="AI189" i="53"/>
  <c r="AH190" i="53"/>
  <c r="AI190" i="53"/>
  <c r="AH191" i="53"/>
  <c r="AI191" i="53"/>
  <c r="AH192" i="53"/>
  <c r="AI192" i="53"/>
  <c r="AH193" i="53"/>
  <c r="AI193" i="53"/>
  <c r="AH194" i="53"/>
  <c r="AI194" i="53"/>
  <c r="AH195" i="53"/>
  <c r="AI195" i="53"/>
  <c r="AH196" i="53"/>
  <c r="AI196" i="53"/>
  <c r="AH197" i="53"/>
  <c r="AI197" i="53"/>
  <c r="AH198" i="53"/>
  <c r="AI198" i="53"/>
  <c r="AH199" i="53"/>
  <c r="AI199" i="53"/>
  <c r="AH200" i="53"/>
  <c r="AI200" i="53"/>
  <c r="AH201" i="53"/>
  <c r="AI201" i="53"/>
  <c r="AH202" i="53"/>
  <c r="AI202" i="53"/>
  <c r="AH203" i="53"/>
  <c r="AI203" i="53"/>
  <c r="AH204" i="53"/>
  <c r="AI204" i="53"/>
  <c r="AH205" i="53"/>
  <c r="AI205" i="53"/>
  <c r="AH206" i="53"/>
  <c r="AI206" i="53"/>
  <c r="AH207" i="53"/>
  <c r="AI207" i="53"/>
  <c r="AH208" i="53"/>
  <c r="AI208" i="53"/>
  <c r="AH209" i="53"/>
  <c r="AI209" i="53"/>
  <c r="AH210" i="53"/>
  <c r="AI210" i="53"/>
  <c r="AH211" i="53"/>
  <c r="AI211" i="53"/>
  <c r="AH212" i="53"/>
  <c r="AI212" i="53"/>
  <c r="AH213" i="53"/>
  <c r="AI213" i="53"/>
  <c r="AH214" i="53"/>
  <c r="AI214" i="53"/>
  <c r="AH215" i="53"/>
  <c r="AI215" i="53"/>
  <c r="AH216" i="53"/>
  <c r="AI216" i="53"/>
  <c r="AH217" i="53"/>
  <c r="AI217" i="53"/>
  <c r="AH218" i="53"/>
  <c r="AI218" i="53"/>
  <c r="AH219" i="53"/>
  <c r="AI219" i="53"/>
  <c r="AH220" i="53"/>
  <c r="AI220" i="53"/>
  <c r="AH221" i="53"/>
  <c r="AI221" i="53"/>
  <c r="AH222" i="53"/>
  <c r="AI222" i="53"/>
  <c r="AH223" i="53"/>
  <c r="AI223" i="53"/>
  <c r="AH224" i="53"/>
  <c r="AI224" i="53"/>
  <c r="AH225" i="53"/>
  <c r="AI225" i="53"/>
  <c r="AH226" i="53"/>
  <c r="AI226" i="53"/>
  <c r="AH227" i="53"/>
  <c r="AI227" i="53"/>
  <c r="AH228" i="53"/>
  <c r="AI228" i="53"/>
  <c r="AH229" i="53"/>
  <c r="AI229" i="53"/>
  <c r="AH230" i="53"/>
  <c r="AI230" i="53"/>
  <c r="AH231" i="53"/>
  <c r="AI231" i="53"/>
  <c r="AH232" i="53"/>
  <c r="AI232" i="53"/>
  <c r="AH233" i="53"/>
  <c r="AI233" i="53"/>
  <c r="AH234" i="53"/>
  <c r="AI234" i="53"/>
  <c r="AH235" i="53"/>
  <c r="AI235" i="53"/>
  <c r="AH236" i="53"/>
  <c r="AI236" i="53"/>
  <c r="AH237" i="53"/>
  <c r="AI237" i="53"/>
  <c r="AH238" i="53"/>
  <c r="AI238" i="53"/>
  <c r="AH239" i="53"/>
  <c r="AI239" i="53"/>
  <c r="AH240" i="53"/>
  <c r="AI240" i="53"/>
  <c r="AH241" i="53"/>
  <c r="AI241" i="53"/>
  <c r="AH242" i="53"/>
  <c r="AI242" i="53"/>
  <c r="AH243" i="53"/>
  <c r="AI243" i="53"/>
  <c r="AH244" i="53"/>
  <c r="AI244" i="53"/>
  <c r="AH245" i="53"/>
  <c r="AI245" i="53"/>
  <c r="AH246" i="53"/>
  <c r="AI246" i="53"/>
  <c r="AH247" i="53"/>
  <c r="AI247" i="53"/>
  <c r="AH248" i="53"/>
  <c r="AI248" i="53"/>
  <c r="AH249" i="53"/>
  <c r="AI249" i="53"/>
  <c r="W171" i="53"/>
  <c r="W172" i="53"/>
  <c r="W173" i="53"/>
  <c r="W174" i="53"/>
  <c r="W175" i="53"/>
  <c r="W176" i="53"/>
  <c r="W177" i="53"/>
  <c r="W178" i="53"/>
  <c r="W179" i="53"/>
  <c r="W180" i="53"/>
  <c r="W181" i="53"/>
  <c r="W182" i="53"/>
  <c r="W183" i="53"/>
  <c r="W184" i="53"/>
  <c r="W185" i="53"/>
  <c r="W186" i="53"/>
  <c r="W187" i="53"/>
  <c r="W188" i="53"/>
  <c r="W189" i="53"/>
  <c r="W190" i="53"/>
  <c r="W191" i="53"/>
  <c r="W192" i="53"/>
  <c r="W193" i="53"/>
  <c r="W194" i="53"/>
  <c r="W195" i="53"/>
  <c r="W196" i="53"/>
  <c r="W197" i="53"/>
  <c r="W198" i="53"/>
  <c r="W199" i="53"/>
  <c r="W200" i="53"/>
  <c r="W201" i="53"/>
  <c r="W202" i="53"/>
  <c r="W203" i="53"/>
  <c r="W204" i="53"/>
  <c r="W205" i="53"/>
  <c r="W206" i="53"/>
  <c r="W207" i="53"/>
  <c r="W208" i="53"/>
  <c r="W209" i="53"/>
  <c r="W210" i="53"/>
  <c r="W211" i="53"/>
  <c r="W212" i="53"/>
  <c r="W213" i="53"/>
  <c r="W214" i="53"/>
  <c r="W215" i="53"/>
  <c r="W216" i="53"/>
  <c r="W217" i="53"/>
  <c r="W218" i="53"/>
  <c r="W219" i="53"/>
  <c r="W220" i="53"/>
  <c r="W221" i="53"/>
  <c r="W222" i="53"/>
  <c r="W223" i="53"/>
  <c r="W224" i="53"/>
  <c r="W225" i="53"/>
  <c r="W226" i="53"/>
  <c r="W227" i="53"/>
  <c r="W228" i="53"/>
  <c r="W229" i="53"/>
  <c r="W230" i="53"/>
  <c r="W231" i="53"/>
  <c r="W232" i="53"/>
  <c r="W233" i="53"/>
  <c r="W234" i="53"/>
  <c r="W235" i="53"/>
  <c r="W236" i="53"/>
  <c r="W237" i="53"/>
  <c r="W238" i="53"/>
  <c r="W239" i="53"/>
  <c r="W240" i="53"/>
  <c r="W241" i="53"/>
  <c r="W242" i="53"/>
  <c r="W243" i="53"/>
  <c r="W244" i="53"/>
  <c r="W245" i="53"/>
  <c r="W246" i="53"/>
  <c r="W247" i="53"/>
  <c r="W248" i="53"/>
  <c r="W249" i="53"/>
  <c r="W170" i="53"/>
  <c r="AK168" i="53" s="1"/>
  <c r="A42" i="52"/>
  <c r="AI170" i="53"/>
  <c r="AH170" i="53"/>
  <c r="O170" i="53"/>
  <c r="P170" i="53" s="1"/>
  <c r="C151" i="11"/>
  <c r="C150" i="11"/>
  <c r="C149" i="11"/>
  <c r="C148" i="11"/>
  <c r="C152" i="11" s="1"/>
  <c r="A40" i="52"/>
  <c r="A171" i="53"/>
  <c r="U171" i="53" s="1"/>
  <c r="V171" i="53" s="1"/>
  <c r="A47" i="52"/>
  <c r="A49" i="52"/>
  <c r="A45" i="52"/>
  <c r="A30" i="52"/>
  <c r="BA64" i="60" l="1"/>
  <c r="BA38" i="60"/>
  <c r="BA62" i="60"/>
  <c r="BA36" i="60"/>
  <c r="B153" i="11"/>
  <c r="G285" i="52"/>
  <c r="M285" i="52" s="1"/>
  <c r="I632" i="52" s="1"/>
  <c r="R170" i="53"/>
  <c r="BX171" i="53"/>
  <c r="BV232" i="53"/>
  <c r="BV171" i="53"/>
  <c r="BV179" i="53"/>
  <c r="BV234" i="53"/>
  <c r="BV228" i="53"/>
  <c r="BU171" i="53"/>
  <c r="BU234" i="53"/>
  <c r="BU232" i="53"/>
  <c r="BT172" i="53"/>
  <c r="BW172" i="53" s="1"/>
  <c r="BT171" i="53"/>
  <c r="BU228" i="53"/>
  <c r="BU179" i="53"/>
  <c r="AL244" i="53"/>
  <c r="C469" i="52"/>
  <c r="AM232" i="53"/>
  <c r="C457" i="52"/>
  <c r="AM224" i="53"/>
  <c r="C449" i="52"/>
  <c r="AL212" i="53"/>
  <c r="C437" i="52"/>
  <c r="AM200" i="53"/>
  <c r="C425" i="52"/>
  <c r="AL188" i="53"/>
  <c r="C413" i="52"/>
  <c r="AM176" i="53"/>
  <c r="C401" i="52"/>
  <c r="BE240" i="53"/>
  <c r="E465" i="52"/>
  <c r="BE234" i="53"/>
  <c r="E459" i="52"/>
  <c r="BE231" i="53"/>
  <c r="E456" i="52"/>
  <c r="BV224" i="53"/>
  <c r="BE222" i="53"/>
  <c r="E447" i="52"/>
  <c r="BU219" i="53"/>
  <c r="BE213" i="53"/>
  <c r="E438" i="52"/>
  <c r="BE204" i="53"/>
  <c r="E429" i="52"/>
  <c r="BE195" i="53"/>
  <c r="E420" i="52"/>
  <c r="BV192" i="53"/>
  <c r="BE190" i="53"/>
  <c r="E415" i="52"/>
  <c r="BE186" i="53"/>
  <c r="E411" i="52"/>
  <c r="BE184" i="53"/>
  <c r="E409" i="52"/>
  <c r="BU183" i="53"/>
  <c r="BE180" i="53"/>
  <c r="E405" i="52"/>
  <c r="BE179" i="53"/>
  <c r="E404" i="52"/>
  <c r="BE177" i="53"/>
  <c r="E402" i="52"/>
  <c r="BV176" i="53"/>
  <c r="BU174" i="53"/>
  <c r="BD172" i="53"/>
  <c r="E397" i="52"/>
  <c r="BE171" i="53"/>
  <c r="E396" i="52"/>
  <c r="AJ170" i="53"/>
  <c r="AM247" i="53"/>
  <c r="C472" i="52"/>
  <c r="AL243" i="53"/>
  <c r="C468" i="52"/>
  <c r="AM239" i="53"/>
  <c r="C464" i="52"/>
  <c r="AL235" i="53"/>
  <c r="C460" i="52"/>
  <c r="AM231" i="53"/>
  <c r="C456" i="52"/>
  <c r="AL227" i="53"/>
  <c r="C452" i="52"/>
  <c r="AM223" i="53"/>
  <c r="C448" i="52"/>
  <c r="AL219" i="53"/>
  <c r="C444" i="52"/>
  <c r="AM215" i="53"/>
  <c r="C440" i="52"/>
  <c r="AL211" i="53"/>
  <c r="C436" i="52"/>
  <c r="AM207" i="53"/>
  <c r="C432" i="52"/>
  <c r="AL203" i="53"/>
  <c r="C428" i="52"/>
  <c r="AM199" i="53"/>
  <c r="C424" i="52"/>
  <c r="AL195" i="53"/>
  <c r="C420" i="52"/>
  <c r="AM191" i="53"/>
  <c r="C416" i="52"/>
  <c r="AL187" i="53"/>
  <c r="C412" i="52"/>
  <c r="AM183" i="53"/>
  <c r="C408" i="52"/>
  <c r="AL179" i="53"/>
  <c r="C404" i="52"/>
  <c r="AM175" i="53"/>
  <c r="C400" i="52"/>
  <c r="AL171" i="53"/>
  <c r="C396" i="52"/>
  <c r="BU249" i="53"/>
  <c r="BU247" i="53"/>
  <c r="BE244" i="53"/>
  <c r="E469" i="52"/>
  <c r="BU243" i="53"/>
  <c r="BE241" i="53"/>
  <c r="E466" i="52"/>
  <c r="BV240" i="53"/>
  <c r="BE238" i="53"/>
  <c r="E463" i="52"/>
  <c r="BE236" i="53"/>
  <c r="E461" i="52"/>
  <c r="BU235" i="53"/>
  <c r="BU231" i="53"/>
  <c r="BU227" i="53"/>
  <c r="BE225" i="53"/>
  <c r="E450" i="52"/>
  <c r="BU222" i="53"/>
  <c r="BE220" i="53"/>
  <c r="E445" i="52"/>
  <c r="BE218" i="53"/>
  <c r="E443" i="52"/>
  <c r="BU215" i="53"/>
  <c r="BV213" i="53"/>
  <c r="BE211" i="53"/>
  <c r="E436" i="52"/>
  <c r="BE209" i="53"/>
  <c r="E434" i="52"/>
  <c r="BE207" i="53"/>
  <c r="E432" i="52"/>
  <c r="BU206" i="53"/>
  <c r="BV204" i="53"/>
  <c r="BV202" i="53"/>
  <c r="BV200" i="53"/>
  <c r="BE198" i="53"/>
  <c r="E423" i="52"/>
  <c r="BU197" i="53"/>
  <c r="BU195" i="53"/>
  <c r="BE193" i="53"/>
  <c r="E418" i="52"/>
  <c r="BV190" i="53"/>
  <c r="BV188" i="53"/>
  <c r="BV186" i="53"/>
  <c r="BV184" i="53"/>
  <c r="BV183" i="53"/>
  <c r="BE182" i="53"/>
  <c r="E407" i="52"/>
  <c r="BU181" i="53"/>
  <c r="BE181" i="53"/>
  <c r="E406" i="52"/>
  <c r="BV180" i="53"/>
  <c r="BU177" i="53"/>
  <c r="BU176" i="53"/>
  <c r="BE175" i="53"/>
  <c r="E400" i="52"/>
  <c r="BE173" i="53"/>
  <c r="E398" i="52"/>
  <c r="BV172" i="53"/>
  <c r="AL236" i="53"/>
  <c r="C461" i="52"/>
  <c r="AL220" i="53"/>
  <c r="C445" i="52"/>
  <c r="AL204" i="53"/>
  <c r="C429" i="52"/>
  <c r="AM184" i="53"/>
  <c r="C409" i="52"/>
  <c r="BE227" i="53"/>
  <c r="E452" i="52"/>
  <c r="BU212" i="53"/>
  <c r="AM170" i="53"/>
  <c r="C395" i="52"/>
  <c r="AL246" i="53"/>
  <c r="C471" i="52"/>
  <c r="AL242" i="53"/>
  <c r="C467" i="52"/>
  <c r="AL238" i="53"/>
  <c r="C463" i="52"/>
  <c r="AL234" i="53"/>
  <c r="C459" i="52"/>
  <c r="AL230" i="53"/>
  <c r="C455" i="52"/>
  <c r="AL226" i="53"/>
  <c r="C451" i="52"/>
  <c r="AL222" i="53"/>
  <c r="C447" i="52"/>
  <c r="AL218" i="53"/>
  <c r="C443" i="52"/>
  <c r="AL214" i="53"/>
  <c r="C439" i="52"/>
  <c r="AL210" i="53"/>
  <c r="C435" i="52"/>
  <c r="AL206" i="53"/>
  <c r="C431" i="52"/>
  <c r="AL202" i="53"/>
  <c r="C427" i="52"/>
  <c r="AL198" i="53"/>
  <c r="C423" i="52"/>
  <c r="AL194" i="53"/>
  <c r="C419" i="52"/>
  <c r="AL190" i="53"/>
  <c r="C415" i="52"/>
  <c r="AL186" i="53"/>
  <c r="C411" i="52"/>
  <c r="AL182" i="53"/>
  <c r="C407" i="52"/>
  <c r="AL178" i="53"/>
  <c r="C403" i="52"/>
  <c r="AL174" i="53"/>
  <c r="C399" i="52"/>
  <c r="BV170" i="53"/>
  <c r="BE248" i="53"/>
  <c r="E473" i="52"/>
  <c r="BE245" i="53"/>
  <c r="E470" i="52"/>
  <c r="BU244" i="53"/>
  <c r="BU241" i="53"/>
  <c r="BE239" i="53"/>
  <c r="E464" i="52"/>
  <c r="BU238" i="53"/>
  <c r="BV236" i="53"/>
  <c r="BD233" i="53"/>
  <c r="E458" i="52"/>
  <c r="BE232" i="53"/>
  <c r="E457" i="52"/>
  <c r="BE229" i="53"/>
  <c r="E454" i="52"/>
  <c r="BE228" i="53"/>
  <c r="E453" i="52"/>
  <c r="BE226" i="53"/>
  <c r="E451" i="52"/>
  <c r="BV225" i="53"/>
  <c r="BE223" i="53"/>
  <c r="E448" i="52"/>
  <c r="BE221" i="53"/>
  <c r="E446" i="52"/>
  <c r="BU220" i="53"/>
  <c r="BU218" i="53"/>
  <c r="BE216" i="53"/>
  <c r="E441" i="52"/>
  <c r="BE214" i="53"/>
  <c r="E439" i="52"/>
  <c r="BU211" i="53"/>
  <c r="BU209" i="53"/>
  <c r="BU207" i="53"/>
  <c r="BE205" i="53"/>
  <c r="E430" i="52"/>
  <c r="BE203" i="53"/>
  <c r="E428" i="52"/>
  <c r="BE201" i="53"/>
  <c r="E426" i="52"/>
  <c r="BV198" i="53"/>
  <c r="BE196" i="53"/>
  <c r="E421" i="52"/>
  <c r="BU193" i="53"/>
  <c r="BE191" i="53"/>
  <c r="E416" i="52"/>
  <c r="BE189" i="53"/>
  <c r="E414" i="52"/>
  <c r="BE187" i="53"/>
  <c r="E412" i="52"/>
  <c r="BE185" i="53"/>
  <c r="E410" i="52"/>
  <c r="BV182" i="53"/>
  <c r="BE178" i="53"/>
  <c r="E403" i="52"/>
  <c r="BU175" i="53"/>
  <c r="BU173" i="53"/>
  <c r="AM248" i="53"/>
  <c r="C473" i="52"/>
  <c r="AM240" i="53"/>
  <c r="C465" i="52"/>
  <c r="AM228" i="53"/>
  <c r="C453" i="52"/>
  <c r="AM216" i="53"/>
  <c r="C441" i="52"/>
  <c r="AM208" i="53"/>
  <c r="C433" i="52"/>
  <c r="AL196" i="53"/>
  <c r="C421" i="52"/>
  <c r="AM192" i="53"/>
  <c r="C417" i="52"/>
  <c r="AL180" i="53"/>
  <c r="C405" i="52"/>
  <c r="AL172" i="53"/>
  <c r="C397" i="52"/>
  <c r="BE249" i="53"/>
  <c r="E474" i="52"/>
  <c r="BE247" i="53"/>
  <c r="E472" i="52"/>
  <c r="BV246" i="53"/>
  <c r="BE246" i="53"/>
  <c r="E471" i="52"/>
  <c r="BE243" i="53"/>
  <c r="E468" i="52"/>
  <c r="BV242" i="53"/>
  <c r="BU237" i="53"/>
  <c r="BE235" i="53"/>
  <c r="E460" i="52"/>
  <c r="BU230" i="53"/>
  <c r="BV217" i="53"/>
  <c r="BE215" i="53"/>
  <c r="E440" i="52"/>
  <c r="BV210" i="53"/>
  <c r="BV208" i="53"/>
  <c r="BE206" i="53"/>
  <c r="E431" i="52"/>
  <c r="BE202" i="53"/>
  <c r="E427" i="52"/>
  <c r="BE200" i="53"/>
  <c r="E425" i="52"/>
  <c r="BU199" i="53"/>
  <c r="BE197" i="53"/>
  <c r="E422" i="52"/>
  <c r="BV194" i="53"/>
  <c r="BE188" i="53"/>
  <c r="E413" i="52"/>
  <c r="AL249" i="53"/>
  <c r="C474" i="52"/>
  <c r="AL245" i="53"/>
  <c r="C470" i="52"/>
  <c r="AL241" i="53"/>
  <c r="C466" i="52"/>
  <c r="AL237" i="53"/>
  <c r="C462" i="52"/>
  <c r="AL233" i="53"/>
  <c r="C458" i="52"/>
  <c r="AL229" i="53"/>
  <c r="C454" i="52"/>
  <c r="AL225" i="53"/>
  <c r="C450" i="52"/>
  <c r="AL221" i="53"/>
  <c r="C446" i="52"/>
  <c r="AL217" i="53"/>
  <c r="C442" i="52"/>
  <c r="AL213" i="53"/>
  <c r="C438" i="52"/>
  <c r="AL209" i="53"/>
  <c r="C434" i="52"/>
  <c r="AL205" i="53"/>
  <c r="C430" i="52"/>
  <c r="AL201" i="53"/>
  <c r="C426" i="52"/>
  <c r="AL197" i="53"/>
  <c r="C422" i="52"/>
  <c r="AL193" i="53"/>
  <c r="C418" i="52"/>
  <c r="AL189" i="53"/>
  <c r="C414" i="52"/>
  <c r="AL185" i="53"/>
  <c r="C410" i="52"/>
  <c r="AL181" i="53"/>
  <c r="C406" i="52"/>
  <c r="AL177" i="53"/>
  <c r="C402" i="52"/>
  <c r="AL173" i="53"/>
  <c r="C398" i="52"/>
  <c r="AJ233" i="53"/>
  <c r="AJ231" i="53"/>
  <c r="AJ229" i="53"/>
  <c r="AJ225" i="53"/>
  <c r="AJ223" i="53"/>
  <c r="AJ221" i="53"/>
  <c r="AJ219" i="53"/>
  <c r="AJ217" i="53"/>
  <c r="AJ201" i="53"/>
  <c r="AJ199" i="53"/>
  <c r="AJ197" i="53"/>
  <c r="AJ193" i="53"/>
  <c r="AJ191" i="53"/>
  <c r="AJ189" i="53"/>
  <c r="AJ187" i="53"/>
  <c r="AJ185" i="53"/>
  <c r="BE170" i="53"/>
  <c r="E395" i="52"/>
  <c r="BV248" i="53"/>
  <c r="BU245" i="53"/>
  <c r="BV244" i="53"/>
  <c r="BE242" i="53"/>
  <c r="E467" i="52"/>
  <c r="BU239" i="53"/>
  <c r="BV238" i="53"/>
  <c r="BE237" i="53"/>
  <c r="E462" i="52"/>
  <c r="BU233" i="53"/>
  <c r="BT230" i="53"/>
  <c r="BE230" i="53"/>
  <c r="E455" i="52"/>
  <c r="BU229" i="53"/>
  <c r="BU226" i="53"/>
  <c r="BU225" i="53"/>
  <c r="BE224" i="53"/>
  <c r="E449" i="52"/>
  <c r="BU223" i="53"/>
  <c r="BV221" i="53"/>
  <c r="BV220" i="53"/>
  <c r="BE219" i="53"/>
  <c r="E444" i="52"/>
  <c r="BT217" i="53"/>
  <c r="BE217" i="53"/>
  <c r="E442" i="52"/>
  <c r="BU216" i="53"/>
  <c r="BU214" i="53"/>
  <c r="BE212" i="53"/>
  <c r="E437" i="52"/>
  <c r="BE210" i="53"/>
  <c r="E435" i="52"/>
  <c r="BT208" i="53"/>
  <c r="BE208" i="53"/>
  <c r="E433" i="52"/>
  <c r="BU205" i="53"/>
  <c r="BU203" i="53"/>
  <c r="BU201" i="53"/>
  <c r="BE199" i="53"/>
  <c r="E424" i="52"/>
  <c r="BV196" i="53"/>
  <c r="BE194" i="53"/>
  <c r="E419" i="52"/>
  <c r="BE192" i="53"/>
  <c r="E417" i="52"/>
  <c r="BU191" i="53"/>
  <c r="BU189" i="53"/>
  <c r="BU187" i="53"/>
  <c r="BU185" i="53"/>
  <c r="BE183" i="53"/>
  <c r="E408" i="52"/>
  <c r="BV178" i="53"/>
  <c r="BE176" i="53"/>
  <c r="E401" i="52"/>
  <c r="BD174" i="53"/>
  <c r="E399" i="52"/>
  <c r="K674" i="52"/>
  <c r="C178" i="53"/>
  <c r="BZ171" i="53"/>
  <c r="CD171" i="53"/>
  <c r="CH171" i="53"/>
  <c r="CL171" i="53"/>
  <c r="CA171" i="53"/>
  <c r="CE171" i="53"/>
  <c r="CI171" i="53"/>
  <c r="CM171" i="53"/>
  <c r="CB171" i="53"/>
  <c r="CF171" i="53"/>
  <c r="CJ171" i="53"/>
  <c r="BY171" i="53"/>
  <c r="CC171" i="53"/>
  <c r="CG171" i="53"/>
  <c r="CK171" i="53"/>
  <c r="A396" i="52"/>
  <c r="A286" i="52"/>
  <c r="B171" i="53"/>
  <c r="A172" i="53"/>
  <c r="U172" i="53" s="1"/>
  <c r="V172" i="53" s="1"/>
  <c r="BT238" i="53"/>
  <c r="BB229" i="53"/>
  <c r="BT225" i="53"/>
  <c r="F285" i="52"/>
  <c r="I285" i="52"/>
  <c r="BB216" i="53"/>
  <c r="BT175" i="53"/>
  <c r="BT204" i="53"/>
  <c r="BT190" i="53"/>
  <c r="BT188" i="53"/>
  <c r="BT234" i="53"/>
  <c r="BT231" i="53"/>
  <c r="BT227" i="53"/>
  <c r="BT222" i="53"/>
  <c r="BT215" i="53"/>
  <c r="AJ243" i="53"/>
  <c r="BT229" i="53"/>
  <c r="BT216" i="53"/>
  <c r="BB197" i="53"/>
  <c r="BB228" i="53"/>
  <c r="BT220" i="53"/>
  <c r="BT210" i="53"/>
  <c r="BV205" i="53"/>
  <c r="BU200" i="53"/>
  <c r="BV187" i="53"/>
  <c r="BU184" i="53"/>
  <c r="BT174" i="53"/>
  <c r="AJ228" i="53"/>
  <c r="AJ220" i="53"/>
  <c r="AJ196" i="53"/>
  <c r="AJ188" i="53"/>
  <c r="BU248" i="53"/>
  <c r="BD238" i="53"/>
  <c r="BV237" i="53"/>
  <c r="BT228" i="53"/>
  <c r="BU217" i="53"/>
  <c r="BD216" i="53"/>
  <c r="BV215" i="53"/>
  <c r="BU210" i="53"/>
  <c r="BT200" i="53"/>
  <c r="BT199" i="53"/>
  <c r="BV195" i="53"/>
  <c r="BU192" i="53"/>
  <c r="BB188" i="53"/>
  <c r="BT184" i="53"/>
  <c r="BT183" i="53"/>
  <c r="BT176" i="53"/>
  <c r="BE172" i="53"/>
  <c r="AJ249" i="53"/>
  <c r="AJ211" i="53"/>
  <c r="AJ179" i="53"/>
  <c r="BB234" i="53"/>
  <c r="BT233" i="53"/>
  <c r="BD229" i="53"/>
  <c r="BU208" i="53"/>
  <c r="BD208" i="53"/>
  <c r="BU202" i="53"/>
  <c r="BB198" i="53"/>
  <c r="BT197" i="53"/>
  <c r="BT194" i="53"/>
  <c r="BV189" i="53"/>
  <c r="BU186" i="53"/>
  <c r="BB182" i="53"/>
  <c r="BT181" i="53"/>
  <c r="BT180" i="53"/>
  <c r="BT179" i="53"/>
  <c r="BV175" i="53"/>
  <c r="BD175" i="53"/>
  <c r="BV174" i="53"/>
  <c r="AJ244" i="53"/>
  <c r="AJ236" i="53"/>
  <c r="AJ215" i="53"/>
  <c r="AJ213" i="53"/>
  <c r="AJ209" i="53"/>
  <c r="AJ207" i="53"/>
  <c r="AJ205" i="53"/>
  <c r="AJ203" i="53"/>
  <c r="AJ195" i="53"/>
  <c r="AJ180" i="53"/>
  <c r="BT248" i="53"/>
  <c r="BT247" i="53"/>
  <c r="BT241" i="53"/>
  <c r="BB239" i="53"/>
  <c r="BT236" i="53"/>
  <c r="BV226" i="53"/>
  <c r="BU213" i="53"/>
  <c r="BD212" i="53"/>
  <c r="BV211" i="53"/>
  <c r="BV201" i="53"/>
  <c r="BU196" i="53"/>
  <c r="BU190" i="53"/>
  <c r="BV185" i="53"/>
  <c r="BU178" i="53"/>
  <c r="BD178" i="53"/>
  <c r="BV177" i="53"/>
  <c r="BB176" i="53"/>
  <c r="BE174" i="53"/>
  <c r="BV173" i="53"/>
  <c r="AJ247" i="53"/>
  <c r="AJ245" i="53"/>
  <c r="AJ241" i="53"/>
  <c r="AJ239" i="53"/>
  <c r="AJ237" i="53"/>
  <c r="AJ235" i="53"/>
  <c r="AJ227" i="53"/>
  <c r="AJ212" i="53"/>
  <c r="AJ204" i="53"/>
  <c r="AJ183" i="53"/>
  <c r="AJ181" i="53"/>
  <c r="AJ177" i="53"/>
  <c r="AJ175" i="53"/>
  <c r="AJ173" i="53"/>
  <c r="AJ171" i="53"/>
  <c r="BV247" i="53"/>
  <c r="BT245" i="53"/>
  <c r="BT244" i="53"/>
  <c r="BT243" i="53"/>
  <c r="BV241" i="53"/>
  <c r="BU236" i="53"/>
  <c r="BB236" i="53"/>
  <c r="BB235" i="53"/>
  <c r="BU224" i="53"/>
  <c r="BU221" i="53"/>
  <c r="BD220" i="53"/>
  <c r="BV219" i="53"/>
  <c r="BT213" i="53"/>
  <c r="BT212" i="53"/>
  <c r="BB212" i="53"/>
  <c r="BT211" i="53"/>
  <c r="BV209" i="53"/>
  <c r="BT206" i="53"/>
  <c r="BU204" i="53"/>
  <c r="BD204" i="53"/>
  <c r="BV203" i="53"/>
  <c r="BU198" i="53"/>
  <c r="BV193" i="53"/>
  <c r="BT192" i="53"/>
  <c r="BU188" i="53"/>
  <c r="BU182" i="53"/>
  <c r="AJ234" i="53"/>
  <c r="AJ218" i="53"/>
  <c r="AJ202" i="53"/>
  <c r="AJ186" i="53"/>
  <c r="BB249" i="53"/>
  <c r="BB243" i="53"/>
  <c r="BT242" i="53"/>
  <c r="BB240" i="53"/>
  <c r="BB238" i="53"/>
  <c r="BT226" i="53"/>
  <c r="BT218" i="53"/>
  <c r="BT202" i="53"/>
  <c r="BB202" i="53"/>
  <c r="BT201" i="53"/>
  <c r="BT196" i="53"/>
  <c r="BT195" i="53"/>
  <c r="BB193" i="53"/>
  <c r="BB191" i="53"/>
  <c r="BB184" i="53"/>
  <c r="BT182" i="53"/>
  <c r="BB172" i="53"/>
  <c r="AJ242" i="53"/>
  <c r="AJ226" i="53"/>
  <c r="AJ210" i="53"/>
  <c r="AJ194" i="53"/>
  <c r="AJ178" i="53"/>
  <c r="AJ174" i="53"/>
  <c r="BT170" i="53"/>
  <c r="BB247" i="53"/>
  <c r="BT246" i="53"/>
  <c r="BT240" i="53"/>
  <c r="BB233" i="53"/>
  <c r="BT232" i="53"/>
  <c r="BT224" i="53"/>
  <c r="BB222" i="53"/>
  <c r="BC222" i="53" s="1"/>
  <c r="BF222" i="53" s="1"/>
  <c r="BT221" i="53"/>
  <c r="BB200" i="53"/>
  <c r="BC200" i="53" s="1"/>
  <c r="BF200" i="53" s="1"/>
  <c r="BT198" i="53"/>
  <c r="BB195" i="53"/>
  <c r="BT186" i="53"/>
  <c r="BB186" i="53"/>
  <c r="BT185" i="53"/>
  <c r="BB180" i="53"/>
  <c r="BT178" i="53"/>
  <c r="BB178" i="53"/>
  <c r="BT177" i="53"/>
  <c r="BB173" i="53"/>
  <c r="BB171" i="53"/>
  <c r="AJ248" i="53"/>
  <c r="AJ240" i="53"/>
  <c r="AJ232" i="53"/>
  <c r="AJ224" i="53"/>
  <c r="AJ216" i="53"/>
  <c r="AJ208" i="53"/>
  <c r="AJ200" i="53"/>
  <c r="AJ192" i="53"/>
  <c r="AJ184" i="53"/>
  <c r="AJ176" i="53"/>
  <c r="BT249" i="53"/>
  <c r="BT239" i="53"/>
  <c r="BB237" i="53"/>
  <c r="BT235" i="53"/>
  <c r="BB220" i="53"/>
  <c r="BT219" i="53"/>
  <c r="BB214" i="53"/>
  <c r="BB209" i="53"/>
  <c r="BT207" i="53"/>
  <c r="BB206" i="53"/>
  <c r="BT205" i="53"/>
  <c r="BB204" i="53"/>
  <c r="BT203" i="53"/>
  <c r="BB192" i="53"/>
  <c r="BB190" i="53"/>
  <c r="BT189" i="53"/>
  <c r="BT187" i="53"/>
  <c r="AJ246" i="53"/>
  <c r="AJ238" i="53"/>
  <c r="AJ230" i="53"/>
  <c r="AJ222" i="53"/>
  <c r="AJ214" i="53"/>
  <c r="AJ206" i="53"/>
  <c r="AJ198" i="53"/>
  <c r="AJ190" i="53"/>
  <c r="AJ182" i="53"/>
  <c r="BB170" i="53"/>
  <c r="BB245" i="53"/>
  <c r="BB244" i="53"/>
  <c r="BB242" i="53"/>
  <c r="BB241" i="53"/>
  <c r="BT237" i="53"/>
  <c r="BB231" i="53"/>
  <c r="BB230" i="53"/>
  <c r="BB226" i="53"/>
  <c r="BB224" i="53"/>
  <c r="BT223" i="53"/>
  <c r="BB218" i="53"/>
  <c r="BT214" i="53"/>
  <c r="BB211" i="53"/>
  <c r="BB210" i="53"/>
  <c r="BC210" i="53" s="1"/>
  <c r="BF210" i="53" s="1"/>
  <c r="BT209" i="53"/>
  <c r="BB208" i="53"/>
  <c r="BB201" i="53"/>
  <c r="BB199" i="53"/>
  <c r="BB196" i="53"/>
  <c r="BB194" i="53"/>
  <c r="BC194" i="53" s="1"/>
  <c r="BF194" i="53" s="1"/>
  <c r="BT193" i="53"/>
  <c r="BT191" i="53"/>
  <c r="AK191" i="53" s="1"/>
  <c r="BB185" i="53"/>
  <c r="BB183" i="53"/>
  <c r="BB181" i="53"/>
  <c r="BB179" i="53"/>
  <c r="BB177" i="53"/>
  <c r="BB174" i="53"/>
  <c r="BT173" i="53"/>
  <c r="BB248" i="53"/>
  <c r="BB246" i="53"/>
  <c r="BB232" i="53"/>
  <c r="BB207" i="53"/>
  <c r="BB205" i="53"/>
  <c r="BB203" i="53"/>
  <c r="BB189" i="53"/>
  <c r="BB187" i="53"/>
  <c r="BB175" i="53"/>
  <c r="BV249" i="53"/>
  <c r="BV245" i="53"/>
  <c r="BV239" i="53"/>
  <c r="BV227" i="53"/>
  <c r="BV207" i="53"/>
  <c r="BV233" i="53"/>
  <c r="BV231" i="53"/>
  <c r="BV222" i="53"/>
  <c r="BV218" i="53"/>
  <c r="BV214" i="53"/>
  <c r="BD235" i="53"/>
  <c r="BD210" i="53"/>
  <c r="BD202" i="53"/>
  <c r="BD199" i="53"/>
  <c r="BD194" i="53"/>
  <c r="BD191" i="53"/>
  <c r="BD186" i="53"/>
  <c r="BD183" i="53"/>
  <c r="BD179" i="53"/>
  <c r="BD173" i="53"/>
  <c r="BD171" i="53"/>
  <c r="BD243" i="53"/>
  <c r="BD232" i="53"/>
  <c r="BD206" i="53"/>
  <c r="BD198" i="53"/>
  <c r="BD195" i="53"/>
  <c r="BD190" i="53"/>
  <c r="BD187" i="53"/>
  <c r="BD182" i="53"/>
  <c r="AM245" i="53"/>
  <c r="AM230" i="53"/>
  <c r="AL228" i="53"/>
  <c r="AM221" i="53"/>
  <c r="AM220" i="53"/>
  <c r="AM213" i="53"/>
  <c r="AM212" i="53"/>
  <c r="AM205" i="53"/>
  <c r="AM198" i="53"/>
  <c r="AM246" i="53"/>
  <c r="AM244" i="53"/>
  <c r="AL240" i="53"/>
  <c r="AM222" i="53"/>
  <c r="AM214" i="53"/>
  <c r="AM206" i="53"/>
  <c r="AL192" i="53"/>
  <c r="AM189" i="53"/>
  <c r="AL176" i="53"/>
  <c r="AM237" i="53"/>
  <c r="AM236" i="53"/>
  <c r="AL232" i="53"/>
  <c r="AL200" i="53"/>
  <c r="AL248" i="53"/>
  <c r="AM238" i="53"/>
  <c r="AM229" i="53"/>
  <c r="AL224" i="53"/>
  <c r="AL216" i="53"/>
  <c r="AL208" i="53"/>
  <c r="AM197" i="53"/>
  <c r="AL184" i="53"/>
  <c r="AM181" i="53"/>
  <c r="AM172" i="53"/>
  <c r="AL199" i="53"/>
  <c r="AL191" i="53"/>
  <c r="AM190" i="53"/>
  <c r="AL183" i="53"/>
  <c r="AM182" i="53"/>
  <c r="AL175" i="53"/>
  <c r="AM174" i="53"/>
  <c r="AM173" i="53"/>
  <c r="AM171" i="53"/>
  <c r="AL231" i="53"/>
  <c r="AL223" i="53"/>
  <c r="AM243" i="53"/>
  <c r="AM235" i="53"/>
  <c r="AM227" i="53"/>
  <c r="AM219" i="53"/>
  <c r="AM211" i="53"/>
  <c r="AM204" i="53"/>
  <c r="AM203" i="53"/>
  <c r="AM196" i="53"/>
  <c r="AM195" i="53"/>
  <c r="AM188" i="53"/>
  <c r="AM187" i="53"/>
  <c r="AM180" i="53"/>
  <c r="AM179" i="53"/>
  <c r="BD248" i="53"/>
  <c r="BD245" i="53"/>
  <c r="BD240" i="53"/>
  <c r="BD237" i="53"/>
  <c r="BD231" i="53"/>
  <c r="BD201" i="53"/>
  <c r="BD196" i="53"/>
  <c r="BD193" i="53"/>
  <c r="BD188" i="53"/>
  <c r="BD185" i="53"/>
  <c r="BD180" i="53"/>
  <c r="BD177" i="53"/>
  <c r="AL247" i="53"/>
  <c r="AL239" i="53"/>
  <c r="AM249" i="53"/>
  <c r="AM242" i="53"/>
  <c r="AM241" i="53"/>
  <c r="AM234" i="53"/>
  <c r="AM233" i="53"/>
  <c r="AM226" i="53"/>
  <c r="AM225" i="53"/>
  <c r="AM218" i="53"/>
  <c r="AM217" i="53"/>
  <c r="AM210" i="53"/>
  <c r="AM209" i="53"/>
  <c r="AM202" i="53"/>
  <c r="AM201" i="53"/>
  <c r="AM194" i="53"/>
  <c r="AM193" i="53"/>
  <c r="AM186" i="53"/>
  <c r="AM185" i="53"/>
  <c r="AM178" i="53"/>
  <c r="AM177" i="53"/>
  <c r="BD247" i="53"/>
  <c r="BD242" i="53"/>
  <c r="BD239" i="53"/>
  <c r="BD234" i="53"/>
  <c r="BD228" i="53"/>
  <c r="BD224" i="53"/>
  <c r="AL215" i="53"/>
  <c r="AL207" i="53"/>
  <c r="BD249" i="53"/>
  <c r="BD244" i="53"/>
  <c r="BD241" i="53"/>
  <c r="BD236" i="53"/>
  <c r="BD230" i="53"/>
  <c r="BD226" i="53"/>
  <c r="BD222" i="53"/>
  <c r="BD218" i="53"/>
  <c r="BD214" i="53"/>
  <c r="BD200" i="53"/>
  <c r="BD197" i="53"/>
  <c r="BD192" i="53"/>
  <c r="BD189" i="53"/>
  <c r="BD184" i="53"/>
  <c r="BD176" i="53"/>
  <c r="BE233" i="53"/>
  <c r="BD227" i="53"/>
  <c r="BB225" i="53"/>
  <c r="BD223" i="53"/>
  <c r="BB221" i="53"/>
  <c r="BD219" i="53"/>
  <c r="BB217" i="53"/>
  <c r="BD215" i="53"/>
  <c r="BB213" i="53"/>
  <c r="BB227" i="53"/>
  <c r="BC227" i="53" s="1"/>
  <c r="BF227" i="53" s="1"/>
  <c r="BD225" i="53"/>
  <c r="BB223" i="53"/>
  <c r="BD221" i="53"/>
  <c r="BB219" i="53"/>
  <c r="BD217" i="53"/>
  <c r="BB215" i="53"/>
  <c r="BD213" i="53"/>
  <c r="BD211" i="53"/>
  <c r="BD209" i="53"/>
  <c r="BD207" i="53"/>
  <c r="BD205" i="53"/>
  <c r="BD203" i="53"/>
  <c r="BU170" i="53"/>
  <c r="BD170" i="53"/>
  <c r="AL170" i="53"/>
  <c r="B13" i="53"/>
  <c r="K134" i="26"/>
  <c r="K135" i="26" s="1"/>
  <c r="K136" i="26" s="1"/>
  <c r="K333" i="39"/>
  <c r="K334" i="39" s="1"/>
  <c r="K335" i="39" s="1"/>
  <c r="BC201" i="53" l="1"/>
  <c r="BF201" i="53" s="1"/>
  <c r="AK201" i="53"/>
  <c r="D426" i="52" s="1"/>
  <c r="AK197" i="53"/>
  <c r="AN197" i="53" s="1"/>
  <c r="A670" i="52"/>
  <c r="BC184" i="53"/>
  <c r="BF184" i="53" s="1"/>
  <c r="AK229" i="53"/>
  <c r="AN229" i="53" s="1"/>
  <c r="BC221" i="53"/>
  <c r="BF221" i="53" s="1"/>
  <c r="BC170" i="53"/>
  <c r="BF170" i="53" s="1"/>
  <c r="BC176" i="53"/>
  <c r="BF176" i="53" s="1"/>
  <c r="J285" i="52"/>
  <c r="BC218" i="53"/>
  <c r="BF218" i="53" s="1"/>
  <c r="BC233" i="53"/>
  <c r="BF233" i="53" s="1"/>
  <c r="AK195" i="53"/>
  <c r="AN195" i="53" s="1"/>
  <c r="AK223" i="53"/>
  <c r="D448" i="52" s="1"/>
  <c r="AK203" i="53"/>
  <c r="D428" i="52" s="1"/>
  <c r="BC220" i="53"/>
  <c r="BF220" i="53" s="1"/>
  <c r="AK196" i="53"/>
  <c r="D421" i="52" s="1"/>
  <c r="BC243" i="53"/>
  <c r="BF243" i="53" s="1"/>
  <c r="BC213" i="53"/>
  <c r="BF213" i="53" s="1"/>
  <c r="AK177" i="53"/>
  <c r="AN177" i="53" s="1"/>
  <c r="BC183" i="53"/>
  <c r="BF183" i="53" s="1"/>
  <c r="BC226" i="53"/>
  <c r="BF226" i="53" s="1"/>
  <c r="BC237" i="53"/>
  <c r="BF237" i="53" s="1"/>
  <c r="AK189" i="53"/>
  <c r="AN189" i="53" s="1"/>
  <c r="BC207" i="53"/>
  <c r="BF207" i="53" s="1"/>
  <c r="BC224" i="53"/>
  <c r="BF224" i="53" s="1"/>
  <c r="BC185" i="53"/>
  <c r="BF185" i="53" s="1"/>
  <c r="BC230" i="53"/>
  <c r="BF230" i="53" s="1"/>
  <c r="AK239" i="53"/>
  <c r="D464" i="52" s="1"/>
  <c r="AK178" i="53"/>
  <c r="D403" i="52" s="1"/>
  <c r="AK221" i="53"/>
  <c r="AN221" i="53" s="1"/>
  <c r="BC181" i="53"/>
  <c r="BF181" i="53" s="1"/>
  <c r="BC204" i="53"/>
  <c r="BF204" i="53" s="1"/>
  <c r="AK235" i="53"/>
  <c r="D460" i="52" s="1"/>
  <c r="AK198" i="53"/>
  <c r="AN198" i="53" s="1"/>
  <c r="AK246" i="53"/>
  <c r="D471" i="52" s="1"/>
  <c r="AK190" i="53"/>
  <c r="D415" i="52" s="1"/>
  <c r="BC178" i="53"/>
  <c r="BF178" i="53" s="1"/>
  <c r="BC202" i="53"/>
  <c r="BF202" i="53" s="1"/>
  <c r="BC212" i="53"/>
  <c r="BF212" i="53" s="1"/>
  <c r="AK180" i="53"/>
  <c r="D405" i="52" s="1"/>
  <c r="BC175" i="53"/>
  <c r="BF175" i="53" s="1"/>
  <c r="AK187" i="53"/>
  <c r="AN187" i="53" s="1"/>
  <c r="AK193" i="53"/>
  <c r="D418" i="52" s="1"/>
  <c r="AK217" i="53"/>
  <c r="D442" i="52" s="1"/>
  <c r="BC244" i="53"/>
  <c r="BF244" i="53" s="1"/>
  <c r="BC173" i="53"/>
  <c r="BF173" i="53" s="1"/>
  <c r="BC195" i="53"/>
  <c r="BF195" i="53" s="1"/>
  <c r="AK240" i="53"/>
  <c r="D465" i="52" s="1"/>
  <c r="AK242" i="53"/>
  <c r="AN242" i="53" s="1"/>
  <c r="AK241" i="53"/>
  <c r="AN241" i="53" s="1"/>
  <c r="AK179" i="53"/>
  <c r="D404" i="52" s="1"/>
  <c r="AK216" i="53"/>
  <c r="D441" i="52" s="1"/>
  <c r="AK188" i="53"/>
  <c r="D413" i="52" s="1"/>
  <c r="BC229" i="53"/>
  <c r="BF229" i="53" s="1"/>
  <c r="BC219" i="53"/>
  <c r="BF219" i="53" s="1"/>
  <c r="BC245" i="53"/>
  <c r="BF245" i="53" s="1"/>
  <c r="BC206" i="53"/>
  <c r="BF206" i="53" s="1"/>
  <c r="AK192" i="53"/>
  <c r="D417" i="52" s="1"/>
  <c r="AK247" i="53"/>
  <c r="D472" i="52" s="1"/>
  <c r="BC208" i="53"/>
  <c r="BF208" i="53" s="1"/>
  <c r="BC225" i="53"/>
  <c r="BF225" i="53" s="1"/>
  <c r="BC231" i="53"/>
  <c r="BF231" i="53" s="1"/>
  <c r="AK207" i="53"/>
  <c r="D432" i="52" s="1"/>
  <c r="AK218" i="53"/>
  <c r="D443" i="52" s="1"/>
  <c r="AK214" i="53"/>
  <c r="D439" i="52" s="1"/>
  <c r="D466" i="52"/>
  <c r="D402" i="52"/>
  <c r="AN201" i="53"/>
  <c r="BC232" i="53"/>
  <c r="BF232" i="53" s="1"/>
  <c r="AK205" i="53"/>
  <c r="BC247" i="53"/>
  <c r="BF247" i="53" s="1"/>
  <c r="BC172" i="53"/>
  <c r="BF172" i="53" s="1"/>
  <c r="BC249" i="53"/>
  <c r="BF249" i="53" s="1"/>
  <c r="BC236" i="53"/>
  <c r="BF236" i="53" s="1"/>
  <c r="AK248" i="53"/>
  <c r="AK181" i="53"/>
  <c r="AK200" i="53"/>
  <c r="AK204" i="53"/>
  <c r="BC223" i="53"/>
  <c r="BF223" i="53" s="1"/>
  <c r="AK202" i="53"/>
  <c r="AK176" i="53"/>
  <c r="D416" i="52"/>
  <c r="AN191" i="53"/>
  <c r="D454" i="52"/>
  <c r="AK206" i="53"/>
  <c r="AK245" i="53"/>
  <c r="AK228" i="53"/>
  <c r="AK174" i="53"/>
  <c r="AK234" i="53"/>
  <c r="AK225" i="53"/>
  <c r="AK172" i="53"/>
  <c r="AN172" i="53" s="1"/>
  <c r="BC187" i="53"/>
  <c r="BF187" i="53" s="1"/>
  <c r="BC211" i="53"/>
  <c r="BF211" i="53" s="1"/>
  <c r="AK237" i="53"/>
  <c r="BC209" i="53"/>
  <c r="BF209" i="53" s="1"/>
  <c r="AK185" i="53"/>
  <c r="AK224" i="53"/>
  <c r="AK213" i="53"/>
  <c r="AK183" i="53"/>
  <c r="AK210" i="53"/>
  <c r="AK222" i="53"/>
  <c r="BC216" i="53"/>
  <c r="BF216" i="53" s="1"/>
  <c r="BC246" i="53"/>
  <c r="BF246" i="53" s="1"/>
  <c r="AK170" i="53"/>
  <c r="BW170" i="53"/>
  <c r="AK249" i="53"/>
  <c r="BC180" i="53"/>
  <c r="BF180" i="53" s="1"/>
  <c r="BC182" i="53"/>
  <c r="BF182" i="53" s="1"/>
  <c r="AK215" i="53"/>
  <c r="AK173" i="53"/>
  <c r="BC189" i="53"/>
  <c r="BF189" i="53" s="1"/>
  <c r="BC174" i="53"/>
  <c r="BF174" i="53" s="1"/>
  <c r="BC241" i="53"/>
  <c r="BF241" i="53" s="1"/>
  <c r="BC190" i="53"/>
  <c r="BF190" i="53" s="1"/>
  <c r="BC214" i="53"/>
  <c r="BF214" i="53" s="1"/>
  <c r="BC186" i="53"/>
  <c r="BF186" i="53" s="1"/>
  <c r="AK232" i="53"/>
  <c r="BC191" i="53"/>
  <c r="BF191" i="53" s="1"/>
  <c r="AK226" i="53"/>
  <c r="AK243" i="53"/>
  <c r="AK233" i="53"/>
  <c r="AK184" i="53"/>
  <c r="AK220" i="53"/>
  <c r="AK227" i="53"/>
  <c r="AK230" i="53"/>
  <c r="BC235" i="53"/>
  <c r="BF235" i="53" s="1"/>
  <c r="AK199" i="53"/>
  <c r="AK238" i="53"/>
  <c r="BC248" i="53"/>
  <c r="BF248" i="53" s="1"/>
  <c r="AK182" i="53"/>
  <c r="AK212" i="53"/>
  <c r="AK175" i="53"/>
  <c r="BC215" i="53"/>
  <c r="BF215" i="53" s="1"/>
  <c r="BC203" i="53"/>
  <c r="BF203" i="53" s="1"/>
  <c r="BC177" i="53"/>
  <c r="BF177" i="53" s="1"/>
  <c r="BC196" i="53"/>
  <c r="BF196" i="53" s="1"/>
  <c r="BC242" i="53"/>
  <c r="BF242" i="53" s="1"/>
  <c r="BC192" i="53"/>
  <c r="BF192" i="53" s="1"/>
  <c r="AK219" i="53"/>
  <c r="BC171" i="53"/>
  <c r="BF171" i="53" s="1"/>
  <c r="AK186" i="53"/>
  <c r="BC193" i="53"/>
  <c r="BF193" i="53" s="1"/>
  <c r="BC238" i="53"/>
  <c r="BF238" i="53" s="1"/>
  <c r="AK244" i="53"/>
  <c r="AK236" i="53"/>
  <c r="AK194" i="53"/>
  <c r="BC234" i="53"/>
  <c r="BF234" i="53" s="1"/>
  <c r="BC188" i="53"/>
  <c r="BF188" i="53" s="1"/>
  <c r="BC228" i="53"/>
  <c r="BF228" i="53" s="1"/>
  <c r="AK231" i="53"/>
  <c r="BC198" i="53"/>
  <c r="BF198" i="53" s="1"/>
  <c r="AK211" i="53"/>
  <c r="AK209" i="53"/>
  <c r="BC217" i="53"/>
  <c r="BF217" i="53" s="1"/>
  <c r="BC205" i="53"/>
  <c r="BF205" i="53" s="1"/>
  <c r="BC179" i="53"/>
  <c r="BF179" i="53" s="1"/>
  <c r="BC199" i="53"/>
  <c r="BF199" i="53" s="1"/>
  <c r="BC240" i="53"/>
  <c r="BF240" i="53" s="1"/>
  <c r="BC239" i="53"/>
  <c r="BF239" i="53" s="1"/>
  <c r="BC197" i="53"/>
  <c r="BF197" i="53" s="1"/>
  <c r="AK208" i="53"/>
  <c r="BW171" i="53"/>
  <c r="AK171" i="53"/>
  <c r="F397" i="52"/>
  <c r="E484" i="52"/>
  <c r="L484" i="52" s="1"/>
  <c r="C484" i="52"/>
  <c r="BW177" i="53"/>
  <c r="F402" i="52"/>
  <c r="BW218" i="53"/>
  <c r="F443" i="52"/>
  <c r="BW193" i="53"/>
  <c r="BW185" i="53"/>
  <c r="BW246" i="53"/>
  <c r="BW196" i="53"/>
  <c r="F421" i="52"/>
  <c r="BW205" i="53"/>
  <c r="F430" i="52"/>
  <c r="BW232" i="53"/>
  <c r="F457" i="52"/>
  <c r="BW201" i="53"/>
  <c r="F426" i="52"/>
  <c r="BW226" i="53"/>
  <c r="BW192" i="53"/>
  <c r="F417" i="52"/>
  <c r="BW211" i="53"/>
  <c r="F436" i="52"/>
  <c r="BW243" i="53"/>
  <c r="BW247" i="53"/>
  <c r="F472" i="52"/>
  <c r="BW180" i="53"/>
  <c r="F405" i="52"/>
  <c r="BW233" i="53"/>
  <c r="F458" i="52"/>
  <c r="BW184" i="53"/>
  <c r="BW199" i="53"/>
  <c r="BW220" i="53"/>
  <c r="BW229" i="53"/>
  <c r="BW227" i="53"/>
  <c r="BW190" i="53"/>
  <c r="F415" i="52"/>
  <c r="BW238" i="53"/>
  <c r="BW217" i="53"/>
  <c r="F442" i="52"/>
  <c r="BW224" i="53"/>
  <c r="BW242" i="53"/>
  <c r="F467" i="52"/>
  <c r="BW210" i="53"/>
  <c r="F435" i="52"/>
  <c r="BW222" i="53"/>
  <c r="F447" i="52"/>
  <c r="BW214" i="53"/>
  <c r="BW209" i="53"/>
  <c r="F434" i="52"/>
  <c r="BW219" i="53"/>
  <c r="F444" i="52"/>
  <c r="BW239" i="53"/>
  <c r="F464" i="52"/>
  <c r="BW178" i="53"/>
  <c r="BW186" i="53"/>
  <c r="F411" i="52"/>
  <c r="BW221" i="53"/>
  <c r="F446" i="52"/>
  <c r="F395" i="52"/>
  <c r="BW244" i="53"/>
  <c r="F469" i="52"/>
  <c r="BW236" i="53"/>
  <c r="F461" i="52"/>
  <c r="BW248" i="53"/>
  <c r="F473" i="52"/>
  <c r="BW181" i="53"/>
  <c r="F406" i="52"/>
  <c r="BW194" i="53"/>
  <c r="F419" i="52"/>
  <c r="BW200" i="53"/>
  <c r="F425" i="52"/>
  <c r="BW231" i="53"/>
  <c r="BW204" i="53"/>
  <c r="F429" i="52"/>
  <c r="BW208" i="53"/>
  <c r="BW230" i="53"/>
  <c r="BW173" i="53"/>
  <c r="BW237" i="53"/>
  <c r="BW189" i="53"/>
  <c r="F414" i="52"/>
  <c r="BW235" i="53"/>
  <c r="BW198" i="53"/>
  <c r="F423" i="52"/>
  <c r="BW213" i="53"/>
  <c r="BW241" i="53"/>
  <c r="F466" i="52"/>
  <c r="BW179" i="53"/>
  <c r="F404" i="52"/>
  <c r="BW183" i="53"/>
  <c r="BW216" i="53"/>
  <c r="F441" i="52"/>
  <c r="BW188" i="53"/>
  <c r="BW191" i="53"/>
  <c r="F416" i="52"/>
  <c r="BW223" i="53"/>
  <c r="F448" i="52"/>
  <c r="BW187" i="53"/>
  <c r="BW203" i="53"/>
  <c r="BW207" i="53"/>
  <c r="F432" i="52"/>
  <c r="BW249" i="53"/>
  <c r="BW240" i="53"/>
  <c r="F465" i="52"/>
  <c r="BW182" i="53"/>
  <c r="F407" i="52"/>
  <c r="BW195" i="53"/>
  <c r="BW202" i="53"/>
  <c r="F427" i="52"/>
  <c r="BW206" i="53"/>
  <c r="BW212" i="53"/>
  <c r="F437" i="52"/>
  <c r="BW245" i="53"/>
  <c r="BW197" i="53"/>
  <c r="F422" i="52"/>
  <c r="BW176" i="53"/>
  <c r="BW228" i="53"/>
  <c r="BW174" i="53"/>
  <c r="F399" i="52"/>
  <c r="BW215" i="53"/>
  <c r="BW234" i="53"/>
  <c r="F459" i="52"/>
  <c r="BW175" i="53"/>
  <c r="F400" i="52"/>
  <c r="BW225" i="53"/>
  <c r="F450" i="52"/>
  <c r="C179" i="53"/>
  <c r="CA172" i="53"/>
  <c r="CE172" i="53"/>
  <c r="CI172" i="53"/>
  <c r="CM172" i="53"/>
  <c r="BX172" i="53"/>
  <c r="CB172" i="53"/>
  <c r="CF172" i="53"/>
  <c r="CJ172" i="53"/>
  <c r="BY172" i="53"/>
  <c r="CC172" i="53"/>
  <c r="CG172" i="53"/>
  <c r="CK172" i="53"/>
  <c r="BZ172" i="53"/>
  <c r="CD172" i="53"/>
  <c r="CH172" i="53"/>
  <c r="CL172" i="53"/>
  <c r="B396" i="52"/>
  <c r="B286" i="52"/>
  <c r="A173" i="53"/>
  <c r="U173" i="53" s="1"/>
  <c r="V173" i="53" s="1"/>
  <c r="A484" i="52"/>
  <c r="A397" i="52"/>
  <c r="A287" i="52"/>
  <c r="B172" i="53"/>
  <c r="F130" i="16"/>
  <c r="D130" i="16"/>
  <c r="B130" i="16"/>
  <c r="F129" i="16"/>
  <c r="D129" i="16"/>
  <c r="B129" i="16"/>
  <c r="D422" i="52" l="1"/>
  <c r="D412" i="52"/>
  <c r="D423" i="52"/>
  <c r="D446" i="52"/>
  <c r="K484" i="52"/>
  <c r="D420" i="52"/>
  <c r="AN178" i="53"/>
  <c r="AN246" i="53"/>
  <c r="G471" i="52" s="1"/>
  <c r="L471" i="52" s="1"/>
  <c r="AN239" i="53"/>
  <c r="G464" i="52" s="1"/>
  <c r="L464" i="52" s="1"/>
  <c r="AN223" i="53"/>
  <c r="G448" i="52" s="1"/>
  <c r="L448" i="52" s="1"/>
  <c r="AN203" i="53"/>
  <c r="G428" i="52" s="1"/>
  <c r="L428" i="52" s="1"/>
  <c r="D414" i="52"/>
  <c r="AN240" i="53"/>
  <c r="G465" i="52" s="1"/>
  <c r="L465" i="52" s="1"/>
  <c r="AN218" i="53"/>
  <c r="G443" i="52" s="1"/>
  <c r="L443" i="52" s="1"/>
  <c r="D467" i="52"/>
  <c r="AN214" i="53"/>
  <c r="G439" i="52" s="1"/>
  <c r="L439" i="52" s="1"/>
  <c r="AN235" i="53"/>
  <c r="G460" i="52" s="1"/>
  <c r="L460" i="52" s="1"/>
  <c r="AN180" i="53"/>
  <c r="G405" i="52" s="1"/>
  <c r="L405" i="52" s="1"/>
  <c r="AN196" i="53"/>
  <c r="G421" i="52" s="1"/>
  <c r="L421" i="52" s="1"/>
  <c r="AN190" i="53"/>
  <c r="G415" i="52" s="1"/>
  <c r="L415" i="52" s="1"/>
  <c r="AN193" i="53"/>
  <c r="G418" i="52" s="1"/>
  <c r="L418" i="52" s="1"/>
  <c r="AN179" i="53"/>
  <c r="G404" i="52" s="1"/>
  <c r="L404" i="52" s="1"/>
  <c r="AN247" i="53"/>
  <c r="G472" i="52" s="1"/>
  <c r="L472" i="52" s="1"/>
  <c r="AN217" i="53"/>
  <c r="G442" i="52" s="1"/>
  <c r="L442" i="52" s="1"/>
  <c r="D397" i="52"/>
  <c r="AN207" i="53"/>
  <c r="G432" i="52" s="1"/>
  <c r="L432" i="52" s="1"/>
  <c r="AN188" i="53"/>
  <c r="G413" i="52" s="1"/>
  <c r="L413" i="52" s="1"/>
  <c r="AN216" i="53"/>
  <c r="G441" i="52" s="1"/>
  <c r="L441" i="52" s="1"/>
  <c r="AN192" i="53"/>
  <c r="G417" i="52" s="1"/>
  <c r="L417" i="52" s="1"/>
  <c r="D398" i="52"/>
  <c r="AN173" i="53"/>
  <c r="G398" i="52" s="1"/>
  <c r="L398" i="52" s="1"/>
  <c r="D424" i="52"/>
  <c r="AN199" i="53"/>
  <c r="G424" i="52" s="1"/>
  <c r="L424" i="52" s="1"/>
  <c r="D451" i="52"/>
  <c r="AN226" i="53"/>
  <c r="G451" i="52" s="1"/>
  <c r="L451" i="52" s="1"/>
  <c r="D453" i="52"/>
  <c r="AN228" i="53"/>
  <c r="G453" i="52" s="1"/>
  <c r="L453" i="52" s="1"/>
  <c r="D406" i="52"/>
  <c r="AN181" i="53"/>
  <c r="G406" i="52" s="1"/>
  <c r="L406" i="52" s="1"/>
  <c r="D456" i="52"/>
  <c r="AN231" i="53"/>
  <c r="G456" i="52" s="1"/>
  <c r="L456" i="52" s="1"/>
  <c r="D473" i="52"/>
  <c r="AN248" i="53"/>
  <c r="G473" i="52" s="1"/>
  <c r="L473" i="52" s="1"/>
  <c r="D455" i="52"/>
  <c r="AN230" i="53"/>
  <c r="G455" i="52" s="1"/>
  <c r="L455" i="52" s="1"/>
  <c r="D447" i="52"/>
  <c r="AN222" i="53"/>
  <c r="G447" i="52" s="1"/>
  <c r="L447" i="52" s="1"/>
  <c r="D400" i="52"/>
  <c r="AN175" i="53"/>
  <c r="G400" i="52" s="1"/>
  <c r="L400" i="52" s="1"/>
  <c r="D452" i="52"/>
  <c r="AN227" i="53"/>
  <c r="G452" i="52" s="1"/>
  <c r="L452" i="52" s="1"/>
  <c r="D435" i="52"/>
  <c r="AN210" i="53"/>
  <c r="G435" i="52" s="1"/>
  <c r="L435" i="52" s="1"/>
  <c r="D470" i="52"/>
  <c r="AN245" i="53"/>
  <c r="G470" i="52" s="1"/>
  <c r="L470" i="52" s="1"/>
  <c r="D401" i="52"/>
  <c r="AN176" i="53"/>
  <c r="G401" i="52" s="1"/>
  <c r="L401" i="52" s="1"/>
  <c r="D396" i="52"/>
  <c r="AN171" i="53"/>
  <c r="G396" i="52" s="1"/>
  <c r="L396" i="52" s="1"/>
  <c r="D444" i="52"/>
  <c r="AN219" i="53"/>
  <c r="G444" i="52" s="1"/>
  <c r="L444" i="52" s="1"/>
  <c r="D437" i="52"/>
  <c r="AN212" i="53"/>
  <c r="G437" i="52" s="1"/>
  <c r="L437" i="52" s="1"/>
  <c r="D445" i="52"/>
  <c r="AN220" i="53"/>
  <c r="G445" i="52" s="1"/>
  <c r="L445" i="52" s="1"/>
  <c r="D408" i="52"/>
  <c r="AN183" i="53"/>
  <c r="G408" i="52" s="1"/>
  <c r="L408" i="52" s="1"/>
  <c r="D431" i="52"/>
  <c r="AN206" i="53"/>
  <c r="G431" i="52" s="1"/>
  <c r="L431" i="52" s="1"/>
  <c r="D427" i="52"/>
  <c r="AN202" i="53"/>
  <c r="G427" i="52" s="1"/>
  <c r="L427" i="52" s="1"/>
  <c r="D457" i="52"/>
  <c r="AN232" i="53"/>
  <c r="G457" i="52" s="1"/>
  <c r="L457" i="52" s="1"/>
  <c r="D419" i="52"/>
  <c r="AN194" i="53"/>
  <c r="G419" i="52" s="1"/>
  <c r="L419" i="52" s="1"/>
  <c r="D407" i="52"/>
  <c r="AN182" i="53"/>
  <c r="G407" i="52" s="1"/>
  <c r="L407" i="52" s="1"/>
  <c r="D409" i="52"/>
  <c r="AN184" i="53"/>
  <c r="G409" i="52" s="1"/>
  <c r="L409" i="52" s="1"/>
  <c r="D474" i="52"/>
  <c r="AN249" i="53"/>
  <c r="G474" i="52" s="1"/>
  <c r="L474" i="52" s="1"/>
  <c r="D438" i="52"/>
  <c r="AN213" i="53"/>
  <c r="G438" i="52" s="1"/>
  <c r="L438" i="52" s="1"/>
  <c r="D450" i="52"/>
  <c r="AN225" i="53"/>
  <c r="G450" i="52" s="1"/>
  <c r="L450" i="52" s="1"/>
  <c r="D462" i="52"/>
  <c r="AN237" i="53"/>
  <c r="G462" i="52" s="1"/>
  <c r="L462" i="52" s="1"/>
  <c r="D440" i="52"/>
  <c r="AN215" i="53"/>
  <c r="G440" i="52" s="1"/>
  <c r="L440" i="52" s="1"/>
  <c r="D433" i="52"/>
  <c r="AN208" i="53"/>
  <c r="G433" i="52" s="1"/>
  <c r="L433" i="52" s="1"/>
  <c r="D434" i="52"/>
  <c r="AN209" i="53"/>
  <c r="G434" i="52" s="1"/>
  <c r="L434" i="52" s="1"/>
  <c r="D461" i="52"/>
  <c r="AN236" i="53"/>
  <c r="G461" i="52" s="1"/>
  <c r="L461" i="52" s="1"/>
  <c r="D458" i="52"/>
  <c r="AN233" i="53"/>
  <c r="G458" i="52" s="1"/>
  <c r="L458" i="52" s="1"/>
  <c r="D449" i="52"/>
  <c r="AN224" i="53"/>
  <c r="G449" i="52" s="1"/>
  <c r="L449" i="52" s="1"/>
  <c r="D459" i="52"/>
  <c r="AN234" i="53"/>
  <c r="G459" i="52" s="1"/>
  <c r="L459" i="52" s="1"/>
  <c r="D429" i="52"/>
  <c r="AN204" i="53"/>
  <c r="G429" i="52" s="1"/>
  <c r="L429" i="52" s="1"/>
  <c r="D430" i="52"/>
  <c r="AN205" i="53"/>
  <c r="G430" i="52" s="1"/>
  <c r="L430" i="52" s="1"/>
  <c r="D411" i="52"/>
  <c r="AN186" i="53"/>
  <c r="G411" i="52" s="1"/>
  <c r="L411" i="52" s="1"/>
  <c r="D436" i="52"/>
  <c r="AN211" i="53"/>
  <c r="G436" i="52" s="1"/>
  <c r="L436" i="52" s="1"/>
  <c r="D469" i="52"/>
  <c r="AN244" i="53"/>
  <c r="G469" i="52" s="1"/>
  <c r="L469" i="52" s="1"/>
  <c r="D463" i="52"/>
  <c r="AN238" i="53"/>
  <c r="G463" i="52" s="1"/>
  <c r="L463" i="52" s="1"/>
  <c r="D468" i="52"/>
  <c r="AN243" i="53"/>
  <c r="G468" i="52" s="1"/>
  <c r="L468" i="52" s="1"/>
  <c r="AN170" i="53"/>
  <c r="G395" i="52" s="1"/>
  <c r="L395" i="52" s="1"/>
  <c r="D410" i="52"/>
  <c r="AN185" i="53"/>
  <c r="G410" i="52" s="1"/>
  <c r="L410" i="52" s="1"/>
  <c r="D399" i="52"/>
  <c r="AN174" i="53"/>
  <c r="G399" i="52" s="1"/>
  <c r="L399" i="52" s="1"/>
  <c r="D425" i="52"/>
  <c r="AN200" i="53"/>
  <c r="G425" i="52" s="1"/>
  <c r="L425" i="52" s="1"/>
  <c r="D395" i="52"/>
  <c r="F424" i="52"/>
  <c r="F474" i="52"/>
  <c r="F440" i="52"/>
  <c r="F403" i="52"/>
  <c r="F453" i="52"/>
  <c r="F431" i="52"/>
  <c r="F452" i="52"/>
  <c r="F413" i="52"/>
  <c r="F455" i="52"/>
  <c r="F451" i="52"/>
  <c r="F420" i="52"/>
  <c r="F463" i="52"/>
  <c r="F438" i="52"/>
  <c r="F462" i="52"/>
  <c r="F454" i="52"/>
  <c r="F410" i="52"/>
  <c r="F460" i="52"/>
  <c r="F433" i="52"/>
  <c r="F470" i="52"/>
  <c r="F418" i="52"/>
  <c r="F398" i="52"/>
  <c r="F409" i="52"/>
  <c r="F401" i="52"/>
  <c r="F471" i="52"/>
  <c r="F468" i="52"/>
  <c r="F408" i="52"/>
  <c r="F412" i="52"/>
  <c r="F449" i="52"/>
  <c r="F396" i="52"/>
  <c r="F445" i="52"/>
  <c r="F428" i="52"/>
  <c r="F439" i="52"/>
  <c r="F456" i="52"/>
  <c r="E485" i="52"/>
  <c r="L485" i="52" s="1"/>
  <c r="C485" i="52"/>
  <c r="G454" i="52"/>
  <c r="L454" i="52" s="1"/>
  <c r="G397" i="52"/>
  <c r="L397" i="52" s="1"/>
  <c r="G426" i="52"/>
  <c r="L426" i="52" s="1"/>
  <c r="G416" i="52"/>
  <c r="L416" i="52" s="1"/>
  <c r="G446" i="52"/>
  <c r="L446" i="52" s="1"/>
  <c r="G414" i="52"/>
  <c r="L414" i="52" s="1"/>
  <c r="G466" i="52"/>
  <c r="L466" i="52" s="1"/>
  <c r="G403" i="52"/>
  <c r="L403" i="52" s="1"/>
  <c r="G423" i="52"/>
  <c r="L423" i="52" s="1"/>
  <c r="G402" i="52"/>
  <c r="L402" i="52" s="1"/>
  <c r="G422" i="52"/>
  <c r="L422" i="52" s="1"/>
  <c r="G467" i="52"/>
  <c r="L467" i="52" s="1"/>
  <c r="G412" i="52"/>
  <c r="L412" i="52" s="1"/>
  <c r="G420" i="52"/>
  <c r="L420" i="52" s="1"/>
  <c r="C180" i="53"/>
  <c r="CA173" i="53"/>
  <c r="CE173" i="53"/>
  <c r="CI173" i="53"/>
  <c r="CM173" i="53"/>
  <c r="BX173" i="53"/>
  <c r="CB173" i="53"/>
  <c r="CF173" i="53"/>
  <c r="CJ173" i="53"/>
  <c r="BY173" i="53"/>
  <c r="CC173" i="53"/>
  <c r="CG173" i="53"/>
  <c r="CK173" i="53"/>
  <c r="BZ173" i="53"/>
  <c r="CD173" i="53"/>
  <c r="CH173" i="53"/>
  <c r="CL173" i="53"/>
  <c r="A174" i="53"/>
  <c r="U174" i="53" s="1"/>
  <c r="V174" i="53" s="1"/>
  <c r="A485" i="52"/>
  <c r="A398" i="52"/>
  <c r="A288" i="52"/>
  <c r="B173" i="53"/>
  <c r="B484" i="52"/>
  <c r="B397" i="52"/>
  <c r="B287" i="52"/>
  <c r="G110" i="16"/>
  <c r="G108" i="16"/>
  <c r="G107" i="16"/>
  <c r="G105" i="16"/>
  <c r="E110" i="16"/>
  <c r="E108" i="16"/>
  <c r="E107" i="16"/>
  <c r="E105" i="16"/>
  <c r="C110" i="16"/>
  <c r="C108" i="16"/>
  <c r="C107" i="16"/>
  <c r="C105" i="16"/>
  <c r="G93" i="16"/>
  <c r="G91" i="16"/>
  <c r="E93" i="16"/>
  <c r="E91" i="16"/>
  <c r="C93" i="16"/>
  <c r="C91" i="16"/>
  <c r="A76" i="30"/>
  <c r="A75" i="30"/>
  <c r="D36" i="16"/>
  <c r="G76" i="30" s="1"/>
  <c r="L76" i="30" s="1"/>
  <c r="E76" i="30"/>
  <c r="B198" i="40"/>
  <c r="B124" i="40"/>
  <c r="B123" i="40"/>
  <c r="B122" i="40"/>
  <c r="K141" i="30"/>
  <c r="K142" i="30" s="1"/>
  <c r="K143" i="30" s="1"/>
  <c r="K188" i="43"/>
  <c r="K189" i="43" s="1"/>
  <c r="K190" i="43" s="1"/>
  <c r="K280" i="32"/>
  <c r="E63" i="3"/>
  <c r="F12" i="3"/>
  <c r="F13" i="3"/>
  <c r="K166" i="24"/>
  <c r="K167" i="24" s="1"/>
  <c r="K168" i="24" s="1"/>
  <c r="D123" i="40"/>
  <c r="F97" i="16"/>
  <c r="D97" i="16"/>
  <c r="D124" i="40"/>
  <c r="K475" i="52" l="1"/>
  <c r="C486" i="52"/>
  <c r="E486" i="52"/>
  <c r="L486" i="52" s="1"/>
  <c r="K485" i="52"/>
  <c r="H142" i="43"/>
  <c r="D211" i="40"/>
  <c r="E211" i="40"/>
  <c r="C211" i="40"/>
  <c r="K685" i="52"/>
  <c r="K686" i="52" s="1"/>
  <c r="A685" i="52"/>
  <c r="C181" i="53"/>
  <c r="CA174" i="53"/>
  <c r="CE174" i="53"/>
  <c r="CI174" i="53"/>
  <c r="CM174" i="53"/>
  <c r="BX174" i="53"/>
  <c r="CB174" i="53"/>
  <c r="CF174" i="53"/>
  <c r="CJ174" i="53"/>
  <c r="BY174" i="53"/>
  <c r="CC174" i="53"/>
  <c r="CG174" i="53"/>
  <c r="CK174" i="53"/>
  <c r="BZ174" i="53"/>
  <c r="CD174" i="53"/>
  <c r="CH174" i="53"/>
  <c r="CL174" i="53"/>
  <c r="B485" i="52"/>
  <c r="B398" i="52"/>
  <c r="B288" i="52"/>
  <c r="A486" i="52"/>
  <c r="A399" i="52"/>
  <c r="A289" i="52"/>
  <c r="B174" i="53"/>
  <c r="A175" i="53"/>
  <c r="U175" i="53" s="1"/>
  <c r="V175" i="53" s="1"/>
  <c r="E115" i="16"/>
  <c r="G115" i="16"/>
  <c r="E97" i="16"/>
  <c r="G97" i="16"/>
  <c r="C577" i="17"/>
  <c r="D122" i="40"/>
  <c r="E122" i="40"/>
  <c r="B212" i="40" l="1"/>
  <c r="K486" i="52"/>
  <c r="K476" i="52"/>
  <c r="K481" i="52" s="1"/>
  <c r="K480" i="52"/>
  <c r="E487" i="52"/>
  <c r="L487" i="52" s="1"/>
  <c r="C487" i="52"/>
  <c r="C182" i="53"/>
  <c r="CA175" i="53"/>
  <c r="CE175" i="53"/>
  <c r="CI175" i="53"/>
  <c r="CM175" i="53"/>
  <c r="BX175" i="53"/>
  <c r="CB175" i="53"/>
  <c r="CF175" i="53"/>
  <c r="CJ175" i="53"/>
  <c r="BY175" i="53"/>
  <c r="CC175" i="53"/>
  <c r="CG175" i="53"/>
  <c r="CK175" i="53"/>
  <c r="BZ175" i="53"/>
  <c r="CD175" i="53"/>
  <c r="CH175" i="53"/>
  <c r="CL175" i="53"/>
  <c r="A176" i="53"/>
  <c r="U176" i="53" s="1"/>
  <c r="V176" i="53" s="1"/>
  <c r="A487" i="52"/>
  <c r="A400" i="52"/>
  <c r="A290" i="52"/>
  <c r="B175" i="53"/>
  <c r="B399" i="52"/>
  <c r="B486" i="52"/>
  <c r="B289" i="52"/>
  <c r="D84" i="16"/>
  <c r="H114" i="30" s="1"/>
  <c r="A352" i="32"/>
  <c r="K281" i="32"/>
  <c r="K282" i="32" s="1"/>
  <c r="C185" i="11"/>
  <c r="J193" i="32" l="1"/>
  <c r="K193" i="32" s="1"/>
  <c r="E488" i="52"/>
  <c r="L488" i="52" s="1"/>
  <c r="C488" i="52"/>
  <c r="K487" i="52"/>
  <c r="C183" i="53"/>
  <c r="CA176" i="53"/>
  <c r="CE176" i="53"/>
  <c r="CI176" i="53"/>
  <c r="CM176" i="53"/>
  <c r="BX176" i="53"/>
  <c r="CB176" i="53"/>
  <c r="CF176" i="53"/>
  <c r="CJ176" i="53"/>
  <c r="BY176" i="53"/>
  <c r="CC176" i="53"/>
  <c r="CG176" i="53"/>
  <c r="CK176" i="53"/>
  <c r="BZ176" i="53"/>
  <c r="CD176" i="53"/>
  <c r="CH176" i="53"/>
  <c r="CL176" i="53"/>
  <c r="B176" i="53"/>
  <c r="B487" i="52"/>
  <c r="B400" i="52"/>
  <c r="B290" i="52"/>
  <c r="A177" i="53"/>
  <c r="U177" i="53" s="1"/>
  <c r="V177" i="53" s="1"/>
  <c r="A488" i="52"/>
  <c r="A291" i="52"/>
  <c r="A401" i="52"/>
  <c r="E84" i="16"/>
  <c r="G413" i="17"/>
  <c r="F413" i="17"/>
  <c r="E413" i="17"/>
  <c r="D413" i="17"/>
  <c r="C413" i="17"/>
  <c r="B413" i="17"/>
  <c r="G362" i="17"/>
  <c r="F362" i="17"/>
  <c r="E362" i="17"/>
  <c r="D362" i="17"/>
  <c r="C362" i="17"/>
  <c r="B362" i="17"/>
  <c r="G311" i="17"/>
  <c r="F311" i="17"/>
  <c r="E311" i="17"/>
  <c r="D311" i="17"/>
  <c r="C311" i="17"/>
  <c r="B311" i="17"/>
  <c r="G260" i="17"/>
  <c r="F260" i="17"/>
  <c r="E260" i="17"/>
  <c r="D260" i="17"/>
  <c r="C260" i="17"/>
  <c r="B260" i="17"/>
  <c r="G209" i="17"/>
  <c r="F209" i="17"/>
  <c r="E209" i="17"/>
  <c r="D209" i="17"/>
  <c r="C209" i="17"/>
  <c r="B209" i="17"/>
  <c r="G157" i="17"/>
  <c r="G158" i="17" s="1"/>
  <c r="F157" i="17"/>
  <c r="F158" i="17" s="1"/>
  <c r="E157" i="17"/>
  <c r="E158" i="17" s="1"/>
  <c r="D157" i="17"/>
  <c r="D158" i="17" s="1"/>
  <c r="C157" i="17"/>
  <c r="C158" i="17" s="1"/>
  <c r="B157" i="17"/>
  <c r="B158" i="17" s="1"/>
  <c r="K488" i="52" l="1"/>
  <c r="K360" i="32"/>
  <c r="K361" i="32" s="1"/>
  <c r="E489" i="52"/>
  <c r="L489" i="52" s="1"/>
  <c r="C489" i="52"/>
  <c r="C184" i="53"/>
  <c r="CA177" i="53"/>
  <c r="CE177" i="53"/>
  <c r="CI177" i="53"/>
  <c r="CM177" i="53"/>
  <c r="BX177" i="53"/>
  <c r="CB177" i="53"/>
  <c r="CF177" i="53"/>
  <c r="CJ177" i="53"/>
  <c r="BY177" i="53"/>
  <c r="CC177" i="53"/>
  <c r="CG177" i="53"/>
  <c r="CK177" i="53"/>
  <c r="BZ177" i="53"/>
  <c r="CD177" i="53"/>
  <c r="CH177" i="53"/>
  <c r="CL177" i="53"/>
  <c r="A178" i="53"/>
  <c r="U178" i="53" s="1"/>
  <c r="V178" i="53" s="1"/>
  <c r="A489" i="52"/>
  <c r="A402" i="52"/>
  <c r="A292" i="52"/>
  <c r="B177" i="53"/>
  <c r="B488" i="52"/>
  <c r="B401" i="52"/>
  <c r="B291" i="52"/>
  <c r="C450" i="17"/>
  <c r="D450" i="17" s="1"/>
  <c r="E450" i="17" s="1"/>
  <c r="F450" i="17" s="1"/>
  <c r="G450" i="17" s="1"/>
  <c r="C348" i="17"/>
  <c r="D348" i="17" s="1"/>
  <c r="E348" i="17" s="1"/>
  <c r="F348" i="17" s="1"/>
  <c r="G348" i="17" s="1"/>
  <c r="C490" i="52" l="1"/>
  <c r="E490" i="52"/>
  <c r="L490" i="52" s="1"/>
  <c r="K489" i="52"/>
  <c r="C185" i="53"/>
  <c r="CA178" i="53"/>
  <c r="CE178" i="53"/>
  <c r="CI178" i="53"/>
  <c r="CM178" i="53"/>
  <c r="BX178" i="53"/>
  <c r="CB178" i="53"/>
  <c r="CF178" i="53"/>
  <c r="CJ178" i="53"/>
  <c r="BY178" i="53"/>
  <c r="CC178" i="53"/>
  <c r="CG178" i="53"/>
  <c r="CK178" i="53"/>
  <c r="BZ178" i="53"/>
  <c r="CD178" i="53"/>
  <c r="CH178" i="53"/>
  <c r="CL178" i="53"/>
  <c r="B178" i="53"/>
  <c r="B489" i="52"/>
  <c r="B402" i="52"/>
  <c r="B292" i="52"/>
  <c r="A179" i="53"/>
  <c r="U179" i="53" s="1"/>
  <c r="V179" i="53" s="1"/>
  <c r="A490" i="52"/>
  <c r="A403" i="52"/>
  <c r="A293" i="52"/>
  <c r="G434" i="17"/>
  <c r="F434" i="17"/>
  <c r="E434" i="17"/>
  <c r="D434" i="17"/>
  <c r="C434" i="17"/>
  <c r="B434" i="17"/>
  <c r="G433" i="17"/>
  <c r="F433" i="17"/>
  <c r="E433" i="17"/>
  <c r="D433" i="17"/>
  <c r="C433" i="17"/>
  <c r="B433" i="17"/>
  <c r="G432" i="17"/>
  <c r="F432" i="17"/>
  <c r="E432" i="17"/>
  <c r="D432" i="17"/>
  <c r="C432" i="17"/>
  <c r="B432" i="17"/>
  <c r="G431" i="17"/>
  <c r="F431" i="17"/>
  <c r="E431" i="17"/>
  <c r="D431" i="17"/>
  <c r="C431" i="17"/>
  <c r="B431" i="17"/>
  <c r="G383" i="17"/>
  <c r="F383" i="17"/>
  <c r="E383" i="17"/>
  <c r="D383" i="17"/>
  <c r="C383" i="17"/>
  <c r="B383" i="17"/>
  <c r="G382" i="17"/>
  <c r="F382" i="17"/>
  <c r="E382" i="17"/>
  <c r="D382" i="17"/>
  <c r="C382" i="17"/>
  <c r="B382" i="17"/>
  <c r="G381" i="17"/>
  <c r="F381" i="17"/>
  <c r="E381" i="17"/>
  <c r="D381" i="17"/>
  <c r="C381" i="17"/>
  <c r="B381" i="17"/>
  <c r="G380" i="17"/>
  <c r="F380" i="17"/>
  <c r="E380" i="17"/>
  <c r="D380" i="17"/>
  <c r="C380" i="17"/>
  <c r="B380" i="17"/>
  <c r="G332" i="17"/>
  <c r="F332" i="17"/>
  <c r="E332" i="17"/>
  <c r="D332" i="17"/>
  <c r="C332" i="17"/>
  <c r="B332" i="17"/>
  <c r="G331" i="17"/>
  <c r="F331" i="17"/>
  <c r="E331" i="17"/>
  <c r="D331" i="17"/>
  <c r="C331" i="17"/>
  <c r="B331" i="17"/>
  <c r="G330" i="17"/>
  <c r="F330" i="17"/>
  <c r="E330" i="17"/>
  <c r="D330" i="17"/>
  <c r="C330" i="17"/>
  <c r="B330" i="17"/>
  <c r="G329" i="17"/>
  <c r="F329" i="17"/>
  <c r="E329" i="17"/>
  <c r="D329" i="17"/>
  <c r="C329" i="17"/>
  <c r="B329" i="17"/>
  <c r="G281" i="17"/>
  <c r="F281" i="17"/>
  <c r="E281" i="17"/>
  <c r="D281" i="17"/>
  <c r="C281" i="17"/>
  <c r="B281" i="17"/>
  <c r="G280" i="17"/>
  <c r="F280" i="17"/>
  <c r="E280" i="17"/>
  <c r="D280" i="17"/>
  <c r="C280" i="17"/>
  <c r="B280" i="17"/>
  <c r="G279" i="17"/>
  <c r="F279" i="17"/>
  <c r="E279" i="17"/>
  <c r="D279" i="17"/>
  <c r="C279" i="17"/>
  <c r="B279" i="17"/>
  <c r="G278" i="17"/>
  <c r="F278" i="17"/>
  <c r="E278" i="17"/>
  <c r="D278" i="17"/>
  <c r="C278" i="17"/>
  <c r="B278" i="17"/>
  <c r="G230" i="17"/>
  <c r="F230" i="17"/>
  <c r="E230" i="17"/>
  <c r="D230" i="17"/>
  <c r="C230" i="17"/>
  <c r="B230" i="17"/>
  <c r="G229" i="17"/>
  <c r="F229" i="17"/>
  <c r="E229" i="17"/>
  <c r="D229" i="17"/>
  <c r="C229" i="17"/>
  <c r="B229" i="17"/>
  <c r="G228" i="17"/>
  <c r="F228" i="17"/>
  <c r="E228" i="17"/>
  <c r="D228" i="17"/>
  <c r="C228" i="17"/>
  <c r="B228" i="17"/>
  <c r="G227" i="17"/>
  <c r="F227" i="17"/>
  <c r="E227" i="17"/>
  <c r="D227" i="17"/>
  <c r="C227" i="17"/>
  <c r="B227" i="17"/>
  <c r="G177" i="17"/>
  <c r="F177" i="17"/>
  <c r="E177" i="17"/>
  <c r="D177" i="17"/>
  <c r="C177" i="17"/>
  <c r="G176" i="17"/>
  <c r="F176" i="17"/>
  <c r="E176" i="17"/>
  <c r="D176" i="17"/>
  <c r="C176" i="17"/>
  <c r="B177" i="17"/>
  <c r="B176" i="17"/>
  <c r="G179" i="17"/>
  <c r="F179" i="17"/>
  <c r="E179" i="17"/>
  <c r="D179" i="17"/>
  <c r="C179" i="17"/>
  <c r="G178" i="17"/>
  <c r="F178" i="17"/>
  <c r="E178" i="17"/>
  <c r="D178" i="17"/>
  <c r="C178" i="17"/>
  <c r="B179" i="17"/>
  <c r="B178" i="17"/>
  <c r="K490" i="52" l="1"/>
  <c r="C491" i="52"/>
  <c r="E491" i="52"/>
  <c r="L491" i="52" s="1"/>
  <c r="C186" i="53"/>
  <c r="CA179" i="53"/>
  <c r="CE179" i="53"/>
  <c r="CI179" i="53"/>
  <c r="CM179" i="53"/>
  <c r="BX179" i="53"/>
  <c r="CB179" i="53"/>
  <c r="CF179" i="53"/>
  <c r="CJ179" i="53"/>
  <c r="BY179" i="53"/>
  <c r="CC179" i="53"/>
  <c r="CG179" i="53"/>
  <c r="CK179" i="53"/>
  <c r="BZ179" i="53"/>
  <c r="CD179" i="53"/>
  <c r="CH179" i="53"/>
  <c r="CL179" i="53"/>
  <c r="A180" i="53"/>
  <c r="U180" i="53" s="1"/>
  <c r="V180" i="53" s="1"/>
  <c r="A491" i="52"/>
  <c r="A404" i="52"/>
  <c r="A294" i="52"/>
  <c r="B179" i="53"/>
  <c r="B403" i="52"/>
  <c r="B490" i="52"/>
  <c r="B293" i="52"/>
  <c r="D144" i="17"/>
  <c r="E492" i="52" l="1"/>
  <c r="L492" i="52" s="1"/>
  <c r="C492" i="52"/>
  <c r="K491" i="52"/>
  <c r="C187" i="53"/>
  <c r="CA180" i="53"/>
  <c r="CE180" i="53"/>
  <c r="CI180" i="53"/>
  <c r="CM180" i="53"/>
  <c r="BX180" i="53"/>
  <c r="CB180" i="53"/>
  <c r="CF180" i="53"/>
  <c r="CJ180" i="53"/>
  <c r="BY180" i="53"/>
  <c r="CC180" i="53"/>
  <c r="CG180" i="53"/>
  <c r="CK180" i="53"/>
  <c r="BZ180" i="53"/>
  <c r="CD180" i="53"/>
  <c r="CH180" i="53"/>
  <c r="CL180" i="53"/>
  <c r="B180" i="53"/>
  <c r="B491" i="52"/>
  <c r="B404" i="52"/>
  <c r="B294" i="52"/>
  <c r="A492" i="52"/>
  <c r="A405" i="52"/>
  <c r="A295" i="52"/>
  <c r="A181" i="53"/>
  <c r="U181" i="53" s="1"/>
  <c r="V181" i="53" s="1"/>
  <c r="B193" i="17"/>
  <c r="B181" i="17"/>
  <c r="B180" i="17"/>
  <c r="B294" i="17"/>
  <c r="B345" i="17" s="1"/>
  <c r="B396" i="17" s="1"/>
  <c r="B447" i="17" s="1"/>
  <c r="K492" i="52" l="1"/>
  <c r="E493" i="52"/>
  <c r="L493" i="52" s="1"/>
  <c r="C493" i="52"/>
  <c r="C188" i="53"/>
  <c r="CA181" i="53"/>
  <c r="CE181" i="53"/>
  <c r="CI181" i="53"/>
  <c r="CM181" i="53"/>
  <c r="BX181" i="53"/>
  <c r="CB181" i="53"/>
  <c r="CF181" i="53"/>
  <c r="CJ181" i="53"/>
  <c r="BY181" i="53"/>
  <c r="CC181" i="53"/>
  <c r="CG181" i="53"/>
  <c r="CK181" i="53"/>
  <c r="BZ181" i="53"/>
  <c r="CD181" i="53"/>
  <c r="CH181" i="53"/>
  <c r="CL181" i="53"/>
  <c r="A182" i="53"/>
  <c r="U182" i="53" s="1"/>
  <c r="V182" i="53" s="1"/>
  <c r="A493" i="52"/>
  <c r="A406" i="52"/>
  <c r="A296" i="52"/>
  <c r="B181" i="53"/>
  <c r="B492" i="52"/>
  <c r="B405" i="52"/>
  <c r="B295" i="52"/>
  <c r="A216" i="39"/>
  <c r="A231" i="39" s="1"/>
  <c r="A203" i="39"/>
  <c r="G517" i="17"/>
  <c r="F517" i="17"/>
  <c r="G195" i="39" s="1"/>
  <c r="E517" i="17"/>
  <c r="D517" i="17"/>
  <c r="E195" i="39" s="1"/>
  <c r="C517" i="17"/>
  <c r="B517" i="17"/>
  <c r="C195" i="39" s="1"/>
  <c r="D78" i="17"/>
  <c r="C78" i="17"/>
  <c r="B78" i="17"/>
  <c r="C494" i="52" l="1"/>
  <c r="E494" i="52"/>
  <c r="L494" i="52" s="1"/>
  <c r="K493" i="52"/>
  <c r="E196" i="39"/>
  <c r="E197" i="39"/>
  <c r="E554" i="17"/>
  <c r="F195" i="39"/>
  <c r="C554" i="17"/>
  <c r="D195" i="39"/>
  <c r="G196" i="39"/>
  <c r="G197" i="39"/>
  <c r="G554" i="17"/>
  <c r="H195" i="39"/>
  <c r="C189" i="53"/>
  <c r="CA182" i="53"/>
  <c r="CE182" i="53"/>
  <c r="CI182" i="53"/>
  <c r="CM182" i="53"/>
  <c r="BX182" i="53"/>
  <c r="CB182" i="53"/>
  <c r="CF182" i="53"/>
  <c r="CJ182" i="53"/>
  <c r="BY182" i="53"/>
  <c r="CC182" i="53"/>
  <c r="CG182" i="53"/>
  <c r="CK182" i="53"/>
  <c r="BZ182" i="53"/>
  <c r="CD182" i="53"/>
  <c r="CH182" i="53"/>
  <c r="CL182" i="53"/>
  <c r="B182" i="53"/>
  <c r="B493" i="52"/>
  <c r="B406" i="52"/>
  <c r="B296" i="52"/>
  <c r="A183" i="53"/>
  <c r="U183" i="53" s="1"/>
  <c r="V183" i="53" s="1"/>
  <c r="A494" i="52"/>
  <c r="A407" i="52"/>
  <c r="A297" i="52"/>
  <c r="C545" i="17"/>
  <c r="E545" i="17"/>
  <c r="G545" i="17"/>
  <c r="D216" i="39"/>
  <c r="D203" i="39"/>
  <c r="F216" i="39"/>
  <c r="F203" i="39"/>
  <c r="H216" i="39"/>
  <c r="H203" i="39"/>
  <c r="C203" i="39"/>
  <c r="C216" i="39"/>
  <c r="E216" i="39"/>
  <c r="E203" i="39"/>
  <c r="G216" i="39"/>
  <c r="G203" i="39"/>
  <c r="B545" i="17"/>
  <c r="D545" i="17"/>
  <c r="F545" i="17"/>
  <c r="B554" i="17"/>
  <c r="D554" i="17"/>
  <c r="F554" i="17"/>
  <c r="F30" i="17"/>
  <c r="K494" i="52" l="1"/>
  <c r="E495" i="52"/>
  <c r="L495" i="52" s="1"/>
  <c r="C495" i="52"/>
  <c r="D197" i="39"/>
  <c r="D196" i="39"/>
  <c r="H196" i="39"/>
  <c r="H197" i="39"/>
  <c r="F196" i="39"/>
  <c r="F197" i="39"/>
  <c r="C190" i="53"/>
  <c r="CA183" i="53"/>
  <c r="CE183" i="53"/>
  <c r="CI183" i="53"/>
  <c r="CM183" i="53"/>
  <c r="BX183" i="53"/>
  <c r="CB183" i="53"/>
  <c r="CF183" i="53"/>
  <c r="CJ183" i="53"/>
  <c r="BY183" i="53"/>
  <c r="CC183" i="53"/>
  <c r="CG183" i="53"/>
  <c r="CK183" i="53"/>
  <c r="BZ183" i="53"/>
  <c r="CD183" i="53"/>
  <c r="CH183" i="53"/>
  <c r="CL183" i="53"/>
  <c r="A184" i="53"/>
  <c r="U184" i="53" s="1"/>
  <c r="V184" i="53" s="1"/>
  <c r="A495" i="52"/>
  <c r="A408" i="52"/>
  <c r="A298" i="52"/>
  <c r="B183" i="53"/>
  <c r="B407" i="52"/>
  <c r="B494" i="52"/>
  <c r="B297" i="52"/>
  <c r="A237" i="39"/>
  <c r="A235" i="39"/>
  <c r="A238" i="39"/>
  <c r="A236" i="39"/>
  <c r="A234" i="39"/>
  <c r="A233" i="39"/>
  <c r="C447" i="17"/>
  <c r="D447" i="17" s="1"/>
  <c r="E447" i="17" s="1"/>
  <c r="G436" i="17"/>
  <c r="F436" i="17"/>
  <c r="E448" i="17"/>
  <c r="D448" i="17"/>
  <c r="C436" i="17"/>
  <c r="B436" i="17"/>
  <c r="G435" i="17"/>
  <c r="F435" i="17"/>
  <c r="E435" i="17"/>
  <c r="D435" i="17"/>
  <c r="C435" i="17"/>
  <c r="B435" i="17"/>
  <c r="A413" i="17"/>
  <c r="C396" i="17"/>
  <c r="D396" i="17" s="1"/>
  <c r="G397" i="17"/>
  <c r="F385" i="17"/>
  <c r="E385" i="17"/>
  <c r="D385" i="17"/>
  <c r="C397" i="17"/>
  <c r="B385" i="17"/>
  <c r="G384" i="17"/>
  <c r="F384" i="17"/>
  <c r="E384" i="17"/>
  <c r="D384" i="17"/>
  <c r="C384" i="17"/>
  <c r="B384" i="17"/>
  <c r="A362" i="17"/>
  <c r="C345" i="17"/>
  <c r="G334" i="17"/>
  <c r="F346" i="17"/>
  <c r="E346" i="17"/>
  <c r="D334" i="17"/>
  <c r="C346" i="17"/>
  <c r="B346" i="17"/>
  <c r="G333" i="17"/>
  <c r="F333" i="17"/>
  <c r="E333" i="17"/>
  <c r="D333" i="17"/>
  <c r="C333" i="17"/>
  <c r="B333" i="17"/>
  <c r="A311" i="17"/>
  <c r="C294" i="17"/>
  <c r="D294" i="17" s="1"/>
  <c r="G283" i="17"/>
  <c r="F283" i="17"/>
  <c r="E283" i="17"/>
  <c r="D295" i="17"/>
  <c r="B283" i="17"/>
  <c r="G282" i="17"/>
  <c r="F282" i="17"/>
  <c r="E282" i="17"/>
  <c r="D282" i="17"/>
  <c r="C282" i="17"/>
  <c r="B282" i="17"/>
  <c r="A260" i="17"/>
  <c r="C243" i="17"/>
  <c r="D243" i="17" s="1"/>
  <c r="E243" i="17" s="1"/>
  <c r="G232" i="17"/>
  <c r="F232" i="17"/>
  <c r="E232" i="17"/>
  <c r="D232" i="17"/>
  <c r="C232" i="17"/>
  <c r="B232" i="17"/>
  <c r="G231" i="17"/>
  <c r="F231" i="17"/>
  <c r="E231" i="17"/>
  <c r="D231" i="17"/>
  <c r="C231" i="17"/>
  <c r="B231" i="17"/>
  <c r="A209" i="17"/>
  <c r="C192" i="17"/>
  <c r="D192" i="17" s="1"/>
  <c r="E192" i="17" s="1"/>
  <c r="F192" i="17" s="1"/>
  <c r="G192" i="17" s="1"/>
  <c r="G142" i="17"/>
  <c r="K495" i="52" l="1"/>
  <c r="E496" i="52"/>
  <c r="L496" i="52" s="1"/>
  <c r="C496" i="52"/>
  <c r="C191" i="53"/>
  <c r="CA184" i="53"/>
  <c r="CE184" i="53"/>
  <c r="CI184" i="53"/>
  <c r="CM184" i="53"/>
  <c r="BX184" i="53"/>
  <c r="CB184" i="53"/>
  <c r="CF184" i="53"/>
  <c r="CJ184" i="53"/>
  <c r="BY184" i="53"/>
  <c r="CC184" i="53"/>
  <c r="CG184" i="53"/>
  <c r="CK184" i="53"/>
  <c r="BZ184" i="53"/>
  <c r="CD184" i="53"/>
  <c r="CH184" i="53"/>
  <c r="CL184" i="53"/>
  <c r="B184" i="53"/>
  <c r="B495" i="52"/>
  <c r="B408" i="52"/>
  <c r="B298" i="52"/>
  <c r="A185" i="53"/>
  <c r="U185" i="53" s="1"/>
  <c r="V185" i="53" s="1"/>
  <c r="A496" i="52"/>
  <c r="A299" i="52"/>
  <c r="A409" i="52"/>
  <c r="C257" i="39"/>
  <c r="C281" i="39"/>
  <c r="C269" i="39"/>
  <c r="C263" i="39"/>
  <c r="C251" i="39"/>
  <c r="C275" i="39"/>
  <c r="C261" i="39"/>
  <c r="C273" i="39"/>
  <c r="C279" i="39"/>
  <c r="C285" i="39"/>
  <c r="C267" i="39"/>
  <c r="C255" i="39"/>
  <c r="C264" i="39"/>
  <c r="C282" i="39"/>
  <c r="C276" i="39"/>
  <c r="C258" i="39"/>
  <c r="C270" i="39"/>
  <c r="C252" i="39"/>
  <c r="C262" i="39"/>
  <c r="C274" i="39"/>
  <c r="C268" i="39"/>
  <c r="C250" i="39"/>
  <c r="C280" i="39"/>
  <c r="C256" i="39"/>
  <c r="C277" i="39"/>
  <c r="C283" i="39"/>
  <c r="C253" i="39"/>
  <c r="C259" i="39"/>
  <c r="C271" i="39"/>
  <c r="C265" i="39"/>
  <c r="C266" i="39"/>
  <c r="C284" i="39"/>
  <c r="C254" i="39"/>
  <c r="C278" i="39"/>
  <c r="C272" i="39"/>
  <c r="C260" i="39"/>
  <c r="C283" i="17"/>
  <c r="D346" i="17"/>
  <c r="G385" i="17"/>
  <c r="F448" i="17"/>
  <c r="D397" i="17"/>
  <c r="E295" i="17"/>
  <c r="G346" i="17"/>
  <c r="D244" i="17"/>
  <c r="E397" i="17"/>
  <c r="B448" i="17"/>
  <c r="E334" i="17"/>
  <c r="D345" i="17"/>
  <c r="E436" i="17"/>
  <c r="F447" i="17"/>
  <c r="B334" i="17"/>
  <c r="F334" i="17"/>
  <c r="E396" i="17"/>
  <c r="D436" i="17"/>
  <c r="C334" i="17"/>
  <c r="C385" i="17"/>
  <c r="B397" i="17"/>
  <c r="F397" i="17"/>
  <c r="C448" i="17"/>
  <c r="G448" i="17"/>
  <c r="E294" i="17"/>
  <c r="D283" i="17"/>
  <c r="B295" i="17"/>
  <c r="F295" i="17"/>
  <c r="C295" i="17"/>
  <c r="G295" i="17"/>
  <c r="F243" i="17"/>
  <c r="E244" i="17"/>
  <c r="B244" i="17"/>
  <c r="F244" i="17"/>
  <c r="C244" i="17"/>
  <c r="G244" i="17"/>
  <c r="A209" i="26"/>
  <c r="F143" i="40"/>
  <c r="F142" i="40"/>
  <c r="I143" i="40"/>
  <c r="H143" i="40"/>
  <c r="G143" i="40"/>
  <c r="K496" i="52" l="1"/>
  <c r="F144" i="40"/>
  <c r="E497" i="52"/>
  <c r="L497" i="52" s="1"/>
  <c r="C497" i="52"/>
  <c r="C192" i="53"/>
  <c r="CA185" i="53"/>
  <c r="CE185" i="53"/>
  <c r="CI185" i="53"/>
  <c r="CM185" i="53"/>
  <c r="BX185" i="53"/>
  <c r="CB185" i="53"/>
  <c r="CF185" i="53"/>
  <c r="CJ185" i="53"/>
  <c r="BY185" i="53"/>
  <c r="CC185" i="53"/>
  <c r="CG185" i="53"/>
  <c r="CK185" i="53"/>
  <c r="BZ185" i="53"/>
  <c r="CD185" i="53"/>
  <c r="CH185" i="53"/>
  <c r="CL185" i="53"/>
  <c r="A186" i="53"/>
  <c r="U186" i="53" s="1"/>
  <c r="V186" i="53" s="1"/>
  <c r="A497" i="52"/>
  <c r="A410" i="52"/>
  <c r="A300" i="52"/>
  <c r="B185" i="53"/>
  <c r="B496" i="52"/>
  <c r="B409" i="52"/>
  <c r="B299" i="52"/>
  <c r="F396" i="17"/>
  <c r="E345" i="17"/>
  <c r="G447" i="17"/>
  <c r="F294" i="17"/>
  <c r="G243" i="17"/>
  <c r="A95" i="6"/>
  <c r="A91" i="6"/>
  <c r="K497" i="52" l="1"/>
  <c r="C498" i="52"/>
  <c r="E498" i="52"/>
  <c r="L498" i="52" s="1"/>
  <c r="A207" i="26"/>
  <c r="A105" i="26"/>
  <c r="A168" i="26" s="1"/>
  <c r="A205" i="26"/>
  <c r="A104" i="26"/>
  <c r="A167" i="26" s="1"/>
  <c r="C193" i="53"/>
  <c r="CA186" i="53"/>
  <c r="CE186" i="53"/>
  <c r="CI186" i="53"/>
  <c r="CM186" i="53"/>
  <c r="BX186" i="53"/>
  <c r="CB186" i="53"/>
  <c r="CF186" i="53"/>
  <c r="CJ186" i="53"/>
  <c r="BY186" i="53"/>
  <c r="CC186" i="53"/>
  <c r="CG186" i="53"/>
  <c r="CK186" i="53"/>
  <c r="BZ186" i="53"/>
  <c r="CD186" i="53"/>
  <c r="CH186" i="53"/>
  <c r="CL186" i="53"/>
  <c r="B186" i="53"/>
  <c r="B497" i="52"/>
  <c r="B410" i="52"/>
  <c r="B300" i="52"/>
  <c r="A187" i="53"/>
  <c r="U187" i="53" s="1"/>
  <c r="V187" i="53" s="1"/>
  <c r="A498" i="52"/>
  <c r="A411" i="52"/>
  <c r="A301" i="52"/>
  <c r="G396" i="17"/>
  <c r="F345" i="17"/>
  <c r="G294" i="17"/>
  <c r="G973" i="57"/>
  <c r="G972" i="57"/>
  <c r="G971" i="57"/>
  <c r="G970" i="57"/>
  <c r="G877" i="57"/>
  <c r="G876" i="57"/>
  <c r="G875" i="57"/>
  <c r="G874" i="57"/>
  <c r="G781" i="57"/>
  <c r="G780" i="57"/>
  <c r="G779" i="57"/>
  <c r="G778" i="57"/>
  <c r="G685" i="57"/>
  <c r="G684" i="57"/>
  <c r="G683" i="57"/>
  <c r="G682" i="57"/>
  <c r="G589" i="57"/>
  <c r="G588" i="57"/>
  <c r="G587" i="57"/>
  <c r="G586" i="57"/>
  <c r="G493" i="57"/>
  <c r="G492" i="57"/>
  <c r="G491" i="57"/>
  <c r="G490" i="57"/>
  <c r="G397" i="57"/>
  <c r="G396" i="57"/>
  <c r="G395" i="57"/>
  <c r="G394" i="57"/>
  <c r="G301" i="57"/>
  <c r="G300" i="57"/>
  <c r="G299" i="57"/>
  <c r="G298" i="57"/>
  <c r="G205" i="57"/>
  <c r="G204" i="57"/>
  <c r="G203" i="57"/>
  <c r="G202" i="57"/>
  <c r="E922" i="56"/>
  <c r="D922" i="56"/>
  <c r="C922" i="56"/>
  <c r="B922" i="56"/>
  <c r="C921" i="56"/>
  <c r="D921" i="56" s="1"/>
  <c r="E921" i="56" s="1"/>
  <c r="E831" i="56"/>
  <c r="D831" i="56"/>
  <c r="C831" i="56"/>
  <c r="B831" i="56"/>
  <c r="C830" i="56"/>
  <c r="D830" i="56" s="1"/>
  <c r="E830" i="56" s="1"/>
  <c r="E740" i="56"/>
  <c r="D740" i="56"/>
  <c r="C740" i="56"/>
  <c r="B740" i="56"/>
  <c r="C739" i="56"/>
  <c r="D739" i="56" s="1"/>
  <c r="E739" i="56" s="1"/>
  <c r="E649" i="56"/>
  <c r="D649" i="56"/>
  <c r="C649" i="56"/>
  <c r="B649" i="56"/>
  <c r="C648" i="56"/>
  <c r="D648" i="56" s="1"/>
  <c r="E648" i="56" s="1"/>
  <c r="E558" i="56"/>
  <c r="D558" i="56"/>
  <c r="C558" i="56"/>
  <c r="B558" i="56"/>
  <c r="C557" i="56"/>
  <c r="D557" i="56" s="1"/>
  <c r="E557" i="56" s="1"/>
  <c r="E467" i="56"/>
  <c r="D467" i="56"/>
  <c r="C467" i="56"/>
  <c r="B467" i="56"/>
  <c r="C466" i="56"/>
  <c r="D466" i="56" s="1"/>
  <c r="E466" i="56" s="1"/>
  <c r="E376" i="56"/>
  <c r="D376" i="56"/>
  <c r="C376" i="56"/>
  <c r="B376" i="56"/>
  <c r="C375" i="56"/>
  <c r="D375" i="56" s="1"/>
  <c r="E375" i="56" s="1"/>
  <c r="E285" i="56"/>
  <c r="D285" i="56"/>
  <c r="C285" i="56"/>
  <c r="B285" i="56"/>
  <c r="C284" i="56"/>
  <c r="D284" i="56" s="1"/>
  <c r="E284" i="56" s="1"/>
  <c r="E194" i="56"/>
  <c r="D194" i="56"/>
  <c r="C194" i="56"/>
  <c r="B194" i="56"/>
  <c r="C193" i="56"/>
  <c r="D193" i="56" s="1"/>
  <c r="E193" i="56" s="1"/>
  <c r="G109" i="57"/>
  <c r="G108" i="57"/>
  <c r="G107" i="57"/>
  <c r="G106" i="57"/>
  <c r="C44" i="56"/>
  <c r="D44" i="56"/>
  <c r="E44" i="56"/>
  <c r="B44" i="56"/>
  <c r="B98" i="56"/>
  <c r="G51" i="57"/>
  <c r="A1057" i="57"/>
  <c r="A1050" i="57"/>
  <c r="A1047" i="57"/>
  <c r="A1045" i="57"/>
  <c r="A1043" i="57"/>
  <c r="A1041" i="57"/>
  <c r="A1039" i="57"/>
  <c r="A1037" i="57"/>
  <c r="A1052" i="57"/>
  <c r="A1035" i="57"/>
  <c r="A1033" i="57"/>
  <c r="K498" i="52" l="1"/>
  <c r="C499" i="52"/>
  <c r="E499" i="52"/>
  <c r="L499" i="52" s="1"/>
  <c r="C194" i="53"/>
  <c r="CA187" i="53"/>
  <c r="CE187" i="53"/>
  <c r="CI187" i="53"/>
  <c r="CM187" i="53"/>
  <c r="BX187" i="53"/>
  <c r="CB187" i="53"/>
  <c r="CF187" i="53"/>
  <c r="CJ187" i="53"/>
  <c r="BY187" i="53"/>
  <c r="CC187" i="53"/>
  <c r="CG187" i="53"/>
  <c r="CK187" i="53"/>
  <c r="BZ187" i="53"/>
  <c r="CD187" i="53"/>
  <c r="CH187" i="53"/>
  <c r="CL187" i="53"/>
  <c r="A188" i="53"/>
  <c r="U188" i="53" s="1"/>
  <c r="V188" i="53" s="1"/>
  <c r="A499" i="52"/>
  <c r="A412" i="52"/>
  <c r="A302" i="52"/>
  <c r="B187" i="53"/>
  <c r="B411" i="52"/>
  <c r="B498" i="52"/>
  <c r="B301" i="52"/>
  <c r="G345" i="17"/>
  <c r="K499" i="52" l="1"/>
  <c r="C500" i="52"/>
  <c r="E500" i="52"/>
  <c r="L500" i="52" s="1"/>
  <c r="D207" i="39"/>
  <c r="C195" i="53"/>
  <c r="CA188" i="53"/>
  <c r="CE188" i="53"/>
  <c r="CI188" i="53"/>
  <c r="CM188" i="53"/>
  <c r="BX188" i="53"/>
  <c r="CB188" i="53"/>
  <c r="CF188" i="53"/>
  <c r="CJ188" i="53"/>
  <c r="BZ188" i="53"/>
  <c r="CD188" i="53"/>
  <c r="CH188" i="53"/>
  <c r="CL188" i="53"/>
  <c r="CK188" i="53"/>
  <c r="BY188" i="53"/>
  <c r="CC188" i="53"/>
  <c r="CG188" i="53"/>
  <c r="B188" i="53"/>
  <c r="B499" i="52"/>
  <c r="B412" i="52"/>
  <c r="B302" i="52"/>
  <c r="A189" i="53"/>
  <c r="U189" i="53" s="1"/>
  <c r="V189" i="53" s="1"/>
  <c r="A500" i="52"/>
  <c r="A413" i="52"/>
  <c r="A303" i="52"/>
  <c r="K500" i="52" l="1"/>
  <c r="E501" i="52"/>
  <c r="L501" i="52" s="1"/>
  <c r="C501" i="52"/>
  <c r="H207" i="39"/>
  <c r="H205" i="39"/>
  <c r="G205" i="39"/>
  <c r="G207" i="39"/>
  <c r="E206" i="39"/>
  <c r="H206" i="39"/>
  <c r="G206" i="39"/>
  <c r="F204" i="39"/>
  <c r="D204" i="39"/>
  <c r="F207" i="39"/>
  <c r="E204" i="39"/>
  <c r="H204" i="39"/>
  <c r="F206" i="39"/>
  <c r="G204" i="39"/>
  <c r="D206" i="39"/>
  <c r="C196" i="53"/>
  <c r="CA189" i="53"/>
  <c r="CE189" i="53"/>
  <c r="CI189" i="53"/>
  <c r="BX189" i="53"/>
  <c r="CB189" i="53"/>
  <c r="CF189" i="53"/>
  <c r="CJ189" i="53"/>
  <c r="BZ189" i="53"/>
  <c r="CD189" i="53"/>
  <c r="CH189" i="53"/>
  <c r="CL189" i="53"/>
  <c r="CK189" i="53"/>
  <c r="BY189" i="53"/>
  <c r="CM189" i="53"/>
  <c r="CC189" i="53"/>
  <c r="CG189" i="53"/>
  <c r="A190" i="53"/>
  <c r="U190" i="53" s="1"/>
  <c r="V190" i="53" s="1"/>
  <c r="A501" i="52"/>
  <c r="A414" i="52"/>
  <c r="A304" i="52"/>
  <c r="B189" i="53"/>
  <c r="B500" i="52"/>
  <c r="B413" i="52"/>
  <c r="B303" i="52"/>
  <c r="E143" i="40"/>
  <c r="G178" i="11"/>
  <c r="K178" i="11"/>
  <c r="I179" i="11"/>
  <c r="K179" i="11"/>
  <c r="K501" i="52" l="1"/>
  <c r="C502" i="52"/>
  <c r="E502" i="52"/>
  <c r="L502" i="52" s="1"/>
  <c r="C197" i="53"/>
  <c r="BX190" i="53"/>
  <c r="CB190" i="53"/>
  <c r="CF190" i="53"/>
  <c r="CJ190" i="53"/>
  <c r="BZ190" i="53"/>
  <c r="CD190" i="53"/>
  <c r="CH190" i="53"/>
  <c r="CL190" i="53"/>
  <c r="CC190" i="53"/>
  <c r="CK190" i="53"/>
  <c r="CE190" i="53"/>
  <c r="CM190" i="53"/>
  <c r="BY190" i="53"/>
  <c r="CG190" i="53"/>
  <c r="CA190" i="53"/>
  <c r="CI190" i="53"/>
  <c r="B190" i="53"/>
  <c r="B501" i="52"/>
  <c r="B414" i="52"/>
  <c r="B304" i="52"/>
  <c r="A191" i="53"/>
  <c r="U191" i="53" s="1"/>
  <c r="V191" i="53" s="1"/>
  <c r="A502" i="52"/>
  <c r="A415" i="52"/>
  <c r="A305" i="52"/>
  <c r="A191" i="32"/>
  <c r="A189" i="32"/>
  <c r="B181" i="11"/>
  <c r="K168" i="11"/>
  <c r="I168" i="11"/>
  <c r="G168" i="11"/>
  <c r="E168" i="11"/>
  <c r="A176" i="32" s="1"/>
  <c r="C168" i="11"/>
  <c r="A174" i="32" s="1"/>
  <c r="A167" i="11"/>
  <c r="A176" i="11" s="1"/>
  <c r="F205" i="39" l="1"/>
  <c r="D205" i="39"/>
  <c r="E177" i="11"/>
  <c r="A180" i="32"/>
  <c r="I177" i="11"/>
  <c r="A190" i="32" s="1"/>
  <c r="C177" i="11"/>
  <c r="A184" i="32" s="1"/>
  <c r="A178" i="32"/>
  <c r="G177" i="11"/>
  <c r="A188" i="32" s="1"/>
  <c r="A182" i="32"/>
  <c r="K177" i="11"/>
  <c r="A192" i="32" s="1"/>
  <c r="K502" i="52"/>
  <c r="E503" i="52"/>
  <c r="C503" i="52"/>
  <c r="C198" i="53"/>
  <c r="BX191" i="53"/>
  <c r="BZ191" i="53"/>
  <c r="CB191" i="53"/>
  <c r="CF191" i="53"/>
  <c r="CJ191" i="53"/>
  <c r="CC191" i="53"/>
  <c r="CG191" i="53"/>
  <c r="CK191" i="53"/>
  <c r="BY191" i="53"/>
  <c r="CD191" i="53"/>
  <c r="CH191" i="53"/>
  <c r="CL191" i="53"/>
  <c r="CA191" i="53"/>
  <c r="CE191" i="53"/>
  <c r="CI191" i="53"/>
  <c r="CM191" i="53"/>
  <c r="A503" i="52"/>
  <c r="A416" i="52"/>
  <c r="A306" i="52"/>
  <c r="A192" i="53"/>
  <c r="U192" i="53" s="1"/>
  <c r="V192" i="53" s="1"/>
  <c r="B191" i="53"/>
  <c r="B415" i="52"/>
  <c r="B502" i="52"/>
  <c r="B305" i="52"/>
  <c r="A186" i="32"/>
  <c r="D165" i="11"/>
  <c r="K32" i="57"/>
  <c r="K33" i="57" s="1"/>
  <c r="E205" i="39" l="1"/>
  <c r="L503" i="52"/>
  <c r="K503" i="52"/>
  <c r="E504" i="52"/>
  <c r="L504" i="52" s="1"/>
  <c r="C504" i="52"/>
  <c r="C199" i="53"/>
  <c r="BX192" i="53"/>
  <c r="CB192" i="53"/>
  <c r="CF192" i="53"/>
  <c r="CJ192" i="53"/>
  <c r="BY192" i="53"/>
  <c r="CC192" i="53"/>
  <c r="CG192" i="53"/>
  <c r="CK192" i="53"/>
  <c r="BZ192" i="53"/>
  <c r="CD192" i="53"/>
  <c r="CH192" i="53"/>
  <c r="CL192" i="53"/>
  <c r="CA192" i="53"/>
  <c r="CE192" i="53"/>
  <c r="CI192" i="53"/>
  <c r="CM192" i="53"/>
  <c r="B503" i="52"/>
  <c r="B416" i="52"/>
  <c r="B306" i="52"/>
  <c r="A193" i="53"/>
  <c r="U193" i="53" s="1"/>
  <c r="V193" i="53" s="1"/>
  <c r="A504" i="52"/>
  <c r="A307" i="52"/>
  <c r="A417" i="52"/>
  <c r="B192" i="53"/>
  <c r="G1" i="55"/>
  <c r="G1" i="51"/>
  <c r="E421" i="17"/>
  <c r="B376" i="17"/>
  <c r="G319" i="17"/>
  <c r="C325" i="17"/>
  <c r="F216" i="17"/>
  <c r="B421" i="17"/>
  <c r="F420" i="17"/>
  <c r="G370" i="17"/>
  <c r="F318" i="17"/>
  <c r="F267" i="17"/>
  <c r="G376" i="17"/>
  <c r="B268" i="17"/>
  <c r="E420" i="17"/>
  <c r="C426" i="17"/>
  <c r="C375" i="17"/>
  <c r="E222" i="17"/>
  <c r="C370" i="17"/>
  <c r="F222" i="17"/>
  <c r="B375" i="17"/>
  <c r="D222" i="17"/>
  <c r="G369" i="17"/>
  <c r="B318" i="17"/>
  <c r="E268" i="17"/>
  <c r="D274" i="17"/>
  <c r="C369" i="17"/>
  <c r="B370" i="17"/>
  <c r="F376" i="17"/>
  <c r="B427" i="17"/>
  <c r="C273" i="17"/>
  <c r="E369" i="17"/>
  <c r="D319" i="17"/>
  <c r="C217" i="17"/>
  <c r="G318" i="17"/>
  <c r="G420" i="17"/>
  <c r="B319" i="17"/>
  <c r="B267" i="17"/>
  <c r="F375" i="17"/>
  <c r="D223" i="17"/>
  <c r="B222" i="17"/>
  <c r="C274" i="17"/>
  <c r="F172" i="17"/>
  <c r="E325" i="17"/>
  <c r="B426" i="17"/>
  <c r="D216" i="17"/>
  <c r="E216" i="17"/>
  <c r="F421" i="17"/>
  <c r="D375" i="17"/>
  <c r="C216" i="17"/>
  <c r="B216" i="17"/>
  <c r="B166" i="17"/>
  <c r="C427" i="17"/>
  <c r="D420" i="17"/>
  <c r="B324" i="17"/>
  <c r="D421" i="17"/>
  <c r="F273" i="17"/>
  <c r="F427" i="17"/>
  <c r="C324" i="17"/>
  <c r="G324" i="17"/>
  <c r="E273" i="17"/>
  <c r="F370" i="17"/>
  <c r="C376" i="17"/>
  <c r="C318" i="17"/>
  <c r="D273" i="17"/>
  <c r="B274" i="17"/>
  <c r="E318" i="17"/>
  <c r="G273" i="17"/>
  <c r="D325" i="17"/>
  <c r="E267" i="17"/>
  <c r="G216" i="17"/>
  <c r="C267" i="17"/>
  <c r="D376" i="17"/>
  <c r="F166" i="17"/>
  <c r="F223" i="17"/>
  <c r="B369" i="17"/>
  <c r="F268" i="17"/>
  <c r="C420" i="17"/>
  <c r="C319" i="17"/>
  <c r="G267" i="17"/>
  <c r="B273" i="17"/>
  <c r="G268" i="17"/>
  <c r="C268" i="17"/>
  <c r="C166" i="17"/>
  <c r="G223" i="17"/>
  <c r="G426" i="17"/>
  <c r="G375" i="17"/>
  <c r="E427" i="17"/>
  <c r="E324" i="17"/>
  <c r="F325" i="17"/>
  <c r="G172" i="17"/>
  <c r="F274" i="17"/>
  <c r="D370" i="17"/>
  <c r="B217" i="17"/>
  <c r="F426" i="17"/>
  <c r="B325" i="17"/>
  <c r="F319" i="17"/>
  <c r="D217" i="17"/>
  <c r="E319" i="17"/>
  <c r="G421" i="17"/>
  <c r="E172" i="17"/>
  <c r="G217" i="17"/>
  <c r="E375" i="17"/>
  <c r="D318" i="17"/>
  <c r="F324" i="17"/>
  <c r="E370" i="17"/>
  <c r="F217" i="17"/>
  <c r="E274" i="17"/>
  <c r="C421" i="17"/>
  <c r="G222" i="17"/>
  <c r="B223" i="17"/>
  <c r="D426" i="17"/>
  <c r="C222" i="17"/>
  <c r="G427" i="17"/>
  <c r="D267" i="17"/>
  <c r="B172" i="17"/>
  <c r="E376" i="17"/>
  <c r="F369" i="17"/>
  <c r="E217" i="17"/>
  <c r="C223" i="17"/>
  <c r="D166" i="17"/>
  <c r="B420" i="17"/>
  <c r="D427" i="17"/>
  <c r="E223" i="17"/>
  <c r="D172" i="17"/>
  <c r="G325" i="17"/>
  <c r="D324" i="17"/>
  <c r="G166" i="17"/>
  <c r="E166" i="17"/>
  <c r="C172" i="17"/>
  <c r="G274" i="17"/>
  <c r="D369" i="17"/>
  <c r="E426" i="17"/>
  <c r="D268" i="17"/>
  <c r="E455" i="17" l="1"/>
  <c r="E505" i="17" s="1"/>
  <c r="E456" i="17"/>
  <c r="E506" i="17" s="1"/>
  <c r="E442" i="17"/>
  <c r="D388" i="17"/>
  <c r="D398" i="17" s="1"/>
  <c r="G306" i="17"/>
  <c r="G307" i="17" s="1"/>
  <c r="C204" i="17"/>
  <c r="C205" i="17" s="1"/>
  <c r="D354" i="17"/>
  <c r="D502" i="17" s="1"/>
  <c r="D340" i="17"/>
  <c r="D353" i="17"/>
  <c r="D501" i="17" s="1"/>
  <c r="G357" i="17"/>
  <c r="G507" i="17" s="1"/>
  <c r="G530" i="17" s="1"/>
  <c r="D204" i="17"/>
  <c r="D205" i="17" s="1"/>
  <c r="E255" i="17"/>
  <c r="E256" i="17" s="1"/>
  <c r="E489" i="17" s="1"/>
  <c r="D459" i="17"/>
  <c r="D460" i="17" s="1"/>
  <c r="D512" i="17" s="1"/>
  <c r="B439" i="17"/>
  <c r="B449" i="17" s="1"/>
  <c r="B452" i="17" s="1"/>
  <c r="C255" i="17"/>
  <c r="C256" i="17" s="1"/>
  <c r="C489" i="17" s="1"/>
  <c r="F388" i="17"/>
  <c r="F398" i="17" s="1"/>
  <c r="E408" i="17"/>
  <c r="D286" i="17"/>
  <c r="D296" i="17" s="1"/>
  <c r="G459" i="17"/>
  <c r="C238" i="17"/>
  <c r="D455" i="17"/>
  <c r="D505" i="17" s="1"/>
  <c r="D456" i="17"/>
  <c r="D506" i="17" s="1"/>
  <c r="D442" i="17"/>
  <c r="G238" i="17"/>
  <c r="E306" i="17"/>
  <c r="E307" i="17" s="1"/>
  <c r="F340" i="17"/>
  <c r="F354" i="17"/>
  <c r="F502" i="17" s="1"/>
  <c r="F353" i="17"/>
  <c r="F501" i="17" s="1"/>
  <c r="D337" i="17"/>
  <c r="D347" i="17" s="1"/>
  <c r="E391" i="17"/>
  <c r="E204" i="17"/>
  <c r="E205" i="17" s="1"/>
  <c r="B357" i="17"/>
  <c r="F456" i="17"/>
  <c r="F506" i="17" s="1"/>
  <c r="F455" i="17"/>
  <c r="F505" i="17" s="1"/>
  <c r="F442" i="17"/>
  <c r="F306" i="17"/>
  <c r="F307" i="17" s="1"/>
  <c r="G204" i="17"/>
  <c r="G205" i="17" s="1"/>
  <c r="F357" i="17"/>
  <c r="E353" i="17"/>
  <c r="E501" i="17" s="1"/>
  <c r="E354" i="17"/>
  <c r="E502" i="17" s="1"/>
  <c r="E340" i="17"/>
  <c r="E459" i="17"/>
  <c r="G391" i="17"/>
  <c r="G442" i="17"/>
  <c r="G456" i="17"/>
  <c r="G506" i="17" s="1"/>
  <c r="G455" i="17"/>
  <c r="G505" i="17" s="1"/>
  <c r="G255" i="17"/>
  <c r="G256" i="17" s="1"/>
  <c r="G489" i="17" s="1"/>
  <c r="B289" i="17"/>
  <c r="G286" i="17"/>
  <c r="G296" i="17" s="1"/>
  <c r="C439" i="17"/>
  <c r="C449" i="17" s="1"/>
  <c r="B388" i="17"/>
  <c r="B398" i="17" s="1"/>
  <c r="F255" i="17"/>
  <c r="F256" i="17" s="1"/>
  <c r="F489" i="17" s="1"/>
  <c r="D408" i="17"/>
  <c r="C286" i="17"/>
  <c r="C296" i="17" s="1"/>
  <c r="G235" i="17"/>
  <c r="G245" i="17" s="1"/>
  <c r="E286" i="17"/>
  <c r="E296" i="17" s="1"/>
  <c r="D357" i="17"/>
  <c r="D358" i="17" s="1"/>
  <c r="D508" i="17" s="1"/>
  <c r="D531" i="17" s="1"/>
  <c r="G289" i="17"/>
  <c r="E337" i="17"/>
  <c r="E347" i="17" s="1"/>
  <c r="D289" i="17"/>
  <c r="C337" i="17"/>
  <c r="C347" i="17" s="1"/>
  <c r="C408" i="17"/>
  <c r="E289" i="17"/>
  <c r="G353" i="17"/>
  <c r="G501" i="17" s="1"/>
  <c r="G340" i="17"/>
  <c r="G354" i="17"/>
  <c r="G502" i="17" s="1"/>
  <c r="C354" i="17"/>
  <c r="C502" i="17" s="1"/>
  <c r="C340" i="17"/>
  <c r="C353" i="17"/>
  <c r="C501" i="17" s="1"/>
  <c r="F459" i="17"/>
  <c r="F490" i="17" s="1"/>
  <c r="F534" i="17" s="1"/>
  <c r="G208" i="39" s="1"/>
  <c r="F289" i="17"/>
  <c r="B340" i="17"/>
  <c r="B353" i="17"/>
  <c r="B501" i="17" s="1"/>
  <c r="B354" i="17"/>
  <c r="B502" i="17" s="1"/>
  <c r="D439" i="17"/>
  <c r="D449" i="17" s="1"/>
  <c r="D452" i="17" s="1"/>
  <c r="C459" i="17"/>
  <c r="C490" i="17" s="1"/>
  <c r="C534" i="17" s="1"/>
  <c r="D208" i="39" s="1"/>
  <c r="B235" i="17"/>
  <c r="B245" i="17" s="1"/>
  <c r="C235" i="17"/>
  <c r="C245" i="17" s="1"/>
  <c r="D391" i="17"/>
  <c r="E235" i="17"/>
  <c r="E245" i="17" s="1"/>
  <c r="D235" i="17"/>
  <c r="D245" i="17" s="1"/>
  <c r="B456" i="17"/>
  <c r="B506" i="17" s="1"/>
  <c r="B455" i="17"/>
  <c r="B505" i="17" s="1"/>
  <c r="B442" i="17"/>
  <c r="E357" i="17"/>
  <c r="F204" i="17"/>
  <c r="F205" i="17" s="1"/>
  <c r="C306" i="17"/>
  <c r="C307" i="17" s="1"/>
  <c r="B238" i="17"/>
  <c r="D255" i="17"/>
  <c r="D256" i="17" s="1"/>
  <c r="D489" i="17" s="1"/>
  <c r="E207" i="39" s="1"/>
  <c r="F391" i="17"/>
  <c r="B286" i="17"/>
  <c r="B296" i="17" s="1"/>
  <c r="G439" i="17"/>
  <c r="G449" i="17" s="1"/>
  <c r="G337" i="17"/>
  <c r="G347" i="17" s="1"/>
  <c r="G350" i="17" s="1"/>
  <c r="E388" i="17"/>
  <c r="E398" i="17" s="1"/>
  <c r="C289" i="17"/>
  <c r="B459" i="17"/>
  <c r="B490" i="17" s="1"/>
  <c r="F408" i="17"/>
  <c r="F488" i="17" s="1"/>
  <c r="C388" i="17"/>
  <c r="C398" i="17" s="1"/>
  <c r="D306" i="17"/>
  <c r="D307" i="17" s="1"/>
  <c r="B337" i="17"/>
  <c r="B347" i="17" s="1"/>
  <c r="B350" i="17" s="1"/>
  <c r="G388" i="17"/>
  <c r="G398" i="17" s="1"/>
  <c r="D238" i="17"/>
  <c r="B391" i="17"/>
  <c r="F238" i="17"/>
  <c r="E238" i="17"/>
  <c r="C391" i="17"/>
  <c r="C442" i="17"/>
  <c r="C456" i="17"/>
  <c r="C506" i="17" s="1"/>
  <c r="C455" i="17"/>
  <c r="C505" i="17" s="1"/>
  <c r="E439" i="17"/>
  <c r="E449" i="17" s="1"/>
  <c r="E452" i="17" s="1"/>
  <c r="G408" i="17"/>
  <c r="F286" i="17"/>
  <c r="F296" i="17" s="1"/>
  <c r="F337" i="17"/>
  <c r="F347" i="17" s="1"/>
  <c r="F350" i="17" s="1"/>
  <c r="F439" i="17"/>
  <c r="F449" i="17" s="1"/>
  <c r="F451" i="17" s="1"/>
  <c r="F235" i="17"/>
  <c r="F245" i="17" s="1"/>
  <c r="C357" i="17"/>
  <c r="C507" i="17" s="1"/>
  <c r="C530" i="17" s="1"/>
  <c r="F511" i="17"/>
  <c r="G349" i="17"/>
  <c r="D487" i="17"/>
  <c r="C358" i="17"/>
  <c r="B451" i="17"/>
  <c r="F460" i="17"/>
  <c r="F491" i="17" s="1"/>
  <c r="F535" i="17" s="1"/>
  <c r="G209" i="39" s="1"/>
  <c r="F409" i="17"/>
  <c r="F510" i="17" s="1"/>
  <c r="F533" i="17" s="1"/>
  <c r="D451" i="17"/>
  <c r="F509" i="17"/>
  <c r="F532" i="17" s="1"/>
  <c r="D507" i="17"/>
  <c r="D530" i="17" s="1"/>
  <c r="D486" i="17"/>
  <c r="E451" i="17"/>
  <c r="D490" i="17"/>
  <c r="D534" i="17" s="1"/>
  <c r="E208" i="39" s="1"/>
  <c r="D511" i="17"/>
  <c r="G358" i="17"/>
  <c r="C349" i="17"/>
  <c r="C350" i="17"/>
  <c r="E350" i="17"/>
  <c r="E349" i="17"/>
  <c r="D491" i="17"/>
  <c r="D535" i="17" s="1"/>
  <c r="E209" i="39" s="1"/>
  <c r="K504" i="52"/>
  <c r="E505" i="52"/>
  <c r="L505" i="52" s="1"/>
  <c r="C505" i="52"/>
  <c r="C200" i="53"/>
  <c r="BX193" i="53"/>
  <c r="CB193" i="53"/>
  <c r="CF193" i="53"/>
  <c r="CJ193" i="53"/>
  <c r="BY193" i="53"/>
  <c r="CC193" i="53"/>
  <c r="CG193" i="53"/>
  <c r="CK193" i="53"/>
  <c r="BZ193" i="53"/>
  <c r="CD193" i="53"/>
  <c r="CH193" i="53"/>
  <c r="CL193" i="53"/>
  <c r="CA193" i="53"/>
  <c r="CE193" i="53"/>
  <c r="CI193" i="53"/>
  <c r="CM193" i="53"/>
  <c r="A194" i="53"/>
  <c r="U194" i="53" s="1"/>
  <c r="V194" i="53" s="1"/>
  <c r="A505" i="52"/>
  <c r="A418" i="52"/>
  <c r="A308" i="52"/>
  <c r="B193" i="53"/>
  <c r="B504" i="52"/>
  <c r="B417" i="52"/>
  <c r="B307" i="52"/>
  <c r="C43" i="56"/>
  <c r="D43" i="56" s="1"/>
  <c r="E43" i="56" s="1"/>
  <c r="A998" i="57"/>
  <c r="F452" i="17" l="1"/>
  <c r="F349" i="17"/>
  <c r="C486" i="17"/>
  <c r="C466" i="17" s="1"/>
  <c r="C492" i="17" s="1"/>
  <c r="C536" i="17" s="1"/>
  <c r="H281" i="39" s="1"/>
  <c r="K281" i="39" s="1"/>
  <c r="G451" i="17"/>
  <c r="G452" i="17"/>
  <c r="C488" i="17"/>
  <c r="C409" i="17"/>
  <c r="C510" i="17" s="1"/>
  <c r="C533" i="17" s="1"/>
  <c r="C509" i="17"/>
  <c r="C532" i="17" s="1"/>
  <c r="C452" i="17"/>
  <c r="C451" i="17"/>
  <c r="E490" i="17"/>
  <c r="E511" i="17"/>
  <c r="E460" i="17"/>
  <c r="F486" i="17"/>
  <c r="F358" i="17"/>
  <c r="F507" i="17"/>
  <c r="B486" i="17"/>
  <c r="B507" i="17"/>
  <c r="B530" i="17" s="1"/>
  <c r="C204" i="39" s="1"/>
  <c r="K204" i="39" s="1"/>
  <c r="B358" i="17"/>
  <c r="C196" i="39"/>
  <c r="G486" i="17"/>
  <c r="C460" i="17"/>
  <c r="B460" i="17"/>
  <c r="B491" i="17" s="1"/>
  <c r="B511" i="17"/>
  <c r="B469" i="17" s="1"/>
  <c r="F466" i="17"/>
  <c r="F492" i="17" s="1"/>
  <c r="F536" i="17" s="1"/>
  <c r="H284" i="39" s="1"/>
  <c r="K284" i="39" s="1"/>
  <c r="C511" i="17"/>
  <c r="B349" i="17"/>
  <c r="G488" i="17"/>
  <c r="G509" i="17"/>
  <c r="G532" i="17" s="1"/>
  <c r="G409" i="17"/>
  <c r="G510" i="17" s="1"/>
  <c r="G533" i="17" s="1"/>
  <c r="E486" i="17"/>
  <c r="E358" i="17"/>
  <c r="E507" i="17"/>
  <c r="E530" i="17" s="1"/>
  <c r="D488" i="17"/>
  <c r="D409" i="17"/>
  <c r="D510" i="17" s="1"/>
  <c r="D533" i="17" s="1"/>
  <c r="D509" i="17"/>
  <c r="D532" i="17" s="1"/>
  <c r="D349" i="17"/>
  <c r="D350" i="17"/>
  <c r="G490" i="17"/>
  <c r="G534" i="17" s="1"/>
  <c r="H208" i="39" s="1"/>
  <c r="G460" i="17"/>
  <c r="G511" i="17"/>
  <c r="G469" i="17" s="1"/>
  <c r="G470" i="17" s="1"/>
  <c r="G514" i="17" s="1"/>
  <c r="E488" i="17"/>
  <c r="E409" i="17"/>
  <c r="E510" i="17" s="1"/>
  <c r="E533" i="17" s="1"/>
  <c r="E509" i="17"/>
  <c r="E532" i="17" s="1"/>
  <c r="G513" i="17"/>
  <c r="F512" i="17"/>
  <c r="D469" i="17"/>
  <c r="D470" i="17" s="1"/>
  <c r="D514" i="17" s="1"/>
  <c r="D466" i="17"/>
  <c r="D467" i="17" s="1"/>
  <c r="D493" i="17" s="1"/>
  <c r="D537" i="17" s="1"/>
  <c r="J282" i="39" s="1"/>
  <c r="P282" i="39" s="1"/>
  <c r="G508" i="17"/>
  <c r="G531" i="17" s="1"/>
  <c r="G487" i="17"/>
  <c r="C487" i="17"/>
  <c r="C508" i="17"/>
  <c r="C531" i="17" s="1"/>
  <c r="C467" i="17"/>
  <c r="C493" i="17" s="1"/>
  <c r="C537" i="17" s="1"/>
  <c r="J281" i="39" s="1"/>
  <c r="P281" i="39" s="1"/>
  <c r="D492" i="17"/>
  <c r="D536" i="17" s="1"/>
  <c r="H282" i="39" s="1"/>
  <c r="K282" i="39" s="1"/>
  <c r="C491" i="17"/>
  <c r="C535" i="17" s="1"/>
  <c r="D209" i="39" s="1"/>
  <c r="C512" i="17"/>
  <c r="C469" i="17"/>
  <c r="K505" i="52"/>
  <c r="J1" i="65"/>
  <c r="J1" i="32"/>
  <c r="J1" i="63"/>
  <c r="C506" i="52"/>
  <c r="E506" i="52"/>
  <c r="L506" i="52" s="1"/>
  <c r="C201" i="53"/>
  <c r="BX194" i="53"/>
  <c r="CB194" i="53"/>
  <c r="CF194" i="53"/>
  <c r="CJ194" i="53"/>
  <c r="BY194" i="53"/>
  <c r="CC194" i="53"/>
  <c r="CG194" i="53"/>
  <c r="CK194" i="53"/>
  <c r="BZ194" i="53"/>
  <c r="CD194" i="53"/>
  <c r="CH194" i="53"/>
  <c r="CL194" i="53"/>
  <c r="CA194" i="53"/>
  <c r="CE194" i="53"/>
  <c r="CI194" i="53"/>
  <c r="CM194" i="53"/>
  <c r="B194" i="53"/>
  <c r="B505" i="52"/>
  <c r="B418" i="52"/>
  <c r="B308" i="52"/>
  <c r="A195" i="53"/>
  <c r="U195" i="53" s="1"/>
  <c r="V195" i="53" s="1"/>
  <c r="A506" i="52"/>
  <c r="A419" i="52"/>
  <c r="A309" i="52"/>
  <c r="A84" i="57"/>
  <c r="G466" i="17" l="1"/>
  <c r="B487" i="17"/>
  <c r="C197" i="39"/>
  <c r="P197" i="39" s="1"/>
  <c r="I372" i="39" s="1"/>
  <c r="B508" i="17"/>
  <c r="B531" i="17" s="1"/>
  <c r="C205" i="39" s="1"/>
  <c r="F508" i="17"/>
  <c r="F531" i="17" s="1"/>
  <c r="F487" i="17"/>
  <c r="E512" i="17"/>
  <c r="E491" i="17"/>
  <c r="E535" i="17" s="1"/>
  <c r="F209" i="39" s="1"/>
  <c r="E534" i="17"/>
  <c r="F208" i="39" s="1"/>
  <c r="E466" i="17"/>
  <c r="F467" i="17"/>
  <c r="F493" i="17" s="1"/>
  <c r="F537" i="17" s="1"/>
  <c r="J284" i="39" s="1"/>
  <c r="P284" i="39" s="1"/>
  <c r="B512" i="17"/>
  <c r="G512" i="17"/>
  <c r="G491" i="17"/>
  <c r="G535" i="17" s="1"/>
  <c r="H209" i="39" s="1"/>
  <c r="E508" i="17"/>
  <c r="E531" i="17" s="1"/>
  <c r="E487" i="17"/>
  <c r="B470" i="17"/>
  <c r="B514" i="17" s="1"/>
  <c r="B513" i="17"/>
  <c r="F530" i="17"/>
  <c r="F469" i="17"/>
  <c r="E469" i="17"/>
  <c r="D513" i="17"/>
  <c r="C470" i="17"/>
  <c r="C514" i="17" s="1"/>
  <c r="C513" i="17"/>
  <c r="H193" i="63"/>
  <c r="H199" i="63"/>
  <c r="H197" i="63"/>
  <c r="K506" i="52"/>
  <c r="C507" i="52"/>
  <c r="E507" i="52"/>
  <c r="L507" i="52" s="1"/>
  <c r="C202" i="53"/>
  <c r="BX195" i="53"/>
  <c r="CB195" i="53"/>
  <c r="CF195" i="53"/>
  <c r="CJ195" i="53"/>
  <c r="BY195" i="53"/>
  <c r="CC195" i="53"/>
  <c r="CG195" i="53"/>
  <c r="CK195" i="53"/>
  <c r="BZ195" i="53"/>
  <c r="CD195" i="53"/>
  <c r="CH195" i="53"/>
  <c r="CL195" i="53"/>
  <c r="CA195" i="53"/>
  <c r="CE195" i="53"/>
  <c r="CI195" i="53"/>
  <c r="CM195" i="53"/>
  <c r="A196" i="53"/>
  <c r="U196" i="53" s="1"/>
  <c r="V196" i="53" s="1"/>
  <c r="A507" i="52"/>
  <c r="A420" i="52"/>
  <c r="A310" i="52"/>
  <c r="B195" i="53"/>
  <c r="B419" i="52"/>
  <c r="B506" i="52"/>
  <c r="B309" i="52"/>
  <c r="J112" i="56"/>
  <c r="J111" i="56" s="1"/>
  <c r="I113" i="57" s="1"/>
  <c r="U90" i="57" s="1"/>
  <c r="AC90" i="57" s="1"/>
  <c r="G112" i="56"/>
  <c r="G111" i="56" s="1"/>
  <c r="I112" i="57" s="1"/>
  <c r="U89" i="57" s="1"/>
  <c r="AC89" i="57" s="1"/>
  <c r="K995" i="57"/>
  <c r="K996" i="57" s="1"/>
  <c r="K997" i="57" s="1"/>
  <c r="I951" i="57"/>
  <c r="A982" i="57"/>
  <c r="G969" i="57"/>
  <c r="A969" i="57"/>
  <c r="G968" i="57"/>
  <c r="A968" i="57"/>
  <c r="G967" i="57"/>
  <c r="A967" i="57"/>
  <c r="G966" i="57"/>
  <c r="A966" i="57"/>
  <c r="G965" i="57"/>
  <c r="A965" i="57"/>
  <c r="G964" i="57"/>
  <c r="G963" i="57"/>
  <c r="A963" i="57"/>
  <c r="G960" i="57"/>
  <c r="A960" i="57"/>
  <c r="G959" i="57"/>
  <c r="G958" i="57"/>
  <c r="G957" i="57"/>
  <c r="G956" i="57"/>
  <c r="G955" i="57"/>
  <c r="G954" i="57"/>
  <c r="G952" i="57"/>
  <c r="L952" i="57" s="1"/>
  <c r="G873" i="57"/>
  <c r="A873" i="57"/>
  <c r="G872" i="57"/>
  <c r="A872" i="57"/>
  <c r="G871" i="57"/>
  <c r="A871" i="57"/>
  <c r="G870" i="57"/>
  <c r="A870" i="57"/>
  <c r="G869" i="57"/>
  <c r="A869" i="57"/>
  <c r="G868" i="57"/>
  <c r="G867" i="57"/>
  <c r="A867" i="57"/>
  <c r="G864" i="57"/>
  <c r="A864" i="57"/>
  <c r="G863" i="57"/>
  <c r="G862" i="57"/>
  <c r="G861" i="57"/>
  <c r="G860" i="57"/>
  <c r="G859" i="57"/>
  <c r="G858" i="57"/>
  <c r="G856" i="57"/>
  <c r="L856" i="57" s="1"/>
  <c r="I855" i="57"/>
  <c r="G777" i="57"/>
  <c r="A777" i="57"/>
  <c r="G776" i="57"/>
  <c r="A776" i="57"/>
  <c r="G775" i="57"/>
  <c r="A775" i="57"/>
  <c r="G774" i="57"/>
  <c r="A774" i="57"/>
  <c r="G773" i="57"/>
  <c r="A773" i="57"/>
  <c r="G772" i="57"/>
  <c r="G771" i="57"/>
  <c r="A771" i="57"/>
  <c r="G768" i="57"/>
  <c r="A768" i="57"/>
  <c r="G767" i="57"/>
  <c r="G766" i="57"/>
  <c r="G765" i="57"/>
  <c r="G764" i="57"/>
  <c r="G763" i="57"/>
  <c r="G762" i="57"/>
  <c r="G760" i="57"/>
  <c r="L760" i="57" s="1"/>
  <c r="I759" i="57"/>
  <c r="G681" i="57"/>
  <c r="A681" i="57"/>
  <c r="G680" i="57"/>
  <c r="A680" i="57"/>
  <c r="G679" i="57"/>
  <c r="A679" i="57"/>
  <c r="G678" i="57"/>
  <c r="A678" i="57"/>
  <c r="G677" i="57"/>
  <c r="A677" i="57"/>
  <c r="G676" i="57"/>
  <c r="G675" i="57"/>
  <c r="A675" i="57"/>
  <c r="G672" i="57"/>
  <c r="A672" i="57"/>
  <c r="G671" i="57"/>
  <c r="G670" i="57"/>
  <c r="G669" i="57"/>
  <c r="G668" i="57"/>
  <c r="G667" i="57"/>
  <c r="G666" i="57"/>
  <c r="G664" i="57"/>
  <c r="L664" i="57" s="1"/>
  <c r="I663" i="57"/>
  <c r="G585" i="57"/>
  <c r="A585" i="57"/>
  <c r="G584" i="57"/>
  <c r="A584" i="57"/>
  <c r="G583" i="57"/>
  <c r="A583" i="57"/>
  <c r="G582" i="57"/>
  <c r="A582" i="57"/>
  <c r="G581" i="57"/>
  <c r="A581" i="57"/>
  <c r="G580" i="57"/>
  <c r="G579" i="57"/>
  <c r="A579" i="57"/>
  <c r="G576" i="57"/>
  <c r="A576" i="57"/>
  <c r="G575" i="57"/>
  <c r="G574" i="57"/>
  <c r="G573" i="57"/>
  <c r="G572" i="57"/>
  <c r="G571" i="57"/>
  <c r="G570" i="57"/>
  <c r="G568" i="57"/>
  <c r="L568" i="57" s="1"/>
  <c r="I567" i="57"/>
  <c r="G489" i="57"/>
  <c r="A489" i="57"/>
  <c r="G488" i="57"/>
  <c r="A488" i="57"/>
  <c r="G487" i="57"/>
  <c r="A487" i="57"/>
  <c r="G486" i="57"/>
  <c r="A486" i="57"/>
  <c r="G485" i="57"/>
  <c r="A485" i="57"/>
  <c r="G484" i="57"/>
  <c r="G483" i="57"/>
  <c r="A483" i="57"/>
  <c r="G480" i="57"/>
  <c r="A480" i="57"/>
  <c r="G479" i="57"/>
  <c r="G478" i="57"/>
  <c r="G477" i="57"/>
  <c r="G476" i="57"/>
  <c r="G475" i="57"/>
  <c r="G474" i="57"/>
  <c r="G472" i="57"/>
  <c r="L472" i="57" s="1"/>
  <c r="I471" i="57"/>
  <c r="G393" i="57"/>
  <c r="A393" i="57"/>
  <c r="G392" i="57"/>
  <c r="A392" i="57"/>
  <c r="G391" i="57"/>
  <c r="A391" i="57"/>
  <c r="G390" i="57"/>
  <c r="A390" i="57"/>
  <c r="G389" i="57"/>
  <c r="A389" i="57"/>
  <c r="G388" i="57"/>
  <c r="G387" i="57"/>
  <c r="A387" i="57"/>
  <c r="G384" i="57"/>
  <c r="A384" i="57"/>
  <c r="G383" i="57"/>
  <c r="G382" i="57"/>
  <c r="G381" i="57"/>
  <c r="G380" i="57"/>
  <c r="G379" i="57"/>
  <c r="G378" i="57"/>
  <c r="G376" i="57"/>
  <c r="L376" i="57" s="1"/>
  <c r="I375" i="57"/>
  <c r="G297" i="57"/>
  <c r="A297" i="57"/>
  <c r="G296" i="57"/>
  <c r="A296" i="57"/>
  <c r="G295" i="57"/>
  <c r="A295" i="57"/>
  <c r="G294" i="57"/>
  <c r="A294" i="57"/>
  <c r="G293" i="57"/>
  <c r="A293" i="57"/>
  <c r="G292" i="57"/>
  <c r="G291" i="57"/>
  <c r="A291" i="57"/>
  <c r="G288" i="57"/>
  <c r="A288" i="57"/>
  <c r="G287" i="57"/>
  <c r="G286" i="57"/>
  <c r="G285" i="57"/>
  <c r="G284" i="57"/>
  <c r="G283" i="57"/>
  <c r="G282" i="57"/>
  <c r="G280" i="57"/>
  <c r="L280" i="57" s="1"/>
  <c r="I279" i="57"/>
  <c r="G201" i="57"/>
  <c r="A201" i="57"/>
  <c r="G200" i="57"/>
  <c r="A200" i="57"/>
  <c r="G199" i="57"/>
  <c r="A199" i="57"/>
  <c r="G198" i="57"/>
  <c r="A198" i="57"/>
  <c r="G197" i="57"/>
  <c r="A197" i="57"/>
  <c r="G196" i="57"/>
  <c r="G195" i="57"/>
  <c r="A195" i="57"/>
  <c r="G192" i="57"/>
  <c r="A192" i="57"/>
  <c r="G191" i="57"/>
  <c r="G190" i="57"/>
  <c r="G189" i="57"/>
  <c r="G188" i="57"/>
  <c r="G187" i="57"/>
  <c r="G186" i="57"/>
  <c r="G184" i="57"/>
  <c r="L184" i="57" s="1"/>
  <c r="I183" i="57"/>
  <c r="L976" i="57"/>
  <c r="C928" i="56"/>
  <c r="F928" i="56" s="1"/>
  <c r="I973" i="57"/>
  <c r="I972" i="57"/>
  <c r="I971" i="57"/>
  <c r="I970" i="57"/>
  <c r="F915" i="56"/>
  <c r="I969" i="57" s="1"/>
  <c r="L969" i="57" s="1"/>
  <c r="E915" i="56"/>
  <c r="I968" i="57" s="1"/>
  <c r="L968" i="57" s="1"/>
  <c r="D915" i="56"/>
  <c r="I967" i="57" s="1"/>
  <c r="K967" i="57" s="1"/>
  <c r="C915" i="56"/>
  <c r="I966" i="57" s="1"/>
  <c r="L966" i="57" s="1"/>
  <c r="B915" i="56"/>
  <c r="I965" i="57" s="1"/>
  <c r="L965" i="57" s="1"/>
  <c r="D905" i="56"/>
  <c r="D906" i="56" s="1"/>
  <c r="I963" i="57" s="1"/>
  <c r="L963" i="57" s="1"/>
  <c r="E902" i="56"/>
  <c r="E905" i="56" s="1"/>
  <c r="E906" i="56" s="1"/>
  <c r="I964" i="57" s="1"/>
  <c r="L964" i="57" s="1"/>
  <c r="D896" i="56"/>
  <c r="C896" i="56"/>
  <c r="C898" i="56" s="1"/>
  <c r="I961" i="57" s="1"/>
  <c r="L961" i="57" s="1"/>
  <c r="E887" i="56"/>
  <c r="I960" i="57" s="1"/>
  <c r="L960" i="57" s="1"/>
  <c r="G880" i="56"/>
  <c r="F883" i="56" s="1"/>
  <c r="I959" i="57" s="1"/>
  <c r="L959" i="57" s="1"/>
  <c r="E880" i="56"/>
  <c r="D883" i="56" s="1"/>
  <c r="I958" i="57" s="1"/>
  <c r="L958" i="57" s="1"/>
  <c r="C880" i="56"/>
  <c r="B883" i="56" s="1"/>
  <c r="I957" i="57" s="1"/>
  <c r="L957" i="57" s="1"/>
  <c r="I954" i="57"/>
  <c r="L954" i="57" s="1"/>
  <c r="I956" i="57"/>
  <c r="L956" i="57" s="1"/>
  <c r="I955" i="57"/>
  <c r="L955" i="57" s="1"/>
  <c r="E857" i="56"/>
  <c r="D863" i="56"/>
  <c r="C863" i="56"/>
  <c r="L881" i="57"/>
  <c r="L880" i="57"/>
  <c r="C837" i="56"/>
  <c r="F837" i="56" s="1"/>
  <c r="I877" i="57"/>
  <c r="I876" i="57"/>
  <c r="I875" i="57"/>
  <c r="I874" i="57"/>
  <c r="F824" i="56"/>
  <c r="I873" i="57" s="1"/>
  <c r="L873" i="57" s="1"/>
  <c r="E824" i="56"/>
  <c r="I872" i="57" s="1"/>
  <c r="D824" i="56"/>
  <c r="I871" i="57" s="1"/>
  <c r="C824" i="56"/>
  <c r="I870" i="57" s="1"/>
  <c r="L870" i="57" s="1"/>
  <c r="B824" i="56"/>
  <c r="I869" i="57" s="1"/>
  <c r="L869" i="57" s="1"/>
  <c r="D814" i="56"/>
  <c r="D815" i="56" s="1"/>
  <c r="I867" i="57" s="1"/>
  <c r="L867" i="57" s="1"/>
  <c r="E811" i="56"/>
  <c r="D805" i="56"/>
  <c r="C805" i="56"/>
  <c r="C807" i="56" s="1"/>
  <c r="I865" i="57" s="1"/>
  <c r="L865" i="57" s="1"/>
  <c r="E796" i="56"/>
  <c r="I864" i="57" s="1"/>
  <c r="L864" i="57" s="1"/>
  <c r="G789" i="56"/>
  <c r="F792" i="56" s="1"/>
  <c r="I863" i="57" s="1"/>
  <c r="L863" i="57" s="1"/>
  <c r="E789" i="56"/>
  <c r="D792" i="56" s="1"/>
  <c r="I862" i="57" s="1"/>
  <c r="L862" i="57" s="1"/>
  <c r="C789" i="56"/>
  <c r="B792" i="56" s="1"/>
  <c r="I861" i="57" s="1"/>
  <c r="L861" i="57" s="1"/>
  <c r="I858" i="57"/>
  <c r="L858" i="57" s="1"/>
  <c r="I860" i="57"/>
  <c r="L860" i="57" s="1"/>
  <c r="I859" i="57"/>
  <c r="L859" i="57" s="1"/>
  <c r="E766" i="56"/>
  <c r="D772" i="56"/>
  <c r="C772" i="56"/>
  <c r="L784" i="57"/>
  <c r="L783" i="57"/>
  <c r="C746" i="56"/>
  <c r="F746" i="56" s="1"/>
  <c r="I781" i="57"/>
  <c r="AB86" i="57" s="1"/>
  <c r="I780" i="57"/>
  <c r="AB85" i="57" s="1"/>
  <c r="I779" i="57"/>
  <c r="AB84" i="57" s="1"/>
  <c r="I778" i="57"/>
  <c r="AB83" i="57" s="1"/>
  <c r="F733" i="56"/>
  <c r="I777" i="57" s="1"/>
  <c r="E733" i="56"/>
  <c r="I776" i="57" s="1"/>
  <c r="D733" i="56"/>
  <c r="I775" i="57" s="1"/>
  <c r="C733" i="56"/>
  <c r="I774" i="57" s="1"/>
  <c r="B733" i="56"/>
  <c r="I773" i="57" s="1"/>
  <c r="D723" i="56"/>
  <c r="D724" i="56" s="1"/>
  <c r="I771" i="57" s="1"/>
  <c r="E720" i="56"/>
  <c r="E723" i="56" s="1"/>
  <c r="E724" i="56" s="1"/>
  <c r="I772" i="57" s="1"/>
  <c r="D714" i="56"/>
  <c r="C714" i="56"/>
  <c r="C716" i="56" s="1"/>
  <c r="I769" i="57" s="1"/>
  <c r="E705" i="56"/>
  <c r="I768" i="57" s="1"/>
  <c r="G698" i="56"/>
  <c r="F701" i="56" s="1"/>
  <c r="I767" i="57" s="1"/>
  <c r="E698" i="56"/>
  <c r="D701" i="56" s="1"/>
  <c r="I766" i="57" s="1"/>
  <c r="C698" i="56"/>
  <c r="B701" i="56" s="1"/>
  <c r="I765" i="57" s="1"/>
  <c r="I762" i="57"/>
  <c r="I764" i="57"/>
  <c r="I763" i="57"/>
  <c r="E675" i="56"/>
  <c r="D681" i="56"/>
  <c r="C681" i="56"/>
  <c r="L689" i="57"/>
  <c r="C655" i="56"/>
  <c r="I685" i="57"/>
  <c r="AA86" i="57" s="1"/>
  <c r="I684" i="57"/>
  <c r="AA85" i="57" s="1"/>
  <c r="I683" i="57"/>
  <c r="AA84" i="57" s="1"/>
  <c r="I682" i="57"/>
  <c r="AA83" i="57" s="1"/>
  <c r="F642" i="56"/>
  <c r="I681" i="57" s="1"/>
  <c r="E642" i="56"/>
  <c r="I680" i="57" s="1"/>
  <c r="AA81" i="57" s="1"/>
  <c r="D642" i="56"/>
  <c r="I679" i="57" s="1"/>
  <c r="AA80" i="57" s="1"/>
  <c r="C642" i="56"/>
  <c r="I678" i="57" s="1"/>
  <c r="B642" i="56"/>
  <c r="I677" i="57" s="1"/>
  <c r="D632" i="56"/>
  <c r="D633" i="56" s="1"/>
  <c r="I675" i="57" s="1"/>
  <c r="E629" i="56"/>
  <c r="D623" i="56"/>
  <c r="C623" i="56"/>
  <c r="C625" i="56" s="1"/>
  <c r="I673" i="57" s="1"/>
  <c r="E614" i="56"/>
  <c r="I672" i="57" s="1"/>
  <c r="G607" i="56"/>
  <c r="F610" i="56" s="1"/>
  <c r="I671" i="57" s="1"/>
  <c r="E607" i="56"/>
  <c r="D610" i="56" s="1"/>
  <c r="I670" i="57" s="1"/>
  <c r="C607" i="56"/>
  <c r="B610" i="56" s="1"/>
  <c r="I669" i="57" s="1"/>
  <c r="I666" i="57"/>
  <c r="I668" i="57"/>
  <c r="I667" i="57"/>
  <c r="E584" i="56"/>
  <c r="D590" i="56"/>
  <c r="C590" i="56"/>
  <c r="L592" i="57"/>
  <c r="C564" i="56"/>
  <c r="F564" i="56" s="1"/>
  <c r="I589" i="57"/>
  <c r="Z86" i="57" s="1"/>
  <c r="I588" i="57"/>
  <c r="Z85" i="57" s="1"/>
  <c r="I587" i="57"/>
  <c r="Z84" i="57" s="1"/>
  <c r="I586" i="57"/>
  <c r="Z83" i="57" s="1"/>
  <c r="F551" i="56"/>
  <c r="I585" i="57" s="1"/>
  <c r="E551" i="56"/>
  <c r="I584" i="57" s="1"/>
  <c r="D551" i="56"/>
  <c r="I583" i="57" s="1"/>
  <c r="C551" i="56"/>
  <c r="I582" i="57" s="1"/>
  <c r="B551" i="56"/>
  <c r="I581" i="57" s="1"/>
  <c r="D541" i="56"/>
  <c r="D542" i="56" s="1"/>
  <c r="I579" i="57" s="1"/>
  <c r="E538" i="56"/>
  <c r="E541" i="56" s="1"/>
  <c r="E542" i="56" s="1"/>
  <c r="I580" i="57" s="1"/>
  <c r="D532" i="56"/>
  <c r="C532" i="56"/>
  <c r="C534" i="56" s="1"/>
  <c r="I577" i="57" s="1"/>
  <c r="E523" i="56"/>
  <c r="I576" i="57" s="1"/>
  <c r="G516" i="56"/>
  <c r="F519" i="56" s="1"/>
  <c r="I575" i="57" s="1"/>
  <c r="E516" i="56"/>
  <c r="D519" i="56" s="1"/>
  <c r="I574" i="57" s="1"/>
  <c r="C516" i="56"/>
  <c r="B519" i="56" s="1"/>
  <c r="I573" i="57" s="1"/>
  <c r="I570" i="57"/>
  <c r="I572" i="57"/>
  <c r="I571" i="57"/>
  <c r="E493" i="56"/>
  <c r="D499" i="56"/>
  <c r="C499" i="56"/>
  <c r="C473" i="56"/>
  <c r="F473" i="56" s="1"/>
  <c r="I493" i="57"/>
  <c r="Y86" i="57" s="1"/>
  <c r="I492" i="57"/>
  <c r="Y85" i="57" s="1"/>
  <c r="I491" i="57"/>
  <c r="Y84" i="57" s="1"/>
  <c r="I490" i="57"/>
  <c r="Y83" i="57" s="1"/>
  <c r="F460" i="56"/>
  <c r="I489" i="57" s="1"/>
  <c r="E460" i="56"/>
  <c r="I488" i="57" s="1"/>
  <c r="D460" i="56"/>
  <c r="I487" i="57" s="1"/>
  <c r="C460" i="56"/>
  <c r="I486" i="57" s="1"/>
  <c r="B460" i="56"/>
  <c r="I485" i="57" s="1"/>
  <c r="D450" i="56"/>
  <c r="D451" i="56" s="1"/>
  <c r="I483" i="57" s="1"/>
  <c r="E447" i="56"/>
  <c r="E450" i="56" s="1"/>
  <c r="E451" i="56" s="1"/>
  <c r="I484" i="57" s="1"/>
  <c r="D441" i="56"/>
  <c r="C441" i="56"/>
  <c r="C443" i="56" s="1"/>
  <c r="I481" i="57" s="1"/>
  <c r="E432" i="56"/>
  <c r="I480" i="57" s="1"/>
  <c r="G425" i="56"/>
  <c r="F428" i="56" s="1"/>
  <c r="I479" i="57" s="1"/>
  <c r="E425" i="56"/>
  <c r="D428" i="56" s="1"/>
  <c r="I478" i="57" s="1"/>
  <c r="C425" i="56"/>
  <c r="B428" i="56" s="1"/>
  <c r="I477" i="57" s="1"/>
  <c r="I474" i="57"/>
  <c r="I476" i="57"/>
  <c r="I475" i="57"/>
  <c r="E402" i="56"/>
  <c r="D408" i="56"/>
  <c r="C408" i="56"/>
  <c r="L401" i="57"/>
  <c r="L400" i="57"/>
  <c r="C382" i="56"/>
  <c r="F382" i="56" s="1"/>
  <c r="I397" i="57"/>
  <c r="X86" i="57" s="1"/>
  <c r="I396" i="57"/>
  <c r="X85" i="57" s="1"/>
  <c r="I395" i="57"/>
  <c r="X84" i="57" s="1"/>
  <c r="I394" i="57"/>
  <c r="X83" i="57" s="1"/>
  <c r="F369" i="56"/>
  <c r="I393" i="57" s="1"/>
  <c r="E369" i="56"/>
  <c r="I392" i="57" s="1"/>
  <c r="D369" i="56"/>
  <c r="I391" i="57" s="1"/>
  <c r="C369" i="56"/>
  <c r="I390" i="57" s="1"/>
  <c r="B369" i="56"/>
  <c r="I389" i="57" s="1"/>
  <c r="D359" i="56"/>
  <c r="D360" i="56" s="1"/>
  <c r="I387" i="57" s="1"/>
  <c r="E356" i="56"/>
  <c r="D350" i="56"/>
  <c r="C350" i="56"/>
  <c r="C352" i="56" s="1"/>
  <c r="I385" i="57" s="1"/>
  <c r="E341" i="56"/>
  <c r="I384" i="57" s="1"/>
  <c r="G334" i="56"/>
  <c r="F337" i="56" s="1"/>
  <c r="I383" i="57" s="1"/>
  <c r="E334" i="56"/>
  <c r="D337" i="56" s="1"/>
  <c r="I382" i="57" s="1"/>
  <c r="C334" i="56"/>
  <c r="B337" i="56" s="1"/>
  <c r="I381" i="57" s="1"/>
  <c r="I378" i="57"/>
  <c r="I380" i="57"/>
  <c r="I379" i="57"/>
  <c r="E311" i="56"/>
  <c r="D317" i="56"/>
  <c r="C317" i="56"/>
  <c r="L304" i="57"/>
  <c r="L303" i="57"/>
  <c r="C291" i="56"/>
  <c r="F291" i="56" s="1"/>
  <c r="I301" i="57"/>
  <c r="W86" i="57" s="1"/>
  <c r="I300" i="57"/>
  <c r="W85" i="57" s="1"/>
  <c r="I299" i="57"/>
  <c r="W84" i="57" s="1"/>
  <c r="I298" i="57"/>
  <c r="W83" i="57" s="1"/>
  <c r="F278" i="56"/>
  <c r="I297" i="57" s="1"/>
  <c r="E278" i="56"/>
  <c r="I296" i="57" s="1"/>
  <c r="D278" i="56"/>
  <c r="I295" i="57" s="1"/>
  <c r="C278" i="56"/>
  <c r="I294" i="57" s="1"/>
  <c r="B278" i="56"/>
  <c r="I293" i="57" s="1"/>
  <c r="D268" i="56"/>
  <c r="D269" i="56" s="1"/>
  <c r="I291" i="57" s="1"/>
  <c r="E265" i="56"/>
  <c r="E268" i="56" s="1"/>
  <c r="E269" i="56" s="1"/>
  <c r="I292" i="57" s="1"/>
  <c r="D259" i="56"/>
  <c r="C259" i="56"/>
  <c r="C261" i="56" s="1"/>
  <c r="I289" i="57" s="1"/>
  <c r="E250" i="56"/>
  <c r="I288" i="57" s="1"/>
  <c r="G243" i="56"/>
  <c r="F246" i="56" s="1"/>
  <c r="I287" i="57" s="1"/>
  <c r="E243" i="56"/>
  <c r="D246" i="56" s="1"/>
  <c r="I286" i="57" s="1"/>
  <c r="C243" i="56"/>
  <c r="B246" i="56" s="1"/>
  <c r="I285" i="57" s="1"/>
  <c r="I282" i="57"/>
  <c r="I284" i="57"/>
  <c r="I283" i="57"/>
  <c r="E220" i="56"/>
  <c r="D226" i="56"/>
  <c r="C226" i="56"/>
  <c r="L208" i="57"/>
  <c r="C200" i="56"/>
  <c r="F200" i="56" s="1"/>
  <c r="G200" i="56" s="1"/>
  <c r="I206" i="57" s="1"/>
  <c r="I205" i="57"/>
  <c r="V86" i="57" s="1"/>
  <c r="I204" i="57"/>
  <c r="V85" i="57" s="1"/>
  <c r="I203" i="57"/>
  <c r="I202" i="57"/>
  <c r="V83" i="57" s="1"/>
  <c r="F187" i="56"/>
  <c r="I201" i="57" s="1"/>
  <c r="E187" i="56"/>
  <c r="I200" i="57" s="1"/>
  <c r="D187" i="56"/>
  <c r="I199" i="57" s="1"/>
  <c r="C187" i="56"/>
  <c r="I198" i="57" s="1"/>
  <c r="B187" i="56"/>
  <c r="I197" i="57" s="1"/>
  <c r="D177" i="56"/>
  <c r="D178" i="56" s="1"/>
  <c r="I195" i="57" s="1"/>
  <c r="E174" i="56"/>
  <c r="A196" i="57" s="1"/>
  <c r="D168" i="56"/>
  <c r="D170" i="56" s="1"/>
  <c r="I194" i="57" s="1"/>
  <c r="C168" i="56"/>
  <c r="E159" i="56"/>
  <c r="I192" i="57" s="1"/>
  <c r="G152" i="56"/>
  <c r="F155" i="56" s="1"/>
  <c r="I191" i="57" s="1"/>
  <c r="E152" i="56"/>
  <c r="D155" i="56" s="1"/>
  <c r="I190" i="57" s="1"/>
  <c r="C152" i="56"/>
  <c r="B155" i="56" s="1"/>
  <c r="I189" i="57" s="1"/>
  <c r="I186" i="57"/>
  <c r="I188" i="57"/>
  <c r="I187" i="57"/>
  <c r="E129" i="56"/>
  <c r="D135" i="56"/>
  <c r="C135" i="56"/>
  <c r="K84" i="57"/>
  <c r="A61" i="57"/>
  <c r="G88" i="57"/>
  <c r="L88" i="57" s="1"/>
  <c r="G95" i="57"/>
  <c r="G94" i="57"/>
  <c r="G93" i="57"/>
  <c r="I87" i="57"/>
  <c r="A28" i="57"/>
  <c r="F470" i="17" l="1"/>
  <c r="F514" i="17" s="1"/>
  <c r="F513" i="17"/>
  <c r="E467" i="17"/>
  <c r="E493" i="17" s="1"/>
  <c r="E537" i="17" s="1"/>
  <c r="J283" i="39" s="1"/>
  <c r="P283" i="39" s="1"/>
  <c r="E492" i="17"/>
  <c r="K205" i="39"/>
  <c r="P205" i="39"/>
  <c r="E470" i="17"/>
  <c r="E514" i="17" s="1"/>
  <c r="E513" i="17"/>
  <c r="E536" i="17" s="1"/>
  <c r="H283" i="39" s="1"/>
  <c r="K283" i="39" s="1"/>
  <c r="G492" i="17"/>
  <c r="G536" i="17" s="1"/>
  <c r="H285" i="39" s="1"/>
  <c r="K285" i="39" s="1"/>
  <c r="G467" i="17"/>
  <c r="G493" i="17" s="1"/>
  <c r="G537" i="17" s="1"/>
  <c r="J285" i="39" s="1"/>
  <c r="P285" i="39" s="1"/>
  <c r="K188" i="57"/>
  <c r="V69" i="57"/>
  <c r="L189" i="57"/>
  <c r="V70" i="57"/>
  <c r="L191" i="57"/>
  <c r="V72" i="57"/>
  <c r="K197" i="57"/>
  <c r="V78" i="57"/>
  <c r="L199" i="57"/>
  <c r="V80" i="57"/>
  <c r="K201" i="57"/>
  <c r="V82" i="57"/>
  <c r="L203" i="57"/>
  <c r="V84" i="57"/>
  <c r="L283" i="57"/>
  <c r="W68" i="57"/>
  <c r="L282" i="57"/>
  <c r="W67" i="57"/>
  <c r="L286" i="57"/>
  <c r="W71" i="57"/>
  <c r="L288" i="57"/>
  <c r="W73" i="57"/>
  <c r="L291" i="57"/>
  <c r="W76" i="57"/>
  <c r="L294" i="57"/>
  <c r="W79" i="57"/>
  <c r="L296" i="57"/>
  <c r="W81" i="57"/>
  <c r="L379" i="57"/>
  <c r="X68" i="57"/>
  <c r="L378" i="57"/>
  <c r="X67" i="57"/>
  <c r="L382" i="57"/>
  <c r="X71" i="57"/>
  <c r="L384" i="57"/>
  <c r="X73" i="57"/>
  <c r="L387" i="57"/>
  <c r="X76" i="57"/>
  <c r="K390" i="57"/>
  <c r="X79" i="57"/>
  <c r="L392" i="57"/>
  <c r="X81" i="57"/>
  <c r="L475" i="57"/>
  <c r="Y68" i="57"/>
  <c r="L474" i="57"/>
  <c r="Y67" i="57"/>
  <c r="L478" i="57"/>
  <c r="Y71" i="57"/>
  <c r="L480" i="57"/>
  <c r="Y73" i="57"/>
  <c r="L483" i="57"/>
  <c r="Y76" i="57"/>
  <c r="L486" i="57"/>
  <c r="Y79" i="57"/>
  <c r="L488" i="57"/>
  <c r="Y81" i="57"/>
  <c r="L571" i="57"/>
  <c r="Z68" i="57"/>
  <c r="L570" i="57"/>
  <c r="Z67" i="57"/>
  <c r="L574" i="57"/>
  <c r="Z71" i="57"/>
  <c r="L576" i="57"/>
  <c r="Z73" i="57"/>
  <c r="L579" i="57"/>
  <c r="Z76" i="57"/>
  <c r="L582" i="57"/>
  <c r="Z79" i="57"/>
  <c r="L584" i="57"/>
  <c r="Z81" i="57"/>
  <c r="L668" i="57"/>
  <c r="AA69" i="57"/>
  <c r="L669" i="57"/>
  <c r="AA70" i="57"/>
  <c r="L671" i="57"/>
  <c r="AA72" i="57"/>
  <c r="L673" i="57"/>
  <c r="AA74" i="57"/>
  <c r="L677" i="57"/>
  <c r="AA78" i="57"/>
  <c r="L681" i="57"/>
  <c r="AA82" i="57"/>
  <c r="L763" i="57"/>
  <c r="AB68" i="57"/>
  <c r="L762" i="57"/>
  <c r="AB67" i="57"/>
  <c r="L766" i="57"/>
  <c r="AB71" i="57"/>
  <c r="L768" i="57"/>
  <c r="AB73" i="57"/>
  <c r="L771" i="57"/>
  <c r="AB76" i="57"/>
  <c r="L774" i="57"/>
  <c r="AB79" i="57"/>
  <c r="K776" i="57"/>
  <c r="AB81" i="57"/>
  <c r="K187" i="57"/>
  <c r="V68" i="57"/>
  <c r="K186" i="57"/>
  <c r="V67" i="57"/>
  <c r="L190" i="57"/>
  <c r="V71" i="57"/>
  <c r="L192" i="57"/>
  <c r="V73" i="57"/>
  <c r="L194" i="57"/>
  <c r="V75" i="57"/>
  <c r="L195" i="57"/>
  <c r="V76" i="57"/>
  <c r="L198" i="57"/>
  <c r="V79" i="57"/>
  <c r="L200" i="57"/>
  <c r="V81" i="57"/>
  <c r="L206" i="57"/>
  <c r="V87" i="57"/>
  <c r="L284" i="57"/>
  <c r="W69" i="57"/>
  <c r="L285" i="57"/>
  <c r="W70" i="57"/>
  <c r="L287" i="57"/>
  <c r="W72" i="57"/>
  <c r="L289" i="57"/>
  <c r="W74" i="57"/>
  <c r="L292" i="57"/>
  <c r="W77" i="57"/>
  <c r="L293" i="57"/>
  <c r="W78" i="57"/>
  <c r="L295" i="57"/>
  <c r="W80" i="57"/>
  <c r="L297" i="57"/>
  <c r="W82" i="57"/>
  <c r="L380" i="57"/>
  <c r="X69" i="57"/>
  <c r="L381" i="57"/>
  <c r="X70" i="57"/>
  <c r="L383" i="57"/>
  <c r="X72" i="57"/>
  <c r="L385" i="57"/>
  <c r="X74" i="57"/>
  <c r="L389" i="57"/>
  <c r="X78" i="57"/>
  <c r="L391" i="57"/>
  <c r="X80" i="57"/>
  <c r="L393" i="57"/>
  <c r="X82" i="57"/>
  <c r="L476" i="57"/>
  <c r="Y69" i="57"/>
  <c r="L477" i="57"/>
  <c r="Y70" i="57"/>
  <c r="L479" i="57"/>
  <c r="Y72" i="57"/>
  <c r="L481" i="57"/>
  <c r="Y74" i="57"/>
  <c r="L484" i="57"/>
  <c r="Y77" i="57"/>
  <c r="L485" i="57"/>
  <c r="Y78" i="57"/>
  <c r="L487" i="57"/>
  <c r="Y80" i="57"/>
  <c r="L489" i="57"/>
  <c r="Y82" i="57"/>
  <c r="L572" i="57"/>
  <c r="Z69" i="57"/>
  <c r="L573" i="57"/>
  <c r="Z70" i="57"/>
  <c r="L575" i="57"/>
  <c r="Z72" i="57"/>
  <c r="L577" i="57"/>
  <c r="Z74" i="57"/>
  <c r="L580" i="57"/>
  <c r="Z77" i="57"/>
  <c r="L581" i="57"/>
  <c r="Z78" i="57"/>
  <c r="L583" i="57"/>
  <c r="Z80" i="57"/>
  <c r="L585" i="57"/>
  <c r="Z82" i="57"/>
  <c r="L667" i="57"/>
  <c r="AA68" i="57"/>
  <c r="L666" i="57"/>
  <c r="AA67" i="57"/>
  <c r="L670" i="57"/>
  <c r="AA71" i="57"/>
  <c r="L672" i="57"/>
  <c r="AA73" i="57"/>
  <c r="L675" i="57"/>
  <c r="AA76" i="57"/>
  <c r="K678" i="57"/>
  <c r="AA79" i="57"/>
  <c r="L764" i="57"/>
  <c r="AB69" i="57"/>
  <c r="L765" i="57"/>
  <c r="AB70" i="57"/>
  <c r="L767" i="57"/>
  <c r="AB72" i="57"/>
  <c r="L769" i="57"/>
  <c r="AB74" i="57"/>
  <c r="L772" i="57"/>
  <c r="AB77" i="57"/>
  <c r="K773" i="57"/>
  <c r="AB78" i="57"/>
  <c r="L775" i="57"/>
  <c r="AB80" i="57"/>
  <c r="L777" i="57"/>
  <c r="AB82" i="57"/>
  <c r="I1028" i="57"/>
  <c r="H1028" i="57" s="1"/>
  <c r="G1028" i="57" s="1"/>
  <c r="K507" i="52"/>
  <c r="F655" i="56"/>
  <c r="K688" i="57" s="1"/>
  <c r="K687" i="57"/>
  <c r="K85" i="57"/>
  <c r="K86" i="57" s="1"/>
  <c r="K87" i="57" s="1"/>
  <c r="K88" i="57" s="1"/>
  <c r="K89" i="57" s="1"/>
  <c r="C508" i="52"/>
  <c r="E508" i="52"/>
  <c r="L508" i="52" s="1"/>
  <c r="C203" i="53"/>
  <c r="BX196" i="53"/>
  <c r="CB196" i="53"/>
  <c r="CF196" i="53"/>
  <c r="CJ196" i="53"/>
  <c r="BY196" i="53"/>
  <c r="CC196" i="53"/>
  <c r="CG196" i="53"/>
  <c r="CK196" i="53"/>
  <c r="BZ196" i="53"/>
  <c r="CA196" i="53"/>
  <c r="CE196" i="53"/>
  <c r="CI196" i="53"/>
  <c r="CM196" i="53"/>
  <c r="CD196" i="53"/>
  <c r="CH196" i="53"/>
  <c r="CL196" i="53"/>
  <c r="B196" i="53"/>
  <c r="B507" i="52"/>
  <c r="B420" i="52"/>
  <c r="B310" i="52"/>
  <c r="A197" i="53"/>
  <c r="U197" i="53" s="1"/>
  <c r="V197" i="53" s="1"/>
  <c r="A508" i="52"/>
  <c r="A421" i="52"/>
  <c r="A311" i="52"/>
  <c r="L975" i="57"/>
  <c r="L977" i="57"/>
  <c r="G185" i="57"/>
  <c r="G377" i="57"/>
  <c r="G857" i="57"/>
  <c r="L209" i="57"/>
  <c r="G761" i="57"/>
  <c r="G953" i="57"/>
  <c r="G281" i="57"/>
  <c r="G473" i="57"/>
  <c r="B499" i="56"/>
  <c r="I569" i="57" s="1"/>
  <c r="G837" i="56"/>
  <c r="I878" i="57" s="1"/>
  <c r="L878" i="57" s="1"/>
  <c r="G878" i="57"/>
  <c r="L207" i="57"/>
  <c r="D534" i="56"/>
  <c r="I578" i="57" s="1"/>
  <c r="G578" i="57"/>
  <c r="L593" i="57"/>
  <c r="D625" i="56"/>
  <c r="I674" i="57" s="1"/>
  <c r="G674" i="57"/>
  <c r="L872" i="57"/>
  <c r="K872" i="57"/>
  <c r="G194" i="57"/>
  <c r="G206" i="57"/>
  <c r="K391" i="57"/>
  <c r="G577" i="57"/>
  <c r="A580" i="57"/>
  <c r="B135" i="56"/>
  <c r="I185" i="57" s="1"/>
  <c r="C170" i="56"/>
  <c r="I193" i="57" s="1"/>
  <c r="G193" i="57"/>
  <c r="E177" i="56"/>
  <c r="E178" i="56" s="1"/>
  <c r="I196" i="57" s="1"/>
  <c r="D443" i="56"/>
  <c r="I482" i="57" s="1"/>
  <c r="G482" i="57"/>
  <c r="G564" i="56"/>
  <c r="I590" i="57" s="1"/>
  <c r="G590" i="57"/>
  <c r="L591" i="57"/>
  <c r="E632" i="56"/>
  <c r="E633" i="56" s="1"/>
  <c r="I676" i="57" s="1"/>
  <c r="A676" i="57"/>
  <c r="K679" i="57"/>
  <c r="L679" i="57"/>
  <c r="L687" i="57"/>
  <c r="B681" i="56"/>
  <c r="I761" i="57" s="1"/>
  <c r="D898" i="56"/>
  <c r="I962" i="57" s="1"/>
  <c r="L962" i="57" s="1"/>
  <c r="G962" i="57"/>
  <c r="L390" i="57"/>
  <c r="K487" i="57"/>
  <c r="G865" i="57"/>
  <c r="D261" i="56"/>
  <c r="I290" i="57" s="1"/>
  <c r="G290" i="57"/>
  <c r="L305" i="57"/>
  <c r="D352" i="56"/>
  <c r="I386" i="57" s="1"/>
  <c r="G386" i="57"/>
  <c r="G473" i="56"/>
  <c r="I494" i="57" s="1"/>
  <c r="G494" i="57"/>
  <c r="L495" i="57"/>
  <c r="B590" i="56"/>
  <c r="I665" i="57" s="1"/>
  <c r="G665" i="57"/>
  <c r="L680" i="57"/>
  <c r="K680" i="57"/>
  <c r="D807" i="56"/>
  <c r="I866" i="57" s="1"/>
  <c r="L866" i="57" s="1"/>
  <c r="G866" i="57"/>
  <c r="G928" i="56"/>
  <c r="I974" i="57" s="1"/>
  <c r="L974" i="57" s="1"/>
  <c r="G974" i="57"/>
  <c r="G385" i="57"/>
  <c r="G569" i="57"/>
  <c r="G769" i="57"/>
  <c r="A772" i="57"/>
  <c r="G291" i="56"/>
  <c r="I302" i="57" s="1"/>
  <c r="G302" i="57"/>
  <c r="E359" i="56"/>
  <c r="E360" i="56" s="1"/>
  <c r="I388" i="57" s="1"/>
  <c r="A388" i="57"/>
  <c r="G382" i="56"/>
  <c r="I398" i="57" s="1"/>
  <c r="G398" i="57"/>
  <c r="L399" i="57"/>
  <c r="D716" i="56"/>
  <c r="I770" i="57" s="1"/>
  <c r="G770" i="57"/>
  <c r="G746" i="56"/>
  <c r="I782" i="57" s="1"/>
  <c r="G782" i="57"/>
  <c r="L785" i="57"/>
  <c r="E814" i="56"/>
  <c r="E815" i="56" s="1"/>
  <c r="I868" i="57" s="1"/>
  <c r="L868" i="57" s="1"/>
  <c r="A868" i="57"/>
  <c r="K871" i="57"/>
  <c r="L871" i="57"/>
  <c r="L879" i="57"/>
  <c r="B863" i="56"/>
  <c r="I953" i="57" s="1"/>
  <c r="L953" i="57" s="1"/>
  <c r="G289" i="57"/>
  <c r="A292" i="57"/>
  <c r="G481" i="57"/>
  <c r="A484" i="57"/>
  <c r="G673" i="57"/>
  <c r="G961" i="57"/>
  <c r="A964" i="57"/>
  <c r="L202" i="57"/>
  <c r="L204" i="57"/>
  <c r="K582" i="57"/>
  <c r="L967" i="57"/>
  <c r="K968" i="57"/>
  <c r="L188" i="57"/>
  <c r="K775" i="57"/>
  <c r="K295" i="57"/>
  <c r="L678" i="57"/>
  <c r="L186" i="57"/>
  <c r="K199" i="57"/>
  <c r="L776" i="57"/>
  <c r="L187" i="57"/>
  <c r="L197" i="57"/>
  <c r="K198" i="57"/>
  <c r="L201" i="57"/>
  <c r="L205" i="57"/>
  <c r="K296" i="57"/>
  <c r="K488" i="57"/>
  <c r="K583" i="57"/>
  <c r="K584" i="57"/>
  <c r="K954" i="57"/>
  <c r="K955" i="57"/>
  <c r="K956" i="57"/>
  <c r="K965" i="57"/>
  <c r="K969" i="57"/>
  <c r="K966" i="57"/>
  <c r="L970" i="57"/>
  <c r="L971" i="57"/>
  <c r="L972" i="57"/>
  <c r="L973" i="57"/>
  <c r="K858" i="57"/>
  <c r="K859" i="57"/>
  <c r="K860" i="57"/>
  <c r="K869" i="57"/>
  <c r="K873" i="57"/>
  <c r="K870" i="57"/>
  <c r="L874" i="57"/>
  <c r="L875" i="57"/>
  <c r="L876" i="57"/>
  <c r="L877" i="57"/>
  <c r="K762" i="57"/>
  <c r="K763" i="57"/>
  <c r="K764" i="57"/>
  <c r="K777" i="57"/>
  <c r="L773" i="57"/>
  <c r="K774" i="57"/>
  <c r="L778" i="57"/>
  <c r="L779" i="57"/>
  <c r="L780" i="57"/>
  <c r="L781" i="57"/>
  <c r="K666" i="57"/>
  <c r="K667" i="57"/>
  <c r="K668" i="57"/>
  <c r="K677" i="57"/>
  <c r="K681" i="57"/>
  <c r="L682" i="57"/>
  <c r="L683" i="57"/>
  <c r="L684" i="57"/>
  <c r="L685" i="57"/>
  <c r="K570" i="57"/>
  <c r="K571" i="57"/>
  <c r="K572" i="57"/>
  <c r="K581" i="57"/>
  <c r="K585" i="57"/>
  <c r="L586" i="57"/>
  <c r="L587" i="57"/>
  <c r="L588" i="57"/>
  <c r="L589" i="57"/>
  <c r="K474" i="57"/>
  <c r="K475" i="57"/>
  <c r="K476" i="57"/>
  <c r="K485" i="57"/>
  <c r="K489" i="57"/>
  <c r="K486" i="57"/>
  <c r="L490" i="57"/>
  <c r="L491" i="57"/>
  <c r="L492" i="57"/>
  <c r="L493" i="57"/>
  <c r="K392" i="57"/>
  <c r="K378" i="57"/>
  <c r="K379" i="57"/>
  <c r="K380" i="57"/>
  <c r="K389" i="57"/>
  <c r="K393" i="57"/>
  <c r="L394" i="57"/>
  <c r="L395" i="57"/>
  <c r="L396" i="57"/>
  <c r="L397" i="57"/>
  <c r="K282" i="57"/>
  <c r="K283" i="57"/>
  <c r="K284" i="57"/>
  <c r="K293" i="57"/>
  <c r="K297" i="57"/>
  <c r="K294" i="57"/>
  <c r="L298" i="57"/>
  <c r="L299" i="57"/>
  <c r="L300" i="57"/>
  <c r="L301" i="57"/>
  <c r="K200" i="57"/>
  <c r="B226" i="56"/>
  <c r="I281" i="57" s="1"/>
  <c r="B317" i="56"/>
  <c r="I377" i="57" s="1"/>
  <c r="B408" i="56"/>
  <c r="I473" i="57" s="1"/>
  <c r="B772" i="56"/>
  <c r="I857" i="57" s="1"/>
  <c r="L857" i="57" s="1"/>
  <c r="K114" i="57"/>
  <c r="K115" i="57" s="1"/>
  <c r="K116" i="57" s="1"/>
  <c r="K93" i="57"/>
  <c r="K94" i="57" s="1"/>
  <c r="K95" i="57" s="1"/>
  <c r="K96" i="57" s="1"/>
  <c r="K97" i="57" s="1"/>
  <c r="K98" i="57" s="1"/>
  <c r="K99" i="57" s="1"/>
  <c r="K100" i="57" s="1"/>
  <c r="K106" i="57"/>
  <c r="K107" i="57" s="1"/>
  <c r="K108" i="57" s="1"/>
  <c r="K109" i="57" s="1"/>
  <c r="K110" i="57" s="1"/>
  <c r="A607" i="52"/>
  <c r="A603" i="52"/>
  <c r="A605" i="52"/>
  <c r="D266" i="52"/>
  <c r="D260" i="52"/>
  <c r="D250" i="52"/>
  <c r="D244" i="52"/>
  <c r="D234" i="52"/>
  <c r="D228" i="52"/>
  <c r="D218" i="52"/>
  <c r="D212" i="52"/>
  <c r="A198" i="52"/>
  <c r="A38" i="52"/>
  <c r="A110" i="53"/>
  <c r="A109" i="53"/>
  <c r="A108" i="53"/>
  <c r="A107" i="53"/>
  <c r="A53" i="53"/>
  <c r="T16" i="22"/>
  <c r="T15" i="22"/>
  <c r="T14" i="22"/>
  <c r="A278" i="45" s="1"/>
  <c r="T13" i="22"/>
  <c r="M16" i="22"/>
  <c r="M15" i="22"/>
  <c r="M14" i="22"/>
  <c r="A231" i="45" s="1"/>
  <c r="A234" i="45" s="1"/>
  <c r="M13" i="22"/>
  <c r="S16" i="22"/>
  <c r="S15" i="22"/>
  <c r="S14" i="22"/>
  <c r="S13" i="22"/>
  <c r="A245" i="24"/>
  <c r="A243" i="24"/>
  <c r="A241" i="24"/>
  <c r="B1" i="3"/>
  <c r="J113" i="24" s="1"/>
  <c r="A222" i="26"/>
  <c r="A220" i="26"/>
  <c r="A218" i="26"/>
  <c r="B1" i="6"/>
  <c r="A229" i="30"/>
  <c r="A227" i="30"/>
  <c r="A195" i="30"/>
  <c r="B1" i="16"/>
  <c r="A282" i="43"/>
  <c r="A280" i="43"/>
  <c r="A234" i="43"/>
  <c r="B1" i="40"/>
  <c r="A2" i="56"/>
  <c r="H25" i="37"/>
  <c r="D42" i="11" s="1"/>
  <c r="H29" i="37"/>
  <c r="H28" i="37"/>
  <c r="H27" i="37"/>
  <c r="H26" i="37"/>
  <c r="H24" i="37"/>
  <c r="H23" i="37"/>
  <c r="H22" i="37"/>
  <c r="H20" i="37"/>
  <c r="H8" i="37"/>
  <c r="H9" i="37"/>
  <c r="H10" i="37"/>
  <c r="H11" i="37"/>
  <c r="H12" i="37"/>
  <c r="H13" i="37"/>
  <c r="H14" i="37"/>
  <c r="H15" i="37"/>
  <c r="H16" i="37"/>
  <c r="H17" i="37"/>
  <c r="H18" i="37"/>
  <c r="H7" i="37"/>
  <c r="L473" i="57" l="1"/>
  <c r="Y66" i="57"/>
  <c r="L281" i="57"/>
  <c r="W66" i="57"/>
  <c r="L782" i="57"/>
  <c r="AB87" i="57"/>
  <c r="L770" i="57"/>
  <c r="AB75" i="57"/>
  <c r="L494" i="57"/>
  <c r="Y87" i="57"/>
  <c r="L386" i="57"/>
  <c r="X75" i="57"/>
  <c r="L676" i="57"/>
  <c r="AA77" i="57"/>
  <c r="L196" i="57"/>
  <c r="V77" i="57"/>
  <c r="L193" i="57"/>
  <c r="V74" i="57"/>
  <c r="L674" i="57"/>
  <c r="AA75" i="57"/>
  <c r="L377" i="57"/>
  <c r="X66" i="57"/>
  <c r="L398" i="57"/>
  <c r="X87" i="57"/>
  <c r="L388" i="57"/>
  <c r="X77" i="57"/>
  <c r="L302" i="57"/>
  <c r="W87" i="57"/>
  <c r="L665" i="57"/>
  <c r="AA66" i="57"/>
  <c r="L290" i="57"/>
  <c r="W75" i="57"/>
  <c r="L761" i="57"/>
  <c r="AB66" i="57"/>
  <c r="L590" i="57"/>
  <c r="Z87" i="57"/>
  <c r="L482" i="57"/>
  <c r="Y75" i="57"/>
  <c r="L185" i="57"/>
  <c r="V66" i="57"/>
  <c r="L578" i="57"/>
  <c r="Z75" i="57"/>
  <c r="L569" i="57"/>
  <c r="Z66" i="57"/>
  <c r="K508" i="52"/>
  <c r="H88" i="33"/>
  <c r="D168" i="40"/>
  <c r="F159" i="40"/>
  <c r="I75" i="33"/>
  <c r="I81" i="33" s="1"/>
  <c r="B1" i="60"/>
  <c r="G686" i="57"/>
  <c r="G655" i="56"/>
  <c r="I686" i="57" s="1"/>
  <c r="L497" i="57"/>
  <c r="L688" i="57"/>
  <c r="L496" i="57"/>
  <c r="E509" i="52"/>
  <c r="L509" i="52" s="1"/>
  <c r="C509" i="52"/>
  <c r="F60" i="26"/>
  <c r="F61" i="26" s="1"/>
  <c r="I114" i="33"/>
  <c r="B71" i="40"/>
  <c r="B1" i="50"/>
  <c r="A132" i="43"/>
  <c r="G570" i="52"/>
  <c r="G394" i="52"/>
  <c r="BF169" i="53"/>
  <c r="AN169" i="53"/>
  <c r="BW169" i="53"/>
  <c r="L163" i="53"/>
  <c r="J105" i="30"/>
  <c r="E83" i="16"/>
  <c r="C204" i="53"/>
  <c r="BX197" i="53"/>
  <c r="CB197" i="53"/>
  <c r="CF197" i="53"/>
  <c r="CJ197" i="53"/>
  <c r="BY197" i="53"/>
  <c r="CC197" i="53"/>
  <c r="CG197" i="53"/>
  <c r="CK197" i="53"/>
  <c r="CA197" i="53"/>
  <c r="CE197" i="53"/>
  <c r="CI197" i="53"/>
  <c r="CM197" i="53"/>
  <c r="BZ197" i="53"/>
  <c r="CD197" i="53"/>
  <c r="CH197" i="53"/>
  <c r="CL197" i="53"/>
  <c r="A198" i="53"/>
  <c r="U198" i="53" s="1"/>
  <c r="V198" i="53" s="1"/>
  <c r="A509" i="52"/>
  <c r="A422" i="52"/>
  <c r="A312" i="52"/>
  <c r="B197" i="53"/>
  <c r="B508" i="52"/>
  <c r="B421" i="52"/>
  <c r="B311" i="52"/>
  <c r="A210" i="45"/>
  <c r="A213" i="45" s="1"/>
  <c r="A267" i="45"/>
  <c r="A71" i="45"/>
  <c r="A74" i="45" s="1"/>
  <c r="A110" i="45"/>
  <c r="A113" i="45" s="1"/>
  <c r="A190" i="45"/>
  <c r="A193" i="45" s="1"/>
  <c r="A211" i="45"/>
  <c r="A214" i="45" s="1"/>
  <c r="A283" i="45"/>
  <c r="A287" i="45"/>
  <c r="A50" i="45"/>
  <c r="A53" i="45" s="1"/>
  <c r="A111" i="45"/>
  <c r="A114" i="45" s="1"/>
  <c r="A170" i="45"/>
  <c r="A173" i="45" s="1"/>
  <c r="A191" i="45"/>
  <c r="A194" i="45" s="1"/>
  <c r="A271" i="45"/>
  <c r="A290" i="45"/>
  <c r="A294" i="45"/>
  <c r="A51" i="45"/>
  <c r="A54" i="45" s="1"/>
  <c r="A90" i="45"/>
  <c r="A93" i="45" s="1"/>
  <c r="A130" i="45"/>
  <c r="A133" i="45" s="1"/>
  <c r="A150" i="45"/>
  <c r="A153" i="45" s="1"/>
  <c r="A171" i="45"/>
  <c r="A174" i="45" s="1"/>
  <c r="A230" i="45"/>
  <c r="A233" i="45" s="1"/>
  <c r="A274" i="45"/>
  <c r="B1" i="22"/>
  <c r="A70" i="45"/>
  <c r="A73" i="45" s="1"/>
  <c r="A91" i="45"/>
  <c r="A94" i="45" s="1"/>
  <c r="A131" i="45"/>
  <c r="A134" i="45" s="1"/>
  <c r="A151" i="45"/>
  <c r="A154" i="45" s="1"/>
  <c r="J93" i="26"/>
  <c r="G126" i="6"/>
  <c r="F59" i="26"/>
  <c r="A72" i="26" s="1"/>
  <c r="A83" i="26" s="1"/>
  <c r="B22" i="16"/>
  <c r="G71" i="30"/>
  <c r="F64" i="24"/>
  <c r="F65" i="24" s="1"/>
  <c r="B133" i="16"/>
  <c r="F71" i="24"/>
  <c r="F72" i="24" s="1"/>
  <c r="F73" i="24" s="1"/>
  <c r="G61" i="16"/>
  <c r="C133" i="16"/>
  <c r="H62" i="3"/>
  <c r="F52" i="16"/>
  <c r="F16" i="16"/>
  <c r="E69" i="16"/>
  <c r="F63" i="30"/>
  <c r="A87" i="30" s="1"/>
  <c r="A99" i="30" s="1"/>
  <c r="F44" i="16"/>
  <c r="F64" i="30"/>
  <c r="A83" i="40"/>
  <c r="A35" i="40"/>
  <c r="B147" i="40"/>
  <c r="F65" i="43"/>
  <c r="A78" i="43" s="1"/>
  <c r="A84" i="43" s="1"/>
  <c r="A108" i="43" s="1"/>
  <c r="A113" i="43" s="1"/>
  <c r="A118" i="43" s="1"/>
  <c r="A128" i="43" s="1"/>
  <c r="F35" i="40"/>
  <c r="A205" i="40"/>
  <c r="F66" i="43"/>
  <c r="F67" i="43" s="1"/>
  <c r="I45" i="40"/>
  <c r="A224" i="40"/>
  <c r="J133" i="43"/>
  <c r="A200" i="30"/>
  <c r="A137" i="30"/>
  <c r="L686" i="57" l="1"/>
  <c r="AA87" i="57"/>
  <c r="K509" i="52"/>
  <c r="A42" i="60"/>
  <c r="A64" i="60"/>
  <c r="A40" i="60"/>
  <c r="A68" i="60"/>
  <c r="A62" i="60"/>
  <c r="A44" i="60"/>
  <c r="A66" i="60"/>
  <c r="A36" i="60"/>
  <c r="A38" i="60"/>
  <c r="A70" i="60"/>
  <c r="C510" i="52"/>
  <c r="E510" i="52"/>
  <c r="L510" i="52" s="1"/>
  <c r="I62" i="51"/>
  <c r="I68" i="51" s="1"/>
  <c r="I74" i="51" s="1"/>
  <c r="I303" i="59"/>
  <c r="I223" i="59"/>
  <c r="I143" i="59"/>
  <c r="C205" i="53"/>
  <c r="BX198" i="53"/>
  <c r="CB198" i="53"/>
  <c r="BY198" i="53"/>
  <c r="CC198" i="53"/>
  <c r="CG198" i="53"/>
  <c r="CK198" i="53"/>
  <c r="CA198" i="53"/>
  <c r="CE198" i="53"/>
  <c r="CI198" i="53"/>
  <c r="CM198" i="53"/>
  <c r="BZ198" i="53"/>
  <c r="CJ198" i="53"/>
  <c r="CD198" i="53"/>
  <c r="CL198" i="53"/>
  <c r="CF198" i="53"/>
  <c r="CH198" i="53"/>
  <c r="B198" i="53"/>
  <c r="B509" i="52"/>
  <c r="B422" i="52"/>
  <c r="B312" i="52"/>
  <c r="A199" i="53"/>
  <c r="U199" i="53" s="1"/>
  <c r="V199" i="53" s="1"/>
  <c r="A510" i="52"/>
  <c r="A423" i="52"/>
  <c r="A313" i="52"/>
  <c r="A88" i="26"/>
  <c r="A85" i="24"/>
  <c r="A92" i="24" s="1"/>
  <c r="A102" i="24" s="1"/>
  <c r="A107" i="24" s="1"/>
  <c r="A60" i="57"/>
  <c r="E31" i="56"/>
  <c r="K510" i="52" l="1"/>
  <c r="C511" i="52"/>
  <c r="E511" i="52"/>
  <c r="L511" i="52" s="1"/>
  <c r="C206" i="53"/>
  <c r="BY199" i="53"/>
  <c r="CC199" i="53"/>
  <c r="CG199" i="53"/>
  <c r="CK199" i="53"/>
  <c r="CA199" i="53"/>
  <c r="CE199" i="53"/>
  <c r="CI199" i="53"/>
  <c r="CM199" i="53"/>
  <c r="CB199" i="53"/>
  <c r="CJ199" i="53"/>
  <c r="CD199" i="53"/>
  <c r="CL199" i="53"/>
  <c r="BX199" i="53"/>
  <c r="CF199" i="53"/>
  <c r="BZ199" i="53"/>
  <c r="CH199" i="53"/>
  <c r="A200" i="53"/>
  <c r="U200" i="53" s="1"/>
  <c r="V200" i="53" s="1"/>
  <c r="A511" i="52"/>
  <c r="A424" i="52"/>
  <c r="A314" i="52"/>
  <c r="B199" i="53"/>
  <c r="B423" i="52"/>
  <c r="B510" i="52"/>
  <c r="B313" i="52"/>
  <c r="A533" i="39"/>
  <c r="A531" i="39"/>
  <c r="A529" i="39"/>
  <c r="A484" i="39"/>
  <c r="A482" i="39"/>
  <c r="A480" i="39"/>
  <c r="A303" i="39"/>
  <c r="B1" i="17"/>
  <c r="A260" i="32"/>
  <c r="A256" i="32"/>
  <c r="H56" i="33"/>
  <c r="L6" i="57"/>
  <c r="A1064" i="57"/>
  <c r="A1062" i="57"/>
  <c r="A1060" i="57"/>
  <c r="B1" i="56"/>
  <c r="N69" i="47"/>
  <c r="N72" i="47"/>
  <c r="N71" i="47"/>
  <c r="N70" i="47"/>
  <c r="N68" i="47"/>
  <c r="N67" i="47"/>
  <c r="N66" i="47"/>
  <c r="A984" i="57"/>
  <c r="J110" i="56"/>
  <c r="G110" i="56"/>
  <c r="C104" i="56"/>
  <c r="F104" i="56" s="1"/>
  <c r="G110" i="57" s="1"/>
  <c r="D87" i="56"/>
  <c r="K511" i="52" l="1"/>
  <c r="K845" i="56"/>
  <c r="K936" i="56"/>
  <c r="K663" i="56"/>
  <c r="K754" i="56"/>
  <c r="K481" i="56"/>
  <c r="K572" i="56"/>
  <c r="K299" i="56"/>
  <c r="K390" i="56"/>
  <c r="K208" i="56"/>
  <c r="A874" i="56"/>
  <c r="A146" i="56"/>
  <c r="A237" i="56"/>
  <c r="A328" i="56"/>
  <c r="A419" i="56"/>
  <c r="A510" i="56"/>
  <c r="A601" i="56"/>
  <c r="A692" i="56"/>
  <c r="A783" i="56"/>
  <c r="C512" i="52"/>
  <c r="E512" i="52"/>
  <c r="L512" i="52" s="1"/>
  <c r="A169" i="46"/>
  <c r="A151" i="46"/>
  <c r="A162" i="46"/>
  <c r="A158" i="46"/>
  <c r="G74" i="39"/>
  <c r="G70" i="39"/>
  <c r="G68" i="39"/>
  <c r="G72" i="39"/>
  <c r="G71" i="39"/>
  <c r="G69" i="39"/>
  <c r="G73" i="39"/>
  <c r="F125" i="11"/>
  <c r="E483" i="52"/>
  <c r="G588" i="52"/>
  <c r="R169" i="53"/>
  <c r="C285" i="52"/>
  <c r="C286" i="52"/>
  <c r="C287" i="52"/>
  <c r="C288" i="52"/>
  <c r="C289" i="52"/>
  <c r="C290" i="52"/>
  <c r="V169" i="53"/>
  <c r="C291" i="52"/>
  <c r="P169" i="53"/>
  <c r="I272" i="52" s="1"/>
  <c r="J284" i="52" s="1"/>
  <c r="A153" i="11"/>
  <c r="C292" i="52"/>
  <c r="C293" i="52"/>
  <c r="C294" i="52"/>
  <c r="C295" i="52"/>
  <c r="C296" i="52"/>
  <c r="C297" i="52"/>
  <c r="C298" i="52"/>
  <c r="C299" i="52"/>
  <c r="C300" i="52"/>
  <c r="C301" i="52"/>
  <c r="C302" i="52"/>
  <c r="C303" i="52"/>
  <c r="C304" i="52"/>
  <c r="C305" i="52"/>
  <c r="C306" i="52"/>
  <c r="C307" i="52"/>
  <c r="C308" i="52"/>
  <c r="C309" i="52"/>
  <c r="C310" i="52"/>
  <c r="C311" i="52"/>
  <c r="C312" i="52"/>
  <c r="C313" i="52"/>
  <c r="C314" i="52"/>
  <c r="C315" i="52"/>
  <c r="C316" i="52"/>
  <c r="C317" i="52"/>
  <c r="C318" i="52"/>
  <c r="C319" i="52"/>
  <c r="C320" i="52"/>
  <c r="C207" i="53"/>
  <c r="C321" i="52"/>
  <c r="BY200" i="53"/>
  <c r="CC200" i="53"/>
  <c r="CG200" i="53"/>
  <c r="CK200" i="53"/>
  <c r="CA200" i="53"/>
  <c r="CE200" i="53"/>
  <c r="CI200" i="53"/>
  <c r="CM200" i="53"/>
  <c r="CB200" i="53"/>
  <c r="CJ200" i="53"/>
  <c r="CD200" i="53"/>
  <c r="CL200" i="53"/>
  <c r="BX200" i="53"/>
  <c r="CF200" i="53"/>
  <c r="BZ200" i="53"/>
  <c r="CH200" i="53"/>
  <c r="B200" i="53"/>
  <c r="B511" i="52"/>
  <c r="B424" i="52"/>
  <c r="B314" i="52"/>
  <c r="A201" i="53"/>
  <c r="U201" i="53" s="1"/>
  <c r="V201" i="53" s="1"/>
  <c r="A512" i="52"/>
  <c r="A315" i="52"/>
  <c r="A425" i="52"/>
  <c r="A460" i="17"/>
  <c r="A452" i="17"/>
  <c r="A405" i="17"/>
  <c r="A358" i="17"/>
  <c r="A350" i="17"/>
  <c r="A303" i="17"/>
  <c r="A256" i="17"/>
  <c r="A248" i="17"/>
  <c r="A456" i="17"/>
  <c r="A409" i="17"/>
  <c r="A401" i="17"/>
  <c r="A354" i="17"/>
  <c r="A307" i="17"/>
  <c r="A299" i="17"/>
  <c r="A252" i="17"/>
  <c r="A82" i="17"/>
  <c r="A504" i="17"/>
  <c r="A500" i="17"/>
  <c r="A496" i="17"/>
  <c r="A483" i="17"/>
  <c r="A479" i="17"/>
  <c r="A475" i="17"/>
  <c r="A201" i="17"/>
  <c r="A506" i="17"/>
  <c r="A502" i="17"/>
  <c r="A498" i="17"/>
  <c r="A485" i="17"/>
  <c r="A481" i="17"/>
  <c r="A477" i="17"/>
  <c r="A205" i="17"/>
  <c r="A197" i="17"/>
  <c r="A493" i="17"/>
  <c r="A514" i="17"/>
  <c r="A537" i="17"/>
  <c r="A529" i="17"/>
  <c r="A521" i="17"/>
  <c r="A535" i="17"/>
  <c r="A527" i="17"/>
  <c r="A519" i="17"/>
  <c r="A533" i="17"/>
  <c r="A525" i="17"/>
  <c r="A531" i="17"/>
  <c r="A523" i="17"/>
  <c r="A512" i="17"/>
  <c r="A510" i="17"/>
  <c r="A467" i="17"/>
  <c r="A508" i="17"/>
  <c r="A470" i="17"/>
  <c r="A491" i="17"/>
  <c r="A489" i="17"/>
  <c r="A487" i="17"/>
  <c r="F142" i="17"/>
  <c r="I566" i="17"/>
  <c r="K112" i="56"/>
  <c r="E105" i="56"/>
  <c r="F44" i="56"/>
  <c r="A70" i="56"/>
  <c r="A906" i="56"/>
  <c r="I883" i="56"/>
  <c r="A806" i="56"/>
  <c r="A740" i="56"/>
  <c r="G732" i="56"/>
  <c r="A723" i="56"/>
  <c r="E704" i="56"/>
  <c r="A681" i="56"/>
  <c r="E656" i="56"/>
  <c r="F648" i="56"/>
  <c r="I610" i="56"/>
  <c r="E588" i="56"/>
  <c r="E593" i="56" s="1"/>
  <c r="A542" i="56"/>
  <c r="I519" i="56"/>
  <c r="A442" i="56"/>
  <c r="G381" i="56"/>
  <c r="A369" i="56"/>
  <c r="A351" i="56"/>
  <c r="A269" i="56"/>
  <c r="I246" i="56"/>
  <c r="E224" i="56"/>
  <c r="E229" i="56" s="1"/>
  <c r="E201" i="56"/>
  <c r="F193" i="56"/>
  <c r="A169" i="56"/>
  <c r="E929" i="56"/>
  <c r="E886" i="56"/>
  <c r="F830" i="56"/>
  <c r="A649" i="56"/>
  <c r="G641" i="56"/>
  <c r="A632" i="56"/>
  <c r="F557" i="56"/>
  <c r="E522" i="56"/>
  <c r="F466" i="56"/>
  <c r="G927" i="56"/>
  <c r="A915" i="56"/>
  <c r="A898" i="56"/>
  <c r="A888" i="56"/>
  <c r="A883" i="56"/>
  <c r="A863" i="56"/>
  <c r="G836" i="56"/>
  <c r="A824" i="56"/>
  <c r="A814" i="56"/>
  <c r="E795" i="56"/>
  <c r="A772" i="56"/>
  <c r="E747" i="56"/>
  <c r="F739" i="56"/>
  <c r="I701" i="56"/>
  <c r="E679" i="56"/>
  <c r="E684" i="56" s="1"/>
  <c r="A633" i="56"/>
  <c r="A625" i="56"/>
  <c r="A615" i="56"/>
  <c r="A610" i="56"/>
  <c r="G563" i="56"/>
  <c r="A551" i="56"/>
  <c r="A534" i="56"/>
  <c r="A524" i="56"/>
  <c r="A519" i="56"/>
  <c r="A499" i="56"/>
  <c r="G472" i="56"/>
  <c r="A460" i="56"/>
  <c r="A450" i="56"/>
  <c r="E431" i="56"/>
  <c r="A408" i="56"/>
  <c r="A376" i="56"/>
  <c r="G368" i="56"/>
  <c r="A359" i="56"/>
  <c r="E340" i="56"/>
  <c r="A317" i="56"/>
  <c r="G290" i="56"/>
  <c r="A278" i="56"/>
  <c r="A261" i="56"/>
  <c r="A251" i="56"/>
  <c r="A246" i="56"/>
  <c r="A177" i="56"/>
  <c r="E158" i="56"/>
  <c r="A135" i="56"/>
  <c r="F921" i="56"/>
  <c r="A905" i="56"/>
  <c r="A815" i="56"/>
  <c r="A797" i="56"/>
  <c r="A792" i="56"/>
  <c r="A733" i="56"/>
  <c r="E613" i="56"/>
  <c r="A590" i="56"/>
  <c r="E565" i="56"/>
  <c r="A451" i="56"/>
  <c r="A443" i="56"/>
  <c r="A433" i="56"/>
  <c r="A922" i="56"/>
  <c r="G914" i="56"/>
  <c r="A897" i="56"/>
  <c r="E861" i="56"/>
  <c r="E866" i="56" s="1"/>
  <c r="E838" i="56"/>
  <c r="A831" i="56"/>
  <c r="G823" i="56"/>
  <c r="I792" i="56"/>
  <c r="E770" i="56"/>
  <c r="E775" i="56" s="1"/>
  <c r="A724" i="56"/>
  <c r="A716" i="56"/>
  <c r="A706" i="56"/>
  <c r="A701" i="56"/>
  <c r="G654" i="56"/>
  <c r="A642" i="56"/>
  <c r="A624" i="56"/>
  <c r="A558" i="56"/>
  <c r="G550" i="56"/>
  <c r="A533" i="56"/>
  <c r="E497" i="56"/>
  <c r="E502" i="56" s="1"/>
  <c r="E474" i="56"/>
  <c r="A467" i="56"/>
  <c r="G459" i="56"/>
  <c r="I428" i="56"/>
  <c r="E406" i="56"/>
  <c r="E411" i="56" s="1"/>
  <c r="E383" i="56"/>
  <c r="F375" i="56"/>
  <c r="I337" i="56"/>
  <c r="E315" i="56"/>
  <c r="E320" i="56" s="1"/>
  <c r="A285" i="56"/>
  <c r="G277" i="56"/>
  <c r="A260" i="56"/>
  <c r="G199" i="56"/>
  <c r="A187" i="56"/>
  <c r="A178" i="56"/>
  <c r="I155" i="56"/>
  <c r="E133" i="56"/>
  <c r="E138" i="56" s="1"/>
  <c r="A807" i="56"/>
  <c r="G745" i="56"/>
  <c r="A715" i="56"/>
  <c r="A541" i="56"/>
  <c r="A352" i="56"/>
  <c r="G186" i="56"/>
  <c r="A170" i="56"/>
  <c r="A428" i="56"/>
  <c r="A360" i="56"/>
  <c r="A337" i="56"/>
  <c r="F284" i="56"/>
  <c r="A268" i="56"/>
  <c r="A155" i="56"/>
  <c r="E249" i="56"/>
  <c r="A194" i="56"/>
  <c r="A342" i="56"/>
  <c r="E292" i="56"/>
  <c r="A226" i="56"/>
  <c r="A160" i="56"/>
  <c r="A79" i="56"/>
  <c r="I65" i="56"/>
  <c r="A87" i="56"/>
  <c r="G98" i="56"/>
  <c r="E35" i="56"/>
  <c r="E48" i="56" s="1"/>
  <c r="A37" i="56"/>
  <c r="A80" i="56"/>
  <c r="G103" i="56"/>
  <c r="A56" i="56"/>
  <c r="A88" i="56"/>
  <c r="A65" i="56"/>
  <c r="A98" i="56"/>
  <c r="E68" i="56"/>
  <c r="A44" i="56"/>
  <c r="A135" i="17"/>
  <c r="G66" i="39"/>
  <c r="J150" i="39" s="1"/>
  <c r="A562" i="17"/>
  <c r="G67" i="39"/>
  <c r="J243" i="39"/>
  <c r="A568" i="17"/>
  <c r="F32" i="17"/>
  <c r="A589" i="17"/>
  <c r="F65" i="32"/>
  <c r="A181" i="39"/>
  <c r="A187" i="39" s="1"/>
  <c r="A197" i="39" s="1"/>
  <c r="A550" i="17"/>
  <c r="A174" i="11"/>
  <c r="A182" i="11"/>
  <c r="B185" i="11" s="1"/>
  <c r="B122" i="56"/>
  <c r="A124" i="56" s="1"/>
  <c r="A180" i="57" s="1"/>
  <c r="L84" i="57"/>
  <c r="B55" i="56"/>
  <c r="B56" i="56"/>
  <c r="I91" i="57" s="1"/>
  <c r="U68" i="57" s="1"/>
  <c r="AC68" i="57" s="1"/>
  <c r="I1015" i="57" s="1"/>
  <c r="H1015" i="57" s="1"/>
  <c r="G1015" i="57" s="1"/>
  <c r="J117" i="56"/>
  <c r="J116" i="56"/>
  <c r="J115" i="56"/>
  <c r="J114" i="56"/>
  <c r="G117" i="56"/>
  <c r="G116" i="56"/>
  <c r="G115" i="56"/>
  <c r="G114" i="56"/>
  <c r="D117" i="56"/>
  <c r="D116" i="56"/>
  <c r="D115" i="56"/>
  <c r="D114" i="56"/>
  <c r="I106" i="57"/>
  <c r="U83" i="57" s="1"/>
  <c r="AC83" i="57" s="1"/>
  <c r="G105" i="57"/>
  <c r="G104" i="57"/>
  <c r="G103" i="57"/>
  <c r="G102" i="57"/>
  <c r="G101" i="57"/>
  <c r="I101" i="57"/>
  <c r="U78" i="57" s="1"/>
  <c r="AC78" i="57" s="1"/>
  <c r="I1025" i="57" s="1"/>
  <c r="H1025" i="57" s="1"/>
  <c r="G1025" i="57" s="1"/>
  <c r="A105" i="57"/>
  <c r="A104" i="57"/>
  <c r="A103" i="57"/>
  <c r="A102" i="57"/>
  <c r="A101" i="57"/>
  <c r="A99" i="57"/>
  <c r="G100" i="57"/>
  <c r="G99" i="57"/>
  <c r="G96" i="57"/>
  <c r="A96" i="57"/>
  <c r="G92" i="57"/>
  <c r="D56" i="56"/>
  <c r="I90" i="57" s="1"/>
  <c r="U67" i="57" s="1"/>
  <c r="AC67" i="57" s="1"/>
  <c r="I1014" i="57" s="1"/>
  <c r="H1014" i="57" s="1"/>
  <c r="G1014" i="57" s="1"/>
  <c r="G90" i="57"/>
  <c r="G91" i="57"/>
  <c r="G57" i="57"/>
  <c r="G59" i="57"/>
  <c r="G58" i="57"/>
  <c r="G56" i="57"/>
  <c r="G55" i="57"/>
  <c r="G54" i="57"/>
  <c r="G53" i="57"/>
  <c r="G52" i="57"/>
  <c r="G50" i="57"/>
  <c r="A51" i="57"/>
  <c r="A52" i="57"/>
  <c r="A53" i="57"/>
  <c r="A54" i="57"/>
  <c r="A55" i="57"/>
  <c r="A56" i="57"/>
  <c r="A57" i="57"/>
  <c r="A58" i="57"/>
  <c r="A59" i="57"/>
  <c r="A50" i="57"/>
  <c r="I109" i="57"/>
  <c r="U86" i="57" s="1"/>
  <c r="AC86" i="57" s="1"/>
  <c r="I108" i="57"/>
  <c r="U85" i="57" s="1"/>
  <c r="AC85" i="57" s="1"/>
  <c r="I107" i="57"/>
  <c r="U84" i="57" s="1"/>
  <c r="AC84" i="57" s="1"/>
  <c r="F98" i="56"/>
  <c r="I105" i="57" s="1"/>
  <c r="U82" i="57" s="1"/>
  <c r="AC82" i="57" s="1"/>
  <c r="E98" i="56"/>
  <c r="I104" i="57" s="1"/>
  <c r="U81" i="57" s="1"/>
  <c r="AC81" i="57" s="1"/>
  <c r="D98" i="56"/>
  <c r="I103" i="57" s="1"/>
  <c r="U80" i="57" s="1"/>
  <c r="AC80" i="57" s="1"/>
  <c r="I1027" i="57" s="1"/>
  <c r="H1027" i="57" s="1"/>
  <c r="G1027" i="57" s="1"/>
  <c r="C98" i="56"/>
  <c r="I102" i="57" s="1"/>
  <c r="U79" i="57" s="1"/>
  <c r="AC79" i="57" s="1"/>
  <c r="I1026" i="57" s="1"/>
  <c r="H1026" i="57" s="1"/>
  <c r="G1026" i="57" s="1"/>
  <c r="E84" i="56"/>
  <c r="D88" i="56"/>
  <c r="I99" i="57" s="1"/>
  <c r="D78" i="56"/>
  <c r="D80" i="56" s="1"/>
  <c r="I98" i="57" s="1"/>
  <c r="C78" i="56"/>
  <c r="C80" i="56" s="1"/>
  <c r="I97" i="57" s="1"/>
  <c r="G62" i="56"/>
  <c r="F65" i="56" s="1"/>
  <c r="I95" i="57" s="1"/>
  <c r="E62" i="56"/>
  <c r="D65" i="56" s="1"/>
  <c r="I94" i="57" s="1"/>
  <c r="B65" i="56"/>
  <c r="I93" i="57" s="1"/>
  <c r="E69" i="56"/>
  <c r="I96" i="57" s="1"/>
  <c r="D55" i="56"/>
  <c r="C55" i="56"/>
  <c r="C56" i="56" s="1"/>
  <c r="I92" i="57" s="1"/>
  <c r="D37" i="56"/>
  <c r="C37" i="56"/>
  <c r="L96" i="57" l="1"/>
  <c r="U73" i="57"/>
  <c r="AC73" i="57" s="1"/>
  <c r="I1020" i="57" s="1"/>
  <c r="H1020" i="57" s="1"/>
  <c r="L92" i="57"/>
  <c r="U69" i="57"/>
  <c r="AC69" i="57" s="1"/>
  <c r="I1016" i="57" s="1"/>
  <c r="H1016" i="57" s="1"/>
  <c r="L94" i="57"/>
  <c r="U71" i="57"/>
  <c r="AC71" i="57" s="1"/>
  <c r="I1018" i="57" s="1"/>
  <c r="H1018" i="57" s="1"/>
  <c r="L97" i="57"/>
  <c r="U74" i="57"/>
  <c r="AC74" i="57" s="1"/>
  <c r="I1021" i="57" s="1"/>
  <c r="H1021" i="57" s="1"/>
  <c r="G1021" i="57" s="1"/>
  <c r="L99" i="57"/>
  <c r="U76" i="57"/>
  <c r="AC76" i="57" s="1"/>
  <c r="I1023" i="57" s="1"/>
  <c r="H1023" i="57" s="1"/>
  <c r="L93" i="57"/>
  <c r="U70" i="57"/>
  <c r="AC70" i="57" s="1"/>
  <c r="I1017" i="57" s="1"/>
  <c r="H1017" i="57" s="1"/>
  <c r="L95" i="57"/>
  <c r="U72" i="57"/>
  <c r="AC72" i="57" s="1"/>
  <c r="I1019" i="57" s="1"/>
  <c r="H1019" i="57" s="1"/>
  <c r="L98" i="57"/>
  <c r="U75" i="57"/>
  <c r="AC75" i="57" s="1"/>
  <c r="I1022" i="57" s="1"/>
  <c r="H1022" i="57" s="1"/>
  <c r="G1022" i="57" s="1"/>
  <c r="K512" i="52"/>
  <c r="G933" i="56"/>
  <c r="J933" i="56"/>
  <c r="D933" i="56"/>
  <c r="J842" i="56"/>
  <c r="G842" i="56"/>
  <c r="D842" i="56"/>
  <c r="J751" i="56"/>
  <c r="G751" i="56"/>
  <c r="D751" i="56"/>
  <c r="J660" i="56"/>
  <c r="D660" i="56"/>
  <c r="G660" i="56"/>
  <c r="J569" i="56"/>
  <c r="G569" i="56"/>
  <c r="D569" i="56"/>
  <c r="D478" i="56"/>
  <c r="J478" i="56"/>
  <c r="G478" i="56"/>
  <c r="G387" i="56"/>
  <c r="D387" i="56"/>
  <c r="J387" i="56"/>
  <c r="J296" i="56"/>
  <c r="G296" i="56"/>
  <c r="D296" i="56"/>
  <c r="J205" i="56"/>
  <c r="G205" i="56"/>
  <c r="D205" i="56"/>
  <c r="C513" i="52"/>
  <c r="E513" i="52"/>
  <c r="L513" i="52" s="1"/>
  <c r="C322" i="52"/>
  <c r="C208" i="53"/>
  <c r="BY201" i="53"/>
  <c r="CC201" i="53"/>
  <c r="CG201" i="53"/>
  <c r="CK201" i="53"/>
  <c r="CA201" i="53"/>
  <c r="CE201" i="53"/>
  <c r="CI201" i="53"/>
  <c r="CM201" i="53"/>
  <c r="CB201" i="53"/>
  <c r="CJ201" i="53"/>
  <c r="CD201" i="53"/>
  <c r="CL201" i="53"/>
  <c r="BX201" i="53"/>
  <c r="CF201" i="53"/>
  <c r="BZ201" i="53"/>
  <c r="CH201" i="53"/>
  <c r="A202" i="53"/>
  <c r="U202" i="53" s="1"/>
  <c r="V202" i="53" s="1"/>
  <c r="A513" i="52"/>
  <c r="A426" i="52"/>
  <c r="A316" i="52"/>
  <c r="B201" i="53"/>
  <c r="B512" i="52"/>
  <c r="B425" i="52"/>
  <c r="B315" i="52"/>
  <c r="A218" i="39"/>
  <c r="A205" i="39"/>
  <c r="A207" i="39" s="1"/>
  <c r="A87" i="39"/>
  <c r="A93" i="39" s="1"/>
  <c r="A99" i="39" s="1"/>
  <c r="A105" i="39" s="1"/>
  <c r="A111" i="39" s="1"/>
  <c r="A117" i="39" s="1"/>
  <c r="L180" i="57"/>
  <c r="K180" i="57"/>
  <c r="B213" i="56"/>
  <c r="A215" i="56" s="1"/>
  <c r="A276" i="57" s="1"/>
  <c r="D109" i="56"/>
  <c r="J109" i="56"/>
  <c r="G109" i="56"/>
  <c r="L104" i="57"/>
  <c r="K104" i="57"/>
  <c r="L105" i="57"/>
  <c r="K105" i="57"/>
  <c r="L101" i="57"/>
  <c r="K101" i="57"/>
  <c r="L102" i="57"/>
  <c r="K102" i="57"/>
  <c r="L103" i="57"/>
  <c r="K103" i="57"/>
  <c r="L106" i="57"/>
  <c r="L108" i="57"/>
  <c r="L109" i="57"/>
  <c r="L107" i="57"/>
  <c r="B37" i="56"/>
  <c r="I89" i="57" s="1"/>
  <c r="E17" i="56"/>
  <c r="G60" i="57" s="1"/>
  <c r="A80" i="32"/>
  <c r="A86" i="32" s="1"/>
  <c r="A92" i="32" s="1"/>
  <c r="A98" i="32" s="1"/>
  <c r="A104" i="32" s="1"/>
  <c r="A110" i="32" s="1"/>
  <c r="A116" i="32" s="1"/>
  <c r="A129" i="32" s="1"/>
  <c r="J154" i="32"/>
  <c r="F66" i="32"/>
  <c r="K91" i="57"/>
  <c r="L91" i="57"/>
  <c r="K90" i="57"/>
  <c r="L90" i="57"/>
  <c r="E87" i="56"/>
  <c r="E88" i="56" s="1"/>
  <c r="I100" i="57" s="1"/>
  <c r="L113" i="57"/>
  <c r="G104" i="56"/>
  <c r="L112" i="57"/>
  <c r="L111" i="57"/>
  <c r="G98" i="57"/>
  <c r="G89" i="57"/>
  <c r="G97" i="57"/>
  <c r="A100" i="57"/>
  <c r="K92" i="57"/>
  <c r="I37" i="57"/>
  <c r="G37" i="57"/>
  <c r="D37" i="57"/>
  <c r="A37" i="57"/>
  <c r="L89" i="57" l="1"/>
  <c r="U66" i="57"/>
  <c r="AC66" i="57" s="1"/>
  <c r="I1013" i="57" s="1"/>
  <c r="H1013" i="57" s="1"/>
  <c r="G1013" i="57" s="1"/>
  <c r="L100" i="57"/>
  <c r="U77" i="57"/>
  <c r="AC77" i="57" s="1"/>
  <c r="I1024" i="57" s="1"/>
  <c r="H1024" i="57" s="1"/>
  <c r="K513" i="52"/>
  <c r="C514" i="52"/>
  <c r="E514" i="52"/>
  <c r="L514" i="52" s="1"/>
  <c r="C209" i="53"/>
  <c r="C323" i="52"/>
  <c r="BY202" i="53"/>
  <c r="CC202" i="53"/>
  <c r="CG202" i="53"/>
  <c r="CK202" i="53"/>
  <c r="CA202" i="53"/>
  <c r="CE202" i="53"/>
  <c r="CI202" i="53"/>
  <c r="CM202" i="53"/>
  <c r="CB202" i="53"/>
  <c r="CJ202" i="53"/>
  <c r="CD202" i="53"/>
  <c r="CL202" i="53"/>
  <c r="BX202" i="53"/>
  <c r="CF202" i="53"/>
  <c r="BZ202" i="53"/>
  <c r="CH202" i="53"/>
  <c r="B202" i="53"/>
  <c r="B513" i="52"/>
  <c r="B426" i="52"/>
  <c r="B316" i="52"/>
  <c r="A203" i="53"/>
  <c r="U203" i="53" s="1"/>
  <c r="V203" i="53" s="1"/>
  <c r="A514" i="52"/>
  <c r="A427" i="52"/>
  <c r="A317" i="52"/>
  <c r="J232" i="39"/>
  <c r="F232" i="39"/>
  <c r="A209" i="39"/>
  <c r="A220" i="39"/>
  <c r="A222" i="39"/>
  <c r="L276" i="57"/>
  <c r="K276" i="57"/>
  <c r="K210" i="57"/>
  <c r="K211" i="57" s="1"/>
  <c r="K212" i="57" s="1"/>
  <c r="K189" i="57"/>
  <c r="K190" i="57" s="1"/>
  <c r="K191" i="57" s="1"/>
  <c r="K192" i="57" s="1"/>
  <c r="K193" i="57" s="1"/>
  <c r="K194" i="57" s="1"/>
  <c r="K195" i="57" s="1"/>
  <c r="K196" i="57" s="1"/>
  <c r="K202" i="57"/>
  <c r="K203" i="57" s="1"/>
  <c r="K204" i="57" s="1"/>
  <c r="K205" i="57" s="1"/>
  <c r="K206" i="57" s="1"/>
  <c r="K181" i="57"/>
  <c r="K182" i="57" s="1"/>
  <c r="K183" i="57" s="1"/>
  <c r="K184" i="57" s="1"/>
  <c r="K185" i="57" s="1"/>
  <c r="B304" i="56"/>
  <c r="A306" i="56" s="1"/>
  <c r="A372" i="57" s="1"/>
  <c r="I110" i="57"/>
  <c r="E18" i="56"/>
  <c r="G61" i="57" s="1"/>
  <c r="F68" i="32"/>
  <c r="F67" i="32"/>
  <c r="A135" i="32"/>
  <c r="L110" i="57" l="1"/>
  <c r="U87" i="57"/>
  <c r="AC87" i="57" s="1"/>
  <c r="K514" i="52"/>
  <c r="C515" i="52"/>
  <c r="E515" i="52"/>
  <c r="L515" i="52" s="1"/>
  <c r="C324" i="52"/>
  <c r="C210" i="53"/>
  <c r="BY203" i="53"/>
  <c r="CC203" i="53"/>
  <c r="CG203" i="53"/>
  <c r="CK203" i="53"/>
  <c r="CA203" i="53"/>
  <c r="CE203" i="53"/>
  <c r="CI203" i="53"/>
  <c r="CM203" i="53"/>
  <c r="CB203" i="53"/>
  <c r="CJ203" i="53"/>
  <c r="CD203" i="53"/>
  <c r="CL203" i="53"/>
  <c r="BX203" i="53"/>
  <c r="CF203" i="53"/>
  <c r="BZ203" i="53"/>
  <c r="CH203" i="53"/>
  <c r="A204" i="53"/>
  <c r="U204" i="53" s="1"/>
  <c r="V204" i="53" s="1"/>
  <c r="A515" i="52"/>
  <c r="A428" i="52"/>
  <c r="A318" i="52"/>
  <c r="B203" i="53"/>
  <c r="B427" i="52"/>
  <c r="B514" i="52"/>
  <c r="B317" i="52"/>
  <c r="K306" i="57"/>
  <c r="K307" i="57" s="1"/>
  <c r="K308" i="57" s="1"/>
  <c r="K277" i="57"/>
  <c r="K278" i="57" s="1"/>
  <c r="K279" i="57" s="1"/>
  <c r="K280" i="57" s="1"/>
  <c r="K281" i="57" s="1"/>
  <c r="K298" i="57"/>
  <c r="K299" i="57" s="1"/>
  <c r="K300" i="57" s="1"/>
  <c r="K301" i="57" s="1"/>
  <c r="K302" i="57" s="1"/>
  <c r="K285" i="57"/>
  <c r="K286" i="57" s="1"/>
  <c r="K287" i="57" s="1"/>
  <c r="K288" i="57" s="1"/>
  <c r="K289" i="57" s="1"/>
  <c r="K290" i="57" s="1"/>
  <c r="K291" i="57" s="1"/>
  <c r="K292" i="57" s="1"/>
  <c r="K372" i="57"/>
  <c r="L372" i="57"/>
  <c r="B395" i="56"/>
  <c r="A397" i="56" s="1"/>
  <c r="A468" i="57" s="1"/>
  <c r="A149" i="32"/>
  <c r="A147" i="32"/>
  <c r="K172" i="11"/>
  <c r="J172" i="11"/>
  <c r="H181" i="32" s="1"/>
  <c r="K181" i="32" s="1"/>
  <c r="I172" i="11"/>
  <c r="H172" i="11"/>
  <c r="G172" i="11"/>
  <c r="F172" i="11"/>
  <c r="H177" i="32" s="1"/>
  <c r="K177" i="32" s="1"/>
  <c r="E172" i="11"/>
  <c r="D172" i="11"/>
  <c r="C172" i="11"/>
  <c r="K181" i="11"/>
  <c r="K182" i="11" s="1"/>
  <c r="J181" i="11"/>
  <c r="J182" i="11" s="1"/>
  <c r="I181" i="11"/>
  <c r="I182" i="11" s="1"/>
  <c r="H181" i="11"/>
  <c r="H182" i="11" s="1"/>
  <c r="G181" i="11"/>
  <c r="G182" i="11" s="1"/>
  <c r="F181" i="11"/>
  <c r="F182" i="11" s="1"/>
  <c r="E181" i="11"/>
  <c r="E182" i="11" s="1"/>
  <c r="D181" i="11"/>
  <c r="D182" i="11" s="1"/>
  <c r="C181" i="11"/>
  <c r="C182" i="11" s="1"/>
  <c r="B172" i="11"/>
  <c r="B182" i="11"/>
  <c r="H173" i="32" l="1"/>
  <c r="K173" i="32" s="1"/>
  <c r="B174" i="11"/>
  <c r="K174" i="32"/>
  <c r="H175" i="32"/>
  <c r="K175" i="32" s="1"/>
  <c r="K515" i="52"/>
  <c r="J191" i="32"/>
  <c r="J184" i="32"/>
  <c r="J187" i="32"/>
  <c r="J185" i="32"/>
  <c r="J186" i="32"/>
  <c r="J192" i="32"/>
  <c r="J188" i="32"/>
  <c r="J189" i="32"/>
  <c r="J183" i="32"/>
  <c r="J190" i="32"/>
  <c r="C516" i="52"/>
  <c r="E516" i="52"/>
  <c r="L516" i="52" s="1"/>
  <c r="C211" i="53"/>
  <c r="C325" i="52"/>
  <c r="BY204" i="53"/>
  <c r="CC204" i="53"/>
  <c r="CG204" i="53"/>
  <c r="CK204" i="53"/>
  <c r="CA204" i="53"/>
  <c r="CE204" i="53"/>
  <c r="CI204" i="53"/>
  <c r="CM204" i="53"/>
  <c r="CB204" i="53"/>
  <c r="CJ204" i="53"/>
  <c r="CD204" i="53"/>
  <c r="CL204" i="53"/>
  <c r="BX204" i="53"/>
  <c r="CF204" i="53"/>
  <c r="BZ204" i="53"/>
  <c r="CH204" i="53"/>
  <c r="B204" i="53"/>
  <c r="B515" i="52"/>
  <c r="B428" i="52"/>
  <c r="B318" i="52"/>
  <c r="A205" i="53"/>
  <c r="U205" i="53" s="1"/>
  <c r="V205" i="53" s="1"/>
  <c r="A516" i="52"/>
  <c r="A319" i="52"/>
  <c r="A429" i="52"/>
  <c r="C174" i="11"/>
  <c r="E174" i="11"/>
  <c r="G174" i="11"/>
  <c r="I174" i="11"/>
  <c r="K174" i="11"/>
  <c r="D174" i="11"/>
  <c r="F174" i="11"/>
  <c r="H174" i="11"/>
  <c r="J174" i="11"/>
  <c r="M172" i="11"/>
  <c r="L172" i="11"/>
  <c r="L468" i="57"/>
  <c r="K468" i="57"/>
  <c r="K402" i="57"/>
  <c r="K403" i="57" s="1"/>
  <c r="K404" i="57" s="1"/>
  <c r="K373" i="57"/>
  <c r="K374" i="57" s="1"/>
  <c r="K375" i="57" s="1"/>
  <c r="K376" i="57" s="1"/>
  <c r="K377" i="57" s="1"/>
  <c r="K394" i="57"/>
  <c r="K395" i="57" s="1"/>
  <c r="K396" i="57" s="1"/>
  <c r="K397" i="57" s="1"/>
  <c r="K398" i="57" s="1"/>
  <c r="K381" i="57"/>
  <c r="K382" i="57" s="1"/>
  <c r="K383" i="57" s="1"/>
  <c r="K384" i="57" s="1"/>
  <c r="K385" i="57" s="1"/>
  <c r="K386" i="57" s="1"/>
  <c r="K387" i="57" s="1"/>
  <c r="K388" i="57" s="1"/>
  <c r="B486" i="56"/>
  <c r="A488" i="56" s="1"/>
  <c r="A564" i="57" s="1"/>
  <c r="L178" i="11"/>
  <c r="L179" i="11" s="1"/>
  <c r="M178" i="11"/>
  <c r="M179" i="11" s="1"/>
  <c r="K172" i="32" l="1"/>
  <c r="K516" i="52"/>
  <c r="K171" i="32"/>
  <c r="K245" i="32" s="1"/>
  <c r="H190" i="32"/>
  <c r="K190" i="32" s="1"/>
  <c r="N190" i="32"/>
  <c r="H189" i="32"/>
  <c r="K189" i="32" s="1"/>
  <c r="N189" i="32"/>
  <c r="H192" i="32"/>
  <c r="K192" i="32" s="1"/>
  <c r="N192" i="32"/>
  <c r="H185" i="32"/>
  <c r="K185" i="32" s="1"/>
  <c r="N185" i="32"/>
  <c r="H184" i="32"/>
  <c r="K184" i="32" s="1"/>
  <c r="N184" i="32"/>
  <c r="H183" i="32"/>
  <c r="K183" i="32" s="1"/>
  <c r="N183" i="32"/>
  <c r="H188" i="32"/>
  <c r="K188" i="32" s="1"/>
  <c r="N188" i="32"/>
  <c r="H186" i="32"/>
  <c r="K186" i="32" s="1"/>
  <c r="N186" i="32"/>
  <c r="H187" i="32"/>
  <c r="K187" i="32" s="1"/>
  <c r="N187" i="32"/>
  <c r="H191" i="32"/>
  <c r="K191" i="32" s="1"/>
  <c r="N191" i="32"/>
  <c r="J178" i="32"/>
  <c r="L173" i="11"/>
  <c r="A171" i="32" s="1"/>
  <c r="J175" i="32"/>
  <c r="J176" i="32"/>
  <c r="M173" i="11"/>
  <c r="A172" i="32" s="1"/>
  <c r="J181" i="32"/>
  <c r="J182" i="32"/>
  <c r="J174" i="32"/>
  <c r="J180" i="32"/>
  <c r="J177" i="32"/>
  <c r="J179" i="32"/>
  <c r="J173" i="32"/>
  <c r="E517" i="52"/>
  <c r="L517" i="52" s="1"/>
  <c r="C517" i="52"/>
  <c r="K265" i="32"/>
  <c r="K266" i="32" s="1"/>
  <c r="K267" i="32" s="1"/>
  <c r="C326" i="52"/>
  <c r="C212" i="53"/>
  <c r="BY205" i="53"/>
  <c r="CC205" i="53"/>
  <c r="CG205" i="53"/>
  <c r="CK205" i="53"/>
  <c r="CA205" i="53"/>
  <c r="CE205" i="53"/>
  <c r="CI205" i="53"/>
  <c r="CM205" i="53"/>
  <c r="CB205" i="53"/>
  <c r="CJ205" i="53"/>
  <c r="CD205" i="53"/>
  <c r="CL205" i="53"/>
  <c r="BX205" i="53"/>
  <c r="CF205" i="53"/>
  <c r="BZ205" i="53"/>
  <c r="CH205" i="53"/>
  <c r="A206" i="53"/>
  <c r="U206" i="53" s="1"/>
  <c r="V206" i="53" s="1"/>
  <c r="A517" i="52"/>
  <c r="A430" i="52"/>
  <c r="A320" i="52"/>
  <c r="B205" i="53"/>
  <c r="B516" i="52"/>
  <c r="B429" i="52"/>
  <c r="B319" i="52"/>
  <c r="L564" i="57"/>
  <c r="K564" i="57"/>
  <c r="K498" i="57"/>
  <c r="K499" i="57" s="1"/>
  <c r="K500" i="57" s="1"/>
  <c r="K490" i="57"/>
  <c r="K491" i="57" s="1"/>
  <c r="K492" i="57" s="1"/>
  <c r="K493" i="57" s="1"/>
  <c r="K494" i="57" s="1"/>
  <c r="K469" i="57"/>
  <c r="K470" i="57" s="1"/>
  <c r="K471" i="57" s="1"/>
  <c r="K472" i="57" s="1"/>
  <c r="K473" i="57" s="1"/>
  <c r="K477" i="57"/>
  <c r="K478" i="57" s="1"/>
  <c r="K479" i="57" s="1"/>
  <c r="K480" i="57" s="1"/>
  <c r="K481" i="57" s="1"/>
  <c r="K482" i="57" s="1"/>
  <c r="K483" i="57" s="1"/>
  <c r="K484" i="57" s="1"/>
  <c r="B577" i="56"/>
  <c r="A579" i="56" s="1"/>
  <c r="A660" i="57" s="1"/>
  <c r="I244" i="32" l="1"/>
  <c r="K517" i="52"/>
  <c r="I238" i="32"/>
  <c r="H238" i="32" s="1"/>
  <c r="C518" i="52"/>
  <c r="E518" i="52"/>
  <c r="L518" i="52" s="1"/>
  <c r="C213" i="53"/>
  <c r="C327" i="52"/>
  <c r="BY206" i="53"/>
  <c r="CC206" i="53"/>
  <c r="CG206" i="53"/>
  <c r="CK206" i="53"/>
  <c r="CA206" i="53"/>
  <c r="CE206" i="53"/>
  <c r="CI206" i="53"/>
  <c r="CM206" i="53"/>
  <c r="CB206" i="53"/>
  <c r="CJ206" i="53"/>
  <c r="CD206" i="53"/>
  <c r="CL206" i="53"/>
  <c r="BX206" i="53"/>
  <c r="CF206" i="53"/>
  <c r="BZ206" i="53"/>
  <c r="CH206" i="53"/>
  <c r="B206" i="53"/>
  <c r="B517" i="52"/>
  <c r="B430" i="52"/>
  <c r="B320" i="52"/>
  <c r="A207" i="53"/>
  <c r="U207" i="53" s="1"/>
  <c r="V207" i="53" s="1"/>
  <c r="A518" i="52"/>
  <c r="A431" i="52"/>
  <c r="A321" i="52"/>
  <c r="K367" i="32"/>
  <c r="K368" i="32" s="1"/>
  <c r="B668" i="56"/>
  <c r="A670" i="56" s="1"/>
  <c r="A756" i="57" s="1"/>
  <c r="K660" i="57"/>
  <c r="L660" i="57"/>
  <c r="K594" i="57"/>
  <c r="K595" i="57" s="1"/>
  <c r="K596" i="57" s="1"/>
  <c r="K573" i="57"/>
  <c r="K574" i="57" s="1"/>
  <c r="K575" i="57" s="1"/>
  <c r="K576" i="57" s="1"/>
  <c r="K577" i="57" s="1"/>
  <c r="K578" i="57" s="1"/>
  <c r="K579" i="57" s="1"/>
  <c r="K580" i="57" s="1"/>
  <c r="K565" i="57"/>
  <c r="K566" i="57" s="1"/>
  <c r="K567" i="57" s="1"/>
  <c r="K568" i="57" s="1"/>
  <c r="K569" i="57" s="1"/>
  <c r="K586" i="57"/>
  <c r="K587" i="57" s="1"/>
  <c r="K588" i="57" s="1"/>
  <c r="K589" i="57" s="1"/>
  <c r="K590" i="57" s="1"/>
  <c r="L244" i="32" l="1"/>
  <c r="H244" i="32"/>
  <c r="L242" i="32"/>
  <c r="K518" i="52"/>
  <c r="E519" i="52"/>
  <c r="L519" i="52" s="1"/>
  <c r="C519" i="52"/>
  <c r="C328" i="52"/>
  <c r="C214" i="53"/>
  <c r="BY207" i="53"/>
  <c r="CC207" i="53"/>
  <c r="CG207" i="53"/>
  <c r="CK207" i="53"/>
  <c r="CA207" i="53"/>
  <c r="CE207" i="53"/>
  <c r="CI207" i="53"/>
  <c r="CM207" i="53"/>
  <c r="CB207" i="53"/>
  <c r="CJ207" i="53"/>
  <c r="CD207" i="53"/>
  <c r="CL207" i="53"/>
  <c r="BX207" i="53"/>
  <c r="CF207" i="53"/>
  <c r="BZ207" i="53"/>
  <c r="CH207" i="53"/>
  <c r="A208" i="53"/>
  <c r="U208" i="53" s="1"/>
  <c r="V208" i="53" s="1"/>
  <c r="A519" i="52"/>
  <c r="A432" i="52"/>
  <c r="A322" i="52"/>
  <c r="B207" i="53"/>
  <c r="B518" i="52"/>
  <c r="B431" i="52"/>
  <c r="B321" i="52"/>
  <c r="K690" i="57"/>
  <c r="K691" i="57" s="1"/>
  <c r="K692" i="57" s="1"/>
  <c r="K682" i="57"/>
  <c r="K683" i="57" s="1"/>
  <c r="K684" i="57" s="1"/>
  <c r="K685" i="57" s="1"/>
  <c r="K686" i="57" s="1"/>
  <c r="K669" i="57"/>
  <c r="K670" i="57" s="1"/>
  <c r="K671" i="57" s="1"/>
  <c r="K672" i="57" s="1"/>
  <c r="K673" i="57" s="1"/>
  <c r="K674" i="57" s="1"/>
  <c r="K675" i="57" s="1"/>
  <c r="K676" i="57" s="1"/>
  <c r="K661" i="57"/>
  <c r="K662" i="57" s="1"/>
  <c r="K663" i="57" s="1"/>
  <c r="K664" i="57" s="1"/>
  <c r="K665" i="57" s="1"/>
  <c r="B759" i="56"/>
  <c r="A761" i="56" s="1"/>
  <c r="A852" i="57" s="1"/>
  <c r="L756" i="57"/>
  <c r="K756" i="57"/>
  <c r="G84" i="43"/>
  <c r="G78" i="43"/>
  <c r="K519" i="52" l="1"/>
  <c r="E520" i="52"/>
  <c r="L520" i="52" s="1"/>
  <c r="C520" i="52"/>
  <c r="C215" i="53"/>
  <c r="C329" i="52"/>
  <c r="BY208" i="53"/>
  <c r="CC208" i="53"/>
  <c r="CG208" i="53"/>
  <c r="CK208" i="53"/>
  <c r="CA208" i="53"/>
  <c r="CE208" i="53"/>
  <c r="CI208" i="53"/>
  <c r="CM208" i="53"/>
  <c r="CB208" i="53"/>
  <c r="CJ208" i="53"/>
  <c r="CD208" i="53"/>
  <c r="CL208" i="53"/>
  <c r="BX208" i="53"/>
  <c r="CF208" i="53"/>
  <c r="BZ208" i="53"/>
  <c r="CH208" i="53"/>
  <c r="B208" i="53"/>
  <c r="B519" i="52"/>
  <c r="B432" i="52"/>
  <c r="B322" i="52"/>
  <c r="A209" i="53"/>
  <c r="U209" i="53" s="1"/>
  <c r="V209" i="53" s="1"/>
  <c r="A520" i="52"/>
  <c r="A323" i="52"/>
  <c r="A433" i="52"/>
  <c r="B850" i="56"/>
  <c r="A852" i="56" s="1"/>
  <c r="A948" i="57" s="1"/>
  <c r="K852" i="57"/>
  <c r="L852" i="57"/>
  <c r="K786" i="57"/>
  <c r="K787" i="57" s="1"/>
  <c r="K788" i="57" s="1"/>
  <c r="K765" i="57"/>
  <c r="K766" i="57" s="1"/>
  <c r="K767" i="57" s="1"/>
  <c r="K768" i="57" s="1"/>
  <c r="K769" i="57" s="1"/>
  <c r="K770" i="57" s="1"/>
  <c r="K771" i="57" s="1"/>
  <c r="K772" i="57" s="1"/>
  <c r="K757" i="57"/>
  <c r="K758" i="57" s="1"/>
  <c r="K759" i="57" s="1"/>
  <c r="K760" i="57" s="1"/>
  <c r="K761" i="57" s="1"/>
  <c r="K778" i="57"/>
  <c r="K779" i="57" s="1"/>
  <c r="K780" i="57" s="1"/>
  <c r="K781" i="57" s="1"/>
  <c r="K782" i="57" s="1"/>
  <c r="J172" i="32"/>
  <c r="N172" i="32" s="1"/>
  <c r="J171" i="32"/>
  <c r="N171" i="32" s="1"/>
  <c r="J170" i="32"/>
  <c r="J169" i="32"/>
  <c r="I245" i="32" l="1"/>
  <c r="K520" i="52"/>
  <c r="L170" i="32"/>
  <c r="N170" i="32"/>
  <c r="L169" i="32"/>
  <c r="K354" i="32" s="1"/>
  <c r="N169" i="32"/>
  <c r="E521" i="52"/>
  <c r="L521" i="52" s="1"/>
  <c r="C521" i="52"/>
  <c r="C330" i="52"/>
  <c r="C216" i="53"/>
  <c r="BY209" i="53"/>
  <c r="CC209" i="53"/>
  <c r="CG209" i="53"/>
  <c r="CK209" i="53"/>
  <c r="CA209" i="53"/>
  <c r="CE209" i="53"/>
  <c r="CI209" i="53"/>
  <c r="CM209" i="53"/>
  <c r="CB209" i="53"/>
  <c r="CJ209" i="53"/>
  <c r="CD209" i="53"/>
  <c r="CL209" i="53"/>
  <c r="BX209" i="53"/>
  <c r="CF209" i="53"/>
  <c r="BZ209" i="53"/>
  <c r="CH209" i="53"/>
  <c r="A210" i="53"/>
  <c r="U210" i="53" s="1"/>
  <c r="V210" i="53" s="1"/>
  <c r="A521" i="52"/>
  <c r="A434" i="52"/>
  <c r="A324" i="52"/>
  <c r="B209" i="53"/>
  <c r="B520" i="52"/>
  <c r="B323" i="52"/>
  <c r="B433" i="52"/>
  <c r="K352" i="32"/>
  <c r="K353" i="32" s="1"/>
  <c r="H170" i="32"/>
  <c r="K170" i="32" s="1"/>
  <c r="H169" i="32"/>
  <c r="K169" i="32" s="1"/>
  <c r="K882" i="57"/>
  <c r="K883" i="57" s="1"/>
  <c r="K884" i="57" s="1"/>
  <c r="K853" i="57"/>
  <c r="K854" i="57" s="1"/>
  <c r="K855" i="57" s="1"/>
  <c r="K856" i="57" s="1"/>
  <c r="K857" i="57" s="1"/>
  <c r="K874" i="57"/>
  <c r="K875" i="57" s="1"/>
  <c r="K876" i="57" s="1"/>
  <c r="K877" i="57" s="1"/>
  <c r="K878" i="57" s="1"/>
  <c r="K861" i="57"/>
  <c r="K862" i="57" s="1"/>
  <c r="K863" i="57" s="1"/>
  <c r="K864" i="57" s="1"/>
  <c r="K865" i="57" s="1"/>
  <c r="K866" i="57" s="1"/>
  <c r="K867" i="57" s="1"/>
  <c r="K868" i="57" s="1"/>
  <c r="B941" i="56"/>
  <c r="L948" i="57"/>
  <c r="L1041" i="57" s="1"/>
  <c r="K1041" i="57" s="1"/>
  <c r="K1042" i="57" s="1"/>
  <c r="K948" i="57"/>
  <c r="L1043" i="57"/>
  <c r="K1043" i="57" s="1"/>
  <c r="K1044" i="57" s="1"/>
  <c r="G586" i="17"/>
  <c r="F586" i="17"/>
  <c r="E586" i="17"/>
  <c r="D586" i="17"/>
  <c r="C586" i="17"/>
  <c r="B586" i="17"/>
  <c r="L245" i="32" l="1"/>
  <c r="H245" i="32"/>
  <c r="I239" i="32"/>
  <c r="K239" i="32"/>
  <c r="K521" i="52"/>
  <c r="C522" i="52"/>
  <c r="E522" i="52"/>
  <c r="L522" i="52" s="1"/>
  <c r="C217" i="53"/>
  <c r="C331" i="52"/>
  <c r="BY210" i="53"/>
  <c r="CC210" i="53"/>
  <c r="CG210" i="53"/>
  <c r="CK210" i="53"/>
  <c r="CA210" i="53"/>
  <c r="CE210" i="53"/>
  <c r="CI210" i="53"/>
  <c r="CM210" i="53"/>
  <c r="CB210" i="53"/>
  <c r="CJ210" i="53"/>
  <c r="CD210" i="53"/>
  <c r="CL210" i="53"/>
  <c r="BX210" i="53"/>
  <c r="CF210" i="53"/>
  <c r="BZ210" i="53"/>
  <c r="CH210" i="53"/>
  <c r="B210" i="53"/>
  <c r="B521" i="52"/>
  <c r="B434" i="52"/>
  <c r="B324" i="52"/>
  <c r="A211" i="53"/>
  <c r="U211" i="53" s="1"/>
  <c r="V211" i="53" s="1"/>
  <c r="A522" i="52"/>
  <c r="A435" i="52"/>
  <c r="A325" i="52"/>
  <c r="L1047" i="57"/>
  <c r="K1047" i="57" s="1"/>
  <c r="K1048" i="57" s="1"/>
  <c r="K1049" i="57" s="1"/>
  <c r="L1050" i="57"/>
  <c r="K1050" i="57" s="1"/>
  <c r="K1051" i="57" s="1"/>
  <c r="L1037" i="57"/>
  <c r="K1037" i="57" s="1"/>
  <c r="K1038" i="57" s="1"/>
  <c r="K978" i="57"/>
  <c r="K979" i="57" s="1"/>
  <c r="K980" i="57" s="1"/>
  <c r="K949" i="57"/>
  <c r="K950" i="57" s="1"/>
  <c r="K951" i="57" s="1"/>
  <c r="K952" i="57" s="1"/>
  <c r="K953" i="57" s="1"/>
  <c r="K970" i="57"/>
  <c r="K971" i="57" s="1"/>
  <c r="K972" i="57" s="1"/>
  <c r="K973" i="57" s="1"/>
  <c r="K974" i="57" s="1"/>
  <c r="K957" i="57"/>
  <c r="K958" i="57" s="1"/>
  <c r="K959" i="57" s="1"/>
  <c r="K960" i="57" s="1"/>
  <c r="K961" i="57" s="1"/>
  <c r="K962" i="57" s="1"/>
  <c r="K963" i="57" s="1"/>
  <c r="K964" i="57" s="1"/>
  <c r="L998" i="57"/>
  <c r="K998" i="57" s="1"/>
  <c r="K999" i="57" s="1"/>
  <c r="K1000" i="57" s="1"/>
  <c r="L1057" i="57"/>
  <c r="K1057" i="57" s="1"/>
  <c r="K1058" i="57" s="1"/>
  <c r="L1035" i="57"/>
  <c r="K1035" i="57" s="1"/>
  <c r="K1036" i="57" s="1"/>
  <c r="L1055" i="57"/>
  <c r="K1055" i="57" s="1"/>
  <c r="K1056" i="57" s="1"/>
  <c r="L1039" i="57"/>
  <c r="K1039" i="57" s="1"/>
  <c r="K1040" i="57" s="1"/>
  <c r="L1052" i="57"/>
  <c r="K1052" i="57" s="1"/>
  <c r="K1053" i="57" s="1"/>
  <c r="K1054" i="57" s="1"/>
  <c r="L1033" i="57"/>
  <c r="K1033" i="57" s="1"/>
  <c r="L1045" i="57"/>
  <c r="K1045" i="57" s="1"/>
  <c r="K1046" i="57" s="1"/>
  <c r="L243" i="32" l="1"/>
  <c r="A375" i="32" s="1"/>
  <c r="H239" i="32"/>
  <c r="K522" i="52"/>
  <c r="C523" i="52"/>
  <c r="E523" i="52"/>
  <c r="L523" i="52" s="1"/>
  <c r="C332" i="52"/>
  <c r="C218" i="53"/>
  <c r="BY211" i="53"/>
  <c r="CC211" i="53"/>
  <c r="CA211" i="53"/>
  <c r="CB211" i="53"/>
  <c r="CG211" i="53"/>
  <c r="CK211" i="53"/>
  <c r="CD211" i="53"/>
  <c r="CH211" i="53"/>
  <c r="CL211" i="53"/>
  <c r="BX211" i="53"/>
  <c r="CE211" i="53"/>
  <c r="CI211" i="53"/>
  <c r="CM211" i="53"/>
  <c r="BZ211" i="53"/>
  <c r="CF211" i="53"/>
  <c r="CJ211" i="53"/>
  <c r="A212" i="53"/>
  <c r="U212" i="53" s="1"/>
  <c r="V212" i="53" s="1"/>
  <c r="A523" i="52"/>
  <c r="A326" i="52"/>
  <c r="A436" i="52"/>
  <c r="B211" i="53"/>
  <c r="B522" i="52"/>
  <c r="B435" i="52"/>
  <c r="B325" i="52"/>
  <c r="K1034" i="57"/>
  <c r="K523" i="52" l="1"/>
  <c r="C524" i="52"/>
  <c r="E524" i="52"/>
  <c r="L524" i="52" s="1"/>
  <c r="C219" i="53"/>
  <c r="C333" i="52"/>
  <c r="BY212" i="53"/>
  <c r="CC212" i="53"/>
  <c r="CG212" i="53"/>
  <c r="CK212" i="53"/>
  <c r="BZ212" i="53"/>
  <c r="CD212" i="53"/>
  <c r="CH212" i="53"/>
  <c r="CL212" i="53"/>
  <c r="CA212" i="53"/>
  <c r="CE212" i="53"/>
  <c r="CI212" i="53"/>
  <c r="CM212" i="53"/>
  <c r="BX212" i="53"/>
  <c r="CB212" i="53"/>
  <c r="CF212" i="53"/>
  <c r="CJ212" i="53"/>
  <c r="B212" i="53"/>
  <c r="B523" i="52"/>
  <c r="B436" i="52"/>
  <c r="B326" i="52"/>
  <c r="A213" i="53"/>
  <c r="U213" i="53" s="1"/>
  <c r="V213" i="53" s="1"/>
  <c r="A524" i="52"/>
  <c r="A437" i="52"/>
  <c r="A327" i="52"/>
  <c r="K1032" i="57"/>
  <c r="K1060" i="57"/>
  <c r="K524" i="52" l="1"/>
  <c r="C525" i="52"/>
  <c r="E525" i="52"/>
  <c r="L525" i="52" s="1"/>
  <c r="K1062" i="57"/>
  <c r="K1064" i="57" s="1"/>
  <c r="C334" i="52"/>
  <c r="C220" i="53"/>
  <c r="BY213" i="53"/>
  <c r="CC213" i="53"/>
  <c r="CG213" i="53"/>
  <c r="CK213" i="53"/>
  <c r="BZ213" i="53"/>
  <c r="CD213" i="53"/>
  <c r="CH213" i="53"/>
  <c r="CL213" i="53"/>
  <c r="CA213" i="53"/>
  <c r="CE213" i="53"/>
  <c r="CI213" i="53"/>
  <c r="CM213" i="53"/>
  <c r="BX213" i="53"/>
  <c r="CB213" i="53"/>
  <c r="CF213" i="53"/>
  <c r="CJ213" i="53"/>
  <c r="A214" i="53"/>
  <c r="U214" i="53" s="1"/>
  <c r="V214" i="53" s="1"/>
  <c r="A525" i="52"/>
  <c r="A438" i="52"/>
  <c r="A328" i="52"/>
  <c r="B213" i="53"/>
  <c r="B524" i="52"/>
  <c r="B437" i="52"/>
  <c r="B327" i="52"/>
  <c r="P69" i="14"/>
  <c r="N69" i="14"/>
  <c r="N68" i="14"/>
  <c r="N67" i="14"/>
  <c r="K525" i="52" l="1"/>
  <c r="C526" i="52"/>
  <c r="E526" i="52"/>
  <c r="L526" i="52" s="1"/>
  <c r="C221" i="53"/>
  <c r="C335" i="52"/>
  <c r="BY214" i="53"/>
  <c r="CC214" i="53"/>
  <c r="CG214" i="53"/>
  <c r="CK214" i="53"/>
  <c r="BZ214" i="53"/>
  <c r="CD214" i="53"/>
  <c r="CH214" i="53"/>
  <c r="CL214" i="53"/>
  <c r="CA214" i="53"/>
  <c r="CE214" i="53"/>
  <c r="CI214" i="53"/>
  <c r="CM214" i="53"/>
  <c r="BX214" i="53"/>
  <c r="CB214" i="53"/>
  <c r="CF214" i="53"/>
  <c r="CJ214" i="53"/>
  <c r="B214" i="53"/>
  <c r="B525" i="52"/>
  <c r="B438" i="52"/>
  <c r="B328" i="52"/>
  <c r="A215" i="53"/>
  <c r="U215" i="53" s="1"/>
  <c r="V215" i="53" s="1"/>
  <c r="A526" i="52"/>
  <c r="A439" i="52"/>
  <c r="A329" i="52"/>
  <c r="K526" i="52" l="1"/>
  <c r="E527" i="52"/>
  <c r="L527" i="52" s="1"/>
  <c r="C527" i="52"/>
  <c r="C336" i="52"/>
  <c r="C222" i="53"/>
  <c r="BY215" i="53"/>
  <c r="CC215" i="53"/>
  <c r="CG215" i="53"/>
  <c r="CK215" i="53"/>
  <c r="BZ215" i="53"/>
  <c r="CD215" i="53"/>
  <c r="CH215" i="53"/>
  <c r="CL215" i="53"/>
  <c r="BX215" i="53"/>
  <c r="CB215" i="53"/>
  <c r="CF215" i="53"/>
  <c r="CJ215" i="53"/>
  <c r="CM215" i="53"/>
  <c r="CA215" i="53"/>
  <c r="CE215" i="53"/>
  <c r="CI215" i="53"/>
  <c r="A216" i="53"/>
  <c r="U216" i="53" s="1"/>
  <c r="V216" i="53" s="1"/>
  <c r="A527" i="52"/>
  <c r="A440" i="52"/>
  <c r="A330" i="52"/>
  <c r="B215" i="53"/>
  <c r="B526" i="52"/>
  <c r="B439" i="52"/>
  <c r="B329" i="52"/>
  <c r="A164" i="39"/>
  <c r="A165" i="39"/>
  <c r="A166" i="39"/>
  <c r="A163" i="39"/>
  <c r="C585" i="17"/>
  <c r="G585" i="17"/>
  <c r="D585" i="17"/>
  <c r="E585" i="17"/>
  <c r="F585" i="17"/>
  <c r="B585" i="17"/>
  <c r="K527" i="52" l="1"/>
  <c r="E528" i="52"/>
  <c r="L528" i="52" s="1"/>
  <c r="C528" i="52"/>
  <c r="C223" i="53"/>
  <c r="C337" i="52"/>
  <c r="BY216" i="53"/>
  <c r="CC216" i="53"/>
  <c r="CG216" i="53"/>
  <c r="CK216" i="53"/>
  <c r="BZ216" i="53"/>
  <c r="CD216" i="53"/>
  <c r="CH216" i="53"/>
  <c r="CL216" i="53"/>
  <c r="BX216" i="53"/>
  <c r="CB216" i="53"/>
  <c r="CF216" i="53"/>
  <c r="CJ216" i="53"/>
  <c r="CM216" i="53"/>
  <c r="CA216" i="53"/>
  <c r="CE216" i="53"/>
  <c r="CI216" i="53"/>
  <c r="B216" i="53"/>
  <c r="B527" i="52"/>
  <c r="B440" i="52"/>
  <c r="B330" i="52"/>
  <c r="A217" i="53"/>
  <c r="U217" i="53" s="1"/>
  <c r="V217" i="53" s="1"/>
  <c r="A528" i="52"/>
  <c r="A331" i="52"/>
  <c r="A441" i="52"/>
  <c r="C578" i="17"/>
  <c r="F587" i="17"/>
  <c r="G587" i="17"/>
  <c r="D587" i="17"/>
  <c r="E587" i="17"/>
  <c r="C587" i="17"/>
  <c r="B587" i="17"/>
  <c r="D567" i="17"/>
  <c r="C124" i="40"/>
  <c r="C123" i="40"/>
  <c r="C122" i="40"/>
  <c r="K528" i="52" l="1"/>
  <c r="E529" i="52"/>
  <c r="L529" i="52" s="1"/>
  <c r="C529" i="52"/>
  <c r="C338" i="52"/>
  <c r="C224" i="53"/>
  <c r="BY217" i="53"/>
  <c r="CC217" i="53"/>
  <c r="CG217" i="53"/>
  <c r="CK217" i="53"/>
  <c r="BZ217" i="53"/>
  <c r="CD217" i="53"/>
  <c r="CH217" i="53"/>
  <c r="CL217" i="53"/>
  <c r="BX217" i="53"/>
  <c r="CB217" i="53"/>
  <c r="CF217" i="53"/>
  <c r="CJ217" i="53"/>
  <c r="CM217" i="53"/>
  <c r="CA217" i="53"/>
  <c r="CE217" i="53"/>
  <c r="CI217" i="53"/>
  <c r="A218" i="53"/>
  <c r="U218" i="53" s="1"/>
  <c r="V218" i="53" s="1"/>
  <c r="A529" i="52"/>
  <c r="A442" i="52"/>
  <c r="A332" i="52"/>
  <c r="B217" i="53"/>
  <c r="B528" i="52"/>
  <c r="B331" i="52"/>
  <c r="B441" i="52"/>
  <c r="C588" i="17"/>
  <c r="H257" i="39" s="1"/>
  <c r="F588" i="17"/>
  <c r="H260" i="39" s="1"/>
  <c r="E588" i="17"/>
  <c r="H259" i="39" s="1"/>
  <c r="D588" i="17"/>
  <c r="H258" i="39" s="1"/>
  <c r="G588" i="17"/>
  <c r="H261" i="39" s="1"/>
  <c r="B588" i="17"/>
  <c r="C589" i="17"/>
  <c r="F589" i="17"/>
  <c r="E589" i="17"/>
  <c r="D589" i="17"/>
  <c r="G589" i="17"/>
  <c r="C193" i="17"/>
  <c r="D193" i="17"/>
  <c r="F193" i="17"/>
  <c r="G193" i="17"/>
  <c r="B131" i="17"/>
  <c r="B134" i="17" s="1"/>
  <c r="B195" i="17" s="1"/>
  <c r="D141" i="17"/>
  <c r="C8" i="17"/>
  <c r="C171" i="17"/>
  <c r="G171" i="17"/>
  <c r="B171" i="17"/>
  <c r="F171" i="17"/>
  <c r="D171" i="17"/>
  <c r="E171" i="17"/>
  <c r="D33" i="17"/>
  <c r="B165" i="17"/>
  <c r="K529" i="52" l="1"/>
  <c r="C183" i="17"/>
  <c r="E183" i="17"/>
  <c r="G183" i="17"/>
  <c r="B182" i="17"/>
  <c r="B188" i="17" s="1"/>
  <c r="F183" i="17"/>
  <c r="D183" i="17"/>
  <c r="B183" i="17"/>
  <c r="B189" i="17" s="1"/>
  <c r="C530" i="52"/>
  <c r="E530" i="52"/>
  <c r="L530" i="52" s="1"/>
  <c r="H250" i="39"/>
  <c r="B200" i="17"/>
  <c r="B480" i="17" s="1"/>
  <c r="B524" i="17" s="1"/>
  <c r="H262" i="39" s="1"/>
  <c r="C225" i="53"/>
  <c r="C339" i="52"/>
  <c r="BY218" i="53"/>
  <c r="CC218" i="53"/>
  <c r="CG218" i="53"/>
  <c r="CK218" i="53"/>
  <c r="BZ218" i="53"/>
  <c r="CD218" i="53"/>
  <c r="CH218" i="53"/>
  <c r="CL218" i="53"/>
  <c r="BX218" i="53"/>
  <c r="CB218" i="53"/>
  <c r="CF218" i="53"/>
  <c r="CJ218" i="53"/>
  <c r="CM218" i="53"/>
  <c r="CA218" i="53"/>
  <c r="CE218" i="53"/>
  <c r="CI218" i="53"/>
  <c r="B218" i="53"/>
  <c r="B529" i="52"/>
  <c r="B442" i="52"/>
  <c r="B332" i="52"/>
  <c r="A219" i="53"/>
  <c r="U219" i="53" s="1"/>
  <c r="V219" i="53" s="1"/>
  <c r="A530" i="52"/>
  <c r="A443" i="52"/>
  <c r="A333" i="52"/>
  <c r="B201" i="17"/>
  <c r="C234" i="17"/>
  <c r="F234" i="17"/>
  <c r="G437" i="17"/>
  <c r="E437" i="17"/>
  <c r="C437" i="17"/>
  <c r="G386" i="17"/>
  <c r="E386" i="17"/>
  <c r="C386" i="17"/>
  <c r="G335" i="17"/>
  <c r="E335" i="17"/>
  <c r="C335" i="17"/>
  <c r="G284" i="17"/>
  <c r="E284" i="17"/>
  <c r="C284" i="17"/>
  <c r="G234" i="17"/>
  <c r="E234" i="17"/>
  <c r="G233" i="17"/>
  <c r="E233" i="17"/>
  <c r="C233" i="17"/>
  <c r="C182" i="17"/>
  <c r="C188" i="17" s="1"/>
  <c r="E182" i="17"/>
  <c r="E188" i="17" s="1"/>
  <c r="G182" i="17"/>
  <c r="G188" i="17" s="1"/>
  <c r="F437" i="17"/>
  <c r="D437" i="17"/>
  <c r="B437" i="17"/>
  <c r="F386" i="17"/>
  <c r="D386" i="17"/>
  <c r="B386" i="17"/>
  <c r="F335" i="17"/>
  <c r="D335" i="17"/>
  <c r="B335" i="17"/>
  <c r="F284" i="17"/>
  <c r="D284" i="17"/>
  <c r="B284" i="17"/>
  <c r="D234" i="17"/>
  <c r="B234" i="17"/>
  <c r="F233" i="17"/>
  <c r="D233" i="17"/>
  <c r="B233" i="17"/>
  <c r="D182" i="17"/>
  <c r="D188" i="17" s="1"/>
  <c r="F182" i="17"/>
  <c r="F188" i="17" s="1"/>
  <c r="B187" i="17"/>
  <c r="B184" i="17"/>
  <c r="B589" i="17"/>
  <c r="H256" i="39"/>
  <c r="G180" i="17"/>
  <c r="E181" i="17"/>
  <c r="E187" i="17" s="1"/>
  <c r="F180" i="17"/>
  <c r="E193" i="17"/>
  <c r="F181" i="17"/>
  <c r="F187" i="17" s="1"/>
  <c r="D180" i="17"/>
  <c r="C180" i="17"/>
  <c r="D181" i="17"/>
  <c r="D187" i="17" s="1"/>
  <c r="G181" i="17"/>
  <c r="G187" i="17" s="1"/>
  <c r="C181" i="17"/>
  <c r="C187" i="17" s="1"/>
  <c r="E180" i="17"/>
  <c r="E33" i="17"/>
  <c r="K530" i="52" l="1"/>
  <c r="C531" i="52"/>
  <c r="E531" i="52"/>
  <c r="L531" i="52" s="1"/>
  <c r="B185" i="17"/>
  <c r="B186" i="17"/>
  <c r="B194" i="17" s="1"/>
  <c r="B196" i="17" s="1"/>
  <c r="B297" i="17"/>
  <c r="B246" i="17"/>
  <c r="B255" i="17" s="1"/>
  <c r="B399" i="17"/>
  <c r="B204" i="17"/>
  <c r="B205" i="17" s="1"/>
  <c r="C340" i="52"/>
  <c r="C226" i="53"/>
  <c r="BY219" i="53"/>
  <c r="BZ219" i="53"/>
  <c r="CD219" i="53"/>
  <c r="CH219" i="53"/>
  <c r="CL219" i="53"/>
  <c r="BX219" i="53"/>
  <c r="CB219" i="53"/>
  <c r="CF219" i="53"/>
  <c r="CJ219" i="53"/>
  <c r="CG219" i="53"/>
  <c r="CA219" i="53"/>
  <c r="CI219" i="53"/>
  <c r="CC219" i="53"/>
  <c r="CK219" i="53"/>
  <c r="CE219" i="53"/>
  <c r="CM219" i="53"/>
  <c r="A220" i="53"/>
  <c r="U220" i="53" s="1"/>
  <c r="V220" i="53" s="1"/>
  <c r="A531" i="52"/>
  <c r="A334" i="52"/>
  <c r="A444" i="52"/>
  <c r="B219" i="53"/>
  <c r="B530" i="52"/>
  <c r="B443" i="52"/>
  <c r="B333" i="52"/>
  <c r="B239" i="17"/>
  <c r="B236" i="17"/>
  <c r="F239" i="17"/>
  <c r="F236" i="17"/>
  <c r="D237" i="17"/>
  <c r="D240" i="17"/>
  <c r="B287" i="17"/>
  <c r="B290" i="17"/>
  <c r="F287" i="17"/>
  <c r="F290" i="17"/>
  <c r="D341" i="17"/>
  <c r="D338" i="17"/>
  <c r="B389" i="17"/>
  <c r="B392" i="17"/>
  <c r="F389" i="17"/>
  <c r="F392" i="17"/>
  <c r="D443" i="17"/>
  <c r="D440" i="17"/>
  <c r="C236" i="17"/>
  <c r="C239" i="17"/>
  <c r="G236" i="17"/>
  <c r="G239" i="17"/>
  <c r="E240" i="17"/>
  <c r="E237" i="17"/>
  <c r="C287" i="17"/>
  <c r="C290" i="17"/>
  <c r="G287" i="17"/>
  <c r="G290" i="17"/>
  <c r="E341" i="17"/>
  <c r="E338" i="17"/>
  <c r="C389" i="17"/>
  <c r="C392" i="17"/>
  <c r="G389" i="17"/>
  <c r="G392" i="17"/>
  <c r="E443" i="17"/>
  <c r="E440" i="17"/>
  <c r="D239" i="17"/>
  <c r="D236" i="17"/>
  <c r="B240" i="17"/>
  <c r="B237" i="17"/>
  <c r="F240" i="17"/>
  <c r="F237" i="17"/>
  <c r="D290" i="17"/>
  <c r="D287" i="17"/>
  <c r="B338" i="17"/>
  <c r="B341" i="17"/>
  <c r="F338" i="17"/>
  <c r="F341" i="17"/>
  <c r="D392" i="17"/>
  <c r="D389" i="17"/>
  <c r="B440" i="17"/>
  <c r="B443" i="17"/>
  <c r="F440" i="17"/>
  <c r="F443" i="17"/>
  <c r="E239" i="17"/>
  <c r="E236" i="17"/>
  <c r="C240" i="17"/>
  <c r="C237" i="17"/>
  <c r="G240" i="17"/>
  <c r="G237" i="17"/>
  <c r="E290" i="17"/>
  <c r="E287" i="17"/>
  <c r="C338" i="17"/>
  <c r="C341" i="17"/>
  <c r="G338" i="17"/>
  <c r="G341" i="17"/>
  <c r="E392" i="17"/>
  <c r="E389" i="17"/>
  <c r="C440" i="17"/>
  <c r="C443" i="17"/>
  <c r="G440" i="17"/>
  <c r="G443" i="17"/>
  <c r="B481" i="17"/>
  <c r="B525" i="17" s="1"/>
  <c r="H249" i="39"/>
  <c r="F33" i="17"/>
  <c r="J249" i="39" s="1"/>
  <c r="P249" i="39" s="1"/>
  <c r="I379" i="39" s="1"/>
  <c r="H379" i="39" s="1"/>
  <c r="K531" i="52" l="1"/>
  <c r="C532" i="52"/>
  <c r="E532" i="52"/>
  <c r="L532" i="52" s="1"/>
  <c r="B405" i="17"/>
  <c r="B504" i="17" s="1"/>
  <c r="B404" i="17"/>
  <c r="B503" i="17" s="1"/>
  <c r="B408" i="17"/>
  <c r="B400" i="17"/>
  <c r="B401" i="17"/>
  <c r="B498" i="17" s="1"/>
  <c r="B251" i="17"/>
  <c r="B482" i="17" s="1"/>
  <c r="B526" i="17" s="1"/>
  <c r="H268" i="39" s="1"/>
  <c r="B252" i="17"/>
  <c r="B483" i="17" s="1"/>
  <c r="B527" i="17" s="1"/>
  <c r="J268" i="39" s="1"/>
  <c r="P268" i="39" s="1"/>
  <c r="B248" i="17"/>
  <c r="B477" i="17" s="1"/>
  <c r="B247" i="17"/>
  <c r="B476" i="17" s="1"/>
  <c r="B302" i="17"/>
  <c r="B484" i="17" s="1"/>
  <c r="B528" i="17" s="1"/>
  <c r="H274" i="39" s="1"/>
  <c r="B303" i="17"/>
  <c r="B485" i="17" s="1"/>
  <c r="B529" i="17" s="1"/>
  <c r="J274" i="39" s="1"/>
  <c r="P274" i="39" s="1"/>
  <c r="B306" i="17"/>
  <c r="B299" i="17"/>
  <c r="B479" i="17" s="1"/>
  <c r="B298" i="17"/>
  <c r="B478" i="17" s="1"/>
  <c r="C227" i="53"/>
  <c r="C341" i="52"/>
  <c r="BZ220" i="53"/>
  <c r="CD220" i="53"/>
  <c r="CH220" i="53"/>
  <c r="CL220" i="53"/>
  <c r="BX220" i="53"/>
  <c r="CB220" i="53"/>
  <c r="CF220" i="53"/>
  <c r="CJ220" i="53"/>
  <c r="BY220" i="53"/>
  <c r="CG220" i="53"/>
  <c r="CA220" i="53"/>
  <c r="CI220" i="53"/>
  <c r="CC220" i="53"/>
  <c r="CK220" i="53"/>
  <c r="CE220" i="53"/>
  <c r="CM220" i="53"/>
  <c r="B220" i="53"/>
  <c r="B531" i="52"/>
  <c r="B444" i="52"/>
  <c r="B334" i="52"/>
  <c r="A221" i="53"/>
  <c r="U221" i="53" s="1"/>
  <c r="V221" i="53" s="1"/>
  <c r="A532" i="52"/>
  <c r="A445" i="52"/>
  <c r="A335" i="52"/>
  <c r="B197" i="17"/>
  <c r="B475" i="17" s="1"/>
  <c r="B474" i="17"/>
  <c r="B496" i="17"/>
  <c r="B500" i="17"/>
  <c r="J262" i="39"/>
  <c r="P262" i="39" s="1"/>
  <c r="B285" i="17"/>
  <c r="K249" i="39"/>
  <c r="K517" i="39"/>
  <c r="K518" i="39" s="1"/>
  <c r="B409" i="17" l="1"/>
  <c r="B489" i="17" s="1"/>
  <c r="B488" i="17"/>
  <c r="K532" i="52"/>
  <c r="E533" i="52"/>
  <c r="L533" i="52" s="1"/>
  <c r="C533" i="52"/>
  <c r="B256" i="17"/>
  <c r="B307" i="17"/>
  <c r="B535" i="17" s="1"/>
  <c r="C209" i="39" s="1"/>
  <c r="B509" i="17"/>
  <c r="B532" i="17" s="1"/>
  <c r="C206" i="39" s="1"/>
  <c r="K206" i="39" s="1"/>
  <c r="B521" i="17"/>
  <c r="C220" i="39" s="1"/>
  <c r="P220" i="39" s="1"/>
  <c r="B519" i="17"/>
  <c r="C218" i="39" s="1"/>
  <c r="P218" i="39" s="1"/>
  <c r="B523" i="17"/>
  <c r="C222" i="39" s="1"/>
  <c r="P222" i="39" s="1"/>
  <c r="C342" i="52"/>
  <c r="C228" i="53"/>
  <c r="BZ221" i="53"/>
  <c r="CD221" i="53"/>
  <c r="CH221" i="53"/>
  <c r="CL221" i="53"/>
  <c r="BX221" i="53"/>
  <c r="CB221" i="53"/>
  <c r="CF221" i="53"/>
  <c r="CJ221" i="53"/>
  <c r="BY221" i="53"/>
  <c r="CG221" i="53"/>
  <c r="CA221" i="53"/>
  <c r="CI221" i="53"/>
  <c r="CC221" i="53"/>
  <c r="CK221" i="53"/>
  <c r="CE221" i="53"/>
  <c r="CM221" i="53"/>
  <c r="A222" i="53"/>
  <c r="U222" i="53" s="1"/>
  <c r="V222" i="53" s="1"/>
  <c r="A533" i="52"/>
  <c r="A446" i="52"/>
  <c r="A336" i="52"/>
  <c r="B221" i="53"/>
  <c r="B532" i="52"/>
  <c r="B335" i="52"/>
  <c r="B445" i="52"/>
  <c r="B291" i="17"/>
  <c r="B288" i="17"/>
  <c r="B499" i="17"/>
  <c r="B522" i="17" s="1"/>
  <c r="B497" i="17"/>
  <c r="B520" i="17" s="1"/>
  <c r="B495" i="17"/>
  <c r="H70" i="39"/>
  <c r="B8" i="17"/>
  <c r="B510" i="17" l="1"/>
  <c r="B533" i="17" s="1"/>
  <c r="C207" i="39" s="1"/>
  <c r="P207" i="39" s="1"/>
  <c r="I374" i="39"/>
  <c r="H374" i="39" s="1"/>
  <c r="K209" i="39"/>
  <c r="P209" i="39"/>
  <c r="K533" i="52"/>
  <c r="C534" i="52"/>
  <c r="E534" i="52"/>
  <c r="L534" i="52" s="1"/>
  <c r="C221" i="39"/>
  <c r="C219" i="39"/>
  <c r="B534" i="17"/>
  <c r="C208" i="39" s="1"/>
  <c r="B466" i="17"/>
  <c r="C229" i="53"/>
  <c r="C343" i="52"/>
  <c r="BZ222" i="53"/>
  <c r="CD222" i="53"/>
  <c r="CH222" i="53"/>
  <c r="CL222" i="53"/>
  <c r="BX222" i="53"/>
  <c r="CB222" i="53"/>
  <c r="CF222" i="53"/>
  <c r="CJ222" i="53"/>
  <c r="BY222" i="53"/>
  <c r="CG222" i="53"/>
  <c r="CA222" i="53"/>
  <c r="CI222" i="53"/>
  <c r="CC222" i="53"/>
  <c r="CK222" i="53"/>
  <c r="CE222" i="53"/>
  <c r="CM222" i="53"/>
  <c r="B222" i="53"/>
  <c r="B533" i="52"/>
  <c r="B446" i="52"/>
  <c r="B336" i="52"/>
  <c r="A223" i="53"/>
  <c r="U223" i="53" s="1"/>
  <c r="V223" i="53" s="1"/>
  <c r="A534" i="52"/>
  <c r="A447" i="52"/>
  <c r="A337" i="52"/>
  <c r="B518" i="17"/>
  <c r="K207" i="39" l="1"/>
  <c r="I373" i="39"/>
  <c r="K534" i="52"/>
  <c r="C535" i="52"/>
  <c r="E535" i="52"/>
  <c r="L535" i="52" s="1"/>
  <c r="D151" i="17"/>
  <c r="K216" i="39" s="1"/>
  <c r="K223" i="39" s="1"/>
  <c r="B492" i="17"/>
  <c r="B536" i="17" s="1"/>
  <c r="H280" i="39" s="1"/>
  <c r="B467" i="17"/>
  <c r="B493" i="17" s="1"/>
  <c r="B537" i="17" s="1"/>
  <c r="J280" i="39" s="1"/>
  <c r="P280" i="39" s="1"/>
  <c r="I385" i="39" s="1"/>
  <c r="H385" i="39" s="1"/>
  <c r="K208" i="39"/>
  <c r="K203" i="39"/>
  <c r="C344" i="52"/>
  <c r="C230" i="53"/>
  <c r="BZ223" i="53"/>
  <c r="CD223" i="53"/>
  <c r="CH223" i="53"/>
  <c r="CL223" i="53"/>
  <c r="BX223" i="53"/>
  <c r="CB223" i="53"/>
  <c r="CF223" i="53"/>
  <c r="CJ223" i="53"/>
  <c r="BY223" i="53"/>
  <c r="CG223" i="53"/>
  <c r="CA223" i="53"/>
  <c r="CI223" i="53"/>
  <c r="CC223" i="53"/>
  <c r="CK223" i="53"/>
  <c r="CE223" i="53"/>
  <c r="CM223" i="53"/>
  <c r="A224" i="53"/>
  <c r="U224" i="53" s="1"/>
  <c r="V224" i="53" s="1"/>
  <c r="A535" i="52"/>
  <c r="A338" i="52"/>
  <c r="A448" i="52"/>
  <c r="B223" i="53"/>
  <c r="B534" i="52"/>
  <c r="B447" i="52"/>
  <c r="B337" i="52"/>
  <c r="C217" i="39"/>
  <c r="B336" i="17"/>
  <c r="E189" i="17"/>
  <c r="K535" i="52" l="1"/>
  <c r="E536" i="52"/>
  <c r="L536" i="52" s="1"/>
  <c r="C536" i="52"/>
  <c r="K225" i="39"/>
  <c r="K329" i="39" s="1"/>
  <c r="K330" i="39" s="1"/>
  <c r="K331" i="39" s="1"/>
  <c r="K332" i="39" s="1"/>
  <c r="K217" i="39"/>
  <c r="K218" i="39" s="1"/>
  <c r="K525" i="39"/>
  <c r="K503" i="39"/>
  <c r="C231" i="53"/>
  <c r="C345" i="52"/>
  <c r="BZ224" i="53"/>
  <c r="CD224" i="53"/>
  <c r="CH224" i="53"/>
  <c r="CL224" i="53"/>
  <c r="BX224" i="53"/>
  <c r="CB224" i="53"/>
  <c r="CF224" i="53"/>
  <c r="CJ224" i="53"/>
  <c r="BY224" i="53"/>
  <c r="CG224" i="53"/>
  <c r="CA224" i="53"/>
  <c r="CI224" i="53"/>
  <c r="CC224" i="53"/>
  <c r="CK224" i="53"/>
  <c r="CE224" i="53"/>
  <c r="CM224" i="53"/>
  <c r="B224" i="53"/>
  <c r="B535" i="52"/>
  <c r="B338" i="52"/>
  <c r="B448" i="52"/>
  <c r="A225" i="53"/>
  <c r="U225" i="53" s="1"/>
  <c r="V225" i="53" s="1"/>
  <c r="A536" i="52"/>
  <c r="A449" i="52"/>
  <c r="A339" i="52"/>
  <c r="B339" i="17"/>
  <c r="B342" i="17"/>
  <c r="K274" i="39"/>
  <c r="K262" i="39"/>
  <c r="K268" i="39"/>
  <c r="N72" i="46"/>
  <c r="M72" i="46"/>
  <c r="L72" i="46"/>
  <c r="K536" i="52" l="1"/>
  <c r="C537" i="52"/>
  <c r="E537" i="52"/>
  <c r="L537" i="52" s="1"/>
  <c r="C346" i="52"/>
  <c r="C232" i="53"/>
  <c r="BZ225" i="53"/>
  <c r="CD225" i="53"/>
  <c r="CH225" i="53"/>
  <c r="CL225" i="53"/>
  <c r="BX225" i="53"/>
  <c r="CB225" i="53"/>
  <c r="CF225" i="53"/>
  <c r="CJ225" i="53"/>
  <c r="BY225" i="53"/>
  <c r="CG225" i="53"/>
  <c r="CA225" i="53"/>
  <c r="CI225" i="53"/>
  <c r="CC225" i="53"/>
  <c r="CK225" i="53"/>
  <c r="CE225" i="53"/>
  <c r="CM225" i="53"/>
  <c r="A226" i="53"/>
  <c r="U226" i="53" s="1"/>
  <c r="V226" i="53" s="1"/>
  <c r="A537" i="52"/>
  <c r="A450" i="52"/>
  <c r="A340" i="52"/>
  <c r="B225" i="53"/>
  <c r="B536" i="52"/>
  <c r="B449" i="52"/>
  <c r="B339" i="52"/>
  <c r="B387" i="17"/>
  <c r="K501" i="39"/>
  <c r="K502" i="39" s="1"/>
  <c r="K195" i="32"/>
  <c r="E151" i="11"/>
  <c r="E150" i="11"/>
  <c r="E149" i="11"/>
  <c r="E148" i="11"/>
  <c r="E152" i="11" s="1"/>
  <c r="K537" i="52" l="1"/>
  <c r="C538" i="52"/>
  <c r="E538" i="52"/>
  <c r="L538" i="52" s="1"/>
  <c r="C233" i="53"/>
  <c r="C347" i="52"/>
  <c r="BZ226" i="53"/>
  <c r="CD226" i="53"/>
  <c r="CH226" i="53"/>
  <c r="CL226" i="53"/>
  <c r="BX226" i="53"/>
  <c r="CB226" i="53"/>
  <c r="CF226" i="53"/>
  <c r="CJ226" i="53"/>
  <c r="BY226" i="53"/>
  <c r="CG226" i="53"/>
  <c r="CA226" i="53"/>
  <c r="CI226" i="53"/>
  <c r="CC226" i="53"/>
  <c r="CK226" i="53"/>
  <c r="CE226" i="53"/>
  <c r="CM226" i="53"/>
  <c r="B226" i="53"/>
  <c r="B450" i="52"/>
  <c r="B537" i="52"/>
  <c r="B340" i="52"/>
  <c r="A227" i="53"/>
  <c r="U227" i="53" s="1"/>
  <c r="V227" i="53" s="1"/>
  <c r="A451" i="52"/>
  <c r="A538" i="52"/>
  <c r="A341" i="52"/>
  <c r="B393" i="17"/>
  <c r="B390" i="17"/>
  <c r="B438" i="17" s="1"/>
  <c r="H195" i="32"/>
  <c r="D153" i="11"/>
  <c r="D152" i="11"/>
  <c r="E105" i="11"/>
  <c r="F95" i="11"/>
  <c r="G95" i="11"/>
  <c r="D105" i="11"/>
  <c r="F104" i="11"/>
  <c r="I95" i="11"/>
  <c r="C105" i="11"/>
  <c r="G105" i="11"/>
  <c r="C95" i="11"/>
  <c r="D94" i="11"/>
  <c r="H94" i="11"/>
  <c r="C104" i="11"/>
  <c r="C94" i="11"/>
  <c r="I104" i="11"/>
  <c r="B104" i="11"/>
  <c r="D95" i="11"/>
  <c r="D104" i="11"/>
  <c r="H104" i="11"/>
  <c r="E95" i="11"/>
  <c r="I105" i="11"/>
  <c r="G94" i="11"/>
  <c r="H105" i="11"/>
  <c r="E104" i="11"/>
  <c r="I94" i="11"/>
  <c r="F94" i="11"/>
  <c r="F105" i="11"/>
  <c r="E94" i="11"/>
  <c r="H95" i="11"/>
  <c r="G104" i="11"/>
  <c r="B105" i="11"/>
  <c r="K538" i="52" l="1"/>
  <c r="J195" i="32"/>
  <c r="L195" i="32" s="1"/>
  <c r="C539" i="52"/>
  <c r="E539" i="52"/>
  <c r="L539" i="52" s="1"/>
  <c r="C348" i="52"/>
  <c r="C234" i="53"/>
  <c r="BZ227" i="53"/>
  <c r="CD227" i="53"/>
  <c r="CH227" i="53"/>
  <c r="CL227" i="53"/>
  <c r="BX227" i="53"/>
  <c r="CB227" i="53"/>
  <c r="CF227" i="53"/>
  <c r="CJ227" i="53"/>
  <c r="BY227" i="53"/>
  <c r="CG227" i="53"/>
  <c r="CA227" i="53"/>
  <c r="CI227" i="53"/>
  <c r="CC227" i="53"/>
  <c r="CK227" i="53"/>
  <c r="CE227" i="53"/>
  <c r="CM227" i="53"/>
  <c r="A228" i="53"/>
  <c r="U228" i="53" s="1"/>
  <c r="V228" i="53" s="1"/>
  <c r="A539" i="52"/>
  <c r="A452" i="52"/>
  <c r="A342" i="52"/>
  <c r="B227" i="53"/>
  <c r="B451" i="52"/>
  <c r="B538" i="52"/>
  <c r="B341" i="52"/>
  <c r="B441" i="17"/>
  <c r="B444" i="17"/>
  <c r="B107" i="11"/>
  <c r="J104" i="11"/>
  <c r="B108" i="11" s="1"/>
  <c r="J105" i="11"/>
  <c r="I81" i="26"/>
  <c r="K539" i="52" l="1"/>
  <c r="C540" i="52"/>
  <c r="E540" i="52"/>
  <c r="L540" i="52" s="1"/>
  <c r="C235" i="53"/>
  <c r="C349" i="52"/>
  <c r="BZ228" i="53"/>
  <c r="CD228" i="53"/>
  <c r="CH228" i="53"/>
  <c r="CL228" i="53"/>
  <c r="BX228" i="53"/>
  <c r="CB228" i="53"/>
  <c r="CF228" i="53"/>
  <c r="CJ228" i="53"/>
  <c r="BY228" i="53"/>
  <c r="CG228" i="53"/>
  <c r="CA228" i="53"/>
  <c r="CI228" i="53"/>
  <c r="CC228" i="53"/>
  <c r="CK228" i="53"/>
  <c r="CE228" i="53"/>
  <c r="CM228" i="53"/>
  <c r="B228" i="53"/>
  <c r="B539" i="52"/>
  <c r="B452" i="52"/>
  <c r="B342" i="52"/>
  <c r="A229" i="53"/>
  <c r="U229" i="53" s="1"/>
  <c r="V229" i="53" s="1"/>
  <c r="A540" i="52"/>
  <c r="A453" i="52"/>
  <c r="A343" i="52"/>
  <c r="I71" i="55"/>
  <c r="K540" i="52" l="1"/>
  <c r="E541" i="52"/>
  <c r="L541" i="52" s="1"/>
  <c r="C541" i="52"/>
  <c r="C350" i="52"/>
  <c r="C236" i="53"/>
  <c r="BZ229" i="53"/>
  <c r="CD229" i="53"/>
  <c r="CH229" i="53"/>
  <c r="CL229" i="53"/>
  <c r="BX229" i="53"/>
  <c r="CB229" i="53"/>
  <c r="CF229" i="53"/>
  <c r="CJ229" i="53"/>
  <c r="BY229" i="53"/>
  <c r="CG229" i="53"/>
  <c r="CA229" i="53"/>
  <c r="CI229" i="53"/>
  <c r="CC229" i="53"/>
  <c r="CK229" i="53"/>
  <c r="CE229" i="53"/>
  <c r="CM229" i="53"/>
  <c r="A230" i="53"/>
  <c r="U230" i="53" s="1"/>
  <c r="V230" i="53" s="1"/>
  <c r="A541" i="52"/>
  <c r="A454" i="52"/>
  <c r="A344" i="52"/>
  <c r="B229" i="53"/>
  <c r="B540" i="52"/>
  <c r="B453" i="52"/>
  <c r="B343" i="52"/>
  <c r="K541" i="52" l="1"/>
  <c r="C542" i="52"/>
  <c r="E542" i="52"/>
  <c r="L542" i="52" s="1"/>
  <c r="C237" i="53"/>
  <c r="C351" i="52"/>
  <c r="BZ230" i="53"/>
  <c r="CD230" i="53"/>
  <c r="CH230" i="53"/>
  <c r="CL230" i="53"/>
  <c r="BX230" i="53"/>
  <c r="CB230" i="53"/>
  <c r="CF230" i="53"/>
  <c r="CJ230" i="53"/>
  <c r="BY230" i="53"/>
  <c r="CG230" i="53"/>
  <c r="CA230" i="53"/>
  <c r="CI230" i="53"/>
  <c r="CC230" i="53"/>
  <c r="CK230" i="53"/>
  <c r="CE230" i="53"/>
  <c r="CM230" i="53"/>
  <c r="B230" i="53"/>
  <c r="B454" i="52"/>
  <c r="B541" i="52"/>
  <c r="B344" i="52"/>
  <c r="A231" i="53"/>
  <c r="U231" i="53" s="1"/>
  <c r="V231" i="53" s="1"/>
  <c r="A455" i="52"/>
  <c r="A542" i="52"/>
  <c r="A345" i="52"/>
  <c r="K147" i="26"/>
  <c r="K118" i="26"/>
  <c r="K542" i="52" l="1"/>
  <c r="E543" i="52"/>
  <c r="L543" i="52" s="1"/>
  <c r="C543" i="52"/>
  <c r="C352" i="52"/>
  <c r="C238" i="53"/>
  <c r="BZ231" i="53"/>
  <c r="CD231" i="53"/>
  <c r="CH231" i="53"/>
  <c r="CL231" i="53"/>
  <c r="BX231" i="53"/>
  <c r="CB231" i="53"/>
  <c r="CF231" i="53"/>
  <c r="CJ231" i="53"/>
  <c r="BY231" i="53"/>
  <c r="CG231" i="53"/>
  <c r="CA231" i="53"/>
  <c r="CI231" i="53"/>
  <c r="CC231" i="53"/>
  <c r="CK231" i="53"/>
  <c r="CE231" i="53"/>
  <c r="CM231" i="53"/>
  <c r="A232" i="53"/>
  <c r="U232" i="53" s="1"/>
  <c r="V232" i="53" s="1"/>
  <c r="A543" i="52"/>
  <c r="A456" i="52"/>
  <c r="A346" i="52"/>
  <c r="B231" i="53"/>
  <c r="B455" i="52"/>
  <c r="B542" i="52"/>
  <c r="B345" i="52"/>
  <c r="A139" i="43"/>
  <c r="A138" i="43"/>
  <c r="K543" i="52" l="1"/>
  <c r="C544" i="52"/>
  <c r="E544" i="52"/>
  <c r="L544" i="52" s="1"/>
  <c r="C239" i="53"/>
  <c r="C353" i="52"/>
  <c r="BZ232" i="53"/>
  <c r="CD232" i="53"/>
  <c r="CH232" i="53"/>
  <c r="CL232" i="53"/>
  <c r="BX232" i="53"/>
  <c r="CB232" i="53"/>
  <c r="CF232" i="53"/>
  <c r="CJ232" i="53"/>
  <c r="BY232" i="53"/>
  <c r="CG232" i="53"/>
  <c r="CA232" i="53"/>
  <c r="CI232" i="53"/>
  <c r="CC232" i="53"/>
  <c r="CK232" i="53"/>
  <c r="CE232" i="53"/>
  <c r="CM232" i="53"/>
  <c r="A233" i="53"/>
  <c r="U233" i="53" s="1"/>
  <c r="V233" i="53" s="1"/>
  <c r="A544" i="52"/>
  <c r="A457" i="52"/>
  <c r="A347" i="52"/>
  <c r="B232" i="53"/>
  <c r="B543" i="52"/>
  <c r="B456" i="52"/>
  <c r="B346" i="52"/>
  <c r="M7" i="47"/>
  <c r="N7" i="47"/>
  <c r="O7" i="47"/>
  <c r="P7" i="47"/>
  <c r="Q7" i="47"/>
  <c r="R7" i="47"/>
  <c r="N9" i="47"/>
  <c r="O9" i="47"/>
  <c r="P9" i="47"/>
  <c r="Q9" i="47"/>
  <c r="R9" i="47"/>
  <c r="N12" i="47"/>
  <c r="O12" i="47"/>
  <c r="P12" i="47"/>
  <c r="Q12" i="47"/>
  <c r="R12" i="47"/>
  <c r="N13" i="47"/>
  <c r="O13" i="47"/>
  <c r="P13" i="47"/>
  <c r="Q13" i="47"/>
  <c r="R13" i="47"/>
  <c r="M9" i="47"/>
  <c r="M12" i="47"/>
  <c r="M13" i="47"/>
  <c r="B186" i="40"/>
  <c r="K106" i="43" s="1"/>
  <c r="K107" i="43" s="1"/>
  <c r="K108" i="43" s="1"/>
  <c r="K109" i="43" s="1"/>
  <c r="K110" i="43" s="1"/>
  <c r="G23" i="40"/>
  <c r="K544" i="52" l="1"/>
  <c r="C545" i="52"/>
  <c r="E545" i="52"/>
  <c r="L545" i="52" s="1"/>
  <c r="C354" i="52"/>
  <c r="C240" i="53"/>
  <c r="BZ233" i="53"/>
  <c r="CD233" i="53"/>
  <c r="CH233" i="53"/>
  <c r="CL233" i="53"/>
  <c r="BX233" i="53"/>
  <c r="CB233" i="53"/>
  <c r="CF233" i="53"/>
  <c r="CJ233" i="53"/>
  <c r="BY233" i="53"/>
  <c r="CG233" i="53"/>
  <c r="CA233" i="53"/>
  <c r="CI233" i="53"/>
  <c r="CC233" i="53"/>
  <c r="CK233" i="53"/>
  <c r="CE233" i="53"/>
  <c r="CM233" i="53"/>
  <c r="B233" i="53"/>
  <c r="B544" i="52"/>
  <c r="B457" i="52"/>
  <c r="B347" i="52"/>
  <c r="A234" i="53"/>
  <c r="U234" i="53" s="1"/>
  <c r="V234" i="53" s="1"/>
  <c r="A545" i="52"/>
  <c r="A458" i="52"/>
  <c r="A348" i="52"/>
  <c r="I68" i="55"/>
  <c r="K68" i="55" s="1"/>
  <c r="I69" i="55"/>
  <c r="K69" i="55" s="1"/>
  <c r="I70" i="55"/>
  <c r="K70" i="55" s="1"/>
  <c r="K71" i="55"/>
  <c r="I72" i="55"/>
  <c r="K72" i="55" s="1"/>
  <c r="I67" i="55"/>
  <c r="K67" i="55" s="1"/>
  <c r="I63" i="55"/>
  <c r="K63" i="55" s="1"/>
  <c r="I62" i="55"/>
  <c r="K62" i="55" s="1"/>
  <c r="I52" i="55"/>
  <c r="K52" i="55" s="1"/>
  <c r="I53" i="55"/>
  <c r="K53" i="55" s="1"/>
  <c r="I54" i="55"/>
  <c r="K54" i="55" s="1"/>
  <c r="I55" i="55"/>
  <c r="K55" i="55" s="1"/>
  <c r="I56" i="55"/>
  <c r="K56" i="55" s="1"/>
  <c r="I57" i="55"/>
  <c r="K57" i="55" s="1"/>
  <c r="I58" i="55"/>
  <c r="K58" i="55" s="1"/>
  <c r="I51" i="55"/>
  <c r="K51" i="55" s="1"/>
  <c r="D120" i="40"/>
  <c r="C170" i="40"/>
  <c r="C172" i="40"/>
  <c r="D135" i="11"/>
  <c r="D134" i="11"/>
  <c r="D133" i="11"/>
  <c r="D132" i="11"/>
  <c r="D131" i="11"/>
  <c r="D130" i="11"/>
  <c r="K545" i="52" l="1"/>
  <c r="C546" i="52"/>
  <c r="E546" i="52"/>
  <c r="L546" i="52" s="1"/>
  <c r="C241" i="53"/>
  <c r="C355" i="52"/>
  <c r="BZ234" i="53"/>
  <c r="CD234" i="53"/>
  <c r="CH234" i="53"/>
  <c r="CL234" i="53"/>
  <c r="BX234" i="53"/>
  <c r="CB234" i="53"/>
  <c r="CF234" i="53"/>
  <c r="CJ234" i="53"/>
  <c r="BY234" i="53"/>
  <c r="CG234" i="53"/>
  <c r="CA234" i="53"/>
  <c r="CI234" i="53"/>
  <c r="CC234" i="53"/>
  <c r="CK234" i="53"/>
  <c r="CE234" i="53"/>
  <c r="CM234" i="53"/>
  <c r="A235" i="53"/>
  <c r="U235" i="53" s="1"/>
  <c r="V235" i="53" s="1"/>
  <c r="A459" i="52"/>
  <c r="A546" i="52"/>
  <c r="A349" i="52"/>
  <c r="B234" i="53"/>
  <c r="B458" i="52"/>
  <c r="B545" i="52"/>
  <c r="B348" i="52"/>
  <c r="K60" i="55"/>
  <c r="K61" i="55" s="1"/>
  <c r="K65" i="55"/>
  <c r="K73" i="55" s="1"/>
  <c r="K49" i="55"/>
  <c r="K50" i="55" s="1"/>
  <c r="A527" i="39"/>
  <c r="K527" i="39" l="1"/>
  <c r="K528" i="39" s="1"/>
  <c r="P289" i="39"/>
  <c r="I388" i="39" s="1"/>
  <c r="K546" i="52"/>
  <c r="C547" i="52"/>
  <c r="E547" i="52"/>
  <c r="L547" i="52" s="1"/>
  <c r="C356" i="52"/>
  <c r="C242" i="53"/>
  <c r="BZ235" i="53"/>
  <c r="CD235" i="53"/>
  <c r="CH235" i="53"/>
  <c r="CL235" i="53"/>
  <c r="BX235" i="53"/>
  <c r="CB235" i="53"/>
  <c r="CF235" i="53"/>
  <c r="CJ235" i="53"/>
  <c r="BY235" i="53"/>
  <c r="CG235" i="53"/>
  <c r="CA235" i="53"/>
  <c r="CI235" i="53"/>
  <c r="CC235" i="53"/>
  <c r="CK235" i="53"/>
  <c r="CE235" i="53"/>
  <c r="CM235" i="53"/>
  <c r="A236" i="53"/>
  <c r="U236" i="53" s="1"/>
  <c r="V236" i="53" s="1"/>
  <c r="A547" i="52"/>
  <c r="A460" i="52"/>
  <c r="A350" i="52"/>
  <c r="B235" i="53"/>
  <c r="B459" i="52"/>
  <c r="B546" i="52"/>
  <c r="B349" i="52"/>
  <c r="K66" i="55"/>
  <c r="K59"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A83" i="55"/>
  <c r="A84" i="55"/>
  <c r="A85" i="55"/>
  <c r="A86" i="55"/>
  <c r="A87" i="55"/>
  <c r="A88" i="55"/>
  <c r="A89" i="55"/>
  <c r="A90" i="55"/>
  <c r="A91" i="55"/>
  <c r="A92" i="55"/>
  <c r="A93" i="55"/>
  <c r="A94" i="55"/>
  <c r="A95" i="55"/>
  <c r="A96" i="55"/>
  <c r="A97" i="55"/>
  <c r="A98" i="55"/>
  <c r="A99" i="55"/>
  <c r="A100" i="55"/>
  <c r="A101" i="55"/>
  <c r="A102" i="55"/>
  <c r="A103" i="55"/>
  <c r="A104" i="55"/>
  <c r="A105" i="55"/>
  <c r="A106" i="55"/>
  <c r="A107" i="55"/>
  <c r="A108" i="55"/>
  <c r="B82" i="55"/>
  <c r="A82" i="55"/>
  <c r="K547" i="52" l="1"/>
  <c r="C548" i="52"/>
  <c r="E548" i="52"/>
  <c r="L548" i="52" s="1"/>
  <c r="C243" i="53"/>
  <c r="C357" i="52"/>
  <c r="BZ236" i="53"/>
  <c r="CD236" i="53"/>
  <c r="CH236" i="53"/>
  <c r="CL236" i="53"/>
  <c r="BX236" i="53"/>
  <c r="CB236" i="53"/>
  <c r="CF236" i="53"/>
  <c r="CJ236" i="53"/>
  <c r="BY236" i="53"/>
  <c r="CG236" i="53"/>
  <c r="CA236" i="53"/>
  <c r="CI236" i="53"/>
  <c r="CC236" i="53"/>
  <c r="CK236" i="53"/>
  <c r="CE236" i="53"/>
  <c r="CM236" i="53"/>
  <c r="B236" i="53"/>
  <c r="B547" i="52"/>
  <c r="B460" i="52"/>
  <c r="B350" i="52"/>
  <c r="A237" i="53"/>
  <c r="U237" i="53" s="1"/>
  <c r="V237" i="53" s="1"/>
  <c r="A548" i="52"/>
  <c r="A461" i="52"/>
  <c r="A351" i="52"/>
  <c r="B222" i="46"/>
  <c r="B221" i="46"/>
  <c r="B220" i="46"/>
  <c r="B219" i="46"/>
  <c r="B215" i="46"/>
  <c r="B214" i="46"/>
  <c r="B213" i="46"/>
  <c r="F63" i="46"/>
  <c r="D58" i="46"/>
  <c r="I55" i="46"/>
  <c r="G55" i="46"/>
  <c r="D55" i="46"/>
  <c r="A55" i="46"/>
  <c r="F74" i="46"/>
  <c r="E74" i="46" s="1"/>
  <c r="F75" i="46"/>
  <c r="E75" i="46" s="1"/>
  <c r="F76" i="46"/>
  <c r="E76" i="46" s="1"/>
  <c r="F77" i="46"/>
  <c r="E77" i="46" s="1"/>
  <c r="F78" i="46"/>
  <c r="E78" i="46" s="1"/>
  <c r="F79" i="46"/>
  <c r="E79" i="46" s="1"/>
  <c r="F80" i="46"/>
  <c r="E80" i="46" s="1"/>
  <c r="F81" i="46"/>
  <c r="E81" i="46" s="1"/>
  <c r="F82" i="46"/>
  <c r="E82" i="46" s="1"/>
  <c r="F83" i="46"/>
  <c r="E83" i="46" s="1"/>
  <c r="F84" i="46"/>
  <c r="E84" i="46" s="1"/>
  <c r="F85" i="46"/>
  <c r="E85" i="46" s="1"/>
  <c r="F86" i="46"/>
  <c r="E86" i="46" s="1"/>
  <c r="F87" i="46"/>
  <c r="E87" i="46" s="1"/>
  <c r="F88" i="46"/>
  <c r="E88" i="46" s="1"/>
  <c r="F89" i="46"/>
  <c r="E89" i="46" s="1"/>
  <c r="F90" i="46"/>
  <c r="E90" i="46" s="1"/>
  <c r="F91" i="46"/>
  <c r="E91" i="46" s="1"/>
  <c r="F92" i="46"/>
  <c r="E92" i="46" s="1"/>
  <c r="F93" i="46"/>
  <c r="E93" i="46" s="1"/>
  <c r="F94" i="46"/>
  <c r="E94" i="46" s="1"/>
  <c r="F95" i="46"/>
  <c r="E95" i="46" s="1"/>
  <c r="F96" i="46"/>
  <c r="E96" i="46" s="1"/>
  <c r="F97" i="46"/>
  <c r="E97" i="46" s="1"/>
  <c r="F98" i="46"/>
  <c r="E98" i="46" s="1"/>
  <c r="C74" i="46"/>
  <c r="C75" i="46"/>
  <c r="C76" i="46"/>
  <c r="C77" i="46"/>
  <c r="C78" i="46"/>
  <c r="C79" i="46"/>
  <c r="C80" i="46"/>
  <c r="C81" i="46"/>
  <c r="C82" i="46"/>
  <c r="C83" i="46"/>
  <c r="C84" i="46"/>
  <c r="C85" i="46"/>
  <c r="C86" i="46"/>
  <c r="C87" i="46"/>
  <c r="C88" i="46"/>
  <c r="C89" i="46"/>
  <c r="C90" i="46"/>
  <c r="C91" i="46"/>
  <c r="C92" i="46"/>
  <c r="C93" i="46"/>
  <c r="C94" i="46"/>
  <c r="C95" i="46"/>
  <c r="C96" i="46"/>
  <c r="C97" i="46"/>
  <c r="C98" i="46"/>
  <c r="B74" i="46"/>
  <c r="B75" i="46"/>
  <c r="B76" i="46"/>
  <c r="B77" i="46"/>
  <c r="B78" i="46"/>
  <c r="B79" i="46"/>
  <c r="B80" i="46"/>
  <c r="B81" i="46"/>
  <c r="B82" i="46"/>
  <c r="B83" i="46"/>
  <c r="B84" i="46"/>
  <c r="B85" i="46"/>
  <c r="B86" i="46"/>
  <c r="B87" i="46"/>
  <c r="B88" i="46"/>
  <c r="B89" i="46"/>
  <c r="B90" i="46"/>
  <c r="B91" i="46"/>
  <c r="B92" i="46"/>
  <c r="B93" i="46"/>
  <c r="B94" i="46"/>
  <c r="B95" i="46"/>
  <c r="B96" i="46"/>
  <c r="B97" i="46"/>
  <c r="B98" i="46"/>
  <c r="A98" i="46"/>
  <c r="A97" i="46"/>
  <c r="A74" i="46"/>
  <c r="A75" i="46"/>
  <c r="A76" i="46"/>
  <c r="A77" i="46"/>
  <c r="A78" i="46"/>
  <c r="A79" i="46"/>
  <c r="A80" i="46"/>
  <c r="A81" i="46"/>
  <c r="A82" i="46"/>
  <c r="A83" i="46"/>
  <c r="A84" i="46"/>
  <c r="A85" i="46"/>
  <c r="A86" i="46"/>
  <c r="A87" i="46"/>
  <c r="A88" i="46"/>
  <c r="A89" i="46"/>
  <c r="A90" i="46"/>
  <c r="A91" i="46"/>
  <c r="A92" i="46"/>
  <c r="A93" i="46"/>
  <c r="A94" i="46"/>
  <c r="A95" i="46"/>
  <c r="A96" i="46"/>
  <c r="F73" i="46"/>
  <c r="E73" i="46" s="1"/>
  <c r="C73" i="46"/>
  <c r="B73" i="46"/>
  <c r="A73" i="46"/>
  <c r="L74" i="46"/>
  <c r="L75" i="46"/>
  <c r="L76" i="46"/>
  <c r="L77" i="46"/>
  <c r="L78" i="46"/>
  <c r="L79" i="46"/>
  <c r="L80" i="46"/>
  <c r="L81" i="46"/>
  <c r="L82" i="46"/>
  <c r="L83" i="46"/>
  <c r="L84" i="46"/>
  <c r="L85" i="46"/>
  <c r="L86" i="46"/>
  <c r="L87" i="46"/>
  <c r="L88" i="46"/>
  <c r="L89" i="46"/>
  <c r="L90" i="46"/>
  <c r="L91" i="46"/>
  <c r="L92" i="46"/>
  <c r="L93" i="46"/>
  <c r="L94" i="46"/>
  <c r="L95" i="46"/>
  <c r="L96" i="46"/>
  <c r="L97" i="46"/>
  <c r="L98" i="46"/>
  <c r="L73" i="46"/>
  <c r="K121" i="46"/>
  <c r="K122" i="46" s="1"/>
  <c r="K104" i="46"/>
  <c r="K105" i="46" s="1"/>
  <c r="K51" i="46"/>
  <c r="C10" i="47"/>
  <c r="A66" i="46" s="1"/>
  <c r="E50" i="47"/>
  <c r="F50" i="47" s="1"/>
  <c r="E49" i="47"/>
  <c r="F49" i="47" s="1"/>
  <c r="I49" i="47" s="1"/>
  <c r="E48" i="47"/>
  <c r="F48" i="47" s="1"/>
  <c r="I48" i="47" s="1"/>
  <c r="E47" i="47"/>
  <c r="F47" i="47" s="1"/>
  <c r="I47" i="47" s="1"/>
  <c r="E46" i="47"/>
  <c r="F46" i="47" s="1"/>
  <c r="E45" i="47"/>
  <c r="F45" i="47" s="1"/>
  <c r="I45" i="47" s="1"/>
  <c r="E44" i="47"/>
  <c r="F44" i="47" s="1"/>
  <c r="I44" i="47" s="1"/>
  <c r="E43" i="47"/>
  <c r="F43" i="47" s="1"/>
  <c r="I43" i="47" s="1"/>
  <c r="E42" i="47"/>
  <c r="F42" i="47" s="1"/>
  <c r="E41" i="47"/>
  <c r="F41" i="47" s="1"/>
  <c r="I41" i="47" s="1"/>
  <c r="E40" i="47"/>
  <c r="F40" i="47" s="1"/>
  <c r="I40" i="47" s="1"/>
  <c r="E39" i="47"/>
  <c r="F39" i="47" s="1"/>
  <c r="I39" i="47" s="1"/>
  <c r="E38" i="47"/>
  <c r="F38" i="47" s="1"/>
  <c r="E37" i="47"/>
  <c r="F37" i="47" s="1"/>
  <c r="I37" i="47" s="1"/>
  <c r="E36" i="47"/>
  <c r="F36" i="47" s="1"/>
  <c r="I36" i="47" s="1"/>
  <c r="E35" i="47"/>
  <c r="F35" i="47" s="1"/>
  <c r="I35" i="47" s="1"/>
  <c r="E34" i="47"/>
  <c r="F34" i="47" s="1"/>
  <c r="E33" i="47"/>
  <c r="F33" i="47" s="1"/>
  <c r="I33" i="47" s="1"/>
  <c r="E32" i="47"/>
  <c r="F32" i="47" s="1"/>
  <c r="I32" i="47" s="1"/>
  <c r="E31" i="47"/>
  <c r="F31" i="47" s="1"/>
  <c r="I31" i="47" s="1"/>
  <c r="E30" i="47"/>
  <c r="F30" i="47" s="1"/>
  <c r="E29" i="47"/>
  <c r="F29" i="47" s="1"/>
  <c r="I29" i="47" s="1"/>
  <c r="E28" i="47"/>
  <c r="F28" i="47" s="1"/>
  <c r="I28" i="47" s="1"/>
  <c r="E27" i="47"/>
  <c r="F27" i="47" s="1"/>
  <c r="I27" i="47" s="1"/>
  <c r="F26" i="47"/>
  <c r="I25" i="47"/>
  <c r="B20" i="47"/>
  <c r="H18" i="47"/>
  <c r="G18" i="47"/>
  <c r="I17" i="47"/>
  <c r="G17" i="47"/>
  <c r="I16" i="47"/>
  <c r="H16" i="47"/>
  <c r="D16" i="47"/>
  <c r="G57" i="47" s="1"/>
  <c r="L11" i="47"/>
  <c r="L10" i="47"/>
  <c r="L8" i="47"/>
  <c r="K548" i="52" l="1"/>
  <c r="E549" i="52"/>
  <c r="L549" i="52" s="1"/>
  <c r="C549" i="52"/>
  <c r="K97" i="46"/>
  <c r="K89" i="46"/>
  <c r="K85" i="46"/>
  <c r="K81" i="46"/>
  <c r="C358" i="52"/>
  <c r="C244" i="53"/>
  <c r="BZ237" i="53"/>
  <c r="CD237" i="53"/>
  <c r="CH237" i="53"/>
  <c r="CL237" i="53"/>
  <c r="BX237" i="53"/>
  <c r="CB237" i="53"/>
  <c r="CF237" i="53"/>
  <c r="CJ237" i="53"/>
  <c r="BY237" i="53"/>
  <c r="CG237" i="53"/>
  <c r="CA237" i="53"/>
  <c r="CI237" i="53"/>
  <c r="CC237" i="53"/>
  <c r="CK237" i="53"/>
  <c r="CE237" i="53"/>
  <c r="CM237" i="53"/>
  <c r="A238" i="53"/>
  <c r="U238" i="53" s="1"/>
  <c r="V238" i="53" s="1"/>
  <c r="A549" i="52"/>
  <c r="A462" i="52"/>
  <c r="A352" i="52"/>
  <c r="B237" i="53"/>
  <c r="B548" i="52"/>
  <c r="B461" i="52"/>
  <c r="B351" i="52"/>
  <c r="K93" i="46"/>
  <c r="M95" i="46"/>
  <c r="M96" i="46"/>
  <c r="O11" i="47"/>
  <c r="P11" i="47"/>
  <c r="M11" i="47"/>
  <c r="Q11" i="47"/>
  <c r="N11" i="47"/>
  <c r="R11" i="47"/>
  <c r="M79" i="46"/>
  <c r="M87" i="46"/>
  <c r="M76" i="46"/>
  <c r="M84" i="46"/>
  <c r="M92" i="46"/>
  <c r="P10" i="47"/>
  <c r="M10" i="47"/>
  <c r="Q10" i="47"/>
  <c r="N10" i="47"/>
  <c r="R10" i="47"/>
  <c r="O10" i="47"/>
  <c r="C21" i="47"/>
  <c r="M77" i="46"/>
  <c r="M81" i="46"/>
  <c r="M85" i="46"/>
  <c r="M89" i="46"/>
  <c r="M93" i="46"/>
  <c r="M97" i="46"/>
  <c r="N8" i="47"/>
  <c r="R8" i="47"/>
  <c r="O8" i="47"/>
  <c r="P8" i="47"/>
  <c r="M8" i="47"/>
  <c r="Q8" i="47"/>
  <c r="M75" i="46"/>
  <c r="M83" i="46"/>
  <c r="M91" i="46"/>
  <c r="M80" i="46"/>
  <c r="M88" i="46"/>
  <c r="K77" i="46"/>
  <c r="K91" i="46"/>
  <c r="K83" i="46"/>
  <c r="K87" i="46"/>
  <c r="K75" i="46"/>
  <c r="K95" i="46"/>
  <c r="K79" i="46"/>
  <c r="H8" i="47"/>
  <c r="K98" i="46"/>
  <c r="K94" i="46"/>
  <c r="K90" i="46"/>
  <c r="K86" i="46"/>
  <c r="K82" i="46"/>
  <c r="K78" i="46"/>
  <c r="K74" i="46"/>
  <c r="K96" i="46"/>
  <c r="K92" i="46"/>
  <c r="K88" i="46"/>
  <c r="K84" i="46"/>
  <c r="K80" i="46"/>
  <c r="K76" i="46"/>
  <c r="I50" i="47"/>
  <c r="I46" i="47"/>
  <c r="I42" i="47"/>
  <c r="I38" i="47"/>
  <c r="I34" i="47"/>
  <c r="I30" i="47"/>
  <c r="I26" i="47"/>
  <c r="D97" i="46"/>
  <c r="D93" i="46"/>
  <c r="D89" i="46"/>
  <c r="D85" i="46"/>
  <c r="D81" i="46"/>
  <c r="D77" i="46"/>
  <c r="D96" i="46"/>
  <c r="D92" i="46"/>
  <c r="D88" i="46"/>
  <c r="D84" i="46"/>
  <c r="D80" i="46"/>
  <c r="D76" i="46"/>
  <c r="D95" i="46"/>
  <c r="D91" i="46"/>
  <c r="D87" i="46"/>
  <c r="D83" i="46"/>
  <c r="D79" i="46"/>
  <c r="D75" i="46"/>
  <c r="D98" i="46"/>
  <c r="D94" i="46"/>
  <c r="D90" i="46"/>
  <c r="D86" i="46"/>
  <c r="D82" i="46"/>
  <c r="D78" i="46"/>
  <c r="D74" i="46"/>
  <c r="J25" i="47"/>
  <c r="D73" i="46"/>
  <c r="K73" i="46"/>
  <c r="J28" i="47"/>
  <c r="J26" i="47"/>
  <c r="J34" i="47"/>
  <c r="J27" i="47"/>
  <c r="J31" i="47"/>
  <c r="J35" i="47"/>
  <c r="J39" i="47"/>
  <c r="J43" i="47"/>
  <c r="J47" i="47"/>
  <c r="J32" i="47"/>
  <c r="J36" i="47"/>
  <c r="J40" i="47"/>
  <c r="J44" i="47"/>
  <c r="J48" i="47"/>
  <c r="J29" i="47"/>
  <c r="J33" i="47"/>
  <c r="J37" i="47"/>
  <c r="J41" i="47"/>
  <c r="J45" i="47"/>
  <c r="J49" i="47"/>
  <c r="J30" i="47"/>
  <c r="J38" i="47"/>
  <c r="J42" i="47"/>
  <c r="J46" i="47"/>
  <c r="J50" i="47"/>
  <c r="D22" i="47" l="1"/>
  <c r="K197" i="46" s="1"/>
  <c r="K198" i="46" s="1"/>
  <c r="K199" i="46" s="1"/>
  <c r="K200" i="46" s="1"/>
  <c r="K201" i="46" s="1"/>
  <c r="K202" i="46" s="1"/>
  <c r="K203" i="46" s="1"/>
  <c r="K204" i="46" s="1"/>
  <c r="K205" i="46" s="1"/>
  <c r="K206" i="46" s="1"/>
  <c r="K207" i="46" s="1"/>
  <c r="K208" i="46" s="1"/>
  <c r="K209" i="46" s="1"/>
  <c r="K210" i="46" s="1"/>
  <c r="K211" i="46" s="1"/>
  <c r="K212" i="46" s="1"/>
  <c r="K213" i="46" s="1"/>
  <c r="K214" i="46" s="1"/>
  <c r="K215" i="46" s="1"/>
  <c r="K216" i="46" s="1"/>
  <c r="K217" i="46" s="1"/>
  <c r="K218" i="46" s="1"/>
  <c r="K219" i="46" s="1"/>
  <c r="K220" i="46" s="1"/>
  <c r="K221" i="46" s="1"/>
  <c r="K222" i="46" s="1"/>
  <c r="K223" i="46" s="1"/>
  <c r="K224" i="46" s="1"/>
  <c r="K225" i="46" s="1"/>
  <c r="K226" i="46" s="1"/>
  <c r="K227" i="46" s="1"/>
  <c r="K228" i="46" s="1"/>
  <c r="K229" i="46" s="1"/>
  <c r="K230" i="46" s="1"/>
  <c r="K231" i="46" s="1"/>
  <c r="K232" i="46" s="1"/>
  <c r="K233" i="46" s="1"/>
  <c r="K234" i="46" s="1"/>
  <c r="K235" i="46" s="1"/>
  <c r="K236" i="46" s="1"/>
  <c r="K237" i="46" s="1"/>
  <c r="K238" i="46" s="1"/>
  <c r="K239" i="46" s="1"/>
  <c r="H209" i="46"/>
  <c r="K549" i="52"/>
  <c r="A22" i="47"/>
  <c r="A227" i="46" s="1"/>
  <c r="H9" i="47"/>
  <c r="H12" i="47" s="1"/>
  <c r="C550" i="52"/>
  <c r="E550" i="52"/>
  <c r="L550" i="52" s="1"/>
  <c r="C245" i="53"/>
  <c r="C359" i="52"/>
  <c r="BZ238" i="53"/>
  <c r="CD238" i="53"/>
  <c r="CH238" i="53"/>
  <c r="CL238" i="53"/>
  <c r="BX238" i="53"/>
  <c r="CB238" i="53"/>
  <c r="CF238" i="53"/>
  <c r="CJ238" i="53"/>
  <c r="BY238" i="53"/>
  <c r="CG238" i="53"/>
  <c r="CA238" i="53"/>
  <c r="CI238" i="53"/>
  <c r="CC238" i="53"/>
  <c r="CK238" i="53"/>
  <c r="CE238" i="53"/>
  <c r="CM238" i="53"/>
  <c r="B238" i="53"/>
  <c r="B462" i="52"/>
  <c r="B549" i="52"/>
  <c r="B352" i="52"/>
  <c r="A239" i="53"/>
  <c r="U239" i="53" s="1"/>
  <c r="V239" i="53" s="1"/>
  <c r="A463" i="52"/>
  <c r="A550" i="52"/>
  <c r="A353" i="52"/>
  <c r="L46" i="47"/>
  <c r="K46" i="47" s="1"/>
  <c r="G104" i="55" s="1"/>
  <c r="K104" i="55" s="1"/>
  <c r="L40" i="47"/>
  <c r="K40" i="47" s="1"/>
  <c r="G98" i="55" s="1"/>
  <c r="K98" i="55" s="1"/>
  <c r="L47" i="47"/>
  <c r="K47" i="47" s="1"/>
  <c r="G105" i="55" s="1"/>
  <c r="K105" i="55" s="1"/>
  <c r="L42" i="47"/>
  <c r="K42" i="47" s="1"/>
  <c r="G100" i="55" s="1"/>
  <c r="K100" i="55" s="1"/>
  <c r="L45" i="47"/>
  <c r="K45" i="47" s="1"/>
  <c r="G103" i="55" s="1"/>
  <c r="K103" i="55" s="1"/>
  <c r="L41" i="47"/>
  <c r="L48" i="47"/>
  <c r="K48" i="47" s="1"/>
  <c r="G106" i="55" s="1"/>
  <c r="K106" i="55" s="1"/>
  <c r="L43" i="47"/>
  <c r="K43" i="47" s="1"/>
  <c r="G101" i="55" s="1"/>
  <c r="K101" i="55" s="1"/>
  <c r="L50" i="47"/>
  <c r="K50" i="47" s="1"/>
  <c r="G108" i="55" s="1"/>
  <c r="K108" i="55" s="1"/>
  <c r="L38" i="47"/>
  <c r="L49" i="47"/>
  <c r="K49" i="47" s="1"/>
  <c r="G107" i="55" s="1"/>
  <c r="K107" i="55" s="1"/>
  <c r="L44" i="47"/>
  <c r="K44" i="47" s="1"/>
  <c r="G102" i="55" s="1"/>
  <c r="K102" i="55" s="1"/>
  <c r="L39" i="47"/>
  <c r="K39" i="47" s="1"/>
  <c r="G97" i="55" s="1"/>
  <c r="K97" i="55" s="1"/>
  <c r="L26" i="47"/>
  <c r="L33" i="47"/>
  <c r="K33" i="47" s="1"/>
  <c r="G91" i="55" s="1"/>
  <c r="K91" i="55" s="1"/>
  <c r="L28" i="47"/>
  <c r="K28" i="47" s="1"/>
  <c r="G86" i="55" s="1"/>
  <c r="K86" i="55" s="1"/>
  <c r="L30" i="47"/>
  <c r="K30" i="47" s="1"/>
  <c r="G88" i="55" s="1"/>
  <c r="K88" i="55" s="1"/>
  <c r="L29" i="47"/>
  <c r="K29" i="47" s="1"/>
  <c r="G87" i="55" s="1"/>
  <c r="K87" i="55" s="1"/>
  <c r="L35" i="47"/>
  <c r="K35" i="47" s="1"/>
  <c r="G93" i="55" s="1"/>
  <c r="K93" i="55" s="1"/>
  <c r="L34" i="47"/>
  <c r="K34" i="47" s="1"/>
  <c r="G92" i="55" s="1"/>
  <c r="K92" i="55" s="1"/>
  <c r="L36" i="47"/>
  <c r="K36" i="47" s="1"/>
  <c r="G94" i="55" s="1"/>
  <c r="K94" i="55" s="1"/>
  <c r="L31" i="47"/>
  <c r="L37" i="47"/>
  <c r="L32" i="47"/>
  <c r="K32" i="47" s="1"/>
  <c r="G90" i="55" s="1"/>
  <c r="K90" i="55" s="1"/>
  <c r="L27" i="47"/>
  <c r="K27" i="47" s="1"/>
  <c r="G85" i="55" s="1"/>
  <c r="K85" i="55" s="1"/>
  <c r="L25" i="47"/>
  <c r="K25" i="47" s="1"/>
  <c r="M90" i="46"/>
  <c r="M78" i="46"/>
  <c r="M94" i="46"/>
  <c r="M73" i="46"/>
  <c r="M82" i="46"/>
  <c r="M98" i="46"/>
  <c r="M74" i="46"/>
  <c r="M86" i="46"/>
  <c r="K550" i="52" l="1"/>
  <c r="K46" i="55"/>
  <c r="K47" i="55" s="1"/>
  <c r="K48" i="55" s="1"/>
  <c r="E551" i="52"/>
  <c r="L551" i="52" s="1"/>
  <c r="C551" i="52"/>
  <c r="C360" i="52"/>
  <c r="C246" i="53"/>
  <c r="BZ239" i="53"/>
  <c r="CD239" i="53"/>
  <c r="CH239" i="53"/>
  <c r="CL239" i="53"/>
  <c r="BX239" i="53"/>
  <c r="CB239" i="53"/>
  <c r="CF239" i="53"/>
  <c r="CJ239" i="53"/>
  <c r="BY239" i="53"/>
  <c r="CG239" i="53"/>
  <c r="CA239" i="53"/>
  <c r="CI239" i="53"/>
  <c r="CC239" i="53"/>
  <c r="CK239" i="53"/>
  <c r="CE239" i="53"/>
  <c r="CM239" i="53"/>
  <c r="A240" i="53"/>
  <c r="U240" i="53" s="1"/>
  <c r="V240" i="53" s="1"/>
  <c r="A551" i="52"/>
  <c r="A354" i="52"/>
  <c r="A464" i="52"/>
  <c r="B239" i="53"/>
  <c r="B550" i="52"/>
  <c r="B463" i="52"/>
  <c r="B353" i="52"/>
  <c r="K31" i="47"/>
  <c r="G89" i="55" s="1"/>
  <c r="K89" i="55" s="1"/>
  <c r="K26" i="47"/>
  <c r="G84" i="55" s="1"/>
  <c r="K84" i="55" s="1"/>
  <c r="K38" i="47"/>
  <c r="G96" i="55" s="1"/>
  <c r="K96" i="55" s="1"/>
  <c r="K41" i="47"/>
  <c r="G99" i="55" s="1"/>
  <c r="K99" i="55" s="1"/>
  <c r="K37" i="47"/>
  <c r="G95" i="55" s="1"/>
  <c r="K95" i="55" s="1"/>
  <c r="G83" i="55"/>
  <c r="K83" i="55" s="1"/>
  <c r="K551" i="52" l="1"/>
  <c r="E552" i="52"/>
  <c r="L552" i="52" s="1"/>
  <c r="C552" i="52"/>
  <c r="C247" i="53"/>
  <c r="C361" i="52"/>
  <c r="BZ240" i="53"/>
  <c r="CD240" i="53"/>
  <c r="CH240" i="53"/>
  <c r="CL240" i="53"/>
  <c r="BX240" i="53"/>
  <c r="CB240" i="53"/>
  <c r="CF240" i="53"/>
  <c r="CJ240" i="53"/>
  <c r="BY240" i="53"/>
  <c r="CG240" i="53"/>
  <c r="CA240" i="53"/>
  <c r="CI240" i="53"/>
  <c r="CC240" i="53"/>
  <c r="CK240" i="53"/>
  <c r="CE240" i="53"/>
  <c r="CM240" i="53"/>
  <c r="B240" i="53"/>
  <c r="B551" i="52"/>
  <c r="B464" i="52"/>
  <c r="B354" i="52"/>
  <c r="A241" i="53"/>
  <c r="U241" i="53" s="1"/>
  <c r="V241" i="53" s="1"/>
  <c r="A552" i="52"/>
  <c r="A465" i="52"/>
  <c r="A355" i="52"/>
  <c r="K74" i="55"/>
  <c r="A5" i="55" s="1"/>
  <c r="E62" i="16"/>
  <c r="G12" i="16"/>
  <c r="B43" i="16"/>
  <c r="D118" i="16"/>
  <c r="G189" i="22"/>
  <c r="G188" i="22"/>
  <c r="G169" i="22"/>
  <c r="G168" i="22"/>
  <c r="G149" i="22"/>
  <c r="G148" i="22"/>
  <c r="G129" i="22"/>
  <c r="G128" i="22"/>
  <c r="G109" i="22"/>
  <c r="G108" i="22"/>
  <c r="G89" i="22"/>
  <c r="G88" i="22"/>
  <c r="G69" i="22"/>
  <c r="G68" i="22"/>
  <c r="G49" i="22"/>
  <c r="G48" i="22"/>
  <c r="G29" i="22"/>
  <c r="G28" i="22"/>
  <c r="K552" i="52" l="1"/>
  <c r="E553" i="52"/>
  <c r="L553" i="52" s="1"/>
  <c r="C553" i="52"/>
  <c r="C362" i="52"/>
  <c r="C248" i="53"/>
  <c r="BZ241" i="53"/>
  <c r="CD241" i="53"/>
  <c r="CH241" i="53"/>
  <c r="CL241" i="53"/>
  <c r="BX241" i="53"/>
  <c r="CB241" i="53"/>
  <c r="CF241" i="53"/>
  <c r="CJ241" i="53"/>
  <c r="BY241" i="53"/>
  <c r="CG241" i="53"/>
  <c r="CA241" i="53"/>
  <c r="CI241" i="53"/>
  <c r="CC241" i="53"/>
  <c r="CK241" i="53"/>
  <c r="CE241" i="53"/>
  <c r="CM241" i="53"/>
  <c r="A242" i="53"/>
  <c r="U242" i="53" s="1"/>
  <c r="V242" i="53" s="1"/>
  <c r="A553" i="52"/>
  <c r="A466" i="52"/>
  <c r="A356" i="52"/>
  <c r="B241" i="53"/>
  <c r="B552" i="52"/>
  <c r="B465" i="52"/>
  <c r="B355" i="52"/>
  <c r="A111" i="55"/>
  <c r="K75" i="55"/>
  <c r="K76" i="55" s="1"/>
  <c r="K77" i="55" s="1"/>
  <c r="K78" i="55" s="1"/>
  <c r="K79" i="55" s="1"/>
  <c r="K80" i="55" s="1"/>
  <c r="K81" i="55" s="1"/>
  <c r="K82" i="55" s="1"/>
  <c r="C68" i="14"/>
  <c r="K553" i="52" l="1"/>
  <c r="E554" i="52"/>
  <c r="L554" i="52" s="1"/>
  <c r="C554" i="52"/>
  <c r="C249" i="53"/>
  <c r="C364" i="52" s="1"/>
  <c r="C363" i="52"/>
  <c r="BZ242" i="53"/>
  <c r="CD242" i="53"/>
  <c r="CH242" i="53"/>
  <c r="CL242" i="53"/>
  <c r="BX242" i="53"/>
  <c r="CB242" i="53"/>
  <c r="CF242" i="53"/>
  <c r="CJ242" i="53"/>
  <c r="BY242" i="53"/>
  <c r="CG242" i="53"/>
  <c r="CA242" i="53"/>
  <c r="CI242" i="53"/>
  <c r="CC242" i="53"/>
  <c r="CK242" i="53"/>
  <c r="CE242" i="53"/>
  <c r="CM242" i="53"/>
  <c r="A243" i="53"/>
  <c r="U243" i="53" s="1"/>
  <c r="V243" i="53" s="1"/>
  <c r="A467" i="52"/>
  <c r="A554" i="52"/>
  <c r="A357" i="52"/>
  <c r="B242" i="53"/>
  <c r="B466" i="52"/>
  <c r="B553" i="52"/>
  <c r="B356" i="52"/>
  <c r="C142" i="40"/>
  <c r="A114" i="40"/>
  <c r="A113" i="40"/>
  <c r="A112" i="40"/>
  <c r="A111" i="40"/>
  <c r="A110" i="40"/>
  <c r="K554" i="52" l="1"/>
  <c r="C143" i="40"/>
  <c r="C144" i="40" s="1"/>
  <c r="C555" i="52"/>
  <c r="E555" i="52"/>
  <c r="L555" i="52" s="1"/>
  <c r="BZ243" i="53"/>
  <c r="CD243" i="53"/>
  <c r="CH243" i="53"/>
  <c r="CL243" i="53"/>
  <c r="BX243" i="53"/>
  <c r="CB243" i="53"/>
  <c r="CF243" i="53"/>
  <c r="CJ243" i="53"/>
  <c r="BY243" i="53"/>
  <c r="CG243" i="53"/>
  <c r="CA243" i="53"/>
  <c r="CI243" i="53"/>
  <c r="CC243" i="53"/>
  <c r="CK243" i="53"/>
  <c r="CE243" i="53"/>
  <c r="CM243" i="53"/>
  <c r="B243" i="53"/>
  <c r="B554" i="52"/>
  <c r="B467" i="52"/>
  <c r="B357" i="52"/>
  <c r="A244" i="53"/>
  <c r="U244" i="53" s="1"/>
  <c r="V244" i="53" s="1"/>
  <c r="A555" i="52"/>
  <c r="A468" i="52"/>
  <c r="A358" i="52"/>
  <c r="D143" i="40"/>
  <c r="J113" i="33"/>
  <c r="J114" i="33" s="1"/>
  <c r="G119" i="33"/>
  <c r="G118" i="33"/>
  <c r="G117" i="33"/>
  <c r="G116" i="33"/>
  <c r="G115" i="33"/>
  <c r="F119" i="33"/>
  <c r="F118" i="33"/>
  <c r="F117" i="33"/>
  <c r="F116" i="33"/>
  <c r="E119" i="33"/>
  <c r="E118" i="33"/>
  <c r="E117" i="33"/>
  <c r="E116" i="33"/>
  <c r="D119" i="33"/>
  <c r="D118" i="33"/>
  <c r="D117" i="33"/>
  <c r="F115" i="33"/>
  <c r="D116" i="33"/>
  <c r="E115" i="33"/>
  <c r="D115" i="33"/>
  <c r="C119" i="33"/>
  <c r="C118" i="33"/>
  <c r="C117" i="33"/>
  <c r="C116" i="33"/>
  <c r="C115" i="33"/>
  <c r="A119" i="33"/>
  <c r="A118" i="33"/>
  <c r="A117" i="33"/>
  <c r="A116" i="33"/>
  <c r="A115" i="33"/>
  <c r="K555" i="52" l="1"/>
  <c r="E123" i="21"/>
  <c r="E124" i="21" s="1"/>
  <c r="E125" i="21" s="1"/>
  <c r="D123" i="21"/>
  <c r="D124" i="21" s="1"/>
  <c r="D125" i="21" s="1"/>
  <c r="F123" i="21"/>
  <c r="F124" i="21" s="1"/>
  <c r="F125" i="21" s="1"/>
  <c r="C123" i="21"/>
  <c r="C124" i="21" s="1"/>
  <c r="C125" i="21" s="1"/>
  <c r="B123" i="21"/>
  <c r="B124" i="21" s="1"/>
  <c r="B125" i="21" s="1"/>
  <c r="B127" i="21" s="1"/>
  <c r="C556" i="52"/>
  <c r="E556" i="52"/>
  <c r="L556" i="52" s="1"/>
  <c r="BZ244" i="53"/>
  <c r="CD244" i="53"/>
  <c r="CH244" i="53"/>
  <c r="CL244" i="53"/>
  <c r="BX244" i="53"/>
  <c r="CB244" i="53"/>
  <c r="CF244" i="53"/>
  <c r="CJ244" i="53"/>
  <c r="BY244" i="53"/>
  <c r="CG244" i="53"/>
  <c r="CA244" i="53"/>
  <c r="CI244" i="53"/>
  <c r="CC244" i="53"/>
  <c r="CK244" i="53"/>
  <c r="CE244" i="53"/>
  <c r="CM244" i="53"/>
  <c r="A245" i="53"/>
  <c r="U245" i="53" s="1"/>
  <c r="V245" i="53" s="1"/>
  <c r="A556" i="52"/>
  <c r="A469" i="52"/>
  <c r="A359" i="52"/>
  <c r="B244" i="53"/>
  <c r="B555" i="52"/>
  <c r="B468" i="52"/>
  <c r="B358" i="52"/>
  <c r="J121" i="33"/>
  <c r="C162" i="11"/>
  <c r="C163" i="11"/>
  <c r="K556" i="52" l="1"/>
  <c r="C557" i="52"/>
  <c r="E557" i="52"/>
  <c r="L557" i="52" s="1"/>
  <c r="BZ245" i="53"/>
  <c r="CD245" i="53"/>
  <c r="CH245" i="53"/>
  <c r="CL245" i="53"/>
  <c r="BX245" i="53"/>
  <c r="CB245" i="53"/>
  <c r="CF245" i="53"/>
  <c r="CJ245" i="53"/>
  <c r="BY245" i="53"/>
  <c r="CG245" i="53"/>
  <c r="CA245" i="53"/>
  <c r="CI245" i="53"/>
  <c r="CC245" i="53"/>
  <c r="CK245" i="53"/>
  <c r="CE245" i="53"/>
  <c r="CM245" i="53"/>
  <c r="B245" i="53"/>
  <c r="B556" i="52"/>
  <c r="B469" i="52"/>
  <c r="B359" i="52"/>
  <c r="A246" i="53"/>
  <c r="U246" i="53" s="1"/>
  <c r="V246" i="53" s="1"/>
  <c r="A557" i="52"/>
  <c r="A470" i="52"/>
  <c r="A360" i="52"/>
  <c r="H117" i="33"/>
  <c r="J117" i="33" s="1"/>
  <c r="D127" i="21"/>
  <c r="I117" i="33" s="1"/>
  <c r="H118" i="33"/>
  <c r="J118" i="33" s="1"/>
  <c r="E127" i="21"/>
  <c r="I118" i="33" s="1"/>
  <c r="H116" i="33"/>
  <c r="J116" i="33" s="1"/>
  <c r="C127" i="21"/>
  <c r="I116" i="33" s="1"/>
  <c r="H119" i="33"/>
  <c r="J119" i="33" s="1"/>
  <c r="F127" i="21"/>
  <c r="I119" i="33" s="1"/>
  <c r="H115" i="33"/>
  <c r="J115" i="33" s="1"/>
  <c r="G124" i="11"/>
  <c r="C135" i="11"/>
  <c r="C134" i="11"/>
  <c r="C133" i="11"/>
  <c r="C132" i="11"/>
  <c r="H104" i="26"/>
  <c r="D53" i="16"/>
  <c r="F26" i="16"/>
  <c r="H25" i="16"/>
  <c r="G25" i="16"/>
  <c r="A191" i="30" s="1"/>
  <c r="H24" i="16"/>
  <c r="G24" i="16"/>
  <c r="A193" i="30" s="1"/>
  <c r="F22" i="16"/>
  <c r="J106" i="30"/>
  <c r="L106" i="30" s="1"/>
  <c r="I164" i="30" s="1"/>
  <c r="H17" i="16"/>
  <c r="A152" i="40"/>
  <c r="A129" i="40" s="1"/>
  <c r="D220" i="40"/>
  <c r="D204" i="40"/>
  <c r="B31" i="40"/>
  <c r="C17" i="16"/>
  <c r="G29" i="40"/>
  <c r="B30" i="40"/>
  <c r="G30" i="40"/>
  <c r="G32" i="40"/>
  <c r="D17" i="16"/>
  <c r="B29" i="40"/>
  <c r="B32" i="40"/>
  <c r="G31" i="40"/>
  <c r="E82" i="11"/>
  <c r="I168" i="30" l="1"/>
  <c r="H106" i="30"/>
  <c r="B33" i="40"/>
  <c r="G33" i="40"/>
  <c r="B57" i="40" s="1"/>
  <c r="B36" i="40"/>
  <c r="K557" i="52"/>
  <c r="A140" i="43"/>
  <c r="G125" i="11"/>
  <c r="C27" i="16"/>
  <c r="C558" i="52"/>
  <c r="E558" i="52"/>
  <c r="L558" i="52" s="1"/>
  <c r="E85" i="11"/>
  <c r="E86" i="11" s="1"/>
  <c r="BZ246" i="53"/>
  <c r="CD246" i="53"/>
  <c r="CH246" i="53"/>
  <c r="BX246" i="53"/>
  <c r="CB246" i="53"/>
  <c r="CF246" i="53"/>
  <c r="BY246" i="53"/>
  <c r="CG246" i="53"/>
  <c r="CL246" i="53"/>
  <c r="CA246" i="53"/>
  <c r="CI246" i="53"/>
  <c r="CM246" i="53"/>
  <c r="CC246" i="53"/>
  <c r="CJ246" i="53"/>
  <c r="CE246" i="53"/>
  <c r="CK246" i="53"/>
  <c r="B246" i="53"/>
  <c r="B470" i="52"/>
  <c r="B557" i="52"/>
  <c r="B360" i="52"/>
  <c r="A247" i="53"/>
  <c r="U247" i="53" s="1"/>
  <c r="V247" i="53" s="1"/>
  <c r="A471" i="52"/>
  <c r="A558" i="52"/>
  <c r="A361" i="52"/>
  <c r="G41" i="40"/>
  <c r="G40" i="40"/>
  <c r="B223" i="40"/>
  <c r="B224" i="40" s="1"/>
  <c r="I115" i="33"/>
  <c r="E17" i="16"/>
  <c r="E204" i="40"/>
  <c r="C204" i="40"/>
  <c r="G36" i="40"/>
  <c r="B41" i="40"/>
  <c r="B40" i="40"/>
  <c r="B26" i="40"/>
  <c r="A142" i="43" l="1"/>
  <c r="B205" i="40"/>
  <c r="J142" i="43" s="1"/>
  <c r="R142" i="43" s="1"/>
  <c r="I213" i="43" s="1"/>
  <c r="H213" i="43" s="1"/>
  <c r="K558" i="52"/>
  <c r="E559" i="52"/>
  <c r="L559" i="52" s="1"/>
  <c r="C559" i="52"/>
  <c r="BZ247" i="53"/>
  <c r="CD247" i="53"/>
  <c r="CH247" i="53"/>
  <c r="CL247" i="53"/>
  <c r="CA247" i="53"/>
  <c r="CE247" i="53"/>
  <c r="CI247" i="53"/>
  <c r="CM247" i="53"/>
  <c r="BX247" i="53"/>
  <c r="CB247" i="53"/>
  <c r="CF247" i="53"/>
  <c r="CJ247" i="53"/>
  <c r="BY247" i="53"/>
  <c r="CC247" i="53"/>
  <c r="CG247" i="53"/>
  <c r="CK247" i="53"/>
  <c r="B247" i="53"/>
  <c r="B558" i="52"/>
  <c r="B471" i="52"/>
  <c r="B361" i="52"/>
  <c r="A248" i="53"/>
  <c r="U248" i="53" s="1"/>
  <c r="V248" i="53" s="1"/>
  <c r="A559" i="52"/>
  <c r="A362" i="52"/>
  <c r="A472" i="52"/>
  <c r="J143" i="33"/>
  <c r="B56" i="40"/>
  <c r="B35" i="40"/>
  <c r="J138" i="43" s="1"/>
  <c r="H139" i="43"/>
  <c r="G35" i="40"/>
  <c r="J139" i="43" s="1"/>
  <c r="H138" i="43"/>
  <c r="H143" i="43"/>
  <c r="J143" i="43" s="1"/>
  <c r="R143" i="43" s="1"/>
  <c r="I214" i="43" s="1"/>
  <c r="B38" i="40"/>
  <c r="J161" i="33"/>
  <c r="K559" i="52" l="1"/>
  <c r="E560" i="52"/>
  <c r="L560" i="52" s="1"/>
  <c r="C560" i="52"/>
  <c r="BZ248" i="53"/>
  <c r="CD248" i="53"/>
  <c r="CH248" i="53"/>
  <c r="CL248" i="53"/>
  <c r="CA248" i="53"/>
  <c r="CE248" i="53"/>
  <c r="CI248" i="53"/>
  <c r="CM248" i="53"/>
  <c r="BX248" i="53"/>
  <c r="CB248" i="53"/>
  <c r="CF248" i="53"/>
  <c r="CJ248" i="53"/>
  <c r="BY248" i="53"/>
  <c r="CC248" i="53"/>
  <c r="CG248" i="53"/>
  <c r="CK248" i="53"/>
  <c r="A249" i="53"/>
  <c r="U249" i="53" s="1"/>
  <c r="V249" i="53" s="1"/>
  <c r="A560" i="52"/>
  <c r="A473" i="52"/>
  <c r="A363" i="52"/>
  <c r="B248" i="53"/>
  <c r="B559" i="52"/>
  <c r="B472" i="52"/>
  <c r="B362" i="52"/>
  <c r="J144" i="33"/>
  <c r="J145" i="33" s="1"/>
  <c r="J162" i="33"/>
  <c r="J163" i="33" s="1"/>
  <c r="J164" i="33" s="1"/>
  <c r="J165" i="33" s="1"/>
  <c r="J166" i="33" s="1"/>
  <c r="K184" i="30"/>
  <c r="K185" i="30" s="1"/>
  <c r="K560" i="52" l="1"/>
  <c r="E561" i="52"/>
  <c r="L561" i="52" s="1"/>
  <c r="I635" i="52" s="1"/>
  <c r="C561" i="52"/>
  <c r="BZ249" i="53"/>
  <c r="BZ167" i="53" s="1"/>
  <c r="E573" i="52" s="1"/>
  <c r="G573" i="52" s="1"/>
  <c r="L573" i="52" s="1"/>
  <c r="CD249" i="53"/>
  <c r="CD167" i="53" s="1"/>
  <c r="E577" i="52" s="1"/>
  <c r="G577" i="52" s="1"/>
  <c r="L577" i="52" s="1"/>
  <c r="CH249" i="53"/>
  <c r="CH167" i="53" s="1"/>
  <c r="E591" i="52" s="1"/>
  <c r="G591" i="52" s="1"/>
  <c r="L591" i="52" s="1"/>
  <c r="CL249" i="53"/>
  <c r="CA249" i="53"/>
  <c r="CA167" i="53" s="1"/>
  <c r="E574" i="52" s="1"/>
  <c r="G574" i="52" s="1"/>
  <c r="L574" i="52" s="1"/>
  <c r="CE249" i="53"/>
  <c r="CE167" i="53" s="1"/>
  <c r="E578" i="52" s="1"/>
  <c r="G578" i="52" s="1"/>
  <c r="L578" i="52" s="1"/>
  <c r="CI249" i="53"/>
  <c r="CI167" i="53" s="1"/>
  <c r="E592" i="52" s="1"/>
  <c r="G592" i="52" s="1"/>
  <c r="L592" i="52" s="1"/>
  <c r="CM249" i="53"/>
  <c r="BX249" i="53"/>
  <c r="CB249" i="53"/>
  <c r="CB167" i="53" s="1"/>
  <c r="E575" i="52" s="1"/>
  <c r="G575" i="52" s="1"/>
  <c r="L575" i="52" s="1"/>
  <c r="CF249" i="53"/>
  <c r="CF167" i="53" s="1"/>
  <c r="E589" i="52" s="1"/>
  <c r="CJ249" i="53"/>
  <c r="CJ167" i="53" s="1"/>
  <c r="E593" i="52" s="1"/>
  <c r="G593" i="52" s="1"/>
  <c r="L593" i="52" s="1"/>
  <c r="BY249" i="53"/>
  <c r="BY167" i="53" s="1"/>
  <c r="E572" i="52" s="1"/>
  <c r="G572" i="52" s="1"/>
  <c r="L572" i="52" s="1"/>
  <c r="CC249" i="53"/>
  <c r="CC167" i="53" s="1"/>
  <c r="E576" i="52" s="1"/>
  <c r="G576" i="52" s="1"/>
  <c r="L576" i="52" s="1"/>
  <c r="CG249" i="53"/>
  <c r="CG167" i="53" s="1"/>
  <c r="E590" i="52" s="1"/>
  <c r="G590" i="52" s="1"/>
  <c r="L590" i="52" s="1"/>
  <c r="CK249" i="53"/>
  <c r="CK167" i="53" s="1"/>
  <c r="E594" i="52" s="1"/>
  <c r="G594" i="52" s="1"/>
  <c r="L594" i="52" s="1"/>
  <c r="B249" i="53"/>
  <c r="B560" i="52"/>
  <c r="B473" i="52"/>
  <c r="B363" i="52"/>
  <c r="A561" i="52"/>
  <c r="A474" i="52"/>
  <c r="A364" i="52"/>
  <c r="K660" i="52"/>
  <c r="K661" i="52" s="1"/>
  <c r="K662" i="52" s="1"/>
  <c r="K663" i="52" s="1"/>
  <c r="K664" i="52" s="1"/>
  <c r="B106" i="53"/>
  <c r="B110" i="53" s="1"/>
  <c r="D216" i="52" s="1"/>
  <c r="E106" i="53"/>
  <c r="E110" i="53" s="1"/>
  <c r="D264" i="52" s="1"/>
  <c r="D106" i="53"/>
  <c r="D110" i="53" s="1"/>
  <c r="D248" i="52" s="1"/>
  <c r="C106" i="53"/>
  <c r="C110" i="53" s="1"/>
  <c r="D232" i="52" s="1"/>
  <c r="H56" i="53"/>
  <c r="I56" i="53"/>
  <c r="J56" i="53"/>
  <c r="F103" i="53"/>
  <c r="E103" i="53"/>
  <c r="E105" i="53" s="1"/>
  <c r="C263" i="52" s="1"/>
  <c r="B103" i="53"/>
  <c r="B107" i="53" s="1"/>
  <c r="D213" i="52" s="1"/>
  <c r="I637" i="52" l="1"/>
  <c r="K561" i="52"/>
  <c r="K477" i="52" s="1"/>
  <c r="A683" i="52"/>
  <c r="CM167" i="53"/>
  <c r="E596" i="52" s="1"/>
  <c r="G596" i="52" s="1"/>
  <c r="L596" i="52" s="1"/>
  <c r="CL167" i="53"/>
  <c r="E595" i="52" s="1"/>
  <c r="G595" i="52" s="1"/>
  <c r="L595" i="52" s="1"/>
  <c r="BX167" i="53"/>
  <c r="E571" i="52" s="1"/>
  <c r="G571" i="52" s="1"/>
  <c r="L571" i="52" s="1"/>
  <c r="I634" i="52" s="1"/>
  <c r="K572" i="52"/>
  <c r="K594" i="52"/>
  <c r="K593" i="52"/>
  <c r="G589" i="52"/>
  <c r="L589" i="52" s="1"/>
  <c r="K589" i="52"/>
  <c r="K592" i="52"/>
  <c r="K591" i="52"/>
  <c r="K590" i="52"/>
  <c r="K576" i="52"/>
  <c r="K575" i="52"/>
  <c r="K578" i="52"/>
  <c r="K583" i="52" s="1"/>
  <c r="K577" i="52"/>
  <c r="K574" i="52"/>
  <c r="K573" i="52"/>
  <c r="B474" i="52"/>
  <c r="B561" i="52"/>
  <c r="B364" i="52"/>
  <c r="C232" i="52"/>
  <c r="C264" i="52"/>
  <c r="C248" i="52"/>
  <c r="C261" i="52"/>
  <c r="E104" i="53"/>
  <c r="C216" i="52"/>
  <c r="C213" i="52"/>
  <c r="B104" i="53"/>
  <c r="E102" i="53"/>
  <c r="E107" i="53"/>
  <c r="D261" i="52" s="1"/>
  <c r="F102" i="53"/>
  <c r="F105" i="53"/>
  <c r="E109" i="53" s="1"/>
  <c r="D263" i="52" s="1"/>
  <c r="I633" i="52" l="1"/>
  <c r="A679" i="52"/>
  <c r="K683" i="52"/>
  <c r="K684" i="52" s="1"/>
  <c r="K482" i="52"/>
  <c r="K562" i="52"/>
  <c r="K563" i="52" s="1"/>
  <c r="K565" i="52" s="1"/>
  <c r="K567" i="52" s="1"/>
  <c r="K569" i="52" s="1"/>
  <c r="K595" i="52"/>
  <c r="K571" i="52"/>
  <c r="K564" i="52" s="1"/>
  <c r="K596" i="52"/>
  <c r="A675" i="52"/>
  <c r="E108" i="53"/>
  <c r="D262" i="52" s="1"/>
  <c r="C262" i="52"/>
  <c r="C214" i="52"/>
  <c r="B108" i="53"/>
  <c r="D214" i="52" s="1"/>
  <c r="K566" i="52" l="1"/>
  <c r="K568" i="52" s="1"/>
  <c r="K634" i="52"/>
  <c r="K581" i="52"/>
  <c r="K579" i="52"/>
  <c r="K675" i="52"/>
  <c r="K676" i="52" s="1"/>
  <c r="K677" i="52" s="1"/>
  <c r="K678" i="52" s="1"/>
  <c r="C77" i="16"/>
  <c r="E77" i="16" s="1"/>
  <c r="A207" i="30"/>
  <c r="K580" i="52" l="1"/>
  <c r="K585" i="52" s="1"/>
  <c r="K584" i="52"/>
  <c r="K633" i="52"/>
  <c r="K586" i="52"/>
  <c r="K679" i="52"/>
  <c r="K680" i="52" s="1"/>
  <c r="K681" i="52" s="1"/>
  <c r="K682" i="52" s="1"/>
  <c r="K164" i="32"/>
  <c r="B88" i="21" l="1"/>
  <c r="J153" i="43" l="1"/>
  <c r="R153" i="43" s="1"/>
  <c r="I224" i="43" s="1"/>
  <c r="H224" i="43" s="1"/>
  <c r="H153" i="43"/>
  <c r="V10" i="14" l="1"/>
  <c r="J107" i="17" l="1"/>
  <c r="J60" i="17" l="1"/>
  <c r="F24" i="6"/>
  <c r="F22" i="6"/>
  <c r="F21" i="6"/>
  <c r="F20" i="6"/>
  <c r="F19" i="6"/>
  <c r="F18" i="6"/>
  <c r="F17" i="6"/>
  <c r="F16" i="6"/>
  <c r="E24" i="6"/>
  <c r="C16" i="6"/>
  <c r="H16" i="6" l="1"/>
  <c r="V11" i="14"/>
  <c r="V9" i="14"/>
  <c r="V8" i="14"/>
  <c r="V7" i="14"/>
  <c r="V6" i="14"/>
  <c r="V5" i="14"/>
  <c r="V4" i="14"/>
  <c r="V2" i="14"/>
  <c r="V3" i="14"/>
  <c r="S44" i="14"/>
  <c r="S43" i="14"/>
  <c r="S42" i="14"/>
  <c r="S41" i="14"/>
  <c r="S40" i="14"/>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W10" i="14" l="1"/>
  <c r="Z10" i="14" s="1"/>
  <c r="W4" i="14"/>
  <c r="Y4" i="14" s="1"/>
  <c r="Z4" i="14" s="1"/>
  <c r="W8" i="14"/>
  <c r="Y8" i="14" s="1"/>
  <c r="Z8" i="14" s="1"/>
  <c r="W5" i="14"/>
  <c r="Y5" i="14" s="1"/>
  <c r="Z5" i="14" s="1"/>
  <c r="W9" i="14"/>
  <c r="Y9" i="14" s="1"/>
  <c r="Z9" i="14" s="1"/>
  <c r="W3" i="14"/>
  <c r="Y3" i="14" s="1"/>
  <c r="Z3" i="14" s="1"/>
  <c r="W6" i="14"/>
  <c r="Y6" i="14" s="1"/>
  <c r="Z6" i="14" s="1"/>
  <c r="W7" i="14"/>
  <c r="Y7" i="14" s="1"/>
  <c r="Z7" i="14" s="1"/>
  <c r="W11" i="14"/>
  <c r="W2" i="14"/>
  <c r="Y2" i="14" s="1"/>
  <c r="Z2" i="14" s="1"/>
  <c r="W12" i="14"/>
  <c r="Z11" i="14" l="1"/>
  <c r="Z12" i="14" s="1"/>
  <c r="Y10" i="14"/>
  <c r="Y11" i="14" s="1"/>
  <c r="F86" i="30"/>
  <c r="F85" i="30"/>
  <c r="Y12" i="14" l="1"/>
  <c r="C16" i="37" s="1"/>
  <c r="O151" i="21"/>
  <c r="O150" i="21"/>
  <c r="O149" i="21"/>
  <c r="O148" i="21"/>
  <c r="O147" i="21"/>
  <c r="O146" i="21"/>
  <c r="O145" i="21"/>
  <c r="O144" i="21"/>
  <c r="O143" i="21"/>
  <c r="K196" i="32" l="1"/>
  <c r="K194" i="32"/>
  <c r="K166" i="32"/>
  <c r="A642" i="52" l="1"/>
  <c r="A91" i="33" l="1"/>
  <c r="A92" i="33"/>
  <c r="A93" i="33"/>
  <c r="A94" i="33"/>
  <c r="A95" i="33"/>
  <c r="A96" i="33"/>
  <c r="A97" i="33"/>
  <c r="A98" i="33"/>
  <c r="A90" i="33"/>
  <c r="B567" i="17" l="1"/>
  <c r="B568" i="17" s="1"/>
  <c r="A548" i="17"/>
  <c r="B560" i="17"/>
  <c r="B559" i="17"/>
  <c r="B561" i="17" l="1"/>
  <c r="D68" i="16"/>
  <c r="AL29" i="11" l="1"/>
  <c r="AF29" i="11"/>
  <c r="D58" i="11" l="1"/>
  <c r="D61" i="11"/>
  <c r="D62" i="11"/>
  <c r="D63" i="11"/>
  <c r="D64" i="11"/>
  <c r="E76" i="16"/>
  <c r="F63" i="3" l="1"/>
  <c r="G63" i="3" s="1"/>
  <c r="H63" i="3" s="1"/>
  <c r="F64" i="3"/>
  <c r="E64" i="3"/>
  <c r="H124" i="24" l="1"/>
  <c r="K124" i="24" s="1"/>
  <c r="G64" i="3"/>
  <c r="H64" i="3" s="1"/>
  <c r="J124" i="24" s="1"/>
  <c r="L124" i="24" s="1"/>
  <c r="J123" i="24"/>
  <c r="L123" i="24" s="1"/>
  <c r="H123" i="24"/>
  <c r="K141" i="24"/>
  <c r="B51" i="3"/>
  <c r="I193" i="24" l="1"/>
  <c r="K123" i="24"/>
  <c r="K162" i="24" s="1"/>
  <c r="K163" i="24" s="1"/>
  <c r="K164" i="24" s="1"/>
  <c r="K165" i="24" s="1"/>
  <c r="K231" i="24"/>
  <c r="K232" i="24" s="1"/>
  <c r="K233" i="24" s="1"/>
  <c r="K234" i="24" s="1"/>
  <c r="H86" i="26" l="1"/>
  <c r="G86" i="26"/>
  <c r="F86" i="26"/>
  <c r="E86" i="26"/>
  <c r="D86" i="26"/>
  <c r="C86" i="26"/>
  <c r="K100" i="26"/>
  <c r="J100" i="26"/>
  <c r="L99" i="26" s="1"/>
  <c r="H100" i="26"/>
  <c r="B59" i="6"/>
  <c r="F59" i="6"/>
  <c r="G59" i="6"/>
  <c r="D59" i="6"/>
  <c r="E59" i="6"/>
  <c r="C59" i="6"/>
  <c r="I87" i="26" l="1"/>
  <c r="I88" i="26" s="1"/>
  <c r="F87" i="26"/>
  <c r="F88" i="26" s="1"/>
  <c r="E87" i="26"/>
  <c r="E88" i="26" s="1"/>
  <c r="C87" i="26"/>
  <c r="C88" i="26" s="1"/>
  <c r="G87" i="26"/>
  <c r="G88" i="26" s="1"/>
  <c r="D87" i="26"/>
  <c r="D88" i="26" s="1"/>
  <c r="H87" i="26"/>
  <c r="H88" i="26" s="1"/>
  <c r="E60" i="6"/>
  <c r="D60" i="6"/>
  <c r="B60" i="6"/>
  <c r="F60" i="6"/>
  <c r="C60" i="6"/>
  <c r="G60" i="6"/>
  <c r="G72" i="6"/>
  <c r="G71" i="6"/>
  <c r="G70" i="6"/>
  <c r="G69" i="6"/>
  <c r="F74" i="6" s="1"/>
  <c r="G74" i="6" s="1"/>
  <c r="K87" i="26" l="1"/>
  <c r="K88" i="26" s="1"/>
  <c r="L88" i="26"/>
  <c r="B124" i="6"/>
  <c r="B125" i="6" s="1"/>
  <c r="B126" i="6" s="1"/>
  <c r="B127" i="6" s="1"/>
  <c r="J103" i="26"/>
  <c r="K86" i="26"/>
  <c r="K85" i="26" s="1"/>
  <c r="K84" i="26" s="1"/>
  <c r="G72" i="30"/>
  <c r="L72" i="30" s="1"/>
  <c r="H67" i="21"/>
  <c r="H136" i="16" s="1"/>
  <c r="F120" i="16" s="1"/>
  <c r="H66" i="21"/>
  <c r="H135" i="16" s="1"/>
  <c r="D120" i="16" s="1"/>
  <c r="H65" i="21"/>
  <c r="H134" i="16" s="1"/>
  <c r="B120" i="16" s="1"/>
  <c r="G75" i="30" l="1"/>
  <c r="E127" i="6"/>
  <c r="F127" i="6"/>
  <c r="C127" i="6"/>
  <c r="D127" i="6"/>
  <c r="H103" i="26"/>
  <c r="K103" i="26" s="1"/>
  <c r="D111" i="43"/>
  <c r="K199" i="30" l="1"/>
  <c r="K200" i="30" s="1"/>
  <c r="L75" i="30"/>
  <c r="G127" i="6"/>
  <c r="H108" i="26" s="1"/>
  <c r="A112" i="32"/>
  <c r="A106" i="32"/>
  <c r="J108" i="26" l="1"/>
  <c r="I113" i="32"/>
  <c r="H113" i="32"/>
  <c r="G113" i="32"/>
  <c r="F113" i="32"/>
  <c r="E113" i="32"/>
  <c r="D113" i="32"/>
  <c r="C113" i="32"/>
  <c r="I107" i="32"/>
  <c r="H107" i="32"/>
  <c r="G107" i="32"/>
  <c r="F107" i="32"/>
  <c r="E107" i="32"/>
  <c r="D107" i="32"/>
  <c r="C107" i="32"/>
  <c r="B107" i="32"/>
  <c r="B113" i="32"/>
  <c r="I170" i="26" l="1"/>
  <c r="H170" i="26" s="1"/>
  <c r="L108" i="26"/>
  <c r="I171" i="26" s="1"/>
  <c r="D76" i="21"/>
  <c r="D86" i="21" s="1"/>
  <c r="G67" i="21" s="1"/>
  <c r="G136" i="16" s="1"/>
  <c r="F122" i="16" s="1"/>
  <c r="C76" i="21"/>
  <c r="C86" i="21" s="1"/>
  <c r="G66" i="21" s="1"/>
  <c r="G135" i="16" s="1"/>
  <c r="D122" i="16" s="1"/>
  <c r="B76" i="21"/>
  <c r="E67" i="21"/>
  <c r="E136" i="16" s="1"/>
  <c r="E66" i="21"/>
  <c r="E135" i="16" s="1"/>
  <c r="E65" i="21"/>
  <c r="E134" i="16" s="1"/>
  <c r="F123" i="16" l="1"/>
  <c r="B136" i="16"/>
  <c r="B123" i="16"/>
  <c r="B134" i="16"/>
  <c r="D123" i="16"/>
  <c r="B135" i="16"/>
  <c r="B86" i="21"/>
  <c r="G65" i="21" s="1"/>
  <c r="G134" i="16" s="1"/>
  <c r="B122" i="16" s="1"/>
  <c r="D80" i="21"/>
  <c r="D88" i="21" s="1"/>
  <c r="C80" i="21"/>
  <c r="C88" i="21" s="1"/>
  <c r="B87" i="21" l="1"/>
  <c r="A88" i="21"/>
  <c r="A46" i="40" l="1"/>
  <c r="K169" i="43"/>
  <c r="K142" i="43"/>
  <c r="C117" i="43"/>
  <c r="C118" i="43" s="1"/>
  <c r="R118" i="43" s="1"/>
  <c r="C106" i="43"/>
  <c r="D107" i="43"/>
  <c r="D108" i="43" s="1"/>
  <c r="E107" i="43"/>
  <c r="E108" i="43" s="1"/>
  <c r="F107" i="43"/>
  <c r="F108" i="43" s="1"/>
  <c r="G107" i="43"/>
  <c r="G108" i="43" s="1"/>
  <c r="H107" i="43"/>
  <c r="H108" i="43" s="1"/>
  <c r="C107" i="43"/>
  <c r="C108" i="43" s="1"/>
  <c r="D106" i="43"/>
  <c r="E106" i="43"/>
  <c r="F106" i="43"/>
  <c r="G106" i="43"/>
  <c r="H106" i="43"/>
  <c r="D112" i="43"/>
  <c r="D113" i="43" s="1"/>
  <c r="C112" i="43"/>
  <c r="C113" i="43" s="1"/>
  <c r="R113" i="43" s="1"/>
  <c r="A203" i="40"/>
  <c r="D174" i="40"/>
  <c r="D173" i="40"/>
  <c r="D172" i="40"/>
  <c r="D170" i="40"/>
  <c r="D125" i="43"/>
  <c r="E125" i="43"/>
  <c r="F125" i="43"/>
  <c r="G125" i="43"/>
  <c r="G127" i="43" s="1"/>
  <c r="H125" i="43"/>
  <c r="H127" i="43" s="1"/>
  <c r="I125" i="43"/>
  <c r="I127" i="43" s="1"/>
  <c r="C125" i="43"/>
  <c r="I142" i="40"/>
  <c r="I144" i="40" s="1"/>
  <c r="H142" i="40"/>
  <c r="H144" i="40" s="1"/>
  <c r="G142" i="40"/>
  <c r="G144" i="40" s="1"/>
  <c r="E142" i="40"/>
  <c r="E144" i="40" s="1"/>
  <c r="C148" i="40" s="1"/>
  <c r="D142" i="40"/>
  <c r="D144" i="40" s="1"/>
  <c r="H150" i="43"/>
  <c r="A150" i="43"/>
  <c r="H149" i="43"/>
  <c r="A149" i="43"/>
  <c r="G3" i="40"/>
  <c r="H168" i="32"/>
  <c r="K168" i="32" s="1"/>
  <c r="H167" i="32"/>
  <c r="K167" i="32" s="1"/>
  <c r="R108" i="43" l="1"/>
  <c r="I204" i="43" s="1"/>
  <c r="G149" i="40"/>
  <c r="G147" i="40" s="1"/>
  <c r="F149" i="40"/>
  <c r="F147" i="40" s="1"/>
  <c r="I149" i="40"/>
  <c r="I147" i="40" s="1"/>
  <c r="E149" i="40"/>
  <c r="E147" i="40" s="1"/>
  <c r="H149" i="40"/>
  <c r="H147" i="40" s="1"/>
  <c r="D149" i="40"/>
  <c r="D147" i="40" s="1"/>
  <c r="C149" i="40"/>
  <c r="C147" i="40" s="1"/>
  <c r="J149" i="43"/>
  <c r="J150" i="43"/>
  <c r="K148" i="21"/>
  <c r="K145" i="21"/>
  <c r="K149" i="21"/>
  <c r="K151" i="21"/>
  <c r="K150" i="21"/>
  <c r="K147" i="21"/>
  <c r="K144" i="21"/>
  <c r="K146" i="21"/>
  <c r="K143" i="21"/>
  <c r="M150" i="43" l="1"/>
  <c r="R150" i="43"/>
  <c r="I221" i="43" s="1"/>
  <c r="H221" i="43" s="1"/>
  <c r="M149" i="43"/>
  <c r="R149" i="43"/>
  <c r="I220" i="43" s="1"/>
  <c r="H220" i="43" s="1"/>
  <c r="F127" i="43"/>
  <c r="C127" i="43"/>
  <c r="E127" i="43"/>
  <c r="D127" i="43"/>
  <c r="K122" i="43"/>
  <c r="C126" i="43"/>
  <c r="L149" i="43"/>
  <c r="N149" i="43" s="1"/>
  <c r="K150" i="43"/>
  <c r="L150" i="43"/>
  <c r="N150" i="43" s="1"/>
  <c r="K149" i="43"/>
  <c r="K125" i="43" l="1"/>
  <c r="L122" i="43"/>
  <c r="K276" i="32"/>
  <c r="L125" i="43" l="1"/>
  <c r="M125" i="43"/>
  <c r="C13" i="53"/>
  <c r="N125" i="43" l="1"/>
  <c r="C17" i="37"/>
  <c r="A47" i="11"/>
  <c r="N35" i="11"/>
  <c r="Z35" i="11"/>
  <c r="H35" i="11"/>
  <c r="T35" i="11"/>
  <c r="AF35" i="11"/>
  <c r="AL35" i="11"/>
  <c r="B35" i="11"/>
  <c r="A167" i="32" l="1"/>
  <c r="A163" i="32"/>
  <c r="L177" i="11"/>
  <c r="AN39" i="11"/>
  <c r="AH39" i="11"/>
  <c r="A354" i="32"/>
  <c r="A125" i="32"/>
  <c r="H159" i="32"/>
  <c r="J159" i="32" s="1"/>
  <c r="H158" i="32"/>
  <c r="L171" i="11" l="1"/>
  <c r="J158" i="32"/>
  <c r="I227" i="32" s="1"/>
  <c r="H227" i="32" s="1"/>
  <c r="A333" i="32"/>
  <c r="K326" i="32"/>
  <c r="K327" i="32" s="1"/>
  <c r="A326" i="32"/>
  <c r="A324" i="32"/>
  <c r="K324" i="32"/>
  <c r="J121" i="11" l="1"/>
  <c r="C119" i="16" l="1"/>
  <c r="J125" i="16"/>
  <c r="J126" i="16" l="1"/>
  <c r="K41" i="51"/>
  <c r="K42" i="51" s="1"/>
  <c r="K43" i="51" s="1"/>
  <c r="K44" i="51" s="1"/>
  <c r="A40" i="51"/>
  <c r="A8" i="50"/>
  <c r="E40" i="59" s="1"/>
  <c r="B125" i="16"/>
  <c r="D125" i="16"/>
  <c r="L125" i="16"/>
  <c r="F125" i="16"/>
  <c r="N125" i="16"/>
  <c r="F126" i="16" l="1"/>
  <c r="B126" i="16"/>
  <c r="D126" i="16"/>
  <c r="L126" i="16"/>
  <c r="N126" i="16"/>
  <c r="H112" i="30"/>
  <c r="H113" i="30" l="1"/>
  <c r="A46" i="21"/>
  <c r="E19" i="6"/>
  <c r="E16" i="6"/>
  <c r="E22" i="6"/>
  <c r="E18" i="6"/>
  <c r="E17" i="6"/>
  <c r="E21" i="6"/>
  <c r="E20" i="6"/>
  <c r="A558" i="17" l="1"/>
  <c r="B98" i="21"/>
  <c r="B97" i="21"/>
  <c r="B99" i="21"/>
  <c r="B95" i="21"/>
  <c r="D98" i="21"/>
  <c r="C95" i="21"/>
  <c r="C99" i="21"/>
  <c r="D96" i="21"/>
  <c r="D95" i="21"/>
  <c r="C97" i="21"/>
  <c r="B96" i="21"/>
  <c r="C98" i="21"/>
  <c r="D97" i="21"/>
  <c r="C96" i="21"/>
  <c r="D99" i="21"/>
  <c r="B101" i="21" l="1"/>
  <c r="B102" i="21" s="1"/>
  <c r="C103" i="53"/>
  <c r="D103" i="53"/>
  <c r="C245" i="52" s="1"/>
  <c r="D165" i="17"/>
  <c r="G165" i="17"/>
  <c r="E165" i="17"/>
  <c r="C165" i="17"/>
  <c r="F165" i="17"/>
  <c r="F185" i="17" l="1"/>
  <c r="F184" i="17"/>
  <c r="E186" i="17"/>
  <c r="E184" i="17"/>
  <c r="E185" i="17"/>
  <c r="C184" i="17"/>
  <c r="C185" i="17"/>
  <c r="D184" i="17"/>
  <c r="D185" i="17"/>
  <c r="G184" i="17"/>
  <c r="G185" i="17"/>
  <c r="C105" i="53"/>
  <c r="C231" i="52" s="1"/>
  <c r="C229" i="52"/>
  <c r="D107" i="53"/>
  <c r="D245" i="52" s="1"/>
  <c r="D104" i="53"/>
  <c r="C102" i="53"/>
  <c r="C107" i="53"/>
  <c r="D229" i="52" s="1"/>
  <c r="C104" i="53"/>
  <c r="B105" i="53"/>
  <c r="B102" i="53"/>
  <c r="D105" i="53"/>
  <c r="D102" i="53"/>
  <c r="E19" i="3"/>
  <c r="C59" i="3" s="1"/>
  <c r="H105" i="24"/>
  <c r="A123" i="24" l="1"/>
  <c r="A124" i="24"/>
  <c r="E194" i="17"/>
  <c r="C109" i="53"/>
  <c r="D231" i="52" s="1"/>
  <c r="D108" i="53"/>
  <c r="D246" i="52" s="1"/>
  <c r="C246" i="52"/>
  <c r="C108" i="53"/>
  <c r="D230" i="52" s="1"/>
  <c r="C230" i="52"/>
  <c r="C247" i="52"/>
  <c r="C215" i="52"/>
  <c r="D109" i="53"/>
  <c r="B109" i="53"/>
  <c r="D215" i="52" s="1"/>
  <c r="U4" i="38"/>
  <c r="T8" i="38"/>
  <c r="T7" i="38"/>
  <c r="W26" i="3"/>
  <c r="T21" i="3"/>
  <c r="F21" i="3"/>
  <c r="W23" i="3"/>
  <c r="S23" i="3"/>
  <c r="W21" i="3"/>
  <c r="T24" i="3"/>
  <c r="T27" i="3"/>
  <c r="W25" i="3"/>
  <c r="U25" i="3"/>
  <c r="U27" i="3"/>
  <c r="S26" i="3"/>
  <c r="F26" i="3"/>
  <c r="G24" i="3"/>
  <c r="T23" i="3"/>
  <c r="U23" i="3"/>
  <c r="G22" i="3"/>
  <c r="T22" i="3"/>
  <c r="F24" i="3"/>
  <c r="F23" i="3"/>
  <c r="T25" i="3"/>
  <c r="S24" i="3"/>
  <c r="F25" i="3"/>
  <c r="F22" i="3"/>
  <c r="U26" i="3"/>
  <c r="T26" i="3"/>
  <c r="S22" i="3"/>
  <c r="W22" i="3"/>
  <c r="S27" i="3"/>
  <c r="G27" i="3"/>
  <c r="G26" i="3"/>
  <c r="J21" i="3"/>
  <c r="W27" i="3"/>
  <c r="S25" i="3"/>
  <c r="G23" i="3"/>
  <c r="U24" i="3"/>
  <c r="U21" i="3"/>
  <c r="W24" i="3"/>
  <c r="G25" i="3"/>
  <c r="G21" i="3"/>
  <c r="S21" i="3"/>
  <c r="U22" i="3"/>
  <c r="F27" i="3"/>
  <c r="J24" i="3"/>
  <c r="T4" i="38" l="1"/>
  <c r="A106" i="46" s="1"/>
  <c r="A126" i="33"/>
  <c r="A104" i="46"/>
  <c r="X23" i="3"/>
  <c r="X25" i="3"/>
  <c r="X26" i="3"/>
  <c r="X24" i="3"/>
  <c r="X27" i="3"/>
  <c r="X22" i="3"/>
  <c r="X21" i="3"/>
  <c r="K24" i="3"/>
  <c r="K21" i="3"/>
  <c r="T29" i="3"/>
  <c r="T28" i="3"/>
  <c r="S28" i="3"/>
  <c r="G28" i="3"/>
  <c r="F28" i="3"/>
  <c r="D247" i="52"/>
  <c r="A657" i="52" s="1"/>
  <c r="A125" i="30"/>
  <c r="A294" i="39" l="1"/>
  <c r="A135" i="24"/>
  <c r="A137" i="24"/>
  <c r="A158" i="43"/>
  <c r="A209" i="32"/>
  <c r="A231" i="46"/>
  <c r="A124" i="33"/>
  <c r="A233" i="46"/>
  <c r="A296" i="39" s="1"/>
  <c r="A123" i="30"/>
  <c r="A116" i="26"/>
  <c r="E285" i="17"/>
  <c r="E499" i="17"/>
  <c r="E496" i="17"/>
  <c r="E495" i="17"/>
  <c r="E500" i="17"/>
  <c r="K39" i="39"/>
  <c r="K40" i="39" s="1"/>
  <c r="K40" i="43"/>
  <c r="K41" i="43" s="1"/>
  <c r="K39" i="30"/>
  <c r="K40" i="30" s="1"/>
  <c r="K35" i="26"/>
  <c r="K36" i="26" s="1"/>
  <c r="K40" i="24"/>
  <c r="K41" i="24" s="1"/>
  <c r="K41" i="32"/>
  <c r="K42" i="32" s="1"/>
  <c r="E291" i="17" l="1"/>
  <c r="E288" i="17"/>
  <c r="E336" i="17" l="1"/>
  <c r="D126" i="43"/>
  <c r="D128" i="43"/>
  <c r="K126" i="43"/>
  <c r="K127" i="43" s="1"/>
  <c r="K128" i="43" s="1"/>
  <c r="K121" i="43"/>
  <c r="E128" i="43"/>
  <c r="E126" i="43"/>
  <c r="I128" i="43"/>
  <c r="I126" i="43"/>
  <c r="H126" i="43"/>
  <c r="H128" i="43"/>
  <c r="G126" i="43"/>
  <c r="G128" i="43"/>
  <c r="F126" i="43"/>
  <c r="F128" i="43"/>
  <c r="M122" i="43"/>
  <c r="E339" i="17" l="1"/>
  <c r="E342" i="17"/>
  <c r="L128" i="43"/>
  <c r="L126" i="43"/>
  <c r="M126" i="43"/>
  <c r="C128" i="43"/>
  <c r="N122" i="43"/>
  <c r="L121" i="43"/>
  <c r="M121" i="43"/>
  <c r="K273" i="43" l="1"/>
  <c r="K274" i="43" s="1"/>
  <c r="R128" i="43"/>
  <c r="I205" i="43" s="1"/>
  <c r="N126" i="43"/>
  <c r="E387" i="17"/>
  <c r="M128" i="43"/>
  <c r="N121" i="43"/>
  <c r="K276" i="43" l="1"/>
  <c r="K275" i="43"/>
  <c r="E393" i="17"/>
  <c r="E390" i="17"/>
  <c r="N128" i="43"/>
  <c r="C87" i="21"/>
  <c r="D87" i="21"/>
  <c r="F57" i="21"/>
  <c r="B57" i="21"/>
  <c r="J57" i="21"/>
  <c r="E438" i="17" l="1"/>
  <c r="B67" i="21"/>
  <c r="B66" i="21"/>
  <c r="C100" i="21"/>
  <c r="D101" i="21"/>
  <c r="D102" i="21" s="1"/>
  <c r="D100" i="21"/>
  <c r="C101" i="21"/>
  <c r="C102" i="21" s="1"/>
  <c r="B100" i="21"/>
  <c r="E441" i="17" l="1"/>
  <c r="E444" i="17"/>
  <c r="D77" i="21"/>
  <c r="F67" i="21" s="1"/>
  <c r="F136" i="16" s="1"/>
  <c r="C77" i="21"/>
  <c r="F66" i="21" s="1"/>
  <c r="F135" i="16" s="1"/>
  <c r="D67" i="21" l="1"/>
  <c r="D66" i="21"/>
  <c r="C104" i="21"/>
  <c r="D104" i="21"/>
  <c r="B53" i="53"/>
  <c r="K38" i="52"/>
  <c r="K39" i="52" s="1"/>
  <c r="D136" i="16" l="1"/>
  <c r="F127" i="16" s="1"/>
  <c r="D135" i="16"/>
  <c r="D127" i="16" s="1"/>
  <c r="D105" i="21"/>
  <c r="H118" i="30"/>
  <c r="C105" i="21"/>
  <c r="H116" i="30"/>
  <c r="B59" i="21"/>
  <c r="D77" i="51"/>
  <c r="F77" i="51" s="1"/>
  <c r="D76" i="51"/>
  <c r="F76" i="51" s="1"/>
  <c r="D75" i="51"/>
  <c r="F75" i="51" s="1"/>
  <c r="D71" i="51"/>
  <c r="F71" i="51" s="1"/>
  <c r="D70" i="51"/>
  <c r="F70" i="51" s="1"/>
  <c r="D69" i="51"/>
  <c r="F69" i="51" s="1"/>
  <c r="D65" i="51"/>
  <c r="F65" i="51" s="1"/>
  <c r="D64" i="51"/>
  <c r="F64" i="51" s="1"/>
  <c r="F63" i="51"/>
  <c r="H21" i="3"/>
  <c r="A100" i="51" l="1"/>
  <c r="G562" i="17"/>
  <c r="F562" i="17"/>
  <c r="E562" i="17"/>
  <c r="D562" i="17"/>
  <c r="C562" i="17"/>
  <c r="G550" i="17"/>
  <c r="F550" i="17"/>
  <c r="E550" i="17"/>
  <c r="D550" i="17"/>
  <c r="C550" i="17"/>
  <c r="F234" i="39" s="1"/>
  <c r="I133" i="17" l="1"/>
  <c r="K70" i="39"/>
  <c r="H67" i="39"/>
  <c r="K67" i="39" s="1"/>
  <c r="H72" i="39" l="1"/>
  <c r="L72" i="39" s="1"/>
  <c r="K72" i="39" s="1"/>
  <c r="K519" i="39"/>
  <c r="K396" i="39"/>
  <c r="K324" i="39"/>
  <c r="E51" i="39" l="1"/>
  <c r="F91" i="33" l="1"/>
  <c r="F92" i="33"/>
  <c r="A43" i="33"/>
  <c r="H51" i="3" l="1"/>
  <c r="K161" i="32" l="1"/>
  <c r="K162" i="32"/>
  <c r="K163" i="32"/>
  <c r="K160" i="32"/>
  <c r="A153" i="32"/>
  <c r="K140" i="32"/>
  <c r="K144" i="32" s="1"/>
  <c r="K145" i="32" s="1"/>
  <c r="K146" i="32" s="1"/>
  <c r="K147" i="32" s="1"/>
  <c r="K148" i="32" s="1"/>
  <c r="K149" i="32" s="1"/>
  <c r="K150" i="32" s="1"/>
  <c r="K152" i="32" s="1"/>
  <c r="K139" i="32"/>
  <c r="K72" i="32"/>
  <c r="K66" i="32"/>
  <c r="K65" i="32"/>
  <c r="K207" i="32"/>
  <c r="K208" i="32" s="1"/>
  <c r="A39" i="51" l="1"/>
  <c r="A83" i="51" l="1"/>
  <c r="B11" i="37" l="1"/>
  <c r="I1" i="55" l="1"/>
  <c r="J1" i="57"/>
  <c r="J1" i="46"/>
  <c r="C131" i="46" s="1"/>
  <c r="F235" i="46"/>
  <c r="I1" i="51"/>
  <c r="G1019" i="57" l="1"/>
  <c r="G1023" i="57"/>
  <c r="G1016" i="57"/>
  <c r="G1017" i="57"/>
  <c r="G1018" i="57"/>
  <c r="G1020" i="57"/>
  <c r="G1024" i="57"/>
  <c r="I42" i="51"/>
  <c r="G42" i="51"/>
  <c r="A42" i="51"/>
  <c r="I36" i="51"/>
  <c r="G36" i="51"/>
  <c r="D36" i="51"/>
  <c r="A36" i="51"/>
  <c r="J88" i="33" l="1"/>
  <c r="P151" i="21"/>
  <c r="U151" i="21"/>
  <c r="P150" i="21"/>
  <c r="U150" i="21"/>
  <c r="P149" i="21"/>
  <c r="U149" i="21"/>
  <c r="P148" i="21"/>
  <c r="U148" i="21"/>
  <c r="P147" i="21"/>
  <c r="U147" i="21"/>
  <c r="P146" i="21"/>
  <c r="U146" i="21"/>
  <c r="P145" i="21"/>
  <c r="P144" i="21"/>
  <c r="D97" i="33"/>
  <c r="E97" i="33"/>
  <c r="F97" i="33"/>
  <c r="D98" i="33"/>
  <c r="E98" i="33"/>
  <c r="F98" i="33"/>
  <c r="D96" i="33"/>
  <c r="E96" i="33"/>
  <c r="D94" i="33"/>
  <c r="E94" i="33"/>
  <c r="F94" i="33"/>
  <c r="D95" i="33"/>
  <c r="E95" i="33"/>
  <c r="F95" i="33"/>
  <c r="D93" i="33"/>
  <c r="E93" i="33"/>
  <c r="F93" i="33"/>
  <c r="D91" i="33"/>
  <c r="E91" i="33"/>
  <c r="D92" i="33"/>
  <c r="E92" i="33"/>
  <c r="D90" i="33"/>
  <c r="E90" i="33"/>
  <c r="F90" i="33"/>
  <c r="U145" i="21"/>
  <c r="U144" i="21"/>
  <c r="U143" i="21"/>
  <c r="E139" i="21"/>
  <c r="B135" i="21"/>
  <c r="F151" i="21"/>
  <c r="C98" i="33" s="1"/>
  <c r="F150" i="21"/>
  <c r="C97" i="33" s="1"/>
  <c r="F149" i="21"/>
  <c r="C96" i="33" s="1"/>
  <c r="F148" i="21"/>
  <c r="C95" i="33" s="1"/>
  <c r="F147" i="21"/>
  <c r="C94" i="33" s="1"/>
  <c r="F146" i="21"/>
  <c r="C93" i="33" s="1"/>
  <c r="F145" i="21"/>
  <c r="C92" i="33" s="1"/>
  <c r="F144" i="21"/>
  <c r="C91" i="33" s="1"/>
  <c r="F143" i="21"/>
  <c r="C90" i="33" s="1"/>
  <c r="N148" i="21"/>
  <c r="N147" i="21"/>
  <c r="N144" i="21"/>
  <c r="N145" i="21"/>
  <c r="N150" i="21"/>
  <c r="L150" i="21" l="1"/>
  <c r="G97" i="33" s="1"/>
  <c r="L147" i="21"/>
  <c r="G94" i="33" s="1"/>
  <c r="L148" i="21"/>
  <c r="G95" i="33" s="1"/>
  <c r="L144" i="21"/>
  <c r="L145" i="21"/>
  <c r="M145" i="21" s="1"/>
  <c r="V149" i="21"/>
  <c r="V151" i="21"/>
  <c r="V148" i="21"/>
  <c r="V146" i="21"/>
  <c r="V143" i="21"/>
  <c r="V150" i="21"/>
  <c r="V147" i="21"/>
  <c r="V144" i="21"/>
  <c r="V145" i="21"/>
  <c r="P143" i="21"/>
  <c r="G78" i="33"/>
  <c r="F78" i="33"/>
  <c r="E78" i="33"/>
  <c r="D78" i="33"/>
  <c r="C78" i="33"/>
  <c r="G77" i="33"/>
  <c r="F77" i="33"/>
  <c r="E77" i="33"/>
  <c r="D77" i="33"/>
  <c r="C77" i="33"/>
  <c r="G76" i="33"/>
  <c r="F76" i="33"/>
  <c r="E76" i="33"/>
  <c r="D76" i="33"/>
  <c r="C76" i="33"/>
  <c r="J81" i="33"/>
  <c r="J74" i="33"/>
  <c r="G82" i="33"/>
  <c r="J56" i="33"/>
  <c r="J55" i="33" s="1"/>
  <c r="J126" i="33"/>
  <c r="J127" i="33" s="1"/>
  <c r="A29" i="33"/>
  <c r="N149" i="21"/>
  <c r="N146" i="21"/>
  <c r="N151" i="21"/>
  <c r="I82" i="33" l="1"/>
  <c r="L149" i="21"/>
  <c r="G96" i="33" s="1"/>
  <c r="L151" i="21"/>
  <c r="M151" i="21" s="1"/>
  <c r="H98" i="33" s="1"/>
  <c r="J98" i="33" s="1"/>
  <c r="L146" i="21"/>
  <c r="G93" i="33" s="1"/>
  <c r="M147" i="21"/>
  <c r="H94" i="33" s="1"/>
  <c r="J94" i="33" s="1"/>
  <c r="M150" i="21"/>
  <c r="H97" i="33" s="1"/>
  <c r="J97" i="33" s="1"/>
  <c r="M148" i="21"/>
  <c r="H95" i="33" s="1"/>
  <c r="J95" i="33" s="1"/>
  <c r="G92" i="33"/>
  <c r="H92" i="33"/>
  <c r="J92" i="33" s="1"/>
  <c r="G91" i="33"/>
  <c r="M144" i="21"/>
  <c r="H91" i="33" s="1"/>
  <c r="J91" i="33" s="1"/>
  <c r="J82" i="33"/>
  <c r="J85" i="33" s="1"/>
  <c r="J83" i="33"/>
  <c r="J86" i="33" s="1"/>
  <c r="J84" i="33"/>
  <c r="J87" i="33" s="1"/>
  <c r="J72" i="33"/>
  <c r="J73" i="33" s="1"/>
  <c r="G84" i="33"/>
  <c r="D41" i="21"/>
  <c r="N143" i="21"/>
  <c r="I84" i="33" l="1"/>
  <c r="L143" i="21"/>
  <c r="M149" i="21"/>
  <c r="H96" i="33" s="1"/>
  <c r="J96" i="33" s="1"/>
  <c r="G98" i="33"/>
  <c r="M146" i="21"/>
  <c r="H93" i="33" s="1"/>
  <c r="J93" i="33" s="1"/>
  <c r="F59" i="21"/>
  <c r="J59" i="21"/>
  <c r="H78" i="33" s="1"/>
  <c r="J78" i="33" s="1"/>
  <c r="L41" i="21"/>
  <c r="N41" i="21" s="1"/>
  <c r="D40" i="21"/>
  <c r="G90" i="33" l="1"/>
  <c r="M143" i="21"/>
  <c r="H90" i="33" s="1"/>
  <c r="H77" i="33"/>
  <c r="J77" i="33" s="1"/>
  <c r="J75" i="33"/>
  <c r="H76" i="33"/>
  <c r="J76" i="33" s="1"/>
  <c r="L40" i="21"/>
  <c r="N40" i="21" s="1"/>
  <c r="H69" i="33" s="1"/>
  <c r="D39" i="21"/>
  <c r="J80" i="33" l="1"/>
  <c r="J79" i="33"/>
  <c r="J90" i="33"/>
  <c r="J89" i="33"/>
  <c r="J100" i="33"/>
  <c r="J101" i="33" s="1"/>
  <c r="L39" i="21"/>
  <c r="N39" i="21" s="1"/>
  <c r="D38" i="21"/>
  <c r="L38" i="21" l="1"/>
  <c r="N38" i="21" s="1"/>
  <c r="D37" i="21"/>
  <c r="L37" i="21" l="1"/>
  <c r="N37" i="21" s="1"/>
  <c r="D36" i="21"/>
  <c r="L36" i="21" l="1"/>
  <c r="N36" i="21" s="1"/>
  <c r="D35" i="21"/>
  <c r="L35" i="21" l="1"/>
  <c r="N35" i="21" s="1"/>
  <c r="D34" i="21"/>
  <c r="L34" i="21" l="1"/>
  <c r="N34" i="21" s="1"/>
  <c r="D33" i="21"/>
  <c r="L33" i="21" l="1"/>
  <c r="N33" i="21" s="1"/>
  <c r="D32" i="21"/>
  <c r="L32" i="21" l="1"/>
  <c r="N32" i="21" s="1"/>
  <c r="D31" i="21"/>
  <c r="L31" i="21" l="1"/>
  <c r="N31" i="21" s="1"/>
  <c r="D30" i="21"/>
  <c r="L30" i="21" l="1"/>
  <c r="N30" i="21" s="1"/>
  <c r="D29" i="21"/>
  <c r="L29" i="21" l="1"/>
  <c r="N29" i="21" s="1"/>
  <c r="D28" i="21"/>
  <c r="L28" i="21" l="1"/>
  <c r="N28" i="21" s="1"/>
  <c r="H57" i="33" s="1"/>
  <c r="A102" i="30"/>
  <c r="G26" i="40" l="1"/>
  <c r="G38" i="40" s="1"/>
  <c r="A55" i="40" l="1"/>
  <c r="G57" i="40" s="1"/>
  <c r="K46" i="40"/>
  <c r="H26" i="40"/>
  <c r="H38" i="40" s="1"/>
  <c r="C26" i="40"/>
  <c r="C38" i="40" s="1"/>
  <c r="I13" i="40"/>
  <c r="C13" i="40"/>
  <c r="C47" i="40"/>
  <c r="E53" i="53" l="1"/>
  <c r="D53" i="53"/>
  <c r="D251" i="52" s="1"/>
  <c r="C53" i="53"/>
  <c r="D235" i="52" s="1"/>
  <c r="D219" i="52"/>
  <c r="K648" i="52"/>
  <c r="K649" i="52" s="1"/>
  <c r="K650" i="52" s="1"/>
  <c r="A648" i="52"/>
  <c r="K646" i="52"/>
  <c r="K667" i="52"/>
  <c r="K668" i="52" s="1"/>
  <c r="K669" i="52" s="1"/>
  <c r="K613" i="52"/>
  <c r="K614" i="52" s="1"/>
  <c r="K615" i="52" s="1"/>
  <c r="A613" i="52"/>
  <c r="E13" i="53"/>
  <c r="D13" i="53"/>
  <c r="D267" i="52"/>
  <c r="C267" i="52"/>
  <c r="A267" i="52"/>
  <c r="A258" i="52"/>
  <c r="A257" i="52"/>
  <c r="A256" i="52"/>
  <c r="A255" i="52"/>
  <c r="A254" i="52"/>
  <c r="K254" i="52"/>
  <c r="K255" i="52" s="1"/>
  <c r="K256" i="52" s="1"/>
  <c r="K257" i="52" s="1"/>
  <c r="K258" i="52" s="1"/>
  <c r="K259" i="52" s="1"/>
  <c r="K260" i="52" s="1"/>
  <c r="K261" i="52" s="1"/>
  <c r="K262" i="52" s="1"/>
  <c r="K263" i="52" s="1"/>
  <c r="K264" i="52" s="1"/>
  <c r="K265" i="52" s="1"/>
  <c r="K266" i="52" s="1"/>
  <c r="K267" i="52" s="1"/>
  <c r="K268" i="52" s="1"/>
  <c r="K269" i="52" s="1"/>
  <c r="C251" i="52"/>
  <c r="A251" i="52"/>
  <c r="A242" i="52"/>
  <c r="A241" i="52"/>
  <c r="A240" i="52"/>
  <c r="A239" i="52"/>
  <c r="A238" i="52"/>
  <c r="K238" i="52"/>
  <c r="K239" i="52" s="1"/>
  <c r="K240" i="52" s="1"/>
  <c r="K241" i="52" s="1"/>
  <c r="K242" i="52" s="1"/>
  <c r="K243" i="52" s="1"/>
  <c r="K244" i="52" s="1"/>
  <c r="K245" i="52" s="1"/>
  <c r="K246" i="52" s="1"/>
  <c r="K247" i="52" s="1"/>
  <c r="K248" i="52" s="1"/>
  <c r="K249" i="52" s="1"/>
  <c r="K250" i="52" s="1"/>
  <c r="K251" i="52" s="1"/>
  <c r="K252" i="52" s="1"/>
  <c r="K253" i="52" s="1"/>
  <c r="K222" i="52"/>
  <c r="K223" i="52" s="1"/>
  <c r="K224" i="52" s="1"/>
  <c r="K225" i="52" s="1"/>
  <c r="K226" i="52" s="1"/>
  <c r="K227" i="52" s="1"/>
  <c r="K228" i="52" s="1"/>
  <c r="K229" i="52" s="1"/>
  <c r="K230" i="52" s="1"/>
  <c r="K231" i="52" s="1"/>
  <c r="K232" i="52" s="1"/>
  <c r="K233" i="52" s="1"/>
  <c r="K234" i="52" s="1"/>
  <c r="K235" i="52" s="1"/>
  <c r="K236" i="52" s="1"/>
  <c r="K237" i="52" s="1"/>
  <c r="K206" i="52"/>
  <c r="K207" i="52" s="1"/>
  <c r="K208" i="52" s="1"/>
  <c r="K209" i="52" s="1"/>
  <c r="K210" i="52" s="1"/>
  <c r="K211" i="52" s="1"/>
  <c r="K212" i="52" s="1"/>
  <c r="K213" i="52" s="1"/>
  <c r="K214" i="52" s="1"/>
  <c r="K215" i="52" s="1"/>
  <c r="K216" i="52" s="1"/>
  <c r="K217" i="52" s="1"/>
  <c r="K218" i="52" s="1"/>
  <c r="K219" i="52" s="1"/>
  <c r="K220" i="52" s="1"/>
  <c r="K221" i="52" s="1"/>
  <c r="C235" i="52"/>
  <c r="A235" i="52"/>
  <c r="A219" i="52"/>
  <c r="C219" i="52"/>
  <c r="A226" i="52"/>
  <c r="A225" i="52"/>
  <c r="A224" i="52"/>
  <c r="A223" i="52"/>
  <c r="A222" i="52"/>
  <c r="A206" i="52"/>
  <c r="A210" i="52"/>
  <c r="A209" i="52"/>
  <c r="A208" i="52"/>
  <c r="A207" i="52"/>
  <c r="G58" i="53"/>
  <c r="H58" i="53"/>
  <c r="I58" i="53"/>
  <c r="J58" i="53"/>
  <c r="G59" i="53"/>
  <c r="H59" i="53"/>
  <c r="I59" i="53"/>
  <c r="J59" i="53"/>
  <c r="G60" i="53"/>
  <c r="H60" i="53"/>
  <c r="I60" i="53"/>
  <c r="J60" i="53"/>
  <c r="G61" i="53"/>
  <c r="H61" i="53"/>
  <c r="I61" i="53"/>
  <c r="J61" i="53"/>
  <c r="G62" i="53"/>
  <c r="H62" i="53"/>
  <c r="I62" i="53"/>
  <c r="J62" i="53"/>
  <c r="G63" i="53"/>
  <c r="H63" i="53"/>
  <c r="I63" i="53"/>
  <c r="J63" i="53"/>
  <c r="G64" i="53"/>
  <c r="H64" i="53"/>
  <c r="I64" i="53"/>
  <c r="J64" i="53"/>
  <c r="G65" i="53"/>
  <c r="H65" i="53"/>
  <c r="I65" i="53"/>
  <c r="J65" i="53"/>
  <c r="G66" i="53"/>
  <c r="H66" i="53"/>
  <c r="I66" i="53"/>
  <c r="J66" i="53"/>
  <c r="G67" i="53"/>
  <c r="H67" i="53"/>
  <c r="I67" i="53"/>
  <c r="J67" i="53"/>
  <c r="G68" i="53"/>
  <c r="H68" i="53"/>
  <c r="I68" i="53"/>
  <c r="J68" i="53"/>
  <c r="G69" i="53"/>
  <c r="H69" i="53"/>
  <c r="I69" i="53"/>
  <c r="J69" i="53"/>
  <c r="G70" i="53"/>
  <c r="H70" i="53"/>
  <c r="I70" i="53"/>
  <c r="J70" i="53"/>
  <c r="G71" i="53"/>
  <c r="H71" i="53"/>
  <c r="I71" i="53"/>
  <c r="J71" i="53"/>
  <c r="G72" i="53"/>
  <c r="H72" i="53"/>
  <c r="I72" i="53"/>
  <c r="J72" i="53"/>
  <c r="G73" i="53"/>
  <c r="H73" i="53"/>
  <c r="I73" i="53"/>
  <c r="J73" i="53"/>
  <c r="G74" i="53"/>
  <c r="H74" i="53"/>
  <c r="I74" i="53"/>
  <c r="J74" i="53"/>
  <c r="G75" i="53"/>
  <c r="H75" i="53"/>
  <c r="I75" i="53"/>
  <c r="J75" i="53"/>
  <c r="G76" i="53"/>
  <c r="H76" i="53"/>
  <c r="I76" i="53"/>
  <c r="J76" i="53"/>
  <c r="G77" i="53"/>
  <c r="H77" i="53"/>
  <c r="I77" i="53"/>
  <c r="J77" i="53"/>
  <c r="G56" i="53"/>
  <c r="J57" i="53"/>
  <c r="I57" i="53"/>
  <c r="H57" i="53"/>
  <c r="G57" i="53"/>
  <c r="E95" i="53"/>
  <c r="E88" i="53"/>
  <c r="E87" i="53"/>
  <c r="E82" i="53" s="1"/>
  <c r="E81" i="53" s="1"/>
  <c r="E85" i="53"/>
  <c r="E92" i="53" s="1"/>
  <c r="D95" i="53"/>
  <c r="D88" i="53"/>
  <c r="D87" i="53"/>
  <c r="D82" i="53" s="1"/>
  <c r="D81" i="53" s="1"/>
  <c r="D85" i="53"/>
  <c r="D92" i="53" s="1"/>
  <c r="C95" i="53"/>
  <c r="C88" i="53"/>
  <c r="C87" i="53"/>
  <c r="C82" i="53" s="1"/>
  <c r="C81" i="53" s="1"/>
  <c r="C85" i="53"/>
  <c r="C92" i="53" s="1"/>
  <c r="G78" i="53" l="1"/>
  <c r="I78" i="53"/>
  <c r="H78" i="53"/>
  <c r="I35" i="40"/>
  <c r="A665" i="52"/>
  <c r="J78" i="53"/>
  <c r="E80" i="53"/>
  <c r="E79" i="53" s="1"/>
  <c r="E86" i="53"/>
  <c r="E93" i="53" s="1"/>
  <c r="E98" i="53" s="1"/>
  <c r="E94" i="53"/>
  <c r="E99" i="53" s="1"/>
  <c r="D94" i="53"/>
  <c r="D99" i="53" s="1"/>
  <c r="D80" i="53"/>
  <c r="D79" i="53" s="1"/>
  <c r="D86" i="53"/>
  <c r="D93" i="53" s="1"/>
  <c r="D98" i="53" s="1"/>
  <c r="C94" i="53"/>
  <c r="C99" i="53" s="1"/>
  <c r="C80" i="53"/>
  <c r="C79" i="53" s="1"/>
  <c r="C86" i="53"/>
  <c r="C93" i="53" s="1"/>
  <c r="C98" i="53" s="1"/>
  <c r="A667" i="52"/>
  <c r="K172" i="52"/>
  <c r="K173" i="52" s="1"/>
  <c r="K174" i="52" s="1"/>
  <c r="K175" i="52" s="1"/>
  <c r="K176" i="52" s="1"/>
  <c r="K177" i="52" s="1"/>
  <c r="K166" i="52"/>
  <c r="K167" i="52" s="1"/>
  <c r="K168" i="52" s="1"/>
  <c r="K169" i="52" s="1"/>
  <c r="K170" i="52" s="1"/>
  <c r="K171" i="52" s="1"/>
  <c r="K160" i="52"/>
  <c r="K161" i="52" s="1"/>
  <c r="K162" i="52" s="1"/>
  <c r="K163" i="52" s="1"/>
  <c r="K164" i="52" s="1"/>
  <c r="K165" i="52" s="1"/>
  <c r="C182" i="52"/>
  <c r="H182" i="52" s="1"/>
  <c r="C181" i="52"/>
  <c r="H181" i="52" s="1"/>
  <c r="C180" i="52"/>
  <c r="E180" i="52" s="1"/>
  <c r="L165" i="52" s="1"/>
  <c r="M165" i="52" s="1"/>
  <c r="A178" i="52"/>
  <c r="C176" i="52"/>
  <c r="H176" i="52" s="1"/>
  <c r="C175" i="52"/>
  <c r="H175" i="52" s="1"/>
  <c r="C174" i="52"/>
  <c r="E174" i="52" s="1"/>
  <c r="L164" i="52" s="1"/>
  <c r="M164" i="52" s="1"/>
  <c r="A172" i="52"/>
  <c r="C170" i="52"/>
  <c r="H170" i="52" s="1"/>
  <c r="C169" i="52"/>
  <c r="H169" i="52" s="1"/>
  <c r="C168" i="52"/>
  <c r="E168" i="52" s="1"/>
  <c r="L163" i="52" s="1"/>
  <c r="M163" i="52" s="1"/>
  <c r="A166" i="52"/>
  <c r="C162" i="52"/>
  <c r="E162" i="52" s="1"/>
  <c r="L162" i="52" s="1"/>
  <c r="M162" i="52" s="1"/>
  <c r="C164" i="52"/>
  <c r="H164" i="52" s="1"/>
  <c r="C163" i="52"/>
  <c r="H163" i="52" s="1"/>
  <c r="A160" i="52"/>
  <c r="D14" i="53"/>
  <c r="C14" i="53"/>
  <c r="B14" i="53"/>
  <c r="I151" i="52"/>
  <c r="K151" i="52" s="1"/>
  <c r="K156" i="52" s="1"/>
  <c r="G151" i="52"/>
  <c r="I150" i="52"/>
  <c r="K150" i="52" s="1"/>
  <c r="K155" i="52" s="1"/>
  <c r="G150" i="52"/>
  <c r="I149" i="52"/>
  <c r="K149" i="52" s="1"/>
  <c r="G149" i="52"/>
  <c r="I148" i="52"/>
  <c r="K148" i="52" s="1"/>
  <c r="G148" i="52"/>
  <c r="I147" i="52"/>
  <c r="K147" i="52" s="1"/>
  <c r="G147" i="52"/>
  <c r="I146" i="52"/>
  <c r="K146" i="52" s="1"/>
  <c r="G146" i="52"/>
  <c r="I145" i="52"/>
  <c r="K145" i="52" s="1"/>
  <c r="G145" i="52"/>
  <c r="I144" i="52"/>
  <c r="K144" i="52" s="1"/>
  <c r="G144" i="52"/>
  <c r="I143" i="52"/>
  <c r="K143" i="52" s="1"/>
  <c r="G143" i="52"/>
  <c r="I142" i="52"/>
  <c r="K142" i="52" s="1"/>
  <c r="G142" i="52"/>
  <c r="G63" i="52"/>
  <c r="I63" i="52"/>
  <c r="K63" i="52" s="1"/>
  <c r="K60" i="52" s="1"/>
  <c r="G64" i="52"/>
  <c r="I64" i="52"/>
  <c r="K64" i="52" s="1"/>
  <c r="G65" i="52"/>
  <c r="I65" i="52"/>
  <c r="K65" i="52" s="1"/>
  <c r="G66" i="52"/>
  <c r="I66" i="52"/>
  <c r="K66" i="52" s="1"/>
  <c r="G67" i="52"/>
  <c r="I67" i="52"/>
  <c r="K67" i="52" s="1"/>
  <c r="G68" i="52"/>
  <c r="I68" i="52"/>
  <c r="K68" i="52" s="1"/>
  <c r="G69" i="52"/>
  <c r="I69" i="52"/>
  <c r="K69" i="52" s="1"/>
  <c r="G70" i="52"/>
  <c r="I70" i="52"/>
  <c r="K70" i="52" s="1"/>
  <c r="G71" i="52"/>
  <c r="I71" i="52"/>
  <c r="K71" i="52" s="1"/>
  <c r="G72" i="52"/>
  <c r="I72" i="52"/>
  <c r="K72" i="52" s="1"/>
  <c r="G73" i="52"/>
  <c r="I73" i="52"/>
  <c r="K73" i="52" s="1"/>
  <c r="G74" i="52"/>
  <c r="I74" i="52"/>
  <c r="K74" i="52" s="1"/>
  <c r="G75" i="52"/>
  <c r="I75" i="52"/>
  <c r="K75" i="52" s="1"/>
  <c r="G76" i="52"/>
  <c r="I76" i="52"/>
  <c r="K76" i="52" s="1"/>
  <c r="G77" i="52"/>
  <c r="I77" i="52"/>
  <c r="K77" i="52" s="1"/>
  <c r="G78" i="52"/>
  <c r="I78" i="52"/>
  <c r="K78" i="52" s="1"/>
  <c r="G79" i="52"/>
  <c r="I79" i="52"/>
  <c r="K79" i="52" s="1"/>
  <c r="G80" i="52"/>
  <c r="I80" i="52"/>
  <c r="K80" i="52" s="1"/>
  <c r="G81" i="52"/>
  <c r="I81" i="52"/>
  <c r="K81" i="52" s="1"/>
  <c r="G82" i="52"/>
  <c r="I82" i="52"/>
  <c r="K82" i="52" s="1"/>
  <c r="G83" i="52"/>
  <c r="I83" i="52"/>
  <c r="K83" i="52" s="1"/>
  <c r="G84" i="52"/>
  <c r="I84" i="52"/>
  <c r="K84" i="52" s="1"/>
  <c r="G85" i="52"/>
  <c r="I85" i="52"/>
  <c r="K85" i="52" s="1"/>
  <c r="G86" i="52"/>
  <c r="I86" i="52"/>
  <c r="K86" i="52" s="1"/>
  <c r="G87" i="52"/>
  <c r="I87" i="52"/>
  <c r="K87" i="52" s="1"/>
  <c r="G88" i="52"/>
  <c r="I88" i="52"/>
  <c r="K88" i="52" s="1"/>
  <c r="G89" i="52"/>
  <c r="I89" i="52"/>
  <c r="K89" i="52" s="1"/>
  <c r="G90" i="52"/>
  <c r="I90" i="52"/>
  <c r="K90" i="52" s="1"/>
  <c r="G91" i="52"/>
  <c r="I91" i="52"/>
  <c r="K91" i="52" s="1"/>
  <c r="G92" i="52"/>
  <c r="I92" i="52"/>
  <c r="K92" i="52" s="1"/>
  <c r="G93" i="52"/>
  <c r="I93" i="52"/>
  <c r="K93" i="52" s="1"/>
  <c r="G94" i="52"/>
  <c r="I94" i="52"/>
  <c r="K94" i="52" s="1"/>
  <c r="G95" i="52"/>
  <c r="I95" i="52"/>
  <c r="K95" i="52" s="1"/>
  <c r="G96" i="52"/>
  <c r="I96" i="52"/>
  <c r="K96" i="52" s="1"/>
  <c r="G97" i="52"/>
  <c r="I97" i="52"/>
  <c r="K97" i="52" s="1"/>
  <c r="G98" i="52"/>
  <c r="I98" i="52"/>
  <c r="K98" i="52" s="1"/>
  <c r="G99" i="52"/>
  <c r="I99" i="52"/>
  <c r="K99" i="52" s="1"/>
  <c r="G100" i="52"/>
  <c r="I100" i="52"/>
  <c r="K100" i="52" s="1"/>
  <c r="G101" i="52"/>
  <c r="I101" i="52"/>
  <c r="K101" i="52" s="1"/>
  <c r="G102" i="52"/>
  <c r="I102" i="52"/>
  <c r="K102" i="52" s="1"/>
  <c r="G103" i="52"/>
  <c r="I103" i="52"/>
  <c r="K103" i="52" s="1"/>
  <c r="G104" i="52"/>
  <c r="I104" i="52"/>
  <c r="K104" i="52" s="1"/>
  <c r="G105" i="52"/>
  <c r="I105" i="52"/>
  <c r="K105" i="52" s="1"/>
  <c r="G106" i="52"/>
  <c r="I106" i="52"/>
  <c r="K106" i="52" s="1"/>
  <c r="G107" i="52"/>
  <c r="I107" i="52"/>
  <c r="K107" i="52" s="1"/>
  <c r="G108" i="52"/>
  <c r="I108" i="52"/>
  <c r="K108" i="52" s="1"/>
  <c r="G109" i="52"/>
  <c r="I109" i="52"/>
  <c r="K109" i="52" s="1"/>
  <c r="G110" i="52"/>
  <c r="I110" i="52"/>
  <c r="K110" i="52" s="1"/>
  <c r="G111" i="52"/>
  <c r="I111" i="52"/>
  <c r="K111" i="52" s="1"/>
  <c r="G112" i="52"/>
  <c r="I112" i="52"/>
  <c r="K112" i="52" s="1"/>
  <c r="G113" i="52"/>
  <c r="I113" i="52"/>
  <c r="K113" i="52" s="1"/>
  <c r="G114" i="52"/>
  <c r="I114" i="52"/>
  <c r="K114" i="52" s="1"/>
  <c r="G115" i="52"/>
  <c r="I115" i="52"/>
  <c r="K115" i="52" s="1"/>
  <c r="G116" i="52"/>
  <c r="I116" i="52"/>
  <c r="K116" i="52" s="1"/>
  <c r="G117" i="52"/>
  <c r="I117" i="52"/>
  <c r="K117" i="52" s="1"/>
  <c r="G118" i="52"/>
  <c r="I118" i="52"/>
  <c r="K118" i="52" s="1"/>
  <c r="G119" i="52"/>
  <c r="I119" i="52"/>
  <c r="K119" i="52" s="1"/>
  <c r="G120" i="52"/>
  <c r="I120" i="52"/>
  <c r="K120" i="52" s="1"/>
  <c r="G121" i="52"/>
  <c r="I121" i="52"/>
  <c r="K121" i="52" s="1"/>
  <c r="G122" i="52"/>
  <c r="I122" i="52"/>
  <c r="K122" i="52" s="1"/>
  <c r="G123" i="52"/>
  <c r="I123" i="52"/>
  <c r="K123" i="52" s="1"/>
  <c r="G124" i="52"/>
  <c r="I124" i="52"/>
  <c r="K124" i="52" s="1"/>
  <c r="G125" i="52"/>
  <c r="I125" i="52"/>
  <c r="K125" i="52" s="1"/>
  <c r="G126" i="52"/>
  <c r="I126" i="52"/>
  <c r="K126" i="52" s="1"/>
  <c r="G127" i="52"/>
  <c r="I127" i="52"/>
  <c r="K127" i="52" s="1"/>
  <c r="G128" i="52"/>
  <c r="I128" i="52"/>
  <c r="K128" i="52" s="1"/>
  <c r="G129" i="52"/>
  <c r="I129" i="52"/>
  <c r="K129" i="52" s="1"/>
  <c r="G130" i="52"/>
  <c r="I130" i="52"/>
  <c r="K130" i="52" s="1"/>
  <c r="G131" i="52"/>
  <c r="I131" i="52"/>
  <c r="K131" i="52" s="1"/>
  <c r="G132" i="52"/>
  <c r="I132" i="52"/>
  <c r="K132" i="52" s="1"/>
  <c r="G133" i="52"/>
  <c r="I133" i="52"/>
  <c r="K133" i="52" s="1"/>
  <c r="G134" i="52"/>
  <c r="I134" i="52"/>
  <c r="K134" i="52" s="1"/>
  <c r="G135" i="52"/>
  <c r="I135" i="52"/>
  <c r="K135" i="52" s="1"/>
  <c r="G136" i="52"/>
  <c r="I136" i="52"/>
  <c r="K136" i="52" s="1"/>
  <c r="G137" i="52"/>
  <c r="I137" i="52"/>
  <c r="K137" i="52" s="1"/>
  <c r="G138" i="52"/>
  <c r="I138" i="52"/>
  <c r="K138" i="52" s="1"/>
  <c r="G139" i="52"/>
  <c r="I139" i="52"/>
  <c r="K139" i="52" s="1"/>
  <c r="G140" i="52"/>
  <c r="I140" i="52"/>
  <c r="K140" i="52" s="1"/>
  <c r="G141" i="52"/>
  <c r="I141" i="52"/>
  <c r="K141" i="52" s="1"/>
  <c r="A62" i="52"/>
  <c r="G62" i="52" s="1"/>
  <c r="E14" i="53"/>
  <c r="K32" i="52"/>
  <c r="K33" i="52" s="1"/>
  <c r="K30" i="52"/>
  <c r="K31" i="52" s="1"/>
  <c r="A100" i="53"/>
  <c r="A99" i="53"/>
  <c r="A98" i="53"/>
  <c r="A97" i="53"/>
  <c r="B95" i="53"/>
  <c r="B88" i="53"/>
  <c r="B87" i="53"/>
  <c r="B82" i="53" s="1"/>
  <c r="B81" i="53" s="1"/>
  <c r="B85" i="53"/>
  <c r="B92" i="53" s="1"/>
  <c r="I631" i="52" l="1"/>
  <c r="I629" i="52"/>
  <c r="K691" i="52"/>
  <c r="K26" i="52"/>
  <c r="K34" i="52" s="1"/>
  <c r="K607" i="52" s="1"/>
  <c r="A651" i="52"/>
  <c r="I38" i="40"/>
  <c r="I36" i="40"/>
  <c r="K605" i="52"/>
  <c r="K154" i="52"/>
  <c r="I62" i="52"/>
  <c r="B80" i="53"/>
  <c r="B79" i="53" s="1"/>
  <c r="B86" i="53"/>
  <c r="B93" i="53" s="1"/>
  <c r="B98" i="53" s="1"/>
  <c r="B94" i="53"/>
  <c r="B99" i="53" s="1"/>
  <c r="K183" i="52" l="1"/>
  <c r="K631" i="52"/>
  <c r="A646" i="52"/>
  <c r="I627" i="52"/>
  <c r="K642" i="52"/>
  <c r="K641" i="52"/>
  <c r="K193" i="52"/>
  <c r="K197" i="52" s="1"/>
  <c r="K27" i="52"/>
  <c r="K651" i="52"/>
  <c r="K652" i="52" s="1"/>
  <c r="K35" i="52"/>
  <c r="K610" i="52"/>
  <c r="K611" i="52" s="1"/>
  <c r="K612" i="52" s="1"/>
  <c r="K606" i="52"/>
  <c r="K657" i="52"/>
  <c r="K658" i="52" s="1"/>
  <c r="K659" i="52" s="1"/>
  <c r="K692" i="52"/>
  <c r="K693" i="52" s="1"/>
  <c r="K694" i="52" s="1"/>
  <c r="K695" i="52" s="1"/>
  <c r="K690" i="52"/>
  <c r="K608" i="52"/>
  <c r="K62" i="52"/>
  <c r="K58" i="52" s="1"/>
  <c r="K159" i="52"/>
  <c r="K61" i="52" l="1"/>
  <c r="K57" i="52" s="1"/>
  <c r="K56" i="52" s="1"/>
  <c r="K59" i="52"/>
  <c r="K665" i="52"/>
  <c r="K666" i="52" s="1"/>
  <c r="K643" i="52"/>
  <c r="K644" i="52" s="1"/>
  <c r="K152" i="52" l="1"/>
  <c r="K629" i="52"/>
  <c r="K627" i="52"/>
  <c r="L56" i="52"/>
  <c r="L154" i="52" s="1"/>
  <c r="A154" i="52" s="1"/>
  <c r="K603" i="52"/>
  <c r="K604" i="52" s="1"/>
  <c r="K647" i="52"/>
  <c r="K153" i="52" l="1"/>
  <c r="K158" i="52" s="1"/>
  <c r="K157" i="52"/>
  <c r="L194" i="52"/>
  <c r="L270" i="52" l="1"/>
  <c r="A194" i="52"/>
  <c r="K570" i="52"/>
  <c r="H105" i="26"/>
  <c r="H107" i="26"/>
  <c r="A270" i="52" l="1"/>
  <c r="L277" i="52"/>
  <c r="A277" i="52" s="1"/>
  <c r="K421" i="39"/>
  <c r="K314" i="39"/>
  <c r="L367" i="52" l="1"/>
  <c r="K486" i="39"/>
  <c r="K420" i="39"/>
  <c r="L477" i="52" l="1"/>
  <c r="A367" i="52"/>
  <c r="E40" i="51"/>
  <c r="D42" i="51"/>
  <c r="G45" i="51"/>
  <c r="A73" i="51"/>
  <c r="A67" i="51"/>
  <c r="A61" i="51"/>
  <c r="L564" i="52" l="1"/>
  <c r="A477" i="52"/>
  <c r="G89" i="51"/>
  <c r="A564" i="52" l="1"/>
  <c r="L581" i="52"/>
  <c r="L600" i="52" s="1"/>
  <c r="L617" i="52" s="1"/>
  <c r="L624" i="52" s="1"/>
  <c r="I77" i="51"/>
  <c r="I76" i="51"/>
  <c r="I75" i="51"/>
  <c r="I71" i="51"/>
  <c r="I70" i="51"/>
  <c r="I69" i="51"/>
  <c r="I65" i="51"/>
  <c r="I64" i="51"/>
  <c r="L640" i="52" l="1"/>
  <c r="A624" i="52"/>
  <c r="I63" i="51"/>
  <c r="K102" i="51" s="1"/>
  <c r="P109" i="43"/>
  <c r="P110" i="43"/>
  <c r="P111" i="43"/>
  <c r="P112" i="43"/>
  <c r="P114" i="43"/>
  <c r="P115" i="43"/>
  <c r="P116" i="43"/>
  <c r="P117" i="43"/>
  <c r="P119" i="43"/>
  <c r="P107" i="43"/>
  <c r="O108" i="43"/>
  <c r="O109" i="43"/>
  <c r="O110" i="43"/>
  <c r="O111" i="43"/>
  <c r="O112" i="43"/>
  <c r="O113" i="43"/>
  <c r="O114" i="43"/>
  <c r="O115" i="43"/>
  <c r="O116" i="43"/>
  <c r="O117" i="43"/>
  <c r="O118" i="43"/>
  <c r="O119" i="43"/>
  <c r="O107" i="43"/>
  <c r="K177" i="43"/>
  <c r="H148" i="43"/>
  <c r="H146" i="43"/>
  <c r="H145" i="43"/>
  <c r="L143" i="43"/>
  <c r="H27" i="11"/>
  <c r="H26" i="11"/>
  <c r="C110" i="40"/>
  <c r="D111" i="40"/>
  <c r="B111" i="40"/>
  <c r="N33" i="11"/>
  <c r="B112" i="40"/>
  <c r="Z32" i="11"/>
  <c r="T32" i="11"/>
  <c r="N32" i="11"/>
  <c r="AL34" i="11"/>
  <c r="H34" i="11"/>
  <c r="N34" i="11"/>
  <c r="C114" i="40"/>
  <c r="B113" i="40"/>
  <c r="AF32" i="11"/>
  <c r="D110" i="40"/>
  <c r="H33" i="11"/>
  <c r="T33" i="11"/>
  <c r="E123" i="40"/>
  <c r="B110" i="40"/>
  <c r="AF34" i="11"/>
  <c r="Z33" i="11"/>
  <c r="D114" i="40"/>
  <c r="C113" i="40"/>
  <c r="AL33" i="11"/>
  <c r="AL32" i="11"/>
  <c r="B114" i="40"/>
  <c r="T34" i="11"/>
  <c r="E124" i="40"/>
  <c r="AF33" i="11"/>
  <c r="C112" i="40"/>
  <c r="D113" i="40"/>
  <c r="D112" i="40"/>
  <c r="H32" i="11"/>
  <c r="Z34" i="11"/>
  <c r="C111" i="40"/>
  <c r="F122" i="40" l="1"/>
  <c r="A600" i="52"/>
  <c r="D60" i="11"/>
  <c r="D59" i="11"/>
  <c r="D115" i="40"/>
  <c r="C115" i="40"/>
  <c r="B115" i="40"/>
  <c r="F123" i="40"/>
  <c r="F124" i="40"/>
  <c r="D125" i="40"/>
  <c r="J148" i="43"/>
  <c r="J146" i="43"/>
  <c r="J145" i="43"/>
  <c r="K103" i="51"/>
  <c r="K104" i="51" s="1"/>
  <c r="K105" i="51" s="1"/>
  <c r="K106" i="51" s="1"/>
  <c r="K107" i="51" s="1"/>
  <c r="K108" i="51" s="1"/>
  <c r="K109" i="51" s="1"/>
  <c r="K110" i="51" s="1"/>
  <c r="M143" i="43"/>
  <c r="N143" i="43" s="1"/>
  <c r="K261" i="43" s="1"/>
  <c r="K262" i="43" s="1"/>
  <c r="K263" i="43" s="1"/>
  <c r="K116" i="43"/>
  <c r="M116" i="43" s="1"/>
  <c r="K111" i="43"/>
  <c r="L111" i="43" s="1"/>
  <c r="C111" i="43"/>
  <c r="C92" i="43"/>
  <c r="K236" i="43"/>
  <c r="J118" i="30"/>
  <c r="J115" i="30"/>
  <c r="H115" i="30"/>
  <c r="E72" i="30"/>
  <c r="E73" i="30"/>
  <c r="E75" i="30"/>
  <c r="K145" i="30"/>
  <c r="K146" i="30" s="1"/>
  <c r="K132" i="30"/>
  <c r="K133" i="30" s="1"/>
  <c r="K134" i="30" s="1"/>
  <c r="K135" i="30" s="1"/>
  <c r="D54" i="16"/>
  <c r="D55" i="16"/>
  <c r="D56" i="16"/>
  <c r="G73" i="30"/>
  <c r="L73" i="30" s="1"/>
  <c r="C48" i="40"/>
  <c r="G48" i="40"/>
  <c r="Q51" i="40"/>
  <c r="C17" i="40"/>
  <c r="D77" i="40"/>
  <c r="D80" i="40"/>
  <c r="I19" i="40"/>
  <c r="B81" i="40"/>
  <c r="P50" i="40"/>
  <c r="M53" i="40"/>
  <c r="D18" i="40"/>
  <c r="M47" i="40"/>
  <c r="D15" i="40"/>
  <c r="I18" i="40"/>
  <c r="H47" i="40"/>
  <c r="C15" i="40"/>
  <c r="B78" i="40"/>
  <c r="F52" i="40"/>
  <c r="I16" i="40"/>
  <c r="R51" i="40"/>
  <c r="R52" i="40"/>
  <c r="F47" i="40"/>
  <c r="F53" i="40"/>
  <c r="J19" i="40"/>
  <c r="B77" i="40"/>
  <c r="C52" i="40"/>
  <c r="Q53" i="40"/>
  <c r="M51" i="40"/>
  <c r="C51" i="40"/>
  <c r="C77" i="40"/>
  <c r="H53" i="40"/>
  <c r="I17" i="40"/>
  <c r="Q47" i="40"/>
  <c r="Q50" i="40"/>
  <c r="F51" i="40"/>
  <c r="M50" i="40"/>
  <c r="Q48" i="40"/>
  <c r="H50" i="40"/>
  <c r="D79" i="40"/>
  <c r="R49" i="40"/>
  <c r="R53" i="40"/>
  <c r="R50" i="40"/>
  <c r="G49" i="40"/>
  <c r="C50" i="40"/>
  <c r="H49" i="40"/>
  <c r="M48" i="40"/>
  <c r="P47" i="40"/>
  <c r="C18" i="40"/>
  <c r="B80" i="40"/>
  <c r="D81" i="40"/>
  <c r="D19" i="40"/>
  <c r="P53" i="40"/>
  <c r="G47" i="40"/>
  <c r="P52" i="40"/>
  <c r="G51" i="40"/>
  <c r="J15" i="40"/>
  <c r="Q49" i="40"/>
  <c r="C19" i="40"/>
  <c r="H52" i="40"/>
  <c r="D16" i="40"/>
  <c r="G50" i="40"/>
  <c r="Q52" i="40"/>
  <c r="C80" i="40"/>
  <c r="B79" i="40"/>
  <c r="G52" i="40"/>
  <c r="J16" i="40"/>
  <c r="D17" i="40"/>
  <c r="F50" i="40"/>
  <c r="R48" i="40"/>
  <c r="P49" i="40"/>
  <c r="F48" i="40"/>
  <c r="J17" i="40"/>
  <c r="M49" i="40"/>
  <c r="G53" i="40"/>
  <c r="F49" i="40"/>
  <c r="D78" i="40"/>
  <c r="J18" i="40"/>
  <c r="H48" i="40"/>
  <c r="C53" i="40"/>
  <c r="C79" i="40"/>
  <c r="M52" i="40"/>
  <c r="H51" i="40"/>
  <c r="I15" i="40"/>
  <c r="P51" i="40"/>
  <c r="R47" i="40"/>
  <c r="P48" i="40"/>
  <c r="C81" i="40"/>
  <c r="C78" i="40"/>
  <c r="C49" i="40"/>
  <c r="K15" i="40" l="1"/>
  <c r="K17" i="40"/>
  <c r="D83" i="43" s="1"/>
  <c r="K18" i="40"/>
  <c r="E83" i="43" s="1"/>
  <c r="K19" i="40"/>
  <c r="F83" i="43" s="1"/>
  <c r="K16" i="40"/>
  <c r="C83" i="43" s="1"/>
  <c r="E16" i="40"/>
  <c r="C77" i="43" s="1"/>
  <c r="E19" i="40"/>
  <c r="F77" i="43" s="1"/>
  <c r="E17" i="40"/>
  <c r="D77" i="43" s="1"/>
  <c r="E18" i="40"/>
  <c r="E77" i="43" s="1"/>
  <c r="E15" i="40"/>
  <c r="J137" i="43"/>
  <c r="R137" i="43" s="1"/>
  <c r="I209" i="43" s="1"/>
  <c r="H209" i="43" s="1"/>
  <c r="H137" i="43"/>
  <c r="B83" i="40"/>
  <c r="J134" i="43" s="1"/>
  <c r="R134" i="43" s="1"/>
  <c r="I206" i="43" s="1"/>
  <c r="H206" i="43" s="1"/>
  <c r="M146" i="43"/>
  <c r="R146" i="43"/>
  <c r="I217" i="43" s="1"/>
  <c r="H217" i="43" s="1"/>
  <c r="K220" i="30"/>
  <c r="K221" i="30" s="1"/>
  <c r="L115" i="30"/>
  <c r="I177" i="30" s="1"/>
  <c r="K145" i="43"/>
  <c r="R145" i="43"/>
  <c r="I216" i="43" s="1"/>
  <c r="H216" i="43" s="1"/>
  <c r="M148" i="43"/>
  <c r="R148" i="43"/>
  <c r="I219" i="43" s="1"/>
  <c r="H219" i="43" s="1"/>
  <c r="H62" i="40"/>
  <c r="H61" i="40"/>
  <c r="D82" i="40"/>
  <c r="C82" i="40"/>
  <c r="S47" i="40"/>
  <c r="S51" i="40"/>
  <c r="S48" i="40"/>
  <c r="S52" i="40"/>
  <c r="S50" i="40"/>
  <c r="S53" i="40"/>
  <c r="S49" i="40"/>
  <c r="I49" i="40"/>
  <c r="I50" i="40"/>
  <c r="I51" i="40"/>
  <c r="I48" i="40"/>
  <c r="I53" i="40"/>
  <c r="I52" i="40"/>
  <c r="I47" i="40"/>
  <c r="G56" i="40"/>
  <c r="G55" i="40"/>
  <c r="F125" i="40"/>
  <c r="L146" i="43"/>
  <c r="M111" i="43"/>
  <c r="M145" i="43"/>
  <c r="L148" i="43"/>
  <c r="L145" i="43"/>
  <c r="K146" i="43"/>
  <c r="K148" i="43"/>
  <c r="M107" i="43"/>
  <c r="L107" i="43"/>
  <c r="K91" i="43"/>
  <c r="D47" i="40"/>
  <c r="C94" i="43" s="1"/>
  <c r="E50" i="40"/>
  <c r="E48" i="40"/>
  <c r="E51" i="40"/>
  <c r="E49" i="40"/>
  <c r="E52" i="40"/>
  <c r="E53" i="40"/>
  <c r="E47" i="40"/>
  <c r="K117" i="43"/>
  <c r="M117" i="43" s="1"/>
  <c r="L116" i="43"/>
  <c r="M110" i="43"/>
  <c r="K112" i="43"/>
  <c r="L112" i="43" s="1"/>
  <c r="N50" i="40"/>
  <c r="F99" i="43" s="1"/>
  <c r="N51" i="40"/>
  <c r="G99" i="43" s="1"/>
  <c r="N47" i="40"/>
  <c r="C99" i="43" s="1"/>
  <c r="N48" i="40"/>
  <c r="D99" i="43" s="1"/>
  <c r="N52" i="40"/>
  <c r="H99" i="43" s="1"/>
  <c r="N49" i="40"/>
  <c r="E99" i="43" s="1"/>
  <c r="N53" i="40"/>
  <c r="I99" i="43" s="1"/>
  <c r="D51" i="40"/>
  <c r="G94" i="43" s="1"/>
  <c r="D50" i="40"/>
  <c r="F94" i="43" s="1"/>
  <c r="D53" i="40"/>
  <c r="I94" i="43" s="1"/>
  <c r="D49" i="40"/>
  <c r="E94" i="43" s="1"/>
  <c r="D52" i="40"/>
  <c r="H94" i="43" s="1"/>
  <c r="D48" i="40"/>
  <c r="D94" i="43" s="1"/>
  <c r="J116" i="30"/>
  <c r="K216" i="26"/>
  <c r="K217" i="26" s="1"/>
  <c r="K142" i="26"/>
  <c r="K143" i="26" s="1"/>
  <c r="K140" i="26"/>
  <c r="K137" i="26"/>
  <c r="K138" i="26" s="1"/>
  <c r="K107" i="26"/>
  <c r="K106" i="26"/>
  <c r="K105" i="26"/>
  <c r="K104" i="26"/>
  <c r="F100" i="6"/>
  <c r="C19" i="6"/>
  <c r="C22" i="6"/>
  <c r="D45" i="6"/>
  <c r="E53" i="6"/>
  <c r="C20" i="6"/>
  <c r="B44" i="6"/>
  <c r="C21" i="6"/>
  <c r="C43" i="6"/>
  <c r="F53" i="6"/>
  <c r="D42" i="6"/>
  <c r="C18" i="6"/>
  <c r="C41" i="6"/>
  <c r="B53" i="6"/>
  <c r="G53" i="6"/>
  <c r="D20" i="6"/>
  <c r="D16" i="6"/>
  <c r="C42" i="6"/>
  <c r="C45" i="6"/>
  <c r="C44" i="6"/>
  <c r="C17" i="6"/>
  <c r="D44" i="6"/>
  <c r="D17" i="6"/>
  <c r="D41" i="6"/>
  <c r="D21" i="6"/>
  <c r="C53" i="6"/>
  <c r="D53" i="6"/>
  <c r="B45" i="6"/>
  <c r="B43" i="6"/>
  <c r="D22" i="6"/>
  <c r="D19" i="6"/>
  <c r="D43" i="6"/>
  <c r="D18" i="6"/>
  <c r="B41" i="6"/>
  <c r="B42" i="6"/>
  <c r="N148" i="43" l="1"/>
  <c r="N146" i="43"/>
  <c r="B83" i="43"/>
  <c r="B77" i="43"/>
  <c r="H18" i="6"/>
  <c r="H20" i="6"/>
  <c r="H19" i="6"/>
  <c r="H21" i="6"/>
  <c r="H22" i="6"/>
  <c r="H17" i="6"/>
  <c r="D46" i="6"/>
  <c r="C46" i="6"/>
  <c r="J98" i="26" s="1"/>
  <c r="L98" i="26" s="1"/>
  <c r="B46" i="6"/>
  <c r="N145" i="43"/>
  <c r="H134" i="43"/>
  <c r="K178" i="26"/>
  <c r="K179" i="26" s="1"/>
  <c r="M112" i="43"/>
  <c r="M91" i="43"/>
  <c r="L91" i="43"/>
  <c r="N116" i="43"/>
  <c r="K92" i="43"/>
  <c r="N111" i="43"/>
  <c r="N107" i="43"/>
  <c r="K113" i="43"/>
  <c r="K114" i="43" s="1"/>
  <c r="K115" i="43" s="1"/>
  <c r="K118" i="43"/>
  <c r="L117" i="43"/>
  <c r="F54" i="6"/>
  <c r="D54" i="6"/>
  <c r="G54" i="6"/>
  <c r="E54" i="6"/>
  <c r="C54" i="6"/>
  <c r="G20" i="6"/>
  <c r="G19" i="6"/>
  <c r="G22" i="6"/>
  <c r="G18" i="6"/>
  <c r="G21" i="6"/>
  <c r="G17" i="6"/>
  <c r="K269" i="43" l="1"/>
  <c r="K270" i="43" s="1"/>
  <c r="K196" i="26"/>
  <c r="J122" i="24"/>
  <c r="H122" i="24"/>
  <c r="J290" i="39"/>
  <c r="P290" i="39" s="1"/>
  <c r="I389" i="39" s="1"/>
  <c r="H389" i="39" s="1"/>
  <c r="H290" i="39"/>
  <c r="H202" i="32"/>
  <c r="J202" i="32"/>
  <c r="M202" i="32" s="1"/>
  <c r="M118" i="43"/>
  <c r="K119" i="43"/>
  <c r="M113" i="43"/>
  <c r="L92" i="43"/>
  <c r="M92" i="43"/>
  <c r="N112" i="43"/>
  <c r="K93" i="43"/>
  <c r="K94" i="43" s="1"/>
  <c r="N117" i="43"/>
  <c r="L118" i="43"/>
  <c r="L113" i="43"/>
  <c r="G16" i="6"/>
  <c r="K122" i="24" l="1"/>
  <c r="K194" i="24" s="1"/>
  <c r="L122" i="24"/>
  <c r="I194" i="24" s="1"/>
  <c r="H194" i="24" s="1"/>
  <c r="K369" i="32"/>
  <c r="K370" i="32" s="1"/>
  <c r="K202" i="32"/>
  <c r="K209" i="32" s="1"/>
  <c r="K210" i="32" s="1"/>
  <c r="K290" i="39"/>
  <c r="K296" i="39" s="1"/>
  <c r="K297" i="39" s="1"/>
  <c r="K417" i="39"/>
  <c r="L202" i="32"/>
  <c r="L93" i="43"/>
  <c r="M93" i="43"/>
  <c r="N118" i="43"/>
  <c r="P118" i="43" s="1"/>
  <c r="N113" i="43"/>
  <c r="P113" i="43" s="1"/>
  <c r="M109" i="43"/>
  <c r="K229" i="24" l="1"/>
  <c r="K230" i="24" s="1"/>
  <c r="K137" i="24"/>
  <c r="K138" i="24" s="1"/>
  <c r="M114" i="43"/>
  <c r="L109" i="43"/>
  <c r="M119" i="43"/>
  <c r="N109" i="43" l="1"/>
  <c r="L110" i="43"/>
  <c r="L119" i="43"/>
  <c r="M115" i="43"/>
  <c r="L114" i="43"/>
  <c r="N110" i="43" l="1"/>
  <c r="N114" i="43"/>
  <c r="N119" i="43"/>
  <c r="L115" i="43"/>
  <c r="N115" i="43" l="1"/>
  <c r="I89" i="24"/>
  <c r="H89" i="24"/>
  <c r="G89" i="24"/>
  <c r="F89" i="24"/>
  <c r="E89" i="24"/>
  <c r="D89" i="24"/>
  <c r="C89" i="24"/>
  <c r="K209" i="24"/>
  <c r="K246" i="24" l="1"/>
  <c r="K152" i="24"/>
  <c r="K214" i="24" s="1"/>
  <c r="K215" i="24" s="1"/>
  <c r="G72" i="24"/>
  <c r="K146" i="24" s="1"/>
  <c r="K147" i="24" s="1"/>
  <c r="A99" i="24"/>
  <c r="A81" i="24" s="1"/>
  <c r="I105" i="24"/>
  <c r="C38" i="3"/>
  <c r="H27" i="3"/>
  <c r="B39" i="3"/>
  <c r="K37" i="3"/>
  <c r="E36" i="3"/>
  <c r="H39" i="3"/>
  <c r="B40" i="3"/>
  <c r="H24" i="3"/>
  <c r="E37" i="3"/>
  <c r="J40" i="3"/>
  <c r="K39" i="3"/>
  <c r="I36" i="3"/>
  <c r="H36" i="3"/>
  <c r="C36" i="3"/>
  <c r="K38" i="3"/>
  <c r="I38" i="3"/>
  <c r="J38" i="3"/>
  <c r="E39" i="3"/>
  <c r="K36" i="3"/>
  <c r="B37" i="3"/>
  <c r="B38" i="3"/>
  <c r="H23" i="3"/>
  <c r="D36" i="3"/>
  <c r="J37" i="3"/>
  <c r="K40" i="3"/>
  <c r="C40" i="3"/>
  <c r="J27" i="3"/>
  <c r="D37" i="3"/>
  <c r="D39" i="3"/>
  <c r="H40" i="3"/>
  <c r="C39" i="3"/>
  <c r="I37" i="3"/>
  <c r="H38" i="3"/>
  <c r="E40" i="3"/>
  <c r="J36" i="3"/>
  <c r="C37" i="3"/>
  <c r="E38" i="3"/>
  <c r="H37" i="3"/>
  <c r="J39" i="3"/>
  <c r="I40" i="3"/>
  <c r="H25" i="3"/>
  <c r="D40" i="3"/>
  <c r="B36" i="3"/>
  <c r="I39" i="3"/>
  <c r="D38" i="3"/>
  <c r="H26" i="3"/>
  <c r="H22" i="3"/>
  <c r="K27" i="3" l="1"/>
  <c r="I101" i="24" s="1"/>
  <c r="G29" i="3"/>
  <c r="H28" i="3"/>
  <c r="L31" i="3" s="1"/>
  <c r="J41" i="3"/>
  <c r="I41" i="3"/>
  <c r="H41" i="3"/>
  <c r="D41" i="3"/>
  <c r="C41" i="3"/>
  <c r="B41" i="3"/>
  <c r="H42" i="3"/>
  <c r="I42" i="3"/>
  <c r="B42" i="3"/>
  <c r="C42" i="3"/>
  <c r="K153" i="24"/>
  <c r="K148" i="24"/>
  <c r="I49" i="3"/>
  <c r="K43" i="3"/>
  <c r="C49" i="3"/>
  <c r="I106" i="24" l="1"/>
  <c r="I107" i="24" s="1"/>
  <c r="B52" i="3"/>
  <c r="H52" i="3"/>
  <c r="H43" i="3"/>
  <c r="A114" i="24"/>
  <c r="B43" i="3"/>
  <c r="K149" i="24"/>
  <c r="K211" i="24"/>
  <c r="K212" i="24" s="1"/>
  <c r="K199" i="24"/>
  <c r="K200" i="24" s="1"/>
  <c r="K210" i="24"/>
  <c r="K145" i="24"/>
  <c r="K144" i="24"/>
  <c r="K396" i="41"/>
  <c r="K397" i="41" s="1"/>
  <c r="K398" i="41" s="1"/>
  <c r="K399" i="41" s="1"/>
  <c r="K400" i="41" s="1"/>
  <c r="K401" i="41" s="1"/>
  <c r="K402" i="41" s="1"/>
  <c r="K394" i="41"/>
  <c r="K393" i="41" s="1"/>
  <c r="K384" i="41"/>
  <c r="K389" i="41" s="1"/>
  <c r="K390" i="41" s="1"/>
  <c r="K391" i="41" s="1"/>
  <c r="K392" i="41" s="1"/>
  <c r="K386" i="41"/>
  <c r="K387" i="41" s="1"/>
  <c r="K388" i="41" s="1"/>
  <c r="H49" i="3"/>
  <c r="B49" i="3"/>
  <c r="K403" i="41" l="1"/>
  <c r="K404" i="41" s="1"/>
  <c r="K206" i="24"/>
  <c r="K385" i="41"/>
  <c r="K362" i="41"/>
  <c r="K361" i="41"/>
  <c r="K360" i="41"/>
  <c r="K359" i="41"/>
  <c r="K358" i="41"/>
  <c r="K357" i="41"/>
  <c r="K356" i="41"/>
  <c r="K355" i="41"/>
  <c r="K354" i="41"/>
  <c r="K353" i="41"/>
  <c r="K352" i="41"/>
  <c r="K351" i="41"/>
  <c r="K350" i="41"/>
  <c r="K349" i="41"/>
  <c r="K348" i="41"/>
  <c r="K347" i="41"/>
  <c r="K346" i="41"/>
  <c r="K345" i="41"/>
  <c r="K344" i="41"/>
  <c r="K343" i="41"/>
  <c r="K342" i="41"/>
  <c r="K341" i="41"/>
  <c r="K340" i="41"/>
  <c r="K339" i="41"/>
  <c r="K338" i="41"/>
  <c r="K337" i="41"/>
  <c r="K336" i="41"/>
  <c r="K335" i="41"/>
  <c r="K334" i="41"/>
  <c r="K333" i="41"/>
  <c r="K332" i="41"/>
  <c r="K331" i="41"/>
  <c r="K330" i="41"/>
  <c r="K329" i="41"/>
  <c r="K328" i="41"/>
  <c r="K327" i="41"/>
  <c r="K326" i="41"/>
  <c r="K325" i="41"/>
  <c r="K324" i="41"/>
  <c r="K323" i="41"/>
  <c r="K322" i="41"/>
  <c r="K321" i="41"/>
  <c r="K320" i="41"/>
  <c r="K319" i="41"/>
  <c r="K318" i="41"/>
  <c r="K317" i="41"/>
  <c r="K316" i="41"/>
  <c r="K315" i="41"/>
  <c r="K314" i="41"/>
  <c r="K313" i="41"/>
  <c r="K312" i="41"/>
  <c r="K311" i="41" s="1"/>
  <c r="K310" i="41" s="1"/>
  <c r="K309" i="41" s="1"/>
  <c r="K308" i="41"/>
  <c r="K307" i="41"/>
  <c r="K306" i="41"/>
  <c r="K305" i="41"/>
  <c r="K304" i="41"/>
  <c r="K303" i="41"/>
  <c r="K302" i="41"/>
  <c r="K301" i="41"/>
  <c r="K300" i="41"/>
  <c r="K299" i="41"/>
  <c r="K298" i="41"/>
  <c r="K297" i="41"/>
  <c r="K296" i="41"/>
  <c r="K295" i="41"/>
  <c r="K294" i="41"/>
  <c r="K293" i="41"/>
  <c r="K292" i="41"/>
  <c r="K291" i="41"/>
  <c r="K290" i="41"/>
  <c r="K289" i="41"/>
  <c r="K288" i="41"/>
  <c r="K287" i="41"/>
  <c r="K286" i="41"/>
  <c r="K285" i="41"/>
  <c r="K284" i="41"/>
  <c r="K283" i="41"/>
  <c r="K282" i="41"/>
  <c r="K281" i="41"/>
  <c r="K280" i="41"/>
  <c r="K279" i="41"/>
  <c r="K278" i="41"/>
  <c r="K277" i="41"/>
  <c r="K276" i="41"/>
  <c r="K275" i="41"/>
  <c r="K274" i="41"/>
  <c r="K273" i="41"/>
  <c r="K272" i="41"/>
  <c r="K271" i="41"/>
  <c r="K270" i="41"/>
  <c r="K269" i="41"/>
  <c r="K268" i="41"/>
  <c r="K267" i="41"/>
  <c r="K266" i="41"/>
  <c r="K265" i="41"/>
  <c r="K264" i="41"/>
  <c r="K263" i="41"/>
  <c r="K262" i="41"/>
  <c r="K261" i="41"/>
  <c r="K260" i="41"/>
  <c r="K259" i="41"/>
  <c r="K258" i="41"/>
  <c r="K257" i="41" s="1"/>
  <c r="K256" i="41" s="1"/>
  <c r="K255" i="41" s="1"/>
  <c r="K254" i="41"/>
  <c r="K253" i="41"/>
  <c r="K252" i="41"/>
  <c r="K251" i="41"/>
  <c r="K250" i="41"/>
  <c r="K249" i="41"/>
  <c r="K248" i="41"/>
  <c r="K247" i="41"/>
  <c r="K246" i="41"/>
  <c r="K245" i="41"/>
  <c r="K244" i="41"/>
  <c r="K243" i="41"/>
  <c r="K242" i="41"/>
  <c r="K241" i="41"/>
  <c r="K240" i="41"/>
  <c r="K239" i="41"/>
  <c r="K238" i="41"/>
  <c r="K237" i="41"/>
  <c r="K236" i="41"/>
  <c r="K235" i="41"/>
  <c r="K234" i="41"/>
  <c r="K233" i="41"/>
  <c r="K232" i="41"/>
  <c r="K231" i="41"/>
  <c r="K230" i="41"/>
  <c r="K229" i="41"/>
  <c r="K228" i="41"/>
  <c r="K227" i="41"/>
  <c r="K226" i="41"/>
  <c r="K225" i="41"/>
  <c r="K224" i="41"/>
  <c r="K223" i="41"/>
  <c r="K222" i="41"/>
  <c r="K221" i="41"/>
  <c r="K220" i="41"/>
  <c r="K219" i="41"/>
  <c r="K218" i="41"/>
  <c r="K217" i="41"/>
  <c r="K216" i="41"/>
  <c r="K215" i="41"/>
  <c r="K214" i="41"/>
  <c r="K213" i="41"/>
  <c r="K212" i="41"/>
  <c r="K211" i="41"/>
  <c r="K210" i="41"/>
  <c r="K209" i="41"/>
  <c r="K208" i="41"/>
  <c r="K207" i="41"/>
  <c r="K206" i="41"/>
  <c r="K205" i="41"/>
  <c r="K204" i="41"/>
  <c r="K203" i="41" s="1"/>
  <c r="K202" i="41" s="1"/>
  <c r="K201" i="41" s="1"/>
  <c r="K200" i="41"/>
  <c r="K199" i="41"/>
  <c r="K198" i="41"/>
  <c r="K197" i="41"/>
  <c r="K196" i="41"/>
  <c r="K195" i="41"/>
  <c r="K194" i="41"/>
  <c r="K193" i="41"/>
  <c r="K192" i="41"/>
  <c r="K191" i="41"/>
  <c r="K190" i="41"/>
  <c r="K189" i="41"/>
  <c r="K188" i="41"/>
  <c r="K187" i="41"/>
  <c r="K186" i="41"/>
  <c r="K185" i="41"/>
  <c r="K184" i="41"/>
  <c r="K183" i="41"/>
  <c r="K182" i="41"/>
  <c r="K181" i="41"/>
  <c r="K180" i="41"/>
  <c r="K179" i="41"/>
  <c r="K178" i="41"/>
  <c r="K177" i="41"/>
  <c r="K176" i="41"/>
  <c r="K175" i="41"/>
  <c r="K174" i="41"/>
  <c r="K173" i="41"/>
  <c r="K172" i="41"/>
  <c r="K171" i="41"/>
  <c r="K170" i="41"/>
  <c r="K169" i="41"/>
  <c r="K168" i="41"/>
  <c r="K167" i="41"/>
  <c r="K166" i="41"/>
  <c r="K165" i="41"/>
  <c r="K164" i="41"/>
  <c r="K163" i="41"/>
  <c r="K162" i="41"/>
  <c r="K161" i="41"/>
  <c r="K160" i="41"/>
  <c r="K159" i="41"/>
  <c r="K158" i="41"/>
  <c r="K157" i="41"/>
  <c r="K156" i="41"/>
  <c r="K155" i="41"/>
  <c r="K154" i="41"/>
  <c r="K153" i="41"/>
  <c r="K152" i="41"/>
  <c r="K151" i="41"/>
  <c r="K150" i="41"/>
  <c r="K149" i="41" s="1"/>
  <c r="K148" i="41" s="1"/>
  <c r="K147" i="41" s="1"/>
  <c r="K97" i="41"/>
  <c r="K98" i="41"/>
  <c r="K99" i="41"/>
  <c r="K100" i="41"/>
  <c r="K101" i="41"/>
  <c r="K102" i="41"/>
  <c r="K103" i="41"/>
  <c r="K104" i="41"/>
  <c r="K105" i="41"/>
  <c r="K106" i="41"/>
  <c r="K107" i="41"/>
  <c r="K108" i="41"/>
  <c r="K109" i="41"/>
  <c r="K110" i="41"/>
  <c r="K111" i="41"/>
  <c r="K112" i="41"/>
  <c r="K113" i="41"/>
  <c r="K114" i="41"/>
  <c r="K115" i="41"/>
  <c r="K116" i="41"/>
  <c r="K117" i="41"/>
  <c r="K118" i="41"/>
  <c r="K119" i="41"/>
  <c r="K120" i="41"/>
  <c r="K121" i="41"/>
  <c r="K122" i="41"/>
  <c r="K123" i="41"/>
  <c r="K124" i="41"/>
  <c r="K125" i="41"/>
  <c r="K126" i="41"/>
  <c r="K127" i="41"/>
  <c r="K128" i="41"/>
  <c r="K129" i="41"/>
  <c r="K130" i="41"/>
  <c r="K131" i="41"/>
  <c r="K132" i="41"/>
  <c r="K133" i="41"/>
  <c r="K134" i="41"/>
  <c r="K135" i="41"/>
  <c r="K136" i="41"/>
  <c r="K137" i="41"/>
  <c r="K138" i="41"/>
  <c r="K139" i="41"/>
  <c r="K140" i="41"/>
  <c r="K141" i="41"/>
  <c r="K142" i="41"/>
  <c r="K143" i="41"/>
  <c r="K144" i="41"/>
  <c r="K145" i="41"/>
  <c r="K146" i="41"/>
  <c r="K96" i="41"/>
  <c r="K95" i="41" s="1"/>
  <c r="K94" i="41" s="1"/>
  <c r="K93" i="41" s="1"/>
  <c r="K92" i="41"/>
  <c r="K91" i="41"/>
  <c r="K90" i="41"/>
  <c r="K89" i="41"/>
  <c r="K88" i="41"/>
  <c r="K87" i="41"/>
  <c r="K86" i="41"/>
  <c r="K85" i="41"/>
  <c r="K84" i="41"/>
  <c r="K83" i="41"/>
  <c r="K82" i="41"/>
  <c r="K81" i="41"/>
  <c r="K80" i="41"/>
  <c r="K79" i="41"/>
  <c r="K78" i="41"/>
  <c r="K77" i="41"/>
  <c r="K76" i="41"/>
  <c r="K75" i="41"/>
  <c r="K74" i="41"/>
  <c r="K73" i="41"/>
  <c r="K72" i="41"/>
  <c r="K71" i="41"/>
  <c r="K70" i="41"/>
  <c r="K69" i="41"/>
  <c r="K68" i="41"/>
  <c r="K67" i="41"/>
  <c r="K66" i="41"/>
  <c r="K65" i="41"/>
  <c r="K64" i="41"/>
  <c r="K63" i="41"/>
  <c r="K62" i="41"/>
  <c r="K61" i="41"/>
  <c r="K60" i="41"/>
  <c r="K59" i="41"/>
  <c r="K58" i="41"/>
  <c r="K57" i="41"/>
  <c r="K56" i="41"/>
  <c r="K55" i="41"/>
  <c r="K54" i="41"/>
  <c r="K53" i="41"/>
  <c r="K52" i="41"/>
  <c r="K51" i="41"/>
  <c r="K50" i="41"/>
  <c r="K49" i="41"/>
  <c r="K48" i="41"/>
  <c r="K47" i="41"/>
  <c r="K46" i="41"/>
  <c r="K45" i="41"/>
  <c r="K44" i="41"/>
  <c r="K43" i="41"/>
  <c r="K227" i="45" l="1"/>
  <c r="A223" i="45"/>
  <c r="K207" i="45"/>
  <c r="A203" i="45"/>
  <c r="K187" i="45"/>
  <c r="A183" i="45"/>
  <c r="K167" i="45"/>
  <c r="A163" i="45"/>
  <c r="K147" i="45"/>
  <c r="A143" i="45"/>
  <c r="K127" i="45"/>
  <c r="A123" i="45"/>
  <c r="K107" i="45"/>
  <c r="A103" i="45"/>
  <c r="K87" i="45"/>
  <c r="A83" i="45"/>
  <c r="K67" i="45"/>
  <c r="A63" i="45"/>
  <c r="K47" i="45"/>
  <c r="C47" i="45"/>
  <c r="L49" i="45"/>
  <c r="K49" i="45"/>
  <c r="J49" i="45"/>
  <c r="I49" i="45"/>
  <c r="H49" i="45"/>
  <c r="G49" i="45"/>
  <c r="F49" i="45"/>
  <c r="E49" i="45"/>
  <c r="D49" i="45"/>
  <c r="E48" i="45" l="1"/>
  <c r="E50" i="45"/>
  <c r="E51" i="45"/>
  <c r="F48" i="45"/>
  <c r="F50" i="45"/>
  <c r="F51" i="45"/>
  <c r="G48" i="45"/>
  <c r="G51" i="45"/>
  <c r="G50" i="45"/>
  <c r="H48" i="45"/>
  <c r="H50" i="45"/>
  <c r="H51" i="45"/>
  <c r="J48" i="45"/>
  <c r="J50" i="45"/>
  <c r="J51" i="45"/>
  <c r="I48" i="45"/>
  <c r="I51" i="45"/>
  <c r="I50" i="45"/>
  <c r="K48" i="45"/>
  <c r="K50" i="45"/>
  <c r="K51" i="45"/>
  <c r="D48" i="45"/>
  <c r="D51" i="45"/>
  <c r="D50" i="45"/>
  <c r="L48" i="45"/>
  <c r="L51" i="45"/>
  <c r="L50" i="45"/>
  <c r="C49" i="45"/>
  <c r="C48" i="45" l="1"/>
  <c r="M48" i="45" s="1"/>
  <c r="M49" i="45" s="1"/>
  <c r="M50" i="45" s="1"/>
  <c r="M51" i="45" s="1"/>
  <c r="M52" i="45" s="1"/>
  <c r="M53" i="45" s="1"/>
  <c r="M54" i="45" s="1"/>
  <c r="M55" i="45" s="1"/>
  <c r="M56" i="45" s="1"/>
  <c r="C51" i="45"/>
  <c r="C50" i="45"/>
  <c r="M47" i="45" l="1"/>
  <c r="M46" i="45" s="1"/>
  <c r="M45" i="45" s="1"/>
  <c r="M44" i="45" s="1"/>
  <c r="M43" i="45" s="1"/>
  <c r="H71" i="39"/>
  <c r="G67" i="32"/>
  <c r="A154" i="39"/>
  <c r="K259" i="32"/>
  <c r="K258" i="32"/>
  <c r="A57" i="11"/>
  <c r="I145" i="32"/>
  <c r="H145" i="32"/>
  <c r="G145" i="32"/>
  <c r="I144" i="32"/>
  <c r="H144" i="32"/>
  <c r="G144" i="32"/>
  <c r="F145" i="32"/>
  <c r="F144" i="32"/>
  <c r="E145" i="32"/>
  <c r="E144" i="32"/>
  <c r="D145" i="32"/>
  <c r="D144" i="32"/>
  <c r="C28" i="11"/>
  <c r="K106" i="32"/>
  <c r="A76" i="32"/>
  <c r="K76" i="32" s="1"/>
  <c r="I11" i="11"/>
  <c r="A82" i="32" s="1"/>
  <c r="K82" i="32" s="1"/>
  <c r="A466" i="39"/>
  <c r="J48" i="11"/>
  <c r="K294" i="32"/>
  <c r="K306" i="32"/>
  <c r="H49" i="11"/>
  <c r="A144" i="32" l="1"/>
  <c r="K71" i="39"/>
  <c r="K410" i="39"/>
  <c r="O11" i="11"/>
  <c r="A88" i="32" s="1"/>
  <c r="I28" i="11"/>
  <c r="H36" i="11" s="1"/>
  <c r="H38" i="11" l="1"/>
  <c r="U11" i="11"/>
  <c r="A94" i="32" s="1"/>
  <c r="K94" i="32" s="1"/>
  <c r="O28" i="11"/>
  <c r="N36" i="11" s="1"/>
  <c r="J38" i="11" l="1"/>
  <c r="J39" i="11"/>
  <c r="N38" i="11"/>
  <c r="AA11" i="11"/>
  <c r="A100" i="32" s="1"/>
  <c r="K100" i="32" s="1"/>
  <c r="U28" i="11"/>
  <c r="T36" i="11" s="1"/>
  <c r="P38" i="11" l="1"/>
  <c r="P39" i="11"/>
  <c r="T38" i="11"/>
  <c r="AG11" i="11"/>
  <c r="AA28" i="11"/>
  <c r="Z36" i="11" s="1"/>
  <c r="A469" i="39"/>
  <c r="K406" i="39"/>
  <c r="K393" i="39"/>
  <c r="K320" i="39"/>
  <c r="K321" i="39" s="1"/>
  <c r="K520" i="39"/>
  <c r="V38" i="11" l="1"/>
  <c r="V39" i="11"/>
  <c r="Z38" i="11"/>
  <c r="H248" i="39"/>
  <c r="AM11" i="11"/>
  <c r="AM28" i="11" s="1"/>
  <c r="AL36" i="11" s="1"/>
  <c r="AG28" i="11"/>
  <c r="AF36" i="11" s="1"/>
  <c r="K394" i="39"/>
  <c r="K395" i="39" s="1"/>
  <c r="A446" i="39"/>
  <c r="K325" i="39"/>
  <c r="K397" i="39"/>
  <c r="A245" i="39"/>
  <c r="A244" i="39"/>
  <c r="D116" i="17"/>
  <c r="C70" i="17"/>
  <c r="B117" i="17"/>
  <c r="D73" i="17"/>
  <c r="D117" i="17"/>
  <c r="C119" i="17"/>
  <c r="B116" i="17"/>
  <c r="C120" i="17"/>
  <c r="B120" i="17"/>
  <c r="C118" i="17"/>
  <c r="D119" i="17"/>
  <c r="C69" i="17"/>
  <c r="C72" i="17"/>
  <c r="D70" i="17"/>
  <c r="B118" i="17"/>
  <c r="D118" i="17"/>
  <c r="C71" i="17"/>
  <c r="C116" i="17"/>
  <c r="D72" i="17"/>
  <c r="D120" i="17"/>
  <c r="B119" i="17"/>
  <c r="C73" i="17"/>
  <c r="D71" i="17"/>
  <c r="C117" i="17"/>
  <c r="D69" i="17"/>
  <c r="AB38" i="11" l="1"/>
  <c r="AB39" i="11"/>
  <c r="AF38" i="11"/>
  <c r="AH38" i="11" s="1"/>
  <c r="AL38" i="11"/>
  <c r="AN38" i="11" s="1"/>
  <c r="D121" i="17"/>
  <c r="C121" i="17"/>
  <c r="J246" i="39" s="1"/>
  <c r="B121" i="17"/>
  <c r="D74" i="17"/>
  <c r="C74" i="17"/>
  <c r="K418" i="39"/>
  <c r="B114" i="17"/>
  <c r="A246" i="39" s="1"/>
  <c r="C178" i="39"/>
  <c r="K315" i="39"/>
  <c r="A152" i="39"/>
  <c r="A153" i="39"/>
  <c r="A156" i="39"/>
  <c r="A157" i="39"/>
  <c r="A158" i="39"/>
  <c r="A159" i="39"/>
  <c r="A160" i="39"/>
  <c r="A161" i="39"/>
  <c r="A162" i="39"/>
  <c r="A167" i="39"/>
  <c r="A168" i="39"/>
  <c r="B73" i="17"/>
  <c r="B69" i="17"/>
  <c r="B70" i="17"/>
  <c r="B71" i="17"/>
  <c r="B72" i="17"/>
  <c r="A287" i="39" l="1"/>
  <c r="B74" i="17"/>
  <c r="B67" i="17"/>
  <c r="A286" i="39" s="1"/>
  <c r="A141" i="39"/>
  <c r="A142" i="39"/>
  <c r="A143" i="39"/>
  <c r="A144" i="39"/>
  <c r="A145" i="39"/>
  <c r="A140" i="39"/>
  <c r="A132" i="39"/>
  <c r="A131" i="39"/>
  <c r="A130" i="39"/>
  <c r="A129" i="39"/>
  <c r="A127" i="39"/>
  <c r="A126" i="39"/>
  <c r="A125" i="39"/>
  <c r="A124" i="39"/>
  <c r="C132" i="32"/>
  <c r="K132" i="32" s="1"/>
  <c r="D132" i="32"/>
  <c r="D130" i="39" s="1"/>
  <c r="E132" i="32"/>
  <c r="E130" i="39" s="1"/>
  <c r="F132" i="32"/>
  <c r="F130" i="39" s="1"/>
  <c r="G132" i="32"/>
  <c r="G130" i="39" s="1"/>
  <c r="H132" i="32"/>
  <c r="H130" i="39" s="1"/>
  <c r="I132" i="32"/>
  <c r="I130" i="39" s="1"/>
  <c r="A247" i="39" l="1"/>
  <c r="K280" i="39"/>
  <c r="C130" i="39"/>
  <c r="K526" i="39" l="1"/>
  <c r="K504" i="39"/>
  <c r="I148" i="32"/>
  <c r="D140" i="39"/>
  <c r="I144" i="39" l="1"/>
  <c r="I149" i="32"/>
  <c r="K333" i="32"/>
  <c r="K446" i="39"/>
  <c r="K295" i="32"/>
  <c r="K407" i="39" s="1"/>
  <c r="K422" i="39" s="1"/>
  <c r="K298" i="32"/>
  <c r="K299" i="32" s="1"/>
  <c r="K300" i="32" s="1"/>
  <c r="K270" i="32"/>
  <c r="K272" i="32"/>
  <c r="K312" i="39" s="1"/>
  <c r="K279" i="32"/>
  <c r="K319" i="39" s="1"/>
  <c r="A64" i="11"/>
  <c r="A63" i="11"/>
  <c r="A62" i="11"/>
  <c r="A61" i="11"/>
  <c r="A60" i="11"/>
  <c r="A59" i="11"/>
  <c r="A58" i="11"/>
  <c r="K453" i="39" l="1"/>
  <c r="K454" i="39" s="1"/>
  <c r="K334" i="32"/>
  <c r="K335" i="32" s="1"/>
  <c r="K310" i="39"/>
  <c r="K311" i="39" s="1"/>
  <c r="K296" i="32"/>
  <c r="K297" i="32" s="1"/>
  <c r="K325" i="32"/>
  <c r="K447" i="39"/>
  <c r="K303" i="32"/>
  <c r="K313" i="39"/>
  <c r="K288" i="32"/>
  <c r="K289" i="32" s="1"/>
  <c r="K301" i="32"/>
  <c r="K275" i="32"/>
  <c r="K273" i="32"/>
  <c r="I114" i="39"/>
  <c r="H114" i="39"/>
  <c r="G114" i="39"/>
  <c r="F114" i="39"/>
  <c r="E114" i="39"/>
  <c r="D114" i="39"/>
  <c r="C114" i="39"/>
  <c r="B114" i="39"/>
  <c r="I101" i="32"/>
  <c r="I108" i="39" s="1"/>
  <c r="H101" i="32"/>
  <c r="H108" i="39" s="1"/>
  <c r="G101" i="32"/>
  <c r="G108" i="39" s="1"/>
  <c r="F101" i="32"/>
  <c r="F108" i="39" s="1"/>
  <c r="E101" i="32"/>
  <c r="E108" i="39" s="1"/>
  <c r="D101" i="32"/>
  <c r="D108" i="39" s="1"/>
  <c r="C101" i="32"/>
  <c r="C108" i="39" s="1"/>
  <c r="B101" i="32"/>
  <c r="B108" i="39" s="1"/>
  <c r="I95" i="32"/>
  <c r="I102" i="39" s="1"/>
  <c r="H95" i="32"/>
  <c r="H102" i="39" s="1"/>
  <c r="G95" i="32"/>
  <c r="G102" i="39" s="1"/>
  <c r="F95" i="32"/>
  <c r="F102" i="39" s="1"/>
  <c r="E95" i="32"/>
  <c r="E102" i="39" s="1"/>
  <c r="D95" i="32"/>
  <c r="D102" i="39" s="1"/>
  <c r="C95" i="32"/>
  <c r="C102" i="39" s="1"/>
  <c r="B95" i="32"/>
  <c r="B102" i="39" s="1"/>
  <c r="B89" i="32"/>
  <c r="B96" i="39" s="1"/>
  <c r="I89" i="32"/>
  <c r="I96" i="39" s="1"/>
  <c r="H89" i="32"/>
  <c r="H96" i="39" s="1"/>
  <c r="G89" i="32"/>
  <c r="G96" i="39" s="1"/>
  <c r="F89" i="32"/>
  <c r="F96" i="39" s="1"/>
  <c r="E89" i="32"/>
  <c r="E96" i="39" s="1"/>
  <c r="D89" i="32"/>
  <c r="D96" i="39" s="1"/>
  <c r="C89" i="32"/>
  <c r="C96" i="39" s="1"/>
  <c r="I83" i="32"/>
  <c r="I90" i="39" s="1"/>
  <c r="H83" i="32"/>
  <c r="H90" i="39" s="1"/>
  <c r="G83" i="32"/>
  <c r="G90" i="39" s="1"/>
  <c r="F83" i="32"/>
  <c r="F90" i="39" s="1"/>
  <c r="E83" i="32"/>
  <c r="E90" i="39" s="1"/>
  <c r="D83" i="32"/>
  <c r="D90" i="39" s="1"/>
  <c r="C83" i="32"/>
  <c r="C90" i="39" s="1"/>
  <c r="B83" i="32"/>
  <c r="B90" i="39" s="1"/>
  <c r="I77" i="32"/>
  <c r="I84" i="39" s="1"/>
  <c r="H77" i="32"/>
  <c r="H84" i="39" s="1"/>
  <c r="G77" i="32"/>
  <c r="G84" i="39" s="1"/>
  <c r="F77" i="32"/>
  <c r="F84" i="39" s="1"/>
  <c r="E77" i="32"/>
  <c r="E84" i="39" s="1"/>
  <c r="D77" i="32"/>
  <c r="D84" i="39" s="1"/>
  <c r="C77" i="32"/>
  <c r="C84" i="39" s="1"/>
  <c r="I140" i="39"/>
  <c r="H140" i="39"/>
  <c r="G140" i="39"/>
  <c r="F140" i="39"/>
  <c r="E140" i="39"/>
  <c r="C144" i="32"/>
  <c r="C140" i="39" s="1"/>
  <c r="B77" i="32"/>
  <c r="B84" i="39" s="1"/>
  <c r="K316" i="39" l="1"/>
  <c r="K317" i="39" s="1"/>
  <c r="K277" i="32"/>
  <c r="K488" i="39"/>
  <c r="K489" i="39" s="1"/>
  <c r="K490" i="39" s="1"/>
  <c r="K423" i="39"/>
  <c r="K424" i="39" s="1"/>
  <c r="K302" i="32"/>
  <c r="B13" i="37"/>
  <c r="A35" i="46" s="1"/>
  <c r="K180" i="46" l="1"/>
  <c r="N80" i="46"/>
  <c r="J80" i="46" s="1"/>
  <c r="I80" i="46" s="1"/>
  <c r="N88" i="46"/>
  <c r="J88" i="46" s="1"/>
  <c r="I88" i="46" s="1"/>
  <c r="N96" i="46"/>
  <c r="J96" i="46" s="1"/>
  <c r="I96" i="46" s="1"/>
  <c r="N81" i="46"/>
  <c r="J81" i="46" s="1"/>
  <c r="I81" i="46" s="1"/>
  <c r="N89" i="46"/>
  <c r="J89" i="46" s="1"/>
  <c r="I89" i="46" s="1"/>
  <c r="N97" i="46"/>
  <c r="J97" i="46" s="1"/>
  <c r="I97" i="46" s="1"/>
  <c r="N74" i="46"/>
  <c r="J74" i="46" s="1"/>
  <c r="I74" i="46" s="1"/>
  <c r="N82" i="46"/>
  <c r="J82" i="46" s="1"/>
  <c r="I82" i="46" s="1"/>
  <c r="N90" i="46"/>
  <c r="J90" i="46" s="1"/>
  <c r="I90" i="46" s="1"/>
  <c r="N98" i="46"/>
  <c r="J98" i="46" s="1"/>
  <c r="I98" i="46" s="1"/>
  <c r="N75" i="46"/>
  <c r="J75" i="46" s="1"/>
  <c r="I75" i="46" s="1"/>
  <c r="N83" i="46"/>
  <c r="J83" i="46" s="1"/>
  <c r="I83" i="46" s="1"/>
  <c r="N91" i="46"/>
  <c r="J91" i="46" s="1"/>
  <c r="I91" i="46" s="1"/>
  <c r="N73" i="46"/>
  <c r="J73" i="46" s="1"/>
  <c r="I73" i="46" s="1"/>
  <c r="N76" i="46"/>
  <c r="J76" i="46" s="1"/>
  <c r="I76" i="46" s="1"/>
  <c r="N84" i="46"/>
  <c r="J84" i="46" s="1"/>
  <c r="I84" i="46" s="1"/>
  <c r="N92" i="46"/>
  <c r="J92" i="46" s="1"/>
  <c r="I92" i="46" s="1"/>
  <c r="K45" i="46"/>
  <c r="K46" i="46" s="1"/>
  <c r="K47" i="46" s="1"/>
  <c r="K48" i="46" s="1"/>
  <c r="K49" i="46" s="1"/>
  <c r="N77" i="46"/>
  <c r="J77" i="46" s="1"/>
  <c r="I77" i="46" s="1"/>
  <c r="N85" i="46"/>
  <c r="J85" i="46" s="1"/>
  <c r="I85" i="46" s="1"/>
  <c r="N93" i="46"/>
  <c r="J93" i="46" s="1"/>
  <c r="I93" i="46" s="1"/>
  <c r="K42" i="46"/>
  <c r="K43" i="46" s="1"/>
  <c r="K44" i="46" s="1"/>
  <c r="N78" i="46"/>
  <c r="J78" i="46" s="1"/>
  <c r="I78" i="46" s="1"/>
  <c r="N86" i="46"/>
  <c r="J86" i="46" s="1"/>
  <c r="I86" i="46" s="1"/>
  <c r="N94" i="46"/>
  <c r="J94" i="46" s="1"/>
  <c r="I94" i="46" s="1"/>
  <c r="A5" i="46"/>
  <c r="N79" i="46"/>
  <c r="J79" i="46" s="1"/>
  <c r="I79" i="46" s="1"/>
  <c r="N87" i="46"/>
  <c r="J87" i="46" s="1"/>
  <c r="I87" i="46" s="1"/>
  <c r="N95" i="46"/>
  <c r="J95" i="46" s="1"/>
  <c r="I95" i="46" s="1"/>
  <c r="B9" i="37"/>
  <c r="O150" i="46" l="1"/>
  <c r="P150" i="46"/>
  <c r="N150" i="46"/>
  <c r="K133" i="46"/>
  <c r="K136" i="46" s="1"/>
  <c r="K137" i="46" s="1"/>
  <c r="K138" i="46" s="1"/>
  <c r="K139" i="46" s="1"/>
  <c r="K140" i="46" s="1"/>
  <c r="K141" i="46" s="1"/>
  <c r="K142" i="46" s="1"/>
  <c r="K143" i="46" s="1"/>
  <c r="K144" i="46" s="1"/>
  <c r="K145" i="46" s="1"/>
  <c r="K146" i="46" s="1"/>
  <c r="K147" i="46" s="1"/>
  <c r="K179" i="46"/>
  <c r="J1" i="52"/>
  <c r="C72" i="6"/>
  <c r="C71" i="6"/>
  <c r="C70" i="6"/>
  <c r="C69" i="6"/>
  <c r="B74" i="6" s="1"/>
  <c r="H636" i="52" l="1"/>
  <c r="H634" i="52"/>
  <c r="H632" i="52"/>
  <c r="H630" i="52"/>
  <c r="H627" i="52"/>
  <c r="H637" i="52"/>
  <c r="H635" i="52"/>
  <c r="H633" i="52"/>
  <c r="H631" i="52"/>
  <c r="H628" i="52"/>
  <c r="H629" i="52"/>
  <c r="H102" i="26"/>
  <c r="C74" i="6"/>
  <c r="K158" i="46"/>
  <c r="K159" i="46" s="1"/>
  <c r="K160" i="46" s="1"/>
  <c r="K161" i="46" s="1"/>
  <c r="K151" i="46"/>
  <c r="K155" i="46" s="1"/>
  <c r="K173" i="46"/>
  <c r="K174" i="46" s="1"/>
  <c r="K175" i="46" s="1"/>
  <c r="K176" i="46" s="1"/>
  <c r="K177" i="46" s="1"/>
  <c r="K178" i="46" s="1"/>
  <c r="K181" i="46"/>
  <c r="K166" i="46"/>
  <c r="K167" i="46" s="1"/>
  <c r="K168" i="46" s="1"/>
  <c r="K169" i="46" s="1"/>
  <c r="I89" i="51"/>
  <c r="I45" i="51"/>
  <c r="A94" i="26"/>
  <c r="A161" i="26" s="1"/>
  <c r="K152" i="46" l="1"/>
  <c r="K153" i="46" s="1"/>
  <c r="K154" i="46" s="1"/>
  <c r="K156" i="46"/>
  <c r="K157" i="46" s="1"/>
  <c r="K170" i="46"/>
  <c r="K171" i="46" s="1"/>
  <c r="K172" i="46" s="1"/>
  <c r="K162" i="46"/>
  <c r="K163" i="46" s="1"/>
  <c r="K164" i="46" s="1"/>
  <c r="K165" i="46" s="1"/>
  <c r="K186" i="46"/>
  <c r="K187" i="46" s="1"/>
  <c r="K188" i="46" s="1"/>
  <c r="K189" i="46" s="1"/>
  <c r="K190" i="46" s="1"/>
  <c r="K191" i="46" s="1"/>
  <c r="K192" i="46" s="1"/>
  <c r="K193" i="46" s="1"/>
  <c r="K194" i="46" s="1"/>
  <c r="K182" i="46"/>
  <c r="K183" i="46" s="1"/>
  <c r="K184" i="46" s="1"/>
  <c r="K185" i="46" s="1"/>
  <c r="A57" i="40"/>
  <c r="A56" i="40"/>
  <c r="C75" i="14" l="1"/>
  <c r="A239" i="45" l="1"/>
  <c r="A43" i="45" l="1"/>
  <c r="L232" i="45"/>
  <c r="K232" i="45"/>
  <c r="J232" i="45"/>
  <c r="I232" i="45"/>
  <c r="H232" i="45"/>
  <c r="G232" i="45"/>
  <c r="F232" i="45"/>
  <c r="E232" i="45"/>
  <c r="D232" i="45"/>
  <c r="C232" i="45"/>
  <c r="L229" i="45"/>
  <c r="K229" i="45"/>
  <c r="J229" i="45"/>
  <c r="I229" i="45"/>
  <c r="H229" i="45"/>
  <c r="G229" i="45"/>
  <c r="F229" i="45"/>
  <c r="E229" i="45"/>
  <c r="D229" i="45"/>
  <c r="C229" i="45"/>
  <c r="L212" i="45"/>
  <c r="K212" i="45"/>
  <c r="J212" i="45"/>
  <c r="I212" i="45"/>
  <c r="H212" i="45"/>
  <c r="G212" i="45"/>
  <c r="F212" i="45"/>
  <c r="E212" i="45"/>
  <c r="D212" i="45"/>
  <c r="C212" i="45"/>
  <c r="L209" i="45"/>
  <c r="K209" i="45"/>
  <c r="J209" i="45"/>
  <c r="I209" i="45"/>
  <c r="H209" i="45"/>
  <c r="G209" i="45"/>
  <c r="F209" i="45"/>
  <c r="E209" i="45"/>
  <c r="D209" i="45"/>
  <c r="C209" i="45"/>
  <c r="L192" i="45"/>
  <c r="K192" i="45"/>
  <c r="J192" i="45"/>
  <c r="I192" i="45"/>
  <c r="H192" i="45"/>
  <c r="G192" i="45"/>
  <c r="F192" i="45"/>
  <c r="E192" i="45"/>
  <c r="D192" i="45"/>
  <c r="C192" i="45"/>
  <c r="L189" i="45"/>
  <c r="K189" i="45"/>
  <c r="J189" i="45"/>
  <c r="I189" i="45"/>
  <c r="H189" i="45"/>
  <c r="G189" i="45"/>
  <c r="F189" i="45"/>
  <c r="E189" i="45"/>
  <c r="D189" i="45"/>
  <c r="C189" i="45"/>
  <c r="L172" i="45"/>
  <c r="K172" i="45"/>
  <c r="J172" i="45"/>
  <c r="I172" i="45"/>
  <c r="H172" i="45"/>
  <c r="G172" i="45"/>
  <c r="F172" i="45"/>
  <c r="E172" i="45"/>
  <c r="D172" i="45"/>
  <c r="C172" i="45"/>
  <c r="L169" i="45"/>
  <c r="K169" i="45"/>
  <c r="J169" i="45"/>
  <c r="I169" i="45"/>
  <c r="H169" i="45"/>
  <c r="G169" i="45"/>
  <c r="F169" i="45"/>
  <c r="E169" i="45"/>
  <c r="D169" i="45"/>
  <c r="C169" i="45"/>
  <c r="L152" i="45"/>
  <c r="K152" i="45"/>
  <c r="J152" i="45"/>
  <c r="I152" i="45"/>
  <c r="H152" i="45"/>
  <c r="G152" i="45"/>
  <c r="F152" i="45"/>
  <c r="E152" i="45"/>
  <c r="D152" i="45"/>
  <c r="C152" i="45"/>
  <c r="L149" i="45"/>
  <c r="K149" i="45"/>
  <c r="J149" i="45"/>
  <c r="I149" i="45"/>
  <c r="H149" i="45"/>
  <c r="G149" i="45"/>
  <c r="F149" i="45"/>
  <c r="E149" i="45"/>
  <c r="D149" i="45"/>
  <c r="C149" i="45"/>
  <c r="L132" i="45"/>
  <c r="K132" i="45"/>
  <c r="J132" i="45"/>
  <c r="I132" i="45"/>
  <c r="H132" i="45"/>
  <c r="G132" i="45"/>
  <c r="F132" i="45"/>
  <c r="E132" i="45"/>
  <c r="D132" i="45"/>
  <c r="C132" i="45"/>
  <c r="L129" i="45"/>
  <c r="K129" i="45"/>
  <c r="J129" i="45"/>
  <c r="I129" i="45"/>
  <c r="H129" i="45"/>
  <c r="G129" i="45"/>
  <c r="F129" i="45"/>
  <c r="E129" i="45"/>
  <c r="D129" i="45"/>
  <c r="C129" i="45"/>
  <c r="L112" i="45"/>
  <c r="K112" i="45"/>
  <c r="J112" i="45"/>
  <c r="I112" i="45"/>
  <c r="H112" i="45"/>
  <c r="G112" i="45"/>
  <c r="F112" i="45"/>
  <c r="E112" i="45"/>
  <c r="D112" i="45"/>
  <c r="C112" i="45"/>
  <c r="L109" i="45"/>
  <c r="K109" i="45"/>
  <c r="J109" i="45"/>
  <c r="I109" i="45"/>
  <c r="H109" i="45"/>
  <c r="G109" i="45"/>
  <c r="F109" i="45"/>
  <c r="E109" i="45"/>
  <c r="D109" i="45"/>
  <c r="C109" i="45"/>
  <c r="L92" i="45"/>
  <c r="K92" i="45"/>
  <c r="J92" i="45"/>
  <c r="I92" i="45"/>
  <c r="H92" i="45"/>
  <c r="G92" i="45"/>
  <c r="F92" i="45"/>
  <c r="E92" i="45"/>
  <c r="D92" i="45"/>
  <c r="C92" i="45"/>
  <c r="L89" i="45"/>
  <c r="K89" i="45"/>
  <c r="J89" i="45"/>
  <c r="I89" i="45"/>
  <c r="H89" i="45"/>
  <c r="G89" i="45"/>
  <c r="F89" i="45"/>
  <c r="E89" i="45"/>
  <c r="D89" i="45"/>
  <c r="C89" i="45"/>
  <c r="L72" i="45"/>
  <c r="K72" i="45"/>
  <c r="J72" i="45"/>
  <c r="I72" i="45"/>
  <c r="H72" i="45"/>
  <c r="G72" i="45"/>
  <c r="F72" i="45"/>
  <c r="E72" i="45"/>
  <c r="D72" i="45"/>
  <c r="C72" i="45"/>
  <c r="L69" i="45"/>
  <c r="K69" i="45"/>
  <c r="J69" i="45"/>
  <c r="I69" i="45"/>
  <c r="H69" i="45"/>
  <c r="G69" i="45"/>
  <c r="F69" i="45"/>
  <c r="E69" i="45"/>
  <c r="D69" i="45"/>
  <c r="D131" i="45" l="1"/>
  <c r="D130" i="45"/>
  <c r="D211" i="45"/>
  <c r="D210" i="45"/>
  <c r="F91" i="45"/>
  <c r="F90" i="45"/>
  <c r="F211" i="45"/>
  <c r="F210" i="45"/>
  <c r="C151" i="45"/>
  <c r="C150" i="45"/>
  <c r="K150" i="45"/>
  <c r="K151" i="45"/>
  <c r="G170" i="45"/>
  <c r="G171" i="45"/>
  <c r="C191" i="45"/>
  <c r="C190" i="45"/>
  <c r="K190" i="45"/>
  <c r="K191" i="45"/>
  <c r="G210" i="45"/>
  <c r="G211" i="45"/>
  <c r="C230" i="45"/>
  <c r="C231" i="45"/>
  <c r="K231" i="45"/>
  <c r="K230" i="45"/>
  <c r="L171" i="45"/>
  <c r="L170" i="45"/>
  <c r="I151" i="45"/>
  <c r="I150" i="45"/>
  <c r="I231" i="45"/>
  <c r="I230" i="45"/>
  <c r="J111" i="45"/>
  <c r="J110" i="45"/>
  <c r="F131" i="45"/>
  <c r="F130" i="45"/>
  <c r="F171" i="45"/>
  <c r="F170" i="45"/>
  <c r="K70" i="45"/>
  <c r="K71" i="45"/>
  <c r="L70" i="45"/>
  <c r="L71" i="45"/>
  <c r="H90" i="45"/>
  <c r="H91" i="45"/>
  <c r="D110" i="45"/>
  <c r="D111" i="45"/>
  <c r="L110" i="45"/>
  <c r="L111" i="45"/>
  <c r="H130" i="45"/>
  <c r="H131" i="45"/>
  <c r="D150" i="45"/>
  <c r="D151" i="45"/>
  <c r="L150" i="45"/>
  <c r="L151" i="45"/>
  <c r="H170" i="45"/>
  <c r="H171" i="45"/>
  <c r="D190" i="45"/>
  <c r="D191" i="45"/>
  <c r="L190" i="45"/>
  <c r="L191" i="45"/>
  <c r="H210" i="45"/>
  <c r="H211" i="45"/>
  <c r="D230" i="45"/>
  <c r="D231" i="45"/>
  <c r="L231" i="45"/>
  <c r="L230" i="45"/>
  <c r="D91" i="45"/>
  <c r="D90" i="45"/>
  <c r="H111" i="45"/>
  <c r="H110" i="45"/>
  <c r="H231" i="45"/>
  <c r="H230" i="45"/>
  <c r="E91" i="45"/>
  <c r="E90" i="45"/>
  <c r="E131" i="45"/>
  <c r="E130" i="45"/>
  <c r="J231" i="45"/>
  <c r="J230" i="45"/>
  <c r="C111" i="45"/>
  <c r="C110" i="45"/>
  <c r="D70" i="45"/>
  <c r="D71" i="45"/>
  <c r="E70" i="45"/>
  <c r="E71" i="45"/>
  <c r="I90" i="45"/>
  <c r="I91" i="45"/>
  <c r="E111" i="45"/>
  <c r="E110" i="45"/>
  <c r="I130" i="45"/>
  <c r="I131" i="45"/>
  <c r="E151" i="45"/>
  <c r="E150" i="45"/>
  <c r="I170" i="45"/>
  <c r="I171" i="45"/>
  <c r="E191" i="45"/>
  <c r="E190" i="45"/>
  <c r="I211" i="45"/>
  <c r="I210" i="45"/>
  <c r="E230" i="45"/>
  <c r="E231" i="45"/>
  <c r="L131" i="45"/>
  <c r="L130" i="45"/>
  <c r="L211" i="45"/>
  <c r="L210" i="45"/>
  <c r="I111" i="45"/>
  <c r="I110" i="45"/>
  <c r="I191" i="45"/>
  <c r="I190" i="45"/>
  <c r="J71" i="45"/>
  <c r="J70" i="45"/>
  <c r="J151" i="45"/>
  <c r="J150" i="45"/>
  <c r="G130" i="45"/>
  <c r="G131" i="45"/>
  <c r="J90" i="45"/>
  <c r="J91" i="45"/>
  <c r="F111" i="45"/>
  <c r="F110" i="45"/>
  <c r="J131" i="45"/>
  <c r="J130" i="45"/>
  <c r="F151" i="45"/>
  <c r="F150" i="45"/>
  <c r="J171" i="45"/>
  <c r="J170" i="45"/>
  <c r="F191" i="45"/>
  <c r="F190" i="45"/>
  <c r="J211" i="45"/>
  <c r="J210" i="45"/>
  <c r="F231" i="45"/>
  <c r="F230" i="45"/>
  <c r="H71" i="45"/>
  <c r="H70" i="45"/>
  <c r="L91" i="45"/>
  <c r="L90" i="45"/>
  <c r="H151" i="45"/>
  <c r="H150" i="45"/>
  <c r="D171" i="45"/>
  <c r="D170" i="45"/>
  <c r="H191" i="45"/>
  <c r="H190" i="45"/>
  <c r="I70" i="45"/>
  <c r="I71" i="45"/>
  <c r="E171" i="45"/>
  <c r="E170" i="45"/>
  <c r="E211" i="45"/>
  <c r="E210" i="45"/>
  <c r="J191" i="45"/>
  <c r="J190" i="45"/>
  <c r="G90" i="45"/>
  <c r="G91" i="45"/>
  <c r="K110" i="45"/>
  <c r="K111" i="45"/>
  <c r="F70" i="45"/>
  <c r="F71" i="45"/>
  <c r="G71" i="45"/>
  <c r="G70" i="45"/>
  <c r="C91" i="45"/>
  <c r="C90" i="45"/>
  <c r="K91" i="45"/>
  <c r="K90" i="45"/>
  <c r="G111" i="45"/>
  <c r="G110" i="45"/>
  <c r="C131" i="45"/>
  <c r="C130" i="45"/>
  <c r="K131" i="45"/>
  <c r="K130" i="45"/>
  <c r="G151" i="45"/>
  <c r="G150" i="45"/>
  <c r="C171" i="45"/>
  <c r="C170" i="45"/>
  <c r="K171" i="45"/>
  <c r="K170" i="45"/>
  <c r="G191" i="45"/>
  <c r="G190" i="45"/>
  <c r="C211" i="45"/>
  <c r="C210" i="45"/>
  <c r="K211" i="45"/>
  <c r="K210" i="45"/>
  <c r="G231" i="45"/>
  <c r="G230" i="45"/>
  <c r="F74" i="45"/>
  <c r="F73" i="45"/>
  <c r="J74" i="45"/>
  <c r="J73" i="45"/>
  <c r="F94" i="45"/>
  <c r="F93" i="45"/>
  <c r="J94" i="45"/>
  <c r="J93" i="45"/>
  <c r="F114" i="45"/>
  <c r="F113" i="45"/>
  <c r="J114" i="45"/>
  <c r="J113" i="45"/>
  <c r="F134" i="45"/>
  <c r="F133" i="45"/>
  <c r="J134" i="45"/>
  <c r="J133" i="45"/>
  <c r="F154" i="45"/>
  <c r="F153" i="45"/>
  <c r="J154" i="45"/>
  <c r="J153" i="45"/>
  <c r="F173" i="45"/>
  <c r="F174" i="45"/>
  <c r="J173" i="45"/>
  <c r="J174" i="45"/>
  <c r="F193" i="45"/>
  <c r="F194" i="45"/>
  <c r="J193" i="45"/>
  <c r="J194" i="45"/>
  <c r="F214" i="45"/>
  <c r="F213" i="45"/>
  <c r="J214" i="45"/>
  <c r="J213" i="45"/>
  <c r="F233" i="45"/>
  <c r="F234" i="45"/>
  <c r="J233" i="45"/>
  <c r="J234" i="45"/>
  <c r="G74" i="45"/>
  <c r="G73" i="45"/>
  <c r="K74" i="45"/>
  <c r="K73" i="45"/>
  <c r="C94" i="45"/>
  <c r="C93" i="45"/>
  <c r="G94" i="45"/>
  <c r="G93" i="45"/>
  <c r="K94" i="45"/>
  <c r="K93" i="45"/>
  <c r="C114" i="45"/>
  <c r="C113" i="45"/>
  <c r="G114" i="45"/>
  <c r="G113" i="45"/>
  <c r="K114" i="45"/>
  <c r="K113" i="45"/>
  <c r="C134" i="45"/>
  <c r="C133" i="45"/>
  <c r="G134" i="45"/>
  <c r="G133" i="45"/>
  <c r="K134" i="45"/>
  <c r="K133" i="45"/>
  <c r="C154" i="45"/>
  <c r="C153" i="45"/>
  <c r="G154" i="45"/>
  <c r="G153" i="45"/>
  <c r="K154" i="45"/>
  <c r="K153" i="45"/>
  <c r="C174" i="45"/>
  <c r="C173" i="45"/>
  <c r="G174" i="45"/>
  <c r="G173" i="45"/>
  <c r="K174" i="45"/>
  <c r="K173" i="45"/>
  <c r="C194" i="45"/>
  <c r="C193" i="45"/>
  <c r="G194" i="45"/>
  <c r="G193" i="45"/>
  <c r="K194" i="45"/>
  <c r="K193" i="45"/>
  <c r="C214" i="45"/>
  <c r="C213" i="45"/>
  <c r="G214" i="45"/>
  <c r="G213" i="45"/>
  <c r="K214" i="45"/>
  <c r="K213" i="45"/>
  <c r="C234" i="45"/>
  <c r="C233" i="45"/>
  <c r="G234" i="45"/>
  <c r="G233" i="45"/>
  <c r="K234" i="45"/>
  <c r="K233" i="45"/>
  <c r="D73" i="45"/>
  <c r="D74" i="45"/>
  <c r="H73" i="45"/>
  <c r="H74" i="45"/>
  <c r="L73" i="45"/>
  <c r="L74" i="45"/>
  <c r="D94" i="45"/>
  <c r="D93" i="45"/>
  <c r="H94" i="45"/>
  <c r="H93" i="45"/>
  <c r="L94" i="45"/>
  <c r="L93" i="45"/>
  <c r="D114" i="45"/>
  <c r="D113" i="45"/>
  <c r="H114" i="45"/>
  <c r="H113" i="45"/>
  <c r="L114" i="45"/>
  <c r="L113" i="45"/>
  <c r="D134" i="45"/>
  <c r="D133" i="45"/>
  <c r="H134" i="45"/>
  <c r="H133" i="45"/>
  <c r="L134" i="45"/>
  <c r="L133" i="45"/>
  <c r="D154" i="45"/>
  <c r="D153" i="45"/>
  <c r="H154" i="45"/>
  <c r="H153" i="45"/>
  <c r="L154" i="45"/>
  <c r="L153" i="45"/>
  <c r="D173" i="45"/>
  <c r="D174" i="45"/>
  <c r="H173" i="45"/>
  <c r="H174" i="45"/>
  <c r="L173" i="45"/>
  <c r="L174" i="45"/>
  <c r="D193" i="45"/>
  <c r="D194" i="45"/>
  <c r="H193" i="45"/>
  <c r="H194" i="45"/>
  <c r="L193" i="45"/>
  <c r="L194" i="45"/>
  <c r="D214" i="45"/>
  <c r="D213" i="45"/>
  <c r="H214" i="45"/>
  <c r="H213" i="45"/>
  <c r="L214" i="45"/>
  <c r="L213" i="45"/>
  <c r="D233" i="45"/>
  <c r="D234" i="45"/>
  <c r="H233" i="45"/>
  <c r="H234" i="45"/>
  <c r="L233" i="45"/>
  <c r="L234" i="45"/>
  <c r="P10" i="22"/>
  <c r="O10" i="22"/>
  <c r="E74" i="45"/>
  <c r="E73" i="45"/>
  <c r="I74" i="45"/>
  <c r="I73" i="45"/>
  <c r="E93" i="45"/>
  <c r="E94" i="45"/>
  <c r="I93" i="45"/>
  <c r="I94" i="45"/>
  <c r="E113" i="45"/>
  <c r="E114" i="45"/>
  <c r="I113" i="45"/>
  <c r="I114" i="45"/>
  <c r="E133" i="45"/>
  <c r="E134" i="45"/>
  <c r="I133" i="45"/>
  <c r="I134" i="45"/>
  <c r="E153" i="45"/>
  <c r="E154" i="45"/>
  <c r="I153" i="45"/>
  <c r="I154" i="45"/>
  <c r="E173" i="45"/>
  <c r="E174" i="45"/>
  <c r="I173" i="45"/>
  <c r="I174" i="45"/>
  <c r="E193" i="45"/>
  <c r="E194" i="45"/>
  <c r="I193" i="45"/>
  <c r="I194" i="45"/>
  <c r="E213" i="45"/>
  <c r="E214" i="45"/>
  <c r="I213" i="45"/>
  <c r="I214" i="45"/>
  <c r="E233" i="45"/>
  <c r="E234" i="45"/>
  <c r="I233" i="45"/>
  <c r="I234" i="45"/>
  <c r="C69" i="45"/>
  <c r="C88" i="45"/>
  <c r="D68" i="45"/>
  <c r="D88" i="45"/>
  <c r="H88" i="45"/>
  <c r="L88" i="45"/>
  <c r="D108" i="45"/>
  <c r="H108" i="45"/>
  <c r="L108" i="45"/>
  <c r="D128" i="45"/>
  <c r="H128" i="45"/>
  <c r="L128" i="45"/>
  <c r="D148" i="45"/>
  <c r="H148" i="45"/>
  <c r="L148" i="45"/>
  <c r="D168" i="45"/>
  <c r="H168" i="45"/>
  <c r="L168" i="45"/>
  <c r="D188" i="45"/>
  <c r="H188" i="45"/>
  <c r="L188" i="45"/>
  <c r="D208" i="45"/>
  <c r="H208" i="45"/>
  <c r="L208" i="45"/>
  <c r="D228" i="45"/>
  <c r="H228" i="45"/>
  <c r="L228" i="45"/>
  <c r="K68" i="45"/>
  <c r="C108" i="45"/>
  <c r="L68" i="45"/>
  <c r="I68" i="45"/>
  <c r="I88" i="45"/>
  <c r="E108" i="45"/>
  <c r="I108" i="45"/>
  <c r="E128" i="45"/>
  <c r="I128" i="45"/>
  <c r="E148" i="45"/>
  <c r="I148" i="45"/>
  <c r="E168" i="45"/>
  <c r="I168" i="45"/>
  <c r="E188" i="45"/>
  <c r="I188" i="45"/>
  <c r="E208" i="45"/>
  <c r="I208" i="45"/>
  <c r="E228" i="45"/>
  <c r="I228" i="45"/>
  <c r="G68" i="45"/>
  <c r="G88" i="45"/>
  <c r="H68" i="45"/>
  <c r="E68" i="45"/>
  <c r="E88" i="45"/>
  <c r="F68" i="45"/>
  <c r="J68" i="45"/>
  <c r="F88" i="45"/>
  <c r="J88" i="45"/>
  <c r="F108" i="45"/>
  <c r="J108" i="45"/>
  <c r="F128" i="45"/>
  <c r="J128" i="45"/>
  <c r="F148" i="45"/>
  <c r="J148" i="45"/>
  <c r="F168" i="45"/>
  <c r="J168" i="45"/>
  <c r="F188" i="45"/>
  <c r="J188" i="45"/>
  <c r="F208" i="45"/>
  <c r="J208" i="45"/>
  <c r="F228" i="45"/>
  <c r="J228" i="45"/>
  <c r="K88" i="45"/>
  <c r="G108" i="45"/>
  <c r="K108" i="45"/>
  <c r="C128" i="45"/>
  <c r="G128" i="45"/>
  <c r="K128" i="45"/>
  <c r="C148" i="45"/>
  <c r="G148" i="45"/>
  <c r="K148" i="45"/>
  <c r="C168" i="45"/>
  <c r="G168" i="45"/>
  <c r="K168" i="45"/>
  <c r="C188" i="45"/>
  <c r="G188" i="45"/>
  <c r="K188" i="45"/>
  <c r="C208" i="45"/>
  <c r="G208" i="45"/>
  <c r="K208" i="45"/>
  <c r="C228" i="45"/>
  <c r="G228" i="45"/>
  <c r="K228" i="45"/>
  <c r="C74" i="45"/>
  <c r="C73" i="45"/>
  <c r="L52" i="45"/>
  <c r="K52" i="45"/>
  <c r="J52" i="45"/>
  <c r="J54" i="45" s="1"/>
  <c r="I52" i="45"/>
  <c r="I54" i="45" s="1"/>
  <c r="H52" i="45"/>
  <c r="H54" i="45" s="1"/>
  <c r="G52" i="45"/>
  <c r="G54" i="45" s="1"/>
  <c r="F52" i="45"/>
  <c r="F54" i="45" s="1"/>
  <c r="E52" i="45"/>
  <c r="E54" i="45" s="1"/>
  <c r="D52" i="45"/>
  <c r="D54" i="45" s="1"/>
  <c r="C52" i="45"/>
  <c r="C68" i="45" l="1"/>
  <c r="M68" i="45" s="1"/>
  <c r="C71" i="45"/>
  <c r="O71" i="45" s="1"/>
  <c r="C70" i="45"/>
  <c r="N70" i="45" s="1"/>
  <c r="O254" i="45"/>
  <c r="M282" i="45" s="1"/>
  <c r="M281" i="45" s="1"/>
  <c r="M245" i="45"/>
  <c r="N71" i="45"/>
  <c r="N73" i="45"/>
  <c r="O73" i="45"/>
  <c r="N231" i="45"/>
  <c r="O231" i="45"/>
  <c r="N230" i="45"/>
  <c r="O230" i="45"/>
  <c r="N210" i="45"/>
  <c r="O210" i="45"/>
  <c r="N191" i="45"/>
  <c r="O191" i="45"/>
  <c r="N190" i="45"/>
  <c r="O190" i="45"/>
  <c r="N150" i="45"/>
  <c r="O150" i="45"/>
  <c r="N151" i="45"/>
  <c r="O151" i="45"/>
  <c r="N130" i="45"/>
  <c r="O130" i="45"/>
  <c r="N91" i="45"/>
  <c r="O91" i="45"/>
  <c r="N233" i="45"/>
  <c r="O233" i="45"/>
  <c r="N213" i="45"/>
  <c r="O213" i="45"/>
  <c r="N193" i="45"/>
  <c r="O193" i="45"/>
  <c r="N173" i="45"/>
  <c r="O173" i="45"/>
  <c r="N153" i="45"/>
  <c r="O153" i="45"/>
  <c r="N133" i="45"/>
  <c r="O133" i="45"/>
  <c r="N113" i="45"/>
  <c r="O113" i="45"/>
  <c r="N93" i="45"/>
  <c r="O93" i="45"/>
  <c r="N74" i="45"/>
  <c r="O74" i="45"/>
  <c r="N211" i="45"/>
  <c r="O211" i="45"/>
  <c r="N171" i="45"/>
  <c r="O171" i="45"/>
  <c r="N170" i="45"/>
  <c r="O170" i="45"/>
  <c r="N131" i="45"/>
  <c r="O131" i="45"/>
  <c r="N110" i="45"/>
  <c r="O110" i="45"/>
  <c r="N111" i="45"/>
  <c r="O111" i="45"/>
  <c r="N90" i="45"/>
  <c r="O90" i="45"/>
  <c r="N234" i="45"/>
  <c r="O234" i="45"/>
  <c r="N214" i="45"/>
  <c r="O214" i="45"/>
  <c r="N194" i="45"/>
  <c r="O194" i="45"/>
  <c r="N174" i="45"/>
  <c r="O174" i="45"/>
  <c r="N154" i="45"/>
  <c r="O154" i="45"/>
  <c r="N134" i="45"/>
  <c r="O134" i="45"/>
  <c r="N114" i="45"/>
  <c r="O114" i="45"/>
  <c r="N94" i="45"/>
  <c r="O94" i="45"/>
  <c r="O253" i="45"/>
  <c r="Q10" i="22"/>
  <c r="M252" i="45"/>
  <c r="M253" i="45" s="1"/>
  <c r="M254" i="45" s="1"/>
  <c r="M255" i="45" s="1"/>
  <c r="M228" i="45"/>
  <c r="M208" i="45"/>
  <c r="M188" i="45"/>
  <c r="M168" i="45"/>
  <c r="M88" i="45"/>
  <c r="M148" i="45"/>
  <c r="M128" i="45"/>
  <c r="M108" i="45"/>
  <c r="M67" i="45"/>
  <c r="M66" i="45" s="1"/>
  <c r="M65" i="45" s="1"/>
  <c r="M64" i="45" s="1"/>
  <c r="M63" i="45" s="1"/>
  <c r="C54" i="45"/>
  <c r="E53" i="45"/>
  <c r="I53" i="45"/>
  <c r="C53" i="45"/>
  <c r="L54" i="45"/>
  <c r="L53" i="45"/>
  <c r="D53" i="45"/>
  <c r="K54" i="45"/>
  <c r="K53" i="45"/>
  <c r="F53" i="45"/>
  <c r="G53" i="45"/>
  <c r="J53" i="45"/>
  <c r="H53" i="45"/>
  <c r="E49" i="14"/>
  <c r="F49" i="14" s="1"/>
  <c r="E48" i="14"/>
  <c r="F48" i="14" s="1"/>
  <c r="E47" i="14"/>
  <c r="F47" i="14" s="1"/>
  <c r="E46" i="14"/>
  <c r="F46" i="14" s="1"/>
  <c r="E45" i="14"/>
  <c r="F45" i="14" s="1"/>
  <c r="E44" i="14"/>
  <c r="F44" i="14" s="1"/>
  <c r="D50" i="14"/>
  <c r="M247" i="45" l="1"/>
  <c r="M246" i="45"/>
  <c r="A302" i="45"/>
  <c r="A299" i="45"/>
  <c r="O70" i="45"/>
  <c r="A3" i="45"/>
  <c r="A41" i="45"/>
  <c r="A29" i="45"/>
  <c r="O51" i="45"/>
  <c r="N51" i="45"/>
  <c r="O54" i="45"/>
  <c r="N54" i="45"/>
  <c r="O50" i="45"/>
  <c r="N50" i="45"/>
  <c r="O53" i="45"/>
  <c r="N53" i="45"/>
  <c r="M266" i="45"/>
  <c r="M69" i="45"/>
  <c r="M70" i="45" s="1"/>
  <c r="M71" i="45" s="1"/>
  <c r="M72" i="45" s="1"/>
  <c r="M73" i="45" s="1"/>
  <c r="M74" i="45" s="1"/>
  <c r="M75" i="45" s="1"/>
  <c r="M76" i="45" s="1"/>
  <c r="M127" i="45"/>
  <c r="M126" i="45" s="1"/>
  <c r="M125" i="45" s="1"/>
  <c r="M124" i="45" s="1"/>
  <c r="M123" i="45" s="1"/>
  <c r="M129" i="45"/>
  <c r="M130" i="45" s="1"/>
  <c r="M131" i="45" s="1"/>
  <c r="M132" i="45" s="1"/>
  <c r="M133" i="45" s="1"/>
  <c r="M134" i="45" s="1"/>
  <c r="M135" i="45" s="1"/>
  <c r="M136" i="45" s="1"/>
  <c r="M209" i="45"/>
  <c r="M210" i="45" s="1"/>
  <c r="M211" i="45" s="1"/>
  <c r="M212" i="45" s="1"/>
  <c r="M213" i="45" s="1"/>
  <c r="M214" i="45" s="1"/>
  <c r="M215" i="45" s="1"/>
  <c r="M216" i="45" s="1"/>
  <c r="M207" i="45"/>
  <c r="M206" i="45" s="1"/>
  <c r="M205" i="45" s="1"/>
  <c r="M204" i="45" s="1"/>
  <c r="M203" i="45" s="1"/>
  <c r="M169" i="45"/>
  <c r="M170" i="45" s="1"/>
  <c r="M171" i="45" s="1"/>
  <c r="M172" i="45" s="1"/>
  <c r="M173" i="45" s="1"/>
  <c r="M174" i="45" s="1"/>
  <c r="M175" i="45" s="1"/>
  <c r="M176" i="45" s="1"/>
  <c r="M167" i="45"/>
  <c r="M166" i="45" s="1"/>
  <c r="M165" i="45" s="1"/>
  <c r="M164" i="45" s="1"/>
  <c r="M163" i="45" s="1"/>
  <c r="M149" i="45"/>
  <c r="M150" i="45" s="1"/>
  <c r="M151" i="45" s="1"/>
  <c r="M152" i="45" s="1"/>
  <c r="M153" i="45" s="1"/>
  <c r="M154" i="45" s="1"/>
  <c r="M155" i="45" s="1"/>
  <c r="M156" i="45" s="1"/>
  <c r="M147" i="45"/>
  <c r="M146" i="45" s="1"/>
  <c r="M145" i="45" s="1"/>
  <c r="M144" i="45" s="1"/>
  <c r="M143" i="45" s="1"/>
  <c r="M109" i="45"/>
  <c r="M110" i="45" s="1"/>
  <c r="M111" i="45" s="1"/>
  <c r="M112" i="45" s="1"/>
  <c r="M113" i="45" s="1"/>
  <c r="M114" i="45" s="1"/>
  <c r="M115" i="45" s="1"/>
  <c r="M116" i="45" s="1"/>
  <c r="M107" i="45"/>
  <c r="M106" i="45" s="1"/>
  <c r="M105" i="45" s="1"/>
  <c r="M104" i="45" s="1"/>
  <c r="M103" i="45" s="1"/>
  <c r="M89" i="45"/>
  <c r="M90" i="45" s="1"/>
  <c r="M91" i="45" s="1"/>
  <c r="M92" i="45" s="1"/>
  <c r="M93" i="45" s="1"/>
  <c r="M94" i="45" s="1"/>
  <c r="M95" i="45" s="1"/>
  <c r="M96" i="45" s="1"/>
  <c r="M87" i="45"/>
  <c r="M86" i="45" s="1"/>
  <c r="M85" i="45" s="1"/>
  <c r="M84" i="45" s="1"/>
  <c r="M83" i="45" s="1"/>
  <c r="M189" i="45"/>
  <c r="M190" i="45" s="1"/>
  <c r="M191" i="45" s="1"/>
  <c r="M192" i="45" s="1"/>
  <c r="M193" i="45" s="1"/>
  <c r="M194" i="45" s="1"/>
  <c r="M195" i="45" s="1"/>
  <c r="M196" i="45" s="1"/>
  <c r="M187" i="45"/>
  <c r="M186" i="45" s="1"/>
  <c r="M185" i="45" s="1"/>
  <c r="M184" i="45" s="1"/>
  <c r="M183" i="45" s="1"/>
  <c r="M229" i="45"/>
  <c r="M230" i="45" s="1"/>
  <c r="M231" i="45" s="1"/>
  <c r="M232" i="45" s="1"/>
  <c r="M233" i="45" s="1"/>
  <c r="M234" i="45" s="1"/>
  <c r="M235" i="45" s="1"/>
  <c r="M236" i="45" s="1"/>
  <c r="M227" i="45"/>
  <c r="M226" i="45" s="1"/>
  <c r="M225" i="45" s="1"/>
  <c r="M224" i="45" s="1"/>
  <c r="M223" i="45" s="1"/>
  <c r="O255" i="45"/>
  <c r="M299" i="45" s="1"/>
  <c r="M302" i="45" s="1"/>
  <c r="A128" i="24"/>
  <c r="K128" i="24" s="1"/>
  <c r="A127" i="24"/>
  <c r="J121" i="24"/>
  <c r="L121" i="24" s="1"/>
  <c r="I190" i="24" s="1"/>
  <c r="J120" i="24"/>
  <c r="H120" i="24"/>
  <c r="G105" i="24"/>
  <c r="F105" i="24"/>
  <c r="E105" i="24"/>
  <c r="D105" i="24"/>
  <c r="C105" i="24"/>
  <c r="K104" i="24" s="1"/>
  <c r="K88" i="24" s="1"/>
  <c r="B34" i="3"/>
  <c r="H34" i="3"/>
  <c r="A104" i="24"/>
  <c r="A88" i="24" s="1"/>
  <c r="I102" i="24"/>
  <c r="I100" i="24"/>
  <c r="H100" i="24"/>
  <c r="G100" i="24"/>
  <c r="F100" i="24"/>
  <c r="E100" i="24"/>
  <c r="D100" i="24"/>
  <c r="C100" i="24"/>
  <c r="I82" i="24"/>
  <c r="H82" i="24"/>
  <c r="G82" i="24"/>
  <c r="F82" i="24"/>
  <c r="E82" i="24"/>
  <c r="D82" i="24"/>
  <c r="C82" i="24"/>
  <c r="G73" i="24"/>
  <c r="K150" i="24" s="1"/>
  <c r="G71" i="24"/>
  <c r="G65" i="24"/>
  <c r="G64" i="24"/>
  <c r="K203" i="24" s="1"/>
  <c r="K204" i="24" s="1"/>
  <c r="K205" i="24" s="1"/>
  <c r="E50" i="24"/>
  <c r="I45" i="24"/>
  <c r="G45" i="24"/>
  <c r="D45" i="24"/>
  <c r="A45" i="24"/>
  <c r="A109" i="26"/>
  <c r="K237" i="24" l="1"/>
  <c r="K238" i="24" s="1"/>
  <c r="L120" i="24"/>
  <c r="I189" i="24" s="1"/>
  <c r="H47" i="3"/>
  <c r="K44" i="3"/>
  <c r="K45" i="3" s="1"/>
  <c r="B47" i="3"/>
  <c r="E44" i="3"/>
  <c r="O252" i="45"/>
  <c r="M308" i="45" s="1"/>
  <c r="O251" i="45"/>
  <c r="M290" i="45" s="1"/>
  <c r="O250" i="45"/>
  <c r="N251" i="45"/>
  <c r="N250" i="45"/>
  <c r="K469" i="39"/>
  <c r="F101" i="24"/>
  <c r="F102" i="24" s="1"/>
  <c r="Y31" i="3"/>
  <c r="Y30" i="3"/>
  <c r="L30" i="3"/>
  <c r="V29" i="3"/>
  <c r="H121" i="24"/>
  <c r="K239" i="24"/>
  <c r="K240" i="24" s="1"/>
  <c r="K151" i="24"/>
  <c r="K213" i="24"/>
  <c r="C101" i="24"/>
  <c r="K105" i="24"/>
  <c r="I29" i="3"/>
  <c r="M300" i="45"/>
  <c r="M301" i="45" s="1"/>
  <c r="M303" i="45"/>
  <c r="M304" i="45" s="1"/>
  <c r="M305" i="45" s="1"/>
  <c r="M306" i="45" s="1"/>
  <c r="J162" i="39"/>
  <c r="K357" i="32"/>
  <c r="K472" i="39" s="1"/>
  <c r="H162" i="39"/>
  <c r="J161" i="39"/>
  <c r="C106" i="24"/>
  <c r="C107" i="24" s="1"/>
  <c r="E106" i="24"/>
  <c r="E107" i="24" s="1"/>
  <c r="G106" i="24"/>
  <c r="G107" i="24" s="1"/>
  <c r="D106" i="24"/>
  <c r="D107" i="24" s="1"/>
  <c r="F106" i="24"/>
  <c r="F107" i="24" s="1"/>
  <c r="H106" i="24"/>
  <c r="H107" i="24" s="1"/>
  <c r="J99" i="26"/>
  <c r="H99" i="26"/>
  <c r="I360" i="39" l="1"/>
  <c r="H360" i="39" s="1"/>
  <c r="O161" i="39"/>
  <c r="I361" i="39"/>
  <c r="H361" i="39" s="1"/>
  <c r="O162" i="39"/>
  <c r="L107" i="24"/>
  <c r="M283" i="45"/>
  <c r="M284" i="45" s="1"/>
  <c r="M285" i="45" s="1"/>
  <c r="M286" i="45" s="1"/>
  <c r="C102" i="24"/>
  <c r="H161" i="39"/>
  <c r="M271" i="45"/>
  <c r="M272" i="45" s="1"/>
  <c r="M273" i="45" s="1"/>
  <c r="M278" i="45"/>
  <c r="M279" i="45" s="1"/>
  <c r="M280" i="45" s="1"/>
  <c r="M267" i="45"/>
  <c r="M268" i="45" s="1"/>
  <c r="M269" i="45" s="1"/>
  <c r="M270" i="45" s="1"/>
  <c r="M274" i="45"/>
  <c r="M275" i="45" s="1"/>
  <c r="M276" i="45" s="1"/>
  <c r="M277" i="45" s="1"/>
  <c r="M287" i="45"/>
  <c r="M288" i="45" s="1"/>
  <c r="M289" i="45" s="1"/>
  <c r="M294" i="45"/>
  <c r="M295" i="45" s="1"/>
  <c r="M296" i="45" s="1"/>
  <c r="K198" i="26"/>
  <c r="K199" i="26" s="1"/>
  <c r="K106" i="24"/>
  <c r="K89" i="24"/>
  <c r="A223" i="24"/>
  <c r="K223" i="24" s="1"/>
  <c r="H115" i="24"/>
  <c r="J115" i="24"/>
  <c r="L115" i="24" s="1"/>
  <c r="H117" i="24"/>
  <c r="I43" i="3"/>
  <c r="J117" i="24" s="1"/>
  <c r="L117" i="24" s="1"/>
  <c r="H128" i="24"/>
  <c r="A115" i="24"/>
  <c r="K115" i="24" s="1"/>
  <c r="A117" i="24"/>
  <c r="K117" i="24" s="1"/>
  <c r="M307" i="45"/>
  <c r="M309" i="45"/>
  <c r="M310" i="45" s="1"/>
  <c r="M311" i="45" s="1"/>
  <c r="M312" i="45" s="1"/>
  <c r="M313" i="45" s="1"/>
  <c r="M291" i="45"/>
  <c r="M292" i="45" s="1"/>
  <c r="M293" i="45" s="1"/>
  <c r="K358" i="32"/>
  <c r="K359" i="32" s="1"/>
  <c r="K473" i="39"/>
  <c r="K474" i="39" s="1"/>
  <c r="K355" i="32"/>
  <c r="K356" i="32" s="1"/>
  <c r="K470" i="39"/>
  <c r="K471" i="39" s="1"/>
  <c r="H118" i="24"/>
  <c r="J118" i="24"/>
  <c r="L118" i="24" s="1"/>
  <c r="I187" i="24" s="1"/>
  <c r="G60" i="26"/>
  <c r="K185" i="26" s="1"/>
  <c r="K186" i="26" s="1"/>
  <c r="K187" i="26" s="1"/>
  <c r="G59" i="26"/>
  <c r="K182" i="26" s="1"/>
  <c r="K183" i="26" s="1"/>
  <c r="K184" i="26" s="1"/>
  <c r="E45" i="26"/>
  <c r="I40" i="26"/>
  <c r="G40" i="26"/>
  <c r="D40" i="26"/>
  <c r="A40" i="26"/>
  <c r="J104" i="26"/>
  <c r="F99" i="6"/>
  <c r="F101" i="6" s="1"/>
  <c r="D101" i="6" s="1"/>
  <c r="J106" i="26" s="1"/>
  <c r="J105" i="26"/>
  <c r="L105" i="26" s="1"/>
  <c r="L103" i="26" l="1"/>
  <c r="L104" i="26"/>
  <c r="I167" i="26" s="1"/>
  <c r="H167" i="26" s="1"/>
  <c r="L106" i="26"/>
  <c r="I169" i="26" s="1"/>
  <c r="H169" i="26" s="1"/>
  <c r="K207" i="26"/>
  <c r="K208" i="26" s="1"/>
  <c r="I168" i="26"/>
  <c r="H168" i="26" s="1"/>
  <c r="K205" i="26"/>
  <c r="K206" i="26" s="1"/>
  <c r="H106" i="26"/>
  <c r="K129" i="26"/>
  <c r="K130" i="26" s="1"/>
  <c r="K131" i="26" s="1"/>
  <c r="K132" i="26" s="1"/>
  <c r="K133" i="26" s="1"/>
  <c r="K212" i="26"/>
  <c r="K213" i="26" s="1"/>
  <c r="K224" i="24"/>
  <c r="K107" i="24"/>
  <c r="K91" i="24" s="1"/>
  <c r="K90" i="24"/>
  <c r="J102" i="26"/>
  <c r="B152" i="11"/>
  <c r="K202" i="26" l="1"/>
  <c r="K203" i="26" s="1"/>
  <c r="K204" i="26" s="1"/>
  <c r="L102" i="26"/>
  <c r="I166" i="26" s="1"/>
  <c r="J114" i="30"/>
  <c r="H94" i="26"/>
  <c r="K108" i="24"/>
  <c r="K94" i="24" s="1"/>
  <c r="K92" i="24"/>
  <c r="K209" i="26"/>
  <c r="K210" i="26" s="1"/>
  <c r="K211" i="26" s="1"/>
  <c r="G85" i="30"/>
  <c r="J113" i="30"/>
  <c r="L113" i="30" s="1"/>
  <c r="I175" i="30" s="1"/>
  <c r="H175" i="30" s="1"/>
  <c r="J112" i="30"/>
  <c r="L112" i="30" s="1"/>
  <c r="I174" i="30" s="1"/>
  <c r="H174" i="30" s="1"/>
  <c r="L114" i="30" l="1"/>
  <c r="I176" i="30" s="1"/>
  <c r="H194" i="32"/>
  <c r="H167" i="39" s="1"/>
  <c r="J194" i="32"/>
  <c r="M194" i="32" s="1"/>
  <c r="I240" i="32" s="1"/>
  <c r="H240" i="32" s="1"/>
  <c r="K213" i="30"/>
  <c r="K214" i="30" s="1"/>
  <c r="K215" i="30"/>
  <c r="K216" i="30" s="1"/>
  <c r="K217" i="30" s="1"/>
  <c r="K218" i="30"/>
  <c r="K219" i="30" s="1"/>
  <c r="K141" i="26"/>
  <c r="K124" i="26"/>
  <c r="D69" i="16"/>
  <c r="C70" i="16" s="1"/>
  <c r="E70" i="16" s="1"/>
  <c r="E54" i="16"/>
  <c r="F54" i="16" s="1"/>
  <c r="E55" i="16"/>
  <c r="F55" i="16" s="1"/>
  <c r="E56" i="16"/>
  <c r="F56" i="16" s="1"/>
  <c r="E53" i="16"/>
  <c r="F53" i="16" s="1"/>
  <c r="H110" i="30" l="1"/>
  <c r="G62" i="16"/>
  <c r="J110" i="30" s="1"/>
  <c r="K125" i="26"/>
  <c r="K126" i="26" s="1"/>
  <c r="K127" i="26" s="1"/>
  <c r="K128" i="26" s="1"/>
  <c r="L153" i="43"/>
  <c r="M153" i="43"/>
  <c r="E87" i="30"/>
  <c r="F87" i="30"/>
  <c r="L194" i="32"/>
  <c r="K362" i="32" s="1"/>
  <c r="J167" i="39"/>
  <c r="D87" i="30"/>
  <c r="G87" i="30"/>
  <c r="P68" i="14"/>
  <c r="P67" i="14"/>
  <c r="B76" i="14" s="1"/>
  <c r="L69" i="14"/>
  <c r="L70" i="14"/>
  <c r="K78" i="14" s="1"/>
  <c r="D47" i="16" s="1"/>
  <c r="L71" i="14"/>
  <c r="L72" i="14"/>
  <c r="L73" i="14"/>
  <c r="L74" i="14"/>
  <c r="L68" i="14"/>
  <c r="I69" i="14"/>
  <c r="I70" i="14"/>
  <c r="H78" i="14" s="1"/>
  <c r="I71" i="14"/>
  <c r="I72" i="14"/>
  <c r="I73" i="14"/>
  <c r="I74" i="14"/>
  <c r="I68" i="14"/>
  <c r="F69" i="14"/>
  <c r="F70" i="14"/>
  <c r="E78" i="14" s="1"/>
  <c r="F71" i="14"/>
  <c r="F72" i="14"/>
  <c r="F73" i="14"/>
  <c r="F68" i="14"/>
  <c r="C69" i="14"/>
  <c r="C70" i="14"/>
  <c r="B78" i="14" s="1"/>
  <c r="C71" i="14"/>
  <c r="C72" i="14"/>
  <c r="C73" i="14"/>
  <c r="C74" i="14"/>
  <c r="C31" i="16"/>
  <c r="G64" i="30"/>
  <c r="K188" i="30" s="1"/>
  <c r="K189" i="30" s="1"/>
  <c r="G63" i="30"/>
  <c r="K186" i="30" s="1"/>
  <c r="K187" i="30" s="1"/>
  <c r="E50" i="30"/>
  <c r="I44" i="30"/>
  <c r="G44" i="30"/>
  <c r="D44" i="30"/>
  <c r="A44" i="30"/>
  <c r="I366" i="39" l="1"/>
  <c r="H366" i="39" s="1"/>
  <c r="O167" i="39"/>
  <c r="K85" i="30"/>
  <c r="K89" i="30" s="1"/>
  <c r="L87" i="30"/>
  <c r="I166" i="30" s="1"/>
  <c r="K209" i="30"/>
  <c r="K210" i="30" s="1"/>
  <c r="L110" i="30"/>
  <c r="I172" i="30" s="1"/>
  <c r="F47" i="16"/>
  <c r="K108" i="30"/>
  <c r="C32" i="16"/>
  <c r="D32" i="16" s="1"/>
  <c r="B77" i="14"/>
  <c r="K121" i="26"/>
  <c r="N153" i="43"/>
  <c r="K277" i="43" s="1"/>
  <c r="K278" i="43" s="1"/>
  <c r="K279" i="43" s="1"/>
  <c r="H111" i="30"/>
  <c r="J111" i="30"/>
  <c r="K136" i="30"/>
  <c r="K137" i="30" s="1"/>
  <c r="K138" i="30" s="1"/>
  <c r="K139" i="30" s="1"/>
  <c r="K140" i="30" s="1"/>
  <c r="K76" i="14"/>
  <c r="D45" i="16" s="1"/>
  <c r="E76" i="14"/>
  <c r="K201" i="30"/>
  <c r="K202" i="30" s="1"/>
  <c r="K203" i="30" s="1"/>
  <c r="K86" i="30"/>
  <c r="K87" i="30" s="1"/>
  <c r="K88" i="30" s="1"/>
  <c r="K475" i="39"/>
  <c r="E77" i="14"/>
  <c r="H76" i="14"/>
  <c r="K192" i="30"/>
  <c r="K193" i="30" s="1"/>
  <c r="K77" i="14"/>
  <c r="D46" i="16" s="1"/>
  <c r="H77" i="14"/>
  <c r="K190" i="30"/>
  <c r="I126" i="32"/>
  <c r="I125" i="39" s="1"/>
  <c r="H126" i="32"/>
  <c r="H125" i="39" s="1"/>
  <c r="G126" i="32"/>
  <c r="G125" i="39" s="1"/>
  <c r="K211" i="30" l="1"/>
  <c r="K212" i="30" s="1"/>
  <c r="L111" i="30"/>
  <c r="I173" i="30" s="1"/>
  <c r="F46" i="16"/>
  <c r="K107" i="30"/>
  <c r="F45" i="16"/>
  <c r="K106" i="30"/>
  <c r="J109" i="30"/>
  <c r="L109" i="30" s="1"/>
  <c r="I171" i="30" s="1"/>
  <c r="H109" i="30"/>
  <c r="K191" i="30"/>
  <c r="K194" i="30" s="1"/>
  <c r="K195" i="30" s="1"/>
  <c r="G74" i="30"/>
  <c r="L74" i="30" s="1"/>
  <c r="I165" i="30" s="1"/>
  <c r="E74" i="30"/>
  <c r="K363" i="32"/>
  <c r="K364" i="32" s="1"/>
  <c r="K476" i="39"/>
  <c r="K477" i="39" s="1"/>
  <c r="H108" i="30" l="1"/>
  <c r="J108" i="30"/>
  <c r="L108" i="30" s="1"/>
  <c r="I170" i="30" s="1"/>
  <c r="H107" i="30"/>
  <c r="K144" i="30"/>
  <c r="K128" i="30" s="1"/>
  <c r="K196" i="30"/>
  <c r="K197" i="30" s="1"/>
  <c r="K198" i="30" s="1"/>
  <c r="A146" i="43"/>
  <c r="A148" i="43"/>
  <c r="A145" i="43"/>
  <c r="I97" i="43"/>
  <c r="H97" i="43"/>
  <c r="G97" i="43"/>
  <c r="F97" i="43"/>
  <c r="E97" i="43"/>
  <c r="D97" i="43"/>
  <c r="C97" i="43"/>
  <c r="K96" i="43" s="1"/>
  <c r="I92" i="43"/>
  <c r="H92" i="43"/>
  <c r="G92" i="43"/>
  <c r="F92" i="43"/>
  <c r="E92" i="43"/>
  <c r="D92" i="43"/>
  <c r="M96" i="43" l="1"/>
  <c r="L96" i="43"/>
  <c r="M142" i="43"/>
  <c r="L142" i="43"/>
  <c r="K97" i="43"/>
  <c r="K95" i="43"/>
  <c r="A141" i="43"/>
  <c r="D81" i="26"/>
  <c r="L97" i="43" l="1"/>
  <c r="M97" i="43"/>
  <c r="L95" i="43"/>
  <c r="M95" i="43"/>
  <c r="N142" i="43"/>
  <c r="K259" i="43" s="1"/>
  <c r="K260" i="43" s="1"/>
  <c r="K98" i="43"/>
  <c r="K99" i="43" s="1"/>
  <c r="K100" i="43"/>
  <c r="G66" i="43"/>
  <c r="K240" i="43" s="1"/>
  <c r="K241" i="43" s="1"/>
  <c r="K242" i="43" s="1"/>
  <c r="G65" i="43"/>
  <c r="K237" i="43" s="1"/>
  <c r="K238" i="43" s="1"/>
  <c r="K239" i="43" s="1"/>
  <c r="H144" i="43" l="1"/>
  <c r="J144" i="43" s="1"/>
  <c r="L98" i="43"/>
  <c r="M98" i="43"/>
  <c r="G67" i="43"/>
  <c r="I45" i="43"/>
  <c r="G45" i="43"/>
  <c r="D45" i="43"/>
  <c r="A45" i="43"/>
  <c r="E50" i="43"/>
  <c r="M144" i="43" l="1"/>
  <c r="R144" i="43"/>
  <c r="I215" i="43" s="1"/>
  <c r="H215" i="43" s="1"/>
  <c r="L144" i="43"/>
  <c r="L88" i="43"/>
  <c r="M88" i="43"/>
  <c r="K229" i="43"/>
  <c r="K231" i="43" s="1"/>
  <c r="K172" i="43"/>
  <c r="K173" i="43" s="1"/>
  <c r="H141" i="43"/>
  <c r="H140" i="43"/>
  <c r="L135" i="43"/>
  <c r="I98" i="43"/>
  <c r="H98" i="43"/>
  <c r="F98" i="43"/>
  <c r="E98" i="43"/>
  <c r="G98" i="43"/>
  <c r="D98" i="43"/>
  <c r="C98" i="43"/>
  <c r="I93" i="43"/>
  <c r="H93" i="43"/>
  <c r="G93" i="43"/>
  <c r="F93" i="43"/>
  <c r="E93" i="43"/>
  <c r="D93" i="43"/>
  <c r="C93" i="43"/>
  <c r="A140" i="32"/>
  <c r="A137" i="39" s="1"/>
  <c r="N144" i="43" l="1"/>
  <c r="R98" i="43"/>
  <c r="R93" i="43"/>
  <c r="K266" i="43"/>
  <c r="K267" i="43" s="1"/>
  <c r="K268" i="43" s="1"/>
  <c r="N88" i="43"/>
  <c r="H36" i="40"/>
  <c r="J141" i="43"/>
  <c r="R141" i="43" s="1"/>
  <c r="K230" i="43"/>
  <c r="M135" i="43"/>
  <c r="M134" i="43"/>
  <c r="I203" i="43" l="1"/>
  <c r="H203" i="43" s="1"/>
  <c r="N135" i="43"/>
  <c r="K247" i="43" s="1"/>
  <c r="K248" i="43" s="1"/>
  <c r="K249" i="43" s="1"/>
  <c r="C57" i="40"/>
  <c r="M141" i="43"/>
  <c r="L141" i="43"/>
  <c r="M137" i="43"/>
  <c r="L137" i="43"/>
  <c r="L134" i="43"/>
  <c r="K141" i="43"/>
  <c r="R139" i="43"/>
  <c r="I211" i="43" s="1"/>
  <c r="H211" i="43" s="1"/>
  <c r="N137" i="43" l="1"/>
  <c r="K252" i="43" s="1"/>
  <c r="N134" i="43"/>
  <c r="K245" i="43" s="1"/>
  <c r="N127" i="16"/>
  <c r="N128" i="16" s="1"/>
  <c r="O128" i="16" s="1"/>
  <c r="I99" i="30" s="1"/>
  <c r="I96" i="30" s="1"/>
  <c r="L127" i="16"/>
  <c r="L128" i="16" s="1"/>
  <c r="M128" i="16" s="1"/>
  <c r="H99" i="30" s="1"/>
  <c r="J127" i="16"/>
  <c r="J128" i="16" s="1"/>
  <c r="K128" i="16" s="1"/>
  <c r="G99" i="30" s="1"/>
  <c r="D128" i="16"/>
  <c r="F128" i="16"/>
  <c r="N141" i="43"/>
  <c r="M139" i="43"/>
  <c r="L139" i="43"/>
  <c r="K139" i="43"/>
  <c r="C567" i="17"/>
  <c r="C568" i="17" s="1"/>
  <c r="D568" i="17"/>
  <c r="E567" i="17"/>
  <c r="E568" i="17" s="1"/>
  <c r="F567" i="17"/>
  <c r="F568" i="17" s="1"/>
  <c r="G567" i="17"/>
  <c r="G568" i="17" s="1"/>
  <c r="H238" i="39"/>
  <c r="H237" i="39"/>
  <c r="H236" i="39"/>
  <c r="H235" i="39"/>
  <c r="H234" i="39"/>
  <c r="H233" i="39"/>
  <c r="G238" i="39"/>
  <c r="G237" i="39"/>
  <c r="G236" i="39"/>
  <c r="G235" i="39"/>
  <c r="G234" i="39"/>
  <c r="G233" i="39"/>
  <c r="D238" i="39"/>
  <c r="D237" i="39"/>
  <c r="D236" i="39"/>
  <c r="D235" i="39"/>
  <c r="D234" i="39"/>
  <c r="D233" i="39"/>
  <c r="C238" i="39"/>
  <c r="K238" i="39" s="1"/>
  <c r="C237" i="39"/>
  <c r="K237" i="39" s="1"/>
  <c r="C236" i="39"/>
  <c r="K236" i="39" s="1"/>
  <c r="C235" i="39"/>
  <c r="K235" i="39" s="1"/>
  <c r="C234" i="39"/>
  <c r="K234" i="39" s="1"/>
  <c r="C233" i="39"/>
  <c r="K233" i="39" s="1"/>
  <c r="A132" i="17"/>
  <c r="A130" i="17"/>
  <c r="G131" i="17"/>
  <c r="G134" i="17" s="1"/>
  <c r="G195" i="17" s="1"/>
  <c r="F131" i="17"/>
  <c r="F134" i="17" s="1"/>
  <c r="F195" i="17" s="1"/>
  <c r="E131" i="17"/>
  <c r="E134" i="17" s="1"/>
  <c r="E195" i="17" s="1"/>
  <c r="D131" i="17"/>
  <c r="D134" i="17" s="1"/>
  <c r="D195" i="17" s="1"/>
  <c r="C131" i="17"/>
  <c r="C134" i="17" s="1"/>
  <c r="C195" i="17" s="1"/>
  <c r="A581" i="17"/>
  <c r="C559" i="17"/>
  <c r="D559" i="17"/>
  <c r="E559" i="17"/>
  <c r="F559" i="17"/>
  <c r="G559" i="17"/>
  <c r="C560" i="17"/>
  <c r="D560" i="17"/>
  <c r="E560" i="17"/>
  <c r="F560" i="17"/>
  <c r="G560" i="17"/>
  <c r="A557" i="17"/>
  <c r="A554" i="17"/>
  <c r="D49" i="14"/>
  <c r="D48" i="14"/>
  <c r="D47" i="14"/>
  <c r="D46" i="14"/>
  <c r="D45" i="14"/>
  <c r="E234" i="39"/>
  <c r="E235" i="39"/>
  <c r="E236" i="39"/>
  <c r="E237" i="39"/>
  <c r="E238" i="39"/>
  <c r="E233" i="39"/>
  <c r="D178" i="39"/>
  <c r="A545" i="17"/>
  <c r="E128" i="16" l="1"/>
  <c r="Q123" i="16" s="1"/>
  <c r="G128" i="16"/>
  <c r="Q127" i="16" s="1"/>
  <c r="H252" i="39"/>
  <c r="H253" i="39"/>
  <c r="K253" i="39" s="1"/>
  <c r="H254" i="39"/>
  <c r="K254" i="39" s="1"/>
  <c r="H251" i="39"/>
  <c r="K251" i="39" s="1"/>
  <c r="H255" i="39"/>
  <c r="J258" i="39"/>
  <c r="P258" i="39" s="1"/>
  <c r="E135" i="17"/>
  <c r="J253" i="39" s="1"/>
  <c r="P253" i="39" s="1"/>
  <c r="F135" i="17"/>
  <c r="J254" i="39" s="1"/>
  <c r="P254" i="39" s="1"/>
  <c r="C135" i="17"/>
  <c r="K255" i="39"/>
  <c r="G135" i="17"/>
  <c r="J255" i="39" s="1"/>
  <c r="P255" i="39" s="1"/>
  <c r="K252" i="39"/>
  <c r="D135" i="17"/>
  <c r="J252" i="39" s="1"/>
  <c r="P252" i="39" s="1"/>
  <c r="J259" i="39"/>
  <c r="P259" i="39" s="1"/>
  <c r="J261" i="39"/>
  <c r="P261" i="39" s="1"/>
  <c r="D561" i="17"/>
  <c r="F561" i="17"/>
  <c r="I237" i="39" s="1"/>
  <c r="E561" i="17"/>
  <c r="I236" i="39" s="1"/>
  <c r="G561" i="17"/>
  <c r="I238" i="39" s="1"/>
  <c r="C561" i="17"/>
  <c r="K231" i="39"/>
  <c r="K228" i="39" s="1"/>
  <c r="K227" i="39" s="1"/>
  <c r="I98" i="30"/>
  <c r="I97" i="30"/>
  <c r="I95" i="30"/>
  <c r="H96" i="30"/>
  <c r="H97" i="30"/>
  <c r="H98" i="30"/>
  <c r="H95" i="30"/>
  <c r="J257" i="39"/>
  <c r="P257" i="39" s="1"/>
  <c r="J260" i="39"/>
  <c r="P260" i="39" s="1"/>
  <c r="H59" i="40"/>
  <c r="K246" i="43"/>
  <c r="N139" i="43"/>
  <c r="I568" i="17"/>
  <c r="J248" i="39" s="1"/>
  <c r="F238" i="39"/>
  <c r="F235" i="39"/>
  <c r="F236" i="39"/>
  <c r="M236" i="39" s="1"/>
  <c r="F237" i="39"/>
  <c r="E99" i="30" l="1"/>
  <c r="E98" i="30" s="1"/>
  <c r="D78" i="21"/>
  <c r="C78" i="21"/>
  <c r="F99" i="30"/>
  <c r="K147" i="30" s="1"/>
  <c r="K148" i="30" s="1"/>
  <c r="K149" i="30" s="1"/>
  <c r="K150" i="30" s="1"/>
  <c r="K248" i="39"/>
  <c r="P248" i="39"/>
  <c r="I378" i="39" s="1"/>
  <c r="H378" i="39" s="1"/>
  <c r="C297" i="17"/>
  <c r="C399" i="17"/>
  <c r="C246" i="17"/>
  <c r="C201" i="17"/>
  <c r="C481" i="17" s="1"/>
  <c r="C525" i="17" s="1"/>
  <c r="J263" i="39" s="1"/>
  <c r="P263" i="39" s="1"/>
  <c r="C200" i="17"/>
  <c r="C480" i="17" s="1"/>
  <c r="C524" i="17" s="1"/>
  <c r="H263" i="39" s="1"/>
  <c r="K263" i="39" s="1"/>
  <c r="F399" i="17"/>
  <c r="F246" i="17"/>
  <c r="F297" i="17"/>
  <c r="F200" i="17"/>
  <c r="F480" i="17" s="1"/>
  <c r="F524" i="17" s="1"/>
  <c r="H266" i="39" s="1"/>
  <c r="K266" i="39" s="1"/>
  <c r="F201" i="17"/>
  <c r="F481" i="17" s="1"/>
  <c r="F525" i="17" s="1"/>
  <c r="J266" i="39" s="1"/>
  <c r="P266" i="39" s="1"/>
  <c r="E246" i="17"/>
  <c r="E297" i="17"/>
  <c r="E399" i="17"/>
  <c r="E200" i="17"/>
  <c r="E480" i="17" s="1"/>
  <c r="E524" i="17" s="1"/>
  <c r="H265" i="39" s="1"/>
  <c r="K265" i="39" s="1"/>
  <c r="E201" i="17"/>
  <c r="E481" i="17" s="1"/>
  <c r="E525" i="17" s="1"/>
  <c r="J265" i="39" s="1"/>
  <c r="P265" i="39" s="1"/>
  <c r="G399" i="17"/>
  <c r="G246" i="17"/>
  <c r="G297" i="17"/>
  <c r="G201" i="17"/>
  <c r="G481" i="17" s="1"/>
  <c r="G525" i="17" s="1"/>
  <c r="J267" i="39" s="1"/>
  <c r="P267" i="39" s="1"/>
  <c r="G200" i="17"/>
  <c r="G480" i="17" s="1"/>
  <c r="G524" i="17" s="1"/>
  <c r="H267" i="39" s="1"/>
  <c r="K267" i="39" s="1"/>
  <c r="D246" i="17"/>
  <c r="D297" i="17"/>
  <c r="D399" i="17"/>
  <c r="D200" i="17"/>
  <c r="D480" i="17" s="1"/>
  <c r="D524" i="17" s="1"/>
  <c r="H264" i="39" s="1"/>
  <c r="K264" i="39" s="1"/>
  <c r="D201" i="17"/>
  <c r="D481" i="17" s="1"/>
  <c r="D525" i="17" s="1"/>
  <c r="J264" i="39" s="1"/>
  <c r="P264" i="39" s="1"/>
  <c r="D189" i="17"/>
  <c r="D186" i="17"/>
  <c r="D194" i="17" s="1"/>
  <c r="G189" i="17"/>
  <c r="G186" i="17"/>
  <c r="G194" i="17" s="1"/>
  <c r="F189" i="17"/>
  <c r="F186" i="17"/>
  <c r="F194" i="17" s="1"/>
  <c r="C189" i="17"/>
  <c r="C186" i="17"/>
  <c r="C194" i="17" s="1"/>
  <c r="K258" i="39"/>
  <c r="K260" i="39"/>
  <c r="K259" i="39"/>
  <c r="K257" i="39"/>
  <c r="K261" i="39"/>
  <c r="I234" i="39"/>
  <c r="J238" i="39"/>
  <c r="P238" i="39" s="1"/>
  <c r="J237" i="39"/>
  <c r="P237" i="39" s="1"/>
  <c r="J236" i="39"/>
  <c r="P236" i="39" s="1"/>
  <c r="I235" i="39"/>
  <c r="J235" i="39"/>
  <c r="E97" i="30"/>
  <c r="K253" i="43"/>
  <c r="I233" i="39"/>
  <c r="M237" i="39"/>
  <c r="M238" i="39"/>
  <c r="K515" i="39"/>
  <c r="K516" i="39" s="1"/>
  <c r="K239" i="39"/>
  <c r="K232" i="39"/>
  <c r="J234" i="39"/>
  <c r="P234" i="39" s="1"/>
  <c r="J251" i="39"/>
  <c r="P251" i="39" s="1"/>
  <c r="B97" i="17"/>
  <c r="E96" i="30" l="1"/>
  <c r="E95" i="30"/>
  <c r="F98" i="30"/>
  <c r="F95" i="30"/>
  <c r="F97" i="30"/>
  <c r="F96" i="30"/>
  <c r="M235" i="39"/>
  <c r="P235" i="39"/>
  <c r="I382" i="39"/>
  <c r="H382" i="39" s="1"/>
  <c r="G405" i="17"/>
  <c r="G504" i="17" s="1"/>
  <c r="G404" i="17"/>
  <c r="G503" i="17" s="1"/>
  <c r="G400" i="17"/>
  <c r="G401" i="17"/>
  <c r="F302" i="17"/>
  <c r="F484" i="17" s="1"/>
  <c r="F528" i="17" s="1"/>
  <c r="H278" i="39" s="1"/>
  <c r="K278" i="39" s="1"/>
  <c r="F303" i="17"/>
  <c r="F485" i="17" s="1"/>
  <c r="F529" i="17" s="1"/>
  <c r="J278" i="39" s="1"/>
  <c r="P278" i="39" s="1"/>
  <c r="F299" i="17"/>
  <c r="F298" i="17"/>
  <c r="D252" i="17"/>
  <c r="D483" i="17" s="1"/>
  <c r="D527" i="17" s="1"/>
  <c r="D251" i="17"/>
  <c r="D482" i="17" s="1"/>
  <c r="D526" i="17" s="1"/>
  <c r="H270" i="39" s="1"/>
  <c r="K270" i="39" s="1"/>
  <c r="D248" i="17"/>
  <c r="D247" i="17"/>
  <c r="E405" i="17"/>
  <c r="E504" i="17" s="1"/>
  <c r="E404" i="17"/>
  <c r="E503" i="17" s="1"/>
  <c r="E400" i="17"/>
  <c r="E497" i="17" s="1"/>
  <c r="E401" i="17"/>
  <c r="E498" i="17" s="1"/>
  <c r="D405" i="17"/>
  <c r="D504" i="17" s="1"/>
  <c r="D404" i="17"/>
  <c r="D503" i="17" s="1"/>
  <c r="D401" i="17"/>
  <c r="D400" i="17"/>
  <c r="F252" i="17"/>
  <c r="F483" i="17" s="1"/>
  <c r="F527" i="17" s="1"/>
  <c r="J272" i="39" s="1"/>
  <c r="P272" i="39" s="1"/>
  <c r="F251" i="17"/>
  <c r="F482" i="17" s="1"/>
  <c r="F526" i="17" s="1"/>
  <c r="H272" i="39" s="1"/>
  <c r="K272" i="39" s="1"/>
  <c r="F247" i="17"/>
  <c r="F248" i="17"/>
  <c r="D302" i="17"/>
  <c r="D484" i="17" s="1"/>
  <c r="D528" i="17" s="1"/>
  <c r="H276" i="39" s="1"/>
  <c r="K276" i="39" s="1"/>
  <c r="D303" i="17"/>
  <c r="D485" i="17" s="1"/>
  <c r="D529" i="17" s="1"/>
  <c r="J276" i="39" s="1"/>
  <c r="P276" i="39" s="1"/>
  <c r="D298" i="17"/>
  <c r="D299" i="17"/>
  <c r="F404" i="17"/>
  <c r="F503" i="17" s="1"/>
  <c r="F405" i="17"/>
  <c r="F504" i="17" s="1"/>
  <c r="F400" i="17"/>
  <c r="F401" i="17"/>
  <c r="E302" i="17"/>
  <c r="E484" i="17" s="1"/>
  <c r="E528" i="17" s="1"/>
  <c r="H277" i="39" s="1"/>
  <c r="K277" i="39" s="1"/>
  <c r="E303" i="17"/>
  <c r="E485" i="17" s="1"/>
  <c r="E529" i="17" s="1"/>
  <c r="J277" i="39" s="1"/>
  <c r="P277" i="39" s="1"/>
  <c r="E299" i="17"/>
  <c r="E479" i="17" s="1"/>
  <c r="E523" i="17" s="1"/>
  <c r="F222" i="39" s="1"/>
  <c r="E298" i="17"/>
  <c r="E478" i="17" s="1"/>
  <c r="E522" i="17" s="1"/>
  <c r="F221" i="39" s="1"/>
  <c r="E252" i="17"/>
  <c r="E483" i="17" s="1"/>
  <c r="E527" i="17" s="1"/>
  <c r="E251" i="17"/>
  <c r="E482" i="17" s="1"/>
  <c r="E526" i="17" s="1"/>
  <c r="H271" i="39" s="1"/>
  <c r="K271" i="39" s="1"/>
  <c r="E247" i="17"/>
  <c r="E476" i="17" s="1"/>
  <c r="E248" i="17"/>
  <c r="E477" i="17" s="1"/>
  <c r="C251" i="17"/>
  <c r="C482" i="17" s="1"/>
  <c r="C526" i="17" s="1"/>
  <c r="H269" i="39" s="1"/>
  <c r="K269" i="39" s="1"/>
  <c r="C252" i="17"/>
  <c r="C483" i="17" s="1"/>
  <c r="C527" i="17" s="1"/>
  <c r="J269" i="39" s="1"/>
  <c r="P269" i="39" s="1"/>
  <c r="C248" i="17"/>
  <c r="C247" i="17"/>
  <c r="G303" i="17"/>
  <c r="G485" i="17" s="1"/>
  <c r="G529" i="17" s="1"/>
  <c r="J279" i="39" s="1"/>
  <c r="P279" i="39" s="1"/>
  <c r="G302" i="17"/>
  <c r="G484" i="17" s="1"/>
  <c r="G528" i="17" s="1"/>
  <c r="H279" i="39" s="1"/>
  <c r="K279" i="39" s="1"/>
  <c r="G298" i="17"/>
  <c r="G299" i="17"/>
  <c r="C404" i="17"/>
  <c r="C503" i="17" s="1"/>
  <c r="C405" i="17"/>
  <c r="C504" i="17" s="1"/>
  <c r="C401" i="17"/>
  <c r="C400" i="17"/>
  <c r="G251" i="17"/>
  <c r="G482" i="17" s="1"/>
  <c r="G526" i="17" s="1"/>
  <c r="H273" i="39" s="1"/>
  <c r="K273" i="39" s="1"/>
  <c r="G252" i="17"/>
  <c r="G483" i="17" s="1"/>
  <c r="G527" i="17" s="1"/>
  <c r="G248" i="17"/>
  <c r="G247" i="17"/>
  <c r="C303" i="17"/>
  <c r="C485" i="17" s="1"/>
  <c r="C529" i="17" s="1"/>
  <c r="J275" i="39" s="1"/>
  <c r="P275" i="39" s="1"/>
  <c r="C302" i="17"/>
  <c r="C484" i="17" s="1"/>
  <c r="C528" i="17" s="1"/>
  <c r="H275" i="39" s="1"/>
  <c r="K275" i="39" s="1"/>
  <c r="C298" i="17"/>
  <c r="C299" i="17"/>
  <c r="E196" i="17"/>
  <c r="E474" i="17" s="1"/>
  <c r="E518" i="17" s="1"/>
  <c r="F217" i="39" s="1"/>
  <c r="E197" i="17"/>
  <c r="E475" i="17" s="1"/>
  <c r="E519" i="17" s="1"/>
  <c r="F218" i="39" s="1"/>
  <c r="A318" i="32"/>
  <c r="A440" i="39" s="1"/>
  <c r="A511" i="39" s="1"/>
  <c r="B39" i="11"/>
  <c r="AF39" i="11"/>
  <c r="AL39" i="11"/>
  <c r="I145" i="39" s="1"/>
  <c r="N39" i="11"/>
  <c r="T39" i="11"/>
  <c r="H39" i="11"/>
  <c r="Z39" i="11"/>
  <c r="M234" i="39"/>
  <c r="K425" i="39"/>
  <c r="K322" i="39"/>
  <c r="K323" i="39" s="1"/>
  <c r="K131" i="32"/>
  <c r="K133" i="32"/>
  <c r="K134" i="32" s="1"/>
  <c r="H73" i="39"/>
  <c r="L73" i="39" s="1"/>
  <c r="K491" i="39"/>
  <c r="K492" i="39" s="1"/>
  <c r="K493" i="39" s="1"/>
  <c r="K494" i="39" s="1"/>
  <c r="H75" i="39"/>
  <c r="H69" i="39"/>
  <c r="K69" i="39" s="1"/>
  <c r="H68" i="39"/>
  <c r="K68" i="39" s="1"/>
  <c r="H66" i="39"/>
  <c r="E47" i="39"/>
  <c r="E49" i="39"/>
  <c r="I44" i="39"/>
  <c r="G44" i="39"/>
  <c r="D44" i="39"/>
  <c r="A44" i="39"/>
  <c r="K169" i="39" l="1"/>
  <c r="K149" i="39"/>
  <c r="K145" i="39"/>
  <c r="K147" i="39"/>
  <c r="K143" i="39"/>
  <c r="K79" i="39"/>
  <c r="K81" i="39"/>
  <c r="K140" i="39"/>
  <c r="K138" i="39"/>
  <c r="K171" i="39"/>
  <c r="K170" i="39"/>
  <c r="K150" i="39"/>
  <c r="K141" i="39"/>
  <c r="K146" i="39"/>
  <c r="K142" i="39"/>
  <c r="K144" i="39"/>
  <c r="K80" i="39"/>
  <c r="K82" i="39"/>
  <c r="K139" i="39"/>
  <c r="K136" i="39"/>
  <c r="K148" i="39"/>
  <c r="I384" i="39"/>
  <c r="H384" i="39" s="1"/>
  <c r="E521" i="17"/>
  <c r="F220" i="39" s="1"/>
  <c r="E520" i="17"/>
  <c r="F219" i="39" s="1"/>
  <c r="K162" i="39"/>
  <c r="K161" i="39"/>
  <c r="D196" i="17"/>
  <c r="D474" i="17" s="1"/>
  <c r="D197" i="17"/>
  <c r="D475" i="17" s="1"/>
  <c r="D519" i="17" s="1"/>
  <c r="E218" i="39" s="1"/>
  <c r="G196" i="17"/>
  <c r="G474" i="17" s="1"/>
  <c r="G197" i="17"/>
  <c r="G475" i="17" s="1"/>
  <c r="C196" i="17"/>
  <c r="C474" i="17" s="1"/>
  <c r="C197" i="17"/>
  <c r="C475" i="17" s="1"/>
  <c r="F196" i="17"/>
  <c r="F474" i="17" s="1"/>
  <c r="F197" i="17"/>
  <c r="F475" i="17" s="1"/>
  <c r="D477" i="17"/>
  <c r="D476" i="17"/>
  <c r="G476" i="17"/>
  <c r="G477" i="17"/>
  <c r="C476" i="17"/>
  <c r="C477" i="17"/>
  <c r="F476" i="17"/>
  <c r="F477" i="17"/>
  <c r="D478" i="17"/>
  <c r="D479" i="17"/>
  <c r="G478" i="17"/>
  <c r="G479" i="17"/>
  <c r="C478" i="17"/>
  <c r="C479" i="17"/>
  <c r="F478" i="17"/>
  <c r="D496" i="17"/>
  <c r="D495" i="17"/>
  <c r="G495" i="17"/>
  <c r="C496" i="17"/>
  <c r="F495" i="17"/>
  <c r="D497" i="17"/>
  <c r="D498" i="17"/>
  <c r="G497" i="17"/>
  <c r="C498" i="17"/>
  <c r="F497" i="17"/>
  <c r="G499" i="17"/>
  <c r="C500" i="17"/>
  <c r="J270" i="39"/>
  <c r="P270" i="39" s="1"/>
  <c r="J271" i="39"/>
  <c r="P271" i="39" s="1"/>
  <c r="G285" i="17"/>
  <c r="C285" i="17"/>
  <c r="D285" i="17"/>
  <c r="F285" i="17"/>
  <c r="K73" i="39"/>
  <c r="K398" i="39"/>
  <c r="K172" i="39"/>
  <c r="K167" i="39"/>
  <c r="K83" i="39"/>
  <c r="K66" i="39"/>
  <c r="K411" i="39"/>
  <c r="K426" i="39"/>
  <c r="K401" i="39"/>
  <c r="L75" i="39"/>
  <c r="K129" i="39"/>
  <c r="K130" i="39"/>
  <c r="K131" i="39"/>
  <c r="A173" i="39"/>
  <c r="K135" i="32"/>
  <c r="K132" i="39" s="1"/>
  <c r="F126" i="32"/>
  <c r="F125" i="39" s="1"/>
  <c r="E126" i="32"/>
  <c r="E125" i="39" s="1"/>
  <c r="D126" i="32"/>
  <c r="D125" i="39" s="1"/>
  <c r="C126" i="32"/>
  <c r="H154" i="39"/>
  <c r="H153" i="39"/>
  <c r="F520" i="17" l="1"/>
  <c r="G219" i="39" s="1"/>
  <c r="D518" i="17"/>
  <c r="E217" i="39" s="1"/>
  <c r="C521" i="17"/>
  <c r="D220" i="39" s="1"/>
  <c r="G520" i="17"/>
  <c r="H219" i="39" s="1"/>
  <c r="G522" i="17"/>
  <c r="H221" i="39" s="1"/>
  <c r="D521" i="17"/>
  <c r="E220" i="39" s="1"/>
  <c r="F518" i="17"/>
  <c r="G217" i="39" s="1"/>
  <c r="G518" i="17"/>
  <c r="H217" i="39" s="1"/>
  <c r="C523" i="17"/>
  <c r="D222" i="39" s="1"/>
  <c r="D520" i="17"/>
  <c r="E219" i="39" s="1"/>
  <c r="C519" i="17"/>
  <c r="D218" i="39" s="1"/>
  <c r="C291" i="17"/>
  <c r="C288" i="17"/>
  <c r="G288" i="17"/>
  <c r="G336" i="17" s="1"/>
  <c r="G291" i="17"/>
  <c r="D291" i="17"/>
  <c r="D288" i="17"/>
  <c r="F288" i="17"/>
  <c r="F291" i="17"/>
  <c r="F500" i="17"/>
  <c r="G500" i="17"/>
  <c r="G523" i="17" s="1"/>
  <c r="H222" i="39" s="1"/>
  <c r="F498" i="17"/>
  <c r="F521" i="17" s="1"/>
  <c r="G220" i="39" s="1"/>
  <c r="G498" i="17"/>
  <c r="G521" i="17" s="1"/>
  <c r="H220" i="39" s="1"/>
  <c r="F496" i="17"/>
  <c r="F519" i="17" s="1"/>
  <c r="G218" i="39" s="1"/>
  <c r="G496" i="17"/>
  <c r="G519" i="17" s="1"/>
  <c r="H218" i="39" s="1"/>
  <c r="F499" i="17"/>
  <c r="F522" i="17" s="1"/>
  <c r="G221" i="39" s="1"/>
  <c r="D500" i="17"/>
  <c r="D523" i="17" s="1"/>
  <c r="E222" i="39" s="1"/>
  <c r="C499" i="17"/>
  <c r="C522" i="17" s="1"/>
  <c r="D221" i="39" s="1"/>
  <c r="D499" i="17"/>
  <c r="D522" i="17" s="1"/>
  <c r="E221" i="39" s="1"/>
  <c r="C497" i="17"/>
  <c r="C520" i="17" s="1"/>
  <c r="D219" i="39" s="1"/>
  <c r="C495" i="17"/>
  <c r="J273" i="39"/>
  <c r="P273" i="39" s="1"/>
  <c r="I383" i="39" s="1"/>
  <c r="H383" i="39" s="1"/>
  <c r="F479" i="17"/>
  <c r="I473" i="17" s="1"/>
  <c r="K193" i="39"/>
  <c r="K191" i="39" s="1"/>
  <c r="K126" i="32"/>
  <c r="K127" i="32" s="1"/>
  <c r="K412" i="39"/>
  <c r="K413" i="39" s="1"/>
  <c r="K414" i="39" s="1"/>
  <c r="K415" i="39" s="1"/>
  <c r="K416" i="39" s="1"/>
  <c r="K399" i="39"/>
  <c r="K400" i="39" s="1"/>
  <c r="K419" i="39"/>
  <c r="L191" i="39"/>
  <c r="K497" i="39" s="1"/>
  <c r="M191" i="39"/>
  <c r="C125" i="39"/>
  <c r="K136" i="32"/>
  <c r="A453" i="39"/>
  <c r="K278" i="32"/>
  <c r="K318" i="39" s="1"/>
  <c r="G118" i="11"/>
  <c r="H156" i="32" s="1"/>
  <c r="G66" i="32"/>
  <c r="G65" i="32"/>
  <c r="H151" i="39" l="1"/>
  <c r="J156" i="32"/>
  <c r="I225" i="32" s="1"/>
  <c r="H225" i="32" s="1"/>
  <c r="K129" i="32"/>
  <c r="K128" i="32"/>
  <c r="K133" i="39"/>
  <c r="K137" i="32"/>
  <c r="F523" i="17"/>
  <c r="G222" i="39" s="1"/>
  <c r="I496" i="17"/>
  <c r="I474" i="17"/>
  <c r="C518" i="17"/>
  <c r="I495" i="17"/>
  <c r="G339" i="17"/>
  <c r="G342" i="17"/>
  <c r="F336" i="17"/>
  <c r="C336" i="17"/>
  <c r="K125" i="39"/>
  <c r="K498" i="39"/>
  <c r="K402" i="39"/>
  <c r="K125" i="32"/>
  <c r="K121" i="32" s="1"/>
  <c r="K122" i="32" s="1"/>
  <c r="K126" i="39"/>
  <c r="L159" i="32"/>
  <c r="J154" i="39"/>
  <c r="L158" i="32"/>
  <c r="J153" i="39"/>
  <c r="K256" i="32"/>
  <c r="I46" i="32"/>
  <c r="G46" i="32"/>
  <c r="D46" i="32"/>
  <c r="K123" i="32" l="1"/>
  <c r="K121" i="39"/>
  <c r="K135" i="39"/>
  <c r="K137" i="39"/>
  <c r="K153" i="39"/>
  <c r="I352" i="39"/>
  <c r="H352" i="39" s="1"/>
  <c r="O153" i="39"/>
  <c r="K154" i="39"/>
  <c r="I353" i="39"/>
  <c r="H353" i="39" s="1"/>
  <c r="O154" i="39"/>
  <c r="I517" i="17"/>
  <c r="D217" i="39"/>
  <c r="I516" i="17"/>
  <c r="C339" i="17"/>
  <c r="C342" i="17"/>
  <c r="F342" i="17"/>
  <c r="F339" i="17"/>
  <c r="D336" i="17"/>
  <c r="K124" i="39"/>
  <c r="K134" i="39"/>
  <c r="K336" i="32"/>
  <c r="K455" i="39" s="1"/>
  <c r="K127" i="39"/>
  <c r="K328" i="32"/>
  <c r="K448" i="39" s="1"/>
  <c r="J151" i="39"/>
  <c r="L156" i="32"/>
  <c r="K271" i="32"/>
  <c r="K268" i="32"/>
  <c r="K308" i="39" s="1"/>
  <c r="K257" i="32"/>
  <c r="K124" i="32" l="1"/>
  <c r="K123" i="39" s="1"/>
  <c r="K122" i="39"/>
  <c r="K151" i="39"/>
  <c r="K346" i="39" s="1"/>
  <c r="K347" i="39" s="1"/>
  <c r="K348" i="39" s="1"/>
  <c r="K349" i="39" s="1"/>
  <c r="K350" i="39" s="1"/>
  <c r="K351" i="39" s="1"/>
  <c r="K352" i="39" s="1"/>
  <c r="K353" i="39" s="1"/>
  <c r="K354" i="39" s="1"/>
  <c r="K355" i="39" s="1"/>
  <c r="K356" i="39" s="1"/>
  <c r="K357" i="39" s="1"/>
  <c r="K358" i="39" s="1"/>
  <c r="K359" i="39" s="1"/>
  <c r="K360" i="39" s="1"/>
  <c r="K361" i="39" s="1"/>
  <c r="K362" i="39" s="1"/>
  <c r="K363" i="39" s="1"/>
  <c r="K364" i="39" s="1"/>
  <c r="K365" i="39" s="1"/>
  <c r="K366" i="39" s="1"/>
  <c r="K367" i="39" s="1"/>
  <c r="I350" i="39"/>
  <c r="H350" i="39" s="1"/>
  <c r="O151" i="39"/>
  <c r="C387" i="17"/>
  <c r="D342" i="17"/>
  <c r="D339" i="17"/>
  <c r="F387" i="17"/>
  <c r="G387" i="17"/>
  <c r="K130" i="32"/>
  <c r="K128" i="39" s="1"/>
  <c r="L215" i="39"/>
  <c r="K499" i="39" s="1"/>
  <c r="K337" i="32"/>
  <c r="K338" i="32" s="1"/>
  <c r="K456" i="39"/>
  <c r="K457" i="39" s="1"/>
  <c r="K329" i="32"/>
  <c r="K330" i="32" s="1"/>
  <c r="K449" i="39"/>
  <c r="K450" i="39" s="1"/>
  <c r="K269" i="32"/>
  <c r="K309" i="39"/>
  <c r="K287" i="32"/>
  <c r="G390" i="17" l="1"/>
  <c r="G438" i="17" s="1"/>
  <c r="G393" i="17"/>
  <c r="F393" i="17"/>
  <c r="F390" i="17"/>
  <c r="C393" i="17"/>
  <c r="C390" i="17"/>
  <c r="C438" i="17" s="1"/>
  <c r="D387" i="17"/>
  <c r="K500" i="39"/>
  <c r="M215" i="39"/>
  <c r="C441" i="17" l="1"/>
  <c r="C444" i="17"/>
  <c r="G444" i="17"/>
  <c r="G441" i="17"/>
  <c r="F438" i="17"/>
  <c r="D393" i="17"/>
  <c r="D390" i="17"/>
  <c r="F441" i="17" l="1"/>
  <c r="F444" i="17"/>
  <c r="D438" i="17"/>
  <c r="K1" i="45"/>
  <c r="D444" i="17" l="1"/>
  <c r="D441" i="17"/>
  <c r="J136" i="43" l="1"/>
  <c r="R136" i="43" s="1"/>
  <c r="I208" i="43" s="1"/>
  <c r="H208" i="43" s="1"/>
  <c r="F81" i="43"/>
  <c r="F84" i="43" s="1"/>
  <c r="E81" i="43"/>
  <c r="E84" i="43" s="1"/>
  <c r="D81" i="43"/>
  <c r="D84" i="43" s="1"/>
  <c r="C81" i="43"/>
  <c r="C84" i="43" s="1"/>
  <c r="B81" i="43"/>
  <c r="B84" i="43" s="1"/>
  <c r="F75" i="43"/>
  <c r="F78" i="43" s="1"/>
  <c r="E75" i="43"/>
  <c r="E78" i="43" s="1"/>
  <c r="D75" i="43"/>
  <c r="D78" i="43" s="1"/>
  <c r="C75" i="43"/>
  <c r="B75" i="43"/>
  <c r="B78" i="43" l="1"/>
  <c r="K74" i="43"/>
  <c r="K75" i="43" s="1"/>
  <c r="K80" i="43"/>
  <c r="L80" i="43" s="1"/>
  <c r="H136" i="43"/>
  <c r="I81" i="43"/>
  <c r="I84" i="43" s="1"/>
  <c r="H81" i="43"/>
  <c r="H84" i="43" s="1"/>
  <c r="R84" i="43" s="1"/>
  <c r="I75" i="43"/>
  <c r="I78" i="43" s="1"/>
  <c r="H75" i="43"/>
  <c r="H78" i="43" s="1"/>
  <c r="J1" i="43"/>
  <c r="H222" i="43" l="1"/>
  <c r="H207" i="43"/>
  <c r="H214" i="43"/>
  <c r="H204" i="43"/>
  <c r="H205" i="43"/>
  <c r="K76" i="43"/>
  <c r="K78" i="43" s="1"/>
  <c r="K77" i="43"/>
  <c r="K81" i="43"/>
  <c r="M80" i="43"/>
  <c r="M108" i="43"/>
  <c r="M106" i="43" s="1"/>
  <c r="L108" i="43"/>
  <c r="L74" i="43"/>
  <c r="M74" i="43"/>
  <c r="M136" i="43"/>
  <c r="L136" i="43"/>
  <c r="I76" i="43"/>
  <c r="I82" i="43"/>
  <c r="H82" i="43"/>
  <c r="H76" i="43"/>
  <c r="L81" i="43" l="1"/>
  <c r="K83" i="43"/>
  <c r="M81" i="43"/>
  <c r="K82" i="43"/>
  <c r="M82" i="43" s="1"/>
  <c r="K112" i="32"/>
  <c r="N108" i="43"/>
  <c r="P108" i="43" s="1"/>
  <c r="L106" i="43"/>
  <c r="N106" i="43" s="1"/>
  <c r="N136" i="43"/>
  <c r="K180" i="43" s="1"/>
  <c r="L75" i="43"/>
  <c r="M75" i="43"/>
  <c r="J1" i="41"/>
  <c r="K84" i="43" l="1"/>
  <c r="L82" i="43"/>
  <c r="K113" i="32"/>
  <c r="K111" i="32"/>
  <c r="O106" i="43"/>
  <c r="K181" i="43"/>
  <c r="K250" i="43"/>
  <c r="L84" i="43" l="1"/>
  <c r="K85" i="43"/>
  <c r="K86" i="43" s="1"/>
  <c r="K114" i="32"/>
  <c r="K116" i="32" s="1"/>
  <c r="K115" i="32"/>
  <c r="M84" i="43"/>
  <c r="P106" i="43"/>
  <c r="K264" i="43" s="1"/>
  <c r="K265" i="43" s="1"/>
  <c r="K251" i="43"/>
  <c r="F82" i="43"/>
  <c r="E82" i="43"/>
  <c r="D82" i="43"/>
  <c r="C82" i="43"/>
  <c r="B82" i="43"/>
  <c r="F76" i="43"/>
  <c r="E76" i="43"/>
  <c r="D76" i="43"/>
  <c r="C76" i="43"/>
  <c r="C78" i="43" s="1"/>
  <c r="R78" i="43" s="1"/>
  <c r="I202" i="43" s="1"/>
  <c r="H202" i="43" s="1"/>
  <c r="B76" i="43"/>
  <c r="L76" i="43" l="1"/>
  <c r="M76" i="43"/>
  <c r="H148" i="32"/>
  <c r="M78" i="43" l="1"/>
  <c r="M71" i="43" s="1"/>
  <c r="L78" i="43"/>
  <c r="L71" i="43" s="1"/>
  <c r="H144" i="39"/>
  <c r="H149" i="32"/>
  <c r="H145" i="39" s="1"/>
  <c r="C145" i="32"/>
  <c r="C141" i="39" s="1"/>
  <c r="D141" i="39"/>
  <c r="E141" i="39"/>
  <c r="F141" i="39"/>
  <c r="G141" i="39"/>
  <c r="H141" i="39"/>
  <c r="I141" i="39"/>
  <c r="G178" i="39"/>
  <c r="F178" i="39"/>
  <c r="E178" i="39"/>
  <c r="B178" i="39"/>
  <c r="K177" i="39" s="1"/>
  <c r="I184" i="39"/>
  <c r="H184" i="39"/>
  <c r="G184" i="39"/>
  <c r="F184" i="39"/>
  <c r="E184" i="39"/>
  <c r="D184" i="39"/>
  <c r="C184" i="39"/>
  <c r="B184" i="39"/>
  <c r="J1" i="39"/>
  <c r="H372" i="39" l="1"/>
  <c r="H373" i="39"/>
  <c r="N71" i="43"/>
  <c r="K243" i="43" s="1"/>
  <c r="K183" i="39"/>
  <c r="K184" i="39" s="1"/>
  <c r="K178" i="39"/>
  <c r="K185" i="39" l="1"/>
  <c r="K187" i="39" s="1"/>
  <c r="K186" i="39"/>
  <c r="K179" i="39"/>
  <c r="K181" i="39" s="1"/>
  <c r="K182" i="39" s="1"/>
  <c r="K180" i="39"/>
  <c r="K244" i="43"/>
  <c r="K188" i="39"/>
  <c r="C148" i="32"/>
  <c r="C144" i="39" l="1"/>
  <c r="C149" i="32"/>
  <c r="A89" i="39"/>
  <c r="A107" i="39"/>
  <c r="A83" i="39"/>
  <c r="A113" i="39"/>
  <c r="A95" i="39"/>
  <c r="A101" i="39"/>
  <c r="C145" i="39" l="1"/>
  <c r="R138" i="43"/>
  <c r="I210" i="43" s="1"/>
  <c r="H210" i="43" s="1"/>
  <c r="D35" i="40"/>
  <c r="D36" i="40" s="1"/>
  <c r="C56" i="40"/>
  <c r="C36" i="40"/>
  <c r="K36" i="40" s="1"/>
  <c r="A254" i="43" s="1"/>
  <c r="K101" i="39"/>
  <c r="K93" i="32"/>
  <c r="K113" i="39"/>
  <c r="K105" i="32"/>
  <c r="K107" i="39"/>
  <c r="K99" i="32"/>
  <c r="K117" i="32"/>
  <c r="K120" i="32" s="1"/>
  <c r="K89" i="39"/>
  <c r="K81" i="32"/>
  <c r="K95" i="32"/>
  <c r="K107" i="32"/>
  <c r="K114" i="39" s="1"/>
  <c r="K101" i="32"/>
  <c r="K77" i="32"/>
  <c r="K79" i="32" s="1"/>
  <c r="K83" i="32"/>
  <c r="K90" i="39" s="1"/>
  <c r="K108" i="39" l="1"/>
  <c r="K103" i="32"/>
  <c r="K102" i="39"/>
  <c r="K97" i="32"/>
  <c r="K84" i="39"/>
  <c r="K118" i="32"/>
  <c r="K138" i="43"/>
  <c r="M138" i="43"/>
  <c r="L138" i="43"/>
  <c r="D38" i="40"/>
  <c r="H60" i="40" s="1"/>
  <c r="J140" i="43"/>
  <c r="R140" i="43" s="1"/>
  <c r="I212" i="43" s="1"/>
  <c r="H212" i="43" s="1"/>
  <c r="A257" i="43"/>
  <c r="K108" i="32"/>
  <c r="K115" i="39" s="1"/>
  <c r="K84" i="32"/>
  <c r="K78" i="32"/>
  <c r="K102" i="32"/>
  <c r="K109" i="39" s="1"/>
  <c r="K96" i="32"/>
  <c r="K103" i="39" s="1"/>
  <c r="K91" i="39" l="1"/>
  <c r="K85" i="32"/>
  <c r="L140" i="43"/>
  <c r="K287" i="43" s="1"/>
  <c r="K288" i="43" s="1"/>
  <c r="K289" i="43" s="1"/>
  <c r="K290" i="43" s="1"/>
  <c r="K291" i="43" s="1"/>
  <c r="K85" i="39"/>
  <c r="K119" i="32"/>
  <c r="N138" i="43"/>
  <c r="K254" i="43" s="1"/>
  <c r="K255" i="43" s="1"/>
  <c r="K256" i="43" s="1"/>
  <c r="M140" i="43"/>
  <c r="K140" i="43"/>
  <c r="K98" i="32"/>
  <c r="K105" i="39" s="1"/>
  <c r="K80" i="32"/>
  <c r="K87" i="39" s="1"/>
  <c r="K110" i="32"/>
  <c r="K104" i="32"/>
  <c r="K111" i="39" s="1"/>
  <c r="K86" i="32"/>
  <c r="K117" i="39" l="1"/>
  <c r="K109" i="32"/>
  <c r="N140" i="43"/>
  <c r="K257" i="43" s="1"/>
  <c r="K258" i="43" s="1"/>
  <c r="K93" i="39"/>
  <c r="K87" i="32"/>
  <c r="K88" i="32" s="1"/>
  <c r="K286" i="43"/>
  <c r="K118" i="39"/>
  <c r="K100" i="39"/>
  <c r="K112" i="39"/>
  <c r="K106" i="39"/>
  <c r="J101" i="26"/>
  <c r="L100" i="26" s="1"/>
  <c r="I164" i="26" s="1"/>
  <c r="B54" i="6"/>
  <c r="K94" i="39" l="1"/>
  <c r="K280" i="43"/>
  <c r="K282" i="43" s="1"/>
  <c r="K283" i="43" s="1"/>
  <c r="K200" i="26"/>
  <c r="K201" i="26" s="1"/>
  <c r="L101" i="26"/>
  <c r="K89" i="32"/>
  <c r="K95" i="39"/>
  <c r="K88" i="39"/>
  <c r="K119" i="39"/>
  <c r="H101" i="26"/>
  <c r="H98" i="26"/>
  <c r="H95" i="26"/>
  <c r="J95" i="26"/>
  <c r="L97" i="26" s="1"/>
  <c r="I163" i="26" s="1"/>
  <c r="K281" i="43" l="1"/>
  <c r="I165" i="26"/>
  <c r="H165" i="26" s="1"/>
  <c r="L95" i="26"/>
  <c r="K194" i="26"/>
  <c r="K195" i="26" s="1"/>
  <c r="K90" i="32"/>
  <c r="K96" i="39"/>
  <c r="H201" i="32"/>
  <c r="H166" i="39" s="1"/>
  <c r="K197" i="26"/>
  <c r="G24" i="6"/>
  <c r="A192" i="26"/>
  <c r="K92" i="32" l="1"/>
  <c r="K97" i="39"/>
  <c r="J201" i="32"/>
  <c r="L201" i="32" s="1"/>
  <c r="J94" i="26"/>
  <c r="L96" i="26" s="1"/>
  <c r="I162" i="26" s="1"/>
  <c r="A1" i="37"/>
  <c r="K99" i="39" l="1"/>
  <c r="K91" i="32"/>
  <c r="K192" i="26"/>
  <c r="K193" i="26" s="1"/>
  <c r="L94" i="26"/>
  <c r="I161" i="26" s="1"/>
  <c r="H161" i="26" s="1"/>
  <c r="J166" i="39"/>
  <c r="I365" i="39" s="1"/>
  <c r="H365" i="39" s="1"/>
  <c r="K166" i="39" l="1"/>
  <c r="O166" i="39"/>
  <c r="E43" i="3"/>
  <c r="C43" i="3"/>
  <c r="H125" i="24" l="1"/>
  <c r="H114" i="24"/>
  <c r="E45" i="3"/>
  <c r="J114" i="24" s="1"/>
  <c r="L114" i="24" s="1"/>
  <c r="I183" i="24" s="1"/>
  <c r="J119" i="24"/>
  <c r="L119" i="24" s="1"/>
  <c r="I188" i="24" s="1"/>
  <c r="H188" i="24" s="1"/>
  <c r="H126" i="24"/>
  <c r="A116" i="24"/>
  <c r="A221" i="24"/>
  <c r="K221" i="24" s="1"/>
  <c r="H119" i="24"/>
  <c r="J116" i="24"/>
  <c r="L116" i="24" s="1"/>
  <c r="I184" i="24" s="1"/>
  <c r="H116" i="24"/>
  <c r="K235" i="24" l="1"/>
  <c r="K236" i="24" s="1"/>
  <c r="K225" i="24"/>
  <c r="K226" i="24" s="1"/>
  <c r="K222" i="24"/>
  <c r="H287" i="39"/>
  <c r="K287" i="39" s="1"/>
  <c r="H286" i="39"/>
  <c r="K286" i="39" s="1"/>
  <c r="B110" i="17"/>
  <c r="I185" i="39"/>
  <c r="I187" i="39" s="1"/>
  <c r="H185" i="39"/>
  <c r="H187" i="39" s="1"/>
  <c r="G185" i="39"/>
  <c r="G187" i="39" s="1"/>
  <c r="F185" i="39"/>
  <c r="F187" i="39" s="1"/>
  <c r="E185" i="39"/>
  <c r="E187" i="39" s="1"/>
  <c r="D185" i="39"/>
  <c r="D187" i="39" s="1"/>
  <c r="C185" i="39"/>
  <c r="C187" i="39" s="1"/>
  <c r="B185" i="39"/>
  <c r="B187" i="39" s="1"/>
  <c r="V17" i="11"/>
  <c r="D94" i="17"/>
  <c r="B94" i="11"/>
  <c r="B102" i="17"/>
  <c r="P54" i="11"/>
  <c r="J26" i="3"/>
  <c r="P15" i="11"/>
  <c r="U20" i="11"/>
  <c r="C21" i="3"/>
  <c r="AM21" i="11"/>
  <c r="O52" i="11"/>
  <c r="D17" i="11"/>
  <c r="P20" i="11"/>
  <c r="V16" i="11"/>
  <c r="V21" i="11"/>
  <c r="B69" i="11"/>
  <c r="C20" i="11"/>
  <c r="AN18" i="11"/>
  <c r="AM18" i="11"/>
  <c r="V18" i="11"/>
  <c r="P22" i="3"/>
  <c r="AH16" i="11"/>
  <c r="AA20" i="11"/>
  <c r="P18" i="11"/>
  <c r="P52" i="11"/>
  <c r="G49" i="11"/>
  <c r="L53" i="11"/>
  <c r="B34" i="11"/>
  <c r="AN14" i="11"/>
  <c r="C45" i="17"/>
  <c r="C53" i="11"/>
  <c r="AB21" i="11"/>
  <c r="D15" i="11"/>
  <c r="AB16" i="11"/>
  <c r="Q54" i="11"/>
  <c r="P16" i="11"/>
  <c r="D18" i="11"/>
  <c r="B71" i="11"/>
  <c r="O18" i="11"/>
  <c r="H52" i="11"/>
  <c r="J21" i="11"/>
  <c r="P17" i="11"/>
  <c r="O20" i="11"/>
  <c r="AA15" i="11"/>
  <c r="P24" i="3"/>
  <c r="F50" i="11"/>
  <c r="P21" i="11"/>
  <c r="C70" i="11"/>
  <c r="C55" i="11"/>
  <c r="C91" i="17"/>
  <c r="C22" i="3"/>
  <c r="AH21" i="11"/>
  <c r="Q49" i="11"/>
  <c r="O19" i="11"/>
  <c r="D88" i="17"/>
  <c r="AH15" i="11"/>
  <c r="O54" i="11"/>
  <c r="D91" i="17"/>
  <c r="C16" i="11"/>
  <c r="AA17" i="11"/>
  <c r="D46" i="17"/>
  <c r="U19" i="11"/>
  <c r="B105" i="17"/>
  <c r="Q51" i="11"/>
  <c r="F52" i="11"/>
  <c r="L49" i="11"/>
  <c r="AA18" i="11"/>
  <c r="C73" i="11"/>
  <c r="O55" i="11"/>
  <c r="O14" i="11"/>
  <c r="AM16" i="11"/>
  <c r="C71" i="11"/>
  <c r="C42" i="17"/>
  <c r="H50" i="11"/>
  <c r="V14" i="11"/>
  <c r="AB20" i="11"/>
  <c r="D19" i="11"/>
  <c r="L51" i="11"/>
  <c r="C82" i="11"/>
  <c r="Q52" i="11"/>
  <c r="B82" i="11"/>
  <c r="J20" i="11"/>
  <c r="AG17" i="11"/>
  <c r="L54" i="11"/>
  <c r="C72" i="11"/>
  <c r="AM15" i="11"/>
  <c r="L50" i="11"/>
  <c r="C24" i="3"/>
  <c r="B33" i="6"/>
  <c r="J22" i="3"/>
  <c r="J18" i="11"/>
  <c r="C19" i="11"/>
  <c r="D69" i="11"/>
  <c r="G55" i="11"/>
  <c r="V15" i="11"/>
  <c r="B58" i="17"/>
  <c r="U16" i="11"/>
  <c r="C21" i="11"/>
  <c r="P51" i="11"/>
  <c r="D71" i="11"/>
  <c r="U21" i="11"/>
  <c r="C52" i="11"/>
  <c r="H53" i="11"/>
  <c r="F51" i="11"/>
  <c r="P55" i="11"/>
  <c r="B95" i="11"/>
  <c r="D43" i="17"/>
  <c r="O17" i="11"/>
  <c r="D20" i="11"/>
  <c r="I14" i="11"/>
  <c r="C47" i="17"/>
  <c r="D45" i="17"/>
  <c r="B57" i="17"/>
  <c r="U14" i="11"/>
  <c r="D82" i="11"/>
  <c r="AM14" i="11"/>
  <c r="I20" i="11"/>
  <c r="AB15" i="11"/>
  <c r="AA16" i="11"/>
  <c r="B56" i="17"/>
  <c r="AN21" i="11"/>
  <c r="B33" i="11"/>
  <c r="I15" i="11"/>
  <c r="AA19" i="11"/>
  <c r="C14" i="11"/>
  <c r="D70" i="11"/>
  <c r="AB19" i="11"/>
  <c r="C54" i="11"/>
  <c r="I16" i="11"/>
  <c r="AA14" i="11"/>
  <c r="I19" i="11"/>
  <c r="C23" i="3"/>
  <c r="G50" i="11"/>
  <c r="O51" i="11"/>
  <c r="AG16" i="11"/>
  <c r="P53" i="11"/>
  <c r="C88" i="17"/>
  <c r="L52" i="11"/>
  <c r="AH14" i="11"/>
  <c r="AG18" i="11"/>
  <c r="P21" i="3"/>
  <c r="D16" i="11"/>
  <c r="I18" i="11"/>
  <c r="Q53" i="11"/>
  <c r="C18" i="11"/>
  <c r="AN16" i="11"/>
  <c r="G53" i="11"/>
  <c r="D14" i="11"/>
  <c r="C69" i="11"/>
  <c r="F49" i="11"/>
  <c r="G52" i="11"/>
  <c r="D87" i="17"/>
  <c r="D72" i="11"/>
  <c r="J15" i="11"/>
  <c r="AG15" i="11"/>
  <c r="I17" i="11"/>
  <c r="AB14" i="11"/>
  <c r="J25" i="3"/>
  <c r="C51" i="11"/>
  <c r="D89" i="17"/>
  <c r="Q55" i="11"/>
  <c r="AM17" i="11"/>
  <c r="AN15" i="11"/>
  <c r="C15" i="11"/>
  <c r="V20" i="11"/>
  <c r="D93" i="17"/>
  <c r="J16" i="11"/>
  <c r="B103" i="17"/>
  <c r="C92" i="17"/>
  <c r="C93" i="17"/>
  <c r="G54" i="11"/>
  <c r="D73" i="11"/>
  <c r="I21" i="11"/>
  <c r="P50" i="11"/>
  <c r="B34" i="6"/>
  <c r="B35" i="6"/>
  <c r="AN20" i="11"/>
  <c r="H51" i="11"/>
  <c r="P25" i="3"/>
  <c r="U18" i="11"/>
  <c r="AH19" i="11"/>
  <c r="B32" i="6"/>
  <c r="AH20" i="11"/>
  <c r="AN17" i="11"/>
  <c r="O16" i="11"/>
  <c r="H54" i="11"/>
  <c r="P14" i="11"/>
  <c r="D92" i="17"/>
  <c r="AN19" i="11"/>
  <c r="C50" i="11"/>
  <c r="D42" i="17"/>
  <c r="F54" i="11"/>
  <c r="P26" i="3"/>
  <c r="AG14" i="11"/>
  <c r="O53" i="11"/>
  <c r="C17" i="11"/>
  <c r="AB18" i="11"/>
  <c r="AM19" i="11"/>
  <c r="F53" i="11"/>
  <c r="AB17" i="11"/>
  <c r="C87" i="17"/>
  <c r="AG21" i="11"/>
  <c r="C46" i="17"/>
  <c r="C44" i="17"/>
  <c r="D44" i="17"/>
  <c r="L55" i="11"/>
  <c r="G51" i="11"/>
  <c r="J19" i="11"/>
  <c r="J23" i="3"/>
  <c r="U15" i="11"/>
  <c r="B72" i="11"/>
  <c r="P49" i="11"/>
  <c r="B55" i="17"/>
  <c r="P19" i="11"/>
  <c r="AH17" i="11"/>
  <c r="C89" i="17"/>
  <c r="D90" i="17"/>
  <c r="J14" i="11"/>
  <c r="D47" i="17"/>
  <c r="O21" i="11"/>
  <c r="C90" i="17"/>
  <c r="C26" i="3"/>
  <c r="C94" i="17"/>
  <c r="C27" i="3"/>
  <c r="O50" i="11"/>
  <c r="U17" i="11"/>
  <c r="AA21" i="11"/>
  <c r="V19" i="11"/>
  <c r="B73" i="11"/>
  <c r="P27" i="3"/>
  <c r="O15" i="11"/>
  <c r="P23" i="3"/>
  <c r="AM20" i="11"/>
  <c r="J17" i="11"/>
  <c r="D21" i="11"/>
  <c r="Q50" i="11"/>
  <c r="O49" i="11"/>
  <c r="AH18" i="11"/>
  <c r="AG20" i="11"/>
  <c r="B32" i="11"/>
  <c r="B104" i="17"/>
  <c r="C43" i="17"/>
  <c r="AG19" i="11"/>
  <c r="B70" i="11"/>
  <c r="H55" i="11"/>
  <c r="C25" i="3"/>
  <c r="F55" i="11"/>
  <c r="E14" i="11" l="1"/>
  <c r="B79" i="32" s="1"/>
  <c r="Q23" i="3"/>
  <c r="E91" i="24" s="1"/>
  <c r="Q25" i="3"/>
  <c r="G91" i="24" s="1"/>
  <c r="Q24" i="3"/>
  <c r="F91" i="24" s="1"/>
  <c r="Q22" i="3"/>
  <c r="D91" i="24" s="1"/>
  <c r="Q26" i="3"/>
  <c r="H91" i="24" s="1"/>
  <c r="Q27" i="3"/>
  <c r="I91" i="24" s="1"/>
  <c r="Q21" i="3"/>
  <c r="C91" i="24" s="1"/>
  <c r="D22" i="3"/>
  <c r="D84" i="24" s="1"/>
  <c r="D23" i="3"/>
  <c r="E84" i="24" s="1"/>
  <c r="D27" i="3"/>
  <c r="I84" i="24" s="1"/>
  <c r="D24" i="3"/>
  <c r="F84" i="24" s="1"/>
  <c r="D25" i="3"/>
  <c r="G84" i="24" s="1"/>
  <c r="D26" i="3"/>
  <c r="H84" i="24" s="1"/>
  <c r="D21" i="3"/>
  <c r="C84" i="24" s="1"/>
  <c r="P187" i="39"/>
  <c r="AC19" i="11"/>
  <c r="G110" i="39" s="1"/>
  <c r="K19" i="11"/>
  <c r="G92" i="39" s="1"/>
  <c r="K18" i="11"/>
  <c r="F92" i="39" s="1"/>
  <c r="Q18" i="11"/>
  <c r="F98" i="39" s="1"/>
  <c r="E16" i="11"/>
  <c r="D79" i="32" s="1"/>
  <c r="I127" i="32"/>
  <c r="I129" i="32" s="1"/>
  <c r="I127" i="39" s="1"/>
  <c r="D55" i="11"/>
  <c r="I128" i="32" s="1"/>
  <c r="E55" i="11"/>
  <c r="H102" i="32"/>
  <c r="H109" i="39" s="1"/>
  <c r="AC20" i="11"/>
  <c r="H110" i="39" s="1"/>
  <c r="C85" i="11"/>
  <c r="C86" i="11" s="1"/>
  <c r="I90" i="24"/>
  <c r="I92" i="24" s="1"/>
  <c r="R27" i="3"/>
  <c r="H90" i="24"/>
  <c r="H92" i="24" s="1"/>
  <c r="R26" i="3"/>
  <c r="D52" i="11"/>
  <c r="F128" i="32" s="1"/>
  <c r="E52" i="11"/>
  <c r="I78" i="32"/>
  <c r="I80" i="32" s="1"/>
  <c r="I87" i="39" s="1"/>
  <c r="E21" i="11"/>
  <c r="I86" i="39" s="1"/>
  <c r="J95" i="11"/>
  <c r="W15" i="11"/>
  <c r="C104" i="39" s="1"/>
  <c r="M50" i="11"/>
  <c r="D134" i="32" s="1"/>
  <c r="E25" i="3"/>
  <c r="G83" i="24"/>
  <c r="G85" i="24" s="1"/>
  <c r="R24" i="3"/>
  <c r="F90" i="24"/>
  <c r="F92" i="24" s="1"/>
  <c r="AI18" i="11"/>
  <c r="F116" i="39" s="1"/>
  <c r="F108" i="32"/>
  <c r="C90" i="24"/>
  <c r="C92" i="24" s="1"/>
  <c r="R21" i="3"/>
  <c r="AO18" i="11"/>
  <c r="F115" i="32" s="1"/>
  <c r="F114" i="32"/>
  <c r="F116" i="32" s="1"/>
  <c r="H96" i="32"/>
  <c r="H103" i="39" s="1"/>
  <c r="W20" i="11"/>
  <c r="H104" i="39" s="1"/>
  <c r="C83" i="24"/>
  <c r="C85" i="24" s="1"/>
  <c r="E21" i="3"/>
  <c r="AC16" i="11"/>
  <c r="D110" i="39" s="1"/>
  <c r="M51" i="11"/>
  <c r="E134" i="32" s="1"/>
  <c r="K16" i="11"/>
  <c r="D92" i="39" s="1"/>
  <c r="E50" i="11"/>
  <c r="D50" i="11"/>
  <c r="D128" i="32" s="1"/>
  <c r="K14" i="11"/>
  <c r="B85" i="32" s="1"/>
  <c r="E91" i="17"/>
  <c r="F186" i="39" s="1"/>
  <c r="W14" i="11"/>
  <c r="B104" i="39" s="1"/>
  <c r="E17" i="11"/>
  <c r="E86" i="39" s="1"/>
  <c r="E19" i="11"/>
  <c r="G86" i="39" s="1"/>
  <c r="M49" i="11"/>
  <c r="C134" i="32" s="1"/>
  <c r="G57" i="11"/>
  <c r="R22" i="3"/>
  <c r="D90" i="24"/>
  <c r="D92" i="24" s="1"/>
  <c r="E93" i="17"/>
  <c r="H186" i="39" s="1"/>
  <c r="E109" i="17"/>
  <c r="D105" i="17"/>
  <c r="B109" i="17"/>
  <c r="J244" i="39" s="1"/>
  <c r="P244" i="39" s="1"/>
  <c r="H244" i="39"/>
  <c r="K244" i="39" s="1"/>
  <c r="K25" i="3"/>
  <c r="G101" i="24" s="1"/>
  <c r="G102" i="24" s="1"/>
  <c r="D85" i="11"/>
  <c r="D86" i="11" s="1"/>
  <c r="E24" i="3"/>
  <c r="F83" i="24"/>
  <c r="F85" i="24" s="1"/>
  <c r="B108" i="32"/>
  <c r="AI14" i="11"/>
  <c r="B116" i="39" s="1"/>
  <c r="AC15" i="11"/>
  <c r="C110" i="39" s="1"/>
  <c r="C108" i="32"/>
  <c r="AI15" i="11"/>
  <c r="C116" i="39" s="1"/>
  <c r="E27" i="3"/>
  <c r="I83" i="24"/>
  <c r="I85" i="24" s="1"/>
  <c r="AO20" i="11"/>
  <c r="H115" i="32" s="1"/>
  <c r="H114" i="32"/>
  <c r="H116" i="32" s="1"/>
  <c r="I108" i="32"/>
  <c r="I115" i="39" s="1"/>
  <c r="AI21" i="11"/>
  <c r="I116" i="39" s="1"/>
  <c r="E26" i="3"/>
  <c r="H83" i="24"/>
  <c r="H85" i="24" s="1"/>
  <c r="AO16" i="11"/>
  <c r="D115" i="32" s="1"/>
  <c r="D114" i="32"/>
  <c r="D116" i="32" s="1"/>
  <c r="E23" i="3"/>
  <c r="E83" i="24"/>
  <c r="E85" i="24" s="1"/>
  <c r="Q17" i="11"/>
  <c r="E98" i="39" s="1"/>
  <c r="D53" i="11"/>
  <c r="G128" i="32" s="1"/>
  <c r="G127" i="32"/>
  <c r="G126" i="39" s="1"/>
  <c r="E53" i="11"/>
  <c r="W16" i="11"/>
  <c r="D104" i="39" s="1"/>
  <c r="E54" i="11"/>
  <c r="H127" i="32"/>
  <c r="H129" i="32" s="1"/>
  <c r="H127" i="39" s="1"/>
  <c r="D54" i="11"/>
  <c r="H128" i="32" s="1"/>
  <c r="Q16" i="11"/>
  <c r="D98" i="39" s="1"/>
  <c r="W21" i="11"/>
  <c r="I104" i="39" s="1"/>
  <c r="I96" i="32"/>
  <c r="I103" i="39" s="1"/>
  <c r="B78" i="32"/>
  <c r="AI20" i="11"/>
  <c r="H116" i="39" s="1"/>
  <c r="H108" i="32"/>
  <c r="H115" i="39" s="1"/>
  <c r="W19" i="11"/>
  <c r="G104" i="39" s="1"/>
  <c r="W18" i="11"/>
  <c r="F104" i="39" s="1"/>
  <c r="K20" i="11"/>
  <c r="H92" i="39" s="1"/>
  <c r="H84" i="32"/>
  <c r="H91" i="39" s="1"/>
  <c r="AC18" i="11"/>
  <c r="F110" i="39" s="1"/>
  <c r="E90" i="17"/>
  <c r="E186" i="39" s="1"/>
  <c r="E89" i="17"/>
  <c r="D186" i="39" s="1"/>
  <c r="K15" i="11"/>
  <c r="C85" i="32" s="1"/>
  <c r="M55" i="11"/>
  <c r="I134" i="32" s="1"/>
  <c r="I133" i="32"/>
  <c r="I131" i="39" s="1"/>
  <c r="K23" i="3"/>
  <c r="E101" i="24" s="1"/>
  <c r="E102" i="24" s="1"/>
  <c r="R25" i="3"/>
  <c r="G90" i="24"/>
  <c r="G92" i="24" s="1"/>
  <c r="D108" i="32"/>
  <c r="AI16" i="11"/>
  <c r="D116" i="39" s="1"/>
  <c r="W17" i="11"/>
  <c r="E104" i="39" s="1"/>
  <c r="E49" i="11"/>
  <c r="D49" i="11"/>
  <c r="C128" i="32" s="1"/>
  <c r="Q15" i="11"/>
  <c r="C98" i="39" s="1"/>
  <c r="B59" i="17"/>
  <c r="E61" i="17" s="1"/>
  <c r="M52" i="11"/>
  <c r="F134" i="32" s="1"/>
  <c r="G63" i="11"/>
  <c r="C78" i="32"/>
  <c r="E15" i="11"/>
  <c r="C79" i="32" s="1"/>
  <c r="E22" i="3"/>
  <c r="D83" i="24"/>
  <c r="D85" i="24" s="1"/>
  <c r="I90" i="32"/>
  <c r="I97" i="39" s="1"/>
  <c r="Q21" i="11"/>
  <c r="I98" i="39" s="1"/>
  <c r="K26" i="3"/>
  <c r="H101" i="24" s="1"/>
  <c r="H102" i="24" s="1"/>
  <c r="H90" i="32"/>
  <c r="H92" i="32" s="1"/>
  <c r="Q20" i="11"/>
  <c r="H98" i="39" s="1"/>
  <c r="B85" i="11"/>
  <c r="B86" i="11" s="1"/>
  <c r="G64" i="11"/>
  <c r="K17" i="11"/>
  <c r="E85" i="32" s="1"/>
  <c r="B36" i="6"/>
  <c r="H109" i="26" s="1"/>
  <c r="I84" i="32"/>
  <c r="I86" i="32" s="1"/>
  <c r="I93" i="39" s="1"/>
  <c r="K21" i="11"/>
  <c r="I92" i="39" s="1"/>
  <c r="AO17" i="11"/>
  <c r="E115" i="32" s="1"/>
  <c r="E114" i="32"/>
  <c r="E116" i="32" s="1"/>
  <c r="E92" i="17"/>
  <c r="G186" i="39" s="1"/>
  <c r="I102" i="32"/>
  <c r="I109" i="39" s="1"/>
  <c r="AC21" i="11"/>
  <c r="I110" i="39" s="1"/>
  <c r="G114" i="32"/>
  <c r="G116" i="32" s="1"/>
  <c r="AO19" i="11"/>
  <c r="G115" i="32" s="1"/>
  <c r="AC17" i="11"/>
  <c r="E110" i="39" s="1"/>
  <c r="E88" i="17"/>
  <c r="C186" i="39" s="1"/>
  <c r="AI17" i="11"/>
  <c r="E116" i="39" s="1"/>
  <c r="E108" i="32"/>
  <c r="G58" i="11"/>
  <c r="J164" i="32" s="1"/>
  <c r="H245" i="39"/>
  <c r="K245" i="39" s="1"/>
  <c r="E62" i="17"/>
  <c r="B62" i="17"/>
  <c r="J245" i="39" s="1"/>
  <c r="P245" i="39" s="1"/>
  <c r="C114" i="32"/>
  <c r="C116" i="32" s="1"/>
  <c r="AO15" i="11"/>
  <c r="C115" i="32" s="1"/>
  <c r="M54" i="11"/>
  <c r="H134" i="32" s="1"/>
  <c r="H133" i="32"/>
  <c r="H131" i="39" s="1"/>
  <c r="R23" i="3"/>
  <c r="E90" i="24"/>
  <c r="E92" i="24" s="1"/>
  <c r="AI19" i="11"/>
  <c r="G116" i="39" s="1"/>
  <c r="G108" i="32"/>
  <c r="B97" i="11"/>
  <c r="J94" i="11"/>
  <c r="B98" i="11" s="1"/>
  <c r="H200" i="32" s="1"/>
  <c r="J200" i="32" s="1"/>
  <c r="L200" i="32" s="1"/>
  <c r="Q14" i="11"/>
  <c r="B98" i="39" s="1"/>
  <c r="M53" i="11"/>
  <c r="G134" i="32" s="1"/>
  <c r="G133" i="32"/>
  <c r="G135" i="32" s="1"/>
  <c r="G132" i="39" s="1"/>
  <c r="AC14" i="11"/>
  <c r="B110" i="39" s="1"/>
  <c r="B36" i="11"/>
  <c r="B38" i="11" s="1"/>
  <c r="E87" i="17"/>
  <c r="B186" i="39" s="1"/>
  <c r="E94" i="17"/>
  <c r="I186" i="39" s="1"/>
  <c r="K22" i="3"/>
  <c r="D101" i="24" s="1"/>
  <c r="AO14" i="11"/>
  <c r="B115" i="32" s="1"/>
  <c r="B114" i="32"/>
  <c r="B116" i="32" s="1"/>
  <c r="I114" i="32"/>
  <c r="I116" i="32" s="1"/>
  <c r="AO21" i="11"/>
  <c r="I115" i="32" s="1"/>
  <c r="B106" i="17"/>
  <c r="E108" i="17" s="1"/>
  <c r="C74" i="11"/>
  <c r="Q19" i="11"/>
  <c r="G98" i="39" s="1"/>
  <c r="B74" i="11"/>
  <c r="J160" i="32" s="1"/>
  <c r="I229" i="32" s="1"/>
  <c r="H229" i="32" s="1"/>
  <c r="D74" i="11"/>
  <c r="E18" i="11"/>
  <c r="F86" i="39" s="1"/>
  <c r="E20" i="11"/>
  <c r="H86" i="39" s="1"/>
  <c r="H78" i="32"/>
  <c r="H85" i="39" s="1"/>
  <c r="E51" i="11"/>
  <c r="D51" i="11"/>
  <c r="E128" i="32" s="1"/>
  <c r="K513" i="39"/>
  <c r="P246" i="39"/>
  <c r="L187" i="39"/>
  <c r="B179" i="39"/>
  <c r="B181" i="39" s="1"/>
  <c r="E44" i="17"/>
  <c r="D180" i="39" s="1"/>
  <c r="E45" i="17"/>
  <c r="E180" i="39" s="1"/>
  <c r="E43" i="17"/>
  <c r="E47" i="17"/>
  <c r="G180" i="39" s="1"/>
  <c r="E46" i="17"/>
  <c r="F180" i="39" s="1"/>
  <c r="E42" i="17"/>
  <c r="B180" i="39" s="1"/>
  <c r="H247" i="39"/>
  <c r="K247" i="39" s="1"/>
  <c r="P247" i="39"/>
  <c r="H246" i="39"/>
  <c r="K246" i="39" s="1"/>
  <c r="G179" i="39"/>
  <c r="G181" i="39" s="1"/>
  <c r="F179" i="39"/>
  <c r="F181" i="39" s="1"/>
  <c r="E179" i="39"/>
  <c r="E181" i="39" s="1"/>
  <c r="D179" i="39"/>
  <c r="D181" i="39" s="1"/>
  <c r="C179" i="39"/>
  <c r="C181" i="39" s="1"/>
  <c r="I377" i="39" l="1"/>
  <c r="G129" i="32"/>
  <c r="G127" i="39" s="1"/>
  <c r="A218" i="24"/>
  <c r="I85" i="32"/>
  <c r="B109" i="32"/>
  <c r="I92" i="32"/>
  <c r="B86" i="39"/>
  <c r="G103" i="32"/>
  <c r="D86" i="39"/>
  <c r="F85" i="32"/>
  <c r="C109" i="32"/>
  <c r="K511" i="39"/>
  <c r="K512" i="39" s="1"/>
  <c r="C97" i="32"/>
  <c r="D103" i="32"/>
  <c r="H85" i="32"/>
  <c r="D102" i="24"/>
  <c r="L102" i="24" s="1"/>
  <c r="I186" i="24" s="1"/>
  <c r="F79" i="32"/>
  <c r="I126" i="39"/>
  <c r="G85" i="32"/>
  <c r="I91" i="32"/>
  <c r="E97" i="32"/>
  <c r="E103" i="32"/>
  <c r="E109" i="32"/>
  <c r="C86" i="39"/>
  <c r="D85" i="32"/>
  <c r="G86" i="11"/>
  <c r="I86" i="11" s="1"/>
  <c r="H196" i="32" s="1"/>
  <c r="I85" i="39"/>
  <c r="E91" i="32"/>
  <c r="I376" i="39"/>
  <c r="H376" i="39" s="1"/>
  <c r="B61" i="17"/>
  <c r="H80" i="32"/>
  <c r="H87" i="39" s="1"/>
  <c r="H164" i="32"/>
  <c r="H91" i="32"/>
  <c r="G97" i="32"/>
  <c r="I97" i="32"/>
  <c r="H97" i="32"/>
  <c r="F103" i="32"/>
  <c r="B103" i="32"/>
  <c r="F109" i="32"/>
  <c r="H109" i="32"/>
  <c r="I109" i="32"/>
  <c r="E79" i="32"/>
  <c r="I79" i="32"/>
  <c r="L85" i="24"/>
  <c r="H86" i="32"/>
  <c r="H93" i="39" s="1"/>
  <c r="F91" i="32"/>
  <c r="B92" i="39"/>
  <c r="AC22" i="11"/>
  <c r="AD22" i="11" s="1"/>
  <c r="L92" i="24"/>
  <c r="L116" i="32"/>
  <c r="Y29" i="3"/>
  <c r="L29" i="3"/>
  <c r="K22" i="11"/>
  <c r="L22" i="11" s="1"/>
  <c r="G79" i="32"/>
  <c r="C92" i="39"/>
  <c r="I135" i="32"/>
  <c r="I132" i="39" s="1"/>
  <c r="G131" i="39"/>
  <c r="W22" i="11"/>
  <c r="X22" i="11" s="1"/>
  <c r="AO22" i="11"/>
  <c r="AP22" i="11" s="1"/>
  <c r="H97" i="39"/>
  <c r="D91" i="32"/>
  <c r="B91" i="32"/>
  <c r="B97" i="32"/>
  <c r="C103" i="32"/>
  <c r="H103" i="32"/>
  <c r="D109" i="32"/>
  <c r="H79" i="32"/>
  <c r="E92" i="39"/>
  <c r="B108" i="17"/>
  <c r="H135" i="32"/>
  <c r="H132" i="39" s="1"/>
  <c r="K216" i="24"/>
  <c r="K217" i="24" s="1"/>
  <c r="H126" i="39"/>
  <c r="I91" i="39"/>
  <c r="Q22" i="11"/>
  <c r="R22" i="11" s="1"/>
  <c r="E22" i="11"/>
  <c r="F22" i="11" s="1"/>
  <c r="AI22" i="11"/>
  <c r="AJ22" i="11" s="1"/>
  <c r="C91" i="32"/>
  <c r="G91" i="32"/>
  <c r="F97" i="32"/>
  <c r="D97" i="32"/>
  <c r="I103" i="32"/>
  <c r="G109" i="32"/>
  <c r="L181" i="39"/>
  <c r="C180" i="39"/>
  <c r="H377" i="39"/>
  <c r="J165" i="39"/>
  <c r="I364" i="39" s="1"/>
  <c r="H364" i="39" s="1"/>
  <c r="L164" i="32"/>
  <c r="N164" i="32"/>
  <c r="D38" i="11"/>
  <c r="B43" i="11" s="1"/>
  <c r="D39" i="11"/>
  <c r="B42" i="11" s="1"/>
  <c r="H165" i="39"/>
  <c r="K322" i="32"/>
  <c r="K444" i="39" s="1"/>
  <c r="K445" i="39" s="1"/>
  <c r="K514" i="39"/>
  <c r="H37" i="33"/>
  <c r="F37" i="33"/>
  <c r="D37" i="33"/>
  <c r="B37" i="33"/>
  <c r="K218" i="24" l="1"/>
  <c r="K219" i="24" s="1"/>
  <c r="K220" i="24" s="1"/>
  <c r="A227" i="24"/>
  <c r="K227" i="24" s="1"/>
  <c r="K228" i="24" s="1"/>
  <c r="I185" i="24"/>
  <c r="E23" i="11"/>
  <c r="F23" i="11" s="1"/>
  <c r="P181" i="39"/>
  <c r="I371" i="39" s="1"/>
  <c r="H371" i="39" s="1"/>
  <c r="L174" i="39"/>
  <c r="K495" i="39" s="1"/>
  <c r="K496" i="39" s="1"/>
  <c r="K165" i="39"/>
  <c r="O165" i="39"/>
  <c r="K260" i="32"/>
  <c r="K303" i="39" s="1"/>
  <c r="K304" i="39" s="1"/>
  <c r="K305" i="39" s="1"/>
  <c r="K306" i="39" s="1"/>
  <c r="K307" i="39" s="1"/>
  <c r="K323" i="32"/>
  <c r="H168" i="39"/>
  <c r="J196" i="32"/>
  <c r="J168" i="39" s="1"/>
  <c r="J1" i="26"/>
  <c r="H173" i="26" l="1"/>
  <c r="H172" i="26"/>
  <c r="H171" i="26"/>
  <c r="H166" i="26"/>
  <c r="H164" i="26"/>
  <c r="H163" i="26"/>
  <c r="H162" i="26"/>
  <c r="K241" i="24"/>
  <c r="K243" i="24" s="1"/>
  <c r="K244" i="24" s="1"/>
  <c r="M196" i="32"/>
  <c r="I241" i="32" s="1"/>
  <c r="H241" i="32" s="1"/>
  <c r="K261" i="32"/>
  <c r="K262" i="32" s="1"/>
  <c r="K263" i="32" s="1"/>
  <c r="K264" i="32" s="1"/>
  <c r="K300" i="39"/>
  <c r="L196" i="32"/>
  <c r="K365" i="32" s="1"/>
  <c r="K366" i="32" s="1"/>
  <c r="I1" i="33"/>
  <c r="K242" i="24" l="1"/>
  <c r="K168" i="39"/>
  <c r="O168" i="39"/>
  <c r="H367" i="39"/>
  <c r="K250" i="32"/>
  <c r="K478" i="39"/>
  <c r="K479" i="39" s="1"/>
  <c r="B2" i="35"/>
  <c r="G7" i="35"/>
  <c r="J1" i="30" l="1"/>
  <c r="J1" i="24"/>
  <c r="H192" i="24" l="1"/>
  <c r="H191" i="24"/>
  <c r="H193" i="24"/>
  <c r="H190" i="24"/>
  <c r="H189" i="24"/>
  <c r="H187" i="24"/>
  <c r="H184" i="24"/>
  <c r="H183" i="24"/>
  <c r="H186" i="24"/>
  <c r="H185" i="24"/>
  <c r="H178" i="30"/>
  <c r="H180" i="30"/>
  <c r="H179" i="30"/>
  <c r="H177" i="30"/>
  <c r="H176" i="30"/>
  <c r="H172" i="30"/>
  <c r="H166" i="30"/>
  <c r="H165" i="30"/>
  <c r="H171" i="30"/>
  <c r="H173" i="30"/>
  <c r="H170" i="30"/>
  <c r="B50" i="17"/>
  <c r="B63" i="17" s="1"/>
  <c r="B64" i="17" s="1"/>
  <c r="E64" i="17" s="1"/>
  <c r="H127" i="24" l="1"/>
  <c r="K248" i="24" s="1"/>
  <c r="K249" i="24" l="1"/>
  <c r="K250" i="24" s="1"/>
  <c r="K251" i="24" s="1"/>
  <c r="K247" i="24"/>
  <c r="G68" i="32"/>
  <c r="K286" i="32" s="1"/>
  <c r="A46" i="32"/>
  <c r="B25" i="11"/>
  <c r="K304" i="32" l="1"/>
  <c r="K290" i="32"/>
  <c r="Z40" i="11"/>
  <c r="Z41" i="11" s="1"/>
  <c r="AB41" i="11" s="1"/>
  <c r="AF40" i="11"/>
  <c r="AF41" i="11" s="1"/>
  <c r="AH41" i="11" s="1"/>
  <c r="H40" i="11"/>
  <c r="H41" i="11" s="1"/>
  <c r="J41" i="11" s="1"/>
  <c r="AL40" i="11"/>
  <c r="AL41" i="11" s="1"/>
  <c r="AN41" i="11" s="1"/>
  <c r="N40" i="11"/>
  <c r="N41" i="11" s="1"/>
  <c r="P41" i="11" s="1"/>
  <c r="T40" i="11"/>
  <c r="T41" i="11" s="1"/>
  <c r="V41" i="11" s="1"/>
  <c r="B40" i="11"/>
  <c r="B41" i="11" s="1"/>
  <c r="B10" i="37"/>
  <c r="E15" i="65" s="1"/>
  <c r="B8" i="37"/>
  <c r="C15" i="65" s="1"/>
  <c r="B7" i="37"/>
  <c r="C12" i="65" s="1"/>
  <c r="B5" i="37"/>
  <c r="C18" i="65" s="1"/>
  <c r="C17" i="63"/>
  <c r="C18" i="61" l="1"/>
  <c r="C18" i="63"/>
  <c r="E15" i="61"/>
  <c r="E15" i="63"/>
  <c r="C12" i="61"/>
  <c r="C12" i="63"/>
  <c r="C15" i="61"/>
  <c r="C15" i="63"/>
  <c r="C17" i="59"/>
  <c r="C17" i="61"/>
  <c r="C18" i="57"/>
  <c r="C18" i="59"/>
  <c r="E15" i="57"/>
  <c r="E15" i="59"/>
  <c r="C12" i="57"/>
  <c r="C12" i="59"/>
  <c r="C15" i="57"/>
  <c r="C15" i="59"/>
  <c r="C17" i="57"/>
  <c r="B6" i="37"/>
  <c r="C12" i="55"/>
  <c r="C12" i="46"/>
  <c r="C15" i="55"/>
  <c r="C15" i="46"/>
  <c r="C17" i="55"/>
  <c r="C17" i="46"/>
  <c r="E15" i="55"/>
  <c r="E15" i="46"/>
  <c r="C18" i="55"/>
  <c r="C18" i="46"/>
  <c r="C15" i="52"/>
  <c r="C15" i="51"/>
  <c r="C17" i="52"/>
  <c r="C17" i="51"/>
  <c r="E15" i="52"/>
  <c r="E15" i="51"/>
  <c r="C18" i="52"/>
  <c r="C18" i="51"/>
  <c r="C12" i="52"/>
  <c r="C12" i="51"/>
  <c r="D41" i="11"/>
  <c r="F15" i="45"/>
  <c r="C12" i="43"/>
  <c r="C12" i="45"/>
  <c r="C15" i="43"/>
  <c r="C15" i="45"/>
  <c r="C17" i="43"/>
  <c r="C17" i="45"/>
  <c r="C18" i="43"/>
  <c r="C18" i="45"/>
  <c r="E15" i="43"/>
  <c r="E15" i="41"/>
  <c r="C17" i="39"/>
  <c r="C17" i="41"/>
  <c r="C12" i="39"/>
  <c r="C12" i="41"/>
  <c r="C18" i="39"/>
  <c r="C18" i="41"/>
  <c r="C15" i="39"/>
  <c r="C15" i="41"/>
  <c r="E15" i="39"/>
  <c r="C17" i="33"/>
  <c r="C17" i="32"/>
  <c r="C12" i="33"/>
  <c r="C12" i="32"/>
  <c r="C15" i="33"/>
  <c r="C15" i="32"/>
  <c r="E15" i="33"/>
  <c r="E15" i="32"/>
  <c r="C18" i="33"/>
  <c r="C18" i="32"/>
  <c r="C18" i="30"/>
  <c r="C15" i="30"/>
  <c r="C17" i="30"/>
  <c r="C12" i="30"/>
  <c r="E15" i="30"/>
  <c r="C12" i="26"/>
  <c r="C12" i="24"/>
  <c r="C15" i="26"/>
  <c r="C15" i="24"/>
  <c r="C18" i="26"/>
  <c r="C18" i="24"/>
  <c r="C17" i="26"/>
  <c r="C17" i="24"/>
  <c r="E15" i="26"/>
  <c r="E15" i="24"/>
  <c r="C9" i="65" l="1"/>
  <c r="A1" i="65"/>
  <c r="A1" i="63"/>
  <c r="C9" i="63"/>
  <c r="A1" i="61"/>
  <c r="A129" i="61" s="1"/>
  <c r="C9" i="61"/>
  <c r="A1" i="59"/>
  <c r="C9" i="59"/>
  <c r="A1" i="57"/>
  <c r="C9" i="57"/>
  <c r="A1" i="55"/>
  <c r="C9" i="55"/>
  <c r="A1" i="46"/>
  <c r="A225" i="46"/>
  <c r="C9" i="46"/>
  <c r="C9" i="52"/>
  <c r="A1" i="52"/>
  <c r="A1" i="51"/>
  <c r="C9" i="51"/>
  <c r="C9" i="45"/>
  <c r="A1" i="45"/>
  <c r="A1" i="43"/>
  <c r="C9" i="43"/>
  <c r="C9" i="41"/>
  <c r="A1" i="41"/>
  <c r="A1" i="39"/>
  <c r="C9" i="39"/>
  <c r="C9" i="33"/>
  <c r="C9" i="32"/>
  <c r="C9" i="30"/>
  <c r="C9" i="26"/>
  <c r="C9" i="24"/>
  <c r="A1" i="24"/>
  <c r="A1" i="30"/>
  <c r="A1" i="32"/>
  <c r="A1" i="26"/>
  <c r="A1" i="33"/>
  <c r="B44" i="11"/>
  <c r="B10" i="35"/>
  <c r="G2" i="35"/>
  <c r="B14" i="35"/>
  <c r="G3" i="35"/>
  <c r="A100" i="61" l="1"/>
  <c r="A50" i="61"/>
  <c r="A138" i="59"/>
  <c r="A97" i="59"/>
  <c r="A45" i="59"/>
  <c r="A45" i="51"/>
  <c r="A89" i="51"/>
  <c r="G62" i="11"/>
  <c r="B12" i="35"/>
  <c r="B15" i="35"/>
  <c r="W7" i="35" l="1"/>
  <c r="G8" i="35"/>
  <c r="S9" i="35"/>
  <c r="S14" i="35" s="1"/>
  <c r="S8" i="35"/>
  <c r="K9" i="35"/>
  <c r="K14" i="35" s="1"/>
  <c r="O8" i="35"/>
  <c r="O7" i="35"/>
  <c r="W9" i="35"/>
  <c r="W14" i="35" s="1"/>
  <c r="O9" i="35"/>
  <c r="O14" i="35" s="1"/>
  <c r="AA8" i="35"/>
  <c r="K8" i="35"/>
  <c r="G9" i="35"/>
  <c r="G14" i="35" s="1"/>
  <c r="AA7" i="35"/>
  <c r="W8" i="35"/>
  <c r="K7" i="35"/>
  <c r="S7" i="35"/>
  <c r="AA9" i="35"/>
  <c r="AA14" i="35" s="1"/>
  <c r="S10" i="35" l="1"/>
  <c r="W10" i="35"/>
  <c r="O10" i="35"/>
  <c r="G10" i="35"/>
  <c r="G12" i="35" s="1"/>
  <c r="K10" i="35"/>
  <c r="AA10" i="35"/>
  <c r="G15" i="35" l="1"/>
  <c r="AA15" i="35"/>
  <c r="AA12" i="35"/>
  <c r="O15" i="35"/>
  <c r="O12" i="35"/>
  <c r="W15" i="35"/>
  <c r="W12" i="35"/>
  <c r="K12" i="35"/>
  <c r="K15" i="35"/>
  <c r="S15" i="35"/>
  <c r="S12" i="35"/>
  <c r="D56" i="33" l="1"/>
  <c r="F58" i="33" l="1"/>
  <c r="F59" i="33"/>
  <c r="F60" i="33"/>
  <c r="F61" i="33"/>
  <c r="F62" i="33"/>
  <c r="F63" i="33"/>
  <c r="F64" i="33"/>
  <c r="F65" i="33"/>
  <c r="F66" i="33"/>
  <c r="F67" i="33"/>
  <c r="F68" i="33"/>
  <c r="F69" i="33"/>
  <c r="F70" i="33"/>
  <c r="F57" i="33"/>
  <c r="E58" i="33"/>
  <c r="E59" i="33"/>
  <c r="E60" i="33"/>
  <c r="E61" i="33"/>
  <c r="E62" i="33"/>
  <c r="E63" i="33"/>
  <c r="E64" i="33"/>
  <c r="E65" i="33"/>
  <c r="E66" i="33"/>
  <c r="E67" i="33"/>
  <c r="E68" i="33"/>
  <c r="E69" i="33"/>
  <c r="E70" i="33"/>
  <c r="E57" i="33"/>
  <c r="E56" i="33"/>
  <c r="D58" i="33"/>
  <c r="D59" i="33"/>
  <c r="D60" i="33"/>
  <c r="D61" i="33"/>
  <c r="D62" i="33"/>
  <c r="D63" i="33"/>
  <c r="D64" i="33"/>
  <c r="D65" i="33"/>
  <c r="D66" i="33"/>
  <c r="D67" i="33"/>
  <c r="D68" i="33"/>
  <c r="D69" i="33"/>
  <c r="D70" i="33"/>
  <c r="D57" i="33"/>
  <c r="C58" i="33"/>
  <c r="C59" i="33"/>
  <c r="C60" i="33"/>
  <c r="C61" i="33"/>
  <c r="C62" i="33"/>
  <c r="C63" i="33"/>
  <c r="C64" i="33"/>
  <c r="C65" i="33"/>
  <c r="C66" i="33"/>
  <c r="C67" i="33"/>
  <c r="C68" i="33"/>
  <c r="C69" i="33"/>
  <c r="C70" i="33"/>
  <c r="C57" i="33"/>
  <c r="A58" i="33"/>
  <c r="A59" i="33"/>
  <c r="A60" i="33"/>
  <c r="A61" i="33"/>
  <c r="A62" i="33"/>
  <c r="A63" i="33"/>
  <c r="A64" i="33"/>
  <c r="A65" i="33"/>
  <c r="A66" i="33"/>
  <c r="A67" i="33"/>
  <c r="A68" i="33"/>
  <c r="A69" i="33"/>
  <c r="A70" i="33"/>
  <c r="A57" i="33"/>
  <c r="B111" i="17" l="1"/>
  <c r="E111" i="17" s="1"/>
  <c r="G86" i="30" l="1"/>
  <c r="E86" i="30"/>
  <c r="D86" i="30"/>
  <c r="E85" i="30"/>
  <c r="D85" i="30"/>
  <c r="J107" i="30" l="1"/>
  <c r="K206" i="30" s="1"/>
  <c r="K207" i="30" s="1"/>
  <c r="K208" i="30" l="1"/>
  <c r="L107" i="30"/>
  <c r="I169" i="30" s="1"/>
  <c r="H169" i="30" s="1"/>
  <c r="G58" i="33" l="1"/>
  <c r="H68" i="33"/>
  <c r="J68" i="33" s="1"/>
  <c r="G68" i="33"/>
  <c r="H64" i="33"/>
  <c r="J64" i="33" s="1"/>
  <c r="G64" i="33"/>
  <c r="H59" i="33"/>
  <c r="J59" i="33" s="1"/>
  <c r="G59" i="33"/>
  <c r="H65" i="33"/>
  <c r="J65" i="33" s="1"/>
  <c r="G65" i="33"/>
  <c r="H62" i="33"/>
  <c r="J62" i="33" s="1"/>
  <c r="G62" i="33"/>
  <c r="H66" i="33"/>
  <c r="J66" i="33" s="1"/>
  <c r="G66" i="33"/>
  <c r="H70" i="33"/>
  <c r="G70" i="33"/>
  <c r="H60" i="33"/>
  <c r="J60" i="33" s="1"/>
  <c r="G60" i="33"/>
  <c r="H67" i="33"/>
  <c r="J67" i="33" s="1"/>
  <c r="G67" i="33"/>
  <c r="J69" i="33"/>
  <c r="G69" i="33"/>
  <c r="H61" i="33"/>
  <c r="J61" i="33" s="1"/>
  <c r="G61" i="33"/>
  <c r="H63" i="33"/>
  <c r="J63" i="33" s="1"/>
  <c r="G63" i="33"/>
  <c r="G57" i="33"/>
  <c r="J70" i="33" l="1"/>
  <c r="J71" i="33"/>
  <c r="J57" i="33"/>
  <c r="H58" i="33"/>
  <c r="J58" i="33" s="1"/>
  <c r="H81" i="26"/>
  <c r="G81" i="26"/>
  <c r="F81" i="26"/>
  <c r="E81" i="26"/>
  <c r="C81" i="26"/>
  <c r="B69" i="26"/>
  <c r="H69" i="26"/>
  <c r="G69" i="26"/>
  <c r="F69" i="26"/>
  <c r="E69" i="26"/>
  <c r="D69" i="26"/>
  <c r="C69" i="26"/>
  <c r="I110" i="32" l="1"/>
  <c r="I117" i="39" s="1"/>
  <c r="H110" i="32"/>
  <c r="H117" i="39" s="1"/>
  <c r="G102" i="32"/>
  <c r="F102" i="32"/>
  <c r="E102" i="32"/>
  <c r="D102" i="32"/>
  <c r="C102" i="32"/>
  <c r="I104" i="32"/>
  <c r="I111" i="39" s="1"/>
  <c r="H104" i="32"/>
  <c r="H111" i="39" s="1"/>
  <c r="B102" i="32"/>
  <c r="G96" i="32"/>
  <c r="F96" i="32"/>
  <c r="E96" i="32"/>
  <c r="D96" i="32"/>
  <c r="C96" i="32"/>
  <c r="I98" i="32"/>
  <c r="I105" i="39" s="1"/>
  <c r="H98" i="32"/>
  <c r="H105" i="39" s="1"/>
  <c r="B96" i="32"/>
  <c r="G90" i="32"/>
  <c r="G92" i="32" s="1"/>
  <c r="F90" i="32"/>
  <c r="F92" i="32" s="1"/>
  <c r="E90" i="32"/>
  <c r="E92" i="32" s="1"/>
  <c r="D90" i="32"/>
  <c r="D92" i="32" s="1"/>
  <c r="C90" i="32"/>
  <c r="C92" i="32" s="1"/>
  <c r="I99" i="39"/>
  <c r="H99" i="39"/>
  <c r="B90" i="32"/>
  <c r="B92" i="32" s="1"/>
  <c r="G84" i="32"/>
  <c r="F84" i="32"/>
  <c r="E84" i="32"/>
  <c r="D84" i="32"/>
  <c r="C84" i="32"/>
  <c r="B84" i="32"/>
  <c r="G148" i="32"/>
  <c r="F148" i="32"/>
  <c r="E148" i="32"/>
  <c r="D148" i="32"/>
  <c r="G78" i="32"/>
  <c r="G85" i="39" s="1"/>
  <c r="F78" i="32"/>
  <c r="F85" i="39" s="1"/>
  <c r="E78" i="32"/>
  <c r="E85" i="39" s="1"/>
  <c r="D78" i="32"/>
  <c r="D85" i="39" s="1"/>
  <c r="C85" i="39"/>
  <c r="B85" i="39"/>
  <c r="F133" i="32"/>
  <c r="C64" i="11"/>
  <c r="D127" i="32"/>
  <c r="C127" i="32"/>
  <c r="C60" i="11"/>
  <c r="F127" i="32"/>
  <c r="C133" i="32"/>
  <c r="C59" i="11"/>
  <c r="C61" i="11"/>
  <c r="D133" i="32"/>
  <c r="C62" i="11"/>
  <c r="E127" i="32"/>
  <c r="E133" i="32"/>
  <c r="C63" i="11"/>
  <c r="F126" i="39" l="1"/>
  <c r="F129" i="32"/>
  <c r="F127" i="39" s="1"/>
  <c r="E126" i="39"/>
  <c r="E129" i="32"/>
  <c r="E127" i="39" s="1"/>
  <c r="C126" i="39"/>
  <c r="C129" i="32"/>
  <c r="D126" i="39"/>
  <c r="D129" i="32"/>
  <c r="D127" i="39" s="1"/>
  <c r="G144" i="39"/>
  <c r="G149" i="32"/>
  <c r="G145" i="39" s="1"/>
  <c r="F144" i="39"/>
  <c r="F149" i="32"/>
  <c r="F145" i="39" s="1"/>
  <c r="E144" i="39"/>
  <c r="E149" i="32"/>
  <c r="E145" i="39" s="1"/>
  <c r="D144" i="39"/>
  <c r="D149" i="32"/>
  <c r="E135" i="32"/>
  <c r="E132" i="39" s="1"/>
  <c r="E131" i="39"/>
  <c r="C135" i="32"/>
  <c r="C131" i="39"/>
  <c r="F135" i="32"/>
  <c r="F132" i="39" s="1"/>
  <c r="F131" i="39"/>
  <c r="D135" i="32"/>
  <c r="D132" i="39" s="1"/>
  <c r="D131" i="39"/>
  <c r="F110" i="32"/>
  <c r="F117" i="39" s="1"/>
  <c r="F115" i="39"/>
  <c r="E110" i="32"/>
  <c r="E117" i="39" s="1"/>
  <c r="E115" i="39"/>
  <c r="C110" i="32"/>
  <c r="C117" i="39" s="1"/>
  <c r="C115" i="39"/>
  <c r="G110" i="32"/>
  <c r="G117" i="39" s="1"/>
  <c r="G115" i="39"/>
  <c r="B110" i="32"/>
  <c r="B115" i="39"/>
  <c r="D110" i="32"/>
  <c r="D117" i="39" s="1"/>
  <c r="D115" i="39"/>
  <c r="E104" i="32"/>
  <c r="E111" i="39" s="1"/>
  <c r="E109" i="39"/>
  <c r="F104" i="32"/>
  <c r="F111" i="39" s="1"/>
  <c r="F109" i="39"/>
  <c r="C104" i="32"/>
  <c r="C111" i="39" s="1"/>
  <c r="C109" i="39"/>
  <c r="G104" i="32"/>
  <c r="G111" i="39" s="1"/>
  <c r="G109" i="39"/>
  <c r="B104" i="32"/>
  <c r="B109" i="39"/>
  <c r="D104" i="32"/>
  <c r="D111" i="39" s="1"/>
  <c r="D109" i="39"/>
  <c r="E98" i="32"/>
  <c r="E105" i="39" s="1"/>
  <c r="E103" i="39"/>
  <c r="F98" i="32"/>
  <c r="F105" i="39" s="1"/>
  <c r="F103" i="39"/>
  <c r="C98" i="32"/>
  <c r="C105" i="39" s="1"/>
  <c r="C103" i="39"/>
  <c r="G98" i="32"/>
  <c r="G105" i="39" s="1"/>
  <c r="G103" i="39"/>
  <c r="B98" i="32"/>
  <c r="B103" i="39"/>
  <c r="D98" i="32"/>
  <c r="D105" i="39" s="1"/>
  <c r="D103" i="39"/>
  <c r="E99" i="39"/>
  <c r="E97" i="39"/>
  <c r="F99" i="39"/>
  <c r="F97" i="39"/>
  <c r="C99" i="39"/>
  <c r="C97" i="39"/>
  <c r="G99" i="39"/>
  <c r="G97" i="39"/>
  <c r="B97" i="39"/>
  <c r="D99" i="39"/>
  <c r="D97" i="39"/>
  <c r="F86" i="32"/>
  <c r="F93" i="39" s="1"/>
  <c r="F91" i="39"/>
  <c r="B86" i="32"/>
  <c r="B91" i="39"/>
  <c r="C86" i="32"/>
  <c r="C93" i="39" s="1"/>
  <c r="C91" i="39"/>
  <c r="G86" i="32"/>
  <c r="G93" i="39" s="1"/>
  <c r="G91" i="39"/>
  <c r="E86" i="32"/>
  <c r="E93" i="39" s="1"/>
  <c r="E91" i="39"/>
  <c r="D86" i="32"/>
  <c r="D93" i="39" s="1"/>
  <c r="D91" i="39"/>
  <c r="C80" i="32"/>
  <c r="C87" i="39" s="1"/>
  <c r="D80" i="32"/>
  <c r="D87" i="39" s="1"/>
  <c r="E80" i="32"/>
  <c r="E87" i="39" s="1"/>
  <c r="G80" i="32"/>
  <c r="G87" i="39" s="1"/>
  <c r="F80" i="32"/>
  <c r="F87" i="39" s="1"/>
  <c r="J163" i="32"/>
  <c r="N163" i="32" s="1"/>
  <c r="J161" i="32"/>
  <c r="I231" i="32" s="1"/>
  <c r="H231" i="32" s="1"/>
  <c r="H162" i="32"/>
  <c r="H157" i="39" s="1"/>
  <c r="J162" i="32"/>
  <c r="I232" i="32" s="1"/>
  <c r="H232" i="32" s="1"/>
  <c r="H160" i="32"/>
  <c r="H155" i="39" s="1"/>
  <c r="H159" i="39"/>
  <c r="H163" i="32"/>
  <c r="H158" i="39" s="1"/>
  <c r="H161" i="32"/>
  <c r="H156" i="39" s="1"/>
  <c r="B80" i="32"/>
  <c r="B64" i="11"/>
  <c r="L129" i="32" l="1"/>
  <c r="L149" i="32"/>
  <c r="I237" i="32" s="1"/>
  <c r="H237" i="32" s="1"/>
  <c r="D145" i="39"/>
  <c r="O145" i="39" s="1"/>
  <c r="L163" i="32"/>
  <c r="C132" i="39"/>
  <c r="O132" i="39" s="1"/>
  <c r="L135" i="32"/>
  <c r="L80" i="32"/>
  <c r="B117" i="39"/>
  <c r="O117" i="39" s="1"/>
  <c r="L110" i="32"/>
  <c r="B111" i="39"/>
  <c r="O111" i="39" s="1"/>
  <c r="L104" i="32"/>
  <c r="B105" i="39"/>
  <c r="O105" i="39" s="1"/>
  <c r="L98" i="32"/>
  <c r="B99" i="39"/>
  <c r="O99" i="39" s="1"/>
  <c r="L92" i="32"/>
  <c r="B93" i="39"/>
  <c r="O93" i="39" s="1"/>
  <c r="L86" i="32"/>
  <c r="L72" i="32"/>
  <c r="L121" i="32"/>
  <c r="C127" i="39"/>
  <c r="O127" i="39" s="1"/>
  <c r="B87" i="39"/>
  <c r="O87" i="39" s="1"/>
  <c r="J159" i="39"/>
  <c r="I358" i="39" s="1"/>
  <c r="H358" i="39" s="1"/>
  <c r="L160" i="32"/>
  <c r="J155" i="39"/>
  <c r="J158" i="39"/>
  <c r="I357" i="39" s="1"/>
  <c r="H357" i="39" s="1"/>
  <c r="L162" i="32"/>
  <c r="J157" i="39"/>
  <c r="I356" i="39" s="1"/>
  <c r="H356" i="39" s="1"/>
  <c r="L161" i="32"/>
  <c r="J156" i="39"/>
  <c r="I355" i="39" s="1"/>
  <c r="H355" i="39" s="1"/>
  <c r="K318" i="32"/>
  <c r="K440" i="39" s="1"/>
  <c r="L16" i="21"/>
  <c r="J16" i="21"/>
  <c r="H16" i="21"/>
  <c r="F16" i="21"/>
  <c r="D16" i="21"/>
  <c r="B16" i="21"/>
  <c r="I230" i="32" l="1"/>
  <c r="H230" i="32" s="1"/>
  <c r="O155" i="39"/>
  <c r="I354" i="39"/>
  <c r="H354" i="39" s="1"/>
  <c r="I348" i="39"/>
  <c r="H348" i="39" s="1"/>
  <c r="I347" i="39"/>
  <c r="H347" i="39" s="1"/>
  <c r="K159" i="39"/>
  <c r="O159" i="39"/>
  <c r="K156" i="39"/>
  <c r="O156" i="39"/>
  <c r="K157" i="39"/>
  <c r="O157" i="39"/>
  <c r="K158" i="39"/>
  <c r="O158" i="39"/>
  <c r="I228" i="32"/>
  <c r="H228" i="32" s="1"/>
  <c r="M121" i="39"/>
  <c r="M80" i="39"/>
  <c r="K155" i="39"/>
  <c r="K307" i="32"/>
  <c r="K427" i="39" s="1"/>
  <c r="G61" i="11"/>
  <c r="K345" i="32"/>
  <c r="K464" i="39" s="1"/>
  <c r="D17" i="21"/>
  <c r="K430" i="39"/>
  <c r="K431" i="39" s="1"/>
  <c r="L80" i="39"/>
  <c r="L121" i="39"/>
  <c r="K310" i="32"/>
  <c r="K319" i="32"/>
  <c r="K441" i="39"/>
  <c r="K343" i="32"/>
  <c r="K462" i="39" s="1"/>
  <c r="K339" i="32"/>
  <c r="K458" i="39" s="1"/>
  <c r="K341" i="32"/>
  <c r="K460" i="39" s="1"/>
  <c r="F17" i="21"/>
  <c r="J17" i="21"/>
  <c r="H17" i="21"/>
  <c r="L17" i="21"/>
  <c r="A345" i="32" l="1"/>
  <c r="A464" i="39" s="1"/>
  <c r="K308" i="32"/>
  <c r="K309" i="32" s="1"/>
  <c r="K432" i="39"/>
  <c r="K433" i="39" s="1"/>
  <c r="K465" i="39"/>
  <c r="K346" i="32"/>
  <c r="K344" i="32"/>
  <c r="K463" i="39"/>
  <c r="K342" i="32"/>
  <c r="K461" i="39"/>
  <c r="K340" i="32"/>
  <c r="K311" i="32"/>
  <c r="K459" i="39" l="1"/>
  <c r="K428" i="39"/>
  <c r="G119" i="11"/>
  <c r="H157" i="32" l="1"/>
  <c r="H152" i="39" s="1"/>
  <c r="J157" i="32" l="1"/>
  <c r="I226" i="32" s="1"/>
  <c r="H226" i="32" s="1"/>
  <c r="E82" i="26"/>
  <c r="E83" i="26" s="1"/>
  <c r="F82" i="26"/>
  <c r="F83" i="26" s="1"/>
  <c r="H82" i="26"/>
  <c r="H83" i="26" s="1"/>
  <c r="B70" i="26"/>
  <c r="D72" i="26"/>
  <c r="F70" i="26"/>
  <c r="F72" i="26" s="1"/>
  <c r="C82" i="26"/>
  <c r="C83" i="26" s="1"/>
  <c r="D82" i="26"/>
  <c r="D83" i="26" s="1"/>
  <c r="G70" i="26"/>
  <c r="G72" i="26" s="1"/>
  <c r="E70" i="26"/>
  <c r="E72" i="26" s="1"/>
  <c r="G82" i="26"/>
  <c r="G83" i="26" s="1"/>
  <c r="I82" i="26"/>
  <c r="I83" i="26" s="1"/>
  <c r="C70" i="26"/>
  <c r="C72" i="26" s="1"/>
  <c r="H70" i="26"/>
  <c r="H72" i="26" s="1"/>
  <c r="L83" i="26" l="1"/>
  <c r="J152" i="39"/>
  <c r="K331" i="32"/>
  <c r="K451" i="39" s="1"/>
  <c r="K452" i="39" s="1"/>
  <c r="L157" i="32"/>
  <c r="K82" i="26"/>
  <c r="B72" i="26"/>
  <c r="C58" i="11"/>
  <c r="K152" i="39" l="1"/>
  <c r="I351" i="39"/>
  <c r="H351" i="39" s="1"/>
  <c r="O152" i="39"/>
  <c r="I160" i="26"/>
  <c r="H160" i="26" s="1"/>
  <c r="K225" i="26"/>
  <c r="K224" i="26" s="1"/>
  <c r="L72" i="26"/>
  <c r="I159" i="26" s="1"/>
  <c r="H159" i="26" s="1"/>
  <c r="K332" i="32"/>
  <c r="K83" i="26"/>
  <c r="K81" i="26"/>
  <c r="K90" i="26" s="1"/>
  <c r="K190" i="26" s="1"/>
  <c r="K188" i="26"/>
  <c r="I146" i="32"/>
  <c r="H146" i="32"/>
  <c r="E146" i="32"/>
  <c r="C146" i="32"/>
  <c r="C147" i="32" s="1"/>
  <c r="D146" i="32"/>
  <c r="F146" i="32"/>
  <c r="G146" i="32"/>
  <c r="B63" i="11"/>
  <c r="H198" i="32"/>
  <c r="H163" i="39" s="1"/>
  <c r="B60" i="11"/>
  <c r="B58" i="11"/>
  <c r="B61" i="11"/>
  <c r="B59" i="11"/>
  <c r="B62" i="11"/>
  <c r="K226" i="26" l="1"/>
  <c r="K227" i="26" s="1"/>
  <c r="K228" i="26" s="1"/>
  <c r="K229" i="26" s="1"/>
  <c r="K230" i="26" s="1"/>
  <c r="G59" i="11"/>
  <c r="K191" i="26"/>
  <c r="K89" i="26"/>
  <c r="I142" i="39"/>
  <c r="I147" i="32"/>
  <c r="I143" i="39" s="1"/>
  <c r="H142" i="39"/>
  <c r="H147" i="32"/>
  <c r="H143" i="39" s="1"/>
  <c r="G142" i="39"/>
  <c r="G147" i="32"/>
  <c r="G143" i="39" s="1"/>
  <c r="F142" i="39"/>
  <c r="F147" i="32"/>
  <c r="F143" i="39" s="1"/>
  <c r="E142" i="39"/>
  <c r="E147" i="32"/>
  <c r="E143" i="39" s="1"/>
  <c r="D142" i="39"/>
  <c r="D147" i="32"/>
  <c r="D143" i="39" s="1"/>
  <c r="C142" i="39"/>
  <c r="K189" i="26"/>
  <c r="J198" i="32"/>
  <c r="L198" i="32" s="1"/>
  <c r="L147" i="32" l="1"/>
  <c r="I236" i="32" s="1"/>
  <c r="H236" i="32" s="1"/>
  <c r="J163" i="39"/>
  <c r="I362" i="39" s="1"/>
  <c r="H362" i="39" s="1"/>
  <c r="J165" i="32"/>
  <c r="K315" i="32"/>
  <c r="K312" i="32" s="1"/>
  <c r="C25" i="11"/>
  <c r="K218" i="26"/>
  <c r="K219" i="26" s="1"/>
  <c r="C143" i="39"/>
  <c r="H165" i="32"/>
  <c r="H160" i="39" s="1"/>
  <c r="K163" i="39" l="1"/>
  <c r="O163" i="39"/>
  <c r="L143" i="39"/>
  <c r="O143" i="39"/>
  <c r="I349" i="39" s="1"/>
  <c r="H349" i="39" s="1"/>
  <c r="K165" i="32"/>
  <c r="N165" i="32"/>
  <c r="I233" i="32" s="1"/>
  <c r="H233" i="32" s="1"/>
  <c r="L165" i="32"/>
  <c r="K347" i="32"/>
  <c r="K466" i="39" s="1"/>
  <c r="K467" i="39" s="1"/>
  <c r="K468" i="39" s="1"/>
  <c r="K220" i="26"/>
  <c r="K221" i="26" s="1"/>
  <c r="K434" i="39"/>
  <c r="K313" i="32"/>
  <c r="K314" i="32" s="1"/>
  <c r="K437" i="39"/>
  <c r="K438" i="39" s="1"/>
  <c r="K439" i="39" s="1"/>
  <c r="K316" i="32"/>
  <c r="K317" i="32" s="1"/>
  <c r="J160" i="39"/>
  <c r="K435" i="39" l="1"/>
  <c r="K436" i="39" s="1"/>
  <c r="O160" i="39"/>
  <c r="I359" i="39"/>
  <c r="H359" i="39" s="1"/>
  <c r="K348" i="32"/>
  <c r="K349" i="32" s="1"/>
  <c r="K160" i="39"/>
  <c r="K534" i="39" l="1"/>
  <c r="K283" i="32"/>
  <c r="G98" i="30" l="1"/>
  <c r="G97" i="30"/>
  <c r="G95" i="30"/>
  <c r="G96" i="30"/>
  <c r="K170" i="43" l="1"/>
  <c r="K171" i="43" s="1"/>
  <c r="K165" i="43"/>
  <c r="K166" i="43" s="1"/>
  <c r="K167" i="43" s="1"/>
  <c r="K168" i="43" s="1"/>
  <c r="B77" i="21" l="1"/>
  <c r="D65" i="21"/>
  <c r="B65" i="21" s="1"/>
  <c r="J117" i="30" s="1"/>
  <c r="K222" i="30" s="1"/>
  <c r="K223" i="30" s="1"/>
  <c r="K224" i="30" s="1"/>
  <c r="B104" i="21"/>
  <c r="B105" i="21" s="1"/>
  <c r="I83" i="33" l="1"/>
  <c r="M156" i="33" s="1"/>
  <c r="A157" i="33" s="1"/>
  <c r="D134" i="16"/>
  <c r="B127" i="16" s="1"/>
  <c r="B128" i="16" s="1"/>
  <c r="F65" i="21"/>
  <c r="F134" i="16" s="1"/>
  <c r="H117" i="30"/>
  <c r="G83" i="33"/>
  <c r="C128" i="16" l="1"/>
  <c r="D99" i="30" l="1"/>
  <c r="L99" i="30" s="1"/>
  <c r="I167" i="30" s="1"/>
  <c r="H167" i="30" s="1"/>
  <c r="Q122" i="16"/>
  <c r="Q129" i="16" s="1"/>
  <c r="K102" i="30" s="1"/>
  <c r="B78" i="21"/>
  <c r="D96" i="30" l="1"/>
  <c r="D98" i="30"/>
  <c r="D97" i="30"/>
  <c r="K94" i="30"/>
  <c r="K124" i="30" s="1"/>
  <c r="K125" i="30" s="1"/>
  <c r="K204" i="30"/>
  <c r="K205" i="30" s="1"/>
  <c r="K226" i="30" s="1"/>
  <c r="D95" i="30"/>
  <c r="J166" i="32"/>
  <c r="N166" i="32" s="1"/>
  <c r="I242" i="32" s="1"/>
  <c r="H242" i="32" s="1"/>
  <c r="K231" i="30" l="1"/>
  <c r="K227" i="30"/>
  <c r="K228" i="30"/>
  <c r="K230" i="30" s="1"/>
  <c r="K229" i="30" s="1"/>
  <c r="K95" i="30"/>
  <c r="K96" i="30" s="1"/>
  <c r="K97" i="30" s="1"/>
  <c r="K98" i="30" s="1"/>
  <c r="K99" i="30" s="1"/>
  <c r="K100" i="30" s="1"/>
  <c r="K101" i="30" s="1"/>
  <c r="L166" i="32"/>
  <c r="K350" i="32"/>
  <c r="K351" i="32" s="1"/>
  <c r="H166" i="32"/>
  <c r="K232" i="30" l="1"/>
  <c r="K233" i="30" s="1"/>
  <c r="K234" i="30" s="1"/>
  <c r="K235" i="30" s="1"/>
  <c r="K236" i="30" s="1"/>
  <c r="K237" i="30" s="1"/>
  <c r="K64" i="55"/>
  <c r="H199" i="32"/>
  <c r="J199" i="32" l="1"/>
  <c r="L199" i="32" s="1"/>
  <c r="K371" i="32" s="1"/>
  <c r="K480" i="39" s="1"/>
  <c r="K482" i="39" s="1"/>
  <c r="H164" i="39"/>
  <c r="I234" i="32" l="1"/>
  <c r="H234" i="32" s="1"/>
  <c r="I235" i="32"/>
  <c r="H235" i="32" s="1"/>
  <c r="K380" i="32"/>
  <c r="K381" i="32" s="1"/>
  <c r="K382" i="32" s="1"/>
  <c r="K383" i="32" s="1"/>
  <c r="K384" i="32" s="1"/>
  <c r="K385" i="32" s="1"/>
  <c r="K320" i="32"/>
  <c r="K321" i="32" s="1"/>
  <c r="J164" i="39"/>
  <c r="M233" i="39"/>
  <c r="N228" i="39" s="1"/>
  <c r="K378" i="32" l="1"/>
  <c r="K376" i="32"/>
  <c r="K377" i="32"/>
  <c r="K375" i="32"/>
  <c r="O164" i="39"/>
  <c r="I363" i="39"/>
  <c r="H363" i="39" s="1"/>
  <c r="K372" i="32"/>
  <c r="K373" i="32" s="1"/>
  <c r="K374" i="32" s="1"/>
  <c r="K164" i="39"/>
  <c r="K442" i="39"/>
  <c r="K443" i="39" s="1"/>
  <c r="B135" i="17"/>
  <c r="J250" i="39" s="1"/>
  <c r="P250" i="39" s="1"/>
  <c r="I380" i="39" s="1"/>
  <c r="H380" i="39" s="1"/>
  <c r="B550" i="17"/>
  <c r="F233" i="39" s="1"/>
  <c r="K485" i="39" l="1"/>
  <c r="K484" i="39" s="1"/>
  <c r="K483" i="39"/>
  <c r="K481" i="39"/>
  <c r="B562" i="17"/>
  <c r="J233" i="39" s="1"/>
  <c r="K250" i="39"/>
  <c r="D44" i="14"/>
  <c r="L228" i="39"/>
  <c r="K505" i="39" s="1"/>
  <c r="L250" i="39"/>
  <c r="K521" i="39" s="1"/>
  <c r="K522" i="39" s="1"/>
  <c r="M228" i="39" l="1"/>
  <c r="K508" i="39" s="1"/>
  <c r="K509" i="39" s="1"/>
  <c r="K510" i="39" s="1"/>
  <c r="P233" i="39"/>
  <c r="I375" i="39" s="1"/>
  <c r="H375" i="39" s="1"/>
  <c r="K506" i="39"/>
  <c r="K507" i="39" s="1"/>
  <c r="J256" i="39"/>
  <c r="P256" i="39" s="1"/>
  <c r="I381" i="39" l="1"/>
  <c r="H381" i="39" s="1"/>
  <c r="K256" i="39"/>
  <c r="K243" i="39" s="1"/>
  <c r="L256" i="39"/>
  <c r="K523" i="39" s="1"/>
  <c r="K524" i="39" s="1"/>
  <c r="L243" i="39"/>
  <c r="L150" i="39"/>
  <c r="K535" i="39" l="1"/>
  <c r="K536" i="39" s="1"/>
  <c r="K537" i="39" s="1"/>
  <c r="K538" i="39" s="1"/>
  <c r="K539" i="39" s="1"/>
  <c r="K540" i="39" s="1"/>
  <c r="K291" i="39"/>
  <c r="K242" i="39"/>
  <c r="K241" i="39" s="1"/>
  <c r="K529" i="39"/>
  <c r="K530" i="39" s="1"/>
  <c r="K531" i="39" l="1"/>
  <c r="K532" i="39" s="1"/>
  <c r="K1061" i="57" l="1"/>
  <c r="K1063" i="57"/>
  <c r="K1065" i="57" l="1"/>
  <c r="K210" i="39"/>
  <c r="K190" i="39"/>
  <c r="K174" i="39" s="1"/>
  <c r="A581" i="52"/>
  <c r="K597" i="52"/>
  <c r="K598" i="52" s="1"/>
  <c r="K582" i="52"/>
  <c r="K587" i="52" s="1"/>
  <c r="K588" i="52" s="1"/>
  <c r="K390" i="39" l="1"/>
  <c r="A617" i="52" l="1"/>
  <c r="A640" i="52"/>
  <c r="I148" i="64"/>
</calcChain>
</file>

<file path=xl/connections.xml><?xml version="1.0" encoding="utf-8"?>
<connections xmlns="http://schemas.openxmlformats.org/spreadsheetml/2006/main">
  <connection id="1" name="Consulta de mysql" type="1" refreshedVersion="5" background="1" refreshOnLoad="1" saveData="1">
    <dbPr connection="DSN=excel;UID=excel;DESCRIPTION=excel;SERVER=10.1.1.4;DATABASE=Excel;PORT=3306;" command="SELECT *_x000d__x000a_FROM Excel.EngArquivoOS EngArquivoOS_0_x000d__x000a_ORDER BY EngArquivoOS_0.CodigoUsual, EngArquivoOS_0.idOrdemServico"/>
  </connection>
</connections>
</file>

<file path=xl/sharedStrings.xml><?xml version="1.0" encoding="utf-8"?>
<sst xmlns="http://schemas.openxmlformats.org/spreadsheetml/2006/main" count="9905" uniqueCount="2824">
  <si>
    <t>kVp</t>
  </si>
  <si>
    <t>mGy</t>
  </si>
  <si>
    <t>mGy/s</t>
  </si>
  <si>
    <t>s</t>
  </si>
  <si>
    <t>Temporizador e linearidade</t>
  </si>
  <si>
    <t>disparo</t>
  </si>
  <si>
    <t>Reprodutibilidade</t>
  </si>
  <si>
    <t>Tensão de pico</t>
  </si>
  <si>
    <t>mm Al</t>
  </si>
  <si>
    <t>Tamanho do campo</t>
  </si>
  <si>
    <t>%</t>
  </si>
  <si>
    <t>Rendimento do tubo</t>
  </si>
  <si>
    <t>cm</t>
  </si>
  <si>
    <t>mA</t>
  </si>
  <si>
    <t>Corrente</t>
  </si>
  <si>
    <t>HVL</t>
  </si>
  <si>
    <t>kV</t>
  </si>
  <si>
    <t>kV selecionado</t>
  </si>
  <si>
    <t>kVp referência</t>
  </si>
  <si>
    <r>
      <t>kVp</t>
    </r>
    <r>
      <rPr>
        <b/>
        <sz val="8"/>
        <color theme="1"/>
        <rFont val="Calibri"/>
        <family val="2"/>
        <scheme val="minor"/>
      </rPr>
      <t xml:space="preserve"> (pref. 80 ou 60)</t>
    </r>
  </si>
  <si>
    <t>Foco:</t>
  </si>
  <si>
    <t>(F ou G)</t>
  </si>
  <si>
    <t>exatidão</t>
  </si>
  <si>
    <t>foco grosso</t>
  </si>
  <si>
    <t>Rendimento do tubo e camada semiredutora</t>
  </si>
  <si>
    <t>retificação</t>
  </si>
  <si>
    <t>(0 = mono OU 1 = alta freq)</t>
  </si>
  <si>
    <t>corrente avaliada</t>
  </si>
  <si>
    <r>
      <t>mGy/mAmin . m</t>
    </r>
    <r>
      <rPr>
        <vertAlign val="superscript"/>
        <sz val="11"/>
        <color theme="1"/>
        <rFont val="Calibri"/>
        <family val="2"/>
        <scheme val="minor"/>
      </rPr>
      <t>2</t>
    </r>
  </si>
  <si>
    <t>rendimento</t>
  </si>
  <si>
    <r>
      <t>mGy/mAmin . m</t>
    </r>
    <r>
      <rPr>
        <b/>
        <vertAlign val="superscript"/>
        <sz val="11"/>
        <color theme="1"/>
        <rFont val="Calibri"/>
        <family val="2"/>
        <scheme val="minor"/>
      </rPr>
      <t>2</t>
    </r>
  </si>
  <si>
    <t>distância entre pontos</t>
  </si>
  <si>
    <t>mm</t>
  </si>
  <si>
    <t/>
  </si>
  <si>
    <t>Alinhamento do eixo central</t>
  </si>
  <si>
    <t>o</t>
  </si>
  <si>
    <t>Exatidão do sistema de colimação</t>
  </si>
  <si>
    <t>Grupo</t>
  </si>
  <si>
    <t>lp/mm</t>
  </si>
  <si>
    <t>diâmetro (mm)</t>
  </si>
  <si>
    <t>pto focal nominal</t>
  </si>
  <si>
    <t>pto focal verdadeiro</t>
  </si>
  <si>
    <t>2,60 x 3,64</t>
  </si>
  <si>
    <t>2,34 x 3,28</t>
  </si>
  <si>
    <t>1,95 x 2,73</t>
  </si>
  <si>
    <t>1,50 x 2,18</t>
  </si>
  <si>
    <t>1,40 x 1,96</t>
  </si>
  <si>
    <t>1,12 x 1,57</t>
  </si>
  <si>
    <t>t ou mAs selecionado</t>
  </si>
  <si>
    <t>Linearidade @ FF</t>
  </si>
  <si>
    <t>medido</t>
  </si>
  <si>
    <t>calculado</t>
  </si>
  <si>
    <t>Corrente:</t>
  </si>
  <si>
    <t>D.F.D.</t>
  </si>
  <si>
    <t>Linearidade @ FG</t>
  </si>
  <si>
    <t>ponto focal raios X</t>
  </si>
  <si>
    <t>CT central</t>
  </si>
  <si>
    <r>
      <rPr>
        <sz val="11"/>
        <color theme="1"/>
        <rFont val="Symbol"/>
        <family val="1"/>
        <charset val="2"/>
      </rPr>
      <t>s</t>
    </r>
    <r>
      <rPr>
        <sz val="11"/>
        <color theme="1"/>
        <rFont val="Calibri"/>
        <family val="2"/>
        <scheme val="minor"/>
      </rPr>
      <t xml:space="preserve"> central</t>
    </r>
  </si>
  <si>
    <t>CT 3h</t>
  </si>
  <si>
    <t>CT 6h</t>
  </si>
  <si>
    <t>CT 9h</t>
  </si>
  <si>
    <t>CT 12h</t>
  </si>
  <si>
    <t>Uniformidade</t>
  </si>
  <si>
    <t>MODO MANUAL</t>
  </si>
  <si>
    <t>MODO AUTOMÁTICO</t>
  </si>
  <si>
    <t>kV indicado</t>
  </si>
  <si>
    <t>fluoroscopia</t>
  </si>
  <si>
    <t>Placa A</t>
  </si>
  <si>
    <t>Placa B</t>
  </si>
  <si>
    <t>grupo</t>
  </si>
  <si>
    <t>discos</t>
  </si>
  <si>
    <t>contraste</t>
  </si>
  <si>
    <t>campo de 25cm</t>
  </si>
  <si>
    <t>Alinhamento de grade</t>
  </si>
  <si>
    <t>mesa</t>
  </si>
  <si>
    <t>bucky</t>
  </si>
  <si>
    <t>Exame</t>
  </si>
  <si>
    <t>Espessura</t>
  </si>
  <si>
    <t>Dose medida</t>
  </si>
  <si>
    <t>(mGy)</t>
  </si>
  <si>
    <t>(cm)</t>
  </si>
  <si>
    <t>Coluna Lombar</t>
  </si>
  <si>
    <t>Abdômen</t>
  </si>
  <si>
    <t>Crânio</t>
  </si>
  <si>
    <t>D.E.P.</t>
  </si>
  <si>
    <t>Padrão</t>
  </si>
  <si>
    <t>Lote:</t>
  </si>
  <si>
    <t>LiF 1</t>
  </si>
  <si>
    <t>LiF 2</t>
  </si>
  <si>
    <t>nome</t>
  </si>
  <si>
    <t>Dose (mGy):</t>
  </si>
  <si>
    <t>D radiação</t>
  </si>
  <si>
    <t>Mamografia</t>
  </si>
  <si>
    <t>Odontológico</t>
  </si>
  <si>
    <t>Convencional</t>
  </si>
  <si>
    <t>Fontes</t>
  </si>
  <si>
    <t>D radiação:</t>
  </si>
  <si>
    <t>Fator de calibração do luxímetro:</t>
  </si>
  <si>
    <t>Lux</t>
  </si>
  <si>
    <t>Resolução</t>
  </si>
  <si>
    <t>nominal</t>
  </si>
  <si>
    <t>medida</t>
  </si>
  <si>
    <t>distância (cm)</t>
  </si>
  <si>
    <t>Incremento</t>
  </si>
  <si>
    <t>total de cortes</t>
  </si>
  <si>
    <t>dose</t>
  </si>
  <si>
    <t>DMCM</t>
  </si>
  <si>
    <t>CT Unfors</t>
  </si>
  <si>
    <t>campo de 15cm</t>
  </si>
  <si>
    <t>Resolução espacial de alto contraste</t>
  </si>
  <si>
    <t>Corte</t>
  </si>
  <si>
    <t>Colimação</t>
  </si>
  <si>
    <t>CQ</t>
  </si>
  <si>
    <t>LAUDO TÉCNICO DE DESEMPENHO DE EQUIPAMENTO DE RAIOS X</t>
  </si>
  <si>
    <t>CONTROLE DE QUALIDADE</t>
  </si>
  <si>
    <t>Contratante:</t>
  </si>
  <si>
    <t>1. INTRODUÇÃO:</t>
  </si>
  <si>
    <t>2. OBJETIVOS:</t>
  </si>
  <si>
    <t>3. EQUIPAMENTO INSPECIONADO:</t>
  </si>
  <si>
    <t>Marca</t>
  </si>
  <si>
    <t>Modelo</t>
  </si>
  <si>
    <t>Série</t>
  </si>
  <si>
    <t>Nº ANVISA</t>
  </si>
  <si>
    <t>Gerador</t>
  </si>
  <si>
    <t>Tipo de equipamento eletromédico:</t>
  </si>
  <si>
    <t>4. REQUISITOS DE SEGURANÇA VERIFICADOS:</t>
  </si>
  <si>
    <t>DADOS DO EQUIPAMENTO</t>
  </si>
  <si>
    <t>Sinal sonoro indicativo de emissão de raios X</t>
  </si>
  <si>
    <t>Sinal luminoso indicativo de emissão de raios X</t>
  </si>
  <si>
    <t>Requisito</t>
  </si>
  <si>
    <t>Sistema de disparo com retardo</t>
  </si>
  <si>
    <t>O fio tem comprimento para acionamento a 2 metros?</t>
  </si>
  <si>
    <t>Tem sinal luminoso indicativo de emissão de raios X?</t>
  </si>
  <si>
    <t>Tem sinal sonoro indicativo de emissão de raios X?</t>
  </si>
  <si>
    <t>Disparo com retardo</t>
  </si>
  <si>
    <t>ativado</t>
  </si>
  <si>
    <t>desativado</t>
  </si>
  <si>
    <t>não tem</t>
  </si>
  <si>
    <t>5. TESTES REALIZADOS:</t>
  </si>
  <si>
    <r>
      <rPr>
        <b/>
        <sz val="8"/>
        <color theme="1"/>
        <rFont val="Arial"/>
        <family val="2"/>
      </rPr>
      <t>*</t>
    </r>
    <r>
      <rPr>
        <sz val="8"/>
        <color theme="1"/>
        <rFont val="Arial"/>
        <family val="2"/>
      </rPr>
      <t xml:space="preserve"> informação não encontrada no equipamento</t>
    </r>
  </si>
  <si>
    <t>Selecionado (s)</t>
  </si>
  <si>
    <t>Medido (s)</t>
  </si>
  <si>
    <t>NA</t>
  </si>
  <si>
    <t>Distância foco-detector utilizada</t>
  </si>
  <si>
    <t>Demais testes:</t>
  </si>
  <si>
    <t>Exatidão do indicador do tempo de exposição:</t>
  </si>
  <si>
    <t>Teste</t>
  </si>
  <si>
    <t>Reprodutibilidade da taxa de kerma no ar</t>
  </si>
  <si>
    <t>Fuga pelo cabeçote</t>
  </si>
  <si>
    <t>maior medida à 1 metro</t>
  </si>
  <si>
    <t>tempo de medição</t>
  </si>
  <si>
    <r>
      <rPr>
        <sz val="11"/>
        <color theme="1"/>
        <rFont val="Calibri"/>
        <family val="2"/>
      </rPr>
      <t>µ</t>
    </r>
    <r>
      <rPr>
        <sz val="11"/>
        <color theme="1"/>
        <rFont val="Calibri"/>
        <family val="2"/>
        <scheme val="minor"/>
      </rPr>
      <t>Sv/h</t>
    </r>
  </si>
  <si>
    <t>Fator da câmara</t>
  </si>
  <si>
    <t>mSv/h à 1 metro</t>
  </si>
  <si>
    <t>HVL mín.</t>
  </si>
  <si>
    <t xml:space="preserve">               Sistema de dosimetria pessoal certificado pelo IRD/CNEN sob o código 010.02TL.</t>
  </si>
  <si>
    <t>em funcionamento no(a)</t>
  </si>
  <si>
    <t>Instrumentação utilizada:</t>
  </si>
  <si>
    <t>Unfors</t>
  </si>
  <si>
    <t>Fluke</t>
  </si>
  <si>
    <t>Requisitos</t>
  </si>
  <si>
    <t>Tipo de colimador</t>
  </si>
  <si>
    <t>retangular</t>
  </si>
  <si>
    <t>não retangular</t>
  </si>
  <si>
    <t>Exatidão do indicador da tensão do tubo (kVp):</t>
  </si>
  <si>
    <t>outras</t>
  </si>
  <si>
    <r>
      <t xml:space="preserve">até 5 </t>
    </r>
    <r>
      <rPr>
        <sz val="11"/>
        <color theme="1"/>
        <rFont val="Calibri"/>
        <family val="2"/>
      </rPr>
      <t>µ</t>
    </r>
    <r>
      <rPr>
        <sz val="11"/>
        <color theme="1"/>
        <rFont val="Calibri"/>
        <family val="2"/>
        <scheme val="minor"/>
      </rPr>
      <t>Sv/h</t>
    </r>
  </si>
  <si>
    <r>
      <t xml:space="preserve">até 50 </t>
    </r>
    <r>
      <rPr>
        <sz val="11"/>
        <color theme="1"/>
        <rFont val="Calibri"/>
        <family val="2"/>
      </rPr>
      <t>µ</t>
    </r>
    <r>
      <rPr>
        <sz val="11"/>
        <color theme="1"/>
        <rFont val="Calibri"/>
        <family val="2"/>
        <scheme val="minor"/>
      </rPr>
      <t>Sv/h</t>
    </r>
  </si>
  <si>
    <t>O campo excede o receptor de imagem?</t>
  </si>
  <si>
    <t>Intraoral</t>
  </si>
  <si>
    <t>Extraoral</t>
  </si>
  <si>
    <t>Raios X convencional</t>
  </si>
  <si>
    <t>Raios X com fluoroscopia</t>
  </si>
  <si>
    <t>Fluoroscopia</t>
  </si>
  <si>
    <t>Tomografia computadorizada</t>
  </si>
  <si>
    <t>CQD</t>
  </si>
  <si>
    <t>3. EQUIPAMENTO DE RAIOS X:</t>
  </si>
  <si>
    <t>Tipo de exame</t>
  </si>
  <si>
    <t>DEP (mGy)</t>
  </si>
  <si>
    <t>ESTIMATIVA DA DOSE DE ENTRADA NA PELE DO PACIENTE</t>
  </si>
  <si>
    <t>6. CONCLUSÕES:</t>
  </si>
  <si>
    <t>Exatidão, uniformidade e ruído dos números de CT:</t>
  </si>
  <si>
    <t>Exatidão</t>
  </si>
  <si>
    <t>Conj.</t>
  </si>
  <si>
    <t>pl/cm</t>
  </si>
  <si>
    <t>Nominal</t>
  </si>
  <si>
    <t>Medida</t>
  </si>
  <si>
    <t>Tem feixe de luz interno?</t>
  </si>
  <si>
    <t>Tem feixe de luz externo?</t>
  </si>
  <si>
    <t>Dist. entre feixe interno e clipe:</t>
  </si>
  <si>
    <t>Dist. centro do feixe e clipe:</t>
  </si>
  <si>
    <t>6. INSTRUMENTAÇÃO UTILIZADA:</t>
  </si>
  <si>
    <t>7. COMENTÁRIOS E RECOMENDAÇÕES:</t>
  </si>
  <si>
    <t>8. CONCLUSÕES:</t>
  </si>
  <si>
    <t>Dose média em cortes múltiplos</t>
  </si>
  <si>
    <t>Retificação</t>
  </si>
  <si>
    <t>---</t>
  </si>
  <si>
    <t>Teórico Eduardo</t>
  </si>
  <si>
    <t>posto</t>
  </si>
  <si>
    <t>mAs</t>
  </si>
  <si>
    <r>
      <t>F</t>
    </r>
    <r>
      <rPr>
        <b/>
        <vertAlign val="subscript"/>
        <sz val="11"/>
        <color theme="1"/>
        <rFont val="Calibri"/>
        <family val="2"/>
        <scheme val="minor"/>
      </rPr>
      <t>esp</t>
    </r>
  </si>
  <si>
    <t>Sel. (kV)</t>
  </si>
  <si>
    <t>Med. (kV)</t>
  </si>
  <si>
    <t>foco</t>
  </si>
  <si>
    <t>min.</t>
  </si>
  <si>
    <t>máx.</t>
  </si>
  <si>
    <t>Atende Portaria:</t>
  </si>
  <si>
    <t>mono</t>
  </si>
  <si>
    <t>tri</t>
  </si>
  <si>
    <t>Alinhamento do eixo central do feixe de raios X</t>
  </si>
  <si>
    <t>Reprodutibilidade da alta tensão do tubo</t>
  </si>
  <si>
    <t xml:space="preserve">                Sugere-se melhorar a movimentação mecânica do cabeçote.</t>
  </si>
  <si>
    <t xml:space="preserve">                Sugere-se ajustar os freios dos movimentos mecânicos do cabeçote.</t>
  </si>
  <si>
    <t xml:space="preserve">                O sistema de colimação deve ser substituído por um com diafragma regulável e com localização luminosa.</t>
  </si>
  <si>
    <t xml:space="preserve">                O cabo disparador deve ter comprimento aumentado para dois metros.</t>
  </si>
  <si>
    <t>Coluna Lombar AP</t>
  </si>
  <si>
    <t>Coluna Lombar LAT</t>
  </si>
  <si>
    <t>Coluna Lombar JLS</t>
  </si>
  <si>
    <t>Abdômen AP</t>
  </si>
  <si>
    <t>Urografia AP</t>
  </si>
  <si>
    <t>Colecistografia AP</t>
  </si>
  <si>
    <t>Pelve AP</t>
  </si>
  <si>
    <t>Bacia AP</t>
  </si>
  <si>
    <t>Tórax PA</t>
  </si>
  <si>
    <t>Tórax LAT</t>
  </si>
  <si>
    <t>Coluna Torácica AP</t>
  </si>
  <si>
    <t>Coluna Torácica LAT</t>
  </si>
  <si>
    <t>Crânio AP</t>
  </si>
  <si>
    <t>Crânio LAT</t>
  </si>
  <si>
    <t>dfri (cm)</t>
  </si>
  <si>
    <t>G</t>
  </si>
  <si>
    <t xml:space="preserve">                 Sistema de dosimetria pessoal certificado pelo IRD/CNEN sob o código 010.02TL.</t>
  </si>
  <si>
    <t>Arco C</t>
  </si>
  <si>
    <t>Angiografia</t>
  </si>
  <si>
    <t>Hemodinâmica</t>
  </si>
  <si>
    <t>Litotripsia</t>
  </si>
  <si>
    <t>pol</t>
  </si>
  <si>
    <t>Legislação Trabalhista Federal:</t>
  </si>
  <si>
    <t>Legislação Sanitária Federal:</t>
  </si>
  <si>
    <t>Colimador</t>
  </si>
  <si>
    <t>-</t>
  </si>
  <si>
    <t>CABEÇALHO</t>
  </si>
  <si>
    <t>OS:</t>
  </si>
  <si>
    <t>GERADOR</t>
  </si>
  <si>
    <t>CNPJ/CPF:</t>
  </si>
  <si>
    <t>Endereço:</t>
  </si>
  <si>
    <t>Número Anvisa</t>
  </si>
  <si>
    <t>CEP:</t>
  </si>
  <si>
    <t>TUBO</t>
  </si>
  <si>
    <t>Cidade:</t>
  </si>
  <si>
    <t>UF:</t>
  </si>
  <si>
    <t>Data do Serviço:</t>
  </si>
  <si>
    <t>CABEÇOTE</t>
  </si>
  <si>
    <t>COLIMADOR</t>
  </si>
  <si>
    <t>kV Nominal:</t>
  </si>
  <si>
    <t>mA Nominal:</t>
  </si>
  <si>
    <t>Mobilidade:</t>
  </si>
  <si>
    <t>Transportável</t>
  </si>
  <si>
    <t>MOBILIDADE</t>
  </si>
  <si>
    <t>RETIFICAÇÃO</t>
  </si>
  <si>
    <t>MOVIMENTAÇÃO DO CABEÇOTE E SEGURANÇA DA MÁQUINA</t>
  </si>
  <si>
    <t>FOCO</t>
  </si>
  <si>
    <t>Equipamento utilizado pelo técnico</t>
  </si>
  <si>
    <t>Tipo de Colimador</t>
  </si>
  <si>
    <t>Mesa/Bucky</t>
  </si>
  <si>
    <t>Fixo</t>
  </si>
  <si>
    <t>Conforme</t>
  </si>
  <si>
    <t>Fino</t>
  </si>
  <si>
    <t>Mesa</t>
  </si>
  <si>
    <t>Não conforme</t>
  </si>
  <si>
    <t>Grosso</t>
  </si>
  <si>
    <t>Bucky</t>
  </si>
  <si>
    <t>Sim</t>
  </si>
  <si>
    <t>Não</t>
  </si>
  <si>
    <t>Equipamento:</t>
  </si>
  <si>
    <t>Ativado</t>
  </si>
  <si>
    <t>Desativado</t>
  </si>
  <si>
    <t>Raios X Odontológico Extraoral</t>
  </si>
  <si>
    <t>TIPO DE FLUOROSCOPIA</t>
  </si>
  <si>
    <t>Regulável</t>
  </si>
  <si>
    <t>Regulável mas não funciona</t>
  </si>
  <si>
    <t>Local do serviço:</t>
  </si>
  <si>
    <t>CÂMARA DE IONIZAÇÃO</t>
  </si>
  <si>
    <t>FOCO FINO</t>
  </si>
  <si>
    <t>FOCO GROSSO</t>
  </si>
  <si>
    <t>5. OUTROS REQUISITOS VERIFICADOS:</t>
  </si>
  <si>
    <t>6. TESTES REALIZADOS:</t>
  </si>
  <si>
    <t>Facilidade não disponível.</t>
  </si>
  <si>
    <t>Retangular</t>
  </si>
  <si>
    <t>Não Retangular</t>
  </si>
  <si>
    <t>Não possui</t>
  </si>
  <si>
    <t>resolução espacial tomografia - GE</t>
  </si>
  <si>
    <t>conj.</t>
  </si>
  <si>
    <t>espessura (mm)</t>
  </si>
  <si>
    <t>pares de linhas/cm</t>
  </si>
  <si>
    <t>resolução espacial tomografia - Philips</t>
  </si>
  <si>
    <t>resolução espacial tomografia - Fluke</t>
  </si>
  <si>
    <t>resolução espacial tomografia - Pro-Rad</t>
  </si>
  <si>
    <t>Fantoma</t>
  </si>
  <si>
    <t>Opções: Fluke, GE, Philips, Pro-Rad (ver planilha Tabelas)</t>
  </si>
  <si>
    <t>Foco Fino</t>
  </si>
  <si>
    <t>Foco Frosso</t>
  </si>
  <si>
    <t>Linearidade com o mA</t>
  </si>
  <si>
    <t>Ind. (kV)</t>
  </si>
  <si>
    <t>Modo manual</t>
  </si>
  <si>
    <t>Modo automático</t>
  </si>
  <si>
    <t>Resolução Espacial</t>
  </si>
  <si>
    <t>Ferramenta utilizada:</t>
  </si>
  <si>
    <t>TOR</t>
  </si>
  <si>
    <t>Resolução Fluoroscopia</t>
  </si>
  <si>
    <t>Branca/A/B</t>
  </si>
  <si>
    <t>GE</t>
  </si>
  <si>
    <t>Philips</t>
  </si>
  <si>
    <t>Pro-Rad</t>
  </si>
  <si>
    <t>Câmara de ionização marca Radcal, modelo 10X5-1800, série 10363, certificado de calibração em anexo.</t>
  </si>
  <si>
    <t>Foco Grosso</t>
  </si>
  <si>
    <t>Força de compressão</t>
  </si>
  <si>
    <t>Tipo</t>
  </si>
  <si>
    <t>Sem ajuste</t>
  </si>
  <si>
    <t>kg</t>
  </si>
  <si>
    <t>mínimo</t>
  </si>
  <si>
    <t>máximo</t>
  </si>
  <si>
    <t>Palheta regulável</t>
  </si>
  <si>
    <t>Diafragma Substituível</t>
  </si>
  <si>
    <t>FORÇA DE COMPRESSÃO</t>
  </si>
  <si>
    <t>Passos</t>
  </si>
  <si>
    <t>Potenciômetro</t>
  </si>
  <si>
    <t>3. INTEGRIDADE DOS EQUIPAMENTOS DE PROTEÇÃO INDIVIDUAL - EPI:</t>
  </si>
  <si>
    <t>Integridade</t>
  </si>
  <si>
    <t>Raios X para Mamografia</t>
  </si>
  <si>
    <t>Posição do seletor</t>
  </si>
  <si>
    <t xml:space="preserve">               O campo de radiação excede a área do receptor de imagem em direção à parede torácica do paciente e lateralmente. A norma NBR IEC 60601-1-3:2001 sugere que o campo de radiação não exceda em mais de 5 mm da borda do suporte de paciente, não devendo exceder nenhuma das outras três bordas.</t>
  </si>
  <si>
    <t>Óculos</t>
  </si>
  <si>
    <t>2. OBJETIVO:</t>
  </si>
  <si>
    <t xml:space="preserve"> </t>
  </si>
  <si>
    <t>Aventais</t>
  </si>
  <si>
    <t>Identificação</t>
  </si>
  <si>
    <t>Aventais com protetor de tireoide</t>
  </si>
  <si>
    <t>Protetores de tireoide</t>
  </si>
  <si>
    <t>Luvas</t>
  </si>
  <si>
    <t>Protetores de gônadas</t>
  </si>
  <si>
    <t>CQE</t>
  </si>
  <si>
    <t>4. COMENTÁRIOS E RECOMENDAÇÕES:</t>
  </si>
  <si>
    <t xml:space="preserve">               Todos os EPIs testados estão em condições adequadas para proteção de trabalhadores, pacientes e acompanhantes.</t>
  </si>
  <si>
    <t xml:space="preserve">               A imagem radiográfica do óculos testado sugere que as lentes não sejam plumbíferas. Este EPI é impróprio para proteção radiológica e deve ser descartado para evitar uso indevido.</t>
  </si>
  <si>
    <t xml:space="preserve">               Os demais EPIs testados estão em condições adequadas para proteção de trabalhadores, pacientes e acompanhantes.</t>
  </si>
  <si>
    <t xml:space="preserve">               Todos os EPIs testados estão em condições adequadas para proteção de pacientes e acompanhantes.</t>
  </si>
  <si>
    <t>LAUDO TÉCNICO DE INTEGRIDADE DE E.P.I.</t>
  </si>
  <si>
    <t xml:space="preserve">                Caracterizar, através da avaliação dos níveis de radiação ionizante, se as atividades desenvolvidas nas áreas circunvizinhas à sala de aplicação de raios X, atrás das barreiras de proteção e demais locais de interesse são insalubres ou não.</t>
  </si>
  <si>
    <t>Corrente anódica nominal máxima:</t>
  </si>
  <si>
    <t>Carga de trabalho máxima estimada:</t>
  </si>
  <si>
    <t>Dose anual = W.U.T/I . taxa de dose medida</t>
  </si>
  <si>
    <t>mSv/ano</t>
  </si>
  <si>
    <t>C/sem</t>
  </si>
  <si>
    <t>mAmin/sem</t>
  </si>
  <si>
    <t>mA.min/sem</t>
  </si>
  <si>
    <t>Ponto</t>
  </si>
  <si>
    <t>U</t>
  </si>
  <si>
    <t>T</t>
  </si>
  <si>
    <t>Tempo medido</t>
  </si>
  <si>
    <t>segundos</t>
  </si>
  <si>
    <t>Fator de energia</t>
  </si>
  <si>
    <t>4. LEVANTAMENTO RADIOMÉTRICO:</t>
  </si>
  <si>
    <t>L</t>
  </si>
  <si>
    <t>H*(10)</t>
  </si>
  <si>
    <t>Observação</t>
  </si>
  <si>
    <t xml:space="preserve">                Fornecer elementos para aceitação ou rejeição do equipamento, bem como para corrigir eventuais desvios, falhas e anomalias.</t>
  </si>
  <si>
    <t>Tipo de gerador:</t>
  </si>
  <si>
    <t>EL</t>
  </si>
  <si>
    <t>Condição/Medida</t>
  </si>
  <si>
    <t>mGy/mAmin . m2</t>
  </si>
  <si>
    <t>Reprodutibilidade e Compensação do Controle Automático de Exposição</t>
  </si>
  <si>
    <t>8 mm</t>
  </si>
  <si>
    <t>12 mm</t>
  </si>
  <si>
    <t>16 mm</t>
  </si>
  <si>
    <t>20 mm</t>
  </si>
  <si>
    <r>
      <rPr>
        <b/>
        <sz val="11"/>
        <color theme="1"/>
        <rFont val="Calibri"/>
        <family val="2"/>
      </rPr>
      <t>µ</t>
    </r>
    <r>
      <rPr>
        <b/>
        <sz val="11"/>
        <color theme="1"/>
        <rFont val="Calibri"/>
        <family val="2"/>
        <scheme val="minor"/>
      </rPr>
      <t>Gy/mAs . m</t>
    </r>
    <r>
      <rPr>
        <b/>
        <vertAlign val="superscript"/>
        <sz val="11"/>
        <color theme="1"/>
        <rFont val="Calibri"/>
        <family val="2"/>
        <scheme val="minor"/>
      </rPr>
      <t>2</t>
    </r>
  </si>
  <si>
    <t>Rendimento RDC:</t>
  </si>
  <si>
    <t>HVL RDC:</t>
  </si>
  <si>
    <t>AF</t>
  </si>
  <si>
    <t>pl/mm</t>
  </si>
  <si>
    <t>Exatidão:</t>
  </si>
  <si>
    <t>6. INSTRUMENTAÇÃO ELETRÔNICA UTILIZADA:</t>
  </si>
  <si>
    <t xml:space="preserve">                Deve ser instalado no comando do equipamento um dispositivo que emita um sinal sonoro enquanto o equipamento emitir raios X. Sugere-se verificar se este dispositivo existe e está desativado ou inoperante.</t>
  </si>
  <si>
    <t xml:space="preserve">                Deve ser instalado no comando do equipamento um dispositivo que emita um sinal luminoso enquanto o equipamento emitir raios X. Sugere-se verificar se este dispositivo existe e está desativado ou inoperante.</t>
  </si>
  <si>
    <t xml:space="preserve">                O tamanho do campo de radiação deve estar identificado.</t>
  </si>
  <si>
    <t xml:space="preserve">                Os parâmetros operacionais kV, tempo, mA ou mAs, tubo selecionado e uso do Controle Automático de Exposição devem estar claramente indicados no equipamento.</t>
  </si>
  <si>
    <t xml:space="preserve">                 O cabo disparador deve ter seu comprimento aumentado para 2 m.</t>
  </si>
  <si>
    <t xml:space="preserve">                 Deve ser ajustado o sistema de palhetas do colimador.</t>
  </si>
  <si>
    <t xml:space="preserve">                O rendimento do tubo está fora de tolerância (entre 30 e 65 µGy/mAs à 1 m) devido a filtração do feixe primário e erro na corrente anódica. Os circuitos eletrônicos que controlam as correntes anódicas devem ser ajustados.</t>
  </si>
  <si>
    <t xml:space="preserve">                A reprodutibilidade do Controle Automático de Exposição está fora de tolerância (10 %). O circuito eletrônico que controla este dispositivo deve ser ajustado.</t>
  </si>
  <si>
    <t xml:space="preserve">                A exatidão da alta tensão do tubo está fora de tolerância (10 %). O circuito eletrônico que controla a alta tensão do tubo deve ser ajustado.</t>
  </si>
  <si>
    <t xml:space="preserve">                A compensação do Controle Automático de Exposição está fora de tolerância (20 %). O circuito eletrônico que controla este dispositivo deve ser ajustado.</t>
  </si>
  <si>
    <t xml:space="preserve">                A exatidão do sistema de colimação está fora de tolerância (2 %). Deve ser ajustada a lâmpada e/ou o espelho para que haja coincidência entre o campo de radiação e o campo luminoso.</t>
  </si>
  <si>
    <t xml:space="preserve">                A grade antidifusora da mesa está desalinhada. São possíveis causas: posicionamento da grade e/ou falha em lâminas da grade e/ou distância focal incorreta. Deve ser ajustada ou substituida a grade.</t>
  </si>
  <si>
    <t xml:space="preserve">                A reprodutibilidade da alta tensão do tubo está fora de tolerância (5 %). O circuito eletrônico que controla a alta tensão do tubo deve ser ajustado.</t>
  </si>
  <si>
    <t xml:space="preserve">                A reprodutibilidade do tempo de exposição está fora de tolerância (10 %). O circuito eletrônico que controla o tempo de exposição deve ser ajustado.</t>
  </si>
  <si>
    <t xml:space="preserve">                A exatidão do tempo de exposição está fora de tolerância (10 %). O circuito eletrônico que controla o tempo de exposição deve ser ajustado.</t>
  </si>
  <si>
    <t xml:space="preserve">                 A reprodutibilidade da taxa de kerma no ar está fora de tolerância (10 %) devido a falha no circuito eletrônico que controla a corrente anódica.</t>
  </si>
  <si>
    <t xml:space="preserve">                 A resolução espacial está fora de tolerância (2,5 pl/mm) para o foco grosso devido à forte desgarte do tubo de raios X. O tubo de raios X deve ser substituído ou bloqueado o uso de correntes de foco grosso.</t>
  </si>
  <si>
    <t xml:space="preserve">                A exatidão do indicador de dose do detector está fora de tolerância (20 %). Este dispositivo deve ser ajustado.</t>
  </si>
  <si>
    <t xml:space="preserve">                Está proibida a utilização de equipamentos de raios X sem sistema de colimação ou com sistema de colimação sem funcionar.</t>
  </si>
  <si>
    <t xml:space="preserve">                Está proibida a utilização de equipamentos de raios X sem luz de campo ou luz de campo sem funcionar.</t>
  </si>
  <si>
    <t xml:space="preserve">                Está proibida a utilização de equipamentos de raios X sem indicação de kVp, mA e tempo ou mAs no painel de comando.</t>
  </si>
  <si>
    <t xml:space="preserve">                Está proibida a utilização de equipamentos de raios X sem grade antidifusora.</t>
  </si>
  <si>
    <t xml:space="preserve">                Está proibida a utilização de equipamentos móveis de raios X sem cabo disparador.</t>
  </si>
  <si>
    <t>Equipamento</t>
  </si>
  <si>
    <t>Placa amarela, cilindro e tampa lisa</t>
  </si>
  <si>
    <t>X</t>
  </si>
  <si>
    <t>Medidor multiparâmetro</t>
  </si>
  <si>
    <t>Câmara de transmissão? DAP?</t>
  </si>
  <si>
    <t>Comprimento do cabo disparador</t>
  </si>
  <si>
    <t>Sinal sonoro de modo Cine</t>
  </si>
  <si>
    <t>Sinal luminoso de modo Cine</t>
  </si>
  <si>
    <t>Alarme sonoro de término de tempo pré-selecionado</t>
  </si>
  <si>
    <t>Cortina ou saiote plumbífero inferior e lateral</t>
  </si>
  <si>
    <t>NR-32</t>
  </si>
  <si>
    <t>Colimação restrita à área do receptor de imagem</t>
  </si>
  <si>
    <t>Parâmetros para Avaliação do Risco da Radiação em Pacientes:</t>
  </si>
  <si>
    <t>Campo</t>
  </si>
  <si>
    <t>Qualidade da Imagem:</t>
  </si>
  <si>
    <t>Sensibilidade de Baixo Contraste</t>
  </si>
  <si>
    <t>Distorção geométrica</t>
  </si>
  <si>
    <t xml:space="preserve">                 Deve ser instalado no equipamento um dispositivo que emita sinais sonoro e luminoso quando o modo Cine (registro ou gravação) estiver acionado. Sugere-se verificar se o equipamento dispõe deste dispositivo e o mesmo se encontra desativado ou inoperante.</t>
  </si>
  <si>
    <t xml:space="preserve">                 O sistema de colimação deve ser ajustado para que o campo de radiação não exceda a área do receptor de imagem.</t>
  </si>
  <si>
    <t xml:space="preserve">                 Deve ser instalado na mesa cortina ou saiote plumbífero inferior e lateral para proteção dos trabalhadores contra a radiação espalhada pelo paciente, com espessura mínima equivalente à 0,5 mm chumbo à 100 kVp.</t>
  </si>
  <si>
    <t xml:space="preserve">                 Deve ser instalado no comando do equipamento um dispositivo que emita um sinal sonoro enquanto o equipamento emitir raios X no modo radiografia. Sugere-se verificar se este dispositivo existe e está desativado ou inoperante.</t>
  </si>
  <si>
    <t xml:space="preserve">                 Deve ser instalado no comando do equipamento um dispositivo que emita um sinal luminoso enquanto o equipamento emitir raios X em ambos os modos de operação. Sugere-se verificar se este dispositivo existe e está desativado ou inoperante.</t>
  </si>
  <si>
    <t xml:space="preserve">                 Deve ser instalado um dispositivo que emita um sinal sonoro que indique o término do tempo de fluoroscopia pré-selecionado e continue soando enquanto os raios X são emitidos, até que o dispositivo seja reajustado. Este tempo não deve execer 5 minutos. Sugere-se verificar se o equipamento dispõe deste dispositivo e o mesmo se encontra desativado ou inoperante.</t>
  </si>
  <si>
    <t xml:space="preserve">                 O sistema de colimação deve ser substituído por um com diafragma regulável e com localização luminosa.</t>
  </si>
  <si>
    <t>Modo Radiografia:</t>
  </si>
  <si>
    <t>Modo Fluoroscopia:</t>
  </si>
  <si>
    <t xml:space="preserve">                A exatidão do indicador de produto kerma x área (Pka) está fora de tolerância (20 %). Este dispositivo deve ser ajustado.</t>
  </si>
  <si>
    <t>modo normal</t>
  </si>
  <si>
    <t>modo baixo</t>
  </si>
  <si>
    <t xml:space="preserve">                 A reprodutibilidade do controle automático de intensidade está fora de tolerância (10 %). A eletrônica associada à esta facilidade deve ser verificada e ajustada.</t>
  </si>
  <si>
    <t xml:space="preserve">                O alinhamento do eixo central do feixe de raios X está fora de tolerância (3°). Deve ser ajustada a posição do tubo de raios X em relação à mesa de exames.</t>
  </si>
  <si>
    <t xml:space="preserve">                O alinhamento do eixo central do feixe de raios X está fora de tolerância (1,5°). Deve ser ajustada a posição do tubo de raios X em relação ao receptor de imagem.</t>
  </si>
  <si>
    <t xml:space="preserve">                A distorção geométrica está fora de tolerância (10 %). Deve ser ajustado o sistema receptor de imagem e/ou o monitor de vídeo associado.</t>
  </si>
  <si>
    <t xml:space="preserve">                Está proibida a utilização de equipamentos de fluoroscopia sem sistema de colimação ou com sistema de colimação sem funcionar.</t>
  </si>
  <si>
    <t xml:space="preserve">                Está proibida a utilização de equipamentos de fluoroscopia incapaz de restringir o campo de radiação ao receptor de imagem.</t>
  </si>
  <si>
    <t>Em condições de funcionamento</t>
  </si>
  <si>
    <t>Falha no colimador</t>
  </si>
  <si>
    <t>Sem Colimador</t>
  </si>
  <si>
    <t>Sem luz de campo</t>
  </si>
  <si>
    <t>ALINHAMENTO DE GRADE</t>
  </si>
  <si>
    <t>Imagem uniforme</t>
  </si>
  <si>
    <t>Imagem não uniforme</t>
  </si>
  <si>
    <t>Reprodutibilidade do tempo de exposição</t>
  </si>
  <si>
    <t>malha distorção geométrica</t>
  </si>
  <si>
    <t>Forma do campo</t>
  </si>
  <si>
    <t>Circular</t>
  </si>
  <si>
    <t>Distorção Geométrica</t>
  </si>
  <si>
    <t>O campo excede o receptor?</t>
  </si>
  <si>
    <t>Distância entre pontos (mm)</t>
  </si>
  <si>
    <t>Alinhamento do eixo central (°)</t>
  </si>
  <si>
    <t>Sistema de Colimação e alinhamento</t>
  </si>
  <si>
    <t>TAMANHO DO CAMPO</t>
  </si>
  <si>
    <t>FORMA DO CAMPO</t>
  </si>
  <si>
    <t>Quadrado</t>
  </si>
  <si>
    <t>IN 54</t>
  </si>
  <si>
    <t>combinação anodo/filtro</t>
  </si>
  <si>
    <t>Mo/Mo</t>
  </si>
  <si>
    <t>Foco FINO</t>
  </si>
  <si>
    <t>Foco GROSSO</t>
  </si>
  <si>
    <t>Mo/Rh</t>
  </si>
  <si>
    <t>Rh/Rh</t>
  </si>
  <si>
    <t>W/Rh</t>
  </si>
  <si>
    <t>W/Ag</t>
  </si>
  <si>
    <t>W/Al</t>
  </si>
  <si>
    <t>c</t>
  </si>
  <si>
    <t>HVL min</t>
  </si>
  <si>
    <t>HVL máx</t>
  </si>
  <si>
    <t>45 mm</t>
  </si>
  <si>
    <t>Compensação</t>
  </si>
  <si>
    <t>Registro ANVISA</t>
  </si>
  <si>
    <t>Alinhamento da placa</t>
  </si>
  <si>
    <t>Espessura da mama comprimida</t>
  </si>
  <si>
    <t>Tem indicador de mama comprimida?</t>
  </si>
  <si>
    <t>mm indicado pós compressão</t>
  </si>
  <si>
    <t xml:space="preserve">                 A linearidade da taxa de kerma no ar com a corrente anódica (mA) está fora de tolerância (20 %) devido a falta de proporcionalidade entre os rendimentos do tubo. Os circuitos eletrônicos que controlam as correntes anódicas devem ser ajustados.</t>
  </si>
  <si>
    <t>RDC</t>
  </si>
  <si>
    <t>PRC-5</t>
  </si>
  <si>
    <t>Reprodutibilidade do CAE</t>
  </si>
  <si>
    <t>Compensação do CAE para diferentes espessuras</t>
  </si>
  <si>
    <t>Resolução espacial</t>
  </si>
  <si>
    <t>Sistema de compressão automático (Força de compressão da bandeja):</t>
  </si>
  <si>
    <t>Medido (N)</t>
  </si>
  <si>
    <t>Alinhamento da bandeja de compressão</t>
  </si>
  <si>
    <t xml:space="preserve">                Está proibida a utilização de equipamentos de raios X com tubo alimentado por gerador de alta tensão retificada em meia onda.</t>
  </si>
  <si>
    <t xml:space="preserve">                Está proibida a utilização de equipamentos de fluoroscopia com tubo alimentado por gerador de alta tensão retificada em meia onda.</t>
  </si>
  <si>
    <t xml:space="preserve">                Está proibida a utilização de equipamentos de mamografia sem sistema de colimação ou com sistema de colimação sem funcionar.</t>
  </si>
  <si>
    <t xml:space="preserve">                Está proibida a utilização de equipamentos de mamografia sem indicação de kVp, mA e tempo ou mAs no painel de comando.</t>
  </si>
  <si>
    <t xml:space="preserve">                Está proibida a utilização de equipamentos de mamografia sem sistema automático de compressão.</t>
  </si>
  <si>
    <t xml:space="preserve">                Está proibida a utilização de equipamentos de mamografia sem bandeja de compressão.</t>
  </si>
  <si>
    <t xml:space="preserve">                Está proibida a utilização de equipamentos de mamografia sem controle automático de exposição (CAE) ou com CAE sem funcionar.</t>
  </si>
  <si>
    <t xml:space="preserve">                 A reprodutibilidade do Controle Automático de Exposição está fora de tolerância (10 %). O circuito eletrônico que controla este dispositivo deve ser ajustado.</t>
  </si>
  <si>
    <t xml:space="preserve">                 A compensação do Controle Automático de Exposição está fora de tolerância (15 %). O circuito eletrônico que controla este dispositivo deve ser ajustado.</t>
  </si>
  <si>
    <t xml:space="preserve">                 A resolução espacial está fora de tolerância (2,5 pl/mm) para o foco grosso devido à forte desgaste do tubo de raios X. O tubo de raios X deve ser substituído ou bloqueado o uso de correntes de foco grosso.</t>
  </si>
  <si>
    <t xml:space="preserve">               O campo de radiação é menor que a área do receptor de imagem na direção à parede torácica do paciente, podendo haver perda de informação necessária ao profissional que interpretará as imagens médicas.</t>
  </si>
  <si>
    <t xml:space="preserve">                O alinhamento da bandeja de compressão está fora de tolerância (5 mm). Deve ser ajustado o alinhamento do dispositivo de compressão da mama em relação ao suporte do paciente.</t>
  </si>
  <si>
    <t xml:space="preserve">                A indicação da espessura da mama comprimida está fora de tolerância (5 mm). O circuito eletrônico que controla este dispositivo deve ser ajustado.</t>
  </si>
  <si>
    <t>Mamo</t>
  </si>
  <si>
    <t>Estrela mamografia</t>
  </si>
  <si>
    <t>Esponja e paquímetro</t>
  </si>
  <si>
    <t>Balança</t>
  </si>
  <si>
    <t>Combinação Anôdo / Filtro</t>
  </si>
  <si>
    <t>Raios X para Tomografia Computadorizada</t>
  </si>
  <si>
    <t>IN 55</t>
  </si>
  <si>
    <r>
      <rPr>
        <b/>
        <sz val="11"/>
        <color theme="1"/>
        <rFont val="Symbol"/>
        <family val="1"/>
        <charset val="2"/>
      </rPr>
      <t>¬</t>
    </r>
    <r>
      <rPr>
        <b/>
        <sz val="11"/>
        <color theme="1"/>
        <rFont val="Calibri"/>
        <family val="2"/>
        <scheme val="minor"/>
      </rPr>
      <t>ruído</t>
    </r>
  </si>
  <si>
    <r>
      <rPr>
        <b/>
        <sz val="11"/>
        <color theme="1"/>
        <rFont val="Symbol"/>
        <family val="1"/>
        <charset val="2"/>
      </rPr>
      <t>¬</t>
    </r>
    <r>
      <rPr>
        <b/>
        <sz val="11"/>
        <color theme="1"/>
        <rFont val="Calibri"/>
        <family val="2"/>
        <scheme val="minor"/>
      </rPr>
      <t>exatidão</t>
    </r>
  </si>
  <si>
    <t>Exatidão do número de CT para a Água</t>
  </si>
  <si>
    <t>Uniformidade dos números de CT</t>
  </si>
  <si>
    <t>Espessura selecionada (mm)</t>
  </si>
  <si>
    <t>Espessura medida (mm)</t>
  </si>
  <si>
    <t>Coincidência entre indicadores luminosos</t>
  </si>
  <si>
    <t>Coincidência entre indicador luminoso e plano irradiado</t>
  </si>
  <si>
    <t>Compensação do sistema de modulação de corrente</t>
  </si>
  <si>
    <t>Câmara tipo lápis (tomografia)</t>
  </si>
  <si>
    <t>Tem indicador de CTDI?</t>
  </si>
  <si>
    <t>CTDI indicado</t>
  </si>
  <si>
    <t>Disparo</t>
  </si>
  <si>
    <t>Exatidão do indicador de dose em TC (CTDI) no ar:</t>
  </si>
  <si>
    <t>CTDI indicado (mGy)</t>
  </si>
  <si>
    <t>CTDI medido (mGy)</t>
  </si>
  <si>
    <t>Combinação             kV - colimação</t>
  </si>
  <si>
    <t>Tem modulador de mAs?</t>
  </si>
  <si>
    <t xml:space="preserve">                 Fantoma de "calibração" do tomógrafo.</t>
  </si>
  <si>
    <t xml:space="preserve">                O sinal sonoro indicativo de emissão de raios X não funcionou. Este dispositivo deve ser ativado, caso esteja desativado, ou ajustado, caso esteja inoperante.</t>
  </si>
  <si>
    <t xml:space="preserve">                O sinal luminoso indicativo de emissão de raios X não funcionou. Este dispositivo deve ser ativado, caso esteja desativado, ou ajustado, caso esteja inoperante.</t>
  </si>
  <si>
    <t xml:space="preserve">                 Todo equipamento de tomografia deve possuir indicação visual da espessura de corte, colimação e incremento de varredura, antes do início de uma série. Todavia o profissional que operou o equipamento durante os testes não soube informar todos estes parâmetros. Sugere-se verificar no manual onde visualizar estes parâmetros no painel de controle.</t>
  </si>
  <si>
    <t xml:space="preserve">                  Sugere-se verificar a periodicidade de ajuste dos números de CT.</t>
  </si>
  <si>
    <t xml:space="preserve">                 Foi constatada a presença de artefatos dentro do fantoma de água, o que pode comprometer o ajuste dos números de CT e a uniformidade da imagem.</t>
  </si>
  <si>
    <t xml:space="preserve">                A uniformidade dos números de CT está fora de tolerância (≤ 5 HU). A presença de artefatos no fantoma ou na imagem é uma das possíveis causas. Deve ser feita uma manutenção corretiva no equipamento.</t>
  </si>
  <si>
    <t xml:space="preserve">                A espessura de corte está fora de tolerância (± 1 mm para cortes nominais maiores que 2 mm e ± 50 % da espessura nominal para os demais). Deve ser feita uma manutenção corretiva no equipamento.</t>
  </si>
  <si>
    <t xml:space="preserve">                A exatidão do indicador do deslocamento da mesa está fora de tolerância (&lt; 1 mm). Este dispositivo deve ser ajustado.</t>
  </si>
  <si>
    <t xml:space="preserve">                A exatidão do indicador de dose em TC (CTDI) no ar está fora de tolerância (≤ 20 %). Este dispositivo deve ser ajustado.</t>
  </si>
  <si>
    <t xml:space="preserve">                A exatidão do indicador do posicionamento da mesa está fora de tolerância (&lt; 1 mm). Este dispositivo deve ser ajustado.</t>
  </si>
  <si>
    <t xml:space="preserve">                A coincidência entre os indicadores luminosos externo e interno está fora de tolerância (&lt; 2 mm). O sistema de deslocamento da mesa deve ser ajustado.</t>
  </si>
  <si>
    <t xml:space="preserve">                A coincidência entre o indicador luminoso interno e o plano irradiado está fora de tolerância (&lt; 2 mm). O alinhamento do feixe em relação a mesa de exames deve ser ajustado.</t>
  </si>
  <si>
    <t xml:space="preserve">                A compensação do sistema de modulação de corrente para diferentes espessuras está fora de tolerância (≤ 20 %). Este dispositivo deve ser ajustado.</t>
  </si>
  <si>
    <t>ROI central</t>
  </si>
  <si>
    <t>ROI 1º quadrante</t>
  </si>
  <si>
    <t>ROI 2º quadrante</t>
  </si>
  <si>
    <t>ROI 3º quadrante</t>
  </si>
  <si>
    <t>ROI 4º quadrante</t>
  </si>
  <si>
    <t>Desvio</t>
  </si>
  <si>
    <t xml:space="preserve">                A uniformidade da imagem está fora de tolerância (10 %). São possíveis causas: inomegeneidade da placa CR ou DR, desalinhamento da grade, efeito anódico e campo distorcido.</t>
  </si>
  <si>
    <t>alta tensão (kVp) e camada semirredutora</t>
  </si>
  <si>
    <t>HVLmin</t>
  </si>
  <si>
    <t>Sistema de colimação</t>
  </si>
  <si>
    <t>tipo de equipamento</t>
  </si>
  <si>
    <t>IN 56</t>
  </si>
  <si>
    <t>HVL pra por no Laudo</t>
  </si>
  <si>
    <t xml:space="preserve">                Sistema de dosimetria pessoal certificado pelo IRD/CNEN sob o código 010.02TL.</t>
  </si>
  <si>
    <t xml:space="preserve">                Está proibida a utilização de equipamentos de raios X extraoral sem sistema de colimação ou com sistema de colimação sem funcionar.</t>
  </si>
  <si>
    <t xml:space="preserve">                 Sugere-se verificar a periodicidade de ajuste dos números de CT.</t>
  </si>
  <si>
    <t xml:space="preserve">                Foi constatada a presença de artefatos dentro do fantoma de água, o que pode comprometer o ajuste dos números de CT e a uniformidade da imagem.</t>
  </si>
  <si>
    <t xml:space="preserve">                 O campo de radiação excede a área do receptor de imagem. O sistema de colimação deve ser ajustado.</t>
  </si>
  <si>
    <t>Tensão nominal do tubo</t>
  </si>
  <si>
    <t>Tipo de localizador</t>
  </si>
  <si>
    <t>Linearidade</t>
  </si>
  <si>
    <t>Tensão de pico alternativa</t>
  </si>
  <si>
    <t>média</t>
  </si>
  <si>
    <t>espalhamento</t>
  </si>
  <si>
    <t>Rendimento</t>
  </si>
  <si>
    <t>µGy/mAs . m2</t>
  </si>
  <si>
    <t>Qualidade da imagem</t>
  </si>
  <si>
    <t>Distância foco-pele mínima</t>
  </si>
  <si>
    <t>Medido (mGy)</t>
  </si>
  <si>
    <t>Tensão de pico nominal</t>
  </si>
  <si>
    <t>7. INSTRUMENTAÇÃO UTILIZADA:</t>
  </si>
  <si>
    <t>8. COMENTÁRIOS E RECOMENDAÇÕES:</t>
  </si>
  <si>
    <t xml:space="preserve">                O cabo disparador deve ter seu comprimento aumentado para dois metros</t>
  </si>
  <si>
    <t xml:space="preserve">                O cabo disparador deve ter seu comprimento aumentado para dois metros.</t>
  </si>
  <si>
    <t xml:space="preserve">                A alta tensão nominal do tubo de raios X é inferior ao permitido (60 kVp). Deve ser substituído o tubo de raios X.</t>
  </si>
  <si>
    <t xml:space="preserve">                O sistema de disparo com retardo deve ser desativado.</t>
  </si>
  <si>
    <t xml:space="preserve">                O localizador cônico deve ser substituído por um do tipo cilíndrico, tal que a distância foco-pele mínima seja de 20 cm.</t>
  </si>
  <si>
    <t xml:space="preserve">                 A exatidão da alta tensão do tubo está fora de tolerância (10 %). O circuito eletrônico que controla a alta tensão do tubo deve ser ajustado.</t>
  </si>
  <si>
    <t xml:space="preserve">                O sistema de colimação deve ser ajustado de forma a limitar o campo de radiação a um diâmetro entre 4 e 6 cm na saída do cilindro localizador.</t>
  </si>
  <si>
    <t xml:space="preserve">                A menor distância foco-pele possível está fora de tolerância (20 cm). O cilindro localizador deve ser substituído por outro, tal que a distância foco-pele mínima seja de 20 cm.</t>
  </si>
  <si>
    <t>Campo fluor</t>
  </si>
  <si>
    <t>grade visível</t>
  </si>
  <si>
    <t>conjuntos visíveis</t>
  </si>
  <si>
    <t>2 mm de cobre OU 20 cm de PMMA?</t>
  </si>
  <si>
    <t>Cilindro e tampa dourada / TOR CDR ou RF-DIGI</t>
  </si>
  <si>
    <t>Placas A e B + branca / TOR 18FG</t>
  </si>
  <si>
    <t>*</t>
  </si>
  <si>
    <t>X*</t>
  </si>
  <si>
    <t>Placa amarela modificada, cilindro e tampa lisa*</t>
  </si>
  <si>
    <t>20, 30, 45 e 60 mm de PMMA</t>
  </si>
  <si>
    <t>Leeds CoreView (Resolução mamo - 10-12 pl/mm)</t>
  </si>
  <si>
    <t>Tomo</t>
  </si>
  <si>
    <t>Câmara lápis (CT Unfors)</t>
  </si>
  <si>
    <t>Fantoma resolução espacial e largura do corte</t>
  </si>
  <si>
    <t>Suporte para câmara lápis (CT Unfors) no ar</t>
  </si>
  <si>
    <t>Fantoma dose tomografia</t>
  </si>
  <si>
    <t>Fantoma nº CT água e ar</t>
  </si>
  <si>
    <t>TOR DEN Digital / Pro-Dent Set</t>
  </si>
  <si>
    <t xml:space="preserve">               Os demais EPIs testados estão em condições adequadas de uso.</t>
  </si>
  <si>
    <t>conclusões antigas</t>
  </si>
  <si>
    <t>CQN</t>
  </si>
  <si>
    <t>&gt;=1500</t>
  </si>
  <si>
    <t>negatoscópio</t>
  </si>
  <si>
    <t>monitor</t>
  </si>
  <si>
    <t>&gt;= 170</t>
  </si>
  <si>
    <t>uniformidade</t>
  </si>
  <si>
    <t>sala de laudos</t>
  </si>
  <si>
    <t>&lt;= 50lux</t>
  </si>
  <si>
    <t>&gt;= 3000</t>
  </si>
  <si>
    <t>&gt;= 350</t>
  </si>
  <si>
    <t>&lt;=30%</t>
  </si>
  <si>
    <t>&lt;= 20%</t>
  </si>
  <si>
    <t>&lt;=50 lux</t>
  </si>
  <si>
    <t>&gt;= 1500</t>
  </si>
  <si>
    <t>&lt;= 30%</t>
  </si>
  <si>
    <t>&lt;= 50 lux</t>
  </si>
  <si>
    <t>Tipo:</t>
  </si>
  <si>
    <t>Corpo</t>
  </si>
  <si>
    <r>
      <t>Menor luminância (cd/m</t>
    </r>
    <r>
      <rPr>
        <b/>
        <i/>
        <vertAlign val="superscript"/>
        <sz val="11"/>
        <color theme="1"/>
        <rFont val="Calibri"/>
        <family val="2"/>
        <scheme val="minor"/>
      </rPr>
      <t>2</t>
    </r>
    <r>
      <rPr>
        <b/>
        <i/>
        <sz val="11"/>
        <color theme="1"/>
        <rFont val="Calibri"/>
        <family val="2"/>
        <scheme val="minor"/>
      </rPr>
      <t>)</t>
    </r>
  </si>
  <si>
    <t>Uniformidade (%)</t>
  </si>
  <si>
    <t>Local:</t>
  </si>
  <si>
    <t>lux</t>
  </si>
  <si>
    <t>ID</t>
  </si>
  <si>
    <t>Patrimônio</t>
  </si>
  <si>
    <t>Negatoscópios e Monitores de Vídeo</t>
  </si>
  <si>
    <t>Luxímetro</t>
  </si>
  <si>
    <t>Medidor de luminância e luminosidade marca Icel, modelo LD-555, série 150515861, Certificado de Calibração em anexo.</t>
  </si>
  <si>
    <t>4. INSTRUMENTAÇÃO ELETRÔNICA UTILIZADA:</t>
  </si>
  <si>
    <t>5. COMENTÁRIOS E RECOMENDAÇÕES:</t>
  </si>
  <si>
    <t>Negatoscópios:</t>
  </si>
  <si>
    <t>Monitores:</t>
  </si>
  <si>
    <t>Luz ambiente:</t>
  </si>
  <si>
    <t>Iluminância na área da tarefa:</t>
  </si>
  <si>
    <t>Tem bucky mural?</t>
  </si>
  <si>
    <t>LR</t>
  </si>
  <si>
    <t>LAUDO TÉCNICO DE RADIOMETRIA</t>
  </si>
  <si>
    <t>Tubo de raios X incorporado:</t>
  </si>
  <si>
    <t>Alta tensão nominal máxima:</t>
  </si>
  <si>
    <t>de acrílico 10 cm x 10 cm x 4,5 cm</t>
  </si>
  <si>
    <t>de água 18 cm x 18 cm x 12 cm</t>
  </si>
  <si>
    <t>de água 25 cm x 25 cm x 18 cm</t>
  </si>
  <si>
    <t>Densitometria óssea</t>
  </si>
  <si>
    <t>Em cima</t>
  </si>
  <si>
    <t>Embaixo</t>
  </si>
  <si>
    <t>5. INSTRUMENTAÇÃO ELETRÔNICA UTILIZADA:</t>
  </si>
  <si>
    <t>Raios X Odontológico Intraoral</t>
  </si>
  <si>
    <t>LAUDO TÉCNICO DE LEVANTAMENTO RADIOMÉTRICO</t>
  </si>
  <si>
    <t>Filtrar linhas com X</t>
  </si>
  <si>
    <t>x</t>
  </si>
  <si>
    <t xml:space="preserve">                A exatidão da alta tensão do tubo está fora de tolerância (10 %) para as correntes indicadas. Os circuitos eletrônicos que controlam a alta tensão do tubo para estas correntes devem ser ajustados.</t>
  </si>
  <si>
    <t xml:space="preserve">                 O sistema de colimação deve ser substituído por um com diafragma regulável e com localização luminosa. </t>
  </si>
  <si>
    <t xml:space="preserve">                A grade antidifusora está desalinhada. São possíveis causas: posicionamento da grade e/ou falha em lâminas da grade e/ou distância focal incorreta. Deve ser ajustada ou substituida a grade.</t>
  </si>
  <si>
    <t xml:space="preserve">                Está proibida a utilização de equipamentos de raios X com menos de 80 mA nominal para radiografia geral.</t>
  </si>
  <si>
    <t>modo  alto</t>
  </si>
  <si>
    <t>Resol</t>
  </si>
  <si>
    <t>Sensib</t>
  </si>
  <si>
    <t>CSR alta?</t>
  </si>
  <si>
    <t>Restrição</t>
  </si>
  <si>
    <t>Tolerência</t>
  </si>
  <si>
    <t>Tolerância</t>
  </si>
  <si>
    <t>Rend. alto/baixo/aceitável?</t>
  </si>
  <si>
    <t>Critério</t>
  </si>
  <si>
    <t>corrente nominal</t>
  </si>
  <si>
    <t>temporizador</t>
  </si>
  <si>
    <t>Reprod Alta tensao</t>
  </si>
  <si>
    <t>Reprod mGy/s</t>
  </si>
  <si>
    <t>Corrente/Carga</t>
  </si>
  <si>
    <t>Único</t>
  </si>
  <si>
    <t>Mov. Cabeçote</t>
  </si>
  <si>
    <t>Freios Cabeçote</t>
  </si>
  <si>
    <t>Ok</t>
  </si>
  <si>
    <t xml:space="preserve">Corrente nominal </t>
  </si>
  <si>
    <t>Corrente/Carga:</t>
  </si>
  <si>
    <r>
      <t>(cd/m</t>
    </r>
    <r>
      <rPr>
        <b/>
        <vertAlign val="superscript"/>
        <sz val="11"/>
        <color theme="1"/>
        <rFont val="Calibri"/>
        <family val="2"/>
        <scheme val="minor"/>
      </rPr>
      <t>2</t>
    </r>
    <r>
      <rPr>
        <b/>
        <sz val="11"/>
        <color theme="1"/>
        <rFont val="Calibri"/>
        <family val="2"/>
        <scheme val="minor"/>
      </rPr>
      <t>)/lux ou Nit/lux</t>
    </r>
  </si>
  <si>
    <t>Iluminância na área da tarefa &gt; 50 lux</t>
  </si>
  <si>
    <t>Filtrar linhs com X</t>
  </si>
  <si>
    <t xml:space="preserve">               Os EPI em condições inadequadas apresentaram falhas na blindagem e devem ser descartados para evitar o uso indevido. Sugere-se verificar junto à autoridade ambiental local o correto procedimento para descarte deste material.</t>
  </si>
  <si>
    <t>OBS: Preencher informações "ALTERNATIVA" somente para equipamentos intraorais com mais do que um valor de alta tensão.</t>
  </si>
  <si>
    <t xml:space="preserve">                Está proibida a utilização de equipamentos de raios X intraoral sem colimador ou sem localizador.</t>
  </si>
  <si>
    <t xml:space="preserve">                Está proibida a utilização de equipamentos de raios X intraoral com localizador cônico.</t>
  </si>
  <si>
    <t xml:space="preserve">                Está proibida a utilização de equipamentos de raios X intraoral com sistema de disparo com retardo.</t>
  </si>
  <si>
    <t xml:space="preserve">                Está proibida a utilização de equipamentos de raios X intraoral com sistema de disparo que permita emissão de raios X sem que se mantenha a pressão no botão disparador.</t>
  </si>
  <si>
    <t>Botão é tipo "homem-morto"?</t>
  </si>
  <si>
    <t xml:space="preserve">               O botão disparador deve ser substituído por um do tipo "homem-morto", ou seja, a emissão de radiação deve ser interrompida se o botão deixar de ser pressionado.</t>
  </si>
  <si>
    <t>Área (L/C)</t>
  </si>
  <si>
    <t>Descrição</t>
  </si>
  <si>
    <t>Insalubridade (1/50)</t>
  </si>
  <si>
    <t>6. COMENTÁRIOS E RECOMENDAÇÕES:</t>
  </si>
  <si>
    <t xml:space="preserve">                Este documento deve ser assinado pelo responsável legal do serviço de radiologia.</t>
  </si>
  <si>
    <t>R</t>
  </si>
  <si>
    <t>Insalubre</t>
  </si>
  <si>
    <t xml:space="preserve">                 A tolerância para a Uniformidade dos número de CT é, no máximo, 10% acima ou abaixo do Valor de Referência. Caso esteja 20% ou mais acima ou abaixo do Valor de Referência, o equipamento deve ser considerado em Nível de Restrição. Sugere-se utilizar como Valor de Referência o indicado nas especificações do fabricante do tomógrafo ou o valor obtido no Teste de Aceitação ou no primeiro teste após reparos.</t>
  </si>
  <si>
    <t xml:space="preserve">                 A tolerância para o Ruído da imagem é, no máximo, 15% acima do Valor de Referência. Caso esteja 20% ou mais acima do Valor de Referência, o equipamento deve ser considerado em Nível de Restrição. Sugere-se utilizar como Valor de Referência o indicado nas especificações do fabricante do tomógrafo ou o valor obtido no Teste de Aceitação ou no primeiro teste após reparos.</t>
  </si>
  <si>
    <t>Avaliação do fantoma</t>
  </si>
  <si>
    <t xml:space="preserve">                A exatidão da alta tensão do tubo está fora de tolerância (10%). O circuito eletrônico que controla a alta tensão do tubo deve ser ajustado.</t>
  </si>
  <si>
    <t xml:space="preserve">                A exatidão do tempo de exposição está fora de tolerância (10%). O circuito eletrônico que controla o tempo de exposição deve ser ajustado.</t>
  </si>
  <si>
    <t xml:space="preserve">                A reprodutibilidade da alta tensão do tubo está fora de tolerância (5%). O circuito eletrônico que controla a alta tensão do tubo deve ser ajustado.</t>
  </si>
  <si>
    <t xml:space="preserve">                 A reprodutibilidade da taxa de kerma no ar está fora de tolerância (10%) devido a falha no circuito eletrônico que controla a corrente anódica.</t>
  </si>
  <si>
    <t xml:space="preserve">                 A reprodutibilidade do tempo de exposição está fora de tolerância (10%). O circuito eletrônico que controla o tempo de exposição deve ser ajustado.</t>
  </si>
  <si>
    <t xml:space="preserve">                O ruído da imagem está fora de tolerância (15% acima do valor de referência). As causas podem ser diversas. Deve ser feita uma manutenção corretiva no equipamento.</t>
  </si>
  <si>
    <t xml:space="preserve">                A exatidão do indicador de dose do detector está fora de tolerância (20%). Este dispositivo deve ser ajustado.</t>
  </si>
  <si>
    <t>Filtrar linhas sem X</t>
  </si>
  <si>
    <t>escala da CI</t>
  </si>
  <si>
    <t>Ausência de artefatos na imagem</t>
  </si>
  <si>
    <t xml:space="preserve">                A imagem não deve apresentar artefatos. Deve ser feita a manutenção corretiva do equipamento.</t>
  </si>
  <si>
    <t>Artefatos na Imagem</t>
  </si>
  <si>
    <t>Valor representativo de dose (Cabeça - adulto típico)</t>
  </si>
  <si>
    <t>Adulto típico (Cabeça)</t>
  </si>
  <si>
    <t>Adulto típico (Abdome)</t>
  </si>
  <si>
    <t>Pediátrico (Abdome)</t>
  </si>
  <si>
    <t>Valor representativo de dose (Abdome - adulto típico)</t>
  </si>
  <si>
    <t>Valor representativo de dose (Abdome - pediátrico)</t>
  </si>
  <si>
    <t xml:space="preserve">                O valor representativo de dose em tomografia computadorizada médica (CTDIvol) está fora da tolerância (70 mGy para cabeça e 25 mGy para abdome de adulto típico; 20 mGy para abdome pediátrico). </t>
  </si>
  <si>
    <t>Rend mínimo:</t>
  </si>
  <si>
    <t>R&amp;N</t>
  </si>
  <si>
    <t xml:space="preserve">                 A linearidade da taxa de kerma no ar está fora de tolerância (20 %) devido a &amp;SE(convencional!G58="Ruim";"erro no temporizador. O circuito eletrônico que controla o tempo de exposição deve ser ajustado.";" inconstância "&amp;SE(convencional!G60="Ruim";"da alta tensão";"")&amp;SE(E(convencional!G60="Ruim";convencional!G59="Ruim");" e/ou ";"")&amp;SE(convencional!G59="Ruim";"da corrente anódica";"")&amp;" durante a exposição.")</t>
  </si>
  <si>
    <t>TESTE FANTOMA</t>
  </si>
  <si>
    <t>Data do teste</t>
  </si>
  <si>
    <t>Modo Manual</t>
  </si>
  <si>
    <t>Tensão (kVp)</t>
  </si>
  <si>
    <t>Carga (mAs)</t>
  </si>
  <si>
    <t>Fibras</t>
  </si>
  <si>
    <t>Massas</t>
  </si>
  <si>
    <t>Pontos</t>
  </si>
  <si>
    <t>Modo Automático/Semiautomático</t>
  </si>
  <si>
    <t>Densidade</t>
  </si>
  <si>
    <t>Protocolo padrão do Serviço</t>
  </si>
  <si>
    <t>2. OBJETIVO</t>
  </si>
  <si>
    <t>4. METODOLOGIA DE AVALIAÇÃO</t>
  </si>
  <si>
    <t>5. RESULTADOS</t>
  </si>
  <si>
    <t>Observações</t>
  </si>
  <si>
    <t>7. CONCLUSÃO</t>
  </si>
  <si>
    <t>LAUDO TÉCNICO DE QUALIDADE DA IMAGEM MAMOGRÁFICA</t>
  </si>
  <si>
    <t xml:space="preserve">               Este documento deve ser arquivado e mantido à disposição da autoridade sanitária local, garantindo sua rastreabilidade pelo prazo mínimo de 5 anos. </t>
  </si>
  <si>
    <t>6. COMENTÁRIOS E RECOMENDAÇÕES</t>
  </si>
  <si>
    <t>Microcalcificações</t>
  </si>
  <si>
    <t>Artefatos simulados</t>
  </si>
  <si>
    <t>RECOMENDAÇÃO</t>
  </si>
  <si>
    <t>Anvisa</t>
  </si>
  <si>
    <t>Processadora</t>
  </si>
  <si>
    <t>Artefatos como riscos e pontos foram observados nas imagens e nos filmes radiográficos, prejudicando a observação das microcalcificações. Recomenda-se a limpeza das placas de imagem.</t>
  </si>
  <si>
    <t>Observam-se artefatos como riscos, provenientes da pressão excessiva dos rolos da impressora sobre o filme radiográfico. Recomenda-se a manutenção preventiva da impressora.</t>
  </si>
  <si>
    <t>Solicita-se que as imagens sejam impressas em tamanho real.</t>
  </si>
  <si>
    <t xml:space="preserve">Cuidar para que o Fantoma seja posicionado junto da borda da parede torácica, centralizado lateralmente, totalmente comprimido pela bandeja de compressão e percebido pelo sensor do Sistema automático de exposição (CAE). </t>
  </si>
  <si>
    <t>Aconselha-se o uso de filme radiográfico específico para mamografia.</t>
  </si>
  <si>
    <t xml:space="preserve">A imagem adquirida no modo automático apresenta ruído excessivo (imagem granulada). Recomenda-se que o fantoma seja posicionado junto à borda da parede torácica, centralizado lateralmente, comprimido totalmente, para que seja detectado pelo CAE. </t>
  </si>
  <si>
    <t xml:space="preserve">Observa-se baixo contraste entre as estruturas analisadas, porém foi possível observar a quantidade mínima de fibras, microcalcificações e objetos de baixo contraste. Foram observados artefatos nas imagens radiográficas que podem degradar a qualidade de imagem diagnóstica. Recomenda-se a limpeza das placas de imagem. </t>
  </si>
  <si>
    <t>Solicita-se que os testes sejam realizados de acordo com as instruções descritas no Registro de Controle de qualidade da imagem. Solicita-se que os filmes sejam devidamente identificados de acordo com a técnica de exposição realizada e impressos em tamanho real.</t>
  </si>
  <si>
    <t>Recomendações padronizadas</t>
  </si>
  <si>
    <t>Sistema de revelação</t>
  </si>
  <si>
    <t>Automático</t>
  </si>
  <si>
    <t>Arco Cirúrgico</t>
  </si>
  <si>
    <t>Raios X Veterinário</t>
  </si>
  <si>
    <t>Raios X com Fluoroscopia Telecomandada</t>
  </si>
  <si>
    <t>Raios X Convencional</t>
  </si>
  <si>
    <t>Tomografia Computadorizada</t>
  </si>
  <si>
    <t>Tomografia Odontológica</t>
  </si>
  <si>
    <t>W</t>
  </si>
  <si>
    <t>Pacientes/semana</t>
  </si>
  <si>
    <t>Cargas de trabalho da antiga Portaria 453/98 da SVS/MS (atual ANVISA)</t>
  </si>
  <si>
    <t xml:space="preserve">                Deve ser instalado no equipamento um dispositivo que emita sinais sonoro e luminoso quando o modo Cine (registro ou gravação) estiver acionado. Sugere-se verificar se o equipamento dispõe deste dispositivo e o mesmo se encontra desativado ou inoperante.</t>
  </si>
  <si>
    <t>Corrente ou Carga:</t>
  </si>
  <si>
    <t>Fantoma ACR</t>
  </si>
  <si>
    <t>qtd</t>
  </si>
  <si>
    <t>Fantoma João Emílio</t>
  </si>
  <si>
    <t>Visível [mm]</t>
  </si>
  <si>
    <t>13 x 18</t>
  </si>
  <si>
    <t>15 x 40</t>
  </si>
  <si>
    <t>18 x 24</t>
  </si>
  <si>
    <t>24 x 30</t>
  </si>
  <si>
    <t>30 x 35</t>
  </si>
  <si>
    <t>30 x 40</t>
  </si>
  <si>
    <t>35 x 35</t>
  </si>
  <si>
    <t>35 x 43</t>
  </si>
  <si>
    <t>Tamanhos de Chassis e Cassetes</t>
  </si>
  <si>
    <t>Tamanho</t>
  </si>
  <si>
    <t>Contato tela-filme</t>
  </si>
  <si>
    <t>Tem exaustor de ar?</t>
  </si>
  <si>
    <t>Tem pia com torneira?</t>
  </si>
  <si>
    <t>Temperaturas</t>
  </si>
  <si>
    <t>Revelador</t>
  </si>
  <si>
    <t>Fixador</t>
  </si>
  <si>
    <t>Água</t>
  </si>
  <si>
    <t>Ambiente</t>
  </si>
  <si>
    <t>Filme</t>
  </si>
  <si>
    <r>
      <t xml:space="preserve">Tempo de revelação </t>
    </r>
    <r>
      <rPr>
        <b/>
        <sz val="10"/>
        <rFont val="Arial"/>
        <family val="2"/>
      </rPr>
      <t>[min]</t>
    </r>
  </si>
  <si>
    <t>Maior</t>
  </si>
  <si>
    <t>Maior Indice</t>
  </si>
  <si>
    <t>Menor</t>
  </si>
  <si>
    <t>Menor Indice</t>
  </si>
  <si>
    <t>Cálculos</t>
  </si>
  <si>
    <t>Gradiente</t>
  </si>
  <si>
    <t>Velocidade</t>
  </si>
  <si>
    <t>Base+Fog</t>
  </si>
  <si>
    <t>Latitude</t>
  </si>
  <si>
    <t>Conclusão</t>
  </si>
  <si>
    <t>T. Revelador</t>
  </si>
  <si>
    <t>Método do INCA</t>
  </si>
  <si>
    <t>Tamanho do chassi</t>
  </si>
  <si>
    <t>Contato Tela-Filme</t>
  </si>
  <si>
    <t>Recomendações</t>
  </si>
  <si>
    <t>SENSITOMETRIA</t>
  </si>
  <si>
    <t>NR 32</t>
  </si>
  <si>
    <t>Vedação Apropriada?</t>
  </si>
  <si>
    <t>3. CONTATO TELA-FILME E INTEGRIDADE DOS CHASSIS E CASSETES</t>
  </si>
  <si>
    <t>* informação não encontrada no equipamento</t>
  </si>
  <si>
    <t>Vedação</t>
  </si>
  <si>
    <t>Pia com torneira</t>
  </si>
  <si>
    <t>Exaustor</t>
  </si>
  <si>
    <t>Avaliação</t>
  </si>
  <si>
    <t>Base + velamento</t>
  </si>
  <si>
    <t>Contraste</t>
  </si>
  <si>
    <t xml:space="preserve">Velocidade </t>
  </si>
  <si>
    <t>DENSIDADES ÓPTICAS</t>
  </si>
  <si>
    <t>Processadora / Imp</t>
  </si>
  <si>
    <t>N. ANVISA</t>
  </si>
  <si>
    <t>Informação não disponível</t>
  </si>
  <si>
    <t>Marca dos Químicos</t>
  </si>
  <si>
    <t xml:space="preserve">A metodologia utilizada é a sugerida pelo Instituto Nacional do Câncer (INCA). </t>
  </si>
  <si>
    <t>Passo</t>
  </si>
  <si>
    <t>Recomendação do fabricante para o revelador</t>
  </si>
  <si>
    <t>Desvio máximo</t>
  </si>
  <si>
    <t>Sensitometria de Referência do Serviço</t>
  </si>
  <si>
    <t xml:space="preserve">Desvio máximo = </t>
  </si>
  <si>
    <t>Indicador</t>
  </si>
  <si>
    <t>D.O.</t>
  </si>
  <si>
    <t>ACESSÓRIOS</t>
  </si>
  <si>
    <t>Variação% aceita pelo fabricante</t>
  </si>
  <si>
    <t>Corrente (mA) ou Carga (mAs)?</t>
  </si>
  <si>
    <t>Reprodutibilidade do Controle Automático de Exposição (ou semiautomático)</t>
  </si>
  <si>
    <t>Coincidência entre indicadores luminosos do plano interno e externo e do plano irradiado</t>
  </si>
  <si>
    <t>C.A.</t>
  </si>
  <si>
    <t>7. CONCLUSÕES:</t>
  </si>
  <si>
    <t>4. VALORES REPRESENTATIVOS DE DOSE EM RADIODIAGNÓSTICO*</t>
  </si>
  <si>
    <r>
      <rPr>
        <b/>
        <sz val="8"/>
        <color theme="1"/>
        <rFont val="Calibri"/>
        <family val="2"/>
        <scheme val="minor"/>
      </rPr>
      <t>*</t>
    </r>
    <r>
      <rPr>
        <sz val="8"/>
        <color theme="1"/>
        <rFont val="Calibri"/>
        <family val="2"/>
        <scheme val="minor"/>
      </rPr>
      <t xml:space="preserve"> informação não encontrada no equipamento</t>
    </r>
  </si>
  <si>
    <t>MAMO - Dose no paciente</t>
  </si>
  <si>
    <t>TOMOGRAFIA - Dose no paciente</t>
  </si>
  <si>
    <t xml:space="preserve">                As exposições médicas de pacientes devem ser otimizadas ao valor mínimo necessário à obtenção do objetivo radiológico, bem como ser compatíveis com os padrões aceitáveis de qualidade de imagem, devendo-se considerar, no processo de otimização de exposições médicas:  a seleção adequada de técnicas, equipamentos e acessórios; os processos de trabalho; a garantia da qualidade; os níveis de referência de diagnóstico para pacientes adultos e pediátricos; e as restrições de dose para indivíduo que colabore conscientemente, de livre vontade e fora do contexto de sua atividade profissional, no apoio e conforto de um paciente, durante a realização do procedimento radiológico.</t>
  </si>
  <si>
    <t>Incr.</t>
  </si>
  <si>
    <t>Cabeça</t>
  </si>
  <si>
    <t>4. VALORES REPRESENTATIVOS DE DOSE EM TOMOGRAFIA COMPUTADORIZADA MÉDICA</t>
  </si>
  <si>
    <t>CTDIvol</t>
  </si>
  <si>
    <t xml:space="preserve">                A dose média em cortes múltiplos estimada utilizada em protocolo para exames de Cabeça está acima do permitido. Sugere-se reduzir a corrente anódica (mA) ou a carga elétrica (mAs) e/ou aumentar o incremento entre cortes consecutivos.</t>
  </si>
  <si>
    <t xml:space="preserve">                A dose média em cortes múltiplos estimada utilizada em protocolo para exames de Coluna Lombar está acima do permitido. Sugere-se reduzir a corrente anódica (mA) ou a carga elétrica (mAs) e/ou aumentar o incremento entre cortes consecutivos.</t>
  </si>
  <si>
    <t xml:space="preserve">                A dose média em cortes múltiplos estimada utilizada em protocolo para exames de Abdômen está acima do permitido. Sugere-se reduzir a corrente anódica (mA) ou a carga elétrica (mAs) e/ou aumentar o incremento entre cortes consecutivos.</t>
  </si>
  <si>
    <t xml:space="preserve">                As demais doses médias em cortes múltiplos estimadas atendem os requisitos da Portaria 453/98 da SVS/MS.</t>
  </si>
  <si>
    <t xml:space="preserve">                As doses médias em cortes múltiplos estimadas atendem os requisitos da Portaria 453/98 da SVS/MS.</t>
  </si>
  <si>
    <t xml:space="preserve"> Dose Glandular Média com LiF</t>
  </si>
  <si>
    <t>Manual</t>
  </si>
  <si>
    <t>Semiautomático</t>
  </si>
  <si>
    <t>Ct.Gt</t>
  </si>
  <si>
    <t>S</t>
  </si>
  <si>
    <t>Lote</t>
  </si>
  <si>
    <t>Fator do Lote</t>
  </si>
  <si>
    <t>A</t>
  </si>
  <si>
    <t>B</t>
  </si>
  <si>
    <t>C</t>
  </si>
  <si>
    <t>D</t>
  </si>
  <si>
    <t>E</t>
  </si>
  <si>
    <t>F</t>
  </si>
  <si>
    <t>H</t>
  </si>
  <si>
    <t>J</t>
  </si>
  <si>
    <t>K</t>
  </si>
  <si>
    <t>V</t>
  </si>
  <si>
    <t>Foco</t>
  </si>
  <si>
    <t>DMG</t>
  </si>
  <si>
    <t>PRODUCT OF CONVERSION FACTORS g AND c FOR CALCULATING DG FOR STANDARDBREASTS FROM MEASUREMENTS WITH DIFFERENT THICKNESSES OF PMMA PHANTOM</t>
  </si>
  <si>
    <t>Product of g and c factors 
HVL (mm Al)</t>
  </si>
  <si>
    <t>PMMA thickness (mm)</t>
  </si>
  <si>
    <t>Equivalent breast thickness (mm)</t>
  </si>
  <si>
    <t>Fibroglandular proportion of equivalent breast (%)</t>
  </si>
  <si>
    <t>0,3</t>
  </si>
  <si>
    <t>0,35</t>
  </si>
  <si>
    <t>0,4</t>
  </si>
  <si>
    <t>0,45</t>
  </si>
  <si>
    <t>0,5</t>
  </si>
  <si>
    <t>0,55</t>
  </si>
  <si>
    <t>Target–filter combination</t>
  </si>
  <si>
    <t>Filter thickness (μm)</t>
  </si>
  <si>
    <t>s factor</t>
  </si>
  <si>
    <t xml:space="preserve"> 50–75</t>
  </si>
  <si>
    <t>1,075</t>
  </si>
  <si>
    <t>1,104</t>
  </si>
  <si>
    <t>1,134</t>
  </si>
  <si>
    <t>1,149</t>
  </si>
  <si>
    <t>1,160</t>
  </si>
  <si>
    <t>1,181</t>
  </si>
  <si>
    <t>1,198</t>
  </si>
  <si>
    <t>1,208</t>
  </si>
  <si>
    <t xml:space="preserve"> ACCEPTABLE AND ACHIEVABLE LIMITS FOR MEAN GLANDULAR DOSE (DG)</t>
  </si>
  <si>
    <t>Thickness of PMMA (mm)</t>
  </si>
  <si>
    <t>Thickness of equivalent breast (mm)</t>
  </si>
  <si>
    <t>Acceptable level for DG to equivalent breast (mGy)</t>
  </si>
  <si>
    <t>Achievable level for DG to equivalent breast (mGy)</t>
  </si>
  <si>
    <t>5. INSTRUMENTAÇÃO UTILIZADA:</t>
  </si>
  <si>
    <t>4. DOSE GLANDULAR MÉDIA (DGM) PARA MAMOGRAFIA</t>
  </si>
  <si>
    <t>Modo</t>
  </si>
  <si>
    <t>Regime de exposição</t>
  </si>
  <si>
    <t>Anexo II IN 54/19 ANVISA</t>
  </si>
  <si>
    <t>Espessuras</t>
  </si>
  <si>
    <t>DGM [mGy]</t>
  </si>
  <si>
    <t>Referência</t>
  </si>
  <si>
    <t>Tolerância (&lt;)</t>
  </si>
  <si>
    <t>Mama</t>
  </si>
  <si>
    <t>Esp. Mama [cm]</t>
  </si>
  <si>
    <t>PMMA [mm]</t>
  </si>
  <si>
    <t>Mama eq [cm]</t>
  </si>
  <si>
    <t>LiF 1 (Leitura 1)</t>
  </si>
  <si>
    <t>LiF 1 (Leitura 2)</t>
  </si>
  <si>
    <t>LiF 2 (Leitura 1)</t>
  </si>
  <si>
    <t>LiF 2 (Leitura 2)</t>
  </si>
  <si>
    <t xml:space="preserve">LiF 1 (Leitura 1): </t>
  </si>
  <si>
    <t xml:space="preserve">LiF 1 (Leitura 2): </t>
  </si>
  <si>
    <t xml:space="preserve">LiF 2 (Leitura 1): </t>
  </si>
  <si>
    <t xml:space="preserve">LiF 2 (Leitura 2): </t>
  </si>
  <si>
    <t xml:space="preserve">Fat. Lote: </t>
  </si>
  <si>
    <t xml:space="preserve">Fat Rad: </t>
  </si>
  <si>
    <t xml:space="preserve">Lote: </t>
  </si>
  <si>
    <t xml:space="preserve">Média LiF1 e LiF2 = </t>
  </si>
  <si>
    <t>G x C (HVL)</t>
  </si>
  <si>
    <r>
      <rPr>
        <b/>
        <sz val="11"/>
        <color rgb="FFFF0000"/>
        <rFont val="Calibri"/>
        <family val="2"/>
        <scheme val="minor"/>
      </rPr>
      <t>S FACTORS</t>
    </r>
    <r>
      <rPr>
        <b/>
        <sz val="11"/>
        <color theme="1"/>
        <rFont val="Calibri"/>
        <family val="2"/>
        <scheme val="minor"/>
      </rPr>
      <t xml:space="preserve"> FOR SELECTED TARGET–FILTER COMBINATIONS</t>
    </r>
  </si>
  <si>
    <t>50–60</t>
  </si>
  <si>
    <r>
      <rPr>
        <b/>
        <sz val="11"/>
        <color rgb="FFFF0000"/>
        <rFont val="Calibri"/>
        <family val="2"/>
        <scheme val="minor"/>
      </rPr>
      <t>S FACTORS</t>
    </r>
    <r>
      <rPr>
        <b/>
        <sz val="11"/>
        <color theme="1"/>
        <rFont val="Calibri"/>
        <family val="2"/>
        <scheme val="minor"/>
      </rPr>
      <t xml:space="preserve"> FOR </t>
    </r>
    <r>
      <rPr>
        <b/>
        <sz val="11"/>
        <color rgb="FFFF0000"/>
        <rFont val="Calibri"/>
        <family val="2"/>
        <scheme val="minor"/>
      </rPr>
      <t>TUNGSTEN TARGET</t>
    </r>
    <r>
      <rPr>
        <b/>
        <sz val="11"/>
        <color theme="1"/>
        <rFont val="Calibri"/>
        <family val="2"/>
        <scheme val="minor"/>
      </rPr>
      <t xml:space="preserve"> FILTERED BY 0.5 mm OF ALUMINIUM </t>
    </r>
  </si>
  <si>
    <t>Média</t>
  </si>
  <si>
    <t>Mama [cm]</t>
  </si>
  <si>
    <t>OBS: Dgranular = Gt.Ct.S.Kit</t>
  </si>
  <si>
    <t>Dose LiF [mGy]</t>
  </si>
  <si>
    <t>K.it [mGy]</t>
  </si>
  <si>
    <t>OBS: mAs = mA x s</t>
  </si>
  <si>
    <t>Tipo de revelação</t>
  </si>
  <si>
    <t xml:space="preserve">               Os EPIs com indicação do Certificado de Aprovação – CA ou do Certificado de Conformidade emitido no âmbito do SINMETRO ou, ainda, de Laudo de Ensaio emitido por laboratório acreditado pelo INMETRO também podem ser utilizados por trabalhadores.</t>
  </si>
  <si>
    <t>Medição:</t>
  </si>
  <si>
    <t>Observou-se não uniformidade nos tons de cinza de funda da imagem do fantoma de mama.</t>
  </si>
  <si>
    <t>Só CQ semestral?</t>
  </si>
  <si>
    <t xml:space="preserve">                Sugere-se limpar periodicamente a tampa de acrílico dos negatoscópios, trocar ou limpar as lâmpadas fluorescentes e revestir as paredes internas do equipamento com papel alumínio (cuidando para não interferir na fiação elétrica do equipamento). Estas medidas aumentam a luminância e melhoram a uniformidade da mesma.</t>
  </si>
  <si>
    <t>t selec.</t>
  </si>
  <si>
    <t>FLUKE</t>
  </si>
  <si>
    <t>Calculo avulso com LiF teste - NÃO APARECE NO LAUDO</t>
  </si>
  <si>
    <t>Os artefatos observados nas imagens radiográficas podem ocasionar um resultado falso-positivo nos laudos de mamografia. Recomenda-se a limpeza das placas de imagem.</t>
  </si>
  <si>
    <t xml:space="preserve">Solicita-se que as imagens sejam devidamente identificas e impressas em tamanho real para possibilitar adequada visualização e avaliação. </t>
  </si>
  <si>
    <t>As imagens dos testes de fantoma estão muito enegrecidas, o que indica o velamento dos filmes radiográficos. Recomenda-se o controle da temperatura do local onde os filmes radiográficos são armazenados, bem como maior cuidado no manuseio da caixa de filmes.</t>
  </si>
  <si>
    <t>Foram observados artefatos nas imagens e nos filmes radiográficos, os quais podem degradar a qualidade de imagem. Recomenda-se a limpeza das placas de imagem.</t>
  </si>
  <si>
    <t>Recomenda-se a limpeza das placas de imagem.</t>
  </si>
  <si>
    <t>Verificou-se que nas imagens com exposição automática, o mAs obtido foi baixo. Isto indica falha na detecção do fantoma pelo mamógrafo. Recomenda-se maior atenção e cuidado para posicionar o fantoma de forma correta.</t>
  </si>
  <si>
    <t xml:space="preserve">               É proibida a realização simultânea de procedimentos radiológicos em equipamentos distintos, em uma mesma sala.</t>
  </si>
  <si>
    <t>Há mais de um equipamento de raios X na mesma sala?</t>
  </si>
  <si>
    <t>Carga de trabalho (W)</t>
  </si>
  <si>
    <t xml:space="preserve">Foram observados artefatos que degradam a qualidade da imagem. As estruturas analisadas apresentam baixo contraste, impedindo a adequada diferenciação nos tons de cinza, dificultando assim a visualização do número mínimo de estruturas exigidas pela legislação. A imagem também apresentou baixa resolução espacial (estruturas sem definição nas bordas) e alto ruído (imagem granulada). </t>
  </si>
  <si>
    <t xml:space="preserve">Observa-se baixo contraste nas imagens radiográficas, impossibilitando a visualização mínimas das estruturas do fantoma. Aconselha-se verificar a necessidade de manutenção corretiva ou calibração do mamógrafo ou da processadora/impressora. </t>
  </si>
  <si>
    <t>Vestimentas plumbíferas</t>
  </si>
  <si>
    <t>Acessórios</t>
  </si>
  <si>
    <t>LAUDO TÉCNICO DE DESEMPENHO DOS ACESSÓRIOS</t>
  </si>
  <si>
    <t>Dose efetiva [E] = DLP x k</t>
  </si>
  <si>
    <t>CTDIvol = CTDIw/pitch</t>
  </si>
  <si>
    <t>CTDIw = P(Head ou Body) x CTDIar</t>
  </si>
  <si>
    <r>
      <t>CTDI</t>
    </r>
    <r>
      <rPr>
        <vertAlign val="subscript"/>
        <sz val="11"/>
        <color theme="1"/>
        <rFont val="Calibri"/>
        <family val="2"/>
        <scheme val="minor"/>
      </rPr>
      <t>100</t>
    </r>
    <r>
      <rPr>
        <sz val="11"/>
        <color theme="1"/>
        <rFont val="Calibri"/>
        <family val="2"/>
        <scheme val="minor"/>
      </rPr>
      <t xml:space="preserve"> medido</t>
    </r>
  </si>
  <si>
    <t>P(Head ou Body) é o fator do fantoma</t>
  </si>
  <si>
    <t>Fator de calibração:</t>
  </si>
  <si>
    <t>Cabeça (adulto)</t>
  </si>
  <si>
    <t>Abdome (adulto)</t>
  </si>
  <si>
    <t>Abdome (pediátrico)</t>
  </si>
  <si>
    <t>Espessura de corte (T) [mm]</t>
  </si>
  <si>
    <t>Número de canais (N)</t>
  </si>
  <si>
    <t>Incremento (I) [mm] ou deslocamento da mesa (I) [mm/rot]</t>
  </si>
  <si>
    <t>CTDIvol [mGy]</t>
  </si>
  <si>
    <t>DLP [mGy.cm]</t>
  </si>
  <si>
    <t>E [mSv]</t>
  </si>
  <si>
    <t>CTDI100 = CTDI measured with a 100 mm ionization chamber</t>
  </si>
  <si>
    <t>DLP = CTDIvol x L</t>
  </si>
  <si>
    <r>
      <t>CTDI</t>
    </r>
    <r>
      <rPr>
        <vertAlign val="subscript"/>
        <sz val="11"/>
        <color theme="1"/>
        <rFont val="Calibri"/>
        <family val="2"/>
        <scheme val="minor"/>
      </rPr>
      <t>100</t>
    </r>
    <r>
      <rPr>
        <sz val="11"/>
        <color theme="1"/>
        <rFont val="Calibri"/>
        <family val="2"/>
        <scheme val="minor"/>
      </rPr>
      <t xml:space="preserve"> calculado</t>
    </r>
  </si>
  <si>
    <t>CTDIw = 1/3CTDI100central + 2/3CTDI100periferia</t>
  </si>
  <si>
    <t>F. Correção do comprimento irradiado no detector</t>
  </si>
  <si>
    <t>Disparo - Central</t>
  </si>
  <si>
    <t>Disparo - 3h</t>
  </si>
  <si>
    <t>Disparo - 6h</t>
  </si>
  <si>
    <t>Disparo - 9h</t>
  </si>
  <si>
    <t>Disparo - 12h</t>
  </si>
  <si>
    <t>medido - Central</t>
  </si>
  <si>
    <t>medido - 3h</t>
  </si>
  <si>
    <t>medido - 6h</t>
  </si>
  <si>
    <t>medido - 9h</t>
  </si>
  <si>
    <t>medido - 12h</t>
  </si>
  <si>
    <t>Ref. máxima IN 55</t>
  </si>
  <si>
    <t>modo</t>
  </si>
  <si>
    <r>
      <t>CTDI</t>
    </r>
    <r>
      <rPr>
        <b/>
        <vertAlign val="subscript"/>
        <sz val="11"/>
        <color theme="1"/>
        <rFont val="Calibri"/>
        <family val="2"/>
        <scheme val="minor"/>
      </rPr>
      <t>100</t>
    </r>
  </si>
  <si>
    <t>Valores em mGy</t>
  </si>
  <si>
    <t>CTDIw [mGy]</t>
  </si>
  <si>
    <t>Comprimento detector</t>
  </si>
  <si>
    <t>CTDIw corrigido [mGy]</t>
  </si>
  <si>
    <t xml:space="preserve">                                                   Valor representativo de dose - CDTIvol</t>
  </si>
  <si>
    <t xml:space="preserve">                A razão dos valores de taxa de dose está fora da faixa de tolerância (&gt; 0,5). Recomenda-se o ajuste.</t>
  </si>
  <si>
    <t>Centro vertical</t>
  </si>
  <si>
    <t>Centro horizontal</t>
  </si>
  <si>
    <t>Lado superior</t>
  </si>
  <si>
    <t>Lado inferior</t>
  </si>
  <si>
    <t>Lado esquerdo</t>
  </si>
  <si>
    <t>Lado direito</t>
  </si>
  <si>
    <t>descrição</t>
  </si>
  <si>
    <t>distorção</t>
  </si>
  <si>
    <t>Maior distorção</t>
  </si>
  <si>
    <t xml:space="preserve">                 A distorção geométrica está fora de tolerância (2 %). A configuração ou a calibração do software de medição incorporado deve ser ajustada.</t>
  </si>
  <si>
    <t>mm de acrílico</t>
  </si>
  <si>
    <t>Restrição [%] &lt;</t>
  </si>
  <si>
    <t>CNR</t>
  </si>
  <si>
    <t>Desvio padrão com placa de Al</t>
  </si>
  <si>
    <t>Sistema de Registro de Imagem</t>
  </si>
  <si>
    <t>Razão contraste ruído (CNR)</t>
  </si>
  <si>
    <t>Data do laudo anterior (revisita):</t>
  </si>
  <si>
    <t>Resultados possíveis</t>
  </si>
  <si>
    <t>Bom</t>
  </si>
  <si>
    <t xml:space="preserve">Certificado: </t>
  </si>
  <si>
    <t>Planilha do Multimedidor:</t>
  </si>
  <si>
    <t>RADCAL</t>
  </si>
  <si>
    <t>MULTIPARÂMETRO</t>
  </si>
  <si>
    <t>Dose</t>
  </si>
  <si>
    <r>
      <t xml:space="preserve">CERTIFICADOS: </t>
    </r>
    <r>
      <rPr>
        <b/>
        <sz val="10"/>
        <color theme="1"/>
        <rFont val="Arial Black"/>
        <family val="2"/>
      </rPr>
      <t>quando seleciona aparece qual informação nos laudos?</t>
    </r>
  </si>
  <si>
    <t>CSR minima - Anexo 2 da IN 56/19</t>
  </si>
  <si>
    <t>Equipamento utilizado para medida de dose/CTDI em TC</t>
  </si>
  <si>
    <t>CTDI Indicado</t>
  </si>
  <si>
    <t>Scan length (L = N.T) [mm]</t>
  </si>
  <si>
    <r>
      <t xml:space="preserve">                A qualidade da imagem é função do conjunto de equipamentos formado pelo mamógrafo e pelo sistema de revelação utilizado. É possível que apenas um ou ambos estejam em </t>
    </r>
    <r>
      <rPr>
        <b/>
        <sz val="12"/>
        <rFont val="Arial"/>
        <family val="2"/>
      </rPr>
      <t>NÍVEL DE RESTRIÇÃO</t>
    </r>
    <r>
      <rPr>
        <sz val="12"/>
        <rFont val="Arial"/>
        <family val="2"/>
      </rPr>
      <t>. Deve ser verificado o controle de qualidade do mamógrafo e do sistema de revelação.</t>
    </r>
  </si>
  <si>
    <t xml:space="preserve">                 Para salas com equipamentos fixos ou utilizados como fixos, cortina ou saiote plumbífero inferior/lateral íntegros para a proteção do operador contra a radiação espalhada pelo paciente, com espessura não inferior a 0,5 mm (cinco décimos de milímetro) equivalente de chumbo, a 100 kVp (cem quilovolts de pico). Este critério não é aplicável a equipamentos com tubo de raios X instalado sobre a mesa.</t>
  </si>
  <si>
    <t xml:space="preserve"> &lt;-- ATENÇÃO ao texto que aparece no laudo</t>
  </si>
  <si>
    <t xml:space="preserve">                  Sistema de dosimetria pessoal certificado pelo IRD/CNEN sob o código 010.02TL.</t>
  </si>
  <si>
    <t>mAs máximo comumente utilizado</t>
  </si>
  <si>
    <t>Carga de trabalho = Radiografias/Semana x Corrente [mA] x tempo [s] / 60 [s/min]</t>
  </si>
  <si>
    <t>W pre calculados</t>
  </si>
  <si>
    <t>P453</t>
  </si>
  <si>
    <t>tempo medido</t>
  </si>
  <si>
    <t>mAs informado</t>
  </si>
  <si>
    <t>Radiografias &amp; P453</t>
  </si>
  <si>
    <t>Inf. Utilizadas</t>
  </si>
  <si>
    <t>Corrente (mA) funcionando abaixo de 80 mA?</t>
  </si>
  <si>
    <t>Exatidão do indicador de dose do detector DR</t>
  </si>
  <si>
    <t>distância foco-receptor</t>
  </si>
  <si>
    <t>desalinhamento máximo</t>
  </si>
  <si>
    <t>Distorção geométrica do DR</t>
  </si>
  <si>
    <t>Uniformidade da imagem do DR</t>
  </si>
  <si>
    <t>foco fino ou único</t>
  </si>
  <si>
    <t xml:space="preserve">Equipamentos testados: </t>
  </si>
  <si>
    <t>Negatoscópios</t>
  </si>
  <si>
    <t>Monitores</t>
  </si>
  <si>
    <t>HVL nominal [mm]</t>
  </si>
  <si>
    <t>HVL medido [mm]</t>
  </si>
  <si>
    <t>Escolher HVL nominal que mais se aproxima do HVL medido.</t>
  </si>
  <si>
    <t>EM DIREÇÃO AO PACIENTE, o campo de radiação é menor que a área do receptor?</t>
  </si>
  <si>
    <t>Ponto focal</t>
  </si>
  <si>
    <t>mm nominal</t>
  </si>
  <si>
    <t>Tem indicação do ponto focal?</t>
  </si>
  <si>
    <t>Média Al</t>
  </si>
  <si>
    <t>DP Al</t>
  </si>
  <si>
    <t>Média 1</t>
  </si>
  <si>
    <t>DP 1</t>
  </si>
  <si>
    <t>Média 2</t>
  </si>
  <si>
    <t>DP 2</t>
  </si>
  <si>
    <t>Média 3</t>
  </si>
  <si>
    <t>DP 3</t>
  </si>
  <si>
    <t>Média 4</t>
  </si>
  <si>
    <t>DP 4</t>
  </si>
  <si>
    <t>Média (1 a 4)</t>
  </si>
  <si>
    <t>Desvio padrão (1 a 4)</t>
  </si>
  <si>
    <t>Traseiro esquerda</t>
  </si>
  <si>
    <t>Traseiro direita</t>
  </si>
  <si>
    <t>Frontal esquerda</t>
  </si>
  <si>
    <t>Frontal direita</t>
  </si>
  <si>
    <t xml:space="preserve">kg </t>
  </si>
  <si>
    <t>ROI</t>
  </si>
  <si>
    <t>Desv Pad</t>
  </si>
  <si>
    <t>Todo fantoma</t>
  </si>
  <si>
    <t>Superior esquerdo</t>
  </si>
  <si>
    <t>Superior direito</t>
  </si>
  <si>
    <t>Inferior esquerdo</t>
  </si>
  <si>
    <t>Inferior direito</t>
  </si>
  <si>
    <t xml:space="preserve"> cm</t>
  </si>
  <si>
    <t>Outro (digite)</t>
  </si>
  <si>
    <t>Multislice ou Helicoidal</t>
  </si>
  <si>
    <t>Ver fotos</t>
  </si>
  <si>
    <t xml:space="preserve">CTDIvol INDICADO </t>
  </si>
  <si>
    <t xml:space="preserve">Exatidão [%] </t>
  </si>
  <si>
    <t xml:space="preserve">DLP [mGy.cm] INDICADO </t>
  </si>
  <si>
    <t>Scan length                                   (L = DLP/CTDIvol) [mm]</t>
  </si>
  <si>
    <t>Valores da planilha de doses</t>
  </si>
  <si>
    <t>8. VALIDADE:</t>
  </si>
  <si>
    <t>Radiação de fuga do cabeçote @ 1 m</t>
  </si>
  <si>
    <r>
      <t>CTDI</t>
    </r>
    <r>
      <rPr>
        <b/>
        <vertAlign val="subscript"/>
        <sz val="11"/>
        <color theme="1"/>
        <rFont val="Calibri"/>
        <family val="2"/>
        <scheme val="minor"/>
      </rPr>
      <t>100</t>
    </r>
    <r>
      <rPr>
        <b/>
        <sz val="11"/>
        <color theme="1"/>
        <rFont val="Calibri"/>
        <family val="2"/>
        <scheme val="minor"/>
      </rPr>
      <t xml:space="preserve"> calculado</t>
    </r>
  </si>
  <si>
    <t>protocolo padrão de teste de números de CT</t>
  </si>
  <si>
    <t>CT mais próximo de -1000</t>
  </si>
  <si>
    <r>
      <rPr>
        <sz val="11"/>
        <color theme="1"/>
        <rFont val="Symbol"/>
        <family val="1"/>
        <charset val="2"/>
      </rPr>
      <t>s</t>
    </r>
    <r>
      <rPr>
        <sz val="11"/>
        <color theme="1"/>
        <rFont val="Calibri"/>
        <family val="2"/>
        <scheme val="minor"/>
      </rPr>
      <t xml:space="preserve"> </t>
    </r>
  </si>
  <si>
    <t>Protocolo padrão para testes de números de CT</t>
  </si>
  <si>
    <r>
      <rPr>
        <b/>
        <sz val="11"/>
        <color theme="1"/>
        <rFont val="Symbol"/>
        <family val="1"/>
        <charset val="2"/>
      </rPr>
      <t>¬</t>
    </r>
    <r>
      <rPr>
        <b/>
        <sz val="11"/>
        <color theme="1"/>
        <rFont val="Calibri"/>
        <family val="2"/>
        <scheme val="minor"/>
      </rPr>
      <t>ruído laudo</t>
    </r>
  </si>
  <si>
    <r>
      <rPr>
        <b/>
        <sz val="11"/>
        <color theme="1"/>
        <rFont val="Symbol"/>
        <family val="1"/>
        <charset val="2"/>
      </rPr>
      <t>¬</t>
    </r>
    <r>
      <rPr>
        <b/>
        <sz val="11"/>
        <color theme="1"/>
        <rFont val="Calibri"/>
        <family val="2"/>
        <scheme val="minor"/>
      </rPr>
      <t>ruído ar</t>
    </r>
  </si>
  <si>
    <t>Tem Indicação de ponto focal?</t>
  </si>
  <si>
    <t>Temporizador</t>
  </si>
  <si>
    <t>Panorâmico / Tomo</t>
  </si>
  <si>
    <t>Cefalometria</t>
  </si>
  <si>
    <t>Números de CT (exatidão, ruído e uniformidade)</t>
  </si>
  <si>
    <t>Protocolo padrão para teste dos números de CT</t>
  </si>
  <si>
    <t>Exatidão [%]:</t>
  </si>
  <si>
    <t>Modo de operação</t>
  </si>
  <si>
    <t>Tamanho de campo em relação ao receptor de imagem</t>
  </si>
  <si>
    <t>Tamanho de campo - Cefalometria</t>
  </si>
  <si>
    <t xml:space="preserve">                 Está proibida a utilização de equipamentos de raios X extraoral sem indicação de kVp, mA e tempo ou mAs no painel de comando.</t>
  </si>
  <si>
    <t>Portátil</t>
  </si>
  <si>
    <t xml:space="preserve">   Exatidão da alta tensão (kVp)</t>
  </si>
  <si>
    <t xml:space="preserve">   Rendimento do tubo e camada semiredutora</t>
  </si>
  <si>
    <t xml:space="preserve">   Temporizador e linearidade</t>
  </si>
  <si>
    <t>D. Foco-receptor [cm]</t>
  </si>
  <si>
    <t>D. Foco-detector [cm]</t>
  </si>
  <si>
    <t>Dose calculada [mGy]</t>
  </si>
  <si>
    <t>Distância mesa-receptor:</t>
  </si>
  <si>
    <t>Distância bucky-receptor:</t>
  </si>
  <si>
    <t>Tem indicação de ponto focal?</t>
  </si>
  <si>
    <t>O cabo disparador tem comprimento para acionamento a 2 metros?</t>
  </si>
  <si>
    <t>Localizador e sistema de colimação</t>
  </si>
  <si>
    <t>Distância foco-saída do localizador</t>
  </si>
  <si>
    <t>Diâmetro da saída do localizador</t>
  </si>
  <si>
    <t>Fuga de radiação pelo cabeçote</t>
  </si>
  <si>
    <t>Digitar na planilha de LR</t>
  </si>
  <si>
    <t>kV, Reprodutibilidade e rendimento</t>
  </si>
  <si>
    <t>Discos visíveis</t>
  </si>
  <si>
    <t>Conjuntos de barras visíveis</t>
  </si>
  <si>
    <t>Resultado</t>
  </si>
  <si>
    <t xml:space="preserve">                Após a realização do teste de aceitação ou dos testes completos de desempenho, incluindo avaliação do equipamento de raios X e receptores de imagem, deve-se produzir 1 (uma) imagem da ferramenta de teste, para ser utilizada como referência para o teste de qualidade da imagem.</t>
  </si>
  <si>
    <t>Qtd</t>
  </si>
  <si>
    <t>Fantoma OD-FTOD, Konex</t>
  </si>
  <si>
    <t>Resolução de baixo contraste</t>
  </si>
  <si>
    <t xml:space="preserve"> nominal</t>
  </si>
  <si>
    <t xml:space="preserve"> tal qual aparecerá no laudo</t>
  </si>
  <si>
    <t>Medido</t>
  </si>
  <si>
    <t xml:space="preserve">                 A qualidade da imagem está abaixo do padrão definido na imagem de referência. O serviço de radiologia deve estabelecer e implementar padrões de qualidade de imagem, garantir a sua manutenção, e assegurar que os equipamentos sejam operados apenas dentro das condições de uso estabelecidas.</t>
  </si>
  <si>
    <t>Deslocar 300 mm</t>
  </si>
  <si>
    <t>Retornar ao Zero</t>
  </si>
  <si>
    <t>Sinalizações sonoras e luminosas</t>
  </si>
  <si>
    <t>Tem seletor de quadro/s</t>
  </si>
  <si>
    <t xml:space="preserve">Visualização: </t>
  </si>
  <si>
    <t>Placa bem circular na imagem</t>
  </si>
  <si>
    <t>Alinhamento do feixe</t>
  </si>
  <si>
    <t>Receptor de imagem</t>
  </si>
  <si>
    <t>NS</t>
  </si>
  <si>
    <t xml:space="preserve">                A radiação de fuga do cabeçote está fora de tolerância (≤ 0,25 mGy/h a 1 m). A blindagem do cabeçote deve ser consertada.</t>
  </si>
  <si>
    <t>Exatidão da alta tensão (kVp)</t>
  </si>
  <si>
    <t>Alvo / Filtro</t>
  </si>
  <si>
    <t>Sala de radiologia</t>
  </si>
  <si>
    <t>Aviso "quando a luz vermelha estiver acesa, a entrada é proibida" em todas as portas</t>
  </si>
  <si>
    <t>Aviso de EPI, acompanhante e grávidas em todas as portas</t>
  </si>
  <si>
    <t>Aviso de EPI, acompanhante e grávidas dentro da sala</t>
  </si>
  <si>
    <t>Protocolo de técnicas radiográficas no comando ou junto ao comando</t>
  </si>
  <si>
    <t>Câmara escura</t>
  </si>
  <si>
    <t>Exaustor de ar</t>
  </si>
  <si>
    <t>Pia com torneira dentro da câmara escura</t>
  </si>
  <si>
    <t>Luz vermelha em cima de todas as portas de acesso</t>
  </si>
  <si>
    <t>Trifólio em todas as portas de acesso</t>
  </si>
  <si>
    <t>Da cabine de comando é possível observar o paciente</t>
  </si>
  <si>
    <t>Da cabine de comando é possível observar as portas de acesso</t>
  </si>
  <si>
    <t>Serviço de radiologia</t>
  </si>
  <si>
    <t>Tem PGR conforme NR-01</t>
  </si>
  <si>
    <t>A exposição à RI está prevista no PGR</t>
  </si>
  <si>
    <t>O programa de treinamento está sendo executado</t>
  </si>
  <si>
    <t>Tem PPR conforme NR-32</t>
  </si>
  <si>
    <t>Usa dosímetro</t>
  </si>
  <si>
    <t xml:space="preserve">               Todos os EPIs testados estão íntegros e em condições adequadas de uso.</t>
  </si>
  <si>
    <t>60</t>
  </si>
  <si>
    <t>Tabelas DGM (AIEA HHS 17, pg114) - Não mexer</t>
  </si>
  <si>
    <t>mSv</t>
  </si>
  <si>
    <t>mR</t>
  </si>
  <si>
    <t>µSv</t>
  </si>
  <si>
    <t>Conversão de unidades</t>
  </si>
  <si>
    <t>ASCII</t>
  </si>
  <si>
    <t>48</t>
  </si>
  <si>
    <t>49</t>
  </si>
  <si>
    <t>50</t>
  </si>
  <si>
    <t>51</t>
  </si>
  <si>
    <t>52</t>
  </si>
  <si>
    <t>53</t>
  </si>
  <si>
    <t>54</t>
  </si>
  <si>
    <t>55</t>
  </si>
  <si>
    <t>56</t>
  </si>
  <si>
    <t>57</t>
  </si>
  <si>
    <t>58</t>
  </si>
  <si>
    <t>59</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</si>
  <si>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</si>
  <si>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</si>
  <si>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</si>
  <si>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</si>
  <si>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</si>
  <si>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</si>
  <si>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</si>
  <si>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</si>
  <si>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</si>
  <si>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</si>
  <si>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</si>
  <si>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</si>
  <si>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</si>
  <si>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</si>
  <si>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</si>
  <si>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</si>
  <si>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</si>
  <si>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</si>
  <si>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</si>
  <si>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</si>
  <si>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</si>
  <si>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</si>
  <si>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</si>
  <si>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</si>
  <si>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</si>
  <si>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</si>
  <si>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</si>
  <si>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</si>
  <si>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</si>
  <si>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</si>
  <si>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Valor ascii</t>
  </si>
  <si>
    <t>Validação Etiqueta QR code</t>
  </si>
  <si>
    <t>Sala / Setor:</t>
  </si>
  <si>
    <t>Etiqueta:</t>
  </si>
  <si>
    <t>Código:</t>
  </si>
  <si>
    <t>mGy/mAs</t>
  </si>
  <si>
    <r>
      <rPr>
        <b/>
        <sz val="11"/>
        <rFont val="Calibri"/>
        <family val="2"/>
      </rPr>
      <t>←   OBS:</t>
    </r>
    <r>
      <rPr>
        <sz val="11"/>
        <rFont val="Calibri"/>
        <family val="2"/>
      </rPr>
      <t xml:space="preserve"> SE mGY estiver ruim, ver mGy/mAs pois provavelmente quem fez a medição fez errado!</t>
    </r>
  </si>
  <si>
    <t>Espessura da mama equivalente</t>
  </si>
  <si>
    <t>Exatidão (razão medido/indicado)</t>
  </si>
  <si>
    <t>Exatidão do sistema de colimação (razão medido/indicado)</t>
  </si>
  <si>
    <t xml:space="preserve">Exatidão do indicador (IN 55): </t>
  </si>
  <si>
    <t>Fantoma utilizado</t>
  </si>
  <si>
    <t>(Fino, Grosso ou Único)</t>
  </si>
  <si>
    <t>Ver se medidas conferem com o RQE e com a planilha Medidas Unfors.</t>
  </si>
  <si>
    <t>Imagem em que aparece o clipe?</t>
  </si>
  <si>
    <t>Quantidade de imagens adquiridas?</t>
  </si>
  <si>
    <t xml:space="preserve">                A uniformidade da imagem está fora de tolerância (10%). São possíveis causas: inomogeneidade da placa CR ou DR, desalinhamento da grade, efeito anódico e campo distorcido.</t>
  </si>
  <si>
    <t>Exatidão do indicador de campo luminoso</t>
  </si>
  <si>
    <t>W/Mo</t>
  </si>
  <si>
    <t>Mo</t>
  </si>
  <si>
    <t>Rh</t>
  </si>
  <si>
    <t>Base + véu</t>
  </si>
  <si>
    <t>Densidade média</t>
  </si>
  <si>
    <t>Diferença de DO</t>
  </si>
  <si>
    <t>LB B+V</t>
  </si>
  <si>
    <t>Degrau Base+Véu (1)</t>
  </si>
  <si>
    <t>LB Diferença de DO</t>
  </si>
  <si>
    <t>Degrau Densidade média (contraste = DegVel+4)</t>
  </si>
  <si>
    <t>Degrau Velocidade (DO ~ 1,3 + B+V)</t>
  </si>
  <si>
    <t xml:space="preserve">                 O serviço de radiologia deve estabelecer padrões de referência para o teste de  sensitometria. A tolerância para a diferença de densidades em relação ao Valor de Referência para cada passo de densidade é de 0,1. Sugere-se utilizar o Valor de Referência indicado nas especificações do fabricante ou o valor obtido no Teste de Aceitação ou no primeiro teste após reparos.</t>
  </si>
  <si>
    <t>adimensional</t>
  </si>
  <si>
    <t>ATENÇÃO: medir o tamanho de campo nas imagens.</t>
  </si>
  <si>
    <t>Haverá erros caso os campos sejam indicados como 0, 1, 2, ...</t>
  </si>
  <si>
    <t>←    Tempo máximo de exposição</t>
  </si>
  <si>
    <t>Contato</t>
  </si>
  <si>
    <t>f(mGy/s) @ 28kV</t>
  </si>
  <si>
    <t>mGy/s @ 28kV</t>
  </si>
  <si>
    <r>
      <rPr>
        <b/>
        <i/>
        <sz val="11"/>
        <color theme="1"/>
        <rFont val="Calibri"/>
        <family val="2"/>
        <scheme val="minor"/>
      </rPr>
      <t>Filtração Total</t>
    </r>
    <r>
      <rPr>
        <b/>
        <sz val="11"/>
        <color theme="1"/>
        <rFont val="Calibri"/>
        <family val="2"/>
        <scheme val="minor"/>
      </rPr>
      <t xml:space="preserve"> mínima [mm do filtro], IN 78, Art 2. III ...</t>
    </r>
  </si>
  <si>
    <t>Combinação anodo/filtro</t>
  </si>
  <si>
    <t>Tipo de mamógrafo:</t>
  </si>
  <si>
    <t>Tol</t>
  </si>
  <si>
    <t>Rest</t>
  </si>
  <si>
    <t>Distância Foco-Receptor</t>
  </si>
  <si>
    <t>Maior desvio medido</t>
  </si>
  <si>
    <t>Desvio para fora do bucky EM DIREÇÃO AO PACIENTE</t>
  </si>
  <si>
    <t xml:space="preserve">                    Razão contraste ruído (CNR) - somente para DR</t>
  </si>
  <si>
    <t>Exatidão do indicador de tensão do tubo</t>
  </si>
  <si>
    <t>exatidão [%]</t>
  </si>
  <si>
    <t>Laudo</t>
  </si>
  <si>
    <t xml:space="preserve">                A exatidão da alta tensão do tubo está fora de tolerância (5 %). Os circuitos eletrônicos que controlam a alta tensão do tubo devem ser ajustados.</t>
  </si>
  <si>
    <t>Ar</t>
  </si>
  <si>
    <t>Rest (±)</t>
  </si>
  <si>
    <r>
      <t>Tol (</t>
    </r>
    <r>
      <rPr>
        <b/>
        <sz val="11"/>
        <color theme="1"/>
        <rFont val="Calibri"/>
        <family val="2"/>
      </rPr>
      <t>±)</t>
    </r>
  </si>
  <si>
    <t>Exatidão do indicador do deslocamento da mesa</t>
  </si>
  <si>
    <t>Exatidão do indicador do posicionamento da mesa</t>
  </si>
  <si>
    <t>Digite</t>
  </si>
  <si>
    <t>Ruído [HU] - valor de referência estabelecido pelo cliente</t>
  </si>
  <si>
    <t>Digite os limites especificados pelo Fabricante</t>
  </si>
  <si>
    <t>Fazer tabela com: Marca, Modelo e níves de Tolerância especificados pelo fabricante.</t>
  </si>
  <si>
    <t>Ruído [HU]</t>
  </si>
  <si>
    <t>Esp. do fab. para a Uniformidade [HU]</t>
  </si>
  <si>
    <t>Valor representativo de dose no paciente:</t>
  </si>
  <si>
    <t>Linearidade da taxa de kerma no ar com o mAs</t>
  </si>
  <si>
    <t>Temporizador, Linearidade com o mAs e Valor representativo de dose (taxa de kerma na entrada da pele)</t>
  </si>
  <si>
    <t>Reprodutibilidade do kerma no ar</t>
  </si>
  <si>
    <t xml:space="preserve">                A reprodutibilidade do kerma no ar está fora de tolerância (10 %) devido a falha no circuito eletrônico que controla a corrente anódica.</t>
  </si>
  <si>
    <t>Requisitos gerais e de segurança</t>
  </si>
  <si>
    <t>O cabo disparador tem comprimento para acionamento à 2 metros ou mais?</t>
  </si>
  <si>
    <t xml:space="preserve"> kVp</t>
  </si>
  <si>
    <t>mGy indicado no DR</t>
  </si>
  <si>
    <r>
      <t>Dimensões da placa amarela [</t>
    </r>
    <r>
      <rPr>
        <b/>
        <sz val="11"/>
        <color rgb="FFFF0000"/>
        <rFont val="Calibri"/>
        <family val="2"/>
        <scheme val="minor"/>
      </rPr>
      <t>mm</t>
    </r>
    <r>
      <rPr>
        <sz val="11"/>
        <color theme="1"/>
        <rFont val="Calibri"/>
        <family val="2"/>
        <scheme val="minor"/>
      </rPr>
      <t>]</t>
    </r>
  </si>
  <si>
    <r>
      <t xml:space="preserve">valor medido com a ferramenta </t>
    </r>
    <r>
      <rPr>
        <b/>
        <sz val="11"/>
        <color theme="1"/>
        <rFont val="Calibri"/>
        <family val="2"/>
        <scheme val="minor"/>
      </rPr>
      <t>ROI</t>
    </r>
  </si>
  <si>
    <r>
      <t xml:space="preserve">valor nominal medido com a </t>
    </r>
    <r>
      <rPr>
        <b/>
        <sz val="11"/>
        <color theme="1"/>
        <rFont val="Calibri"/>
        <family val="2"/>
        <scheme val="minor"/>
      </rPr>
      <t>trena</t>
    </r>
  </si>
  <si>
    <t>Dimensões da placa amarela, medidas com a trena</t>
  </si>
  <si>
    <t>Horizontal [mm]</t>
  </si>
  <si>
    <t>Vertical [mm]</t>
  </si>
  <si>
    <t>Variação comparada com:</t>
  </si>
  <si>
    <t>mm indicado após compressão</t>
  </si>
  <si>
    <t>B. Contraste</t>
  </si>
  <si>
    <t>Discos 11mm diâmetro</t>
  </si>
  <si>
    <t>Discos 0,5 mm diâmetro</t>
  </si>
  <si>
    <t>A. Contraste</t>
  </si>
  <si>
    <t>TOR CDR - Gray scale discs</t>
  </si>
  <si>
    <t>Disco 5,6 mm diâmetro</t>
  </si>
  <si>
    <t>TOR CDR - Resolução espacial</t>
  </si>
  <si>
    <t>TOR CDR - Resolução de Baixo Contraste, testar @ 70kVp + Filtro de 1mm de Cu</t>
  </si>
  <si>
    <t>TOR CDR - Resolução de Alto Contraste</t>
  </si>
  <si>
    <t>TOR 18FG - Resolução de Contraste</t>
  </si>
  <si>
    <t>TOR 18FG - Resolução Espacial</t>
  </si>
  <si>
    <t>Discos maiores</t>
  </si>
  <si>
    <t>Conjuntos de barras</t>
  </si>
  <si>
    <t>Res. de Baixo Contraste</t>
  </si>
  <si>
    <t>TOR_CDR</t>
  </si>
  <si>
    <t>Resolução (Espacial e de Contraste)</t>
  </si>
  <si>
    <t>FG</t>
  </si>
  <si>
    <t>RQE-3028-18</t>
  </si>
  <si>
    <t>4. VALORES REPRESENTATIVOS DE DOSE EM RADIOLOGIA ODONTOLÓGICA EXTRAORAL</t>
  </si>
  <si>
    <t>Valor de referência especificado pelo Fabricante</t>
  </si>
  <si>
    <t>Ref.</t>
  </si>
  <si>
    <t>Controle Automático de Exposição   &amp;   Razão Contraste Ruído do DR (se aplicável)</t>
  </si>
  <si>
    <t>Acrílico</t>
  </si>
  <si>
    <t>2 cm</t>
  </si>
  <si>
    <t>4,5 cm</t>
  </si>
  <si>
    <t>6 cm</t>
  </si>
  <si>
    <t>mAs ind</t>
  </si>
  <si>
    <t>DesvPad AI</t>
  </si>
  <si>
    <t>DesvPad 1</t>
  </si>
  <si>
    <t>DesvPad 2</t>
  </si>
  <si>
    <t>DesvPad 3</t>
  </si>
  <si>
    <t>DesvPad 4</t>
  </si>
  <si>
    <t>60 mm</t>
  </si>
  <si>
    <t>Média da placa de Alumínio (Al)</t>
  </si>
  <si>
    <t>Medições</t>
  </si>
  <si>
    <t>Resolução de (baixo) contraste</t>
  </si>
  <si>
    <t>Iluminäncia da sala</t>
  </si>
  <si>
    <t>RQE-3046-4 &amp; RQE-3053-2</t>
  </si>
  <si>
    <t>Padrão preto</t>
  </si>
  <si>
    <t>Padrão branco</t>
  </si>
  <si>
    <t>Razão max/min</t>
  </si>
  <si>
    <t>Razão (max+amb)/(min+amb)</t>
  </si>
  <si>
    <t>Condições do fantoma de "calibração" do cliente</t>
  </si>
  <si>
    <t>Compartimento de ÁGUA</t>
  </si>
  <si>
    <t>Tem compartimento de AR?</t>
  </si>
  <si>
    <t>Tem compartimento para teste de resolução espacial?</t>
  </si>
  <si>
    <t>Outro (adicionar)</t>
  </si>
  <si>
    <t>Marca do Fantoma utilizado para a resolução espacial</t>
  </si>
  <si>
    <t>Tórax em alta resolução</t>
  </si>
  <si>
    <t>Conj. Visualizados (maior melhor)</t>
  </si>
  <si>
    <t xml:space="preserve">Comprimento da varredura indicado no painel de comando </t>
  </si>
  <si>
    <t xml:space="preserve">Comprimento medido na mesa </t>
  </si>
  <si>
    <t>Radiação de fundo (Z)</t>
  </si>
  <si>
    <t>Kv</t>
  </si>
  <si>
    <t>RQE-3026-10</t>
  </si>
  <si>
    <t>RDC / IN (0,5/1 ou 5/10)</t>
  </si>
  <si>
    <t>HVL Pb [mm]</t>
  </si>
  <si>
    <t>Blindagem a adicionar [mm]</t>
  </si>
  <si>
    <t>Io</t>
  </si>
  <si>
    <t>I</t>
  </si>
  <si>
    <t>Armazenamento do dosímetro padrão</t>
  </si>
  <si>
    <t>3. METODOLOGIA</t>
  </si>
  <si>
    <t>4. CONSIDERAÇÕES GERAIS</t>
  </si>
  <si>
    <t xml:space="preserve">               Este é um documento de uso interno, que apresenta as informações coletadas no momento da visita técnica. Sua única finalidade é melhorar o atendimento à legislação federal. Caso alguma das melhorias indicadas abaixo já tenha sido implementada, basta desconsiderar o respectivo item. Este relatório não faz parte dos documentos solicitados pela Vigilância Sanitária para o licenciamento do serviço.</t>
  </si>
  <si>
    <r>
      <t xml:space="preserve">               Este relatório é uma</t>
    </r>
    <r>
      <rPr>
        <b/>
        <sz val="12"/>
        <rFont val="Arial"/>
        <family val="2"/>
      </rPr>
      <t xml:space="preserve"> cortesia da PRO-RAD</t>
    </r>
    <r>
      <rPr>
        <sz val="12"/>
        <rFont val="Arial"/>
        <family val="2"/>
      </rPr>
      <t>, entregue juntamente com o Laudo Técnico de Radiometria, Laudo Técnico de Insalubridade por Radiação Ionizante e Laudo de Levantamento Radiométrico.</t>
    </r>
  </si>
  <si>
    <t>Espessura necessária para reforçar as blindagens não conformes</t>
  </si>
  <si>
    <t>Item avaliado</t>
  </si>
  <si>
    <t>Possui luz vermelha em cima de todas as portas de acesso</t>
  </si>
  <si>
    <r>
      <t>Possui aviso "</t>
    </r>
    <r>
      <rPr>
        <i/>
        <sz val="12"/>
        <rFont val="Calibri"/>
        <family val="2"/>
        <scheme val="minor"/>
      </rPr>
      <t>quando a luz vermelha estiver acesa, a entrada é proibida</t>
    </r>
    <r>
      <rPr>
        <sz val="12"/>
        <rFont val="Calibri"/>
        <family val="2"/>
        <scheme val="minor"/>
      </rPr>
      <t>" em todas as portas</t>
    </r>
  </si>
  <si>
    <t>Possui símbolo internacional de radiação ionizante em todas as portas de acesso</t>
  </si>
  <si>
    <t>Possui aviso de EPI, acompanhante e grávidas em todas as portas</t>
  </si>
  <si>
    <t>Possui aviso de EPI, acompanhante e grávidas dentro da sala</t>
  </si>
  <si>
    <t>Possui protocolo de técnicas radiográficas no comando ou junto ao comando</t>
  </si>
  <si>
    <t>Possui exaustor de ar</t>
  </si>
  <si>
    <t>Possui pia com torneira dentro da câmara escura</t>
  </si>
  <si>
    <t>Tem Programa de Gerenciamento de Riscos (PGR) conforme NR-01</t>
  </si>
  <si>
    <t>A exposição à radiação ionizante está prevista no PGR</t>
  </si>
  <si>
    <t>Tem Plano de Proteção Radiológica (PPR) conforme NR-32</t>
  </si>
  <si>
    <t>A equipe do serviço de radiologia usa dosímetro</t>
  </si>
  <si>
    <t>O armazenamento do dosímetro padrão está adequado</t>
  </si>
  <si>
    <t xml:space="preserve">               A seguir são apresentados os pontos avaliados no Laudo Técnico de Insalubridade que devem ter a blindagem reforçada, assim como a espessura equivalente, em milímetros de chumbo (mm Pb), aproximada. As blindagens da sala de radiologia são equipamentos de proteção coletiva (EPC) e, como tal, devem atender aos critérios estabelecidos pela legislação federal trabalhista e sanitária. Para maiores detalhes, inclusive construtivos, recomenda-se um Projeto de Blindagem.</t>
  </si>
  <si>
    <t>Blindagem a adicionar [mm Pb]</t>
  </si>
  <si>
    <t>5. CONCLUSÃO</t>
  </si>
  <si>
    <t>Mínima distância foco-pele</t>
  </si>
  <si>
    <t xml:space="preserve">          Compensação do Controle Automático de Exposição</t>
  </si>
  <si>
    <r>
      <rPr>
        <b/>
        <sz val="11"/>
        <color theme="1"/>
        <rFont val="Calibri"/>
        <family val="2"/>
        <scheme val="minor"/>
      </rPr>
      <t xml:space="preserve">OBS: </t>
    </r>
    <r>
      <rPr>
        <sz val="11"/>
        <color theme="1"/>
        <rFont val="Calibri"/>
        <family val="2"/>
        <scheme val="minor"/>
      </rPr>
      <t>"S" sim/atende o requisito; "N" não/não atende o requisito; "?" cliente não soube informar: deixar em branco; Quando deixar em branco não aparecerá a linha no relatório.</t>
    </r>
  </si>
  <si>
    <t xml:space="preserve">                A força de compressão está fora de tolerância (entre 150 e 200 N). O sistema de compressão automático deve ser ajustado.</t>
  </si>
  <si>
    <r>
      <t>Fórmula de Taylor para B (</t>
    </r>
    <r>
      <rPr>
        <b/>
        <sz val="11"/>
        <color theme="1"/>
        <rFont val="Calibri"/>
        <family val="2"/>
      </rPr>
      <t>µ, x, Pb</t>
    </r>
    <r>
      <rPr>
        <b/>
        <sz val="11"/>
        <color theme="1"/>
        <rFont val="Calibri"/>
        <family val="2"/>
        <scheme val="minor"/>
      </rPr>
      <t>) = A*e^-(alfa1*µ*x)+(1-A)*e^-(alfa2*µ*x)</t>
    </r>
  </si>
  <si>
    <t>Taxa de dose (rendimento)</t>
  </si>
  <si>
    <t>Tx dose (rend)</t>
  </si>
  <si>
    <t>IN 78</t>
  </si>
  <si>
    <t xml:space="preserve"> Indicar aqui se o cliente não possuir fantoma ou apresentar artefatos no fantoma</t>
  </si>
  <si>
    <t xml:space="preserve">                O serviço de radiologia não possui fantoma para a avaliação e calibração dos números de CT deste equipamento.</t>
  </si>
  <si>
    <t>Uniformidade da imagem do DR - Cefalometria</t>
  </si>
  <si>
    <t>Exatidão do indicador de dose</t>
  </si>
  <si>
    <t>Blindagem com Build up</t>
  </si>
  <si>
    <t>RELATÓRIO DE AUDITORIA</t>
  </si>
  <si>
    <t xml:space="preserve">               Foi realizada visita técnica às dependências da instituição, através da qual inspecionou-se visualmente o local e soliciou-se as informações de interesse.</t>
  </si>
  <si>
    <t>MESA</t>
  </si>
  <si>
    <t>Reprodutibilidade mesa</t>
  </si>
  <si>
    <t>Reprodutibilidade bucky</t>
  </si>
  <si>
    <t>Compensação mesa</t>
  </si>
  <si>
    <t>Compensação bucky</t>
  </si>
  <si>
    <t>BUCKY</t>
  </si>
  <si>
    <t>média 20 mm</t>
  </si>
  <si>
    <t>Valor médio - Mesa</t>
  </si>
  <si>
    <t>Valor médio - Bucky</t>
  </si>
  <si>
    <t xml:space="preserve">                A uniformidade da imagem está fora de tolerância (10 %). São possíveis causas: inomegeneidade da placa de fósforo do DR, desalinhamento da grade, efeito anódico e campo distorcido.</t>
  </si>
  <si>
    <t>Caso necessário, use os tamanhos do teste de colimação</t>
  </si>
  <si>
    <t>Tamanho de campo</t>
  </si>
  <si>
    <t>Brivo OEC 850</t>
  </si>
  <si>
    <t>Shimadzu</t>
  </si>
  <si>
    <t>WHA-200</t>
  </si>
  <si>
    <t>Unidade</t>
  </si>
  <si>
    <t>Equipamento   X   Tamanho de campo</t>
  </si>
  <si>
    <t>http://veltcamp.blogspot.com/2011/06/dap-converter.html</t>
  </si>
  <si>
    <t xml:space="preserve">                O valor da taxa de dose nos modos baixo, normal e alto (quando aplicável) está fora de tolerância (&gt; 0,5). Deve ser ajustada taxa de kerma no ar.</t>
  </si>
  <si>
    <t>Tipo e aplicação do equipamento</t>
  </si>
  <si>
    <t>Requisitos gerais e de Segurança</t>
  </si>
  <si>
    <t>TESTES PARA O MODO RAIOS X CONVENCIONAL</t>
  </si>
  <si>
    <t>Digitar na planilha CONVENCIONAL</t>
  </si>
  <si>
    <t>TESTES PARA O MODO FLUOROSCOPIA</t>
  </si>
  <si>
    <t>Tem cortina ou saiote plumbífero inferior/lateral?</t>
  </si>
  <si>
    <t>Tem visor de teto?</t>
  </si>
  <si>
    <t>1                   Tem sinal luminoso indicativo de emissão de raios X?</t>
  </si>
  <si>
    <t>3                   Tem Alarme de tempo acumulado de fluoroscopia?</t>
  </si>
  <si>
    <t>2                   Tem sinal sonoro de modo Cine?   ("NA" se modo cine for indisponível)</t>
  </si>
  <si>
    <t>2                   Tem sinal luminoso de modo Cine?   ("NA" se modo cine for indisponível)</t>
  </si>
  <si>
    <t xml:space="preserve">                A exatidão do tempo de exposição (tempo acumulado) está fora de tolerância (10 %).  A eletrônica associada à esta facilidade deve ser verificada e ajustada.</t>
  </si>
  <si>
    <t xml:space="preserve"> minutos</t>
  </si>
  <si>
    <t>3                   Exatidão do tempo de exposição (tempo acumulado) em fluoroscopia?</t>
  </si>
  <si>
    <t>Exatidão do tempo de exposição (tempo acumulado)</t>
  </si>
  <si>
    <t>mA ind</t>
  </si>
  <si>
    <t>Digitar na planilha LR e FUGA</t>
  </si>
  <si>
    <t xml:space="preserve">Tamanho do campo em </t>
  </si>
  <si>
    <t xml:space="preserve"> (se não existe indicador, infomar cm)</t>
  </si>
  <si>
    <t>kVp ind</t>
  </si>
  <si>
    <t xml:space="preserve">Para converter unidades acesse: </t>
  </si>
  <si>
    <t>disparo 1</t>
  </si>
  <si>
    <t>disparo 2</t>
  </si>
  <si>
    <r>
      <t>PKA0 = mGy.cm</t>
    </r>
    <r>
      <rPr>
        <b/>
        <vertAlign val="superscript"/>
        <sz val="11"/>
        <color theme="1"/>
        <rFont val="Calibri"/>
        <family val="2"/>
        <scheme val="minor"/>
      </rPr>
      <t>2</t>
    </r>
    <r>
      <rPr>
        <b/>
        <sz val="11"/>
        <color theme="1"/>
        <rFont val="Calibri"/>
        <family val="2"/>
        <scheme val="minor"/>
      </rPr>
      <t xml:space="preserve"> ind antes 1 disp</t>
    </r>
  </si>
  <si>
    <t>D0 = mGy  ind antes 1 disp</t>
  </si>
  <si>
    <t>D1 = mGy  ind depois 1 disp</t>
  </si>
  <si>
    <t>D2 = mGy  ind depois 2 disp</t>
  </si>
  <si>
    <r>
      <t>PKA1 = mGy.cm</t>
    </r>
    <r>
      <rPr>
        <b/>
        <vertAlign val="superscript"/>
        <sz val="11"/>
        <color theme="1"/>
        <rFont val="Calibri"/>
        <family val="2"/>
        <scheme val="minor"/>
      </rPr>
      <t>2</t>
    </r>
    <r>
      <rPr>
        <b/>
        <sz val="11"/>
        <color theme="1"/>
        <rFont val="Calibri"/>
        <family val="2"/>
        <scheme val="minor"/>
      </rPr>
      <t xml:space="preserve"> ind depois 1 disp</t>
    </r>
  </si>
  <si>
    <r>
      <t>PKA2 = mGy.cm</t>
    </r>
    <r>
      <rPr>
        <b/>
        <vertAlign val="superscript"/>
        <sz val="11"/>
        <color theme="1"/>
        <rFont val="Calibri"/>
        <family val="2"/>
        <scheme val="minor"/>
      </rPr>
      <t>2</t>
    </r>
    <r>
      <rPr>
        <b/>
        <sz val="11"/>
        <color theme="1"/>
        <rFont val="Calibri"/>
        <family val="2"/>
        <scheme val="minor"/>
      </rPr>
      <t xml:space="preserve"> ind depois 2 disp</t>
    </r>
  </si>
  <si>
    <t>PKA1 - PKA0</t>
  </si>
  <si>
    <t>D1 - D0</t>
  </si>
  <si>
    <t>PKA2 - PKA1</t>
  </si>
  <si>
    <t>D2 - D1</t>
  </si>
  <si>
    <t>A10 = área</t>
  </si>
  <si>
    <t>A21 = área</t>
  </si>
  <si>
    <t>Exatidão do indicador de KERMA no ponto de referência (alto)</t>
  </si>
  <si>
    <t>Exatidão do indicador de KERMA no ponto de referência (baixo)</t>
  </si>
  <si>
    <t>Resolução Espacial de alto contraste</t>
  </si>
  <si>
    <t>Resolução espacial de baixo contraste</t>
  </si>
  <si>
    <t xml:space="preserve">                A exatidão do indicador do kerma no ponto de referência de entrada no paciente está fora da tolerância (20%). Este dispositivo deve ser ajustado.</t>
  </si>
  <si>
    <t>Com trena na placa amarela:</t>
  </si>
  <si>
    <t>Diagonal do primeiro quadrado da placa amarela</t>
  </si>
  <si>
    <t>Diagonal do segundo quadrado da placa amarela</t>
  </si>
  <si>
    <t>Diagonal do terceiro quadrado da placa amarela</t>
  </si>
  <si>
    <t>Diagonal do quarto quadrado da placa amarela</t>
  </si>
  <si>
    <t>Diâmetro do círculo central</t>
  </si>
  <si>
    <t>Diagonal do maior quadrado visível</t>
  </si>
  <si>
    <t>Maior quadrado visível</t>
  </si>
  <si>
    <t>% quadrado</t>
  </si>
  <si>
    <t>% círculo central</t>
  </si>
  <si>
    <t>Diâmetro do círculo central da placa amarela</t>
  </si>
  <si>
    <t>diagonal ... na placa amarela</t>
  </si>
  <si>
    <t xml:space="preserve">                 A exatidão da alta tensão do tubo está fora de tolerância (5 %). O circuito eletrônico que controla a alta tensão do tubo deve ser ajustado.</t>
  </si>
  <si>
    <t>Modo escopia</t>
  </si>
  <si>
    <t>Modo cine, registro ou gravação</t>
  </si>
  <si>
    <t>Tempo acumulado de fluoroscopia</t>
  </si>
  <si>
    <t>tempo indicado [s]</t>
  </si>
  <si>
    <t>tempo medido [s]</t>
  </si>
  <si>
    <t>Tempo indicado ao soar o alarme</t>
  </si>
  <si>
    <t>4                   Tempo ind. ao soar o alarme (vazio se não funciona)</t>
  </si>
  <si>
    <t>mGy indicado no equipamento</t>
  </si>
  <si>
    <t>Indicador de dose do detector - FAZENDO</t>
  </si>
  <si>
    <t>Negatoscópio (existe)</t>
  </si>
  <si>
    <t>Monitor (existe)</t>
  </si>
  <si>
    <t>Neg</t>
  </si>
  <si>
    <t>Mon</t>
  </si>
  <si>
    <t>IN 54 Não</t>
  </si>
  <si>
    <t>INs 52 55 56 Não</t>
  </si>
  <si>
    <t xml:space="preserve">                O atendimento à legislação sanitária federal no que se refere aos níveis de iluminamento não garante o atendimento ao disposto na Norma Regulamentadora NR-17. Este Laudo Técnico não substitui o Laudo Ergonômico nem constitui uma de suas partes.</t>
  </si>
  <si>
    <t>RQE-3020-41</t>
  </si>
  <si>
    <t>Resolução espacial @ abdômen</t>
  </si>
  <si>
    <t>Resolução espacial @ cabeça</t>
  </si>
  <si>
    <t>Resolução espacial @ tórax de alta resolução</t>
  </si>
  <si>
    <t xml:space="preserve"> - &gt; ponto em que mediu</t>
  </si>
  <si>
    <t>SE não existirem NC (nem blindagens a adicionar), não é necessário enviar esta auditoria ao cliente.</t>
  </si>
  <si>
    <t>Res. Espacial [pl/mm]</t>
  </si>
  <si>
    <t>Tamanho do Cassete</t>
  </si>
  <si>
    <t>Apagamento</t>
  </si>
  <si>
    <t>Existe imagem residual (ghosting) na imagem do DR?</t>
  </si>
  <si>
    <t>Efetividade do ciclo de apagamento do DR</t>
  </si>
  <si>
    <t xml:space="preserve">                Há imagem residual no DR. Recomenda-se a manutenção do sistema de apagamento da imagem.</t>
  </si>
  <si>
    <r>
      <t>Radiografias por semana (</t>
    </r>
    <r>
      <rPr>
        <b/>
        <sz val="11"/>
        <color theme="1"/>
        <rFont val="Calibri"/>
        <family val="2"/>
        <scheme val="minor"/>
      </rPr>
      <t>dia de 8 horas</t>
    </r>
    <r>
      <rPr>
        <sz val="11"/>
        <color theme="1"/>
        <rFont val="Calibri"/>
        <family val="2"/>
        <scheme val="minor"/>
      </rPr>
      <t>)</t>
    </r>
  </si>
  <si>
    <t>% Laudo</t>
  </si>
  <si>
    <t xml:space="preserve">               A radiação de fuga do cabeçote está fora de tolerância. A blindagem do cabeçote deve ser consertada.</t>
  </si>
  <si>
    <t>LAUDO TÉCNICO DE DESEMPENHO DE EQUIPAMENTO DE ULTRASSOM</t>
  </si>
  <si>
    <t>Ultrassom</t>
  </si>
  <si>
    <t>Cabos de alimentação e plugues possuem rachaduras?</t>
  </si>
  <si>
    <t xml:space="preserve">Cabos de alimentação e plugues estão descoloridos? </t>
  </si>
  <si>
    <t>Filtros estão sujos ou com poeira?</t>
  </si>
  <si>
    <t>Os botões e interruptores estão íntegros e limpos?</t>
  </si>
  <si>
    <t>A tela está limpa e sem arranhões?</t>
  </si>
  <si>
    <t>O equipamento tem controle de brilho e contraste?</t>
  </si>
  <si>
    <t>O console está íntegro?</t>
  </si>
  <si>
    <t>As rodas estão funcionais?</t>
  </si>
  <si>
    <t>O sistema de travamento das rodas está funcionando?</t>
  </si>
  <si>
    <t>Modo B/2D</t>
  </si>
  <si>
    <t>Varredura</t>
  </si>
  <si>
    <t>Média da ROI [dB]</t>
  </si>
  <si>
    <t>&lt; 4 dB do valor de referência</t>
  </si>
  <si>
    <t>Normal</t>
  </si>
  <si>
    <t>Máximo</t>
  </si>
  <si>
    <t>Mínimo</t>
  </si>
  <si>
    <t>Potência</t>
  </si>
  <si>
    <t>Frequência sel [MHz]</t>
  </si>
  <si>
    <t>Ganho sel [dB]</t>
  </si>
  <si>
    <t>Foco sel [cm]</t>
  </si>
  <si>
    <t>Profundidade [cm]</t>
  </si>
  <si>
    <t xml:space="preserve">Alvos </t>
  </si>
  <si>
    <t xml:space="preserve">4 mm </t>
  </si>
  <si>
    <t>2 mm</t>
  </si>
  <si>
    <t>N° de alvos visualizados</t>
  </si>
  <si>
    <t>Variações consistentes em relação ao valor de referência</t>
  </si>
  <si>
    <t>Prof. alvo + raso [mm]</t>
  </si>
  <si>
    <t>Prof. último alvo [mm]</t>
  </si>
  <si>
    <t>Bordas definidas?</t>
  </si>
  <si>
    <t>Alvos circulares?</t>
  </si>
  <si>
    <t>Alvo mais raso visualizado</t>
  </si>
  <si>
    <t>Vertical</t>
  </si>
  <si>
    <t>Horizontal</t>
  </si>
  <si>
    <t>Axial</t>
  </si>
  <si>
    <t>Lateral</t>
  </si>
  <si>
    <t>Configurações</t>
  </si>
  <si>
    <t>Alvos</t>
  </si>
  <si>
    <t>- 6 dB</t>
  </si>
  <si>
    <t>- 3 dB</t>
  </si>
  <si>
    <t>+ 3 dB</t>
  </si>
  <si>
    <t>+ 6 dB</t>
  </si>
  <si>
    <t>Modo Doppler</t>
  </si>
  <si>
    <t xml:space="preserve">                Está proibida a utilização de equipamentos de raios X com menos de 80 mA nominal para radiografia geral. Recomenda-se desativar as correntes abaixo de 80 mA.</t>
  </si>
  <si>
    <t>S / N / NA</t>
  </si>
  <si>
    <t>Nº Série</t>
  </si>
  <si>
    <t>TRANSDUTORES</t>
  </si>
  <si>
    <t>Uniformidade da imagem</t>
  </si>
  <si>
    <t>Avaliação visual: a imagem está uniforme?</t>
  </si>
  <si>
    <t>Há artefatos visiveis ao escanear o fantoma?</t>
  </si>
  <si>
    <t>Profundidade medida [cm]</t>
  </si>
  <si>
    <t>Profundidade de referência [cm]</t>
  </si>
  <si>
    <t>Visualização de objetos anecóicos</t>
  </si>
  <si>
    <t>Profundidade medida [mm]</t>
  </si>
  <si>
    <t>Profundidade no fantoma [mm]</t>
  </si>
  <si>
    <t>Frequência [Mhz]</t>
  </si>
  <si>
    <t>Zona Morta</t>
  </si>
  <si>
    <t>Exatidão da distância vertical e horizontal</t>
  </si>
  <si>
    <t xml:space="preserve"> Nº do alvo mais raso</t>
  </si>
  <si>
    <t xml:space="preserve"> Nº de alvos visíveis</t>
  </si>
  <si>
    <t xml:space="preserve">Distância entre ambos [mm] </t>
  </si>
  <si>
    <t xml:space="preserve"> Maior distância entre 2 alvos [mm]</t>
  </si>
  <si>
    <t>Distância média entre 2 alvos [mm]</t>
  </si>
  <si>
    <t>Resolução axial e lateral</t>
  </si>
  <si>
    <t>Distância entre os dois alvos mais próximos:</t>
  </si>
  <si>
    <t xml:space="preserve">Frequência [Mhz] </t>
  </si>
  <si>
    <t>Zona focal</t>
  </si>
  <si>
    <t>L da menor linha [mm]</t>
  </si>
  <si>
    <t>L de referência [mm]</t>
  </si>
  <si>
    <t>Limiar de sensibilidade a baixo contraste</t>
  </si>
  <si>
    <t>Visualizado</t>
  </si>
  <si>
    <t>Visualização de ref</t>
  </si>
  <si>
    <t>Tolerância [dB]</t>
  </si>
  <si>
    <t>ml/s</t>
  </si>
  <si>
    <t>cm/s</t>
  </si>
  <si>
    <t>Fluxo sel. no fantoma</t>
  </si>
  <si>
    <t>V centro do vaso (máx)</t>
  </si>
  <si>
    <t>Profundidade COR</t>
  </si>
  <si>
    <t>Medidas</t>
  </si>
  <si>
    <t>Requisitos verificados</t>
  </si>
  <si>
    <t>Número de transdutores associados:</t>
  </si>
  <si>
    <t>4. VERIFICAÇÃO DO EQUIPAMENTO:</t>
  </si>
  <si>
    <t>Item verificado</t>
  </si>
  <si>
    <t>Condição / Recomendação</t>
  </si>
  <si>
    <t>Os transdutores estão íntegros?</t>
  </si>
  <si>
    <t>Testes realizados</t>
  </si>
  <si>
    <t>Profundidade de penetração (normal)</t>
  </si>
  <si>
    <t>Profundidade de penetração (máximo)</t>
  </si>
  <si>
    <t>Profundidade de penetração (mínimo)</t>
  </si>
  <si>
    <t>Visualização de objetos anecóicos (8 mm)</t>
  </si>
  <si>
    <t>Visualização de objetos anecóicos (4 mm)</t>
  </si>
  <si>
    <t>Visualização de objetos anecóicos (2 mm)</t>
  </si>
  <si>
    <t>Exatidão da distância vertical</t>
  </si>
  <si>
    <t>Exatidão da distância horizontal</t>
  </si>
  <si>
    <t>Limiar de sensibilidade a baixo contraste @ - 6 dB</t>
  </si>
  <si>
    <t>Limiar de sensibilidade a baixo contraste @ - 3 dB</t>
  </si>
  <si>
    <t>Limiar de sensibilidade a baixo contraste @ + 3 dB</t>
  </si>
  <si>
    <t>Limiar de sensibilidade a baixo contraste @ + 6 dB</t>
  </si>
  <si>
    <t>Precisão da velocidade em modo doppler</t>
  </si>
  <si>
    <t xml:space="preserve">Precisão velocidade </t>
  </si>
  <si>
    <t>Sensibilidade do modo doppler (modo cor não é obrigatório)</t>
  </si>
  <si>
    <t>Taxa de fluxo sel [cm/s]</t>
  </si>
  <si>
    <t>Esquerda [cm]</t>
  </si>
  <si>
    <t>Acima [cm]</t>
  </si>
  <si>
    <t>Direita [cm]</t>
  </si>
  <si>
    <t>Abaixo [cm]</t>
  </si>
  <si>
    <t>ULTRASSOM</t>
  </si>
  <si>
    <t>Cliente apresentou laudo anterior ou dados de referência para os testes?</t>
  </si>
  <si>
    <t>5. TESTES REALIZADOS NOS TRANSDUTORES:</t>
  </si>
  <si>
    <t xml:space="preserve">TRANSDUTOR: </t>
  </si>
  <si>
    <t>≤ 7mm p ≤3MHz;   ≤ 5mm p 3MHz &lt; F ≤7MHz;   ≤ 3mm p &gt; 7MHz</t>
  </si>
  <si>
    <t>ULTRASSOM DOPPLER 1430</t>
  </si>
  <si>
    <t>Flow [ml/s]</t>
  </si>
  <si>
    <t>Estimated Speed [cm/s]</t>
  </si>
  <si>
    <t>Endo</t>
  </si>
  <si>
    <t>Doppler</t>
  </si>
  <si>
    <t>linha vazia</t>
  </si>
  <si>
    <t>Serviço</t>
  </si>
  <si>
    <t>IN</t>
  </si>
  <si>
    <t>Ressonância Magnética</t>
  </si>
  <si>
    <t>Ano</t>
  </si>
  <si>
    <t>ATENÇÃO: 1 PÁGINA CONTÉM 47 LINHAS!</t>
  </si>
  <si>
    <t>IN se atende a IN indicada.</t>
  </si>
  <si>
    <t>Rendimento RDC IN convencional:</t>
  </si>
  <si>
    <t>Equipamento possui ferramenta ROI?</t>
  </si>
  <si>
    <r>
      <rPr>
        <b/>
        <sz val="10"/>
        <color theme="1"/>
        <rFont val="Calibri"/>
        <family val="2"/>
        <scheme val="minor"/>
      </rPr>
      <t>*</t>
    </r>
    <r>
      <rPr>
        <sz val="10"/>
        <color theme="1"/>
        <rFont val="Calibri"/>
        <family val="2"/>
        <scheme val="minor"/>
      </rPr>
      <t xml:space="preserve"> informação não encontrada no equipamento</t>
    </r>
  </si>
  <si>
    <r>
      <rPr>
        <b/>
        <sz val="8"/>
        <color theme="1"/>
        <rFont val="Calibri"/>
        <family val="2"/>
        <scheme val="minor"/>
      </rPr>
      <t>DMCM</t>
    </r>
    <r>
      <rPr>
        <sz val="8"/>
        <color theme="1"/>
        <rFont val="Calibri"/>
        <family val="2"/>
        <scheme val="minor"/>
      </rPr>
      <t xml:space="preserve"> Dose Média em Cortes Múltiplos; </t>
    </r>
    <r>
      <rPr>
        <b/>
        <sz val="8"/>
        <color theme="1"/>
        <rFont val="Calibri"/>
        <family val="2"/>
        <scheme val="minor"/>
      </rPr>
      <t>Incr.</t>
    </r>
    <r>
      <rPr>
        <sz val="8"/>
        <color theme="1"/>
        <rFont val="Calibri"/>
        <family val="2"/>
        <scheme val="minor"/>
      </rPr>
      <t xml:space="preserve"> Incremento; </t>
    </r>
    <r>
      <rPr>
        <b/>
        <sz val="8"/>
        <color theme="1"/>
        <rFont val="Calibri"/>
        <family val="2"/>
        <scheme val="minor"/>
      </rPr>
      <t xml:space="preserve">IN </t>
    </r>
    <r>
      <rPr>
        <sz val="8"/>
        <color theme="1"/>
        <rFont val="Calibri"/>
        <family val="2"/>
        <scheme val="minor"/>
      </rPr>
      <t>se atende a IN indicada.</t>
    </r>
  </si>
  <si>
    <t>Precisão da magnitude da velocidade em modo Doppler</t>
  </si>
  <si>
    <t>Integridade dos elementos piezoelétricos do transdutor</t>
  </si>
  <si>
    <t>Equipamento possui modo doppler?</t>
  </si>
  <si>
    <t>Integridade dos elementos</t>
  </si>
  <si>
    <t>Há artefatos visíveis na imagem sem fantoma?</t>
  </si>
  <si>
    <t>Fantoma marca CIRS, modelo ATS 570, série 201885325.</t>
  </si>
  <si>
    <t>Fantoma marca Gammex, modelo 1430 LE 0.5, série 805204-5095-3.</t>
  </si>
  <si>
    <t>desvio &lt; 6mm do valor de referência</t>
  </si>
  <si>
    <t>não inferior ao valor de referência</t>
  </si>
  <si>
    <t>≤ 7 mm para frequência ≤ 3 MHz; ≤ 5 mm para 3 MHz &lt; frequência &lt; 7 MHz; ≤ 3 mm para frequência ≥ 7 MHz</t>
  </si>
  <si>
    <t>≤ 2 mm para frequência ≤ 4 MHz; ≤ 1 mm para frequência &gt; 4 MHz</t>
  </si>
  <si>
    <t>≤ 4 mm para frequência &lt; 3,5 MHz; &lt; 3 mm para frequencia ≥3,5 MHz e &lt; 5 MHz; &lt; 1,5 mm para frequência ≥ 5 MHz</t>
  </si>
  <si>
    <t>deve ser consistente com o valor de referência</t>
  </si>
  <si>
    <t>Tolerância*</t>
  </si>
  <si>
    <t>não informada</t>
  </si>
  <si>
    <t>não informado</t>
  </si>
  <si>
    <t>Boa</t>
  </si>
  <si>
    <t xml:space="preserve">                Não existem ou não foram apresentados os resultados dos testes de referência deste equipamento e transdutores associados. Sugere-se utilizar os resultados apresentados neste laudo como valores de referência em futuros testes de controle de qualidade.</t>
  </si>
  <si>
    <t xml:space="preserve">Esp. do fab. para a Exatidão [HU] em </t>
  </si>
  <si>
    <t>PMMA</t>
  </si>
  <si>
    <r>
      <t xml:space="preserve">Tolerância [%] </t>
    </r>
    <r>
      <rPr>
        <b/>
        <sz val="11"/>
        <color theme="1"/>
        <rFont val="Calibri"/>
        <family val="2"/>
      </rPr>
      <t>≤</t>
    </r>
  </si>
  <si>
    <t>Acalc1 = teste colimação (cm2)</t>
  </si>
  <si>
    <r>
      <t>Acalc2 = área do campo (cm</t>
    </r>
    <r>
      <rPr>
        <b/>
        <vertAlign val="superscript"/>
        <sz val="11"/>
        <color theme="1"/>
        <rFont val="Calibri"/>
        <family val="2"/>
        <scheme val="minor"/>
      </rPr>
      <t>2</t>
    </r>
    <r>
      <rPr>
        <b/>
        <sz val="11"/>
        <color theme="1"/>
        <rFont val="Calibri"/>
        <family val="2"/>
        <scheme val="minor"/>
      </rPr>
      <t>)</t>
    </r>
  </si>
  <si>
    <t>Distância mínima foco-receptor de imagem</t>
  </si>
  <si>
    <r>
      <t xml:space="preserve">Distância mínima foco-receptor de imagem (SID) </t>
    </r>
    <r>
      <rPr>
        <b/>
        <sz val="11"/>
        <color theme="1"/>
        <rFont val="Calibri"/>
        <family val="2"/>
        <scheme val="minor"/>
      </rPr>
      <t>indicada</t>
    </r>
  </si>
  <si>
    <t>Distância foco-receptor de imagem</t>
  </si>
  <si>
    <t>Com trena no monitor de vídeo:</t>
  </si>
  <si>
    <t>Maior valor de quadro/s</t>
  </si>
  <si>
    <t>Produto kerma x área (Pka); Kerma no ponto de referência; e Taxa de kerma no ar</t>
  </si>
  <si>
    <t xml:space="preserve"> -&gt; Qual o fator de correção do PKA (0,8 com mesa; 1,2 sem mesa; 1; ...)?</t>
  </si>
  <si>
    <t>Modo normal / escopia / contínuo – COLIMADOR TODO ABERTO</t>
  </si>
  <si>
    <t>Ddisp1 = mGy medido</t>
  </si>
  <si>
    <t>Ddisp2 = mGy medido</t>
  </si>
  <si>
    <t>mGy.cm2 calculado Ddisp1.A10</t>
  </si>
  <si>
    <t>Kdisp1 = mGy/s medido</t>
  </si>
  <si>
    <t>Kdisp2 = mGy/s medido</t>
  </si>
  <si>
    <t>PKA</t>
  </si>
  <si>
    <t xml:space="preserve">                Não existem ou não foram encontrados os valores de referência especificados pelo fabricante para o teste dos valores representativos de dose, motivo pelo qual não é possível avaliar se o valores mensurados estão dentro da faixa de aceitação estabelecida pela legislação.</t>
  </si>
  <si>
    <t>Opção de cálculo para o Laudo</t>
  </si>
  <si>
    <r>
      <t>mGy.cm</t>
    </r>
    <r>
      <rPr>
        <b/>
        <vertAlign val="superscript"/>
        <sz val="11"/>
        <color theme="1"/>
        <rFont val="Calibri"/>
        <family val="2"/>
        <scheme val="minor"/>
      </rPr>
      <t xml:space="preserve">2  </t>
    </r>
    <r>
      <rPr>
        <b/>
        <sz val="11"/>
        <color theme="1"/>
        <rFont val="Calibri"/>
        <family val="2"/>
        <scheme val="minor"/>
      </rPr>
      <t>ind de REFERÊNCIA</t>
    </r>
  </si>
  <si>
    <r>
      <t>mGy.cm</t>
    </r>
    <r>
      <rPr>
        <b/>
        <vertAlign val="superscript"/>
        <sz val="11"/>
        <color theme="1"/>
        <rFont val="Calibri"/>
        <family val="2"/>
        <scheme val="minor"/>
      </rPr>
      <t xml:space="preserve">2 </t>
    </r>
    <r>
      <rPr>
        <b/>
        <sz val="11"/>
        <color theme="1"/>
        <rFont val="Calibri"/>
        <family val="2"/>
        <scheme val="minor"/>
      </rPr>
      <t>calculado LAUDO</t>
    </r>
  </si>
  <si>
    <t>Exatidão do Kerma no ponto de referência</t>
  </si>
  <si>
    <t>Exatidão do KERMA no IRP [mGy]</t>
  </si>
  <si>
    <t>Máxima Taxa de KERMA no ar</t>
  </si>
  <si>
    <t>Taxa de Kerma no ar @ IRP [mGy/min]</t>
  </si>
  <si>
    <t>Modo Normal</t>
  </si>
  <si>
    <t>Valores de taxa de kerma no ar de referência nos modos baixo, normal e alto (quando aplicável)</t>
  </si>
  <si>
    <t>Baixo / Normal</t>
  </si>
  <si>
    <t>Taxa de K @ IRP [mGy/min] - baixo</t>
  </si>
  <si>
    <t>Taxa de K @ IRP [mGy/min] - normal</t>
  </si>
  <si>
    <t>Taxa de K @ IRP [mGy/min] - alto</t>
  </si>
  <si>
    <t>Modo cine / alto / high / intenso – COLIMADOR TODO ABERTO</t>
  </si>
  <si>
    <t>Modo Alto</t>
  </si>
  <si>
    <t>Modo baixo / low / 1/2 – COLIMADOR TODO ABERTO</t>
  </si>
  <si>
    <t>Modo Baixo</t>
  </si>
  <si>
    <t>Modo normal / escopia / contínuo – COLIMADOR NAS BORDAS DO FANTOMA</t>
  </si>
  <si>
    <t>Modo cine / alto / high / intenso – COLIMADOR NAS BORDAS DO FANTOMA</t>
  </si>
  <si>
    <t>Modo baixo / low / 1/2 – COLIMADOR NAS BORDAS DO FANTOMA</t>
  </si>
  <si>
    <t>COLIMADOR NAS BORDAS DO FANTOMA</t>
  </si>
  <si>
    <t>COLIMADOR TODO ABERTO</t>
  </si>
  <si>
    <t>Resultados resumidos</t>
  </si>
  <si>
    <t>Resultados a apresentar no laudo</t>
  </si>
  <si>
    <t>Taxa de kerma no ar @ IRP [mGy/min]</t>
  </si>
  <si>
    <t>Exatidão do indicador de KERMA no ponto de referência (modo normal)</t>
  </si>
  <si>
    <t xml:space="preserve">                A taxa de kerma no ar à 30 cm do receptor de imagem está acima do permitido. A programação do controle automático deve ser ajustada.</t>
  </si>
  <si>
    <t>%PKA calc laudo/ind de referência</t>
  </si>
  <si>
    <r>
      <t>mGy.cm</t>
    </r>
    <r>
      <rPr>
        <b/>
        <vertAlign val="superscript"/>
        <sz val="11"/>
        <color rgb="FFFF0000"/>
        <rFont val="Calibri"/>
        <family val="2"/>
        <scheme val="minor"/>
      </rPr>
      <t xml:space="preserve">2 </t>
    </r>
    <r>
      <rPr>
        <b/>
        <sz val="11"/>
        <color rgb="FFFF0000"/>
        <rFont val="Calibri"/>
        <family val="2"/>
        <scheme val="minor"/>
      </rPr>
      <t>calculado Ddisp1.A10</t>
    </r>
  </si>
  <si>
    <r>
      <t>mGy.cm</t>
    </r>
    <r>
      <rPr>
        <b/>
        <vertAlign val="superscript"/>
        <sz val="11"/>
        <color rgb="FFFF0000"/>
        <rFont val="Calibri"/>
        <family val="2"/>
        <scheme val="minor"/>
      </rPr>
      <t xml:space="preserve">2 </t>
    </r>
    <r>
      <rPr>
        <b/>
        <sz val="11"/>
        <color rgb="FFFF0000"/>
        <rFont val="Calibri"/>
        <family val="2"/>
        <scheme val="minor"/>
      </rPr>
      <t>calculado Ddisp2.A21</t>
    </r>
  </si>
  <si>
    <r>
      <t>mGy.cm</t>
    </r>
    <r>
      <rPr>
        <b/>
        <vertAlign val="superscript"/>
        <sz val="11"/>
        <color rgb="FFFF0000"/>
        <rFont val="Calibri"/>
        <family val="2"/>
        <scheme val="minor"/>
      </rPr>
      <t xml:space="preserve">2 </t>
    </r>
    <r>
      <rPr>
        <b/>
        <sz val="11"/>
        <color rgb="FFFF0000"/>
        <rFont val="Calibri"/>
        <family val="2"/>
        <scheme val="minor"/>
      </rPr>
      <t>calculado Ddisp1.Acalc1</t>
    </r>
  </si>
  <si>
    <r>
      <t>mGy.cm</t>
    </r>
    <r>
      <rPr>
        <b/>
        <vertAlign val="superscript"/>
        <sz val="11"/>
        <color rgb="FFFF0000"/>
        <rFont val="Calibri"/>
        <family val="2"/>
        <scheme val="minor"/>
      </rPr>
      <t xml:space="preserve">2 </t>
    </r>
    <r>
      <rPr>
        <b/>
        <sz val="11"/>
        <color rgb="FFFF0000"/>
        <rFont val="Calibri"/>
        <family val="2"/>
        <scheme val="minor"/>
      </rPr>
      <t>calculado Ddisp2.Acalc1</t>
    </r>
  </si>
  <si>
    <r>
      <t>mGy.cm</t>
    </r>
    <r>
      <rPr>
        <b/>
        <vertAlign val="superscript"/>
        <sz val="11"/>
        <color rgb="FFFF0000"/>
        <rFont val="Calibri"/>
        <family val="2"/>
        <scheme val="minor"/>
      </rPr>
      <t xml:space="preserve">2 </t>
    </r>
    <r>
      <rPr>
        <b/>
        <sz val="11"/>
        <color rgb="FFFF0000"/>
        <rFont val="Calibri"/>
        <family val="2"/>
        <scheme val="minor"/>
      </rPr>
      <t>calculado Ddisp1.Acalc2</t>
    </r>
  </si>
  <si>
    <r>
      <t>mGy.cm</t>
    </r>
    <r>
      <rPr>
        <b/>
        <vertAlign val="superscript"/>
        <sz val="11"/>
        <color rgb="FFFF0000"/>
        <rFont val="Calibri"/>
        <family val="2"/>
        <scheme val="minor"/>
      </rPr>
      <t xml:space="preserve">2 </t>
    </r>
    <r>
      <rPr>
        <b/>
        <sz val="11"/>
        <color rgb="FFFF0000"/>
        <rFont val="Calibri"/>
        <family val="2"/>
        <scheme val="minor"/>
      </rPr>
      <t>calculado Ddisp2.Acalc2</t>
    </r>
  </si>
  <si>
    <t>Exatidão do indicador de PKA</t>
  </si>
  <si>
    <t>Exatidão PKA - normal [%]</t>
  </si>
  <si>
    <t>Exatidão PKA - alto [%]</t>
  </si>
  <si>
    <t>Exatidão PKA - baixo [%]</t>
  </si>
  <si>
    <t>Exatidão K - normal [%]</t>
  </si>
  <si>
    <t>Exatidão K - alto [%]</t>
  </si>
  <si>
    <t>Exatidão K - baixo [%]</t>
  </si>
  <si>
    <r>
      <t xml:space="preserve"> -&gt; se estiver com resultado muito ruim, deve-se conferir o Ponto de Referência no manual, verificar qual a distância correta e se é</t>
    </r>
    <r>
      <rPr>
        <b/>
        <sz val="11"/>
        <color rgb="FFC00000"/>
        <rFont val="Aharoni"/>
      </rPr>
      <t xml:space="preserve"> </t>
    </r>
    <r>
      <rPr>
        <b/>
        <i/>
        <sz val="11"/>
        <color rgb="FFC00000"/>
        <rFont val="Aharoni"/>
      </rPr>
      <t>foco</t>
    </r>
    <r>
      <rPr>
        <b/>
        <sz val="11"/>
        <color rgb="FFC00000"/>
        <rFont val="Aharoni"/>
      </rPr>
      <t>-detector</t>
    </r>
    <r>
      <rPr>
        <b/>
        <sz val="11"/>
        <color rgb="FFC00000"/>
        <rFont val="Calibri"/>
        <family val="2"/>
        <scheme val="minor"/>
      </rPr>
      <t xml:space="preserve"> ou </t>
    </r>
    <r>
      <rPr>
        <b/>
        <i/>
        <sz val="11"/>
        <color rgb="FFC00000"/>
        <rFont val="Aharoni"/>
      </rPr>
      <t>intensificador</t>
    </r>
    <r>
      <rPr>
        <b/>
        <sz val="11"/>
        <color rgb="FFC00000"/>
        <rFont val="Aharoni"/>
      </rPr>
      <t>-detector</t>
    </r>
  </si>
  <si>
    <t xml:space="preserve">                 Fantoma de "calibração" do cliente.</t>
  </si>
  <si>
    <t xml:space="preserve"> -&gt; Fator de correção igual em todos os campos pode indicar que distância IRP está incorreta ou alguma variação em função da diferença de quadros/segundo medidos vs utilizados no indicador.</t>
  </si>
  <si>
    <t>Fator de correção do indicador</t>
  </si>
  <si>
    <t>Deixar apenas o maior tamanho de campo. Apagar os demais.</t>
  </si>
  <si>
    <t>Artefatos na imagem</t>
  </si>
  <si>
    <t>SEM artefatos na imagem?</t>
  </si>
  <si>
    <t xml:space="preserve">                A imagem não deve possuir artefatos. Recomenda-se investigar as possiveis causas (tubo, sistema de registro da imagem, etc).</t>
  </si>
  <si>
    <t>REFERÊNCIA CQ:</t>
  </si>
  <si>
    <t xml:space="preserve">                Não existem ou não foram apresentados os resultados dos testes de referência deste equipamento. Sugere-se utilizar os resultados apresentados neste laudo como valores de referência em futuros testes de controle de qualidade.</t>
  </si>
  <si>
    <t>vezes</t>
  </si>
  <si>
    <t>Fator de magnificação (zoom) do quadrado</t>
  </si>
  <si>
    <t>Fator de magnificação (zoom) do círculo</t>
  </si>
  <si>
    <t>mGy.cm2 calculado Ddisp1.Acalc2</t>
  </si>
  <si>
    <t>Há sinal sonoro indicativo de emissão de raios X?</t>
  </si>
  <si>
    <t>RQE-3022-14</t>
  </si>
  <si>
    <t>Campo excede o diâmetro do Localizador?</t>
  </si>
  <si>
    <t>3 cm</t>
  </si>
  <si>
    <t>5 cm</t>
  </si>
  <si>
    <t>TOR CDR [pl/mm]</t>
  </si>
  <si>
    <t xml:space="preserve"> Valor de referência para ruído [HU] - Água</t>
  </si>
  <si>
    <t xml:space="preserve"> Valor de referência para ruído [HU] - Ar</t>
  </si>
  <si>
    <t>ar  (-1000 ± 10)</t>
  </si>
  <si>
    <r>
      <t xml:space="preserve">água (0 </t>
    </r>
    <r>
      <rPr>
        <b/>
        <sz val="11"/>
        <color theme="1"/>
        <rFont val="Calibri"/>
        <family val="2"/>
      </rPr>
      <t>± 5)</t>
    </r>
  </si>
  <si>
    <t>Abdômen em res normal</t>
  </si>
  <si>
    <t>Cabeça em res normal</t>
  </si>
  <si>
    <t>Exatidão do número de CT para o Ar</t>
  </si>
  <si>
    <t>Exatidão da espessura do corte:</t>
  </si>
  <si>
    <r>
      <t xml:space="preserve">Fantoma </t>
    </r>
    <r>
      <rPr>
        <b/>
        <sz val="11"/>
        <color theme="1"/>
        <rFont val="Calibri"/>
        <family val="2"/>
        <scheme val="minor"/>
      </rPr>
      <t>FATIADO</t>
    </r>
  </si>
  <si>
    <r>
      <t xml:space="preserve">Fantoma </t>
    </r>
    <r>
      <rPr>
        <b/>
        <sz val="11"/>
        <color theme="1"/>
        <rFont val="Calibri"/>
        <family val="2"/>
        <scheme val="minor"/>
      </rPr>
      <t>COLADO</t>
    </r>
  </si>
  <si>
    <t xml:space="preserve">                 Não foi possível avaliar a exatidão do CTDI no ar para o protocolo pediátrico pois o sistema do equipamento realiza o cálculo de dose de acordo com um simulador de 32 cm, enquanto que o simulador para avaliar a dose em um paciente pediátrico, consoante a norma vigente, é de 16 cm de diâmetro.</t>
  </si>
  <si>
    <t>Fantoma Utilizado</t>
  </si>
  <si>
    <t xml:space="preserve"> -&gt; NPA se não for o de 16</t>
  </si>
  <si>
    <t>Indisponível</t>
  </si>
  <si>
    <t>RQE-3043-5</t>
  </si>
  <si>
    <t>Camara escura / Câmara de revelação</t>
  </si>
  <si>
    <t>integridade de chassis e Contato tela-filme</t>
  </si>
  <si>
    <t>Tamanho do CR</t>
  </si>
  <si>
    <t>Distorção Geométrica do CR para raios X Convencional</t>
  </si>
  <si>
    <t>Lados da maior marcação da placa amarela [cm]:</t>
  </si>
  <si>
    <t>TESTES PARA CR</t>
  </si>
  <si>
    <t>TESTES PARA CHASSIS COM FILMES</t>
  </si>
  <si>
    <t>Integridade de cassetes CR</t>
  </si>
  <si>
    <t>Acrílico [cm]</t>
  </si>
  <si>
    <t>mAs indicado</t>
  </si>
  <si>
    <t>ANÁLISE DAS IMAGENS DOS CR</t>
  </si>
  <si>
    <t>Para intraoral</t>
  </si>
  <si>
    <t>Tem tabela tempo x temperatura?</t>
  </si>
  <si>
    <t>Tem cronômetro?</t>
  </si>
  <si>
    <t>Tem termômetro?</t>
  </si>
  <si>
    <t>Distorção</t>
  </si>
  <si>
    <t>Razão contraste-ruído do CR para Mamografia (CNR)</t>
  </si>
  <si>
    <t>Integridade de cassetes CR e Uniformidade</t>
  </si>
  <si>
    <t>Lado 1</t>
  </si>
  <si>
    <t>Lado 2</t>
  </si>
  <si>
    <t>Distorção do CR para raios X Convencional</t>
  </si>
  <si>
    <t>Uniformidade da imagem do CR</t>
  </si>
  <si>
    <t>Média da placa de Al</t>
  </si>
  <si>
    <t>DP da placa de Al</t>
  </si>
  <si>
    <t>Espessura PMMA [cm]</t>
  </si>
  <si>
    <t>T [°C]</t>
  </si>
  <si>
    <t>Digitar na tabela abaixo.</t>
  </si>
  <si>
    <t>Id</t>
  </si>
  <si>
    <t>Aplicação</t>
  </si>
  <si>
    <t>RSR</t>
  </si>
  <si>
    <t>ROI 1 M</t>
  </si>
  <si>
    <t>ROI 1 DP</t>
  </si>
  <si>
    <t>ROI 2 M</t>
  </si>
  <si>
    <t>ROI 4 DP</t>
  </si>
  <si>
    <t>ROI 2 DP</t>
  </si>
  <si>
    <t>ROI 3 M</t>
  </si>
  <si>
    <t>ROI 3 DP</t>
  </si>
  <si>
    <t>ROI 4 M</t>
  </si>
  <si>
    <t>ROI central M</t>
  </si>
  <si>
    <t>ROI central DP</t>
  </si>
  <si>
    <t>Relação Sinal-Ruído</t>
  </si>
  <si>
    <t>Efetividade do ciclo de apagamento</t>
  </si>
  <si>
    <t>Uso</t>
  </si>
  <si>
    <t>Uso - IN</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</si>
  <si>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possíel avaliar</t>
    </r>
  </si>
  <si>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possíel avaliar; * informação não encontrada</t>
    </r>
  </si>
  <si>
    <r>
      <rPr>
        <b/>
        <sz val="8"/>
        <color theme="1"/>
        <rFont val="Calibri"/>
        <family val="2"/>
        <scheme val="minor"/>
      </rPr>
      <t xml:space="preserve">IN </t>
    </r>
    <r>
      <rPr>
        <sz val="8"/>
        <color theme="1"/>
        <rFont val="Calibri"/>
        <family val="2"/>
        <scheme val="minor"/>
      </rPr>
      <t xml:space="preserve">se atende as IN indicadas;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possíel avaliar; * informação não encontrada</t>
    </r>
  </si>
  <si>
    <t>Diferença</t>
  </si>
  <si>
    <t>Diferença entre placas de fósforo de mesmo tamanho (Mamo)</t>
  </si>
  <si>
    <t>Diferença entre placas de fósforo de mesmo tamanho (Conv)</t>
  </si>
  <si>
    <t>Sem artefatos</t>
  </si>
  <si>
    <t>Sem imagem residual</t>
  </si>
  <si>
    <t>Integridade do Chassi (filme)</t>
  </si>
  <si>
    <t>Este teste é aplicável ao equipamento em análise?</t>
  </si>
  <si>
    <t>Tensão de pico nominal ALTERNATIVA</t>
  </si>
  <si>
    <t>Visor plumbífero íntegro</t>
  </si>
  <si>
    <t xml:space="preserve">                Todo equipamento de fluoroscopia ou de radiologia intervencionista deve possuir visor plumbífero íntegro, com atenuação mínima equivalente a 0,25 mm Pb, a 100 kVp, para salas com equipamento fixo ou utilizado como fixo.</t>
  </si>
  <si>
    <t>Tamanho do campo em cm</t>
  </si>
  <si>
    <r>
      <rPr>
        <b/>
        <sz val="11"/>
        <color theme="1"/>
        <rFont val="Calibri"/>
        <family val="2"/>
        <scheme val="minor"/>
      </rPr>
      <t xml:space="preserve">OBS: </t>
    </r>
    <r>
      <rPr>
        <sz val="11"/>
        <color theme="1"/>
        <rFont val="Calibri"/>
        <family val="2"/>
        <scheme val="minor"/>
      </rPr>
      <t>PKA ind e dose ind sem zerar contador: são valores acumulados!</t>
    </r>
  </si>
  <si>
    <t>Colimador todo aberto</t>
  </si>
  <si>
    <t>Quadros/s sel</t>
  </si>
  <si>
    <t>Máxima taxa de KERMA no ar</t>
  </si>
  <si>
    <t>kV ind</t>
  </si>
  <si>
    <t>Há artefatos na imagem?</t>
  </si>
  <si>
    <t xml:space="preserve">                Existem artefatos na imagem, o que indica a necessidade de ação corretiva no sistema de registro de imagens, pois o mesmo está em nível de tolerância.</t>
  </si>
  <si>
    <t>TESTES PARA FOCOS FINO E GROSSO</t>
  </si>
  <si>
    <t>Tempo de exposição para simulador de 4,5 cm</t>
  </si>
  <si>
    <t>Tem bandeja de magnificação?</t>
  </si>
  <si>
    <t>kV ind ou sel</t>
  </si>
  <si>
    <t>FINO</t>
  </si>
  <si>
    <t>GROSSO</t>
  </si>
  <si>
    <t>4 cm</t>
  </si>
  <si>
    <t>Placas de acrílico/PMMA (mm)</t>
  </si>
  <si>
    <t>RQE-3023-50</t>
  </si>
  <si>
    <t>DEMAIS TESTES</t>
  </si>
  <si>
    <t>Há artefatos na imagem</t>
  </si>
  <si>
    <t xml:space="preserve">                A uniformidade da imagem está fora de tolerância (≤ 15%). São possíveis causas: inomegeneidade da placa CR ou DR, desalinhamento da grade, efeito anódico e campo distorcido.</t>
  </si>
  <si>
    <t xml:space="preserve">                O sistema de registro de imagens não deve apresentar imagem residual (nível de tolerância). Recomenda-se ação corretiva.</t>
  </si>
  <si>
    <t xml:space="preserve">                A exatidão do tempo de exposição está fora de tolerância (20 %). O circuito eletrônico que controla o tempo de exposição deve ser ajustado.</t>
  </si>
  <si>
    <r>
      <t xml:space="preserve">IN </t>
    </r>
    <r>
      <rPr>
        <sz val="8"/>
        <rFont val="Arial"/>
        <family val="2"/>
      </rPr>
      <t xml:space="preserve">se atende a IN indicada; </t>
    </r>
    <r>
      <rPr>
        <b/>
        <sz val="8"/>
        <rFont val="Arial"/>
        <family val="2"/>
      </rPr>
      <t xml:space="preserve">NA </t>
    </r>
    <r>
      <rPr>
        <sz val="8"/>
        <rFont val="Arial"/>
        <family val="2"/>
      </rPr>
      <t xml:space="preserve">não aplicável; </t>
    </r>
    <r>
      <rPr>
        <b/>
        <sz val="8"/>
        <rFont val="Arial"/>
        <family val="2"/>
      </rPr>
      <t>NPA</t>
    </r>
    <r>
      <rPr>
        <sz val="8"/>
        <rFont val="Arial"/>
        <family val="2"/>
      </rPr>
      <t xml:space="preserve"> não foi possível avaliar</t>
    </r>
  </si>
  <si>
    <t>Câmara de revelação portátil de material opaco</t>
  </si>
  <si>
    <t>Opaca</t>
  </si>
  <si>
    <t>Cronômetro</t>
  </si>
  <si>
    <t>Termômetro</t>
  </si>
  <si>
    <t>Tabela t x T</t>
  </si>
  <si>
    <r>
      <rPr>
        <b/>
        <sz val="8"/>
        <color theme="1"/>
        <rFont val="Calibri"/>
        <family val="2"/>
        <scheme val="minor"/>
      </rPr>
      <t xml:space="preserve">IN/RDC </t>
    </r>
    <r>
      <rPr>
        <sz val="8"/>
        <color theme="1"/>
        <rFont val="Calibri"/>
        <family val="2"/>
        <scheme val="minor"/>
      </rPr>
      <t xml:space="preserve">se atende a IN/RDC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possíel avaliar; * informação não encontrada</t>
    </r>
  </si>
  <si>
    <t>"&amp;PROCV("rdc";IN_ANVISA;2)&amp;"/"&amp;PROCV("rdc";IN_ANVISA;3)&amp;" da ANVISA."</t>
  </si>
  <si>
    <t xml:space="preserve">                Foram verificados artefatos e manchas nas imagens. Recomenda-se a revisão e adequação do método de revelação, a verificação da câmara de revelação e do armazenamento dos filmes.</t>
  </si>
  <si>
    <t>RDC e INs</t>
  </si>
  <si>
    <t>Responsável</t>
  </si>
  <si>
    <t>Profissional</t>
  </si>
  <si>
    <t>Reprodutibilidade - Modo Panorâmico/Tomografia</t>
  </si>
  <si>
    <t>Reprodutibilidade - Modo Cefalometria</t>
  </si>
  <si>
    <t>Reprodutibilidade da alta tensão do tubo - Cefalometria</t>
  </si>
  <si>
    <t>Reprodutibilidade da taxa de kerma no ar - Cefalometria</t>
  </si>
  <si>
    <r>
      <rPr>
        <b/>
        <sz val="11"/>
        <color theme="1"/>
        <rFont val="Calibri"/>
        <family val="2"/>
        <scheme val="minor"/>
      </rPr>
      <t xml:space="preserve">DEP intraoral </t>
    </r>
    <r>
      <rPr>
        <sz val="11"/>
        <color theme="1"/>
        <rFont val="Calibri"/>
        <family val="2"/>
        <scheme val="minor"/>
      </rPr>
      <t>- Artigo IPEN (Elaboração de um procedimento para controle de qualidade em sistemas de radiodiagnóstico odontológico - Paula Andrade + Maria da Penha)</t>
    </r>
  </si>
  <si>
    <t>DFF 27,5cm</t>
  </si>
  <si>
    <t>Fator de retroespalhamento</t>
  </si>
  <si>
    <t>DFF 20 cm</t>
  </si>
  <si>
    <t>Fator Calib da CI</t>
  </si>
  <si>
    <t>ISO N 30</t>
  </si>
  <si>
    <t>ISO N 40</t>
  </si>
  <si>
    <t>ISO N 60</t>
  </si>
  <si>
    <t>ISO N 80</t>
  </si>
  <si>
    <t>ISO N 100</t>
  </si>
  <si>
    <t>ISO N 120</t>
  </si>
  <si>
    <t>Tensão</t>
  </si>
  <si>
    <t>CI 451P-RYR, NS 0174</t>
  </si>
  <si>
    <t>Fator Calibração</t>
  </si>
  <si>
    <r>
      <t>(cd/m</t>
    </r>
    <r>
      <rPr>
        <vertAlign val="superscript"/>
        <sz val="11"/>
        <color theme="1"/>
        <rFont val="Calibri"/>
        <family val="2"/>
        <scheme val="minor"/>
      </rPr>
      <t>2</t>
    </r>
    <r>
      <rPr>
        <sz val="11"/>
        <color theme="1"/>
        <rFont val="Calibri"/>
        <family val="2"/>
        <scheme val="minor"/>
      </rPr>
      <t>)/lux ou Nit/lux</t>
    </r>
  </si>
  <si>
    <t>CSR</t>
  </si>
  <si>
    <t>Unfors Xi base 8201023-D, NS 168873; R/F &amp; MAM detector 8202031-J, NS 167050; CT detector 8202041-C, NS 191329</t>
  </si>
  <si>
    <t>Kerma.cm</t>
  </si>
  <si>
    <t>Fator Calib do Multimedidor</t>
  </si>
  <si>
    <t>Colunas1</t>
  </si>
  <si>
    <t>Sistema de radiografia</t>
  </si>
  <si>
    <t>Sistemas de mamografia</t>
  </si>
  <si>
    <t>Sistemas de tomografia computadorizada</t>
  </si>
  <si>
    <t>Sistemas de fluoroscopia e de radiologia intervencionista</t>
  </si>
  <si>
    <t>Sistemas de radiografia médica convencional</t>
  </si>
  <si>
    <t>Sistemas de radiologia odontológica extraoral</t>
  </si>
  <si>
    <t>Sistemas de radiologia odontológica intraoral</t>
  </si>
  <si>
    <t>Sistemas de ultrassom diagnóstico ou intervencionista</t>
  </si>
  <si>
    <t>Sistemas de ressonância magnética nuclear</t>
  </si>
  <si>
    <t>Sistema de registro de imagem:</t>
  </si>
  <si>
    <t>Kerma</t>
  </si>
  <si>
    <t>Protocolo Nacional</t>
  </si>
  <si>
    <t>Valor medido (µSv/h)</t>
  </si>
  <si>
    <t>Correção (µSv/h)</t>
  </si>
  <si>
    <t>Identificação e N° Série do Fantoma</t>
  </si>
  <si>
    <r>
      <rPr>
        <b/>
        <sz val="11"/>
        <color theme="1"/>
        <rFont val="Calibri"/>
        <family val="2"/>
        <scheme val="minor"/>
      </rPr>
      <t xml:space="preserve">Anexo III </t>
    </r>
    <r>
      <rPr>
        <sz val="11"/>
        <color theme="1"/>
        <rFont val="Calibri"/>
        <family val="2"/>
        <scheme val="minor"/>
      </rPr>
      <t xml:space="preserve">- Valores mínimos de CSR - </t>
    </r>
    <r>
      <rPr>
        <b/>
        <sz val="11"/>
        <color theme="1"/>
        <rFont val="Calibri"/>
        <family val="2"/>
        <scheme val="minor"/>
      </rPr>
      <t>IN 90/2021</t>
    </r>
  </si>
  <si>
    <t>Tem indicador de mGy no DR?</t>
  </si>
  <si>
    <t>Sistema de colimação (exatidão do indicador de campo luminoso) e Alinhamento do feixe</t>
  </si>
  <si>
    <t>Distância foco-detector utilizada:</t>
  </si>
  <si>
    <t>D.F.R.I.</t>
  </si>
  <si>
    <t>mAs ou s</t>
  </si>
  <si>
    <t>M ou B</t>
  </si>
  <si>
    <t>Anexo II da IN 90/2021</t>
  </si>
  <si>
    <t>Ref. Máxima Permitida</t>
  </si>
  <si>
    <t>CONVENCIONAL - Dose de Entrada na Pele do Paciente (RQE-3020-41)</t>
  </si>
  <si>
    <t>5. GRÁFICOS DOS INDICADORES DA QUALIDADE DA IMAGEM</t>
  </si>
  <si>
    <t>Data</t>
  </si>
  <si>
    <t>Obs.</t>
  </si>
  <si>
    <t>Estrutura simulada</t>
  </si>
  <si>
    <r>
      <t xml:space="preserve">IN </t>
    </r>
    <r>
      <rPr>
        <sz val="9"/>
        <rFont val="Arial"/>
        <family val="2"/>
      </rPr>
      <t xml:space="preserve">se atende a IN indicada; </t>
    </r>
    <r>
      <rPr>
        <b/>
        <sz val="9"/>
        <rFont val="Arial"/>
        <family val="2"/>
      </rPr>
      <t xml:space="preserve">NA </t>
    </r>
    <r>
      <rPr>
        <sz val="9"/>
        <rFont val="Arial"/>
        <family val="2"/>
      </rPr>
      <t xml:space="preserve">não aplicável; </t>
    </r>
    <r>
      <rPr>
        <b/>
        <sz val="9"/>
        <rFont val="Arial"/>
        <family val="2"/>
      </rPr>
      <t>NPA</t>
    </r>
    <r>
      <rPr>
        <sz val="9"/>
        <rFont val="Arial"/>
        <family val="2"/>
      </rPr>
      <t xml:space="preserve"> não foi possível avaliar; </t>
    </r>
    <r>
      <rPr>
        <b/>
        <sz val="9"/>
        <rFont val="Arial"/>
        <family val="2"/>
      </rPr>
      <t>NR</t>
    </r>
    <r>
      <rPr>
        <sz val="9"/>
        <rFont val="Arial"/>
        <family val="2"/>
      </rPr>
      <t xml:space="preserve"> não realizado; </t>
    </r>
    <r>
      <rPr>
        <b/>
        <sz val="9"/>
        <rFont val="Arial"/>
        <family val="2"/>
      </rPr>
      <t>NC</t>
    </r>
    <r>
      <rPr>
        <sz val="9"/>
        <rFont val="Arial"/>
        <family val="2"/>
      </rPr>
      <t xml:space="preserve"> não conforme; </t>
    </r>
    <r>
      <rPr>
        <b/>
        <sz val="9"/>
        <rFont val="Arial"/>
        <family val="2"/>
      </rPr>
      <t>C</t>
    </r>
    <r>
      <rPr>
        <sz val="9"/>
        <rFont val="Arial"/>
        <family val="2"/>
      </rPr>
      <t xml:space="preserve"> conforme.</t>
    </r>
  </si>
  <si>
    <r>
      <t xml:space="preserve">IN </t>
    </r>
    <r>
      <rPr>
        <sz val="9"/>
        <rFont val="Arial"/>
        <family val="2"/>
      </rPr>
      <t xml:space="preserve">se atende a IN indicada; </t>
    </r>
    <r>
      <rPr>
        <b/>
        <sz val="9"/>
        <rFont val="Arial"/>
        <family val="2"/>
      </rPr>
      <t xml:space="preserve">NA </t>
    </r>
    <r>
      <rPr>
        <sz val="9"/>
        <rFont val="Arial"/>
        <family val="2"/>
      </rPr>
      <t xml:space="preserve">não aplicável; </t>
    </r>
    <r>
      <rPr>
        <b/>
        <sz val="9"/>
        <rFont val="Arial"/>
        <family val="2"/>
      </rPr>
      <t>NPA</t>
    </r>
    <r>
      <rPr>
        <sz val="9"/>
        <rFont val="Arial"/>
        <family val="2"/>
      </rPr>
      <t xml:space="preserve"> não foi possível avaliar; </t>
    </r>
    <r>
      <rPr>
        <b/>
        <sz val="9"/>
        <rFont val="Arial"/>
        <family val="2"/>
      </rPr>
      <t>NR</t>
    </r>
    <r>
      <rPr>
        <sz val="9"/>
        <rFont val="Arial"/>
        <family val="2"/>
      </rPr>
      <t xml:space="preserve"> não realizado; </t>
    </r>
    <r>
      <rPr>
        <b/>
        <sz val="9"/>
        <rFont val="Arial"/>
        <family val="2"/>
      </rPr>
      <t>NC</t>
    </r>
    <r>
      <rPr>
        <sz val="9"/>
        <rFont val="Arial"/>
        <family val="2"/>
      </rPr>
      <t xml:space="preserve"> não conforme; </t>
    </r>
    <r>
      <rPr>
        <b/>
        <sz val="9"/>
        <rFont val="Arial"/>
        <family val="2"/>
      </rPr>
      <t>C</t>
    </r>
    <r>
      <rPr>
        <sz val="9"/>
        <rFont val="Arial"/>
        <family val="2"/>
      </rPr>
      <t xml:space="preserve"> conforme; </t>
    </r>
    <r>
      <rPr>
        <b/>
        <sz val="9"/>
        <rFont val="Arial"/>
        <family val="2"/>
      </rPr>
      <t>D</t>
    </r>
    <r>
      <rPr>
        <sz val="9"/>
        <rFont val="Arial"/>
        <family val="2"/>
      </rPr>
      <t xml:space="preserve"> densidade.</t>
    </r>
  </si>
  <si>
    <t>acr</t>
  </si>
  <si>
    <t>Coluna</t>
  </si>
  <si>
    <t>a</t>
  </si>
  <si>
    <t>mAs / D</t>
  </si>
  <si>
    <t>Teste para mostrar no Laudo Fantoma</t>
  </si>
  <si>
    <t>ANEXO - TABELA DE RESULTADOS</t>
  </si>
  <si>
    <t>DAP indicada [mGy.cm2]</t>
  </si>
  <si>
    <t>EXTRAORAL - Valor representativo de dose (DAP - produto dose X área)</t>
  </si>
  <si>
    <t>DAP</t>
  </si>
  <si>
    <r>
      <rPr>
        <b/>
        <sz val="8"/>
        <color theme="1"/>
        <rFont val="Calibri"/>
        <family val="2"/>
        <scheme val="minor"/>
      </rPr>
      <t xml:space="preserve">IN </t>
    </r>
    <r>
      <rPr>
        <sz val="8"/>
        <color theme="1"/>
        <rFont val="Calibri"/>
        <family val="2"/>
        <scheme val="minor"/>
      </rPr>
      <t>se atende a IN indicada</t>
    </r>
    <r>
      <rPr>
        <b/>
        <sz val="8"/>
        <color theme="1"/>
        <rFont val="Calibri"/>
        <family val="2"/>
        <scheme val="minor"/>
      </rPr>
      <t>; PAN</t>
    </r>
    <r>
      <rPr>
        <sz val="8"/>
        <color theme="1"/>
        <rFont val="Calibri"/>
        <family val="2"/>
        <scheme val="minor"/>
      </rPr>
      <t xml:space="preserve"> panorâmico; </t>
    </r>
    <r>
      <rPr>
        <b/>
        <sz val="8"/>
        <color theme="1"/>
        <rFont val="Calibri"/>
        <family val="2"/>
        <scheme val="minor"/>
      </rPr>
      <t>CEF</t>
    </r>
    <r>
      <rPr>
        <sz val="8"/>
        <color theme="1"/>
        <rFont val="Calibri"/>
        <family val="2"/>
        <scheme val="minor"/>
      </rPr>
      <t xml:space="preserve"> cefalométrico; </t>
    </r>
    <r>
      <rPr>
        <b/>
        <sz val="8"/>
        <color theme="1"/>
        <rFont val="Calibri"/>
        <family val="2"/>
        <scheme val="minor"/>
      </rPr>
      <t>TFC</t>
    </r>
    <r>
      <rPr>
        <sz val="8"/>
        <color theme="1"/>
        <rFont val="Calibri"/>
        <family val="2"/>
        <scheme val="minor"/>
      </rPr>
      <t xml:space="preserve"> tomografia de feixe cônico;</t>
    </r>
    <r>
      <rPr>
        <b/>
        <sz val="8"/>
        <color theme="1"/>
        <rFont val="Calibri"/>
        <family val="2"/>
        <scheme val="minor"/>
      </rPr>
      <t xml:space="preserve"> Ref.</t>
    </r>
    <r>
      <rPr>
        <sz val="8"/>
        <color theme="1"/>
        <rFont val="Calibri"/>
        <family val="2"/>
        <scheme val="minor"/>
      </rPr>
      <t xml:space="preserve"> valor de referência especificado pelo fabricante em mGy.cm2; </t>
    </r>
    <r>
      <rPr>
        <b/>
        <sz val="8"/>
        <color theme="1"/>
        <rFont val="Calibri"/>
        <family val="2"/>
        <scheme val="minor"/>
      </rPr>
      <t>DAP</t>
    </r>
    <r>
      <rPr>
        <sz val="8"/>
        <color theme="1"/>
        <rFont val="Calibri"/>
        <family val="2"/>
        <scheme val="minor"/>
      </rPr>
      <t xml:space="preserve"> </t>
    </r>
    <r>
      <rPr>
        <i/>
        <sz val="8"/>
        <color theme="1"/>
        <rFont val="Calibri"/>
        <family val="2"/>
        <scheme val="minor"/>
      </rPr>
      <t>Dose Area Product</t>
    </r>
    <r>
      <rPr>
        <sz val="8"/>
        <color theme="1"/>
        <rFont val="Calibri"/>
        <family val="2"/>
        <scheme val="minor"/>
      </rPr>
      <t xml:space="preserve"> em mGy.cm2;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t>
    </r>
    <r>
      <rPr>
        <sz val="8"/>
        <color theme="1"/>
        <rFont val="Calibri"/>
        <family val="2"/>
        <scheme val="minor"/>
      </rPr>
      <t xml:space="preserve"> informação não disponível.</t>
    </r>
  </si>
  <si>
    <t>Imagem sem artefatos?</t>
  </si>
  <si>
    <t>Ciclo de apagamento sem imagem residual?</t>
  </si>
  <si>
    <t>RQE-3020-45</t>
  </si>
  <si>
    <t>IRP está a:</t>
  </si>
  <si>
    <t>[cm]   do</t>
  </si>
  <si>
    <t xml:space="preserve"> - &gt; ponto em que deveria medir (dist até o receptor de imagem)</t>
  </si>
  <si>
    <t>Distância foco-detector (unfors, ray safe, etc.)</t>
  </si>
  <si>
    <t>OBS: Modos alto e baixo estão ocultos</t>
  </si>
  <si>
    <r>
      <t>Medidas no Ponto de Referência para Intervencionismo (IRP) - extatidão PKA e K</t>
    </r>
    <r>
      <rPr>
        <b/>
        <u/>
        <vertAlign val="subscript"/>
        <sz val="11"/>
        <rFont val="Arial Black"/>
        <family val="2"/>
      </rPr>
      <t>IRP</t>
    </r>
  </si>
  <si>
    <t>Medidas para Máxima K</t>
  </si>
  <si>
    <t>Máxima taxa de KERMA no ar [mGy/min]</t>
  </si>
  <si>
    <t>Exatidão do produto kerma x área (Pka) @ IRP [%]</t>
  </si>
  <si>
    <t>Valor da taxa de dose no ar de referência dos modos baixo/normal</t>
  </si>
  <si>
    <t>SD</t>
  </si>
  <si>
    <t>Números de CT - Exatidão, ruído e uniformidade</t>
  </si>
  <si>
    <t>Protocolo Utilizado</t>
  </si>
  <si>
    <t>ref</t>
  </si>
  <si>
    <t>Ar dentro do fantoma</t>
  </si>
  <si>
    <t>Ar fora do fantoma</t>
  </si>
  <si>
    <t>media</t>
  </si>
  <si>
    <t>Exatidão da espessura dos cortes na imagem reconstruída (modo axial, preferencialmente)</t>
  </si>
  <si>
    <t>Compensação do sistema de modulação de corrente (caredose, mAs automatico)</t>
  </si>
  <si>
    <t>Mean HU</t>
  </si>
  <si>
    <t>SD HU</t>
  </si>
  <si>
    <t>Exatidão do CTDI no ar - Dose no paciente</t>
  </si>
  <si>
    <t>d medida</t>
  </si>
  <si>
    <t>d ref do manual</t>
  </si>
  <si>
    <t>Dose medida CORRIGIDA</t>
  </si>
  <si>
    <t>Fantoma Colado</t>
  </si>
  <si>
    <t xml:space="preserve">Frequência [Hz] </t>
  </si>
  <si>
    <t xml:space="preserve">Frequência [MHz] </t>
  </si>
  <si>
    <t>fluxo baixo</t>
  </si>
  <si>
    <t>fluxo médio</t>
  </si>
  <si>
    <t>fluxo alto</t>
  </si>
  <si>
    <r>
      <rPr>
        <b/>
        <sz val="10"/>
        <color theme="1"/>
        <rFont val="Calibri"/>
        <family val="2"/>
        <scheme val="minor"/>
      </rPr>
      <t>IN</t>
    </r>
    <r>
      <rPr>
        <sz val="10"/>
        <color theme="1"/>
        <rFont val="Calibri"/>
        <family val="2"/>
        <scheme val="minor"/>
      </rPr>
      <t xml:space="preserve"> se atende a IN indicada; </t>
    </r>
    <r>
      <rPr>
        <b/>
        <sz val="10"/>
        <color theme="1"/>
        <rFont val="Calibri"/>
        <family val="2"/>
        <scheme val="minor"/>
      </rPr>
      <t>NA</t>
    </r>
    <r>
      <rPr>
        <sz val="10"/>
        <color theme="1"/>
        <rFont val="Calibri"/>
        <family val="2"/>
        <scheme val="minor"/>
      </rPr>
      <t xml:space="preserve"> não aplicável; </t>
    </r>
    <r>
      <rPr>
        <b/>
        <sz val="10"/>
        <color theme="1"/>
        <rFont val="Calibri"/>
        <family val="2"/>
        <scheme val="minor"/>
      </rPr>
      <t>NPA</t>
    </r>
    <r>
      <rPr>
        <sz val="10"/>
        <color theme="1"/>
        <rFont val="Calibri"/>
        <family val="2"/>
        <scheme val="minor"/>
      </rPr>
      <t xml:space="preserve"> não foi possível avaliar; </t>
    </r>
    <r>
      <rPr>
        <b/>
        <sz val="10"/>
        <color theme="1"/>
        <rFont val="Calibri"/>
        <family val="2"/>
        <scheme val="minor"/>
      </rPr>
      <t>BD</t>
    </r>
    <r>
      <rPr>
        <sz val="10"/>
        <color theme="1"/>
        <rFont val="Calibri"/>
        <family val="2"/>
        <scheme val="minor"/>
      </rPr>
      <t xml:space="preserve"> bordas definidas; </t>
    </r>
    <r>
      <rPr>
        <b/>
        <sz val="10"/>
        <color theme="1"/>
        <rFont val="Calibri"/>
        <family val="2"/>
        <scheme val="minor"/>
      </rPr>
      <t>BND</t>
    </r>
    <r>
      <rPr>
        <sz val="10"/>
        <color theme="1"/>
        <rFont val="Calibri"/>
        <family val="2"/>
        <scheme val="minor"/>
      </rPr>
      <t xml:space="preserve"> bordas não definidas; </t>
    </r>
    <r>
      <rPr>
        <b/>
        <sz val="10"/>
        <color theme="1"/>
        <rFont val="Calibri"/>
        <family val="2"/>
        <scheme val="minor"/>
      </rPr>
      <t>AC</t>
    </r>
    <r>
      <rPr>
        <sz val="10"/>
        <color theme="1"/>
        <rFont val="Calibri"/>
        <family val="2"/>
        <scheme val="minor"/>
      </rPr>
      <t xml:space="preserve"> alvos circulares; </t>
    </r>
    <r>
      <rPr>
        <b/>
        <sz val="10"/>
        <color theme="1"/>
        <rFont val="Calibri"/>
        <family val="2"/>
        <scheme val="minor"/>
      </rPr>
      <t>ANC</t>
    </r>
    <r>
      <rPr>
        <sz val="10"/>
        <color theme="1"/>
        <rFont val="Calibri"/>
        <family val="2"/>
        <scheme val="minor"/>
      </rPr>
      <t xml:space="preserve"> alvos não circulares; </t>
    </r>
    <r>
      <rPr>
        <b/>
        <sz val="10"/>
        <color theme="1"/>
        <rFont val="Calibri"/>
        <family val="2"/>
        <scheme val="minor"/>
      </rPr>
      <t>NI</t>
    </r>
    <r>
      <rPr>
        <sz val="10"/>
        <color theme="1"/>
        <rFont val="Calibri"/>
        <family val="2"/>
        <scheme val="minor"/>
      </rPr>
      <t xml:space="preserve"> não informado.</t>
    </r>
  </si>
  <si>
    <t>NI</t>
  </si>
  <si>
    <t>Profundidade de penetração (máxima)</t>
  </si>
  <si>
    <t>O grupo de alvos é composto de nove alvos lineares. O primeiro alvo está a 0,2 cm abaixo da superfície da imagem. Os alvos seguintes estão espaçados de 0,1 cm em 0,1 cm, até uma profundidade de 1cm.</t>
  </si>
  <si>
    <t>Fluxo no Modo Dopper</t>
  </si>
  <si>
    <t>RQE-3053-5</t>
  </si>
  <si>
    <t>Equipamento apresenta as frequências na tela?</t>
  </si>
  <si>
    <t xml:space="preserve">                Este equipamento não apresenta frequências na tela. Os valores das frequências informadas foram estimados através do manual.</t>
  </si>
  <si>
    <t>RELATÓRIO DE CONTROLE DE QUALIDADE DA IMAGEM</t>
  </si>
  <si>
    <t>EXATIDÃO E UNIFORMIDADE DOS NÚMEROS DE CT E RUÍDO DA IMAGEM TOMOGRÁFICA</t>
  </si>
  <si>
    <r>
      <t xml:space="preserve">               A metodologia utilizada atende aos "</t>
    </r>
    <r>
      <rPr>
        <i/>
        <sz val="11"/>
        <color theme="1"/>
        <rFont val="Calibri"/>
        <family val="2"/>
        <scheme val="minor"/>
      </rPr>
      <t>Protocolos para Execução de Testes em Sistemas de Radiologia Diagnóstica e Intervencionista</t>
    </r>
    <r>
      <rPr>
        <sz val="11"/>
        <color theme="1"/>
        <rFont val="Calibri"/>
        <family val="2"/>
        <scheme val="minor"/>
      </rPr>
      <t>" do CONFEA.</t>
    </r>
  </si>
  <si>
    <t>Nível de tolerância</t>
  </si>
  <si>
    <t>Nível de restrição</t>
  </si>
  <si>
    <t>Uniformidade do número de CT</t>
  </si>
  <si>
    <t>Ruído da imagem tomográfica</t>
  </si>
  <si>
    <r>
      <t xml:space="preserve">IN </t>
    </r>
    <r>
      <rPr>
        <sz val="8"/>
        <rFont val="Calibri"/>
        <family val="2"/>
        <scheme val="minor"/>
      </rPr>
      <t xml:space="preserve">se atende a IN indicada; </t>
    </r>
    <r>
      <rPr>
        <b/>
        <sz val="8"/>
        <rFont val="Calibri"/>
        <family val="2"/>
        <scheme val="minor"/>
      </rPr>
      <t xml:space="preserve">NA </t>
    </r>
    <r>
      <rPr>
        <sz val="8"/>
        <rFont val="Calibri"/>
        <family val="2"/>
        <scheme val="minor"/>
      </rPr>
      <t xml:space="preserve">não aplicável; </t>
    </r>
    <r>
      <rPr>
        <b/>
        <sz val="8"/>
        <rFont val="Calibri"/>
        <family val="2"/>
        <scheme val="minor"/>
      </rPr>
      <t>NPA</t>
    </r>
    <r>
      <rPr>
        <sz val="8"/>
        <rFont val="Calibri"/>
        <family val="2"/>
        <scheme val="minor"/>
      </rPr>
      <t xml:space="preserve"> não foi possível avaliar</t>
    </r>
  </si>
  <si>
    <t>&gt; 10 HU</t>
  </si>
  <si>
    <t>≤ 15% acima do valor de referência</t>
  </si>
  <si>
    <t>&gt; 20% acima do valor de referência</t>
  </si>
  <si>
    <t xml:space="preserve">               Os testes realizados visam avaliar a resposta do sistema; a dispersão aleatória da intensidade da imagem em uma região de interesse; e a variação da intensidade da imagem entre diferentes regiões de interesse.</t>
  </si>
  <si>
    <t>Meio</t>
  </si>
  <si>
    <t>4.1 VALORES DE REFERÊNCIA INFORMADOS PELO CONTRATANTE</t>
  </si>
  <si>
    <t>Exatidão @ ar</t>
  </si>
  <si>
    <t>Exatidão @ água</t>
  </si>
  <si>
    <t>Resultado [HU]</t>
  </si>
  <si>
    <r>
      <rPr>
        <sz val="11"/>
        <rFont val="Calibri"/>
        <family val="2"/>
      </rPr>
      <t>≤</t>
    </r>
    <r>
      <rPr>
        <sz val="11"/>
        <rFont val="Calibri"/>
        <family val="2"/>
        <scheme val="minor"/>
      </rPr>
      <t xml:space="preserve"> 5 HU</t>
    </r>
  </si>
  <si>
    <t>Tolerância [HU]</t>
  </si>
  <si>
    <t>Restrição [HU]</t>
  </si>
  <si>
    <t>Valor de referência[HU]</t>
  </si>
  <si>
    <r>
      <t xml:space="preserve">OBS: </t>
    </r>
    <r>
      <rPr>
        <b/>
        <sz val="9"/>
        <rFont val="Calibri"/>
        <family val="2"/>
        <scheme val="minor"/>
      </rPr>
      <t>NI</t>
    </r>
    <r>
      <rPr>
        <sz val="9"/>
        <rFont val="Calibri"/>
        <family val="2"/>
        <scheme val="minor"/>
      </rPr>
      <t xml:space="preserve"> não informado; </t>
    </r>
    <r>
      <rPr>
        <b/>
        <sz val="9"/>
        <rFont val="Calibri"/>
        <family val="2"/>
        <scheme val="minor"/>
      </rPr>
      <t>NA</t>
    </r>
    <r>
      <rPr>
        <sz val="9"/>
        <rFont val="Calibri"/>
        <family val="2"/>
        <scheme val="minor"/>
      </rPr>
      <t xml:space="preserve"> não aplicável</t>
    </r>
  </si>
  <si>
    <t xml:space="preserve">               Os equipamentos Toshiba são calibrados em fábrica para apresentarem exatidão no Ar entre +/- 15 HU, ou seja o número de CT para o ar pode variar entre -1015 e -985 HU. </t>
  </si>
  <si>
    <t>Exatidão do 
número de CT*</t>
  </si>
  <si>
    <t xml:space="preserve">               A uniformidade dos números de CT está fora de tolerância (≤ 5 HU). A presença de artefatos no fantoma ou na imagem é uma das possíveis causas. Recomenda-se a manutenção corretiva do equipamento.</t>
  </si>
  <si>
    <t xml:space="preserve">               Recomenda-se verificar com o fabricante se o mesmo estabelece níveis de tolerância e/ou restrição diferentes dos definidos na IN 93/2021 da ANVISA para a Exatidão dos números de CT.</t>
  </si>
  <si>
    <t xml:space="preserve">               O ruído da imagem está fora de tolerância (15 % acima do valor de referência). As causas podem ser diversas. Recomenda-se a manutenção corretiva do equipamento.</t>
  </si>
  <si>
    <t xml:space="preserve">               Não foram informados os valores de referência para o ruído da imagem tomográfica. Recomenda-se que os resultados deste relatório sejam utilizados como referência para testes futuros.</t>
  </si>
  <si>
    <t>Teste para mostrar no Laudo</t>
  </si>
  <si>
    <r>
      <rPr>
        <sz val="11"/>
        <color theme="1"/>
        <rFont val="Symbol"/>
        <family val="1"/>
        <charset val="2"/>
      </rPr>
      <t>s</t>
    </r>
    <r>
      <rPr>
        <sz val="11"/>
        <color theme="1"/>
        <rFont val="Calibri"/>
        <family val="2"/>
        <scheme val="minor"/>
      </rPr>
      <t xml:space="preserve"> central água</t>
    </r>
  </si>
  <si>
    <r>
      <rPr>
        <sz val="11"/>
        <color theme="1"/>
        <rFont val="Symbol"/>
        <family val="1"/>
        <charset val="2"/>
      </rPr>
      <t>s</t>
    </r>
    <r>
      <rPr>
        <sz val="11"/>
        <color theme="1"/>
        <rFont val="Calibri"/>
        <family val="2"/>
        <scheme val="minor"/>
      </rPr>
      <t xml:space="preserve"> central Ar</t>
    </r>
  </si>
  <si>
    <t>TESTE NÚMEROS CT E RUÍDO</t>
  </si>
  <si>
    <t>Resultados</t>
  </si>
  <si>
    <t>Ruído @ ar</t>
  </si>
  <si>
    <t>Ruído @ água</t>
  </si>
  <si>
    <t>CT central Ar (-1000)</t>
  </si>
  <si>
    <t>CT central água (0)</t>
  </si>
  <si>
    <t>Exatidão Tolerância @ água</t>
  </si>
  <si>
    <t>Exatidão Tolerância @ ar</t>
  </si>
  <si>
    <t>Exatidão Restrição @ água</t>
  </si>
  <si>
    <t>Exatidão Restrição @ ar</t>
  </si>
  <si>
    <t>Referências</t>
  </si>
  <si>
    <t>Imprimir</t>
  </si>
  <si>
    <t>ar dentro</t>
  </si>
  <si>
    <t>8. HISTÓRICO</t>
  </si>
  <si>
    <t>TEMOS</t>
  </si>
  <si>
    <t>FALTA</t>
  </si>
  <si>
    <t>+7 sem câmara CT</t>
  </si>
  <si>
    <t>20 cm de PMMA (8x1,5 + 4x2,0)</t>
  </si>
  <si>
    <t>Écran</t>
  </si>
  <si>
    <t>+2 placas amarelas</t>
  </si>
  <si>
    <t>malha para distorção geométrica</t>
  </si>
  <si>
    <t>TOR CDR ou RF-DIGI (resolução espacial) 1,5-2,5 pl/mm</t>
  </si>
  <si>
    <t>Placa de alumínio 10 mm x 10 mm x 0,2 mm</t>
  </si>
  <si>
    <t>+10 esponjas</t>
  </si>
  <si>
    <t>sem base compatível</t>
  </si>
  <si>
    <t>+2 em fabricação</t>
  </si>
  <si>
    <t>Luxímetros</t>
  </si>
  <si>
    <t>Sendo 1 Unfors e 1 RaySafe</t>
  </si>
  <si>
    <t>Contato tela-filme raios X</t>
  </si>
  <si>
    <t>Contato tela-filme mamografia</t>
  </si>
  <si>
    <t>Equipamento \ usado em:</t>
  </si>
  <si>
    <t>MÁQUINA RX</t>
  </si>
  <si>
    <t>REG. IMAGEM</t>
  </si>
  <si>
    <t>CR</t>
  </si>
  <si>
    <t>DR</t>
  </si>
  <si>
    <t>Densitometria Óssea</t>
  </si>
  <si>
    <t>Protocolo padrão para Crânio</t>
  </si>
  <si>
    <t>Protocolo padrão para Abdômen</t>
  </si>
  <si>
    <t>Só para monitor</t>
  </si>
  <si>
    <t xml:space="preserve">               Fornecer elementos para aceitação ou rejeição dos equipamentos, bem como para corrigir eventuais desvios, falhas e anomalias.</t>
  </si>
  <si>
    <t xml:space="preserve">                Este Laudo Técnico serve de subsídios para o PGR - Programa de Gerenciamento de Riscos definido na Norma Regulamentadora NR-01 da Portaria 3214/78 do MTb e para o PCMSO - Programa de Controle Médico de Saúde Ocupacional definido na Norma Regulamentadora NR-07 da Portaria 3214/78 do MTb.</t>
  </si>
  <si>
    <t>CNR relativa [%]</t>
  </si>
  <si>
    <r>
      <t xml:space="preserve">Tolerância </t>
    </r>
    <r>
      <rPr>
        <b/>
        <sz val="11"/>
        <color theme="1"/>
        <rFont val="Calibri"/>
        <family val="2"/>
      </rPr>
      <t>≥</t>
    </r>
    <r>
      <rPr>
        <b/>
        <sz val="11"/>
        <color theme="1"/>
        <rFont val="Calibri"/>
        <family val="2"/>
        <scheme val="minor"/>
      </rPr>
      <t xml:space="preserve"> RCR%</t>
    </r>
  </si>
  <si>
    <t>Restrição &lt; RCR%</t>
  </si>
  <si>
    <t>ROI (5mm X 5mm @ 10mm do centro do Al; ou 2 cm do Al)</t>
  </si>
  <si>
    <t>Uniformidade da imagem do DR - não uniforme medir ROIs novamente com outro método</t>
  </si>
  <si>
    <r>
      <t xml:space="preserve">Tolerância [%] </t>
    </r>
    <r>
      <rPr>
        <b/>
        <sz val="11"/>
        <color theme="1"/>
        <rFont val="Calibri"/>
        <family val="2"/>
      </rPr>
      <t>≥</t>
    </r>
  </si>
  <si>
    <t>CNR referência (50 mm; ou 45)</t>
  </si>
  <si>
    <t>Core View - Resolução espacial</t>
  </si>
  <si>
    <t>Resolução Espacial - TOR CDR</t>
  </si>
  <si>
    <t xml:space="preserve">                Embora não se tenha visualizado imagens residuais ou artefatos nas imagens realizadas para os testes, sugere-se verificar rotineiramente a presença de artefatos que possam comprometer o diagnóstico de exames de pacientes, bem como a efetividade do ciclo de apagamento do receptor de imagem.</t>
  </si>
  <si>
    <t xml:space="preserve">               O sistema de colimação deve ser ajustado para que esteja em condições de funcionamento para o exame radiográfico.</t>
  </si>
  <si>
    <t xml:space="preserve">                Os parâmetros operacionais kV, tempo, mA ou mAs, tubo selecionado e uso do Controle Automático de Exposição devem estar claramente indicados no painel de controle.</t>
  </si>
  <si>
    <t xml:space="preserve">                A razão contraste ruído (CNR) está abaixo do permitido, possivelmente devido à falha no receptor de imagem. As recomendações/instruções de manutenção fornecidas pelo fabricante do DR devem ser executadas. Permanecendo o problema, entar em contato com a assistência técnica.</t>
  </si>
  <si>
    <t>tempo [s]</t>
  </si>
  <si>
    <t>-&gt; Vide anotações dos manuais de cada equipamento, em outra planilha.</t>
  </si>
  <si>
    <t>Altura do campo [cm]</t>
  </si>
  <si>
    <t>Largura percorrida pelo feixe [cm]</t>
  </si>
  <si>
    <t>Fator de correção</t>
  </si>
  <si>
    <t>-&gt; Já mede mGy integrado na largura percorrida</t>
  </si>
  <si>
    <t>PKA Dose-área [mGy.cm2]</t>
  </si>
  <si>
    <t>PKL corrigida pela distância [mGy.cm]</t>
  </si>
  <si>
    <t>PKA calculada [mGy.cm2]</t>
  </si>
  <si>
    <t>Exatidão do indicador de dose do detector (buscar inf. no registro de Dose) - Produto Dose-área</t>
  </si>
  <si>
    <t>PKA indicada [mGy.cm2]</t>
  </si>
  <si>
    <t>PKL: valor medido [mGy.cm]</t>
  </si>
  <si>
    <t>Tem indicador de dose?</t>
  </si>
  <si>
    <t>Documento</t>
  </si>
  <si>
    <t>Lista de documentos de interesse, legislação e normas utilizadas para testes de LR, CQ e outros testes</t>
  </si>
  <si>
    <t>AAPM Report 175 - Acceptance Testing and Quality Control of Dental Imaging Equipment</t>
  </si>
  <si>
    <t>Cartilha_Protocolos_Testes_Radiologia_CCEEE_CONFEA_2021</t>
  </si>
  <si>
    <t>LR, CQ</t>
  </si>
  <si>
    <t>Comentário</t>
  </si>
  <si>
    <t>Documento feito pelo CONFEA, utilizado como protocolo Nacional Brasileiro (único, até o momento)</t>
  </si>
  <si>
    <t>CRCPD - Quality Control Recommendations for Diagnostic Radiography vol 1 - Dental Facilities</t>
  </si>
  <si>
    <t>Dental Film Processing Quality Assurance - A Guide to Implementation</t>
  </si>
  <si>
    <t>EFOMP - Quality Control in Cone-Beam Computed Tomography (CBCT)</t>
  </si>
  <si>
    <t>EUREF - European Protocol for the Quality Control of the Physical and Technical Aspects of Mammography Screening</t>
  </si>
  <si>
    <t>IAEA - Quality Assurance Programme for Digital Mammography</t>
  </si>
  <si>
    <t>IAEA-TECDOC-1958 Protocolos de Control de Calidad para Radiodiagnostico en América Latina y el Caribe</t>
  </si>
  <si>
    <t>Ministry of Health Malaysia - Technical Quality Control Protocol Handbook for Dental X-Ray System</t>
  </si>
  <si>
    <t>Protocolo Español de Control de Calidad en Radiodiagnóstico</t>
  </si>
  <si>
    <t>ABNT NBR IEC 60601-1-2010 - Equipamento eletromédico - Parte 1- Requisitos gerais para segurança básica e desempenho essencial</t>
  </si>
  <si>
    <t>RDC Nº 611, DE 9 DE Março DE 2022 - RESOLUÇÃO RDC Nº 611, DE 9 DE Março DE 2022 - DOU - Imprensa Nacional</t>
  </si>
  <si>
    <t>Estabelece os requisitos sanitários para a organização e o
funcionamento de serviços de radiologia diagnóstica ou intervencionista e regulamenta o controle das exposições médicas, ocupacionais e do público decorrentes do uso de tecnologias radiológicas diagnósticas ou intervencionistas.</t>
  </si>
  <si>
    <t>IN CQ 2021 - 90-96 versão 2022</t>
  </si>
  <si>
    <t>IN 91 Anexo 1 - Publicada em 10-08- versão 2022</t>
  </si>
  <si>
    <t>Instruções normativas referentes aos testes da RDC 611/22 da ANVISA</t>
  </si>
  <si>
    <t>Anexo que faltou na publicação da Instrução normativa.</t>
  </si>
  <si>
    <t>AAPM Dose em CT</t>
  </si>
  <si>
    <t>AAPM Performance Evaluation CT</t>
  </si>
  <si>
    <t>ACR_CT_QC manual</t>
  </si>
  <si>
    <t>CT_dose_calculation_BRIX2004</t>
  </si>
  <si>
    <t>IAEA  HHS19- Tomografia</t>
  </si>
  <si>
    <t>IAEA HHS17 - Mamografia digital</t>
  </si>
  <si>
    <t>INCA_atualizacao_em_mamo_para_tecnicos_em_radiologia_2019</t>
  </si>
  <si>
    <t>CQ mamo</t>
  </si>
  <si>
    <t>Portaria de Consolidação do Ministério da Saúde, inclui a Portaria do Programa Nacional de Qualidade em Mamografia (PNQM) - GM/MS nº 5 de 2017 (Subseção II)</t>
  </si>
  <si>
    <t>PNQM</t>
  </si>
  <si>
    <t>Prazo armazenamento</t>
  </si>
  <si>
    <t xml:space="preserve">               Serve para comprovação e/ou como subsídio para atendimento da Norma Regulamentadora NR-32 do MTb.</t>
  </si>
  <si>
    <t>6. VALIDADE:</t>
  </si>
  <si>
    <t>7. VALIDADE:</t>
  </si>
  <si>
    <t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t>
  </si>
  <si>
    <t>Rstrição</t>
  </si>
  <si>
    <t>Objetivo</t>
  </si>
  <si>
    <t>8. CONCLUSÃO</t>
  </si>
  <si>
    <t>http://portalsinan.saude.gov.br/images/documentos/Legislacoes/Portaria_Consolidacao_5_28_SETEMBRO_2017.pdf</t>
  </si>
  <si>
    <t xml:space="preserve">               Serve para comprovação e/ou como subsídio para atendimento da Portaria de Consolidação PRC-5/2017 do MS e da Norma Regulamentadora NR-32 do MTb.</t>
  </si>
  <si>
    <t>Portaria_Consolidacao_5_28_SETEMBRO_2017</t>
  </si>
  <si>
    <t>Objetivo correções</t>
  </si>
  <si>
    <t>10. CONCLUSÕES:</t>
  </si>
  <si>
    <t>9. VALIDADE:</t>
  </si>
  <si>
    <t xml:space="preserve">               Serve para comprovação e/ou como subsídio para atendimento das Normas Regulamentadoras NR-06 e NR-32 do MTb.</t>
  </si>
  <si>
    <t xml:space="preserve">               Verificar a integridade e efetividade do(s) Equipamento(s) de Proteção Individual - EPI(s) contra radiação ionizante.</t>
  </si>
  <si>
    <t>5. VALIDADE:</t>
  </si>
  <si>
    <t xml:space="preserve">               Considera-se EPI o dispositivo ou produto de uso individual utilizado pelo trabalhador, concebido e fabricado para oferecer proteção contra os riscos ocupacionais existentes no ambiente de trabalho, conforme previsto no Anexo I da NR-06 do MTb.</t>
  </si>
  <si>
    <t>Portaria MTP Nº 672 DE 08/11/2021</t>
  </si>
  <si>
    <t>EPI</t>
  </si>
  <si>
    <t>NR-06</t>
  </si>
  <si>
    <t xml:space="preserve">               Conforme determina a NR-06 do MTb e a Portaria MTP Nº 672 DE 08/11/2021, os EPIs utilizados por trabalhadores devem possuir marcação indelével do nome do fabricante ou importador, do lote de fabricação e do número do Certificado de Aprovação - CA.</t>
  </si>
  <si>
    <t xml:space="preserve">                Monitores utilizados para laudo devem ser específicos para esse fim, compatíveis com as características das imagens de cada modalidade assistencial, sendo proibida a utilização de monitores convencionais não específicos para essa finalidade.</t>
  </si>
  <si>
    <t xml:space="preserve">                 O equipamento atende o requisito da NR-32 do MTb.</t>
  </si>
  <si>
    <t>8. CONCLUSÃO:</t>
  </si>
  <si>
    <t>Validade CQ</t>
  </si>
  <si>
    <t xml:space="preserve">                Deve-se verificar a periodicidade definida no Programa de Gerenciamento de Riscos (PGR) do estabelecimento.</t>
  </si>
  <si>
    <t>NR-17</t>
  </si>
  <si>
    <t xml:space="preserve">                 O equipamento atende os requisitos da NR-32 do MTb.</t>
  </si>
  <si>
    <t xml:space="preserve">                Com este equipamento é possível atender o requisito da NR-32 do MTb.</t>
  </si>
  <si>
    <t>NR-15</t>
  </si>
  <si>
    <t>tamanho do campo utilizado</t>
  </si>
  <si>
    <t>Acalc1 = área teste colimação (cm2)</t>
  </si>
  <si>
    <r>
      <t>Acalc2 = área do campo utilizado (cm</t>
    </r>
    <r>
      <rPr>
        <b/>
        <vertAlign val="superscript"/>
        <sz val="11"/>
        <color theme="1"/>
        <rFont val="Calibri"/>
        <family val="2"/>
        <scheme val="minor"/>
      </rPr>
      <t>2</t>
    </r>
    <r>
      <rPr>
        <b/>
        <sz val="11"/>
        <color theme="1"/>
        <rFont val="Calibri"/>
        <family val="2"/>
        <scheme val="minor"/>
      </rPr>
      <t>)</t>
    </r>
  </si>
  <si>
    <t>cm (dfd)</t>
  </si>
  <si>
    <t>cm (dfr)</t>
  </si>
  <si>
    <t>Centro</t>
  </si>
  <si>
    <t>CNR %</t>
  </si>
  <si>
    <t>RCR %</t>
  </si>
  <si>
    <t>RQE-3060-1</t>
  </si>
  <si>
    <t>Tipo de Equipamento</t>
  </si>
  <si>
    <t>Campo fechado</t>
  </si>
  <si>
    <t>Campo magnético:</t>
  </si>
  <si>
    <t>Sistema de detecção de metais</t>
  </si>
  <si>
    <t>Frequência central</t>
  </si>
  <si>
    <t xml:space="preserve">Nominal: </t>
  </si>
  <si>
    <t>MHz</t>
  </si>
  <si>
    <t xml:space="preserve">Variação: </t>
  </si>
  <si>
    <t>Tolerância do fab:</t>
  </si>
  <si>
    <t>Visualização de artefatos</t>
  </si>
  <si>
    <t>ACR Axial T1</t>
  </si>
  <si>
    <t>ACR Axial T2</t>
  </si>
  <si>
    <t>Rotina Axial T1</t>
  </si>
  <si>
    <t>Rotina Axial T2</t>
  </si>
  <si>
    <t>Protocolos e parâmetros de aquisição</t>
  </si>
  <si>
    <t>Protocolo</t>
  </si>
  <si>
    <t>TR [ms]</t>
  </si>
  <si>
    <t>TE [ms]</t>
  </si>
  <si>
    <t>N° cortes</t>
  </si>
  <si>
    <t>Espessura de corte [mm]</t>
  </si>
  <si>
    <t>Matriz [freq/fase]</t>
  </si>
  <si>
    <t>Spin-Eco</t>
  </si>
  <si>
    <t>Eco-spin-eco</t>
  </si>
  <si>
    <t>256/256</t>
  </si>
  <si>
    <t>Tempo de varredura [s]</t>
  </si>
  <si>
    <t>Sequência de pulso de aquisição</t>
  </si>
  <si>
    <t>Há artefatos?</t>
  </si>
  <si>
    <t>Artefatos interferem na avaliação das imagens do CQ?</t>
  </si>
  <si>
    <t>Entrevista</t>
  </si>
  <si>
    <t>Análise de imagem residual (ghosting)</t>
  </si>
  <si>
    <t>ACR Sag Localizer</t>
  </si>
  <si>
    <t>Spin-eco</t>
  </si>
  <si>
    <t>Espaçamento entre cortes [mm]</t>
  </si>
  <si>
    <t>N/A</t>
  </si>
  <si>
    <t>OBS: ROI externos deve ter cerca de 1000 mm2 e razão comprimento:largura de 4:1.</t>
  </si>
  <si>
    <t>Cima</t>
  </si>
  <si>
    <t>Esquerda</t>
  </si>
  <si>
    <t>Baixo</t>
  </si>
  <si>
    <t>Direita</t>
  </si>
  <si>
    <t>Grande</t>
  </si>
  <si>
    <t>Protocolo \ Média</t>
  </si>
  <si>
    <t>Ghosting ratio</t>
  </si>
  <si>
    <t>Exatidão da posição de corte</t>
  </si>
  <si>
    <t>Nominal Field Strength</t>
  </si>
  <si>
    <t>ACR T1 LCD Limit (total spokes)</t>
  </si>
  <si>
    <t>ACR T2 LCD Limit (total spokes)</t>
  </si>
  <si>
    <t>ACR RM Phantom - Low Contrast</t>
  </si>
  <si>
    <t>Média das ROI</t>
  </si>
  <si>
    <t>Avaliar imagem ampliada (2x - 4x)</t>
  </si>
  <si>
    <t>Avaliar imagem ampliada (2x - 4x); Janela estreita; Barra da direita é a referência.</t>
  </si>
  <si>
    <t>Variação [mm]</t>
  </si>
  <si>
    <t>Barra E [mm]</t>
  </si>
  <si>
    <t>Barra D [mm]</t>
  </si>
  <si>
    <t>Tesla [T]</t>
  </si>
  <si>
    <t>Exatidão da espessura de corte</t>
  </si>
  <si>
    <t>Espessura nominal</t>
  </si>
  <si>
    <t>Diferença [mm]</t>
  </si>
  <si>
    <t>ROI Sup</t>
  </si>
  <si>
    <t>ROI Inf</t>
  </si>
  <si>
    <t>Espessura Calc [mm]</t>
  </si>
  <si>
    <t>OBS: 0,2 é um fator adimensional de correção da rotação do fantoma no eixo vertical.</t>
  </si>
  <si>
    <t>Análise medição</t>
  </si>
  <si>
    <t>Comp Sup [mm]</t>
  </si>
  <si>
    <t>Comp Inf   [mm]</t>
  </si>
  <si>
    <t>O sinal da rampa é muito mais baixo do que o da água circundante, então geralmente será necessário reduzir significativamente o nível de exibição e estreitar a janela.</t>
  </si>
  <si>
    <t>Exatidão Geométrica</t>
  </si>
  <si>
    <t>O janelamento e o nível de exibição afetam a localização aparente das bordas e, portanto podem levar a erros de medição.</t>
  </si>
  <si>
    <t>Para evitar esse erro: largura da janela = média do sinal; nível de exibição = 1/2* média do sinal na água (vide manual do fantoma)</t>
  </si>
  <si>
    <t>Tolerância [mm]</t>
  </si>
  <si>
    <t>Distância cima-baixo [mm]</t>
  </si>
  <si>
    <t>Distância          esq-dir [mm]</t>
  </si>
  <si>
    <t>Slice 1</t>
  </si>
  <si>
    <t>Slice 5</t>
  </si>
  <si>
    <t>Maior erro [mm]</t>
  </si>
  <si>
    <t>OBS: Tolerância da IN97 é de 2%, mas do fantoma é de 2mm.</t>
  </si>
  <si>
    <t>Resolução espacial de Alto Contraste</t>
  </si>
  <si>
    <t>Em ao menos 1 configuração de janelamento/intensidade, os 4 buracos de ao menos 1 coluna num conjunto devem estar visíveis para se considerar a resolução daquele tamanho.</t>
  </si>
  <si>
    <t>Resolução mínima = 1,0 mm pelo manual do fantoma.</t>
  </si>
  <si>
    <t>Não é necessário DO = 0 para se considerar um buraco como visível.</t>
  </si>
  <si>
    <t>N° Série</t>
  </si>
  <si>
    <t>Tipo de Bobina</t>
  </si>
  <si>
    <t>Menor padrão visualizado</t>
  </si>
  <si>
    <t>LCD = Low Contrast object Detectability</t>
  </si>
  <si>
    <t xml:space="preserve">Campo magnético [T] = </t>
  </si>
  <si>
    <t>Tolerância do fantoma LCD_T1</t>
  </si>
  <si>
    <t>Todos os discos num corte possuem o mesmo contraste. Slice 8 = 1,4%; Slice 9 = 2,5%; Slice 10 = 3,6%, Slice 11 = 5,1%.</t>
  </si>
  <si>
    <t>Slice 11</t>
  </si>
  <si>
    <t>Slice 10</t>
  </si>
  <si>
    <t>Slice 9</t>
  </si>
  <si>
    <t>Slice 8</t>
  </si>
  <si>
    <r>
      <t>Todos os objetos num raio (</t>
    </r>
    <r>
      <rPr>
        <i/>
        <sz val="11"/>
        <color theme="1"/>
        <rFont val="Calibri"/>
        <family val="2"/>
        <scheme val="minor"/>
      </rPr>
      <t>spoke</t>
    </r>
    <r>
      <rPr>
        <sz val="11"/>
        <color theme="1"/>
        <rFont val="Calibri"/>
        <family val="2"/>
        <scheme val="minor"/>
      </rPr>
      <t>) possuem o mesmo diâmetro (7,0 mm - 1,5 mm)</t>
    </r>
  </si>
  <si>
    <t>Total de RAIOS visíveis</t>
  </si>
  <si>
    <t>Tolerância do fabricante         [n° raios]</t>
  </si>
  <si>
    <t>Tolerância do fantoma LCD_T2</t>
  </si>
  <si>
    <t>Contar quantidade de RAIOS visíveis, sentido horário. Deve ser visível o mesmo objeto nas 3 linhas concentricas para contar como 1.</t>
  </si>
  <si>
    <t>Medir média na maior região escura com ROI circular de 1 cm2 (deve ser o menor valor das ROI escuras)</t>
  </si>
  <si>
    <t>Reduzir intensidade da imagem até que surjam áreas de ~1cm2 de pixels escuros dentro da ROI. É a região de menor sinal.</t>
  </si>
  <si>
    <t>Aumentar intensidade da imagem até que surjam áreas de ~1cm2 de pixels claros dentro da ROI. É a região de maior sinal.</t>
  </si>
  <si>
    <t>Medir média na maior região clara com ROI circular de 1 cm2 (deve ser o maior valor das ROI claras)</t>
  </si>
  <si>
    <t>Menor sinal</t>
  </si>
  <si>
    <t>Maior sinal</t>
  </si>
  <si>
    <t>PIU [%]</t>
  </si>
  <si>
    <r>
      <t xml:space="preserve">Tolerância do Fantoma ACR [PIU %] </t>
    </r>
    <r>
      <rPr>
        <b/>
        <sz val="11"/>
        <color theme="1"/>
        <rFont val="Calibri"/>
        <family val="2"/>
      </rPr>
      <t>≥</t>
    </r>
    <r>
      <rPr>
        <b/>
        <sz val="11"/>
        <color theme="1"/>
        <rFont val="Calibri"/>
        <family val="2"/>
        <scheme val="minor"/>
      </rPr>
      <t xml:space="preserve"> </t>
    </r>
  </si>
  <si>
    <t>PIU = Percent Integral Uniformity; Primeira ROI = 160 cm2; Utilizar método de correção de intensidade do fabricante</t>
  </si>
  <si>
    <t>FWHM [Hz]</t>
  </si>
  <si>
    <t>RSR = 0,655 * Sinal médio / Desvio</t>
  </si>
  <si>
    <t>Do Protocolo espanhol, pg284 e 285</t>
  </si>
  <si>
    <t>Sinal Médio ROI 80%</t>
  </si>
  <si>
    <t>Desvio ROI fora (ruído)</t>
  </si>
  <si>
    <t xml:space="preserve">Tol. fabricante        </t>
  </si>
  <si>
    <t>LAUDO TÉCNICO DE DESEMPENHO DE EQUIPAMENTO ELETROMÉDICO</t>
  </si>
  <si>
    <t>FOV [mm]</t>
  </si>
  <si>
    <t>OBS: Teste de baixo contraste não é requisito da ANVISA; RSR sim.</t>
  </si>
  <si>
    <t>MHz/T</t>
  </si>
  <si>
    <t>Freq. Lamor</t>
  </si>
  <si>
    <t>FWHM = Full-Width Half-Maximum do pulso de frequencia</t>
  </si>
  <si>
    <t>Em alguns casos o display do equipamento de RM pode mostrar somente metade da largura de banda.</t>
  </si>
  <si>
    <t>Protocolo Espanhol, pg281 --&gt; AAPM e ACR --&gt; Spectral Peak &amp; Bandwidth-difference Options</t>
  </si>
  <si>
    <t>Hz/pixel</t>
  </si>
  <si>
    <t>Pixel da Matriz</t>
  </si>
  <si>
    <t>Hz</t>
  </si>
  <si>
    <t>Campo magnético [T]</t>
  </si>
  <si>
    <t xml:space="preserve"> Distorção espacial BW1 [mm]</t>
  </si>
  <si>
    <t xml:space="preserve"> Distorção espacial BW2 [mm]</t>
  </si>
  <si>
    <t>Homogeneidade do campo (magnético) estático</t>
  </si>
  <si>
    <t>Largura Banda BW2 [Hz]</t>
  </si>
  <si>
    <t>Largura          Banda BW1 [Hz]</t>
  </si>
  <si>
    <r>
      <rPr>
        <b/>
        <sz val="11"/>
        <color theme="1"/>
        <rFont val="Calibri"/>
        <family val="2"/>
      </rPr>
      <t>Δ da</t>
    </r>
    <r>
      <rPr>
        <b/>
        <sz val="11"/>
        <color theme="1"/>
        <rFont val="Calibri"/>
        <family val="2"/>
        <scheme val="minor"/>
      </rPr>
      <t xml:space="preserve"> distorção espacial [mm]
(d1-d2)</t>
    </r>
  </si>
  <si>
    <t>Imagens adquiridas na mesma posição com BW diferentes. Distorção em relação a mesma referência do fantoma.</t>
  </si>
  <si>
    <t>Tipo de equipamento:</t>
  </si>
  <si>
    <t>Existe sinalização de acesso</t>
  </si>
  <si>
    <t>Existe sistema de intercomunicação</t>
  </si>
  <si>
    <t>Existe sistema de evacuação de gases</t>
  </si>
  <si>
    <t>A mesa está funcionando corretamente</t>
  </si>
  <si>
    <t>A porta da sala abre para fora</t>
  </si>
  <si>
    <t>Existe proteção auditiva para o paciente</t>
  </si>
  <si>
    <t>Existe "botão de pânico"</t>
  </si>
  <si>
    <t>Existe botão de interrupção de emergência</t>
  </si>
  <si>
    <t>RESSONÂNCIA</t>
  </si>
  <si>
    <t>Fantoma ACR, modelo medium size, série J2458</t>
  </si>
  <si>
    <t>5. PROTOCOLOS E PARÂMETROS AVALIADOS:</t>
  </si>
  <si>
    <t xml:space="preserve">Indicada no teste: </t>
  </si>
  <si>
    <t>Razão Sinal-Ruído</t>
  </si>
  <si>
    <t>Razão</t>
  </si>
  <si>
    <t>Frequência de ressonância nominal:</t>
  </si>
  <si>
    <t>Imagem 1</t>
  </si>
  <si>
    <t>Imagem 2</t>
  </si>
  <si>
    <r>
      <rPr>
        <b/>
        <sz val="8"/>
        <color theme="1"/>
        <rFont val="Calibri"/>
        <family val="2"/>
        <scheme val="minor"/>
      </rPr>
      <t>EL</t>
    </r>
    <r>
      <rPr>
        <sz val="8"/>
        <color theme="1"/>
        <rFont val="Calibri"/>
        <family val="2"/>
        <scheme val="minor"/>
      </rPr>
      <t xml:space="preserve"> exigência legal; </t>
    </r>
    <r>
      <rPr>
        <b/>
        <sz val="8"/>
        <color theme="1"/>
        <rFont val="Calibri"/>
        <family val="2"/>
        <scheme val="minor"/>
      </rPr>
      <t>NA</t>
    </r>
    <r>
      <rPr>
        <sz val="8"/>
        <color theme="1"/>
        <rFont val="Calibri"/>
        <family val="2"/>
        <scheme val="minor"/>
      </rPr>
      <t xml:space="preserve"> não aplicável.</t>
    </r>
  </si>
  <si>
    <r>
      <t>Análise de imagem residual (</t>
    </r>
    <r>
      <rPr>
        <b/>
        <i/>
        <sz val="12"/>
        <color theme="1"/>
        <rFont val="Calibri"/>
        <family val="2"/>
        <scheme val="minor"/>
      </rPr>
      <t>ghosting</t>
    </r>
    <r>
      <rPr>
        <b/>
        <sz val="12"/>
        <color theme="1"/>
        <rFont val="Calibri"/>
        <family val="2"/>
        <scheme val="minor"/>
      </rPr>
      <t>):</t>
    </r>
  </si>
  <si>
    <t>Artefatos</t>
  </si>
  <si>
    <t xml:space="preserve">                A razão de sinal residual está acima do nível de tolerância (3%). Imagem residual sinaliza possibilidade de problemas no hardware, cuja origem pode estar nos sistemas de transmissão, recepção ou de gradiente do sinal. Recomenda-se que a equipe de manutenção investique e realize a correção da causa da imagem residual.</t>
  </si>
  <si>
    <t>HCE [ppm]</t>
  </si>
  <si>
    <t>RSR %</t>
  </si>
  <si>
    <t>Posição [mm]</t>
  </si>
  <si>
    <t>Espessura [%]</t>
  </si>
  <si>
    <t>Diagonal 1 [mm]</t>
  </si>
  <si>
    <t>Diagonal 2 [mm]</t>
  </si>
  <si>
    <t>Diâmetro nominal do fantoma [mm]</t>
  </si>
  <si>
    <t>Maior erro [%]</t>
  </si>
  <si>
    <t>Resolução [mm]</t>
  </si>
  <si>
    <t xml:space="preserve">Dimensões do pixel teórico [mm] = Tol = </t>
  </si>
  <si>
    <t>Exatidão Geométria, da posição de corte e da espessura de corte :</t>
  </si>
  <si>
    <t>Geométrica [%]</t>
  </si>
  <si>
    <t>Resolução espacial de alto contraste e Uniformidade:</t>
  </si>
  <si>
    <t>Uniformidade (de intensidade de imagem)</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</si>
  <si>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Razão</t>
    </r>
    <r>
      <rPr>
        <sz val="8"/>
        <color theme="1"/>
        <rFont val="Calibri"/>
        <family val="2"/>
        <scheme val="minor"/>
      </rPr>
      <t xml:space="preserve"> razão de sinal residual; </t>
    </r>
    <r>
      <rPr>
        <b/>
        <sz val="8"/>
        <color theme="1"/>
        <rFont val="Calibri"/>
        <family val="2"/>
        <scheme val="minor"/>
      </rPr>
      <t>NPA</t>
    </r>
    <r>
      <rPr>
        <sz val="8"/>
        <color theme="1"/>
        <rFont val="Calibri"/>
        <family val="2"/>
        <scheme val="minor"/>
      </rPr>
      <t xml:space="preserve"> não foi possível avaliar. </t>
    </r>
  </si>
  <si>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NA:</t>
    </r>
    <r>
      <rPr>
        <sz val="8"/>
        <color theme="1"/>
        <rFont val="Calibri"/>
        <family val="2"/>
        <scheme val="minor"/>
      </rPr>
      <t xml:space="preserve"> não aplicável. </t>
    </r>
  </si>
  <si>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PIU</t>
    </r>
    <r>
      <rPr>
        <sz val="8"/>
        <color theme="1"/>
        <rFont val="Calibri"/>
        <family val="2"/>
        <scheme val="minor"/>
      </rPr>
      <t xml:space="preserve"> uniformidade percentual integral. </t>
    </r>
  </si>
  <si>
    <t>HCM Largura banda [ppm]</t>
  </si>
  <si>
    <t>HCM 
FWHM
[ppm]</t>
  </si>
  <si>
    <r>
      <t>Resultado HCM
ΔB</t>
    </r>
    <r>
      <rPr>
        <b/>
        <vertAlign val="subscript"/>
        <sz val="11"/>
        <color theme="1"/>
        <rFont val="Calibri"/>
        <family val="2"/>
        <scheme val="minor"/>
      </rPr>
      <t>0</t>
    </r>
    <r>
      <rPr>
        <b/>
        <sz val="11"/>
        <color theme="1"/>
        <rFont val="Calibri"/>
        <family val="2"/>
        <scheme val="minor"/>
      </rPr>
      <t xml:space="preserve"> [ppm]</t>
    </r>
    <r>
      <rPr>
        <b/>
        <sz val="11"/>
        <color theme="1"/>
        <rFont val="Calibri"/>
        <family val="2"/>
      </rPr>
      <t/>
    </r>
  </si>
  <si>
    <t>RSR% Laudo</t>
  </si>
  <si>
    <t>Tolerância [ppm]</t>
  </si>
  <si>
    <t>Tolerância do fabricante [ppm]</t>
  </si>
  <si>
    <t>Existe "botão de pânico" para uso do paciente</t>
  </si>
  <si>
    <t>OBS2: conferir se a opção de "correção de distorção" do fabricante está selecionada no software da RM.</t>
  </si>
  <si>
    <t>OBS: caus mais comum de erro = falha do operador ao medir ou mudança automática da posição da mesa</t>
  </si>
  <si>
    <t xml:space="preserve">                A exatidão da posição de corte está fora da faixa de tolerância (2 mm). Recomenda-se recalibração dos gradientes e do campo magnético, assim como verificar o ajuste do sistema de posicionamento automático da mesa.</t>
  </si>
  <si>
    <t xml:space="preserve">                A exatidão da espessura de corte está fora da faixa de tolerância (15%). Recomenda-se que a equipe proceda com manutenção corretiva e verifique falhas no sistema de RF (amplificador, cabos coaxiais, chaves e transmissores de RF).</t>
  </si>
  <si>
    <t>Reduzir a largura de banda aumenta a RSR, mas causa distorções geométricas.</t>
  </si>
  <si>
    <t xml:space="preserve">                A exatidão geométrica está fora da faixa de tolerância (2%). Recomenda-se que a equipe responsável pelo serviço investigue as possiveis causas relacionadas ao possível aumetno da RSR e à calibração do equipamento.</t>
  </si>
  <si>
    <t>Protocolo ACR T1 - Baixo Contraste</t>
  </si>
  <si>
    <t>Protocolo ACR T2 - Baixo Contraste</t>
  </si>
  <si>
    <t>Protocolo ACR T1 - RSR</t>
  </si>
  <si>
    <t>Protocolo ACR T2 - RSR</t>
  </si>
  <si>
    <t>Teste de baixo contraste do fantoma (opcional - não exigido pela ANVISA)</t>
  </si>
  <si>
    <t>Melhor Contraste avaliado T1 [%]</t>
  </si>
  <si>
    <t>Melhor Contraste avaliado T2 [%]</t>
  </si>
  <si>
    <t>LCD: Low-Contrast object Detectability; Influenciado pela intensidade do campo magnético (vide tabela do fantoma) --&gt; Linha de base</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</si>
  <si>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HCE</t>
    </r>
    <r>
      <rPr>
        <sz val="8"/>
        <color theme="1"/>
        <rFont val="Calibri"/>
        <family val="2"/>
        <scheme val="minor"/>
      </rPr>
      <t xml:space="preserve"> homogeneidade do campo estático; </t>
    </r>
    <r>
      <rPr>
        <b/>
        <sz val="8"/>
        <color theme="1"/>
        <rFont val="Calibri"/>
        <family val="2"/>
        <scheme val="minor"/>
      </rPr>
      <t>RSR</t>
    </r>
    <r>
      <rPr>
        <sz val="8"/>
        <color theme="1"/>
        <rFont val="Calibri"/>
        <family val="2"/>
        <scheme val="minor"/>
      </rPr>
      <t xml:space="preserve"> razão sinal-ruído; </t>
    </r>
    <r>
      <rPr>
        <b/>
        <sz val="8"/>
        <color theme="1"/>
        <rFont val="Calibri"/>
        <family val="2"/>
        <scheme val="minor"/>
      </rPr>
      <t>DBC</t>
    </r>
    <r>
      <rPr>
        <sz val="8"/>
        <color theme="1"/>
        <rFont val="Calibri"/>
        <family val="2"/>
        <scheme val="minor"/>
      </rPr>
      <t xml:space="preserve"> detecção de baixo contraste; </t>
    </r>
    <r>
      <rPr>
        <b/>
        <sz val="8"/>
        <color theme="1"/>
        <rFont val="Calibri"/>
        <family val="2"/>
        <scheme val="minor"/>
      </rPr>
      <t>NPA</t>
    </r>
    <r>
      <rPr>
        <sz val="8"/>
        <color theme="1"/>
        <rFont val="Calibri"/>
        <family val="2"/>
        <scheme val="minor"/>
      </rPr>
      <t xml:space="preserve"> não foi possível avaliar. </t>
    </r>
  </si>
  <si>
    <r>
      <t xml:space="preserve">Tolerância do Fabricante [PIU %] </t>
    </r>
    <r>
      <rPr>
        <b/>
        <sz val="11"/>
        <color theme="1"/>
        <rFont val="Calibri"/>
        <family val="2"/>
      </rPr>
      <t>≥</t>
    </r>
    <r>
      <rPr>
        <b/>
        <sz val="11"/>
        <color theme="1"/>
        <rFont val="Calibri"/>
        <family val="2"/>
        <scheme val="minor"/>
      </rPr>
      <t xml:space="preserve"> </t>
    </r>
  </si>
  <si>
    <t>OBS: falha na centralização do fantoma é uma causa de erro, principalmente se não há imagem residual e RSR está normal.</t>
  </si>
  <si>
    <t>Frequencia verificada [MHz]</t>
  </si>
  <si>
    <t>Exatidão [%]</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</si>
  <si>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t>
    </r>
  </si>
  <si>
    <t>Frequência central:</t>
  </si>
  <si>
    <r>
      <t xml:space="preserve">                A salas de exames </t>
    </r>
    <r>
      <rPr>
        <sz val="12"/>
        <color theme="1"/>
        <rFont val="Calibri"/>
        <family val="2"/>
        <scheme val="minor"/>
      </rPr>
      <t>deve prever a abertura da porta de acesso para fora do ambiente.</t>
    </r>
  </si>
  <si>
    <t xml:space="preserve">                A sala de exames deve possuir sinalização nas portas de acesso, informando os riscos e a proibição da entrada de pessoas com implantes ou outros objetos incompatíveis com a tecnologia, em linguagem ou simbologia internacionalmente aceita, compreensível para os indivíduos do público.</t>
  </si>
  <si>
    <t xml:space="preserve">                O sistema de ressonância magnética que utiliza líquido criogênico deve possuir sistema de evacuação massiva de gases criogênicos.</t>
  </si>
  <si>
    <t xml:space="preserve">                O serviço de saúde deve dispor de sistema de comunicação entre a sala de comando e a sala de exames, que permita manter contato audiovisual com o paciente durante toda a realização do procedimento.</t>
  </si>
  <si>
    <t xml:space="preserve">                O serviço de saúde deve prover proteção auditiva para o paciente e para o acompanhante ou profissional que precisar permanecer dentro da sala de exames, de modo a não exceder os limites de ruído acústico estabelecidos nas normativas aplicáveis.</t>
  </si>
  <si>
    <t xml:space="preserve">                O serviço de saúde deve possuir sistema de detecção de metais para monitoramento do acesso de pessoas e objetos.</t>
  </si>
  <si>
    <t>6. TESTES REALIZADOS</t>
  </si>
  <si>
    <t>9. COMENTÁRIOS E RECOMENDAÇÕES:</t>
  </si>
  <si>
    <t xml:space="preserve">                Foram visualizados artefatos que intereferem com a qualidade da imagem. Recomenda-se que este fato seja relatado à equipe e ao responsável técnico do Serviço de modo a investigarem suas causas e estabelecerem mudanças nas bobinas ou nos protocolos de aquisição, caso necessário.</t>
  </si>
  <si>
    <t>Tem sistema com líquidos criogênicos?</t>
  </si>
  <si>
    <t>Crânio - Ruído @ água</t>
  </si>
  <si>
    <t>Crânio - Ruído @ ar</t>
  </si>
  <si>
    <t>Abdômen - Ruído @ água</t>
  </si>
  <si>
    <t>Abdômen - Ruído @ ar</t>
  </si>
  <si>
    <t>Ruído da imagem tomográfica - Crânio</t>
  </si>
  <si>
    <t>Ruído da imagem tomográfica - Abdômen</t>
  </si>
  <si>
    <t>Comente quais bobinas apresentam artefatos:</t>
  </si>
  <si>
    <r>
      <t xml:space="preserve">FOV do </t>
    </r>
    <r>
      <rPr>
        <b/>
        <i/>
        <sz val="11"/>
        <color theme="1"/>
        <rFont val="Calibri"/>
        <family val="2"/>
        <scheme val="minor"/>
      </rPr>
      <t>shimming</t>
    </r>
    <r>
      <rPr>
        <b/>
        <sz val="11"/>
        <color theme="1"/>
        <rFont val="Calibri"/>
        <family val="2"/>
        <scheme val="minor"/>
      </rPr>
      <t>:</t>
    </r>
  </si>
  <si>
    <t>Sensor CT</t>
  </si>
  <si>
    <t>Câmara de ionização marca Fluke Biomedical, modelo 451P-DE-SI-RYR, série 2826, certificado de calibração em anexo.</t>
  </si>
  <si>
    <t>Luxímetro marca Icel, modelo LD-650, série LD650.0101, Certificado de Calibração em anexo.</t>
  </si>
  <si>
    <t>X2</t>
  </si>
  <si>
    <t>Xi</t>
  </si>
  <si>
    <t>Medidor multiparâmetros marca Raysafe, modelo 8201023-D, série 191758, sensor 8202031-J, série 939028; certificado de calibração em anexo.</t>
  </si>
  <si>
    <t>Medidor multiparâmetros marca Raysafe, modelo 8201023-D, série 191758, sensor 8202041-C, série 195649; certificado de calibração em anexo.</t>
  </si>
  <si>
    <t>Medidor de tensão, tempo, dose e camada semirredutora marca RaySafe, modelo X2 8252030-3, série 257015, certificados de calibração em anexo.</t>
  </si>
  <si>
    <t>Físico</t>
  </si>
  <si>
    <t xml:space="preserve">Reg. ANVISA: </t>
  </si>
  <si>
    <t xml:space="preserve">Ano de fabricação: </t>
  </si>
  <si>
    <t>Ano de Fabricação:</t>
  </si>
  <si>
    <t>Marca:</t>
  </si>
  <si>
    <t>Nº de série:</t>
  </si>
  <si>
    <t>Patrimônio:</t>
  </si>
  <si>
    <t>Informação não encontrada</t>
  </si>
  <si>
    <t>Registro na ANVISA:</t>
  </si>
  <si>
    <t xml:space="preserve">                Um novo laudo de levantamento radiométrico deve ser elaborado sempre que houver modificações na infraestrutura, nos equipamentos ou nos processos de trabalho que influenciem as medidas de proteção radiológica do serviço de radiologia diagnóstica ou intervencionista, ou quando decorrerem 4 (quatro) anos contados da realização do último levantamento.</t>
  </si>
  <si>
    <t>Conf</t>
  </si>
  <si>
    <t xml:space="preserve">                Caracterizar, através da avaliação dos níveis de radiação ionizante, se as atividades desenvolvidas nas áreas circunvizinhas à sala de aplicação de raios X, atrás das barreiras de proteção e demais locais de interesse estão adequados aos níveis anuais de equivalente de dose adotados como restrição de dose para o planejamento de barreiras físicas - 0,5 mSv para áreas livres; e 5,0 mSv para áreas controladas.</t>
  </si>
  <si>
    <t xml:space="preserve">IN </t>
  </si>
  <si>
    <t>Contratante (Razão Social)</t>
  </si>
  <si>
    <t>Telefone do cliente</t>
  </si>
  <si>
    <t>Assinatura dos responsáveis:</t>
  </si>
  <si>
    <t>Responsável legal</t>
  </si>
  <si>
    <t>Responsável técnico</t>
  </si>
  <si>
    <t>Supervisor de proteção radiológica</t>
  </si>
  <si>
    <t xml:space="preserve">                A incerteza de medição consta no certificado de calibrado dos equipamentos, em anexo.</t>
  </si>
  <si>
    <t>TESTE DE RADIAÇÃO DE FUGA ATRAVÉS DA BLINDAGEM DO CABEÇOTE DE EQUIPAMENTO DE RAIOS X</t>
  </si>
  <si>
    <r>
      <t xml:space="preserve">Conclui-se que o </t>
    </r>
    <r>
      <rPr>
        <b/>
        <sz val="12"/>
        <color theme="1"/>
        <rFont val="Calibri"/>
        <family val="2"/>
        <scheme val="minor"/>
      </rPr>
      <t>cabeçote</t>
    </r>
    <r>
      <rPr>
        <sz val="12"/>
        <color theme="1"/>
        <rFont val="Calibri"/>
        <family val="2"/>
        <scheme val="minor"/>
      </rPr>
      <t xml:space="preserve"> do tubo de raios X</t>
    </r>
  </si>
  <si>
    <t>Objetivo:</t>
  </si>
  <si>
    <r>
      <rPr>
        <b/>
        <sz val="12"/>
        <color theme="1"/>
        <rFont val="Calibri"/>
        <family val="2"/>
        <scheme val="minor"/>
      </rPr>
      <t>Periodicidade:</t>
    </r>
    <r>
      <rPr>
        <sz val="12"/>
        <color theme="1"/>
        <rFont val="Calibri"/>
        <family val="2"/>
        <scheme val="minor"/>
      </rPr>
      <t xml:space="preserve"> quadrienal ou após modificações nos equipamentos.</t>
    </r>
  </si>
  <si>
    <t>Máxima taxa de KERMA no ar medida à 1 metro [mGy/h]:</t>
  </si>
  <si>
    <t>Tol cabeçote</t>
  </si>
  <si>
    <t>Restrição cabeçote</t>
  </si>
  <si>
    <t>Filtros:</t>
  </si>
  <si>
    <t>Tensão Máxima (kV):</t>
  </si>
  <si>
    <t>Corrente Máxima (mA):</t>
  </si>
  <si>
    <t>Carga transportável máxima (mAs):</t>
  </si>
  <si>
    <t>Fabricação:</t>
  </si>
  <si>
    <t>Instalação:</t>
  </si>
  <si>
    <t>Local de instalação:</t>
  </si>
  <si>
    <t>Objetivo do teste:</t>
  </si>
  <si>
    <t>Verificar o grau de concordância entre o valor de kV selecionado e o valor verdadeiro.</t>
  </si>
  <si>
    <t>Periodicidade :</t>
  </si>
  <si>
    <t>Anual</t>
  </si>
  <si>
    <t>Verificar o grau de concordância entre o valor de tempo selecionado e o valor verdadeiro.</t>
  </si>
  <si>
    <t>Verificar a eficiência de conversão de energia elétrica em radiação e avaliar a filtração efetiva do feixe.</t>
  </si>
  <si>
    <t>Limites</t>
  </si>
  <si>
    <t>Confirmar a correspondência entre o tamanho de campo indicado e o campo efetivamente irradiado.</t>
  </si>
  <si>
    <t>Confirmar a perpendicularidade e centralização do feixe de radiação em relação ao receptor</t>
  </si>
  <si>
    <t>Avaliar se a grade está corretamente alinhada com o feixe</t>
  </si>
  <si>
    <t>Avaliar a estabilidade do valor de kVp em exposições repetidas sob as mesmas condições.</t>
  </si>
  <si>
    <t>Verificar a consistência dos tempos de exposição em disparos consecutivos com os mesmos parâmetros técnicos.</t>
  </si>
  <si>
    <t>Avaliar a estabilidade da taxa de kerma no ar em condições constantes de operação.</t>
  </si>
  <si>
    <t>Confirmar se a variação do mAs resulta em variação linear proporcional da taxa de kerma no ar.</t>
  </si>
  <si>
    <t>Avaliar se a imagem digital reproduz corretamente a geometria dos objetos examinados.</t>
  </si>
  <si>
    <t>Verificar se as dimensões do foco real do tubo de raios X estão dentro das especificações do fabricante;</t>
  </si>
  <si>
    <t>Avaliar a capacidade do sistema de imagem em distinguir objetos com pequena diferença de densidade radiológica em relação ao fundo.</t>
  </si>
  <si>
    <t>Avaliar a capacidade do sistema de imagem em distinguir detalhes de diferentes tamanhos</t>
  </si>
  <si>
    <t xml:space="preserve"> Detectar a presença de distorções, marcas, ruídos ou padrões repetitivos não relacionados à anatomia do paciente ou ao objeto radiografado.</t>
  </si>
  <si>
    <t>Verificar a constância de brilho ou densidade em áreas homogêneas da imagem.</t>
  </si>
  <si>
    <t>Verificar se o valor de dose  representa corretamente a quantidade de radiação incidente.</t>
  </si>
  <si>
    <t>Confirmar a eliminação adequada das imagens residuais em placas de fósforo.</t>
  </si>
  <si>
    <t>Confirmar a estabilidade das exposições realizadas pelo sistema automático sob condições idênticas.</t>
  </si>
  <si>
    <t>Avaliar se o CAE ajusta corretamente os parâmetros de exposição conforme a espessura do objeto</t>
  </si>
  <si>
    <t>Verificar se a radiação emitida fora do campo útil está dentro dos limites de segurança estabelecidos.</t>
  </si>
  <si>
    <t>T: Ausência de imagem residual</t>
  </si>
  <si>
    <t>T:  Sem artefato, lâminas aparentes ou não uniformidade da imagem; R: Não possuir grade</t>
  </si>
  <si>
    <t>6. INSTRUMENTAÇÃO ELETRÔNICA UTILIZADA E INCERTEZA:</t>
  </si>
  <si>
    <t>Incerteza</t>
  </si>
  <si>
    <t>Parâmetro</t>
  </si>
  <si>
    <t>Tempo</t>
  </si>
  <si>
    <t>Dose/Kerma</t>
  </si>
  <si>
    <t>±2 %</t>
  </si>
  <si>
    <t>±0,5 %</t>
  </si>
  <si>
    <t>±0,15 %</t>
  </si>
  <si>
    <t>±0,1 %</t>
  </si>
  <si>
    <t>±5 %</t>
  </si>
  <si>
    <t>≤5 %</t>
  </si>
  <si>
    <t>±1 %</t>
  </si>
  <si>
    <r>
      <t>Ref</t>
    </r>
    <r>
      <rPr>
        <b/>
        <sz val="8"/>
        <color theme="1"/>
        <rFont val="Calibri"/>
        <family val="2"/>
        <scheme val="minor"/>
      </rPr>
      <t>max</t>
    </r>
  </si>
  <si>
    <t>&lt; 1</t>
  </si>
  <si>
    <t>&lt; 1,5</t>
  </si>
  <si>
    <t>&lt; 2</t>
  </si>
  <si>
    <t>Mama equivalente</t>
  </si>
  <si>
    <t>DGM (mGy)</t>
  </si>
  <si>
    <t>Espessura (cm)</t>
  </si>
  <si>
    <t>&lt; 2,5</t>
  </si>
  <si>
    <t>&lt; 3</t>
  </si>
  <si>
    <t>&lt; 4,5</t>
  </si>
  <si>
    <t>Referência e Tolerância de Dose Glandular Média</t>
  </si>
  <si>
    <r>
      <rPr>
        <b/>
        <sz val="8"/>
        <color theme="1"/>
        <rFont val="Calibri"/>
        <family val="2"/>
        <scheme val="minor"/>
      </rPr>
      <t xml:space="preserve">Limite de Tolerância: </t>
    </r>
    <r>
      <rPr>
        <sz val="8"/>
        <color theme="1"/>
        <rFont val="Calibri"/>
        <family val="2"/>
        <scheme val="minor"/>
      </rPr>
      <t xml:space="preserve">espeficicação do fabricante ou 20% do valor de referência; </t>
    </r>
    <r>
      <rPr>
        <b/>
        <sz val="8"/>
        <color theme="1"/>
        <rFont val="Calibri"/>
        <family val="2"/>
        <scheme val="minor"/>
      </rPr>
      <t>Limite de</t>
    </r>
    <r>
      <rPr>
        <sz val="8"/>
        <color theme="1"/>
        <rFont val="Calibri"/>
        <family val="2"/>
        <scheme val="minor"/>
      </rPr>
      <t xml:space="preserve"> </t>
    </r>
    <r>
      <rPr>
        <b/>
        <sz val="8"/>
        <color theme="1"/>
        <rFont val="Calibri"/>
        <family val="2"/>
        <scheme val="minor"/>
      </rPr>
      <t xml:space="preserve">Restrição: </t>
    </r>
    <r>
      <rPr>
        <sz val="8"/>
        <color theme="1"/>
        <rFont val="Calibri"/>
        <family val="2"/>
        <scheme val="minor"/>
      </rPr>
      <t>40% do valor de referência</t>
    </r>
  </si>
  <si>
    <r>
      <rPr>
        <b/>
        <sz val="8"/>
        <color theme="1"/>
        <rFont val="Calibri"/>
        <family val="2"/>
        <scheme val="minor"/>
      </rPr>
      <t>DEP</t>
    </r>
    <r>
      <rPr>
        <sz val="8"/>
        <color theme="1"/>
        <rFont val="Calibri"/>
        <family val="2"/>
        <scheme val="minor"/>
      </rPr>
      <t xml:space="preserve"> dose de entrada na pele; </t>
    </r>
    <r>
      <rPr>
        <b/>
        <sz val="8"/>
        <color theme="1"/>
        <rFont val="Calibri"/>
        <family val="2"/>
        <scheme val="minor"/>
      </rPr>
      <t>dfri</t>
    </r>
    <r>
      <rPr>
        <sz val="8"/>
        <color theme="1"/>
        <rFont val="Calibri"/>
        <family val="2"/>
        <scheme val="minor"/>
      </rPr>
      <t xml:space="preserve"> distância foco-receptor de imagem; </t>
    </r>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t>
    </r>
    <r>
      <rPr>
        <sz val="8"/>
        <color theme="1"/>
        <rFont val="Calibri"/>
        <family val="2"/>
        <scheme val="minor"/>
      </rPr>
      <t xml:space="preserve"> para paciente adulto típico; </t>
    </r>
    <r>
      <rPr>
        <b/>
        <sz val="8"/>
        <color theme="1"/>
        <rFont val="Calibri"/>
        <family val="2"/>
        <scheme val="minor"/>
      </rPr>
      <t>Ref</t>
    </r>
    <r>
      <rPr>
        <b/>
        <sz val="5"/>
        <color theme="1"/>
        <rFont val="Calibri"/>
        <family val="2"/>
        <scheme val="minor"/>
      </rPr>
      <t>max</t>
    </r>
    <r>
      <rPr>
        <sz val="5"/>
        <color theme="1"/>
        <rFont val="Calibri"/>
        <family val="2"/>
        <scheme val="minor"/>
      </rPr>
      <t xml:space="preserve"> </t>
    </r>
    <r>
      <rPr>
        <b/>
        <sz val="5"/>
        <color theme="1"/>
        <rFont val="Calibri"/>
        <family val="2"/>
        <scheme val="minor"/>
      </rPr>
      <t xml:space="preserve">referência máxima </t>
    </r>
    <r>
      <rPr>
        <sz val="8"/>
        <color theme="1"/>
        <rFont val="Calibri"/>
        <family val="2"/>
        <scheme val="minor"/>
      </rPr>
      <t>(mGy)</t>
    </r>
  </si>
  <si>
    <r>
      <rPr>
        <b/>
        <sz val="8"/>
        <color theme="1"/>
        <rFont val="Calibri"/>
        <family val="2"/>
        <scheme val="minor"/>
      </rPr>
      <t>Ref</t>
    </r>
    <r>
      <rPr>
        <b/>
        <sz val="5"/>
        <color theme="1"/>
        <rFont val="Calibri"/>
        <family val="2"/>
        <scheme val="minor"/>
      </rPr>
      <t>max</t>
    </r>
    <r>
      <rPr>
        <b/>
        <sz val="8"/>
        <color theme="1"/>
        <rFont val="Calibri"/>
        <family val="2"/>
        <scheme val="minor"/>
      </rPr>
      <t>:</t>
    </r>
    <r>
      <rPr>
        <sz val="8"/>
        <color theme="1"/>
        <rFont val="Calibri"/>
        <family val="2"/>
        <scheme val="minor"/>
      </rPr>
      <t xml:space="preserve"> Cabeça Adulto - 70 mGy; Abdome Adulto - 25 mGy; Abdome Pediátrivo - 20 mGy</t>
    </r>
  </si>
  <si>
    <t>Vedação da câmara
escura</t>
  </si>
  <si>
    <t>Diferença de sensibilidade entre as placas de fósforo, para receptores de imagem de mesmo tamanho</t>
  </si>
  <si>
    <t>Integridade dos chassis e cassetes</t>
  </si>
  <si>
    <r>
      <rPr>
        <b/>
        <sz val="8"/>
        <color theme="1"/>
        <rFont val="Calibri"/>
        <family val="2"/>
        <scheme val="minor"/>
      </rPr>
      <t xml:space="preserve">Obs: Sim </t>
    </r>
    <r>
      <rPr>
        <sz val="8"/>
        <color theme="1"/>
        <rFont val="Calibri"/>
        <family val="2"/>
        <scheme val="minor"/>
      </rPr>
      <t xml:space="preserve">conforme; </t>
    </r>
    <r>
      <rPr>
        <b/>
        <sz val="8"/>
        <color theme="1"/>
        <rFont val="Calibri"/>
        <family val="2"/>
        <scheme val="minor"/>
      </rPr>
      <t xml:space="preserve">Não </t>
    </r>
    <r>
      <rPr>
        <sz val="8"/>
        <color theme="1"/>
        <rFont val="Calibri"/>
        <family val="2"/>
        <scheme val="minor"/>
      </rPr>
      <t>não conforme.</t>
    </r>
  </si>
  <si>
    <t>LISTA DE TESTES REALIZADOS:</t>
  </si>
  <si>
    <t>Exatidão dos indicadores da distância foco-receptor</t>
  </si>
  <si>
    <t>Alinhamento do eixo central do feixe de Raios X</t>
  </si>
  <si>
    <t>Reprodutibilidade da tensão do tubo</t>
  </si>
  <si>
    <t>Exatidão do tempo de exposição</t>
  </si>
  <si>
    <t>Rendimento do Tubo (R)</t>
  </si>
  <si>
    <t>Camada Semirredutora (CSR)</t>
  </si>
  <si>
    <t>Iluminância da sala de laudos</t>
  </si>
  <si>
    <t>Levantamento radiométrico</t>
  </si>
  <si>
    <t>Radiação de fuga do cabeçote</t>
  </si>
  <si>
    <t>Situação</t>
  </si>
  <si>
    <t>Valores representativos de dose</t>
  </si>
  <si>
    <t>Linearidade do kerma no ar com o produto corrente tempo</t>
  </si>
  <si>
    <t>Reprodutibilidade do Controle Automático de Exposição</t>
  </si>
  <si>
    <t>Compensação do Controle Automático de Exposição para diferentes espessuras</t>
  </si>
  <si>
    <t>Vedação da câmara escura</t>
  </si>
  <si>
    <t>Exatidão do indicador de dose do detector (quando disponível)</t>
  </si>
  <si>
    <t>Luminância do monitor para diagnóstico ou laudo</t>
  </si>
  <si>
    <t>Luminância do negatoscópio para diagnóstico ou laudo</t>
  </si>
  <si>
    <t>Uniformidade da luminância dos monitores e negatoscópios para diagnóstico ou laudo</t>
  </si>
  <si>
    <t>Integridade dos acessórios e equipamentos de proteção individual</t>
  </si>
  <si>
    <t>NR</t>
  </si>
  <si>
    <r>
      <rPr>
        <b/>
        <sz val="8"/>
        <color theme="1"/>
        <rFont val="Calibri"/>
        <family val="2"/>
        <scheme val="minor"/>
      </rPr>
      <t xml:space="preserve">Obs: C </t>
    </r>
    <r>
      <rPr>
        <sz val="8"/>
        <color theme="1"/>
        <rFont val="Calibri"/>
        <family val="2"/>
        <scheme val="minor"/>
      </rPr>
      <t xml:space="preserve">Conforme, </t>
    </r>
    <r>
      <rPr>
        <b/>
        <sz val="8"/>
        <color theme="1"/>
        <rFont val="Calibri"/>
        <family val="2"/>
        <scheme val="minor"/>
      </rPr>
      <t xml:space="preserve">NC </t>
    </r>
    <r>
      <rPr>
        <sz val="8"/>
        <color theme="1"/>
        <rFont val="Calibri"/>
        <family val="2"/>
        <scheme val="minor"/>
      </rPr>
      <t xml:space="preserve">Não conforme, </t>
    </r>
    <r>
      <rPr>
        <b/>
        <sz val="8"/>
        <color theme="1"/>
        <rFont val="Calibri"/>
        <family val="2"/>
        <scheme val="minor"/>
      </rPr>
      <t xml:space="preserve">NA </t>
    </r>
    <r>
      <rPr>
        <sz val="8"/>
        <color theme="1"/>
        <rFont val="Calibri"/>
        <family val="2"/>
        <scheme val="minor"/>
      </rPr>
      <t xml:space="preserve">Não aplicável, </t>
    </r>
    <r>
      <rPr>
        <b/>
        <sz val="8"/>
        <color theme="1"/>
        <rFont val="Calibri"/>
        <family val="2"/>
        <scheme val="minor"/>
      </rPr>
      <t xml:space="preserve">NR </t>
    </r>
    <r>
      <rPr>
        <sz val="8"/>
        <color theme="1"/>
        <rFont val="Calibri"/>
        <family val="2"/>
        <scheme val="minor"/>
      </rPr>
      <t>Não realizado.</t>
    </r>
  </si>
  <si>
    <t>Avaliar a capacidade do sistema de imagem em distinguir detalhes de diferentes tamanhos.</t>
  </si>
  <si>
    <t>Confirmar se o aumento da corrente no tubo (mA), mantendo-se tempo e tensão constantes, resulta em aumento proporcional da taxa de kerma no ar.</t>
  </si>
  <si>
    <t>Espessura de PMMA (cm)</t>
  </si>
  <si>
    <t xml:space="preserve">Tolerância (CNRrel %) </t>
  </si>
  <si>
    <t>Restrição (CNRrel %)</t>
  </si>
  <si>
    <t>≥ 115</t>
  </si>
  <si>
    <t>≥ 110</t>
  </si>
  <si>
    <t>≥ 105</t>
  </si>
  <si>
    <t>≥ 103</t>
  </si>
  <si>
    <t>≥ 100</t>
  </si>
  <si>
    <t>≥ 95</t>
  </si>
  <si>
    <t>≥ 90</t>
  </si>
  <si>
    <t>&lt; 105</t>
  </si>
  <si>
    <t>&lt; 100</t>
  </si>
  <si>
    <t>&lt; 95</t>
  </si>
  <si>
    <t>&lt;  93</t>
  </si>
  <si>
    <t>&lt; 80</t>
  </si>
  <si>
    <t>&lt; 90</t>
  </si>
  <si>
    <t>&lt; 85</t>
  </si>
  <si>
    <t xml:space="preserve">               A incerteza de medição consta no certificado de cada equipamento.</t>
  </si>
  <si>
    <t>8. TABELA RESUMO:</t>
  </si>
  <si>
    <t>Periodicidade</t>
  </si>
  <si>
    <t>Validade</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</si>
  <si>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NF</t>
    </r>
    <r>
      <rPr>
        <sz val="8"/>
        <color theme="1"/>
        <rFont val="Calibri"/>
        <family val="2"/>
        <scheme val="minor"/>
      </rPr>
      <t xml:space="preserve"> equipamento não funcionou; </t>
    </r>
    <r>
      <rPr>
        <b/>
        <sz val="8"/>
        <color theme="1"/>
        <rFont val="Calibri"/>
        <family val="2"/>
        <scheme val="minor"/>
      </rPr>
      <t>NM</t>
    </r>
    <r>
      <rPr>
        <sz val="8"/>
        <color theme="1"/>
        <rFont val="Calibri"/>
        <family val="2"/>
        <scheme val="minor"/>
      </rPr>
      <t xml:space="preserve"> não foi possível medir.</t>
    </r>
  </si>
  <si>
    <r>
      <rPr>
        <b/>
        <sz val="8"/>
        <color theme="1"/>
        <rFont val="Calibri"/>
        <family val="2"/>
        <scheme val="minor"/>
      </rPr>
      <t xml:space="preserve">Tolerância ≤ </t>
    </r>
    <r>
      <rPr>
        <sz val="8"/>
        <color theme="1"/>
        <rFont val="Calibri"/>
        <family val="2"/>
        <scheme val="minor"/>
      </rPr>
      <t xml:space="preserve">10%; </t>
    </r>
    <r>
      <rPr>
        <b/>
        <sz val="8"/>
        <color theme="1"/>
        <rFont val="Calibri"/>
        <family val="2"/>
        <scheme val="minor"/>
      </rPr>
      <t>Restrição</t>
    </r>
    <r>
      <rPr>
        <sz val="8"/>
        <color theme="1"/>
        <rFont val="Calibri"/>
        <family val="2"/>
        <scheme val="minor"/>
      </rPr>
      <t xml:space="preserve"> &gt; 20%.</t>
    </r>
  </si>
  <si>
    <r>
      <rPr>
        <b/>
        <sz val="8"/>
        <color theme="1"/>
        <rFont val="Calibri"/>
        <family val="2"/>
        <scheme val="minor"/>
      </rPr>
      <t xml:space="preserve">IN </t>
    </r>
    <r>
      <rPr>
        <sz val="8"/>
        <color theme="1"/>
        <rFont val="Calibri"/>
        <family val="2"/>
        <scheme val="minor"/>
      </rPr>
      <t>se atende a IN indicada.</t>
    </r>
  </si>
  <si>
    <t>µGy/mAs à 1 m</t>
  </si>
  <si>
    <r>
      <rPr>
        <b/>
        <sz val="8"/>
        <color theme="1"/>
        <rFont val="Calibri"/>
        <family val="2"/>
        <scheme val="minor"/>
      </rPr>
      <t>IN</t>
    </r>
    <r>
      <rPr>
        <sz val="8"/>
        <color theme="1"/>
        <rFont val="Calibri"/>
        <family val="2"/>
        <scheme val="minor"/>
      </rPr>
      <t xml:space="preserve"> se atende a IN indicada.</t>
    </r>
  </si>
  <si>
    <r>
      <rPr>
        <b/>
        <sz val="8"/>
        <color theme="1"/>
        <rFont val="Calibri"/>
        <family val="2"/>
        <scheme val="minor"/>
      </rPr>
      <t xml:space="preserve">Tolerância: Rendimento </t>
    </r>
    <r>
      <rPr>
        <sz val="8"/>
        <color theme="1"/>
        <rFont val="Calibri"/>
        <family val="2"/>
        <scheme val="minor"/>
      </rPr>
      <t xml:space="preserve">30≤R(μGy/mAs)≤65; </t>
    </r>
    <r>
      <rPr>
        <b/>
        <sz val="8"/>
        <color theme="1"/>
        <rFont val="Calibri"/>
        <family val="2"/>
        <scheme val="minor"/>
      </rPr>
      <t>Restrição</t>
    </r>
    <r>
      <rPr>
        <sz val="8"/>
        <color theme="1"/>
        <rFont val="Calibri"/>
        <family val="2"/>
        <scheme val="minor"/>
      </rPr>
      <t xml:space="preserve"> R &gt; 20 μGy/mAs, R&gt;80 μGy/mAs. </t>
    </r>
    <r>
      <rPr>
        <b/>
        <sz val="8"/>
        <color theme="1"/>
        <rFont val="Calibri"/>
        <family val="2"/>
        <scheme val="minor"/>
      </rPr>
      <t xml:space="preserve">CSR </t>
    </r>
    <r>
      <rPr>
        <sz val="8"/>
        <color theme="1"/>
        <rFont val="Calibri"/>
        <family val="2"/>
        <scheme val="minor"/>
      </rPr>
      <t>Anexo III da IN 90/2021.</t>
    </r>
  </si>
  <si>
    <r>
      <rPr>
        <b/>
        <sz val="8"/>
        <color theme="1"/>
        <rFont val="Calibri"/>
        <family val="2"/>
        <scheme val="minor"/>
      </rPr>
      <t>FF</t>
    </r>
    <r>
      <rPr>
        <sz val="8"/>
        <color theme="1"/>
        <rFont val="Calibri"/>
        <family val="2"/>
        <scheme val="minor"/>
      </rPr>
      <t xml:space="preserve"> foco fino, </t>
    </r>
    <r>
      <rPr>
        <b/>
        <sz val="8"/>
        <color theme="1"/>
        <rFont val="Calibri"/>
        <family val="2"/>
        <scheme val="minor"/>
      </rPr>
      <t>FG</t>
    </r>
    <r>
      <rPr>
        <sz val="8"/>
        <color theme="1"/>
        <rFont val="Calibri"/>
        <family val="2"/>
        <scheme val="minor"/>
      </rPr>
      <t xml:space="preserve"> foco grosso; </t>
    </r>
    <r>
      <rPr>
        <b/>
        <sz val="8"/>
        <color theme="1"/>
        <rFont val="Calibri"/>
        <family val="2"/>
        <scheme val="minor"/>
      </rPr>
      <t>FU</t>
    </r>
    <r>
      <rPr>
        <sz val="8"/>
        <color theme="1"/>
        <rFont val="Calibri"/>
        <family val="2"/>
        <scheme val="minor"/>
      </rPr>
      <t xml:space="preserve"> foco único; </t>
    </r>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Ref</t>
    </r>
    <r>
      <rPr>
        <sz val="8"/>
        <color theme="1"/>
        <rFont val="Calibri"/>
        <family val="2"/>
        <scheme val="minor"/>
      </rPr>
      <t xml:space="preserve"> referência; </t>
    </r>
    <r>
      <rPr>
        <b/>
        <sz val="8"/>
        <color theme="1"/>
        <rFont val="Calibri"/>
        <family val="2"/>
        <scheme val="minor"/>
      </rPr>
      <t>NI</t>
    </r>
    <r>
      <rPr>
        <sz val="8"/>
        <color theme="1"/>
        <rFont val="Calibri"/>
        <family val="2"/>
        <scheme val="minor"/>
      </rPr>
      <t xml:space="preserve"> não informado; </t>
    </r>
    <r>
      <rPr>
        <b/>
        <sz val="8"/>
        <color theme="1"/>
        <rFont val="Calibri"/>
        <family val="2"/>
        <scheme val="minor"/>
      </rPr>
      <t>T</t>
    </r>
    <r>
      <rPr>
        <sz val="8"/>
        <color theme="1"/>
        <rFont val="Calibri"/>
        <family val="2"/>
        <scheme val="minor"/>
      </rPr>
      <t xml:space="preserve"> tolerância; </t>
    </r>
    <r>
      <rPr>
        <b/>
        <sz val="8"/>
        <color theme="1"/>
        <rFont val="Calibri"/>
        <family val="2"/>
        <scheme val="minor"/>
      </rPr>
      <t xml:space="preserve">R </t>
    </r>
    <r>
      <rPr>
        <sz val="8"/>
        <color theme="1"/>
        <rFont val="Calibri"/>
        <family val="2"/>
        <scheme val="minor"/>
      </rPr>
      <t>restrição.</t>
    </r>
  </si>
  <si>
    <t xml:space="preserve">                O rendimento do tubo está fora de tolerância (entre 30 e 65 µGy/mAs à 1 m) devido à erro na corrente anódica. Os circuitos eletrônicos que controlam as correntes anódicas devem ser ajustados.</t>
  </si>
  <si>
    <t xml:space="preserve">                A radiação de fuga do cabeçote está fora de tolerância (≤ 1mGy/h a 1 m). A blindagem do cabeçote deve ser consertada.</t>
  </si>
  <si>
    <t>NPA</t>
  </si>
  <si>
    <t>Teste e Periodicidade</t>
  </si>
  <si>
    <t>T: ≥ 2,5 pl/mm;                R: &lt; 1,5 pl/mm</t>
  </si>
  <si>
    <t>T: ≤ 20%;                             R: &gt; 40%</t>
  </si>
  <si>
    <t>T: ≤ 2%                                R: &gt; 4%</t>
  </si>
  <si>
    <t>T: ≤ 10%                              R: &gt; 20%</t>
  </si>
  <si>
    <t>T: ≤ 10%                             R: &gt; 20%</t>
  </si>
  <si>
    <t>T: ≤ 20%                             R: &gt; 40%</t>
  </si>
  <si>
    <t>T: ≤1 mGy/h a 1m           R: &gt;2 mGy/h a 1m</t>
  </si>
  <si>
    <t>T: ≥ 2,5 pl/mm                 R: &lt; 1,5 pl/mm</t>
  </si>
  <si>
    <t>T: ≥ 2,5 pl/mm                                   R: &lt; 1,5 pl/mm</t>
  </si>
  <si>
    <t>T: ≤ 20%                                R: &gt; 40%</t>
  </si>
  <si>
    <t>T: ≤ 20%                                R:&gt; 40%</t>
  </si>
  <si>
    <t>T: ≤ 5%                                R: &gt; 10%</t>
  </si>
  <si>
    <t>T: ≤ 3°                                   R: &gt; 5°</t>
  </si>
  <si>
    <t>T: ≤ 10%
R: &gt; 20%</t>
  </si>
  <si>
    <t>Semestral</t>
  </si>
  <si>
    <t>A distância foco-receptor está coerente?</t>
  </si>
  <si>
    <t xml:space="preserve">Não </t>
  </si>
  <si>
    <t>Estimar o valor representativo da dose dada aos pacientes em exames de radiografia intraoral, utilizando-se protocolo(s) para examesde molar superior conforme informado pelo cliente.</t>
  </si>
  <si>
    <t>Certificar que a distância entre o ponto focal do tubo de raios X e a pele do paciente seja de pelo menos 20 cm.</t>
  </si>
  <si>
    <t>Avaliar se, nos sistemas digitais, não há permanência de imagem residual após o apagamento do receptor de imagem.</t>
  </si>
  <si>
    <t>Garantir que as imagens produzidas estejam livres de artefatos indesejáveis.</t>
  </si>
  <si>
    <t>Verificar se o diâmetro do feixe de radiação está dentro do limite estabelecido.</t>
  </si>
  <si>
    <t>Bienal</t>
  </si>
  <si>
    <t>Art. 5º da IN 95</t>
  </si>
  <si>
    <t>10. TABELA RESUMO:</t>
  </si>
  <si>
    <t>11. CONCLUSÕES:</t>
  </si>
  <si>
    <t>Exatidão da Tensão do Tubo</t>
  </si>
  <si>
    <t>Valor representativo de dose</t>
  </si>
  <si>
    <t>Tamanho de Campo</t>
  </si>
  <si>
    <t>Distância Foco-Pele</t>
  </si>
  <si>
    <t>Qualidade da Imagem</t>
  </si>
  <si>
    <t>Anual e Semanal</t>
  </si>
  <si>
    <t>Verificar se os números de CT são corretos, homogêneos em áreas uniformes e se apresentam níveis aceitáveis de flutuação estatística.</t>
  </si>
  <si>
    <t>Verificar se o CTDI no ar indicado pelo tomógrafo corresponde ao valor de dose realmente entregue pelo equipamento.</t>
  </si>
  <si>
    <t>Verificar se a espessura de corte real corresponde à espessura nominal selecionada no equipamento de tomografia.</t>
  </si>
  <si>
    <t>Verificar se a tensão do tubo (kVp) indicada corresponde ao valor real gerado pelo equipamento.</t>
  </si>
  <si>
    <t>Verificar a capacidade do tomógrafo de distinguir detalhes finos, avaliando a resolução espacial da imagem.</t>
  </si>
  <si>
    <t>Verificar se o deslocamento da mesa indicado corresponde ao deslocamento real realizado durante o exame.</t>
  </si>
  <si>
    <t>Verificar se o posicionamento indicado da mesa corresponde à posição real.</t>
  </si>
  <si>
    <t>Verificar a coincidência entre os indicadores luminosos, garantindo o correto alinhamento e posicionamento do paciente.</t>
  </si>
  <si>
    <t>Verificar a coincidência entre o indicador luminoso e o plano irradiado, assegurando o correto alinhamento do feixe de radiação.</t>
  </si>
  <si>
    <t>Verificar se o sistema de modulação de corrente ajusta corretamente o mA para compensar variações de atenuação, mantendo dose e qualidade de imagem adequadas.</t>
  </si>
  <si>
    <t>Verificar a ausência de artefatos na imagem, assegurando qualidade diagnóstica adequada.</t>
  </si>
  <si>
    <t>Verificar se o valor representativo de dose indicado é compatível com a dose efetivamente entregue ao paciente</t>
  </si>
  <si>
    <t>9. TABELA RESUMO:</t>
  </si>
  <si>
    <t>Exatidão, uniformidade e ruído dos números de CT</t>
  </si>
  <si>
    <t>Exatidão da espessura do corte</t>
  </si>
  <si>
    <t>Exatidão do indicador de dose em TC (CTDI) no ar</t>
  </si>
  <si>
    <t>T: ≤ 5%
R: &gt; 10%</t>
  </si>
  <si>
    <t xml:space="preserve">T: ≥ 6 pl/cm 
R: &lt; 3 pl/cm </t>
  </si>
  <si>
    <t xml:space="preserve">T: ≥ 10 pl/cm 
R: &lt; 5 pl/cm </t>
  </si>
  <si>
    <t>T: ≤ 1 mm 
R: &gt; 2 mm</t>
  </si>
  <si>
    <t>T: &lt; 2 mm
R: &gt; 4 mm</t>
  </si>
  <si>
    <t>T: ≤ 20%
R: &gt; 40%</t>
  </si>
  <si>
    <t>T: Imagem sem artefatos</t>
  </si>
  <si>
    <t>T: 70 mGy</t>
  </si>
  <si>
    <t>T: 25 mGy</t>
  </si>
  <si>
    <t>T: 20 mGy</t>
  </si>
  <si>
    <t>Confirmar se a camada semirredutora atende aos requisitos de qualidade do feixe e filtragem.</t>
  </si>
  <si>
    <t>Verificar a estabilidade da tensão (kVp) entre exposições sucessivas.</t>
  </si>
  <si>
    <t>Verificar a constância da taxa de kerma no ar para exposições repetidas.</t>
  </si>
  <si>
    <t>Verificar a correspondência entre o campo irradiado e o receptor de imagem.</t>
  </si>
  <si>
    <t>Verificar a constância do tempo de exposição selecionado no equipamento.</t>
  </si>
  <si>
    <t>Verificar a homogeneidade da resposta do detector em toda a imagem.</t>
  </si>
  <si>
    <t>Verificar se o número de CT do ar está dentro do valor de referência esperado.</t>
  </si>
  <si>
    <t>Verificar se o número de CT do PMMA corresponde ao valor de referência.</t>
  </si>
  <si>
    <t>Verificar a uniformidade dos números de CT em uma região homogênea.</t>
  </si>
  <si>
    <t>Verificar se o nível de ruído da imagem está dentro dos limites aceitáveis.</t>
  </si>
  <si>
    <t>Verificar se o indicador de dose exibido corresponde à dose real entregue.</t>
  </si>
  <si>
    <t>Verificar o rendimento do tubo de raios X para um determinado kVp a 1 metro.</t>
  </si>
  <si>
    <t>Verificar a eficiência do ciclo de apagamento na remoção de imagens residuais.</t>
  </si>
  <si>
    <t>Verificar a presença de artefatos que possam comprometer a qualidade da imagem.</t>
  </si>
  <si>
    <t>T: Campo restrito ao receptor de imagem</t>
  </si>
  <si>
    <t xml:space="preserve">T: ≤ 15% do valor de referência                       R: &gt; 20% acima do valor de referência              </t>
  </si>
  <si>
    <t>Segundo especificações do fabricante</t>
  </si>
  <si>
    <t>T: Imagens sem artefatos</t>
  </si>
  <si>
    <t>Exatidão do indicador da tensão do tubo (kVp)</t>
  </si>
  <si>
    <t>Exatidão do indicador do tempo de exposição</t>
  </si>
  <si>
    <t>Verificar se o kVp indicado corresponde ao kVp real gerado.</t>
  </si>
  <si>
    <r>
      <rPr>
        <b/>
        <sz val="8"/>
        <color theme="1"/>
        <rFont val="Calibri"/>
        <family val="2"/>
        <scheme val="minor"/>
      </rPr>
      <t xml:space="preserve">Tolerância: </t>
    </r>
    <r>
      <rPr>
        <sz val="8"/>
        <color theme="1"/>
        <rFont val="Calibri"/>
        <family val="2"/>
        <scheme val="minor"/>
      </rPr>
      <t xml:space="preserve">≤ 10%; </t>
    </r>
    <r>
      <rPr>
        <b/>
        <sz val="8"/>
        <color theme="1"/>
        <rFont val="Calibri"/>
        <family val="2"/>
        <scheme val="minor"/>
      </rPr>
      <t xml:space="preserve">Restrição: </t>
    </r>
    <r>
      <rPr>
        <sz val="8"/>
        <color theme="1"/>
        <rFont val="Calibri"/>
        <family val="2"/>
        <scheme val="minor"/>
      </rPr>
      <t>&gt; 20%.</t>
    </r>
  </si>
  <si>
    <t>Verificar se o tempo  indicado corresponde ao tempo real.</t>
  </si>
  <si>
    <t>Verificar a qualidade do feixe e a eficiência do tubo de raios X.</t>
  </si>
  <si>
    <r>
      <rPr>
        <b/>
        <sz val="8"/>
        <color theme="1"/>
        <rFont val="Calibri"/>
        <family val="2"/>
        <scheme val="minor"/>
      </rPr>
      <t xml:space="preserve">Tolerância: </t>
    </r>
    <r>
      <rPr>
        <sz val="8"/>
        <color theme="1"/>
        <rFont val="Calibri"/>
        <family val="2"/>
        <scheme val="minor"/>
      </rPr>
      <t xml:space="preserve">Monofásico: 2,3 mmAl, Trifásico: 2,6 mmAl, Alta frequência (recomendado): 2,9 mmAl; </t>
    </r>
    <r>
      <rPr>
        <b/>
        <sz val="8"/>
        <color theme="1"/>
        <rFont val="Calibri"/>
        <family val="2"/>
        <scheme val="minor"/>
      </rPr>
      <t xml:space="preserve">Restrição: </t>
    </r>
    <r>
      <rPr>
        <sz val="8"/>
        <color theme="1"/>
        <rFont val="Calibri"/>
        <family val="2"/>
        <scheme val="minor"/>
      </rPr>
      <t>CSR 10% menor.</t>
    </r>
  </si>
  <si>
    <t xml:space="preserve">Alinhamento do eixo central do feixe de raios X             </t>
  </si>
  <si>
    <t xml:space="preserve">Alinhamento da grade da mesa          </t>
  </si>
  <si>
    <r>
      <t xml:space="preserve">Alinhamento da grade do </t>
    </r>
    <r>
      <rPr>
        <i/>
        <sz val="10"/>
        <color theme="1"/>
        <rFont val="Calibri"/>
        <family val="2"/>
        <scheme val="minor"/>
      </rPr>
      <t>bucky</t>
    </r>
    <r>
      <rPr>
        <sz val="10"/>
        <color theme="1"/>
        <rFont val="Calibri"/>
        <family val="2"/>
        <scheme val="minor"/>
      </rPr>
      <t xml:space="preserve"> mural </t>
    </r>
  </si>
  <si>
    <t xml:space="preserve">Reprodutibilidade da alta tensão do tubo </t>
  </si>
  <si>
    <t xml:space="preserve">Reprodutibilidade do tempo de exposição </t>
  </si>
  <si>
    <t xml:space="preserve">Distorção geométrica do DR                       </t>
  </si>
  <si>
    <t xml:space="preserve">Linearidade da taxa de kerma no ar com o mAs variando a corrente </t>
  </si>
  <si>
    <t xml:space="preserve">Reprodutibilidade da taxa de kerma no ar </t>
  </si>
  <si>
    <t xml:space="preserve">Tamanho do ponto focal @ FG               </t>
  </si>
  <si>
    <t xml:space="preserve">Uniformidade da imagem do DR - mesa </t>
  </si>
  <si>
    <t xml:space="preserve">Uniformidade da imagem do DR - bucky </t>
  </si>
  <si>
    <t xml:space="preserve">Reprodutibilidade do CAE - mesa                          </t>
  </si>
  <si>
    <t xml:space="preserve">Reprodutibilidade do CAE - bucky )              </t>
  </si>
  <si>
    <t xml:space="preserve">Compensação do CAE - mesa </t>
  </si>
  <si>
    <t xml:space="preserve">Compensação do CAE - bucky                      </t>
  </si>
  <si>
    <t>T: ≤ 5%                                            R: &gt; 10%</t>
  </si>
  <si>
    <t>T: ≤ 2%                                                      R: &gt; 4%</t>
  </si>
  <si>
    <t>T: ≤ 20%                                                      R:&gt; 40%</t>
  </si>
  <si>
    <t>T: ≤ 20%                                                      R: &gt; 40%</t>
  </si>
  <si>
    <t>T: ≤ 20%                                                   R: &gt; 40%</t>
  </si>
  <si>
    <t>T: ≤ 20%;                                                   R: &gt; 40%</t>
  </si>
  <si>
    <t>T: ≤ 10%                                                    R: &gt; 20%</t>
  </si>
  <si>
    <t>T: ≤ 2%                                                R: &gt; 4%</t>
  </si>
  <si>
    <t>T: ≤ 3°                                                         R: &gt; 5°</t>
  </si>
  <si>
    <t>Verificar se a taxa máxima de kerma no ar está dentro dos limites de segurança.</t>
  </si>
  <si>
    <t>Verificar a taxa de kerma no ponto de referência intervencionista.</t>
  </si>
  <si>
    <t>Verificar se o Pka indicado corresponde ao valor real medido.</t>
  </si>
  <si>
    <t>Verificar a qualidade diagnóstica da imagem fluoroscópica.</t>
  </si>
  <si>
    <t>Tolerância conforme valores de referência do equipamento.</t>
  </si>
  <si>
    <t>Tolerância ≤ 88 mGy/min (mo.do normal); Restrição &gt; 176 mGy/min, para qualquer espessura de paciente</t>
  </si>
  <si>
    <r>
      <rPr>
        <b/>
        <sz val="8"/>
        <color theme="1"/>
        <rFont val="Calibri"/>
        <family val="2"/>
        <scheme val="minor"/>
      </rPr>
      <t xml:space="preserve">Tolerância: </t>
    </r>
    <r>
      <rPr>
        <sz val="8"/>
        <color theme="1"/>
        <rFont val="Calibri"/>
        <family val="2"/>
        <scheme val="minor"/>
      </rPr>
      <t xml:space="preserve">≤ 20%; </t>
    </r>
    <r>
      <rPr>
        <b/>
        <sz val="8"/>
        <color theme="1"/>
        <rFont val="Calibri"/>
        <family val="2"/>
        <scheme val="minor"/>
      </rPr>
      <t xml:space="preserve">Restrição: </t>
    </r>
    <r>
      <rPr>
        <sz val="8"/>
        <color theme="1"/>
        <rFont val="Calibri"/>
        <family val="2"/>
        <scheme val="minor"/>
      </rPr>
      <t>&gt; 40%.</t>
    </r>
  </si>
  <si>
    <r>
      <rPr>
        <b/>
        <sz val="8"/>
        <color theme="1"/>
        <rFont val="Calibri"/>
        <family val="2"/>
        <scheme val="minor"/>
      </rPr>
      <t xml:space="preserve">Tolerância: </t>
    </r>
    <r>
      <rPr>
        <sz val="8"/>
        <color theme="1"/>
        <rFont val="Calibri"/>
        <family val="2"/>
        <scheme val="minor"/>
      </rPr>
      <t>conforme imagem de referência e ferramenta de teste.</t>
    </r>
  </si>
  <si>
    <t>Verificar a qualidade e a filtragem do feixe.</t>
  </si>
  <si>
    <t>Verificar se o feixe está perpendicular ao receptor de imagem.</t>
  </si>
  <si>
    <t>Verificar se o tempo acumulado indicado corresponde ao tempo</t>
  </si>
  <si>
    <t>Verificar a correspondência entre o campo irradiado e o campo indicado.</t>
  </si>
  <si>
    <t>Verificar a fidelidade geométrica da imagem.</t>
  </si>
  <si>
    <t>Verificar se o kerma indicado no IRP corresponde ao valor real.</t>
  </si>
  <si>
    <t>Verificar a coerência entre as taxas de kerma nos diferentes modos de operação.</t>
  </si>
  <si>
    <t>Verificar a estabilidade do kVp entre exposições sucessivas.</t>
  </si>
  <si>
    <t>Garantir distância mínima para redução da dose ao paciente.</t>
  </si>
  <si>
    <t xml:space="preserve">T: ≥ 30 cm (fixos), ≥ 20 cm (móveis)  </t>
  </si>
  <si>
    <t>Verificar se a radiação de fuga está dentro dos limites de segurança.</t>
  </si>
  <si>
    <t>Verificar a constância do CAI para condições repetidas.</t>
  </si>
  <si>
    <t>Modo Radiografia</t>
  </si>
  <si>
    <t>Rendimento do tubo e Camada Semirredutora @ 80 kVp</t>
  </si>
  <si>
    <t xml:space="preserve">Alinhamento da grade do bucky mural </t>
  </si>
  <si>
    <t>Linearidade da taxa de kerma no ar com o mAs variando o tempo @ FF</t>
  </si>
  <si>
    <t>Linearidade da taxa de kerma no ar com o mAs variando o tempo @ FG</t>
  </si>
  <si>
    <t>Resolução espacial @ FG, 0 kV, 0 mAs</t>
  </si>
  <si>
    <r>
      <rPr>
        <b/>
        <sz val="8"/>
        <color theme="1"/>
        <rFont val="Arial"/>
        <family val="2"/>
      </rPr>
      <t xml:space="preserve">Testes com periodicidade semestral: </t>
    </r>
    <r>
      <rPr>
        <sz val="8"/>
        <color theme="1"/>
        <rFont val="Arial"/>
        <family val="2"/>
      </rPr>
      <t>Exatidão do indicador de campo luminoso, Alinhamento do eixo central do feixe de Raios X, Alinhamento de grade.</t>
    </r>
  </si>
  <si>
    <r>
      <rPr>
        <b/>
        <sz val="8"/>
        <color theme="1"/>
        <rFont val="Arial"/>
        <family val="2"/>
      </rPr>
      <t xml:space="preserve">Testes com periodicidade anual: </t>
    </r>
    <r>
      <rPr>
        <sz val="8"/>
        <color theme="1"/>
        <rFont val="Arial"/>
        <family val="2"/>
      </rPr>
      <t>demais testes</t>
    </r>
  </si>
  <si>
    <t>Modo Fluoroscopia</t>
  </si>
  <si>
    <t xml:space="preserve">Camada semirredutora </t>
  </si>
  <si>
    <t>Reprodutibilidade do controle automático de intensidade</t>
  </si>
  <si>
    <t>Reprodutibilidade da alta tensão do tubo  - automático</t>
  </si>
  <si>
    <t>Reprodutibilidade da alta tensão do tubo - manual</t>
  </si>
  <si>
    <t>Verificar se o tempo indicado corresponde ao tempo real de exposição.</t>
  </si>
  <si>
    <t>Garantir compressão adequada da mama para qualidade de imagem e redução de dose.</t>
  </si>
  <si>
    <t>verificar a capacidade de diferenciação de contrastes na imagem.</t>
  </si>
  <si>
    <t>Limitar o tempo máximo de exposição automática</t>
  </si>
  <si>
    <t>T: t ≤ 1,5 s ; R: t &gt; 2,0 s</t>
  </si>
  <si>
    <t>Verificar a constância do CAE para condições repetidas.</t>
  </si>
  <si>
    <t>Verificar se o CAE compensa adequadamente variações de espessura da mama.</t>
  </si>
  <si>
    <t>Verificar o rendimento do tubo em foco fino</t>
  </si>
  <si>
    <t>Verificar a qualidade e filtragem do feixe de raios X.</t>
  </si>
  <si>
    <t>T: (kVp/100)+0,03≤CSR≤(kVp/100)+c
(para Mo/Mo, c = 0,12) ; R: CSR ≤ (kVp/100)</t>
  </si>
  <si>
    <t>Verificar a capacidade de distinguir detalhes finos.</t>
  </si>
  <si>
    <t>T: mamografia convencional ≥ 12 pl/mm; R: &gt; mamografia convencional &lt; 10 pl/mm</t>
  </si>
  <si>
    <t>Verificar a correspondência entre campo irradiado e receptor de imagem.</t>
  </si>
  <si>
    <t>Verificar o alinhamento mecânico da bandeja.</t>
  </si>
  <si>
    <t>Verificar a exatidão da espessura indicada.</t>
  </si>
  <si>
    <t>Verificar a ausência de artefatos</t>
  </si>
  <si>
    <t>Verificar a remoção de imagens residuais.</t>
  </si>
  <si>
    <t>Verificar a homogeneidade da resposta do detector.</t>
  </si>
  <si>
    <t>Sistema de compressão automático (Força de compressão da bandeja)</t>
  </si>
  <si>
    <t>Camada semirredutora</t>
  </si>
  <si>
    <t>Resolução espacial - Ref. NI</t>
  </si>
  <si>
    <t>Indicação da espessura da mama comprimida @ 20 mm</t>
  </si>
  <si>
    <t>Indicação da espessura da mama comprimida @ 30 mm</t>
  </si>
  <si>
    <t>Indicação da espessura da mama comprimida @ 40 mm</t>
  </si>
  <si>
    <t>Indicação da espessura da mama comprimida @ 45 mm</t>
  </si>
  <si>
    <t>Indicação da espessura da mama comprimida @ 50 mm</t>
  </si>
  <si>
    <t>Indicação da espessura da mama comprimida @ 60 mm</t>
  </si>
  <si>
    <t>Zona morta @ 0 MHz</t>
  </si>
  <si>
    <t>Resolução axial @ 0 MHz</t>
  </si>
  <si>
    <t>Resolução lateral @ 0 MHz</t>
  </si>
  <si>
    <t>Verificar a integridade funcional dos elementos do transdutor</t>
  </si>
  <si>
    <t>Verificar a homogeneidade da imagem, identificando falhas de ganho ou elementos defeituosos.</t>
  </si>
  <si>
    <t>Verificar a capacidade máxima de penetração</t>
  </si>
  <si>
    <t>desvio &lt; 6 mm do valor de referência</t>
  </si>
  <si>
    <t>Verificar a detectabilidade de estruturas anecóicas</t>
  </si>
  <si>
    <t>Verificar a região próxima ao transdutor onde não há formação de imagem.</t>
  </si>
  <si>
    <t>≤ 7 mm para frequência ≤ 3 MHz, ≤ 5 mm para 3 MHz &lt; f &lt; 7 MHz, ≤ 3 mm para f ≥ 7 MHz</t>
  </si>
  <si>
    <t>Verificar a exatidão das medidas verticais na imagem.</t>
  </si>
  <si>
    <t>≤ 1,5 mm ou ≤ 1,5% do valor real</t>
  </si>
  <si>
    <t>Verificar a exatidão das medidas horizontais na imagem.</t>
  </si>
  <si>
    <t>≤ 2 mm ou ≤ 2% do valor real</t>
  </si>
  <si>
    <t>Verificar a capacidade de separar estruturas ao longo do eixo do feixe.</t>
  </si>
  <si>
    <t>≤ 2 mm (frequência ≤ 4 MHz), ≤ 1 mm (frequência &gt; 4 MHz)</t>
  </si>
  <si>
    <t>Verificar a capacidade de separar estruturas lado a lado.</t>
  </si>
  <si>
    <t>≤ 4 mm (f &lt; 3,5 MHz), &lt; 3 mm (3,5 MHz ≤ f &lt; 5 MHz), &lt; 1,5 mm (f ≥ 5 MHz)</t>
  </si>
  <si>
    <t>Verificar a capacidade de detectar contrastes muito baixos.</t>
  </si>
  <si>
    <t>Verificar a sensibilidade do sistema a contrastes baixos.</t>
  </si>
  <si>
    <t>Verificar a resposta do sistema a variações moderadas de contraste.</t>
  </si>
  <si>
    <t>Verificar a sensibilidade do sistema em níveis elevados de contraste.</t>
  </si>
  <si>
    <t>Verificar a acurácia da medição de velocidade e magnitude do fluxo.</t>
  </si>
  <si>
    <t>Sensibilidade do modo doppler</t>
  </si>
  <si>
    <t>Verificar a capacidade do sistema Doppler de detectar sinais de fluxo</t>
  </si>
  <si>
    <t>segundo especificações do fabricante</t>
  </si>
  <si>
    <t>&lt; 4 dB em relação ao valor de referência</t>
  </si>
  <si>
    <t>Verificar se a frequência de ressonância do sistema está corretamente ajustada ao campo magnético principal.</t>
  </si>
  <si>
    <t>Semanal</t>
  </si>
  <si>
    <t>Verificar a presença de imagens residuais que possam comprometer a qualidade diagnóstica.</t>
  </si>
  <si>
    <t>Identificar artefatos de imagem que interfiram na avaliação da qualidade, verificar a uniformidade do campo magnético principal, essencial para qualidade de imagem e verificar a relação entre sinal útil e ruído, assegurando qualidade adequada da imagem.</t>
  </si>
  <si>
    <t xml:space="preserve">Semanal - Visualização de artefatos; Anual - Homogeneidade do campo estático, Razão sinal-ruído </t>
  </si>
  <si>
    <t>verificar a fidelidade dimensional da imagem em relação ao objeto real, verificar se a posição do plano de corte corresponde ao valor selecionado e verificar se a espessura real do corte corresponde à espessura nominal selecionada.</t>
  </si>
  <si>
    <t>Verificar a capacidade do sistema de distinguir detalhes finos de alto contraste e erificar a homogeneidade do sinal em toda a imagem.</t>
  </si>
  <si>
    <t>Análise de imagem residual</t>
  </si>
  <si>
    <t>Homogeneidade do campo estático</t>
  </si>
  <si>
    <t>Razão sinal-ruído (RSR)</t>
  </si>
  <si>
    <t>Exatidão geométrica</t>
  </si>
  <si>
    <t xml:space="preserve">Resolução Espacial </t>
  </si>
  <si>
    <t>T: sem  artefatos</t>
  </si>
  <si>
    <t>Ano de fabricação:</t>
  </si>
  <si>
    <r>
      <t xml:space="preserve">NI </t>
    </r>
    <r>
      <rPr>
        <sz val="9"/>
        <color theme="1"/>
        <rFont val="Calibri"/>
        <family val="2"/>
        <scheme val="minor"/>
      </rPr>
      <t>- não informado</t>
    </r>
  </si>
  <si>
    <t>Tolerância:</t>
  </si>
  <si>
    <t>Uniformidade da luminância dos monitores e negatoscópios para diagnóstico ou laudo: ≤ 30%</t>
  </si>
  <si>
    <t>Iluminância da sala de laudos: ≤ 50 lx</t>
  </si>
  <si>
    <t>Luminância do monitor para diagnóstico ou laudo: ≥ 170 cd/m²</t>
  </si>
  <si>
    <t>Luminância do negatoscópio para diagnóstico ou laudo: ≥ 1500 cd/m²</t>
  </si>
  <si>
    <t>Tolerância: Sem perda de uniformidade</t>
  </si>
  <si>
    <t>Periodicidade: Anual</t>
  </si>
  <si>
    <t>Verificar a aderência adequada entre tela e filme (quando aplicável) e a integridade física dos chassis e cassetes.</t>
  </si>
  <si>
    <t>Garantir condições adequadas de processamento de filmes radiográficos, evitando velamento e degradação da qualidade da imagem.</t>
  </si>
  <si>
    <t>Tolerância: Sem entrada de luz externa; Restrição: Filme velado</t>
  </si>
  <si>
    <t>Avaliar a estabilidade do processamento, garantindo reprodutibilidade da densidade óptica e contraste da imagem mamográfica.</t>
  </si>
  <si>
    <t>Avaliar a uniformidade da resposta dos detectores CR, assegurando consistência da Razão Sinal-Ruído (RSR) e ausência de defeitos.</t>
  </si>
  <si>
    <t>Tolerância: IN 90 - Desvio ≤ 10%; IN 92: Desvio ≤ 15% da RSR média</t>
  </si>
  <si>
    <t>Restrição: IN 90 - Desvio &gt; 20%; IN 92: Desvio &gt; 25%</t>
  </si>
  <si>
    <t>Avaliar a capacidade do sistema mamográfico em diferenciar estruturas de baixo contraste, essencial para detecção de microcalcificações.</t>
  </si>
  <si>
    <t>Verificar a fidelidade geométrica da imagem, assegurando precisão dimensional para diagnóstico.</t>
  </si>
  <si>
    <t>Tolerância: ≤ 2%; Restrição: &gt; 4%</t>
  </si>
  <si>
    <t>Garantir uniformidade de resposta dos detectores, evitando variações artificiais de contraste e dose.</t>
  </si>
  <si>
    <t>Tolerância: mAs ≤ 10% da média / RSR ≤ 15%; Restrição: Diferença de mAs &gt; 15%</t>
  </si>
  <si>
    <t>Tolerância: ≤ 20%; Restrição: &gt; 40%</t>
  </si>
  <si>
    <t>Tolerância: Conforme tabela abaixo</t>
  </si>
  <si>
    <t xml:space="preserve">Integridade dos chassis e cassetes </t>
  </si>
  <si>
    <t>Resolução de Baixo Contraste</t>
  </si>
  <si>
    <t xml:space="preserve">Resolução de Baixo Contraste </t>
  </si>
  <si>
    <t xml:space="preserve">Resolução Espacial CR </t>
  </si>
  <si>
    <t>Uniformidade da imagem DR</t>
  </si>
  <si>
    <t>T: ≤ 5%</t>
  </si>
  <si>
    <t>Confirmar a correspondência entre a distância-foco receptor idicada e a real.</t>
  </si>
  <si>
    <t>2. OBJETIVOS  E PERIODICIDADE:</t>
  </si>
  <si>
    <t>Periodicidade: quadrienal</t>
  </si>
  <si>
    <r>
      <rPr>
        <b/>
        <sz val="10"/>
        <color theme="1"/>
        <rFont val="Calibri"/>
        <family val="2"/>
        <scheme val="minor"/>
      </rPr>
      <t>BG</t>
    </r>
    <r>
      <rPr>
        <sz val="10"/>
        <color theme="1"/>
        <rFont val="Calibri"/>
        <family val="2"/>
        <scheme val="minor"/>
      </rPr>
      <t xml:space="preserve"> radiação não significativamente diferente da natural; </t>
    </r>
    <r>
      <rPr>
        <b/>
        <sz val="10"/>
        <color theme="1"/>
        <rFont val="Calibri"/>
        <family val="2"/>
        <scheme val="minor"/>
      </rPr>
      <t>H*(10)</t>
    </r>
    <r>
      <rPr>
        <sz val="10"/>
        <color theme="1"/>
        <rFont val="Calibri"/>
        <family val="2"/>
        <scheme val="minor"/>
      </rPr>
      <t xml:space="preserve"> equivalente de dose ambiente em mSv/ano; </t>
    </r>
    <r>
      <rPr>
        <b/>
        <sz val="10"/>
        <color theme="1"/>
        <rFont val="Calibri"/>
        <family val="2"/>
        <scheme val="minor"/>
      </rPr>
      <t>L</t>
    </r>
    <r>
      <rPr>
        <sz val="10"/>
        <color theme="1"/>
        <rFont val="Calibri"/>
        <family val="2"/>
        <scheme val="minor"/>
      </rPr>
      <t xml:space="preserve"> leitura máxima em µSv/h corrigida pelos fatores de energia e tempo de exposição; </t>
    </r>
    <r>
      <rPr>
        <b/>
        <sz val="10"/>
        <color theme="1"/>
        <rFont val="Calibri"/>
        <family val="2"/>
        <scheme val="minor"/>
      </rPr>
      <t xml:space="preserve">NPA </t>
    </r>
    <r>
      <rPr>
        <sz val="10"/>
        <color theme="1"/>
        <rFont val="Calibri"/>
        <family val="2"/>
        <scheme val="minor"/>
      </rPr>
      <t xml:space="preserve">não foi possível avaliar; </t>
    </r>
    <r>
      <rPr>
        <b/>
        <sz val="10"/>
        <color theme="1"/>
        <rFont val="Calibri"/>
        <family val="2"/>
        <scheme val="minor"/>
      </rPr>
      <t>T</t>
    </r>
    <r>
      <rPr>
        <sz val="10"/>
        <color theme="1"/>
        <rFont val="Calibri"/>
        <family val="2"/>
        <scheme val="minor"/>
      </rPr>
      <t xml:space="preserve"> fator de ocupação; </t>
    </r>
    <r>
      <rPr>
        <b/>
        <sz val="10"/>
        <color theme="1"/>
        <rFont val="Calibri"/>
        <family val="2"/>
        <scheme val="minor"/>
      </rPr>
      <t>U</t>
    </r>
    <r>
      <rPr>
        <sz val="10"/>
        <color theme="1"/>
        <rFont val="Calibri"/>
        <family val="2"/>
        <scheme val="minor"/>
      </rPr>
      <t xml:space="preserve"> fator de uso; </t>
    </r>
    <r>
      <rPr>
        <b/>
        <sz val="10"/>
        <color theme="1"/>
        <rFont val="Calibri"/>
        <family val="2"/>
        <scheme val="minor"/>
      </rPr>
      <t>R</t>
    </r>
    <r>
      <rPr>
        <sz val="10"/>
        <color theme="1"/>
        <rFont val="Calibri"/>
        <family val="2"/>
        <scheme val="minor"/>
      </rPr>
      <t xml:space="preserve"> resultado; </t>
    </r>
    <r>
      <rPr>
        <b/>
        <sz val="10"/>
        <color theme="1"/>
        <rFont val="Calibri"/>
        <family val="2"/>
        <scheme val="minor"/>
      </rPr>
      <t>Conf</t>
    </r>
    <r>
      <rPr>
        <sz val="10"/>
        <color theme="1"/>
        <rFont val="Calibri"/>
        <family val="2"/>
        <scheme val="minor"/>
      </rPr>
      <t xml:space="preserve"> conformidade; </t>
    </r>
    <r>
      <rPr>
        <b/>
        <sz val="10"/>
        <color theme="1"/>
        <rFont val="Calibri"/>
        <family val="2"/>
        <scheme val="minor"/>
      </rPr>
      <t>NC</t>
    </r>
    <r>
      <rPr>
        <sz val="10"/>
        <color theme="1"/>
        <rFont val="Calibri"/>
        <family val="2"/>
        <scheme val="minor"/>
      </rPr>
      <t xml:space="preserve"> não conforme; </t>
    </r>
    <r>
      <rPr>
        <b/>
        <sz val="10"/>
        <color theme="1"/>
        <rFont val="Calibri"/>
        <family val="2"/>
        <scheme val="minor"/>
      </rPr>
      <t>C</t>
    </r>
    <r>
      <rPr>
        <sz val="10"/>
        <color theme="1"/>
        <rFont val="Calibri"/>
        <family val="2"/>
        <scheme val="minor"/>
      </rPr>
      <t xml:space="preserve"> conforme.</t>
    </r>
  </si>
  <si>
    <r>
      <t xml:space="preserve">                De acordo com a Norma Regulamentadora NR-01, a avaliação de riscos deve constituir um processo contínuo e ser </t>
    </r>
    <r>
      <rPr>
        <b/>
        <sz val="12"/>
        <color theme="1"/>
        <rFont val="Calibri"/>
        <family val="2"/>
        <scheme val="minor"/>
      </rPr>
      <t>revista a cada dois anos</t>
    </r>
    <r>
      <rPr>
        <sz val="12"/>
        <color theme="1"/>
        <rFont val="Calibri"/>
        <family val="2"/>
        <scheme val="minor"/>
      </rPr>
      <t xml:space="preserve"> ou quando da ocorrência das seguintes situações: a) após implementação das medidas de prevenção, para avaliação de riscos residuais; b) após inovações e modificações nas tecnologias, ambientes, processos, condições, procedimentos e organização do trabalho que impliquem em novos riscos ou modifiquem os riscos existentes; c) quando identificadas inadequações, insuficiências ou ineficácias das medidas de prevenção; d) na ocorrência de acidentes ou doenças relacionadas ao trabalho; e) quando houver mudança nos requisitos legais aplicáveis. 
                No caso de organizações que possuírem certificações em sistema de gestão de SST, o prazo poderá ser de até 3 (três) anos.</t>
    </r>
  </si>
  <si>
    <r>
      <t xml:space="preserve">                Todos os níveis de radiação avaliados estão em conformidade com a norma CNEN NN 3.01. De acordo com a Norma Regulamentadora NR-15 do MTb, as atividades desenvolvidas nestes locais </t>
    </r>
    <r>
      <rPr>
        <b/>
        <sz val="12"/>
        <color theme="1"/>
        <rFont val="Calibri"/>
        <family val="2"/>
        <scheme val="minor"/>
      </rPr>
      <t xml:space="preserve">não </t>
    </r>
    <r>
      <rPr>
        <sz val="12"/>
        <color theme="1"/>
        <rFont val="Calibri"/>
        <family val="2"/>
        <scheme val="minor"/>
      </rPr>
      <t>são</t>
    </r>
    <r>
      <rPr>
        <b/>
        <sz val="12"/>
        <color theme="1"/>
        <rFont val="Calibri"/>
        <family val="2"/>
        <scheme val="minor"/>
      </rPr>
      <t xml:space="preserve"> </t>
    </r>
    <r>
      <rPr>
        <sz val="12"/>
        <color theme="1"/>
        <rFont val="Calibri"/>
        <family val="2"/>
        <scheme val="minor"/>
      </rPr>
      <t>insalubres devido à exposição à radiação ionizante emitida pelo equipamento desta sala.</t>
    </r>
  </si>
  <si>
    <r>
      <t xml:space="preserve">                 Nos pontos considerados insalubre, os níveis de radiação avaliados estão acima do limite definido na norma CNEN NN 3.01. De acordo com a Norma Regulamentadora NR-15 do MTb, as atividades desenvolvidas nestes locais </t>
    </r>
    <r>
      <rPr>
        <b/>
        <sz val="12"/>
        <color theme="1"/>
        <rFont val="Calibri"/>
        <family val="2"/>
        <scheme val="minor"/>
      </rPr>
      <t>são insalubres</t>
    </r>
    <r>
      <rPr>
        <sz val="12"/>
        <color theme="1"/>
        <rFont val="Calibri"/>
        <family val="2"/>
        <scheme val="minor"/>
      </rPr>
      <t xml:space="preserve"> devido à exposição à radiação ionizante emitida pelo equipamento desta sala. A blindagem deve ser reforçada.</t>
    </r>
  </si>
  <si>
    <r>
      <t xml:space="preserve">                 Os demais níveis de radiação avaliados estão em conformidade com a norma CNEN NN 3.01. De acordo com a Norma Regulamentadora NR-15 do MTb, as atividades desenvolvidas nestes locais </t>
    </r>
    <r>
      <rPr>
        <b/>
        <sz val="12"/>
        <color theme="1"/>
        <rFont val="Calibri"/>
        <family val="2"/>
        <scheme val="minor"/>
      </rPr>
      <t>não</t>
    </r>
    <r>
      <rPr>
        <sz val="12"/>
        <color theme="1"/>
        <rFont val="Calibri"/>
        <family val="2"/>
        <scheme val="minor"/>
      </rPr>
      <t xml:space="preserve"> são insalubres devido à exposição à radiação ionizante emitida pelo equipamento desta sala.</t>
    </r>
  </si>
  <si>
    <t xml:space="preserve">Periodicidade: </t>
  </si>
  <si>
    <t>Teste válido até</t>
  </si>
  <si>
    <r>
      <t>Luminância (cd/m</t>
    </r>
    <r>
      <rPr>
        <b/>
        <vertAlign val="superscript"/>
        <sz val="10"/>
        <color theme="1"/>
        <rFont val="Calibri"/>
        <family val="2"/>
        <scheme val="minor"/>
      </rPr>
      <t>2</t>
    </r>
    <r>
      <rPr>
        <b/>
        <sz val="10"/>
        <color theme="1"/>
        <rFont val="Calibri"/>
        <family val="2"/>
        <scheme val="minor"/>
      </rPr>
      <t>)*</t>
    </r>
  </si>
  <si>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t>
    </r>
    <r>
      <rPr>
        <sz val="8"/>
        <color theme="1"/>
        <rFont val="Calibri"/>
        <family val="2"/>
        <scheme val="minor"/>
      </rPr>
      <t xml:space="preserve"> menor valor medido.</t>
    </r>
  </si>
  <si>
    <r>
      <rPr>
        <b/>
        <sz val="8"/>
        <color theme="1"/>
        <rFont val="Calibri"/>
        <family val="2"/>
        <scheme val="minor"/>
      </rPr>
      <t>EL</t>
    </r>
    <r>
      <rPr>
        <sz val="8"/>
        <color theme="1"/>
        <rFont val="Calibri"/>
        <family val="2"/>
        <scheme val="minor"/>
      </rPr>
      <t xml:space="preserve"> exigência legal.</t>
    </r>
  </si>
  <si>
    <r>
      <rPr>
        <b/>
        <sz val="8"/>
        <color theme="1"/>
        <rFont val="Calibri"/>
        <family val="2"/>
        <scheme val="minor"/>
      </rPr>
      <t xml:space="preserve">IN </t>
    </r>
    <r>
      <rPr>
        <sz val="8"/>
        <color theme="1"/>
        <rFont val="Calibri"/>
        <family val="2"/>
        <scheme val="minor"/>
      </rPr>
      <t>se atende a IN indicada; Para outros tempos de exposição, calcular o Kerma no ar por interpolação.</t>
    </r>
  </si>
  <si>
    <r>
      <rPr>
        <b/>
        <sz val="8"/>
        <color theme="1"/>
        <rFont val="Calibri"/>
        <family val="2"/>
        <scheme val="minor"/>
      </rPr>
      <t xml:space="preserve">Periodicidade: </t>
    </r>
    <r>
      <rPr>
        <sz val="8"/>
        <color theme="1"/>
        <rFont val="Calibri"/>
        <family val="2"/>
        <scheme val="minor"/>
      </rPr>
      <t>Radiação de fuga do cabeçote - quadrienal; demais testes - bienal</t>
    </r>
  </si>
  <si>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Ref</t>
    </r>
    <r>
      <rPr>
        <sz val="8"/>
        <color theme="1"/>
        <rFont val="Calibri"/>
        <family val="2"/>
        <scheme val="minor"/>
      </rPr>
      <t xml:space="preserve"> referência; </t>
    </r>
    <r>
      <rPr>
        <b/>
        <sz val="8"/>
        <color theme="1"/>
        <rFont val="Calibri"/>
        <family val="2"/>
        <scheme val="minor"/>
      </rPr>
      <t>NI</t>
    </r>
    <r>
      <rPr>
        <sz val="8"/>
        <color theme="1"/>
        <rFont val="Calibri"/>
        <family val="2"/>
        <scheme val="minor"/>
      </rPr>
      <t xml:space="preserve"> não informado.</t>
    </r>
  </si>
  <si>
    <r>
      <t xml:space="preserve">                O valor representativo de dose no paciente depende da técnica radiográfica utilizada (kV e mAs). Neste Laudo são apresentados os valores de Kerma no ar na entrada da pele para alguns tempos de exposição selecionados, </t>
    </r>
    <r>
      <rPr>
        <u/>
        <sz val="12"/>
        <color theme="1"/>
        <rFont val="Calibri"/>
        <family val="2"/>
        <scheme val="minor"/>
      </rPr>
      <t>não necessariamente usados na rotina</t>
    </r>
    <r>
      <rPr>
        <sz val="12"/>
        <color theme="1"/>
        <rFont val="Calibri"/>
        <family val="2"/>
        <scheme val="minor"/>
      </rPr>
      <t>. Para outros tempos de exposição, o Kerma no ar pode ser estimado por interpolação.</t>
    </r>
  </si>
  <si>
    <r>
      <rPr>
        <b/>
        <sz val="8"/>
        <color theme="1"/>
        <rFont val="Calibri"/>
        <family val="2"/>
        <scheme val="minor"/>
      </rPr>
      <t>Tolerância:</t>
    </r>
    <r>
      <rPr>
        <sz val="8"/>
        <color theme="1"/>
        <rFont val="Calibri"/>
        <family val="2"/>
        <scheme val="minor"/>
      </rPr>
      <t xml:space="preserve"> ≤ 20%; </t>
    </r>
    <r>
      <rPr>
        <b/>
        <sz val="8"/>
        <color theme="1"/>
        <rFont val="Calibri"/>
        <family val="2"/>
        <scheme val="minor"/>
      </rPr>
      <t>Restrição:</t>
    </r>
    <r>
      <rPr>
        <sz val="8"/>
        <color theme="1"/>
        <rFont val="Calibri"/>
        <family val="2"/>
        <scheme val="minor"/>
      </rPr>
      <t xml:space="preserve"> &gt; 40%.</t>
    </r>
  </si>
  <si>
    <r>
      <rPr>
        <b/>
        <sz val="8"/>
        <color theme="1"/>
        <rFont val="Calibri"/>
        <family val="2"/>
        <scheme val="minor"/>
      </rPr>
      <t>Tolerância:</t>
    </r>
    <r>
      <rPr>
        <sz val="8"/>
        <color theme="1"/>
        <rFont val="Calibri"/>
        <family val="2"/>
        <scheme val="minor"/>
      </rPr>
      <t xml:space="preserve"> ≤ 3,5 mGy</t>
    </r>
  </si>
  <si>
    <t>T: Ausência de imagem residual
R:-</t>
  </si>
  <si>
    <t>T: Imagens sem artefatos
R:-</t>
  </si>
  <si>
    <t xml:space="preserve">T: ≤ 6cm
R:&gt; 8cm </t>
  </si>
  <si>
    <t>T: ≤ 10 %
R:&gt; 20%</t>
  </si>
  <si>
    <t>T: Anexo II
R: &lt; 20 % Anexo II</t>
  </si>
  <si>
    <t>T: ≤ 20 %
R:&gt; 40%</t>
  </si>
  <si>
    <t>Quadrienal</t>
  </si>
  <si>
    <t>Fuga de cabeçote</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</si>
  <si>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NI</t>
    </r>
    <r>
      <rPr>
        <sz val="8"/>
        <color theme="1"/>
        <rFont val="Calibri"/>
        <family val="2"/>
        <scheme val="minor"/>
      </rPr>
      <t xml:space="preserve"> não informada; </t>
    </r>
    <r>
      <rPr>
        <b/>
        <sz val="8"/>
        <color theme="1"/>
        <rFont val="Calibri"/>
        <family val="2"/>
        <scheme val="minor"/>
      </rPr>
      <t>*</t>
    </r>
    <r>
      <rPr>
        <sz val="8"/>
        <color theme="1"/>
        <rFont val="Calibri"/>
        <family val="2"/>
        <scheme val="minor"/>
      </rPr>
      <t xml:space="preserve"> vide Sugestões de Recomendações; </t>
    </r>
    <r>
      <rPr>
        <b/>
        <sz val="8"/>
        <color theme="1"/>
        <rFont val="Calibri"/>
        <family val="2"/>
        <scheme val="minor"/>
      </rPr>
      <t>**</t>
    </r>
    <r>
      <rPr>
        <sz val="8"/>
        <color theme="1"/>
        <rFont val="Calibri"/>
        <family val="2"/>
        <scheme val="minor"/>
      </rPr>
      <t xml:space="preserve"> considerando o Valor de Referência informado pelo contratante.</t>
    </r>
  </si>
  <si>
    <t xml:space="preserve">T: Anexo II da IN 94/2021                                R: &gt; 20% que os
valores do Anexo II               </t>
  </si>
  <si>
    <t xml:space="preserve">T: ≤ 5%                                R: &gt; 10%               </t>
  </si>
  <si>
    <t xml:space="preserve">T: ≤ 10%                                R: &gt; 20%               </t>
  </si>
  <si>
    <t xml:space="preserve">T: ≤ 20%                                  R: &gt; 40%               </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</si>
  <si>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t>
    </r>
    <r>
      <rPr>
        <sz val="8"/>
        <color theme="1"/>
        <rFont val="Calibri"/>
        <family val="2"/>
        <scheme val="minor"/>
      </rPr>
      <t xml:space="preserve"> vide Comentários e Recomendações; </t>
    </r>
    <r>
      <rPr>
        <b/>
        <sz val="8"/>
        <color theme="1"/>
        <rFont val="Calibri"/>
        <family val="2"/>
        <scheme val="minor"/>
      </rPr>
      <t>**</t>
    </r>
    <r>
      <rPr>
        <sz val="8"/>
        <color theme="1"/>
        <rFont val="Calibri"/>
        <family val="2"/>
        <scheme val="minor"/>
      </rPr>
      <t xml:space="preserve"> Valor de Referência informado pelo contratante.</t>
    </r>
  </si>
  <si>
    <t>Exatidão - Tolerância: -1000 ± 10 (ar); e 0 ± 5 (água); Restrição: &gt; -980 ou &lt; -1020 (ar); e &gt; 10 ou &lt; -10 (água).</t>
  </si>
  <si>
    <t>Uniformidade - Tolerância: ≤ 5 HU; Restrição: &gt; 10 HU.</t>
  </si>
  <si>
    <t>Ruído - Tolerância: ≤ 15% acima do valor de referência; Restrição: &gt; 20% acima do valor de referência.</t>
  </si>
  <si>
    <t>Tolerância: ≤ 1 mm para espessuras nominais maiores que 2 mm, e ≤ 50% da espessura nominal para espessuras nominais menores ou iguais a 2 mm; Restrição: &gt; 2 mm</t>
  </si>
  <si>
    <t>T: ≤ 15%;     R: &gt; 30%</t>
  </si>
  <si>
    <t>T: 7 × f (mGy/s) ;     R: -</t>
  </si>
  <si>
    <t>T: ≤ 5 mm; R:&gt; 10 mm</t>
  </si>
  <si>
    <t>T: sem artefatos;     R: -</t>
  </si>
  <si>
    <r>
      <t xml:space="preserve">5.1 </t>
    </r>
    <r>
      <rPr>
        <b/>
        <i/>
        <sz val="12"/>
        <color theme="1"/>
        <rFont val="Calibri"/>
        <family val="2"/>
        <scheme val="minor"/>
      </rPr>
      <t>Modo Radiografia</t>
    </r>
    <r>
      <rPr>
        <b/>
        <sz val="12"/>
        <color theme="1"/>
        <rFont val="Calibri"/>
        <family val="2"/>
        <scheme val="minor"/>
      </rPr>
      <t>:</t>
    </r>
  </si>
  <si>
    <r>
      <t xml:space="preserve">IN </t>
    </r>
    <r>
      <rPr>
        <sz val="8"/>
        <color theme="1"/>
        <rFont val="Calibri"/>
        <family val="2"/>
        <scheme val="minor"/>
      </rPr>
      <t>se atende a IN indicada.</t>
    </r>
  </si>
  <si>
    <r>
      <rPr>
        <b/>
        <sz val="8"/>
        <color theme="1"/>
        <rFont val="Calibri"/>
        <family val="2"/>
        <scheme val="minor"/>
      </rPr>
      <t>FF</t>
    </r>
    <r>
      <rPr>
        <sz val="8"/>
        <color theme="1"/>
        <rFont val="Calibri"/>
        <family val="2"/>
        <scheme val="minor"/>
      </rPr>
      <t xml:space="preserve"> foco fino, </t>
    </r>
    <r>
      <rPr>
        <b/>
        <sz val="8"/>
        <color theme="1"/>
        <rFont val="Calibri"/>
        <family val="2"/>
        <scheme val="minor"/>
      </rPr>
      <t>FG</t>
    </r>
    <r>
      <rPr>
        <sz val="8"/>
        <color theme="1"/>
        <rFont val="Calibri"/>
        <family val="2"/>
        <scheme val="minor"/>
      </rPr>
      <t xml:space="preserve"> foco grosso; </t>
    </r>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t>
    </r>
  </si>
  <si>
    <r>
      <rPr>
        <b/>
        <sz val="8"/>
        <color theme="1"/>
        <rFont val="Calibri"/>
        <family val="2"/>
        <scheme val="minor"/>
      </rPr>
      <t xml:space="preserve">Testes com periodicidade semestral: </t>
    </r>
    <r>
      <rPr>
        <sz val="8"/>
        <color theme="1"/>
        <rFont val="Calibri"/>
        <family val="2"/>
        <scheme val="minor"/>
      </rPr>
      <t>Exatidão do indicador de campo luminoso, Alinhamento do eixo central do feixe de Raios X, Alinhamento de grade.</t>
    </r>
  </si>
  <si>
    <r>
      <rPr>
        <b/>
        <sz val="8"/>
        <color theme="1"/>
        <rFont val="Calibri"/>
        <family val="2"/>
        <scheme val="minor"/>
      </rPr>
      <t xml:space="preserve">Testes com periodicidade anual: </t>
    </r>
    <r>
      <rPr>
        <sz val="8"/>
        <color theme="1"/>
        <rFont val="Calibri"/>
        <family val="2"/>
        <scheme val="minor"/>
      </rPr>
      <t>demais testes</t>
    </r>
  </si>
  <si>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NPA</t>
    </r>
    <r>
      <rPr>
        <sz val="8"/>
        <color theme="1"/>
        <rFont val="Calibri"/>
        <family val="2"/>
        <scheme val="minor"/>
      </rPr>
      <t xml:space="preserve"> não foi possível avaliar.</t>
    </r>
  </si>
  <si>
    <r>
      <rPr>
        <b/>
        <sz val="8"/>
        <color theme="1"/>
        <rFont val="Calibri"/>
        <family val="2"/>
        <scheme val="minor"/>
      </rPr>
      <t>IN</t>
    </r>
    <r>
      <rPr>
        <sz val="8"/>
        <color theme="1"/>
        <rFont val="Calibri"/>
        <family val="2"/>
        <scheme val="minor"/>
      </rPr>
      <t xml:space="preserve"> se atende a IN indicada; </t>
    </r>
    <r>
      <rPr>
        <b/>
        <sz val="8"/>
        <color theme="1"/>
        <rFont val="Calibri"/>
        <family val="2"/>
        <scheme val="minor"/>
      </rPr>
      <t>MA</t>
    </r>
    <r>
      <rPr>
        <sz val="8"/>
        <color theme="1"/>
        <rFont val="Calibri"/>
        <family val="2"/>
        <scheme val="minor"/>
      </rPr>
      <t xml:space="preserve"> modo automático; </t>
    </r>
    <r>
      <rPr>
        <b/>
        <sz val="8"/>
        <color theme="1"/>
        <rFont val="Calibri"/>
        <family val="2"/>
        <scheme val="minor"/>
      </rPr>
      <t>MM</t>
    </r>
    <r>
      <rPr>
        <sz val="8"/>
        <color theme="1"/>
        <rFont val="Calibri"/>
        <family val="2"/>
        <scheme val="minor"/>
      </rPr>
      <t xml:space="preserve"> modo manual;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t>
    </r>
  </si>
  <si>
    <t xml:space="preserve">                A resolução espacial está fora de tolerância (&gt; 1,0 pl/mm para campos &gt; 25 cm e &gt; 1,2 pl/mm para campos ≤ 25 cm).  Deve ser ajustado o sistema receptor de imagem e/ou o monitor de vídeo associado.</t>
  </si>
  <si>
    <t xml:space="preserve">                A sensibilidade de baixo contraste está fora de tolerância (&lt; 4 % para campos &gt; 25 cm e &lt; 3 % pl/mm para campos ≤ 25 cm).  Deve ser ajustado o sistema receptor de imagem e/ou o monitor de vídeo associado.</t>
  </si>
  <si>
    <t xml:space="preserve">                A exatidão do sistema de colimação está fora de tolerância (razão entre campos medido e indicado entre 0,85 e 1,0). O sistema de colimação deve ser ajustado.</t>
  </si>
  <si>
    <t>Trandutor</t>
  </si>
  <si>
    <t>Segundo especificações do fabricante.</t>
  </si>
  <si>
    <t>Razão de sinal residual (“ghosting
ratio”) ≤ 3%</t>
  </si>
  <si>
    <t>Visualização de artefatos -  Segundo especificação do fabricante, ou de modo a não interferir na capacidade de avaliação da qualidade das imagens adquiridas no controle de qualidade.</t>
  </si>
  <si>
    <t>Homogeneidade do campo estático - Segundo especificação do fabricante ou ≤ 2 ppm.</t>
  </si>
  <si>
    <t>Razão sinal-ruído - Segundo especificações do fabricante.</t>
  </si>
  <si>
    <t>Extidão geométrica - ≤ 2% do valor nominal do simulador utilizado.</t>
  </si>
  <si>
    <t>Exatidão da posição de corte - ≤ 2 mm</t>
  </si>
  <si>
    <t>Exatidão da espessuura de corte - ≤ 15%</t>
  </si>
  <si>
    <t>Resolução espacial de alto contraste - Deve ser observado o padrão com as dimensões do pixel teórico.</t>
  </si>
  <si>
    <t>Uniformidade - Segundo especificações do fabricante.</t>
  </si>
  <si>
    <t>HCE</t>
  </si>
  <si>
    <t>Posição</t>
  </si>
  <si>
    <t>Geometria</t>
  </si>
  <si>
    <t>PIU</t>
  </si>
  <si>
    <r>
      <rPr>
        <b/>
        <sz val="8"/>
        <color theme="1"/>
        <rFont val="Calibri"/>
        <family val="2"/>
        <scheme val="minor"/>
      </rPr>
      <t xml:space="preserve">Obs: </t>
    </r>
    <r>
      <rPr>
        <b/>
        <sz val="8"/>
        <color theme="1"/>
        <rFont val="Calibri"/>
        <family val="2"/>
        <scheme val="minor"/>
      </rPr>
      <t xml:space="preserve">NA </t>
    </r>
    <r>
      <rPr>
        <sz val="8"/>
        <color theme="1"/>
        <rFont val="Calibri"/>
        <family val="2"/>
        <scheme val="minor"/>
      </rPr>
      <t xml:space="preserve">Não aplicável; </t>
    </r>
    <r>
      <rPr>
        <b/>
        <sz val="8"/>
        <color theme="1"/>
        <rFont val="Calibri"/>
        <family val="2"/>
        <scheme val="minor"/>
      </rPr>
      <t xml:space="preserve">NR </t>
    </r>
    <r>
      <rPr>
        <sz val="8"/>
        <color theme="1"/>
        <rFont val="Calibri"/>
        <family val="2"/>
        <scheme val="minor"/>
      </rPr>
      <t xml:space="preserve">Não realizado; </t>
    </r>
    <r>
      <rPr>
        <b/>
        <sz val="8"/>
        <color theme="1"/>
        <rFont val="Calibri"/>
        <family val="2"/>
        <scheme val="minor"/>
      </rPr>
      <t>NPA</t>
    </r>
    <r>
      <rPr>
        <sz val="8"/>
        <color theme="1"/>
        <rFont val="Calibri"/>
        <family val="2"/>
        <scheme val="minor"/>
      </rPr>
      <t xml:space="preserve"> não foi possível avaliar.</t>
    </r>
  </si>
  <si>
    <t>Obs: NA Não aplicável; NR Não realizado; NPA não foi possível avaliar.</t>
  </si>
  <si>
    <r>
      <rPr>
        <b/>
        <sz val="8"/>
        <color theme="1"/>
        <rFont val="Calibri"/>
        <family val="2"/>
        <scheme val="minor"/>
      </rPr>
      <t>IN</t>
    </r>
    <r>
      <rPr>
        <sz val="8"/>
        <color theme="1"/>
        <rFont val="Calibri"/>
        <family val="2"/>
        <scheme val="minor"/>
      </rPr>
      <t xml:space="preserve"> se atende a IN indicada; </t>
    </r>
    <r>
      <rPr>
        <b/>
        <sz val="8"/>
        <color theme="1"/>
        <rFont val="Calibri"/>
        <family val="2"/>
        <scheme val="minor"/>
      </rPr>
      <t>Mama</t>
    </r>
    <r>
      <rPr>
        <sz val="8"/>
        <color theme="1"/>
        <rFont val="Calibri"/>
        <family val="2"/>
        <scheme val="minor"/>
      </rPr>
      <t xml:space="preserve"> espessura da mama equivalente; </t>
    </r>
    <r>
      <rPr>
        <b/>
        <sz val="8"/>
        <color theme="1"/>
        <rFont val="Calibri"/>
        <family val="2"/>
        <scheme val="minor"/>
      </rPr>
      <t>DGM</t>
    </r>
    <r>
      <rPr>
        <sz val="8"/>
        <color theme="1"/>
        <rFont val="Calibri"/>
        <family val="2"/>
        <scheme val="minor"/>
      </rPr>
      <t xml:space="preserve"> dose glandular média;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t>
    </r>
    <r>
      <rPr>
        <sz val="8"/>
        <color theme="1"/>
        <rFont val="Calibri"/>
        <family val="2"/>
        <scheme val="minor"/>
      </rPr>
      <t xml:space="preserve"> informação não disponível.</t>
    </r>
  </si>
  <si>
    <r>
      <rPr>
        <b/>
        <sz val="8"/>
        <color theme="1"/>
        <rFont val="Calibri"/>
        <family val="2"/>
        <scheme val="minor"/>
      </rPr>
      <t>C.A.</t>
    </r>
    <r>
      <rPr>
        <sz val="8"/>
        <color theme="1"/>
        <rFont val="Calibri"/>
        <family val="2"/>
        <scheme val="minor"/>
      </rPr>
      <t xml:space="preserve"> Certificado de Aprovação; </t>
    </r>
    <r>
      <rPr>
        <b/>
        <sz val="8"/>
        <color theme="1"/>
        <rFont val="Calibri"/>
        <family val="2"/>
        <scheme val="minor"/>
      </rPr>
      <t>C.C.</t>
    </r>
    <r>
      <rPr>
        <sz val="8"/>
        <color theme="1"/>
        <rFont val="Calibri"/>
        <family val="2"/>
        <scheme val="minor"/>
      </rPr>
      <t xml:space="preserve"> Certificado de Conformidade; </t>
    </r>
    <r>
      <rPr>
        <b/>
        <sz val="8"/>
        <color theme="1"/>
        <rFont val="Calibri"/>
        <family val="2"/>
        <scheme val="minor"/>
      </rPr>
      <t>*</t>
    </r>
    <r>
      <rPr>
        <sz val="8"/>
        <color theme="1"/>
        <rFont val="Calibri"/>
        <family val="2"/>
        <scheme val="minor"/>
      </rPr>
      <t xml:space="preserve"> informação não encontrada no equipamento</t>
    </r>
  </si>
  <si>
    <t>2. OBJETIVO E PERIODICIDADE:</t>
  </si>
  <si>
    <t>Var.(%)</t>
  </si>
  <si>
    <t>Var. (%)</t>
  </si>
  <si>
    <t xml:space="preserve">Var. (%) </t>
  </si>
  <si>
    <t>Varialçao (%)</t>
  </si>
  <si>
    <t>mAs:</t>
  </si>
  <si>
    <t>T: Monofásico: 2,3 mmAl, Trifásico: 2,6 mmAl, Alta frequência: 2,9 mmAl;    R: CSR 10% menor</t>
  </si>
  <si>
    <t>T: ≤ 10%       R: &gt; 20%</t>
  </si>
  <si>
    <t>T: ≤ 10%         R: &gt; 20%</t>
  </si>
  <si>
    <t>T: ≤ 1,5°         R: &gt; 3,0°</t>
  </si>
  <si>
    <t>T: ≤ 20%         R: &gt; 40%</t>
  </si>
  <si>
    <t>T: R ≤ 0,5;        R: 0,5 &lt; R ≤ 1</t>
  </si>
  <si>
    <t xml:space="preserve">T: ≤ 1,0 mGy/h, a 1 m do ponto focal;               R: &gt; 2,0 mGy/h, a 1 m </t>
  </si>
  <si>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NF</t>
    </r>
    <r>
      <rPr>
        <sz val="8"/>
        <color theme="1"/>
        <rFont val="Calibri"/>
        <family val="2"/>
        <scheme val="minor"/>
      </rPr>
      <t xml:space="preserve"> equipamento não funcionou; </t>
    </r>
    <r>
      <rPr>
        <b/>
        <sz val="8"/>
        <color theme="1"/>
        <rFont val="Calibri"/>
        <family val="2"/>
        <scheme val="minor"/>
      </rPr>
      <t>NM</t>
    </r>
    <r>
      <rPr>
        <sz val="8"/>
        <color theme="1"/>
        <rFont val="Calibri"/>
        <family val="2"/>
        <scheme val="minor"/>
      </rPr>
      <t xml:space="preserve"> não foi possível medir</t>
    </r>
  </si>
  <si>
    <r>
      <t xml:space="preserve">Tolerância: </t>
    </r>
    <r>
      <rPr>
        <sz val="8"/>
        <color theme="1"/>
        <rFont val="Calibri"/>
        <family val="2"/>
        <scheme val="minor"/>
      </rPr>
      <t xml:space="preserve">≤ 5% do valor nominal; </t>
    </r>
    <r>
      <rPr>
        <b/>
        <sz val="8"/>
        <color theme="1"/>
        <rFont val="Calibri"/>
        <family val="2"/>
        <scheme val="minor"/>
      </rPr>
      <t xml:space="preserve">Restrição: </t>
    </r>
    <r>
      <rPr>
        <sz val="8"/>
        <color theme="1"/>
        <rFont val="Calibri"/>
        <family val="2"/>
        <scheme val="minor"/>
      </rPr>
      <t>&gt; 10% do valor nominal</t>
    </r>
  </si>
  <si>
    <r>
      <t xml:space="preserve">Tolerância: </t>
    </r>
    <r>
      <rPr>
        <sz val="8"/>
        <color theme="1"/>
        <rFont val="Calibri"/>
        <family val="2"/>
        <scheme val="minor"/>
      </rPr>
      <t xml:space="preserve">Contato: t ≤ 1,5 s, Magnificação: t ≤ 2,0 s; </t>
    </r>
    <r>
      <rPr>
        <b/>
        <sz val="8"/>
        <color theme="1"/>
        <rFont val="Calibri"/>
        <family val="2"/>
        <scheme val="minor"/>
      </rPr>
      <t xml:space="preserve">Restrição: </t>
    </r>
    <r>
      <rPr>
        <sz val="8"/>
        <color theme="1"/>
        <rFont val="Calibri"/>
        <family val="2"/>
        <scheme val="minor"/>
      </rPr>
      <t>Contato: t &gt; 2,0 s, Magnificação: t &gt; 3,0 s</t>
    </r>
  </si>
  <si>
    <r>
      <rPr>
        <b/>
        <sz val="8"/>
        <color theme="1"/>
        <rFont val="Calibri"/>
        <family val="2"/>
        <scheme val="minor"/>
      </rPr>
      <t xml:space="preserve">IN </t>
    </r>
    <r>
      <rPr>
        <sz val="8"/>
        <color theme="1"/>
        <rFont val="Calibri"/>
        <family val="2"/>
        <scheme val="minor"/>
      </rPr>
      <t>se atende a IN indicada</t>
    </r>
  </si>
  <si>
    <r>
      <t xml:space="preserve">Tolerância: </t>
    </r>
    <r>
      <rPr>
        <sz val="8"/>
        <color theme="1"/>
        <rFont val="Calibri"/>
        <family val="2"/>
        <scheme val="minor"/>
      </rPr>
      <t xml:space="preserve">150 N ≤ força ≤ 200 N; </t>
    </r>
    <r>
      <rPr>
        <b/>
        <sz val="8"/>
        <color theme="1"/>
        <rFont val="Calibri"/>
        <family val="2"/>
        <scheme val="minor"/>
      </rPr>
      <t xml:space="preserve">Restrição: </t>
    </r>
    <r>
      <rPr>
        <sz val="8"/>
        <color theme="1"/>
        <rFont val="Calibri"/>
        <family val="2"/>
        <scheme val="minor"/>
      </rPr>
      <t>&gt; 300 N ou &lt; 70 N</t>
    </r>
  </si>
  <si>
    <r>
      <t xml:space="preserve">Tolerância: </t>
    </r>
    <r>
      <rPr>
        <sz val="8"/>
        <color theme="1"/>
        <rFont val="Calibri"/>
        <family val="2"/>
        <scheme val="minor"/>
      </rPr>
      <t xml:space="preserve">PMMA 2,0 cm → CNRrel ≥ 115%, PMMA 4,5 cm → CNRrel ≥ 103%, PMMA 5,0 cm → CNRrel ≥ 100%, PMMA 6,0 cm → CNRrel ≥ 95%; </t>
    </r>
    <r>
      <rPr>
        <b/>
        <sz val="8"/>
        <color theme="1"/>
        <rFont val="Calibri"/>
        <family val="2"/>
        <scheme val="minor"/>
      </rPr>
      <t xml:space="preserve">Restrição: </t>
    </r>
    <r>
      <rPr>
        <sz val="8"/>
        <color theme="1"/>
        <rFont val="Calibri"/>
        <family val="2"/>
        <scheme val="minor"/>
      </rPr>
      <t>PMMA 2,0 cm → CNRrel &lt; 105%,</t>
    </r>
    <r>
      <rPr>
        <b/>
        <sz val="8"/>
        <color theme="1"/>
        <rFont val="Calibri"/>
        <family val="2"/>
        <scheme val="minor"/>
      </rPr>
      <t xml:space="preserve"> </t>
    </r>
    <r>
      <rPr>
        <sz val="8"/>
        <color theme="1"/>
        <rFont val="Calibri"/>
        <family val="2"/>
        <scheme val="minor"/>
      </rPr>
      <t>PMMA 4,5 cm → CNRrel &lt; 93%, PMMA 5,0 cm → CNRrel &lt; 90%, PMMA 6,0 cm → CNRrel &lt; 85%</t>
    </r>
  </si>
  <si>
    <r>
      <rPr>
        <b/>
        <sz val="8"/>
        <color theme="1"/>
        <rFont val="Calibri"/>
        <family val="2"/>
        <scheme val="minor"/>
      </rPr>
      <t>CAE</t>
    </r>
    <r>
      <rPr>
        <sz val="8"/>
        <color theme="1"/>
        <rFont val="Calibri"/>
        <family val="2"/>
        <scheme val="minor"/>
      </rPr>
      <t xml:space="preserve"> Controle Automático de Exposição; </t>
    </r>
    <r>
      <rPr>
        <b/>
        <sz val="8"/>
        <color theme="1"/>
        <rFont val="Calibri"/>
        <family val="2"/>
        <scheme val="minor"/>
      </rPr>
      <t>FF</t>
    </r>
    <r>
      <rPr>
        <sz val="8"/>
        <color theme="1"/>
        <rFont val="Calibri"/>
        <family val="2"/>
        <scheme val="minor"/>
      </rPr>
      <t xml:space="preserve"> foco fino, </t>
    </r>
    <r>
      <rPr>
        <b/>
        <sz val="8"/>
        <color theme="1"/>
        <rFont val="Calibri"/>
        <family val="2"/>
        <scheme val="minor"/>
      </rPr>
      <t>FG</t>
    </r>
    <r>
      <rPr>
        <sz val="8"/>
        <color theme="1"/>
        <rFont val="Calibri"/>
        <family val="2"/>
        <scheme val="minor"/>
      </rPr>
      <t xml:space="preserve"> foco grosso; </t>
    </r>
    <r>
      <rPr>
        <b/>
        <sz val="8"/>
        <color theme="1"/>
        <rFont val="Calibri"/>
        <family val="2"/>
        <scheme val="minor"/>
      </rPr>
      <t xml:space="preserve">IN </t>
    </r>
    <r>
      <rPr>
        <sz val="8"/>
        <color theme="1"/>
        <rFont val="Calibri"/>
        <family val="2"/>
        <scheme val="minor"/>
      </rPr>
      <t xml:space="preserve">se atende a IN indicada; </t>
    </r>
    <r>
      <rPr>
        <b/>
        <sz val="8"/>
        <color theme="1"/>
        <rFont val="Calibri"/>
        <family val="2"/>
        <scheme val="minor"/>
      </rPr>
      <t>NA</t>
    </r>
    <r>
      <rPr>
        <sz val="8"/>
        <color theme="1"/>
        <rFont val="Calibri"/>
        <family val="2"/>
        <scheme val="minor"/>
      </rPr>
      <t xml:space="preserve"> não aplicável; </t>
    </r>
    <r>
      <rPr>
        <b/>
        <sz val="8"/>
        <color theme="1"/>
        <rFont val="Calibri"/>
        <family val="2"/>
        <scheme val="minor"/>
      </rPr>
      <t>NPA</t>
    </r>
    <r>
      <rPr>
        <sz val="8"/>
        <color theme="1"/>
        <rFont val="Calibri"/>
        <family val="2"/>
        <scheme val="minor"/>
      </rPr>
      <t xml:space="preserve"> não foi possível avaliar; </t>
    </r>
    <r>
      <rPr>
        <b/>
        <sz val="8"/>
        <color theme="1"/>
        <rFont val="Calibri"/>
        <family val="2"/>
        <scheme val="minor"/>
      </rPr>
      <t xml:space="preserve">Ref </t>
    </r>
    <r>
      <rPr>
        <sz val="8"/>
        <color theme="1"/>
        <rFont val="Calibri"/>
        <family val="2"/>
        <scheme val="minor"/>
      </rPr>
      <t xml:space="preserve">referência; </t>
    </r>
    <r>
      <rPr>
        <b/>
        <sz val="8"/>
        <color theme="1"/>
        <rFont val="Calibri"/>
        <family val="2"/>
        <scheme val="minor"/>
      </rPr>
      <t>NI</t>
    </r>
    <r>
      <rPr>
        <sz val="8"/>
        <color theme="1"/>
        <rFont val="Calibri"/>
        <family val="2"/>
        <scheme val="minor"/>
      </rPr>
      <t xml:space="preserve"> não informado.</t>
    </r>
  </si>
  <si>
    <r>
      <rPr>
        <b/>
        <sz val="8"/>
        <color theme="1"/>
        <rFont val="Calibri"/>
        <family val="2"/>
        <scheme val="minor"/>
      </rPr>
      <t xml:space="preserve">Obs: NA </t>
    </r>
    <r>
      <rPr>
        <sz val="8"/>
        <color theme="1"/>
        <rFont val="Calibri"/>
        <family val="2"/>
        <scheme val="minor"/>
      </rPr>
      <t xml:space="preserve">Não aplicável; </t>
    </r>
    <r>
      <rPr>
        <b/>
        <sz val="8"/>
        <color theme="1"/>
        <rFont val="Calibri"/>
        <family val="2"/>
        <scheme val="minor"/>
      </rPr>
      <t xml:space="preserve">NR </t>
    </r>
    <r>
      <rPr>
        <sz val="8"/>
        <color theme="1"/>
        <rFont val="Calibri"/>
        <family val="2"/>
        <scheme val="minor"/>
      </rPr>
      <t xml:space="preserve">Não realizado; </t>
    </r>
    <r>
      <rPr>
        <b/>
        <sz val="8"/>
        <color theme="1"/>
        <rFont val="Calibri"/>
        <family val="2"/>
        <scheme val="minor"/>
      </rPr>
      <t>NPA</t>
    </r>
    <r>
      <rPr>
        <sz val="8"/>
        <color theme="1"/>
        <rFont val="Calibri"/>
        <family val="2"/>
        <scheme val="minor"/>
      </rPr>
      <t xml:space="preserve"> não foi possível avaliar.</t>
    </r>
  </si>
  <si>
    <t xml:space="preserve">                 A reprodutibilidade da alta tensão do tubo está fora de tolerância (coeficiente de variação ≤ 0,05). O circuito eletrônico que controla a alta tensão do tubo deve ser ajustado.</t>
  </si>
  <si>
    <t xml:space="preserve">                O tempo de exposição para um simulador de 4,5 cm de PMMA, utilizando o Controle Automático de Exposição, está fora de tolerância (≤1,5 s). A programação deste dispositivo deve ser ajustada.</t>
  </si>
  <si>
    <t xml:space="preserve">                 A resolução espacial está fora de tolerância (≥ 12 pl/mm) para o foco grosso. São possíveis causas: desgaste do tubo de raios X e/ou característica do recepctor de imagem.</t>
  </si>
  <si>
    <t xml:space="preserve">                 A exatidão do sistema de colimação está fora de tolerância (≤ 2%). Deve ser ajustado o sistema de colimação para que o campo de radiação não exceda o receptor de imagem em mais de 2% da distância foco-receptor de imagem.</t>
  </si>
  <si>
    <t>T: ≤ 0,05 ;       R: &gt; 0,1</t>
  </si>
  <si>
    <t>T: ≤ 15%;           R: &gt; 30%</t>
  </si>
  <si>
    <t>T: ≤ 2%;          R: &gt; 4%</t>
  </si>
  <si>
    <t>T: RSR ≤ 15%                    R: &gt; 25%</t>
  </si>
  <si>
    <t xml:space="preserve">Limite: </t>
  </si>
  <si>
    <t>T: ≤ 0,25 mGy/h, a
1m                                                      R: &gt; 0,5 mGy/h, a 1m</t>
  </si>
  <si>
    <t>Fantoma utilizado:</t>
  </si>
  <si>
    <t xml:space="preserve">Reprodutibilidade do CAE - bucky </t>
  </si>
  <si>
    <t>t selecionado</t>
  </si>
  <si>
    <t>Exatidão do indicador da distância foco-receptor</t>
  </si>
  <si>
    <t xml:space="preserve">                Não há, na RDC nº 611/2022, referências para o Controle de Qualidade de equipamentos de Radiologia Veterinária. Os testes deste laudo foram realizados com base na Radiologia Diagnóstica Intervencionista e em suas respectivas Instruções Normativas.</t>
  </si>
  <si>
    <r>
      <t xml:space="preserve">T: ≥ 20cm
R: - </t>
    </r>
    <r>
      <rPr>
        <sz val="8"/>
        <color theme="1"/>
        <rFont val="Calibri"/>
        <family val="2"/>
      </rPr>
      <t/>
    </r>
  </si>
  <si>
    <r>
      <t xml:space="preserve">Periodicidade: </t>
    </r>
    <r>
      <rPr>
        <sz val="8"/>
        <color theme="1"/>
        <rFont val="Calibri"/>
        <family val="2"/>
        <scheme val="minor"/>
      </rPr>
      <t>Exatidão do indicador de tensão do tubo - aceitação; demais testes - anual.</t>
    </r>
  </si>
  <si>
    <t>Distância mínima foco-pele:</t>
  </si>
  <si>
    <t>T: 0,85 ≤ R &lt; 1;                      R: R &gt;1,2</t>
  </si>
  <si>
    <t>Exatidão do indicador da tensão do tubo</t>
  </si>
  <si>
    <t>Aceitação</t>
  </si>
  <si>
    <t>Nível de Janelamento</t>
  </si>
  <si>
    <t>O sistema de suporte do cabeçote permanece estável durante a exposição</t>
  </si>
  <si>
    <t>Sistema de suporte do cabeçote é estavel</t>
  </si>
  <si>
    <t>RDC 1002/25</t>
  </si>
  <si>
    <t xml:space="preserve">                Deve ser instalado um sistea de suporte para o cabeçote.</t>
  </si>
  <si>
    <t>Rev 133</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</si>
</sst>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0.000"/>
    <numFmt numFmtId="165" formatCode="0.0"/>
    <numFmt numFmtId="166" formatCode="0.000000"/>
    <numFmt numFmtId="167" formatCode="d\-mmm"/>
    <numFmt numFmtId="168" formatCode="#,##0.000"/>
    <numFmt numFmtId="169" formatCode="0.00000"/>
    <numFmt numFmtId="170" formatCode="0.0%"/>
    <numFmt numFmtId="171" formatCode="_-* #,##0.0_-;\-* #,##0.0_-;_-* &quot;-&quot;??_-;_-@_-"/>
    <numFmt numFmtId="172" formatCode="_-* #,##0.00000_-;\-* #,##0.00000_-;_-* &quot;-&quot;??_-;_-@_-"/>
    <numFmt numFmtId="173" formatCode="0.000%"/>
    <numFmt numFmtId="174" formatCode="[$-F800]dddd\,\ mmmm\ dd\,\ yyyy"/>
  </numFmts>
  <fonts count="118" x14ac:knownFonts="1">
    <font>
      <sz val="11"/>
      <color theme="1"/>
      <name val="Calibri"/>
      <family val="2"/>
      <scheme val="minor"/>
    </font>
    <font>
      <b/>
      <sz val="11"/>
      <color theme="1"/>
      <name val="Calibri"/>
      <family val="2"/>
      <scheme val="minor"/>
    </font>
    <font>
      <b/>
      <i/>
      <sz val="11"/>
      <color theme="1"/>
      <name val="Calibri"/>
      <family val="2"/>
      <scheme val="minor"/>
    </font>
    <font>
      <b/>
      <sz val="8"/>
      <color theme="1"/>
      <name val="Calibri"/>
      <family val="2"/>
      <scheme val="minor"/>
    </font>
    <font>
      <sz val="11"/>
      <name val="Calibri"/>
      <family val="2"/>
      <scheme val="minor"/>
    </font>
    <font>
      <i/>
      <sz val="11"/>
      <color theme="1"/>
      <name val="Calibri"/>
      <family val="2"/>
      <scheme val="minor"/>
    </font>
    <font>
      <sz val="10"/>
      <color theme="1"/>
      <name val="Calibri"/>
      <family val="2"/>
      <scheme val="minor"/>
    </font>
    <font>
      <vertAlign val="superscript"/>
      <sz val="11"/>
      <color theme="1"/>
      <name val="Calibri"/>
      <family val="2"/>
      <scheme val="minor"/>
    </font>
    <font>
      <b/>
      <vertAlign val="superscript"/>
      <sz val="11"/>
      <color theme="1"/>
      <name val="Calibri"/>
      <family val="2"/>
      <scheme val="minor"/>
    </font>
    <font>
      <sz val="11"/>
      <color rgb="FFFF0000"/>
      <name val="Calibri"/>
      <family val="2"/>
      <scheme val="minor"/>
    </font>
    <font>
      <sz val="11"/>
      <color theme="1"/>
      <name val="Symbol"/>
      <family val="1"/>
      <charset val="2"/>
    </font>
    <font>
      <b/>
      <i/>
      <u/>
      <sz val="11"/>
      <color theme="1"/>
      <name val="Calibri"/>
      <family val="2"/>
      <scheme val="minor"/>
    </font>
    <font>
      <sz val="11"/>
      <color rgb="FF0070C0"/>
      <name val="Calibri"/>
      <family val="2"/>
      <scheme val="minor"/>
    </font>
    <font>
      <u/>
      <sz val="11"/>
      <color theme="1"/>
      <name val="Calibri"/>
      <family val="2"/>
      <scheme val="minor"/>
    </font>
    <font>
      <sz val="8"/>
      <color theme="1"/>
      <name val="Arial"/>
      <family val="2"/>
    </font>
    <font>
      <sz val="12"/>
      <color theme="1"/>
      <name val="Arial"/>
      <family val="2"/>
    </font>
    <font>
      <b/>
      <sz val="12"/>
      <color theme="1"/>
      <name val="Arial"/>
      <family val="2"/>
    </font>
    <font>
      <b/>
      <sz val="10"/>
      <color theme="1"/>
      <name val="Arial"/>
      <family val="2"/>
    </font>
    <font>
      <b/>
      <sz val="8"/>
      <color theme="1"/>
      <name val="Arial"/>
      <family val="2"/>
    </font>
    <font>
      <sz val="11"/>
      <color theme="1"/>
      <name val="Calibri"/>
      <family val="2"/>
    </font>
    <font>
      <b/>
      <sz val="11"/>
      <color theme="1"/>
      <name val="Symbol"/>
      <family val="1"/>
      <charset val="2"/>
    </font>
    <font>
      <b/>
      <sz val="12"/>
      <color theme="1"/>
      <name val="Calibri"/>
      <family val="2"/>
      <scheme val="minor"/>
    </font>
    <font>
      <i/>
      <sz val="12"/>
      <color theme="1"/>
      <name val="Calibri"/>
      <family val="2"/>
      <scheme val="minor"/>
    </font>
    <font>
      <sz val="12"/>
      <color theme="1"/>
      <name val="Calibri"/>
      <family val="2"/>
      <scheme val="minor"/>
    </font>
    <font>
      <i/>
      <sz val="16"/>
      <color theme="1"/>
      <name val="Calibri"/>
      <family val="2"/>
      <scheme val="minor"/>
    </font>
    <font>
      <b/>
      <vertAlign val="subscript"/>
      <sz val="11"/>
      <color theme="1"/>
      <name val="Calibri"/>
      <family val="2"/>
      <scheme val="minor"/>
    </font>
    <font>
      <b/>
      <sz val="28"/>
      <color theme="1"/>
      <name val="Calibri"/>
      <family val="2"/>
      <scheme val="minor"/>
    </font>
    <font>
      <b/>
      <sz val="14"/>
      <color theme="1"/>
      <name val="Calibri"/>
      <family val="2"/>
      <scheme val="minor"/>
    </font>
    <font>
      <sz val="9"/>
      <color theme="1"/>
      <name val="Calibri"/>
      <family val="2"/>
      <scheme val="minor"/>
    </font>
    <font>
      <sz val="8"/>
      <color theme="1"/>
      <name val="Calibri"/>
      <family val="2"/>
      <scheme val="minor"/>
    </font>
    <font>
      <b/>
      <sz val="11"/>
      <color theme="1"/>
      <name val="Calibri"/>
      <family val="2"/>
    </font>
    <font>
      <b/>
      <sz val="11"/>
      <color rgb="FFFF0000"/>
      <name val="Calibri"/>
      <family val="2"/>
    </font>
    <font>
      <b/>
      <i/>
      <vertAlign val="superscript"/>
      <sz val="11"/>
      <color theme="1"/>
      <name val="Calibri"/>
      <family val="2"/>
      <scheme val="minor"/>
    </font>
    <font>
      <b/>
      <sz val="12"/>
      <color rgb="FFFF0000"/>
      <name val="Arial"/>
      <family val="2"/>
    </font>
    <font>
      <sz val="11"/>
      <color theme="1"/>
      <name val="Calibri"/>
      <family val="2"/>
      <scheme val="minor"/>
    </font>
    <font>
      <b/>
      <sz val="11"/>
      <color rgb="FFFF0000"/>
      <name val="Calibri"/>
      <family val="2"/>
      <scheme val="minor"/>
    </font>
    <font>
      <b/>
      <sz val="14"/>
      <color rgb="FF00B050"/>
      <name val="Calibri"/>
      <family val="2"/>
      <scheme val="minor"/>
    </font>
    <font>
      <sz val="10"/>
      <name val="Arial"/>
      <family val="2"/>
    </font>
    <font>
      <sz val="10"/>
      <color theme="0" tint="-0.34998626667073579"/>
      <name val="Arial"/>
      <family val="2"/>
    </font>
    <font>
      <sz val="12"/>
      <name val="Arial"/>
      <family val="2"/>
    </font>
    <font>
      <b/>
      <sz val="12"/>
      <name val="Arial"/>
      <family val="2"/>
    </font>
    <font>
      <b/>
      <sz val="12"/>
      <color indexed="10"/>
      <name val="Arial"/>
      <family val="2"/>
    </font>
    <font>
      <b/>
      <i/>
      <sz val="12"/>
      <name val="Arial"/>
      <family val="2"/>
    </font>
    <font>
      <b/>
      <sz val="8"/>
      <name val="Arial"/>
      <family val="2"/>
    </font>
    <font>
      <sz val="8"/>
      <name val="Arial"/>
      <family val="2"/>
    </font>
    <font>
      <b/>
      <sz val="16"/>
      <color rgb="FF00B050"/>
      <name val="Arial"/>
      <family val="2"/>
    </font>
    <font>
      <b/>
      <sz val="10"/>
      <name val="Arial"/>
      <family val="2"/>
    </font>
    <font>
      <b/>
      <sz val="14"/>
      <name val="Arial"/>
      <family val="2"/>
    </font>
    <font>
      <sz val="14"/>
      <name val="Arial"/>
      <family val="2"/>
    </font>
    <font>
      <sz val="14"/>
      <color theme="1"/>
      <name val="Calibri"/>
      <family val="2"/>
      <scheme val="minor"/>
    </font>
    <font>
      <b/>
      <sz val="14"/>
      <color rgb="FFFF0000"/>
      <name val="Arial"/>
      <family val="2"/>
    </font>
    <font>
      <b/>
      <sz val="12"/>
      <color rgb="FFFF0000"/>
      <name val="Calibri"/>
      <family val="2"/>
      <scheme val="minor"/>
    </font>
    <font>
      <b/>
      <sz val="10"/>
      <color theme="1"/>
      <name val="Calibri"/>
      <family val="2"/>
      <scheme val="minor"/>
    </font>
    <font>
      <b/>
      <sz val="11"/>
      <name val="Calibri"/>
      <family val="2"/>
      <scheme val="minor"/>
    </font>
    <font>
      <b/>
      <sz val="14"/>
      <color rgb="FFFF0000"/>
      <name val="Calibri"/>
      <family val="2"/>
      <scheme val="minor"/>
    </font>
    <font>
      <vertAlign val="subscript"/>
      <sz val="11"/>
      <color theme="1"/>
      <name val="Calibri"/>
      <family val="2"/>
      <scheme val="minor"/>
    </font>
    <font>
      <b/>
      <sz val="20"/>
      <color theme="1"/>
      <name val="Arial Black"/>
      <family val="2"/>
    </font>
    <font>
      <b/>
      <sz val="10"/>
      <color theme="1"/>
      <name val="Arial Black"/>
      <family val="2"/>
    </font>
    <font>
      <i/>
      <sz val="8"/>
      <color theme="1"/>
      <name val="Calibri"/>
      <family val="2"/>
      <scheme val="minor"/>
    </font>
    <font>
      <sz val="11"/>
      <color theme="0" tint="-0.249977111117893"/>
      <name val="Calibri"/>
      <family val="2"/>
      <scheme val="minor"/>
    </font>
    <font>
      <b/>
      <i/>
      <sz val="11"/>
      <name val="Calibri"/>
      <family val="2"/>
      <scheme val="minor"/>
    </font>
    <font>
      <b/>
      <sz val="14"/>
      <color rgb="FFFF0000"/>
      <name val="Arial Black"/>
      <family val="2"/>
    </font>
    <font>
      <b/>
      <sz val="11"/>
      <name val="Calibri"/>
      <family val="2"/>
      <scheme val="minor"/>
    </font>
    <font>
      <b/>
      <sz val="11"/>
      <name val="Calibri"/>
      <family val="2"/>
    </font>
    <font>
      <sz val="11"/>
      <name val="Calibri"/>
      <family val="2"/>
    </font>
    <font>
      <b/>
      <sz val="11"/>
      <name val="Arial"/>
      <family val="2"/>
    </font>
    <font>
      <sz val="11"/>
      <color theme="0" tint="-0.34998626667073579"/>
      <name val="Calibri"/>
      <family val="2"/>
      <scheme val="minor"/>
    </font>
    <font>
      <sz val="12"/>
      <name val="Calibri"/>
      <family val="2"/>
      <scheme val="minor"/>
    </font>
    <font>
      <i/>
      <sz val="12"/>
      <name val="Calibri"/>
      <family val="2"/>
      <scheme val="minor"/>
    </font>
    <font>
      <sz val="11"/>
      <color rgb="FF7030A0"/>
      <name val="Calibri"/>
      <family val="2"/>
      <scheme val="minor"/>
    </font>
    <font>
      <u/>
      <sz val="11"/>
      <color theme="10"/>
      <name val="Calibri"/>
      <family val="2"/>
      <scheme val="minor"/>
    </font>
    <font>
      <b/>
      <sz val="11"/>
      <color rgb="FFFF0000"/>
      <name val="Arial Black"/>
      <family val="2"/>
    </font>
    <font>
      <sz val="10"/>
      <color theme="0"/>
      <name val="Arial"/>
      <family val="2"/>
    </font>
    <font>
      <b/>
      <i/>
      <sz val="11"/>
      <color theme="1"/>
      <name val="Cambria"/>
      <family val="1"/>
      <scheme val="major"/>
    </font>
    <font>
      <b/>
      <u/>
      <sz val="11"/>
      <color theme="1"/>
      <name val="Cambria"/>
      <family val="1"/>
      <scheme val="major"/>
    </font>
    <font>
      <sz val="11"/>
      <color theme="0" tint="-0.499984740745262"/>
      <name val="Calibri"/>
      <family val="2"/>
      <scheme val="minor"/>
    </font>
    <font>
      <b/>
      <sz val="11"/>
      <color rgb="FFC00000"/>
      <name val="Calibri"/>
      <family val="2"/>
      <scheme val="minor"/>
    </font>
    <font>
      <b/>
      <sz val="11"/>
      <color theme="0" tint="-0.34998626667073579"/>
      <name val="Calibri"/>
      <family val="2"/>
      <scheme val="minor"/>
    </font>
    <font>
      <b/>
      <sz val="12"/>
      <name val="Calibri"/>
      <family val="2"/>
      <scheme val="minor"/>
    </font>
    <font>
      <b/>
      <i/>
      <strike/>
      <sz val="11"/>
      <color theme="1"/>
      <name val="Calibri"/>
      <family val="2"/>
      <scheme val="minor"/>
    </font>
    <font>
      <b/>
      <i/>
      <sz val="11"/>
      <color rgb="FFFF0000"/>
      <name val="Calibri"/>
      <family val="2"/>
      <scheme val="minor"/>
    </font>
    <font>
      <b/>
      <sz val="11"/>
      <color rgb="FF00B050"/>
      <name val="Calibri"/>
      <family val="2"/>
      <scheme val="minor"/>
    </font>
    <font>
      <b/>
      <vertAlign val="superscript"/>
      <sz val="11"/>
      <color rgb="FFFF0000"/>
      <name val="Calibri"/>
      <family val="2"/>
      <scheme val="minor"/>
    </font>
    <font>
      <b/>
      <sz val="11"/>
      <color rgb="FFC00000"/>
      <name val="Aharoni"/>
    </font>
    <font>
      <b/>
      <i/>
      <sz val="11"/>
      <color rgb="FFC00000"/>
      <name val="Aharoni"/>
    </font>
    <font>
      <b/>
      <sz val="20"/>
      <color rgb="FFFF0000"/>
      <name val="Aharoni"/>
    </font>
    <font>
      <b/>
      <sz val="16"/>
      <color rgb="FFFF0000"/>
      <name val="Calibri"/>
      <family val="2"/>
      <scheme val="minor"/>
    </font>
    <font>
      <b/>
      <sz val="12"/>
      <color rgb="FFFF0000"/>
      <name val="Arial Black"/>
      <family val="2"/>
    </font>
    <font>
      <b/>
      <sz val="12"/>
      <color theme="0" tint="-0.14999847407452621"/>
      <name val="Arial Black"/>
      <family val="2"/>
    </font>
    <font>
      <b/>
      <sz val="11"/>
      <color theme="1"/>
      <name val="Calibri"/>
      <family val="2"/>
      <scheme val="minor"/>
    </font>
    <font>
      <b/>
      <sz val="9"/>
      <name val="Arial"/>
      <family val="2"/>
    </font>
    <font>
      <sz val="9"/>
      <name val="Arial"/>
      <family val="2"/>
    </font>
    <font>
      <sz val="12"/>
      <color rgb="FFFF0000"/>
      <name val="Arial"/>
      <family val="2"/>
    </font>
    <font>
      <b/>
      <u/>
      <sz val="11"/>
      <name val="Arial Black"/>
      <family val="2"/>
    </font>
    <font>
      <b/>
      <u/>
      <vertAlign val="subscript"/>
      <sz val="11"/>
      <name val="Arial Black"/>
      <family val="2"/>
    </font>
    <font>
      <b/>
      <i/>
      <sz val="11"/>
      <color theme="0" tint="-0.499984740745262"/>
      <name val="Calibri"/>
      <family val="2"/>
      <scheme val="minor"/>
    </font>
    <font>
      <b/>
      <sz val="11"/>
      <color theme="0" tint="-0.499984740745262"/>
      <name val="Calibri"/>
      <family val="2"/>
      <scheme val="minor"/>
    </font>
    <font>
      <b/>
      <sz val="12"/>
      <color indexed="10"/>
      <name val="Calibri"/>
      <family val="2"/>
      <scheme val="minor"/>
    </font>
    <font>
      <b/>
      <sz val="8"/>
      <name val="Calibri"/>
      <family val="2"/>
      <scheme val="minor"/>
    </font>
    <font>
      <sz val="8"/>
      <name val="Calibri"/>
      <family val="2"/>
      <scheme val="minor"/>
    </font>
    <font>
      <b/>
      <i/>
      <sz val="12"/>
      <name val="Calibri"/>
      <family val="2"/>
      <scheme val="minor"/>
    </font>
    <font>
      <sz val="9"/>
      <name val="Calibri"/>
      <family val="2"/>
      <scheme val="minor"/>
    </font>
    <font>
      <b/>
      <sz val="9"/>
      <name val="Calibri"/>
      <family val="2"/>
      <scheme val="minor"/>
    </font>
    <font>
      <b/>
      <i/>
      <sz val="12"/>
      <color theme="1"/>
      <name val="Calibri"/>
      <family val="2"/>
      <scheme val="minor"/>
    </font>
    <font>
      <sz val="5"/>
      <color theme="1"/>
      <name val="Calibri"/>
      <family val="2"/>
      <scheme val="minor"/>
    </font>
    <font>
      <b/>
      <sz val="5"/>
      <color theme="1"/>
      <name val="Calibri"/>
      <family val="2"/>
      <scheme val="minor"/>
    </font>
    <font>
      <sz val="10"/>
      <name val="Calibri"/>
      <family val="2"/>
      <scheme val="minor"/>
    </font>
    <font>
      <i/>
      <sz val="10"/>
      <color theme="1"/>
      <name val="Calibri"/>
      <family val="2"/>
      <scheme val="minor"/>
    </font>
    <font>
      <b/>
      <sz val="10"/>
      <color theme="0"/>
      <name val="Calibri"/>
      <family val="2"/>
      <scheme val="minor"/>
    </font>
    <font>
      <b/>
      <sz val="9"/>
      <color theme="1"/>
      <name val="Calibri"/>
      <family val="2"/>
      <scheme val="minor"/>
    </font>
    <font>
      <b/>
      <vertAlign val="superscript"/>
      <sz val="10"/>
      <color theme="1"/>
      <name val="Calibri"/>
      <family val="2"/>
      <scheme val="minor"/>
    </font>
    <font>
      <sz val="10"/>
      <color theme="0"/>
      <name val="Calibri"/>
      <family val="2"/>
      <scheme val="minor"/>
    </font>
    <font>
      <sz val="12"/>
      <color theme="0"/>
      <name val="Calibri"/>
      <family val="2"/>
      <scheme val="minor"/>
    </font>
    <font>
      <sz val="8"/>
      <color theme="0"/>
      <name val="Calibri"/>
      <family val="2"/>
      <scheme val="minor"/>
    </font>
    <font>
      <u/>
      <sz val="12"/>
      <color theme="1"/>
      <name val="Calibri"/>
      <family val="2"/>
      <scheme val="minor"/>
    </font>
    <font>
      <sz val="6"/>
      <color theme="1"/>
      <name val="Calibri"/>
      <family val="2"/>
      <scheme val="minor"/>
    </font>
    <font>
      <sz val="8"/>
      <color rgb="FF000000"/>
      <name val="Calibri"/>
      <family val="2"/>
      <scheme val="minor"/>
    </font>
    <font>
      <sz val="8"/>
      <color theme="1"/>
      <name val="Calibri"/>
      <family val="2"/>
    </font>
  </fonts>
  <fills count="23">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6" tint="0.59999389629810485"/>
        <bgColor indexed="64"/>
      </patternFill>
    </fill>
    <fill>
      <patternFill patternType="solid">
        <fgColor indexed="41"/>
        <bgColor indexed="64"/>
      </patternFill>
    </fill>
    <fill>
      <patternFill patternType="solid">
        <fgColor indexed="42"/>
        <bgColor indexed="64"/>
      </patternFill>
    </fill>
    <fill>
      <patternFill patternType="solid">
        <fgColor theme="6" tint="0.79998168889431442"/>
        <bgColor indexed="64"/>
      </patternFill>
    </fill>
    <fill>
      <patternFill patternType="solid">
        <fgColor rgb="FFCCFFFF"/>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59999389629810485"/>
        <bgColor indexed="64"/>
      </patternFill>
    </fill>
  </fills>
  <borders count="7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s>
  <cellStyleXfs count="5">
    <xf numFmtId="0" fontId="0" fillId="0" borderId="0"/>
    <xf numFmtId="9" fontId="34" fillId="0" borderId="0" applyFont="0" applyFill="0" applyBorder="0" applyAlignment="0" applyProtection="0"/>
    <xf numFmtId="43" fontId="34" fillId="0" borderId="0" applyFont="0" applyFill="0" applyBorder="0" applyAlignment="0" applyProtection="0"/>
    <xf numFmtId="0" fontId="37" fillId="0" borderId="0"/>
    <xf numFmtId="0" fontId="70" fillId="0" borderId="0" applyNumberFormat="0" applyFill="0" applyBorder="0" applyAlignment="0" applyProtection="0"/>
  </cellStyleXfs>
  <cellXfs count="3161">
    <xf numFmtId="0" fontId="0" fillId="0" borderId="0" xfId="0"/>
    <xf numFmtId="14" fontId="0" fillId="0" borderId="0" xfId="0" applyNumberFormat="1"/>
    <xf numFmtId="2" fontId="0" fillId="0" borderId="0" xfId="0" applyNumberFormat="1" applyAlignment="1">
      <alignment horizontal="center"/>
    </xf>
    <xf numFmtId="165" fontId="0" fillId="0" borderId="0" xfId="0" applyNumberFormat="1" applyAlignment="1">
      <alignment horizontal="center"/>
    </xf>
    <xf numFmtId="0" fontId="1" fillId="0" borderId="0" xfId="0" applyFont="1" applyAlignment="1"/>
    <xf numFmtId="164" fontId="0" fillId="0" borderId="0" xfId="0" applyNumberFormat="1" applyAlignment="1">
      <alignment horizontal="center"/>
    </xf>
    <xf numFmtId="165" fontId="1" fillId="0" borderId="0" xfId="0" applyNumberFormat="1" applyFont="1" applyAlignment="1">
      <alignment horizontal="center"/>
    </xf>
    <xf numFmtId="165" fontId="0" fillId="0" borderId="0" xfId="0" applyNumberFormat="1"/>
    <xf numFmtId="0" fontId="1" fillId="0" borderId="0" xfId="0" applyFont="1"/>
    <xf numFmtId="2" fontId="0" fillId="0" borderId="0" xfId="0" applyNumberFormat="1" applyBorder="1" applyAlignment="1">
      <alignment horizontal="center"/>
    </xf>
    <xf numFmtId="2" fontId="0" fillId="0" borderId="5" xfId="0" applyNumberFormat="1" applyBorder="1" applyAlignment="1">
      <alignment horizontal="center"/>
    </xf>
    <xf numFmtId="2" fontId="0" fillId="0" borderId="7" xfId="0" applyNumberFormat="1" applyBorder="1" applyAlignment="1">
      <alignment horizontal="center"/>
    </xf>
    <xf numFmtId="1" fontId="0" fillId="0" borderId="0" xfId="0" applyNumberFormat="1" applyAlignment="1">
      <alignment horizontal="center"/>
    </xf>
    <xf numFmtId="0" fontId="0" fillId="0" borderId="0" xfId="0" applyAlignment="1"/>
    <xf numFmtId="0" fontId="6" fillId="0" borderId="0" xfId="0" applyFont="1" applyAlignment="1">
      <alignment horizontal="center"/>
    </xf>
    <xf numFmtId="0" fontId="0" fillId="0" borderId="0" xfId="0" applyAlignment="1">
      <alignment horizontal="center"/>
    </xf>
    <xf numFmtId="0" fontId="0" fillId="0" borderId="0" xfId="0" applyFont="1" applyAlignment="1">
      <alignment horizontal="left"/>
    </xf>
    <xf numFmtId="0" fontId="11" fillId="2" borderId="0" xfId="0" applyFont="1" applyFill="1"/>
    <xf numFmtId="0" fontId="0" fillId="0" borderId="0" xfId="0" applyAlignment="1">
      <alignment horizontal="center"/>
    </xf>
    <xf numFmtId="0" fontId="0" fillId="0" borderId="0" xfId="0" applyAlignment="1">
      <alignment horizontal="center"/>
    </xf>
    <xf numFmtId="0" fontId="12" fillId="0" borderId="0" xfId="0" applyFont="1" applyAlignment="1">
      <alignment horizontal="center"/>
    </xf>
    <xf numFmtId="0" fontId="4" fillId="0" borderId="0" xfId="0" applyFont="1" applyAlignment="1">
      <alignment horizontal="center"/>
    </xf>
    <xf numFmtId="164" fontId="4" fillId="0" borderId="0" xfId="0" applyNumberFormat="1" applyFont="1" applyAlignment="1">
      <alignment horizontal="center"/>
    </xf>
    <xf numFmtId="0" fontId="0" fillId="0" borderId="13" xfId="0" applyBorder="1" applyAlignment="1">
      <alignment horizontal="center"/>
    </xf>
    <xf numFmtId="0" fontId="0" fillId="2" borderId="0" xfId="0" applyFill="1"/>
    <xf numFmtId="0" fontId="13" fillId="0" borderId="0" xfId="0" applyFont="1"/>
    <xf numFmtId="0" fontId="0" fillId="0" borderId="0" xfId="0" applyAlignment="1">
      <alignment horizontal="center"/>
    </xf>
    <xf numFmtId="0" fontId="1" fillId="0" borderId="0" xfId="0" applyFont="1" applyAlignment="1">
      <alignment horizontal="center"/>
    </xf>
    <xf numFmtId="0" fontId="14" fillId="0" borderId="0" xfId="0" applyFont="1" applyAlignment="1">
      <alignment vertical="top"/>
    </xf>
    <xf numFmtId="0" fontId="16" fillId="0" borderId="0" xfId="0" applyFont="1" applyAlignment="1">
      <alignment vertical="center"/>
    </xf>
    <xf numFmtId="49" fontId="16" fillId="0" borderId="0" xfId="0" applyNumberFormat="1" applyFont="1" applyAlignment="1">
      <alignment vertical="center"/>
    </xf>
    <xf numFmtId="2" fontId="0" fillId="0" borderId="0" xfId="0" applyNumberFormat="1" applyAlignment="1">
      <alignment horizontal="left"/>
    </xf>
    <xf numFmtId="0" fontId="6" fillId="0" borderId="0" xfId="0" applyFont="1"/>
    <xf numFmtId="0" fontId="23" fillId="0" borderId="0" xfId="0" applyFont="1"/>
    <xf numFmtId="0" fontId="23" fillId="0" borderId="0" xfId="0" applyFont="1" applyAlignment="1">
      <alignment vertical="center"/>
    </xf>
    <xf numFmtId="0" fontId="0" fillId="0" borderId="0" xfId="0" applyAlignment="1">
      <alignment horizontal="center"/>
    </xf>
    <xf numFmtId="49" fontId="0" fillId="4" borderId="0" xfId="0" applyNumberFormat="1" applyFill="1" applyAlignment="1">
      <alignment horizontal="center"/>
    </xf>
    <xf numFmtId="0" fontId="1" fillId="2" borderId="0" xfId="0" applyFont="1" applyFill="1"/>
    <xf numFmtId="0" fontId="15" fillId="0" borderId="0" xfId="0" applyFont="1" applyBorder="1" applyAlignment="1">
      <alignment vertical="center"/>
    </xf>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0" fillId="0" borderId="0" xfId="0" applyFont="1" applyAlignment="1">
      <alignment horizontal="left"/>
    </xf>
    <xf numFmtId="0" fontId="1" fillId="0" borderId="0" xfId="0" applyFont="1" applyAlignment="1">
      <alignment horizontal="left"/>
    </xf>
    <xf numFmtId="0" fontId="6" fillId="0" borderId="0" xfId="0" applyFont="1" applyAlignment="1">
      <alignment horizontal="left"/>
    </xf>
    <xf numFmtId="165" fontId="0" fillId="4" borderId="0" xfId="0" applyNumberFormat="1" applyFill="1" applyAlignment="1">
      <alignment horizontal="center"/>
    </xf>
    <xf numFmtId="0" fontId="0" fillId="4" borderId="0" xfId="0" applyFill="1" applyAlignment="1">
      <alignment horizontal="center"/>
    </xf>
    <xf numFmtId="0" fontId="0" fillId="0" borderId="0" xfId="0" applyAlignment="1">
      <alignment horizontal="right"/>
    </xf>
    <xf numFmtId="0" fontId="1" fillId="0" borderId="0" xfId="0" applyFont="1" applyAlignment="1">
      <alignment horizontal="right"/>
    </xf>
    <xf numFmtId="22" fontId="0" fillId="0" borderId="0" xfId="0" applyNumberFormat="1"/>
    <xf numFmtId="0" fontId="0" fillId="6" borderId="0" xfId="0" applyFill="1"/>
    <xf numFmtId="0" fontId="0" fillId="5" borderId="27" xfId="0" applyFill="1" applyBorder="1" applyAlignment="1" applyProtection="1">
      <alignment horizontal="center" vertical="center"/>
      <protection locked="0"/>
    </xf>
    <xf numFmtId="0" fontId="0" fillId="0" borderId="0" xfId="0" applyBorder="1"/>
    <xf numFmtId="0" fontId="0" fillId="0" borderId="7" xfId="0" applyBorder="1"/>
    <xf numFmtId="165" fontId="0" fillId="0" borderId="0" xfId="0" applyNumberFormat="1" applyBorder="1" applyAlignment="1">
      <alignment horizontal="center"/>
    </xf>
    <xf numFmtId="1" fontId="0" fillId="0" borderId="5" xfId="0" applyNumberFormat="1" applyBorder="1" applyAlignment="1">
      <alignment horizontal="right"/>
    </xf>
    <xf numFmtId="165" fontId="0" fillId="0" borderId="7" xfId="0" applyNumberFormat="1" applyBorder="1" applyAlignment="1">
      <alignment horizontal="center"/>
    </xf>
    <xf numFmtId="1" fontId="0" fillId="0" borderId="8" xfId="0" applyNumberFormat="1" applyBorder="1" applyAlignment="1">
      <alignment horizontal="right"/>
    </xf>
    <xf numFmtId="0" fontId="0" fillId="6" borderId="0" xfId="0" applyFill="1" applyBorder="1"/>
    <xf numFmtId="0" fontId="0" fillId="4" borderId="40" xfId="0" applyFill="1" applyBorder="1" applyAlignment="1" applyProtection="1">
      <alignment horizontal="center"/>
      <protection locked="0"/>
    </xf>
    <xf numFmtId="0" fontId="0" fillId="0" borderId="4" xfId="0" applyBorder="1"/>
    <xf numFmtId="0" fontId="0" fillId="6" borderId="0" xfId="0" applyFill="1" applyAlignment="1">
      <alignment horizontal="center"/>
    </xf>
    <xf numFmtId="0" fontId="0" fillId="4" borderId="44" xfId="0" applyFill="1" applyBorder="1" applyAlignment="1" applyProtection="1">
      <alignment horizontal="center"/>
      <protection locked="0"/>
    </xf>
    <xf numFmtId="0" fontId="0" fillId="4" borderId="30" xfId="0" applyFill="1" applyBorder="1" applyAlignment="1" applyProtection="1">
      <alignment horizontal="center"/>
      <protection locked="0"/>
    </xf>
    <xf numFmtId="165" fontId="0" fillId="4" borderId="34" xfId="0" applyNumberFormat="1" applyFill="1" applyBorder="1" applyAlignment="1" applyProtection="1">
      <alignment horizontal="center"/>
      <protection locked="0"/>
    </xf>
    <xf numFmtId="0" fontId="0" fillId="4" borderId="28" xfId="0" applyFill="1" applyBorder="1" applyAlignment="1" applyProtection="1">
      <alignment horizontal="center"/>
      <protection locked="0"/>
    </xf>
    <xf numFmtId="164" fontId="0" fillId="0" borderId="0" xfId="0" applyNumberFormat="1" applyBorder="1" applyAlignment="1">
      <alignment horizontal="center"/>
    </xf>
    <xf numFmtId="164" fontId="0" fillId="0" borderId="5" xfId="0" applyNumberFormat="1" applyBorder="1" applyAlignment="1">
      <alignment horizontal="center"/>
    </xf>
    <xf numFmtId="164" fontId="0" fillId="0" borderId="8" xfId="0" applyNumberFormat="1" applyBorder="1" applyAlignment="1">
      <alignment horizontal="center"/>
    </xf>
    <xf numFmtId="0" fontId="0" fillId="4" borderId="34" xfId="0" applyFill="1" applyBorder="1" applyAlignment="1" applyProtection="1">
      <alignment horizontal="center"/>
      <protection locked="0"/>
    </xf>
    <xf numFmtId="0" fontId="0" fillId="4" borderId="34" xfId="0" applyFont="1" applyFill="1" applyBorder="1" applyAlignment="1" applyProtection="1">
      <alignment horizontal="center"/>
      <protection locked="0"/>
    </xf>
    <xf numFmtId="0" fontId="0" fillId="5" borderId="17"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6" xfId="0" applyFill="1" applyBorder="1" applyAlignment="1" applyProtection="1">
      <alignment horizontal="center"/>
      <protection locked="0"/>
    </xf>
    <xf numFmtId="0" fontId="0" fillId="4" borderId="28" xfId="0" applyFont="1" applyFill="1" applyBorder="1" applyAlignment="1" applyProtection="1">
      <alignment horizontal="center"/>
      <protection locked="0"/>
    </xf>
    <xf numFmtId="0" fontId="0" fillId="4" borderId="30" xfId="0" applyFont="1" applyFill="1" applyBorder="1" applyAlignment="1" applyProtection="1">
      <alignment horizontal="center"/>
      <protection locked="0"/>
    </xf>
    <xf numFmtId="0" fontId="0" fillId="5" borderId="28" xfId="0" applyFill="1" applyBorder="1" applyAlignment="1" applyProtection="1">
      <alignment horizontal="center"/>
      <protection locked="0"/>
    </xf>
    <xf numFmtId="0" fontId="0" fillId="5" borderId="30" xfId="0" applyFill="1" applyBorder="1" applyAlignment="1" applyProtection="1">
      <alignment horizontal="center"/>
      <protection locked="0"/>
    </xf>
    <xf numFmtId="0" fontId="0" fillId="5" borderId="34" xfId="0" applyFill="1" applyBorder="1" applyAlignment="1" applyProtection="1">
      <alignment horizontal="center"/>
      <protection locked="0"/>
    </xf>
    <xf numFmtId="0" fontId="0" fillId="5" borderId="40" xfId="0" applyFill="1" applyBorder="1" applyAlignment="1" applyProtection="1">
      <alignment horizontal="center"/>
      <protection locked="0"/>
    </xf>
    <xf numFmtId="0" fontId="0" fillId="0" borderId="5" xfId="0" applyBorder="1"/>
    <xf numFmtId="165" fontId="1" fillId="0" borderId="0" xfId="0" applyNumberFormat="1" applyFont="1" applyBorder="1" applyAlignment="1">
      <alignment horizontal="center"/>
    </xf>
    <xf numFmtId="165" fontId="0" fillId="0" borderId="5" xfId="0" applyNumberFormat="1" applyBorder="1" applyAlignment="1">
      <alignment horizontal="center"/>
    </xf>
    <xf numFmtId="2" fontId="0" fillId="0" borderId="5" xfId="0" applyNumberFormat="1" applyBorder="1" applyAlignment="1">
      <alignment horizontal="left"/>
    </xf>
    <xf numFmtId="0" fontId="1" fillId="6" borderId="0" xfId="0" applyFont="1" applyFill="1" applyAlignment="1">
      <alignment horizontal="center"/>
    </xf>
    <xf numFmtId="2" fontId="0" fillId="6" borderId="0" xfId="0" applyNumberFormat="1" applyFill="1" applyAlignment="1">
      <alignment horizontal="center"/>
    </xf>
    <xf numFmtId="0" fontId="0" fillId="6" borderId="5" xfId="0" applyFill="1" applyBorder="1"/>
    <xf numFmtId="165" fontId="0" fillId="6" borderId="0" xfId="0" applyNumberFormat="1" applyFill="1" applyAlignment="1">
      <alignment horizontal="center"/>
    </xf>
    <xf numFmtId="0" fontId="1" fillId="0" borderId="0" xfId="0" applyFont="1" applyBorder="1" applyAlignment="1"/>
    <xf numFmtId="0" fontId="0" fillId="6" borderId="5" xfId="0" applyFill="1" applyBorder="1" applyAlignment="1">
      <alignment horizontal="center"/>
    </xf>
    <xf numFmtId="0" fontId="0" fillId="6" borderId="8" xfId="0" applyFill="1" applyBorder="1" applyAlignment="1">
      <alignment horizontal="center"/>
    </xf>
    <xf numFmtId="0" fontId="0" fillId="6" borderId="0" xfId="0" applyFill="1" applyAlignment="1"/>
    <xf numFmtId="0" fontId="20" fillId="6" borderId="3" xfId="0" applyFont="1" applyFill="1" applyBorder="1" applyAlignment="1">
      <alignment horizontal="center"/>
    </xf>
    <xf numFmtId="0" fontId="1" fillId="6" borderId="0" xfId="0" applyFont="1" applyFill="1" applyAlignment="1"/>
    <xf numFmtId="0" fontId="0" fillId="4" borderId="8" xfId="0" applyFill="1" applyBorder="1" applyAlignment="1" applyProtection="1">
      <alignment horizontal="center"/>
      <protection locked="0"/>
    </xf>
    <xf numFmtId="0" fontId="0" fillId="4" borderId="33" xfId="0" applyFill="1" applyBorder="1" applyAlignment="1" applyProtection="1">
      <alignment horizontal="center"/>
      <protection locked="0"/>
    </xf>
    <xf numFmtId="0" fontId="1" fillId="6" borderId="0" xfId="0" applyFont="1" applyFill="1" applyAlignment="1">
      <alignment horizontal="right"/>
    </xf>
    <xf numFmtId="0" fontId="1" fillId="0" borderId="4" xfId="0" applyFont="1" applyBorder="1" applyAlignment="1">
      <alignment horizontal="right"/>
    </xf>
    <xf numFmtId="0" fontId="1" fillId="2" borderId="4" xfId="0" applyFont="1" applyFill="1" applyBorder="1"/>
    <xf numFmtId="0" fontId="0" fillId="6" borderId="0" xfId="0" applyFont="1" applyFill="1" applyAlignment="1">
      <alignment horizontal="left"/>
    </xf>
    <xf numFmtId="0" fontId="0" fillId="6" borderId="0" xfId="0" applyFill="1" applyAlignment="1">
      <alignment horizontal="right"/>
    </xf>
    <xf numFmtId="1" fontId="0" fillId="6" borderId="0" xfId="0" applyNumberFormat="1" applyFill="1" applyAlignment="1">
      <alignment horizontal="center"/>
    </xf>
    <xf numFmtId="0" fontId="1" fillId="6" borderId="0" xfId="0" applyFont="1" applyFill="1" applyBorder="1"/>
    <xf numFmtId="0" fontId="1" fillId="0" borderId="0" xfId="0" applyFont="1" applyBorder="1" applyAlignment="1">
      <alignment horizontal="right"/>
    </xf>
    <xf numFmtId="1" fontId="0" fillId="4" borderId="30" xfId="0" applyNumberFormat="1" applyFill="1" applyBorder="1" applyAlignment="1">
      <alignment horizontal="center"/>
    </xf>
    <xf numFmtId="0" fontId="6" fillId="0" borderId="5" xfId="0" applyFont="1" applyBorder="1" applyAlignment="1">
      <alignment horizontal="center"/>
    </xf>
    <xf numFmtId="0" fontId="1" fillId="6" borderId="0" xfId="0" applyFont="1" applyFill="1" applyBorder="1" applyAlignment="1">
      <alignment horizontal="center"/>
    </xf>
    <xf numFmtId="0" fontId="1" fillId="4" borderId="28" xfId="0" applyNumberFormat="1" applyFont="1" applyFill="1" applyBorder="1" applyAlignment="1" applyProtection="1">
      <alignment horizontal="center"/>
      <protection locked="0"/>
    </xf>
    <xf numFmtId="0" fontId="0" fillId="4" borderId="28" xfId="0" applyNumberFormat="1" applyFill="1" applyBorder="1" applyAlignment="1" applyProtection="1">
      <alignment horizontal="center"/>
      <protection locked="0"/>
    </xf>
    <xf numFmtId="0" fontId="0" fillId="4" borderId="0" xfId="0" applyNumberFormat="1" applyFill="1" applyAlignment="1">
      <alignment horizontal="center"/>
    </xf>
    <xf numFmtId="0" fontId="15" fillId="0" borderId="0" xfId="0" applyFont="1" applyFill="1" applyAlignment="1">
      <alignment vertical="center"/>
    </xf>
    <xf numFmtId="164" fontId="0" fillId="6" borderId="0" xfId="0" applyNumberFormat="1" applyFill="1" applyBorder="1" applyAlignment="1">
      <alignment horizontal="center"/>
    </xf>
    <xf numFmtId="0" fontId="0" fillId="0" borderId="0" xfId="0" applyAlignment="1">
      <alignment horizontal="center"/>
    </xf>
    <xf numFmtId="0" fontId="0" fillId="0" borderId="0" xfId="0" applyBorder="1" applyAlignment="1">
      <alignment horizontal="center"/>
    </xf>
    <xf numFmtId="165" fontId="0" fillId="0" borderId="0" xfId="0" applyNumberFormat="1" applyFill="1" applyBorder="1" applyAlignment="1">
      <alignment horizontal="center"/>
    </xf>
    <xf numFmtId="0" fontId="0" fillId="0" borderId="12" xfId="0" applyBorder="1" applyAlignment="1">
      <alignment horizontal="center"/>
    </xf>
    <xf numFmtId="165" fontId="0" fillId="0" borderId="13" xfId="0" applyNumberFormat="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165" fontId="0" fillId="2" borderId="0" xfId="0" applyNumberFormat="1" applyFill="1" applyBorder="1" applyAlignment="1">
      <alignment horizontal="center"/>
    </xf>
    <xf numFmtId="0" fontId="0" fillId="2" borderId="0" xfId="0" applyFill="1" applyBorder="1" applyAlignment="1">
      <alignment horizontal="center"/>
    </xf>
    <xf numFmtId="0" fontId="9" fillId="0" borderId="0" xfId="0" applyFont="1"/>
    <xf numFmtId="0" fontId="0" fillId="6" borderId="0" xfId="0" applyFont="1" applyFill="1" applyAlignment="1">
      <alignment horizontal="left"/>
    </xf>
    <xf numFmtId="0" fontId="0" fillId="6" borderId="0" xfId="0" applyFill="1" applyAlignment="1">
      <alignment horizontal="center"/>
    </xf>
    <xf numFmtId="0" fontId="0" fillId="6" borderId="0" xfId="0" applyFill="1" applyAlignment="1">
      <alignment horizontal="left"/>
    </xf>
    <xf numFmtId="0" fontId="1" fillId="0" borderId="17" xfId="0" applyFont="1" applyBorder="1" applyAlignment="1">
      <alignment horizontal="center"/>
    </xf>
    <xf numFmtId="165" fontId="0" fillId="6" borderId="0" xfId="0" applyNumberFormat="1" applyFill="1" applyBorder="1" applyAlignment="1">
      <alignment horizontal="center"/>
    </xf>
    <xf numFmtId="0" fontId="0" fillId="0" borderId="0" xfId="0" applyAlignment="1">
      <alignment horizontal="center" vertical="center"/>
    </xf>
    <xf numFmtId="165" fontId="1" fillId="6" borderId="0" xfId="0" applyNumberFormat="1" applyFont="1" applyFill="1" applyAlignment="1">
      <alignment horizontal="left"/>
    </xf>
    <xf numFmtId="0" fontId="1" fillId="6" borderId="0" xfId="0" applyFont="1" applyFill="1" applyBorder="1" applyAlignment="1" applyProtection="1">
      <alignment horizontal="center"/>
      <protection locked="0"/>
    </xf>
    <xf numFmtId="0" fontId="1" fillId="6" borderId="0" xfId="0" applyFont="1" applyFill="1" applyAlignment="1">
      <alignment horizontal="center"/>
    </xf>
    <xf numFmtId="0" fontId="1" fillId="6" borderId="0" xfId="0" applyFont="1" applyFill="1" applyAlignment="1">
      <alignment horizontal="left"/>
    </xf>
    <xf numFmtId="0" fontId="0" fillId="0" borderId="0" xfId="0" applyFill="1" applyBorder="1"/>
    <xf numFmtId="0" fontId="0" fillId="7" borderId="0" xfId="0" applyFill="1"/>
    <xf numFmtId="165" fontId="1" fillId="6" borderId="0" xfId="0" applyNumberFormat="1" applyFont="1" applyFill="1" applyBorder="1" applyAlignment="1">
      <alignment horizontal="center"/>
    </xf>
    <xf numFmtId="0" fontId="1" fillId="6" borderId="8" xfId="0" applyFont="1" applyFill="1" applyBorder="1" applyAlignment="1">
      <alignment horizontal="left"/>
    </xf>
    <xf numFmtId="0" fontId="0" fillId="6" borderId="42" xfId="0" applyFill="1" applyBorder="1" applyAlignment="1">
      <alignment horizontal="center"/>
    </xf>
    <xf numFmtId="0" fontId="0" fillId="0" borderId="0" xfId="0" applyAlignment="1">
      <alignment horizontal="center"/>
    </xf>
    <xf numFmtId="0" fontId="0" fillId="0" borderId="0" xfId="0" applyFill="1"/>
    <xf numFmtId="0" fontId="1" fillId="0" borderId="0" xfId="0" applyFont="1" applyBorder="1" applyAlignment="1">
      <alignment horizontal="center"/>
    </xf>
    <xf numFmtId="0" fontId="0" fillId="0" borderId="17" xfId="0" applyFont="1" applyBorder="1" applyAlignment="1">
      <alignment horizontal="center"/>
    </xf>
    <xf numFmtId="165" fontId="23" fillId="0" borderId="17" xfId="0" applyNumberFormat="1" applyFont="1" applyFill="1" applyBorder="1" applyAlignment="1">
      <alignment horizontal="center"/>
    </xf>
    <xf numFmtId="0" fontId="0" fillId="0" borderId="0" xfId="0" applyAlignment="1">
      <alignment horizontal="center"/>
    </xf>
    <xf numFmtId="0" fontId="0" fillId="4" borderId="26" xfId="0" applyFill="1" applyBorder="1" applyAlignment="1" applyProtection="1">
      <alignment horizontal="center"/>
      <protection locked="0"/>
    </xf>
    <xf numFmtId="0" fontId="0" fillId="0" borderId="0" xfId="0" applyAlignment="1">
      <alignment horizontal="center"/>
    </xf>
    <xf numFmtId="0" fontId="1" fillId="0" borderId="0" xfId="0" applyFont="1" applyAlignment="1">
      <alignment horizontal="center"/>
    </xf>
    <xf numFmtId="0" fontId="0" fillId="4" borderId="46" xfId="0" applyFill="1" applyBorder="1" applyAlignment="1" applyProtection="1">
      <alignment horizontal="center"/>
      <protection locked="0"/>
    </xf>
    <xf numFmtId="0" fontId="0" fillId="0" borderId="0" xfId="0" applyAlignment="1">
      <alignment horizontal="center"/>
    </xf>
    <xf numFmtId="0" fontId="0" fillId="2" borderId="0" xfId="0" applyFill="1" applyAlignment="1">
      <alignment horizontal="center"/>
    </xf>
    <xf numFmtId="1" fontId="0" fillId="9" borderId="30" xfId="0" applyNumberFormat="1" applyFill="1" applyBorder="1" applyAlignment="1">
      <alignment horizontal="center"/>
    </xf>
    <xf numFmtId="0" fontId="0" fillId="4" borderId="20" xfId="0" applyFill="1" applyBorder="1" applyAlignment="1" applyProtection="1">
      <alignment horizontal="center"/>
      <protection locked="0"/>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xf>
    <xf numFmtId="0" fontId="0" fillId="0" borderId="0" xfId="0" applyAlignment="1">
      <alignment horizontal="center"/>
    </xf>
    <xf numFmtId="0" fontId="2" fillId="0" borderId="0"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2" fillId="0" borderId="0" xfId="0" applyFont="1" applyAlignment="1">
      <alignment horizontal="center"/>
    </xf>
    <xf numFmtId="0" fontId="23" fillId="0" borderId="0" xfId="0" applyFont="1" applyAlignment="1">
      <alignment vertical="center" shrinkToFit="1"/>
    </xf>
    <xf numFmtId="0" fontId="1"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4" borderId="49" xfId="0" applyFill="1" applyBorder="1" applyAlignment="1" applyProtection="1">
      <alignment horizontal="center"/>
      <protection locked="0"/>
    </xf>
    <xf numFmtId="0" fontId="2" fillId="0" borderId="4" xfId="0" applyFont="1" applyFill="1" applyBorder="1" applyAlignment="1">
      <alignment horizontal="center"/>
    </xf>
    <xf numFmtId="0" fontId="2" fillId="0" borderId="5" xfId="0" applyFont="1" applyFill="1" applyBorder="1" applyAlignment="1">
      <alignment horizontal="center"/>
    </xf>
    <xf numFmtId="165" fontId="0" fillId="4" borderId="28" xfId="0" applyNumberFormat="1" applyFill="1" applyBorder="1" applyAlignment="1" applyProtection="1">
      <alignment horizontal="center"/>
      <protection locked="0"/>
    </xf>
    <xf numFmtId="0" fontId="0" fillId="6" borderId="0" xfId="0" applyFill="1"/>
    <xf numFmtId="0" fontId="0" fillId="6" borderId="0" xfId="0" applyFill="1" applyBorder="1"/>
    <xf numFmtId="0" fontId="0" fillId="0" borderId="0" xfId="0"/>
    <xf numFmtId="0" fontId="0" fillId="4" borderId="41" xfId="0" applyFill="1" applyBorder="1" applyAlignment="1" applyProtection="1">
      <alignment horizontal="center"/>
      <protection locked="0"/>
    </xf>
    <xf numFmtId="0" fontId="0" fillId="4" borderId="19" xfId="0" applyFill="1" applyBorder="1" applyAlignment="1" applyProtection="1">
      <alignment horizontal="center"/>
      <protection locked="0"/>
    </xf>
    <xf numFmtId="0" fontId="0" fillId="4" borderId="17" xfId="0" applyFill="1" applyBorder="1" applyAlignment="1" applyProtection="1">
      <alignment horizontal="center"/>
      <protection locked="0"/>
    </xf>
    <xf numFmtId="0" fontId="0" fillId="4" borderId="39" xfId="0" applyFill="1" applyBorder="1" applyAlignment="1" applyProtection="1">
      <alignment horizontal="center"/>
      <protection locked="0"/>
    </xf>
    <xf numFmtId="0" fontId="0" fillId="4" borderId="37" xfId="0" applyFill="1" applyBorder="1" applyAlignment="1" applyProtection="1">
      <alignment horizontal="center"/>
      <protection locked="0"/>
    </xf>
    <xf numFmtId="0" fontId="0" fillId="4" borderId="38" xfId="0" applyFill="1" applyBorder="1" applyAlignment="1" applyProtection="1">
      <alignment horizontal="center"/>
      <protection locked="0"/>
    </xf>
    <xf numFmtId="0" fontId="0" fillId="4" borderId="35" xfId="0" applyFill="1" applyBorder="1" applyAlignment="1" applyProtection="1">
      <alignment horizontal="center"/>
      <protection locked="0"/>
    </xf>
    <xf numFmtId="0" fontId="0" fillId="4" borderId="43" xfId="0" applyFill="1" applyBorder="1" applyAlignment="1" applyProtection="1">
      <alignment horizontal="center"/>
      <protection locked="0"/>
    </xf>
    <xf numFmtId="0" fontId="0" fillId="4" borderId="36" xfId="0" applyFill="1" applyBorder="1" applyAlignment="1" applyProtection="1">
      <alignment horizontal="center"/>
      <protection locked="0"/>
    </xf>
    <xf numFmtId="0" fontId="0" fillId="4" borderId="30" xfId="0" applyFill="1" applyBorder="1" applyAlignment="1" applyProtection="1">
      <alignment horizontal="center"/>
      <protection locked="0"/>
    </xf>
    <xf numFmtId="0" fontId="0" fillId="4" borderId="28" xfId="0" applyFill="1" applyBorder="1" applyAlignment="1" applyProtection="1">
      <alignment horizontal="center"/>
      <protection locked="0"/>
    </xf>
    <xf numFmtId="0" fontId="0" fillId="4" borderId="34" xfId="0" applyFill="1" applyBorder="1" applyAlignment="1" applyProtection="1">
      <alignment horizontal="center"/>
      <protection locked="0"/>
    </xf>
    <xf numFmtId="0" fontId="1" fillId="0" borderId="0" xfId="0" applyFont="1" applyBorder="1" applyAlignment="1">
      <alignment horizontal="center"/>
    </xf>
    <xf numFmtId="0" fontId="1" fillId="0" borderId="5" xfId="0" applyFont="1" applyBorder="1" applyAlignment="1">
      <alignment horizontal="center"/>
    </xf>
    <xf numFmtId="0" fontId="1" fillId="0" borderId="0" xfId="0" applyFont="1" applyBorder="1" applyAlignment="1">
      <alignment horizontal="left"/>
    </xf>
    <xf numFmtId="0" fontId="0" fillId="0" borderId="0" xfId="0" applyBorder="1" applyAlignment="1">
      <alignment horizontal="center"/>
    </xf>
    <xf numFmtId="0" fontId="0" fillId="0" borderId="0" xfId="0" applyFont="1" applyBorder="1" applyAlignment="1">
      <alignment horizontal="left"/>
    </xf>
    <xf numFmtId="0" fontId="0" fillId="6" borderId="0" xfId="0" applyFill="1" applyAlignment="1">
      <alignment horizontal="center"/>
    </xf>
    <xf numFmtId="0" fontId="1" fillId="0" borderId="4" xfId="0" applyFont="1" applyBorder="1" applyAlignment="1">
      <alignment horizontal="center"/>
    </xf>
    <xf numFmtId="0" fontId="0" fillId="6" borderId="0" xfId="0" applyFill="1" applyAlignment="1">
      <alignment horizontal="left"/>
    </xf>
    <xf numFmtId="0" fontId="0" fillId="0" borderId="0" xfId="0" applyBorder="1" applyAlignment="1">
      <alignment horizontal="left"/>
    </xf>
    <xf numFmtId="0" fontId="0" fillId="5" borderId="43" xfId="0" applyFill="1" applyBorder="1" applyAlignment="1" applyProtection="1">
      <alignment horizontal="center"/>
      <protection locked="0"/>
    </xf>
    <xf numFmtId="0" fontId="0" fillId="5" borderId="46" xfId="0" applyFill="1" applyBorder="1" applyAlignment="1" applyProtection="1">
      <alignment horizontal="center"/>
      <protection locked="0"/>
    </xf>
    <xf numFmtId="0" fontId="0" fillId="5" borderId="35" xfId="0" applyFill="1" applyBorder="1" applyAlignment="1" applyProtection="1">
      <alignment horizontal="center"/>
      <protection locked="0"/>
    </xf>
    <xf numFmtId="0" fontId="0" fillId="6" borderId="4" xfId="0" applyFill="1" applyBorder="1"/>
    <xf numFmtId="0" fontId="0" fillId="6" borderId="4" xfId="0" applyFill="1" applyBorder="1" applyAlignment="1">
      <alignment horizontal="right"/>
    </xf>
    <xf numFmtId="0" fontId="0" fillId="6" borderId="6" xfId="0" applyFill="1" applyBorder="1" applyAlignment="1">
      <alignment horizontal="right"/>
    </xf>
    <xf numFmtId="0" fontId="0" fillId="6" borderId="7" xfId="0" applyFill="1" applyBorder="1"/>
    <xf numFmtId="0" fontId="0" fillId="6" borderId="8" xfId="0" applyFill="1" applyBorder="1"/>
    <xf numFmtId="0" fontId="0" fillId="0" borderId="5" xfId="0" applyFont="1" applyBorder="1"/>
    <xf numFmtId="0" fontId="0" fillId="6" borderId="0" xfId="0" applyFill="1" applyBorder="1" applyAlignment="1">
      <alignment horizontal="left"/>
    </xf>
    <xf numFmtId="0" fontId="11" fillId="2" borderId="0" xfId="0" applyFont="1" applyFill="1" applyBorder="1"/>
    <xf numFmtId="9" fontId="0" fillId="6" borderId="0" xfId="1" applyFont="1" applyFill="1"/>
    <xf numFmtId="0" fontId="35" fillId="4" borderId="42" xfId="0" applyFont="1" applyFill="1" applyBorder="1" applyAlignment="1" applyProtection="1">
      <alignment horizontal="center"/>
      <protection locked="0"/>
    </xf>
    <xf numFmtId="0" fontId="0" fillId="4" borderId="28" xfId="0" applyFill="1" applyBorder="1" applyAlignment="1" applyProtection="1">
      <alignment horizontal="center" shrinkToFit="1"/>
      <protection locked="0"/>
    </xf>
    <xf numFmtId="0" fontId="0" fillId="4" borderId="30" xfId="0" applyFill="1" applyBorder="1" applyAlignment="1" applyProtection="1">
      <alignment horizontal="center" shrinkToFit="1"/>
      <protection locked="0"/>
    </xf>
    <xf numFmtId="165" fontId="0" fillId="4" borderId="34" xfId="0" applyNumberFormat="1" applyFill="1" applyBorder="1" applyAlignment="1" applyProtection="1">
      <alignment horizontal="center" shrinkToFit="1"/>
      <protection locked="0"/>
    </xf>
    <xf numFmtId="164" fontId="0" fillId="6" borderId="7" xfId="0" applyNumberFormat="1" applyFill="1" applyBorder="1" applyAlignment="1">
      <alignment horizontal="center"/>
    </xf>
    <xf numFmtId="0" fontId="0" fillId="6" borderId="7" xfId="0" applyFill="1" applyBorder="1" applyAlignment="1">
      <alignment horizontal="right"/>
    </xf>
    <xf numFmtId="0" fontId="0" fillId="0" borderId="0" xfId="0" applyAlignment="1">
      <alignment horizontal="center"/>
    </xf>
    <xf numFmtId="0" fontId="1" fillId="0" borderId="0" xfId="0" applyFont="1" applyAlignment="1">
      <alignment horizontal="left"/>
    </xf>
    <xf numFmtId="0" fontId="0" fillId="6" borderId="0" xfId="0" applyFill="1" applyAlignment="1">
      <alignment vertical="center"/>
    </xf>
    <xf numFmtId="0" fontId="0" fillId="4" borderId="0" xfId="0" applyFill="1" applyAlignment="1" applyProtection="1">
      <alignment horizontal="center"/>
      <protection locked="0"/>
    </xf>
    <xf numFmtId="0" fontId="0" fillId="0" borderId="0" xfId="0" applyAlignment="1">
      <alignment horizontal="center"/>
    </xf>
    <xf numFmtId="0" fontId="0" fillId="0" borderId="0" xfId="0" applyBorder="1" applyAlignment="1"/>
    <xf numFmtId="0" fontId="0" fillId="2" borderId="0" xfId="0" applyFill="1" applyAlignment="1">
      <alignment horizontal="center"/>
    </xf>
    <xf numFmtId="2" fontId="0" fillId="6" borderId="0" xfId="0" applyNumberFormat="1" applyFill="1" applyAlignment="1">
      <alignment horizontal="right"/>
    </xf>
    <xf numFmtId="0" fontId="0" fillId="4" borderId="27" xfId="0" applyFont="1" applyFill="1" applyBorder="1" applyAlignment="1" applyProtection="1">
      <alignment horizontal="center"/>
      <protection locked="0"/>
    </xf>
    <xf numFmtId="0" fontId="0" fillId="6" borderId="1" xfId="0" applyFill="1" applyBorder="1" applyAlignment="1">
      <alignment horizontal="right"/>
    </xf>
    <xf numFmtId="0" fontId="1" fillId="0" borderId="0" xfId="0" applyFont="1" applyAlignment="1">
      <alignment horizontal="center" vertical="center"/>
    </xf>
    <xf numFmtId="0" fontId="1" fillId="6" borderId="0" xfId="0" applyFont="1" applyFill="1" applyAlignment="1">
      <alignment horizontal="center" vertical="center"/>
    </xf>
    <xf numFmtId="0" fontId="0" fillId="6" borderId="0" xfId="0" applyFill="1" applyAlignment="1">
      <alignment horizontal="center" vertical="center"/>
    </xf>
    <xf numFmtId="2" fontId="0" fillId="6" borderId="0" xfId="0" applyNumberFormat="1" applyFill="1" applyAlignment="1">
      <alignment horizontal="center" vertical="center"/>
    </xf>
    <xf numFmtId="0" fontId="0" fillId="6" borderId="0" xfId="0" applyFill="1" applyBorder="1" applyAlignment="1">
      <alignment vertical="center"/>
    </xf>
    <xf numFmtId="0" fontId="0" fillId="0" borderId="0" xfId="0" applyAlignment="1">
      <alignment vertical="center"/>
    </xf>
    <xf numFmtId="0" fontId="15" fillId="0" borderId="0" xfId="0" applyFont="1" applyAlignment="1">
      <alignment horizontal="right" vertical="center"/>
    </xf>
    <xf numFmtId="0" fontId="39" fillId="0" borderId="0" xfId="3" applyFont="1" applyProtection="1"/>
    <xf numFmtId="0" fontId="40" fillId="0" borderId="0" xfId="3" applyFont="1" applyAlignment="1" applyProtection="1">
      <alignment horizontal="center"/>
    </xf>
    <xf numFmtId="0" fontId="39" fillId="0" borderId="0" xfId="3" applyFont="1" applyAlignment="1" applyProtection="1">
      <alignment horizontal="center" vertical="center"/>
    </xf>
    <xf numFmtId="0" fontId="39" fillId="0" borderId="0" xfId="3" applyNumberFormat="1" applyFont="1" applyAlignment="1" applyProtection="1">
      <alignment horizontal="center" vertical="center"/>
    </xf>
    <xf numFmtId="0" fontId="40" fillId="0" borderId="0" xfId="3" applyFont="1" applyAlignment="1" applyProtection="1">
      <alignment horizontal="left"/>
    </xf>
    <xf numFmtId="1" fontId="41" fillId="0" borderId="0" xfId="3" applyNumberFormat="1" applyFont="1" applyFill="1" applyAlignment="1" applyProtection="1">
      <alignment horizontal="left" vertical="center"/>
    </xf>
    <xf numFmtId="0" fontId="39" fillId="0" borderId="0" xfId="3" applyFont="1" applyAlignment="1" applyProtection="1">
      <alignment vertical="top"/>
    </xf>
    <xf numFmtId="0" fontId="40" fillId="0" borderId="0" xfId="3" applyFont="1" applyProtection="1"/>
    <xf numFmtId="0" fontId="39" fillId="0" borderId="0" xfId="3" applyFont="1" applyBorder="1" applyProtection="1"/>
    <xf numFmtId="49" fontId="39" fillId="0" borderId="0" xfId="3" applyNumberFormat="1" applyFont="1" applyBorder="1" applyAlignment="1" applyProtection="1">
      <alignment horizontal="center" vertical="center" shrinkToFit="1"/>
    </xf>
    <xf numFmtId="1" fontId="39" fillId="0" borderId="0" xfId="3" applyNumberFormat="1" applyFont="1" applyBorder="1" applyAlignment="1" applyProtection="1">
      <alignment horizontal="center" vertical="center" shrinkToFit="1"/>
    </xf>
    <xf numFmtId="0" fontId="39" fillId="0" borderId="0" xfId="3" applyFont="1" applyBorder="1" applyAlignment="1" applyProtection="1"/>
    <xf numFmtId="0" fontId="40" fillId="0" borderId="0" xfId="3" applyFont="1" applyBorder="1" applyProtection="1"/>
    <xf numFmtId="0" fontId="40" fillId="0" borderId="0" xfId="3" applyFont="1" applyBorder="1" applyAlignment="1" applyProtection="1">
      <alignment horizontal="center" vertical="top" wrapText="1"/>
    </xf>
    <xf numFmtId="0" fontId="40" fillId="0" borderId="0" xfId="3" applyFont="1" applyBorder="1" applyAlignment="1" applyProtection="1">
      <alignment horizontal="justify" vertical="top" wrapText="1"/>
    </xf>
    <xf numFmtId="0" fontId="40" fillId="0" borderId="0" xfId="3" applyFont="1" applyBorder="1" applyAlignment="1" applyProtection="1">
      <alignment horizontal="center"/>
    </xf>
    <xf numFmtId="0" fontId="40" fillId="0" borderId="0" xfId="3" applyFont="1" applyBorder="1" applyAlignment="1" applyProtection="1">
      <alignment horizontal="left"/>
    </xf>
    <xf numFmtId="0" fontId="40" fillId="0" borderId="0" xfId="3" applyFont="1" applyBorder="1" applyAlignment="1" applyProtection="1">
      <alignment horizontal="justify"/>
    </xf>
    <xf numFmtId="0" fontId="42" fillId="0" borderId="0" xfId="3" applyFont="1" applyBorder="1" applyAlignment="1" applyProtection="1">
      <alignment horizontal="justify"/>
    </xf>
    <xf numFmtId="14" fontId="15" fillId="0" borderId="0" xfId="0" applyNumberFormat="1" applyFont="1" applyAlignment="1">
      <alignment horizontal="center" vertical="center"/>
    </xf>
    <xf numFmtId="0" fontId="39" fillId="0" borderId="0" xfId="3" applyFont="1" applyAlignment="1" applyProtection="1">
      <alignment vertical="top" wrapText="1"/>
    </xf>
    <xf numFmtId="0" fontId="39" fillId="0" borderId="17" xfId="3" applyFont="1" applyBorder="1" applyAlignment="1" applyProtection="1">
      <alignment horizontal="center" shrinkToFit="1"/>
    </xf>
    <xf numFmtId="14" fontId="15" fillId="0" borderId="0" xfId="0" applyNumberFormat="1" applyFont="1" applyAlignment="1">
      <alignment horizontal="center" vertical="center" shrinkToFit="1"/>
    </xf>
    <xf numFmtId="0" fontId="39" fillId="0" borderId="0" xfId="3" applyFont="1" applyAlignment="1" applyProtection="1">
      <alignment horizontal="left"/>
    </xf>
    <xf numFmtId="0" fontId="15" fillId="0" borderId="0" xfId="0" applyFont="1" applyFill="1" applyAlignment="1">
      <alignment horizontal="left" vertical="center"/>
    </xf>
    <xf numFmtId="0" fontId="39" fillId="0" borderId="0" xfId="3" applyFont="1" applyBorder="1" applyAlignment="1" applyProtection="1">
      <alignment horizontal="justify" vertical="top" wrapText="1"/>
    </xf>
    <xf numFmtId="0" fontId="39" fillId="0" borderId="0" xfId="3" applyFont="1" applyBorder="1" applyAlignment="1" applyProtection="1">
      <alignment horizontal="center" vertical="center"/>
    </xf>
    <xf numFmtId="0" fontId="39" fillId="0" borderId="0" xfId="3" applyFont="1" applyBorder="1" applyAlignment="1" applyProtection="1">
      <alignment horizontal="center" shrinkToFit="1"/>
    </xf>
    <xf numFmtId="0" fontId="43" fillId="0" borderId="0" xfId="3" applyFont="1" applyBorder="1" applyAlignment="1" applyProtection="1">
      <alignment horizontal="left" vertical="top"/>
    </xf>
    <xf numFmtId="0" fontId="33" fillId="11" borderId="42" xfId="3" applyNumberFormat="1" applyFont="1" applyFill="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Border="1" applyAlignment="1">
      <alignment horizontal="center" vertical="center" wrapText="1"/>
    </xf>
    <xf numFmtId="0" fontId="0" fillId="0" borderId="0" xfId="0" applyFill="1" applyAlignment="1" applyProtection="1">
      <alignment horizontal="center"/>
      <protection locked="0"/>
    </xf>
    <xf numFmtId="0" fontId="0" fillId="0" borderId="17" xfId="0" applyBorder="1"/>
    <xf numFmtId="0" fontId="39" fillId="0" borderId="17" xfId="0" applyFont="1" applyFill="1" applyBorder="1" applyAlignment="1">
      <alignment horizontal="center" vertical="center"/>
    </xf>
    <xf numFmtId="0" fontId="27" fillId="0" borderId="17" xfId="0" applyFont="1" applyFill="1" applyBorder="1" applyAlignment="1">
      <alignment horizontal="center" vertical="center"/>
    </xf>
    <xf numFmtId="2" fontId="39" fillId="11" borderId="0" xfId="0" applyNumberFormat="1" applyFont="1" applyFill="1" applyBorder="1" applyAlignment="1" applyProtection="1">
      <alignment horizontal="center"/>
      <protection locked="0"/>
    </xf>
    <xf numFmtId="165" fontId="39" fillId="11" borderId="0" xfId="0" applyNumberFormat="1" applyFont="1" applyFill="1" applyAlignment="1" applyProtection="1">
      <alignment horizontal="center"/>
      <protection locked="0"/>
    </xf>
    <xf numFmtId="0" fontId="33" fillId="11" borderId="0" xfId="0" applyNumberFormat="1" applyFont="1" applyFill="1" applyBorder="1" applyAlignment="1" applyProtection="1">
      <alignment horizontal="center" vertical="center"/>
      <protection locked="0"/>
    </xf>
    <xf numFmtId="2" fontId="39" fillId="11" borderId="0" xfId="0" applyNumberFormat="1" applyFont="1" applyFill="1" applyAlignment="1" applyProtection="1">
      <alignment horizontal="left"/>
      <protection locked="0"/>
    </xf>
    <xf numFmtId="9" fontId="39" fillId="11" borderId="0" xfId="1" applyFont="1" applyFill="1" applyAlignment="1" applyProtection="1">
      <alignment horizontal="center"/>
      <protection locked="0"/>
    </xf>
    <xf numFmtId="165" fontId="39" fillId="11" borderId="0" xfId="0" applyNumberFormat="1" applyFont="1" applyFill="1" applyAlignment="1" applyProtection="1">
      <alignment horizontal="center" vertical="center"/>
      <protection locked="0"/>
    </xf>
    <xf numFmtId="2" fontId="39" fillId="11" borderId="30" xfId="0" applyNumberFormat="1" applyFont="1" applyFill="1" applyBorder="1" applyAlignment="1" applyProtection="1">
      <alignment horizontal="center"/>
      <protection locked="0"/>
    </xf>
    <xf numFmtId="2" fontId="39" fillId="11" borderId="34" xfId="0" applyNumberFormat="1" applyFont="1" applyFill="1" applyBorder="1" applyAlignment="1" applyProtection="1">
      <alignment horizontal="center"/>
      <protection locked="0"/>
    </xf>
    <xf numFmtId="0" fontId="29" fillId="0" borderId="0" xfId="0" applyFont="1" applyAlignment="1">
      <alignment horizontal="center" vertical="center"/>
    </xf>
    <xf numFmtId="14" fontId="29" fillId="0" borderId="0" xfId="0" applyNumberFormat="1" applyFont="1" applyAlignment="1">
      <alignment horizontal="center" vertical="center"/>
    </xf>
    <xf numFmtId="0" fontId="51" fillId="2" borderId="0" xfId="0" applyFont="1" applyFill="1" applyAlignment="1">
      <alignment horizontal="left" vertical="center"/>
    </xf>
    <xf numFmtId="0" fontId="21" fillId="0" borderId="0" xfId="0" applyFont="1" applyAlignment="1">
      <alignment horizontal="left" vertical="center"/>
    </xf>
    <xf numFmtId="0" fontId="21" fillId="0" borderId="0" xfId="0" applyFont="1" applyAlignment="1">
      <alignment vertical="center"/>
    </xf>
    <xf numFmtId="49" fontId="21" fillId="0" borderId="0" xfId="0" applyNumberFormat="1" applyFont="1" applyAlignment="1">
      <alignment vertical="center"/>
    </xf>
    <xf numFmtId="0" fontId="3" fillId="0" borderId="17" xfId="0" applyFont="1" applyBorder="1" applyAlignment="1">
      <alignment vertical="center"/>
    </xf>
    <xf numFmtId="0" fontId="29" fillId="0" borderId="0" xfId="0" applyFont="1" applyAlignment="1">
      <alignment vertical="top"/>
    </xf>
    <xf numFmtId="0" fontId="23" fillId="0" borderId="0" xfId="0" applyFont="1" applyBorder="1" applyAlignment="1">
      <alignment vertical="center"/>
    </xf>
    <xf numFmtId="165" fontId="22" fillId="0" borderId="17" xfId="0" applyNumberFormat="1" applyFont="1" applyBorder="1" applyAlignment="1">
      <alignment horizontal="center" vertical="center"/>
    </xf>
    <xf numFmtId="0" fontId="23" fillId="0" borderId="0" xfId="0" applyFont="1" applyBorder="1" applyAlignment="1">
      <alignment horizontal="center" vertical="center"/>
    </xf>
    <xf numFmtId="0" fontId="0" fillId="5" borderId="44" xfId="0" applyFill="1" applyBorder="1" applyAlignment="1" applyProtection="1">
      <alignment horizontal="center"/>
      <protection locked="0"/>
    </xf>
    <xf numFmtId="165" fontId="23" fillId="0" borderId="17" xfId="0" applyNumberFormat="1" applyFont="1" applyBorder="1" applyAlignment="1">
      <alignment horizontal="center" vertical="center" wrapText="1"/>
    </xf>
    <xf numFmtId="0" fontId="0" fillId="5" borderId="0" xfId="0" applyFill="1" applyAlignment="1" applyProtection="1">
      <alignment horizontal="center"/>
      <protection locked="0"/>
    </xf>
    <xf numFmtId="0" fontId="0" fillId="0" borderId="0" xfId="0" applyProtection="1"/>
    <xf numFmtId="0" fontId="0" fillId="0" borderId="0" xfId="0" applyAlignment="1" applyProtection="1">
      <alignment horizontal="right"/>
    </xf>
    <xf numFmtId="0" fontId="0" fillId="0" borderId="12" xfId="0" applyBorder="1" applyProtection="1"/>
    <xf numFmtId="0" fontId="0" fillId="0" borderId="13" xfId="0" applyBorder="1" applyAlignment="1" applyProtection="1">
      <alignment horizontal="center"/>
    </xf>
    <xf numFmtId="0" fontId="0" fillId="0" borderId="14" xfId="0" applyBorder="1" applyProtection="1"/>
    <xf numFmtId="0" fontId="0" fillId="0" borderId="16" xfId="0" applyBorder="1" applyAlignment="1" applyProtection="1">
      <alignment horizontal="center"/>
    </xf>
    <xf numFmtId="0" fontId="0" fillId="0" borderId="0" xfId="0" applyAlignment="1" applyProtection="1">
      <alignment horizontal="center"/>
    </xf>
    <xf numFmtId="0" fontId="1" fillId="0" borderId="0" xfId="0" applyFont="1" applyAlignment="1" applyProtection="1">
      <alignment horizontal="center"/>
    </xf>
    <xf numFmtId="0" fontId="0" fillId="0" borderId="0" xfId="0" applyAlignment="1" applyProtection="1">
      <alignment vertical="center"/>
    </xf>
    <xf numFmtId="165" fontId="5" fillId="0" borderId="0" xfId="0" applyNumberFormat="1" applyFont="1" applyAlignment="1" applyProtection="1">
      <alignment horizontal="center"/>
    </xf>
    <xf numFmtId="165" fontId="0" fillId="0" borderId="0" xfId="0" applyNumberFormat="1" applyProtection="1"/>
    <xf numFmtId="0" fontId="1" fillId="0" borderId="0" xfId="0" applyFont="1" applyAlignment="1" applyProtection="1">
      <alignment horizontal="right"/>
    </xf>
    <xf numFmtId="165" fontId="1" fillId="0" borderId="0" xfId="0" applyNumberFormat="1" applyFont="1" applyAlignment="1" applyProtection="1">
      <alignment horizontal="center"/>
    </xf>
    <xf numFmtId="0" fontId="1" fillId="6" borderId="0" xfId="0" applyFont="1" applyFill="1" applyProtection="1"/>
    <xf numFmtId="0" fontId="0" fillId="6" borderId="0" xfId="0" applyFill="1" applyProtection="1"/>
    <xf numFmtId="2" fontId="0" fillId="6" borderId="0" xfId="0" applyNumberFormat="1" applyFill="1" applyAlignment="1" applyProtection="1">
      <alignment horizontal="center"/>
    </xf>
    <xf numFmtId="0" fontId="0" fillId="6" borderId="0" xfId="0" applyFill="1" applyAlignment="1" applyProtection="1">
      <alignment horizontal="center"/>
    </xf>
    <xf numFmtId="0" fontId="1" fillId="0" borderId="2" xfId="0" applyFont="1" applyBorder="1" applyAlignment="1" applyProtection="1">
      <alignment horizontal="center"/>
    </xf>
    <xf numFmtId="0" fontId="0" fillId="0" borderId="3" xfId="0" applyBorder="1" applyProtection="1"/>
    <xf numFmtId="0" fontId="1" fillId="0" borderId="7" xfId="0" applyFont="1" applyBorder="1" applyAlignment="1" applyProtection="1">
      <alignment horizontal="center"/>
    </xf>
    <xf numFmtId="0" fontId="1" fillId="0" borderId="7" xfId="0" applyFont="1" applyBorder="1" applyProtection="1"/>
    <xf numFmtId="0" fontId="0" fillId="0" borderId="7" xfId="0" applyBorder="1" applyProtection="1"/>
    <xf numFmtId="0" fontId="0" fillId="0" borderId="8" xfId="0" applyBorder="1" applyProtection="1"/>
    <xf numFmtId="164" fontId="0" fillId="0" borderId="2" xfId="0" applyNumberFormat="1" applyBorder="1" applyAlignment="1" applyProtection="1">
      <alignment horizontal="center"/>
    </xf>
    <xf numFmtId="0" fontId="0" fillId="0" borderId="3" xfId="0" applyBorder="1" applyAlignment="1" applyProtection="1">
      <alignment horizontal="center"/>
    </xf>
    <xf numFmtId="0" fontId="0" fillId="0" borderId="2" xfId="0" applyBorder="1" applyAlignment="1" applyProtection="1">
      <alignment horizontal="center"/>
    </xf>
    <xf numFmtId="165" fontId="1" fillId="0" borderId="2" xfId="0" applyNumberFormat="1" applyFont="1" applyBorder="1" applyAlignment="1" applyProtection="1">
      <alignment horizontal="center"/>
    </xf>
    <xf numFmtId="1" fontId="5" fillId="0" borderId="2" xfId="0" applyNumberFormat="1" applyFont="1" applyBorder="1" applyAlignment="1" applyProtection="1">
      <alignment horizontal="center"/>
    </xf>
    <xf numFmtId="165" fontId="0" fillId="0" borderId="3" xfId="0" applyNumberFormat="1" applyBorder="1" applyAlignment="1" applyProtection="1">
      <alignment horizontal="center"/>
    </xf>
    <xf numFmtId="164" fontId="0" fillId="0" borderId="0" xfId="0" applyNumberFormat="1" applyBorder="1" applyAlignment="1" applyProtection="1">
      <alignment horizontal="center"/>
    </xf>
    <xf numFmtId="0" fontId="0" fillId="0" borderId="5" xfId="0" applyBorder="1" applyAlignment="1" applyProtection="1">
      <alignment horizontal="center"/>
    </xf>
    <xf numFmtId="0" fontId="0" fillId="0" borderId="0" xfId="0" applyBorder="1" applyAlignment="1" applyProtection="1">
      <alignment horizontal="center"/>
    </xf>
    <xf numFmtId="165" fontId="1" fillId="0" borderId="0" xfId="0" applyNumberFormat="1" applyFont="1" applyBorder="1" applyAlignment="1" applyProtection="1">
      <alignment horizontal="center"/>
    </xf>
    <xf numFmtId="1" fontId="5" fillId="0" borderId="0" xfId="0" applyNumberFormat="1" applyFont="1" applyBorder="1" applyAlignment="1" applyProtection="1">
      <alignment horizontal="center"/>
    </xf>
    <xf numFmtId="165" fontId="0" fillId="0" borderId="5" xfId="0" applyNumberFormat="1" applyBorder="1" applyAlignment="1" applyProtection="1">
      <alignment horizontal="center"/>
    </xf>
    <xf numFmtId="165" fontId="5" fillId="0" borderId="0" xfId="0" applyNumberFormat="1" applyFont="1" applyBorder="1" applyAlignment="1" applyProtection="1">
      <alignment horizontal="center"/>
    </xf>
    <xf numFmtId="164" fontId="0" fillId="0" borderId="7" xfId="0" applyNumberFormat="1" applyBorder="1" applyAlignment="1" applyProtection="1">
      <alignment horizontal="center"/>
    </xf>
    <xf numFmtId="0" fontId="0" fillId="0" borderId="8" xfId="0" applyBorder="1" applyAlignment="1" applyProtection="1">
      <alignment horizontal="center"/>
    </xf>
    <xf numFmtId="0" fontId="0" fillId="0" borderId="7" xfId="0" applyBorder="1" applyAlignment="1" applyProtection="1">
      <alignment horizontal="center"/>
    </xf>
    <xf numFmtId="165" fontId="1" fillId="0" borderId="7" xfId="0" applyNumberFormat="1" applyFont="1" applyBorder="1" applyAlignment="1" applyProtection="1">
      <alignment horizontal="center"/>
    </xf>
    <xf numFmtId="165" fontId="5" fillId="0" borderId="7" xfId="0" applyNumberFormat="1" applyFont="1" applyBorder="1" applyAlignment="1" applyProtection="1">
      <alignment horizontal="center"/>
    </xf>
    <xf numFmtId="165" fontId="0" fillId="0" borderId="8" xfId="0" applyNumberFormat="1" applyBorder="1" applyAlignment="1" applyProtection="1">
      <alignment horizontal="center"/>
    </xf>
    <xf numFmtId="0" fontId="1" fillId="0" borderId="0" xfId="0" applyFont="1" applyProtection="1"/>
    <xf numFmtId="165" fontId="0" fillId="0" borderId="0" xfId="0" applyNumberFormat="1" applyAlignment="1" applyProtection="1">
      <alignment horizontal="center"/>
    </xf>
    <xf numFmtId="0" fontId="1" fillId="2" borderId="17" xfId="0" applyFont="1" applyFill="1" applyBorder="1" applyAlignment="1" applyProtection="1">
      <alignment horizontal="center"/>
    </xf>
    <xf numFmtId="165" fontId="1" fillId="0" borderId="17" xfId="0" applyNumberFormat="1" applyFont="1" applyBorder="1" applyAlignment="1" applyProtection="1">
      <alignment horizontal="center"/>
    </xf>
    <xf numFmtId="2" fontId="0" fillId="0" borderId="0" xfId="0" applyNumberFormat="1" applyAlignment="1" applyProtection="1">
      <alignment horizontal="left"/>
    </xf>
    <xf numFmtId="0" fontId="2" fillId="3" borderId="0" xfId="0" applyFont="1" applyFill="1" applyAlignment="1" applyProtection="1"/>
    <xf numFmtId="0" fontId="1" fillId="0" borderId="0" xfId="0" applyFont="1" applyFill="1" applyAlignment="1" applyProtection="1"/>
    <xf numFmtId="0" fontId="1" fillId="0" borderId="0" xfId="0" applyFont="1" applyFill="1" applyAlignment="1" applyProtection="1">
      <alignment horizontal="center"/>
    </xf>
    <xf numFmtId="0" fontId="1" fillId="0" borderId="0" xfId="0" applyFont="1" applyAlignment="1" applyProtection="1">
      <alignment horizontal="right" vertical="center"/>
    </xf>
    <xf numFmtId="0" fontId="0" fillId="0" borderId="17" xfId="0" applyFont="1" applyFill="1" applyBorder="1" applyAlignment="1" applyProtection="1">
      <alignment horizontal="center"/>
    </xf>
    <xf numFmtId="0" fontId="0" fillId="0" borderId="0" xfId="0" applyFont="1" applyProtection="1"/>
    <xf numFmtId="0" fontId="1" fillId="0" borderId="17" xfId="0" applyFont="1" applyFill="1" applyBorder="1" applyAlignment="1" applyProtection="1">
      <alignment horizontal="center" vertical="center"/>
    </xf>
    <xf numFmtId="0" fontId="1" fillId="0" borderId="17" xfId="0" applyFont="1" applyBorder="1" applyAlignment="1" applyProtection="1">
      <alignment horizontal="center" vertical="center"/>
    </xf>
    <xf numFmtId="0" fontId="0" fillId="0" borderId="17" xfId="0" applyFont="1" applyBorder="1" applyAlignment="1" applyProtection="1">
      <alignment horizontal="center" vertical="center"/>
    </xf>
    <xf numFmtId="0" fontId="0" fillId="2" borderId="17" xfId="0" applyFill="1" applyBorder="1" applyAlignment="1" applyProtection="1">
      <alignment horizontal="center" vertical="center"/>
    </xf>
    <xf numFmtId="0" fontId="0" fillId="0" borderId="17" xfId="0" applyBorder="1" applyAlignment="1" applyProtection="1">
      <alignment horizontal="center" vertical="center"/>
    </xf>
    <xf numFmtId="165" fontId="5" fillId="0" borderId="17" xfId="0" applyNumberFormat="1" applyFont="1" applyBorder="1" applyAlignment="1" applyProtection="1">
      <alignment horizontal="center" vertical="center"/>
    </xf>
    <xf numFmtId="165" fontId="0" fillId="0" borderId="17" xfId="0" applyNumberFormat="1" applyFont="1" applyBorder="1" applyAlignment="1" applyProtection="1">
      <alignment horizontal="center" vertical="center"/>
    </xf>
    <xf numFmtId="0" fontId="0" fillId="0" borderId="0" xfId="0" applyFill="1" applyProtection="1"/>
    <xf numFmtId="0" fontId="54" fillId="0" borderId="0" xfId="0" applyFont="1" applyFill="1" applyAlignment="1" applyProtection="1">
      <alignment horizontal="center" vertical="center"/>
    </xf>
    <xf numFmtId="0" fontId="4" fillId="0" borderId="22" xfId="0" applyFont="1" applyFill="1" applyBorder="1" applyAlignment="1" applyProtection="1">
      <alignment vertical="center" wrapText="1"/>
    </xf>
    <xf numFmtId="0" fontId="4" fillId="0" borderId="17" xfId="0" applyFont="1" applyFill="1" applyBorder="1" applyAlignment="1" applyProtection="1">
      <alignment vertical="center" wrapText="1"/>
    </xf>
    <xf numFmtId="0" fontId="4" fillId="0" borderId="20" xfId="0" applyFont="1" applyFill="1" applyBorder="1" applyAlignment="1" applyProtection="1">
      <alignment vertical="center" wrapText="1"/>
    </xf>
    <xf numFmtId="0" fontId="53" fillId="0" borderId="19" xfId="0" applyFont="1" applyFill="1" applyBorder="1" applyAlignment="1" applyProtection="1">
      <alignment horizontal="center" vertical="center"/>
    </xf>
    <xf numFmtId="0" fontId="53" fillId="0" borderId="14" xfId="0" applyFont="1" applyFill="1" applyBorder="1" applyAlignment="1" applyProtection="1">
      <alignment horizontal="center" vertical="center"/>
    </xf>
    <xf numFmtId="0" fontId="0" fillId="0" borderId="22" xfId="0" applyFill="1" applyBorder="1" applyAlignment="1" applyProtection="1">
      <alignment horizontal="center" vertical="center"/>
    </xf>
    <xf numFmtId="0" fontId="0" fillId="0" borderId="17" xfId="0" applyFill="1" applyBorder="1" applyAlignment="1" applyProtection="1">
      <alignment horizontal="center" vertical="center"/>
    </xf>
    <xf numFmtId="0" fontId="0" fillId="0" borderId="20" xfId="0" applyFill="1" applyBorder="1" applyAlignment="1" applyProtection="1">
      <alignment horizontal="center" vertical="center"/>
    </xf>
    <xf numFmtId="0" fontId="0" fillId="0" borderId="11" xfId="0" applyFill="1" applyBorder="1" applyAlignment="1" applyProtection="1">
      <alignment horizontal="center" vertical="center"/>
    </xf>
    <xf numFmtId="0" fontId="0" fillId="0" borderId="18" xfId="0" applyFill="1" applyBorder="1" applyAlignment="1" applyProtection="1">
      <alignment horizontal="center" vertical="center"/>
    </xf>
    <xf numFmtId="0" fontId="0" fillId="0" borderId="9" xfId="0" applyFill="1" applyBorder="1" applyAlignment="1" applyProtection="1">
      <alignment horizontal="center" vertical="center"/>
    </xf>
    <xf numFmtId="0" fontId="0" fillId="0" borderId="0" xfId="0" applyFill="1" applyAlignment="1" applyProtection="1"/>
    <xf numFmtId="0" fontId="1" fillId="0" borderId="17" xfId="0" applyFont="1" applyFill="1" applyBorder="1" applyAlignment="1" applyProtection="1">
      <alignment horizontal="center" vertical="center" wrapText="1"/>
    </xf>
    <xf numFmtId="0" fontId="4" fillId="0" borderId="16" xfId="0" applyFont="1" applyFill="1" applyBorder="1" applyAlignment="1" applyProtection="1">
      <alignment horizontal="center" vertical="center" wrapText="1"/>
    </xf>
    <xf numFmtId="0" fontId="4" fillId="0" borderId="19" xfId="0" applyFont="1" applyFill="1" applyBorder="1" applyAlignment="1" applyProtection="1">
      <alignment horizontal="center" vertical="center" wrapText="1"/>
    </xf>
    <xf numFmtId="0" fontId="4" fillId="0" borderId="14" xfId="0" applyFont="1" applyFill="1" applyBorder="1" applyAlignment="1" applyProtection="1">
      <alignment horizontal="center" vertical="center" wrapText="1"/>
    </xf>
    <xf numFmtId="0" fontId="0" fillId="0" borderId="17" xfId="0" applyFill="1" applyBorder="1" applyAlignment="1" applyProtection="1">
      <alignment horizontal="center"/>
    </xf>
    <xf numFmtId="2" fontId="0" fillId="0" borderId="17" xfId="0" applyNumberFormat="1" applyFill="1" applyBorder="1" applyAlignment="1" applyProtection="1">
      <alignment horizontal="center"/>
    </xf>
    <xf numFmtId="0" fontId="0" fillId="0" borderId="12" xfId="0" applyFill="1" applyBorder="1" applyProtection="1"/>
    <xf numFmtId="0" fontId="0" fillId="0" borderId="13" xfId="0" applyFill="1" applyBorder="1" applyAlignment="1" applyProtection="1">
      <alignment horizontal="center"/>
    </xf>
    <xf numFmtId="168" fontId="0" fillId="0" borderId="20" xfId="0" applyNumberFormat="1" applyFill="1" applyBorder="1" applyAlignment="1" applyProtection="1">
      <alignment horizontal="center" vertical="center"/>
    </xf>
    <xf numFmtId="3" fontId="0" fillId="0" borderId="17" xfId="0" applyNumberFormat="1" applyFill="1" applyBorder="1" applyAlignment="1" applyProtection="1">
      <alignment horizontal="center" vertical="center"/>
    </xf>
    <xf numFmtId="0" fontId="0" fillId="0" borderId="14" xfId="0" applyFill="1" applyBorder="1" applyProtection="1"/>
    <xf numFmtId="0" fontId="0" fillId="0" borderId="16" xfId="0" applyFill="1" applyBorder="1" applyAlignment="1" applyProtection="1">
      <alignment horizontal="center"/>
    </xf>
    <xf numFmtId="0" fontId="0" fillId="0" borderId="20" xfId="0" applyNumberFormat="1" applyFill="1" applyBorder="1" applyAlignment="1" applyProtection="1">
      <alignment horizontal="center" vertical="center"/>
    </xf>
    <xf numFmtId="0" fontId="0" fillId="0" borderId="0" xfId="0" applyFill="1" applyBorder="1" applyAlignment="1" applyProtection="1">
      <alignment horizontal="center" vertical="center"/>
    </xf>
    <xf numFmtId="3" fontId="0" fillId="0" borderId="0" xfId="0" applyNumberFormat="1" applyFill="1" applyBorder="1" applyAlignment="1" applyProtection="1">
      <alignment horizontal="center" vertical="center"/>
    </xf>
    <xf numFmtId="0" fontId="1" fillId="0" borderId="16" xfId="0" applyFont="1" applyFill="1" applyBorder="1" applyAlignment="1" applyProtection="1">
      <alignment horizontal="center" vertical="center" wrapText="1"/>
    </xf>
    <xf numFmtId="0" fontId="1" fillId="0" borderId="19" xfId="0" applyFont="1" applyFill="1" applyBorder="1" applyAlignment="1" applyProtection="1">
      <alignment horizontal="center" vertical="center" wrapText="1"/>
    </xf>
    <xf numFmtId="0" fontId="1" fillId="0" borderId="14" xfId="0" applyFont="1" applyFill="1" applyBorder="1" applyAlignment="1" applyProtection="1">
      <alignment horizontal="center" vertical="center" wrapText="1"/>
    </xf>
    <xf numFmtId="1" fontId="0" fillId="0" borderId="22" xfId="0" applyNumberFormat="1" applyFill="1" applyBorder="1" applyAlignment="1" applyProtection="1">
      <alignment horizontal="center"/>
    </xf>
    <xf numFmtId="165" fontId="0" fillId="0" borderId="17" xfId="0" applyNumberFormat="1" applyFill="1" applyBorder="1" applyAlignment="1" applyProtection="1">
      <alignment horizontal="center"/>
    </xf>
    <xf numFmtId="0" fontId="0" fillId="0" borderId="20" xfId="0" applyFill="1" applyBorder="1" applyAlignment="1" applyProtection="1">
      <alignment horizontal="center"/>
    </xf>
    <xf numFmtId="3" fontId="0" fillId="0" borderId="20" xfId="0" applyNumberFormat="1" applyFill="1" applyBorder="1" applyAlignment="1" applyProtection="1">
      <alignment horizontal="center" vertical="center"/>
    </xf>
    <xf numFmtId="1" fontId="0" fillId="0" borderId="11" xfId="0" applyNumberFormat="1" applyFill="1" applyBorder="1" applyAlignment="1" applyProtection="1">
      <alignment horizontal="center"/>
    </xf>
    <xf numFmtId="165" fontId="0" fillId="0" borderId="18" xfId="0" applyNumberFormat="1" applyFill="1" applyBorder="1" applyAlignment="1" applyProtection="1">
      <alignment horizontal="center"/>
    </xf>
    <xf numFmtId="0" fontId="0" fillId="0" borderId="18" xfId="0" applyFill="1" applyBorder="1" applyAlignment="1" applyProtection="1">
      <alignment horizontal="center"/>
    </xf>
    <xf numFmtId="0" fontId="0" fillId="0" borderId="9" xfId="0" applyFill="1" applyBorder="1" applyAlignment="1" applyProtection="1">
      <alignment horizontal="center"/>
    </xf>
    <xf numFmtId="3" fontId="0" fillId="0" borderId="9" xfId="0" applyNumberFormat="1" applyFill="1" applyBorder="1" applyAlignment="1" applyProtection="1">
      <alignment horizontal="center" vertical="center"/>
    </xf>
    <xf numFmtId="165" fontId="0" fillId="0" borderId="17" xfId="0" applyNumberFormat="1" applyFill="1" applyBorder="1" applyAlignment="1" applyProtection="1">
      <alignment horizontal="center" vertical="center"/>
    </xf>
    <xf numFmtId="165" fontId="0" fillId="0" borderId="20" xfId="0" applyNumberFormat="1" applyFill="1" applyBorder="1" applyAlignment="1" applyProtection="1">
      <alignment horizontal="center" vertical="center"/>
    </xf>
    <xf numFmtId="165" fontId="0" fillId="0" borderId="18" xfId="0" applyNumberFormat="1" applyFill="1" applyBorder="1" applyAlignment="1" applyProtection="1">
      <alignment horizontal="center" vertical="center"/>
    </xf>
    <xf numFmtId="165" fontId="0" fillId="0" borderId="9" xfId="0" applyNumberFormat="1" applyFill="1" applyBorder="1" applyAlignment="1" applyProtection="1">
      <alignment horizontal="center" vertical="center"/>
    </xf>
    <xf numFmtId="0" fontId="0" fillId="5" borderId="0" xfId="0" applyFont="1" applyFill="1" applyAlignment="1" applyProtection="1">
      <alignment horizontal="center"/>
      <protection locked="0"/>
    </xf>
    <xf numFmtId="0" fontId="1" fillId="5" borderId="0" xfId="0" applyFont="1" applyFill="1" applyAlignment="1" applyProtection="1">
      <alignment horizontal="center"/>
      <protection locked="0"/>
    </xf>
    <xf numFmtId="0" fontId="1" fillId="5" borderId="2" xfId="0" applyFont="1" applyFill="1" applyBorder="1" applyAlignment="1" applyProtection="1">
      <alignment horizontal="center"/>
      <protection locked="0"/>
    </xf>
    <xf numFmtId="0" fontId="0" fillId="5" borderId="17" xfId="0" applyFont="1" applyFill="1" applyBorder="1" applyAlignment="1" applyProtection="1">
      <alignment horizontal="center"/>
      <protection locked="0"/>
    </xf>
    <xf numFmtId="0" fontId="0" fillId="4" borderId="17" xfId="0" applyFill="1" applyBorder="1" applyAlignment="1" applyProtection="1">
      <alignment horizontal="center" vertical="center"/>
      <protection locked="0"/>
    </xf>
    <xf numFmtId="0" fontId="0" fillId="4" borderId="17" xfId="0" applyNumberFormat="1" applyFill="1" applyBorder="1" applyAlignment="1" applyProtection="1">
      <alignment horizontal="center" vertical="center"/>
      <protection locked="0"/>
    </xf>
    <xf numFmtId="0" fontId="0" fillId="4" borderId="17" xfId="0" applyFont="1" applyFill="1" applyBorder="1" applyAlignment="1" applyProtection="1">
      <alignment horizontal="center" vertical="center"/>
      <protection locked="0"/>
    </xf>
    <xf numFmtId="0" fontId="0" fillId="0" borderId="0" xfId="0" applyAlignment="1" applyProtection="1">
      <alignment horizontal="center"/>
    </xf>
    <xf numFmtId="0" fontId="1" fillId="0" borderId="0" xfId="0" applyFont="1" applyAlignment="1" applyProtection="1">
      <alignment horizontal="center"/>
    </xf>
    <xf numFmtId="0" fontId="1" fillId="0" borderId="1" xfId="0" applyFont="1" applyBorder="1" applyAlignment="1" applyProtection="1">
      <alignment horizontal="center"/>
    </xf>
    <xf numFmtId="0" fontId="1" fillId="0" borderId="3" xfId="0" applyFont="1" applyBorder="1" applyAlignment="1" applyProtection="1">
      <alignment horizontal="center"/>
    </xf>
    <xf numFmtId="0" fontId="39" fillId="0" borderId="0" xfId="0" applyFont="1" applyProtection="1"/>
    <xf numFmtId="0" fontId="39" fillId="15" borderId="0" xfId="0" applyFont="1" applyFill="1" applyProtection="1"/>
    <xf numFmtId="0" fontId="0" fillId="15" borderId="0" xfId="0" applyFill="1" applyProtection="1"/>
    <xf numFmtId="0" fontId="39" fillId="0" borderId="0" xfId="0" applyFont="1" applyAlignment="1" applyProtection="1">
      <alignment horizontal="center"/>
    </xf>
    <xf numFmtId="2" fontId="39" fillId="0" borderId="0" xfId="0" applyNumberFormat="1" applyFont="1" applyAlignment="1" applyProtection="1">
      <alignment horizontal="center"/>
    </xf>
    <xf numFmtId="0" fontId="39" fillId="15" borderId="0" xfId="0" applyFont="1" applyFill="1" applyAlignment="1" applyProtection="1">
      <alignment horizontal="center"/>
    </xf>
    <xf numFmtId="0" fontId="39" fillId="0" borderId="0" xfId="0" applyNumberFormat="1" applyFont="1" applyProtection="1"/>
    <xf numFmtId="0" fontId="0" fillId="0" borderId="0" xfId="0" applyNumberFormat="1" applyProtection="1"/>
    <xf numFmtId="0" fontId="39" fillId="0" borderId="0" xfId="0" applyFont="1" applyFill="1" applyAlignment="1" applyProtection="1">
      <alignment horizontal="center"/>
    </xf>
    <xf numFmtId="2" fontId="39" fillId="0" borderId="0" xfId="0" applyNumberFormat="1" applyFont="1" applyFill="1" applyAlignment="1" applyProtection="1">
      <alignment horizontal="center"/>
    </xf>
    <xf numFmtId="0" fontId="0" fillId="0" borderId="0" xfId="0" applyFill="1" applyAlignment="1" applyProtection="1">
      <alignment horizontal="center"/>
    </xf>
    <xf numFmtId="0" fontId="40" fillId="0" borderId="0" xfId="0" applyFont="1" applyFill="1" applyAlignment="1" applyProtection="1">
      <alignment horizontal="left" vertical="center"/>
    </xf>
    <xf numFmtId="165" fontId="0" fillId="0" borderId="0" xfId="0" applyNumberFormat="1" applyFill="1" applyProtection="1"/>
    <xf numFmtId="0" fontId="39" fillId="0" borderId="0" xfId="0" applyFont="1" applyAlignment="1" applyProtection="1">
      <alignment horizontal="center" vertical="center" wrapText="1"/>
    </xf>
    <xf numFmtId="167" fontId="46" fillId="0" borderId="0" xfId="0" applyNumberFormat="1" applyFont="1" applyProtection="1"/>
    <xf numFmtId="0" fontId="0" fillId="0" borderId="0" xfId="0" applyNumberFormat="1" applyAlignment="1" applyProtection="1">
      <alignment horizontal="center"/>
    </xf>
    <xf numFmtId="2" fontId="39" fillId="0" borderId="0" xfId="0" applyNumberFormat="1" applyFont="1" applyFill="1" applyBorder="1" applyAlignment="1" applyProtection="1">
      <alignment horizontal="center"/>
    </xf>
    <xf numFmtId="0" fontId="39" fillId="0" borderId="0" xfId="0" applyFont="1" applyAlignment="1" applyProtection="1">
      <alignment horizontal="right"/>
    </xf>
    <xf numFmtId="2" fontId="39" fillId="0" borderId="0" xfId="0" applyNumberFormat="1" applyFont="1" applyFill="1" applyBorder="1" applyAlignment="1" applyProtection="1">
      <alignment horizontal="right"/>
    </xf>
    <xf numFmtId="0" fontId="39" fillId="0" borderId="0" xfId="0" applyNumberFormat="1" applyFont="1" applyFill="1" applyBorder="1" applyAlignment="1" applyProtection="1">
      <alignment horizontal="center"/>
    </xf>
    <xf numFmtId="2" fontId="39" fillId="0" borderId="0" xfId="0" applyNumberFormat="1" applyFont="1" applyAlignment="1" applyProtection="1">
      <alignment horizontal="left"/>
    </xf>
    <xf numFmtId="0" fontId="39" fillId="0" borderId="0" xfId="0" applyNumberFormat="1" applyFont="1" applyAlignment="1" applyProtection="1">
      <alignment horizontal="center" vertical="center"/>
    </xf>
    <xf numFmtId="0" fontId="39" fillId="12" borderId="0" xfId="0" applyNumberFormat="1" applyFont="1" applyFill="1" applyAlignment="1" applyProtection="1">
      <alignment horizontal="center" vertical="center"/>
    </xf>
    <xf numFmtId="0" fontId="0" fillId="0" borderId="0" xfId="0" applyNumberFormat="1" applyAlignment="1" applyProtection="1">
      <alignment horizontal="center" vertical="center"/>
    </xf>
    <xf numFmtId="2" fontId="39" fillId="0" borderId="0" xfId="0" applyNumberFormat="1" applyFont="1" applyBorder="1" applyAlignment="1" applyProtection="1">
      <alignment horizontal="center"/>
    </xf>
    <xf numFmtId="0" fontId="39" fillId="0" borderId="0" xfId="0" applyFont="1" applyBorder="1" applyProtection="1"/>
    <xf numFmtId="0" fontId="0" fillId="0" borderId="0" xfId="0" applyBorder="1" applyProtection="1"/>
    <xf numFmtId="2" fontId="48" fillId="15" borderId="24" xfId="0" applyNumberFormat="1" applyFont="1" applyFill="1" applyBorder="1" applyAlignment="1" applyProtection="1">
      <alignment horizontal="center"/>
    </xf>
    <xf numFmtId="0" fontId="48" fillId="15" borderId="24" xfId="0" applyFont="1" applyFill="1" applyBorder="1" applyProtection="1"/>
    <xf numFmtId="0" fontId="47" fillId="15" borderId="24" xfId="0" applyFont="1" applyFill="1" applyBorder="1" applyAlignment="1" applyProtection="1">
      <alignment horizontal="center" vertical="center"/>
    </xf>
    <xf numFmtId="0" fontId="47" fillId="15" borderId="24" xfId="0" applyFont="1" applyFill="1" applyBorder="1" applyAlignment="1" applyProtection="1">
      <alignment horizontal="center" vertical="center" wrapText="1"/>
    </xf>
    <xf numFmtId="0" fontId="49" fillId="15" borderId="24" xfId="0" applyFont="1" applyFill="1" applyBorder="1" applyProtection="1"/>
    <xf numFmtId="2" fontId="39" fillId="14" borderId="0" xfId="0" applyNumberFormat="1" applyFont="1" applyFill="1" applyAlignment="1" applyProtection="1">
      <alignment horizontal="center"/>
      <protection locked="0"/>
    </xf>
    <xf numFmtId="2" fontId="39" fillId="14" borderId="0" xfId="0" applyNumberFormat="1" applyFont="1" applyFill="1" applyAlignment="1" applyProtection="1">
      <alignment horizontal="center" wrapText="1"/>
      <protection locked="0"/>
    </xf>
    <xf numFmtId="0" fontId="1" fillId="0" borderId="26" xfId="0" applyFont="1" applyBorder="1" applyAlignment="1" applyProtection="1">
      <alignment horizontal="left" vertical="center"/>
    </xf>
    <xf numFmtId="0" fontId="1" fillId="0" borderId="29" xfId="0" applyFont="1" applyBorder="1" applyAlignment="1" applyProtection="1">
      <alignment horizontal="left" vertical="center"/>
    </xf>
    <xf numFmtId="0" fontId="1" fillId="0" borderId="29" xfId="0" applyFont="1" applyFill="1" applyBorder="1" applyAlignment="1" applyProtection="1">
      <alignment horizontal="left" vertical="center"/>
    </xf>
    <xf numFmtId="0" fontId="0" fillId="6" borderId="0" xfId="0" applyFill="1" applyAlignment="1" applyProtection="1"/>
    <xf numFmtId="0" fontId="1" fillId="0" borderId="32" xfId="0" applyFont="1" applyBorder="1" applyAlignment="1" applyProtection="1">
      <alignment horizontal="left" vertical="center"/>
    </xf>
    <xf numFmtId="0" fontId="0" fillId="6" borderId="0" xfId="0" applyFill="1" applyBorder="1" applyProtection="1"/>
    <xf numFmtId="0" fontId="1" fillId="0" borderId="32" xfId="0" applyFont="1" applyBorder="1" applyProtection="1"/>
    <xf numFmtId="0" fontId="5" fillId="6" borderId="0" xfId="0" applyFont="1" applyFill="1" applyProtection="1"/>
    <xf numFmtId="0" fontId="1" fillId="0" borderId="6" xfId="0" applyFont="1" applyBorder="1" applyProtection="1"/>
    <xf numFmtId="0" fontId="1" fillId="0" borderId="23" xfId="0" applyFont="1" applyBorder="1" applyAlignment="1" applyProtection="1">
      <alignment horizontal="center"/>
    </xf>
    <xf numFmtId="0" fontId="1" fillId="0" borderId="24" xfId="0" applyFont="1" applyBorder="1" applyAlignment="1" applyProtection="1">
      <alignment horizontal="center"/>
    </xf>
    <xf numFmtId="0" fontId="1" fillId="0" borderId="25" xfId="0" applyFont="1" applyBorder="1" applyAlignment="1" applyProtection="1">
      <alignment horizontal="center"/>
    </xf>
    <xf numFmtId="0" fontId="1" fillId="6" borderId="0" xfId="0" applyFont="1" applyFill="1" applyAlignment="1" applyProtection="1"/>
    <xf numFmtId="0" fontId="1" fillId="6" borderId="0" xfId="0" applyFont="1" applyFill="1" applyAlignment="1" applyProtection="1">
      <alignment horizontal="center"/>
    </xf>
    <xf numFmtId="165" fontId="0" fillId="0" borderId="47" xfId="0" applyNumberFormat="1" applyBorder="1" applyAlignment="1" applyProtection="1">
      <alignment horizontal="center"/>
    </xf>
    <xf numFmtId="165" fontId="0" fillId="0" borderId="2" xfId="0" applyNumberFormat="1" applyBorder="1" applyAlignment="1" applyProtection="1">
      <alignment horizontal="center"/>
    </xf>
    <xf numFmtId="1" fontId="0" fillId="0" borderId="3" xfId="0" applyNumberFormat="1" applyBorder="1" applyAlignment="1" applyProtection="1">
      <alignment horizontal="right"/>
    </xf>
    <xf numFmtId="165" fontId="0" fillId="6" borderId="0" xfId="0" applyNumberFormat="1" applyFill="1" applyAlignment="1" applyProtection="1">
      <alignment horizontal="right"/>
    </xf>
    <xf numFmtId="165" fontId="0" fillId="0" borderId="12" xfId="0" applyNumberFormat="1" applyBorder="1" applyAlignment="1" applyProtection="1">
      <alignment horizontal="center"/>
    </xf>
    <xf numFmtId="165" fontId="0" fillId="0" borderId="0" xfId="0" applyNumberFormat="1" applyBorder="1" applyAlignment="1" applyProtection="1">
      <alignment horizontal="center"/>
    </xf>
    <xf numFmtId="1" fontId="0" fillId="0" borderId="5" xfId="0" applyNumberFormat="1" applyBorder="1" applyAlignment="1" applyProtection="1">
      <alignment horizontal="right"/>
    </xf>
    <xf numFmtId="165" fontId="0" fillId="0" borderId="48" xfId="0" applyNumberFormat="1" applyBorder="1" applyAlignment="1" applyProtection="1">
      <alignment horizontal="center"/>
    </xf>
    <xf numFmtId="165" fontId="0" fillId="0" borderId="7" xfId="0" applyNumberFormat="1" applyBorder="1" applyAlignment="1" applyProtection="1">
      <alignment horizontal="center"/>
    </xf>
    <xf numFmtId="1" fontId="0" fillId="0" borderId="8" xfId="0" applyNumberFormat="1" applyBorder="1" applyAlignment="1" applyProtection="1">
      <alignment horizontal="right"/>
    </xf>
    <xf numFmtId="0" fontId="1" fillId="6" borderId="0" xfId="0" applyFont="1" applyFill="1" applyAlignment="1" applyProtection="1">
      <alignment horizontal="right"/>
    </xf>
    <xf numFmtId="165" fontId="0" fillId="6" borderId="0" xfId="0" applyNumberFormat="1" applyFill="1" applyAlignment="1" applyProtection="1">
      <alignment horizontal="center"/>
    </xf>
    <xf numFmtId="49" fontId="0" fillId="6" borderId="0" xfId="0" applyNumberFormat="1" applyFill="1" applyAlignment="1" applyProtection="1">
      <alignment horizontal="center"/>
    </xf>
    <xf numFmtId="0" fontId="6" fillId="6" borderId="0" xfId="0" applyFont="1" applyFill="1" applyAlignment="1" applyProtection="1">
      <alignment horizontal="left"/>
    </xf>
    <xf numFmtId="0" fontId="0" fillId="6" borderId="0" xfId="0" applyFont="1" applyFill="1" applyAlignment="1" applyProtection="1">
      <alignment horizontal="center" vertical="center"/>
    </xf>
    <xf numFmtId="0" fontId="6" fillId="6" borderId="0" xfId="0" applyFont="1" applyFill="1" applyAlignment="1" applyProtection="1">
      <alignment horizontal="center"/>
    </xf>
    <xf numFmtId="0" fontId="1" fillId="0" borderId="1" xfId="0" applyFont="1" applyBorder="1" applyAlignment="1" applyProtection="1">
      <alignment horizontal="center" shrinkToFit="1"/>
    </xf>
    <xf numFmtId="0" fontId="0" fillId="0" borderId="2" xfId="0" applyBorder="1" applyAlignment="1" applyProtection="1">
      <alignment shrinkToFit="1"/>
    </xf>
    <xf numFmtId="0" fontId="0" fillId="6" borderId="3" xfId="0" applyFill="1" applyBorder="1" applyAlignment="1" applyProtection="1">
      <alignment shrinkToFit="1"/>
    </xf>
    <xf numFmtId="0" fontId="1" fillId="0" borderId="4" xfId="0" applyFont="1" applyBorder="1" applyAlignment="1" applyProtection="1">
      <alignment horizontal="center" shrinkToFit="1"/>
    </xf>
    <xf numFmtId="0" fontId="5" fillId="0" borderId="0" xfId="0" applyFont="1" applyBorder="1" applyAlignment="1" applyProtection="1">
      <alignment shrinkToFit="1"/>
    </xf>
    <xf numFmtId="0" fontId="0" fillId="6" borderId="5" xfId="0" applyFill="1" applyBorder="1" applyAlignment="1" applyProtection="1">
      <alignment shrinkToFit="1"/>
    </xf>
    <xf numFmtId="164" fontId="0" fillId="0" borderId="0" xfId="0" applyNumberFormat="1" applyBorder="1" applyAlignment="1" applyProtection="1">
      <alignment horizontal="center" shrinkToFit="1"/>
    </xf>
    <xf numFmtId="0" fontId="1" fillId="0" borderId="6" xfId="0" applyFont="1" applyBorder="1" applyAlignment="1" applyProtection="1">
      <alignment horizontal="center" shrinkToFit="1"/>
    </xf>
    <xf numFmtId="0" fontId="1" fillId="0" borderId="0" xfId="0" applyFont="1" applyBorder="1" applyAlignment="1" applyProtection="1">
      <alignment horizontal="left" shrinkToFit="1"/>
    </xf>
    <xf numFmtId="0" fontId="0" fillId="0" borderId="4" xfId="0" applyBorder="1" applyAlignment="1" applyProtection="1">
      <alignment shrinkToFit="1"/>
    </xf>
    <xf numFmtId="2" fontId="0" fillId="0" borderId="0" xfId="0" applyNumberFormat="1" applyBorder="1" applyAlignment="1" applyProtection="1">
      <alignment horizontal="center" shrinkToFit="1"/>
    </xf>
    <xf numFmtId="0" fontId="0" fillId="0" borderId="0" xfId="0" applyFont="1" applyBorder="1" applyAlignment="1" applyProtection="1">
      <alignment horizontal="left" shrinkToFit="1"/>
    </xf>
    <xf numFmtId="0" fontId="0" fillId="0" borderId="0" xfId="0" applyBorder="1" applyAlignment="1" applyProtection="1">
      <alignment horizontal="left" shrinkToFit="1"/>
    </xf>
    <xf numFmtId="0" fontId="1" fillId="0" borderId="4" xfId="0" applyFont="1" applyBorder="1" applyAlignment="1" applyProtection="1">
      <alignment horizontal="right" shrinkToFit="1"/>
    </xf>
    <xf numFmtId="0" fontId="1" fillId="0" borderId="0" xfId="0" applyFont="1" applyBorder="1" applyAlignment="1" applyProtection="1">
      <alignment shrinkToFit="1"/>
    </xf>
    <xf numFmtId="0" fontId="1" fillId="0" borderId="5" xfId="0" applyFont="1" applyBorder="1" applyAlignment="1" applyProtection="1">
      <alignment shrinkToFit="1"/>
    </xf>
    <xf numFmtId="0" fontId="1" fillId="0" borderId="0" xfId="0" applyFont="1" applyBorder="1" applyProtection="1"/>
    <xf numFmtId="0" fontId="0" fillId="0" borderId="0" xfId="0" applyBorder="1" applyAlignment="1" applyProtection="1">
      <alignment shrinkToFit="1"/>
    </xf>
    <xf numFmtId="0" fontId="0" fillId="0" borderId="5" xfId="0" applyBorder="1" applyAlignment="1" applyProtection="1">
      <alignment shrinkToFit="1"/>
    </xf>
    <xf numFmtId="0" fontId="0" fillId="0" borderId="4" xfId="0" applyFill="1" applyBorder="1" applyAlignment="1" applyProtection="1">
      <alignment shrinkToFit="1"/>
    </xf>
    <xf numFmtId="0" fontId="1" fillId="2" borderId="4" xfId="0" applyFont="1" applyFill="1" applyBorder="1" applyAlignment="1" applyProtection="1">
      <alignment shrinkToFit="1"/>
    </xf>
    <xf numFmtId="0" fontId="0" fillId="0" borderId="0" xfId="0" applyBorder="1" applyAlignment="1" applyProtection="1">
      <alignment horizontal="center" shrinkToFit="1"/>
    </xf>
    <xf numFmtId="0" fontId="1" fillId="0" borderId="4" xfId="0" applyFont="1" applyFill="1" applyBorder="1" applyAlignment="1" applyProtection="1">
      <alignment shrinkToFit="1"/>
    </xf>
    <xf numFmtId="0" fontId="0" fillId="0" borderId="4" xfId="0" applyBorder="1" applyAlignment="1" applyProtection="1">
      <alignment horizontal="right" shrinkToFit="1"/>
    </xf>
    <xf numFmtId="165" fontId="0" fillId="0" borderId="0" xfId="0" applyNumberFormat="1" applyBorder="1" applyAlignment="1" applyProtection="1">
      <alignment horizontal="center" shrinkToFit="1"/>
    </xf>
    <xf numFmtId="0" fontId="0" fillId="6" borderId="5" xfId="0" applyFill="1" applyBorder="1" applyProtection="1"/>
    <xf numFmtId="0" fontId="0" fillId="0" borderId="4" xfId="0" applyFill="1" applyBorder="1" applyAlignment="1" applyProtection="1">
      <alignment horizontal="right" shrinkToFit="1"/>
    </xf>
    <xf numFmtId="0" fontId="0" fillId="6" borderId="0" xfId="0" applyFill="1" applyAlignment="1" applyProtection="1">
      <alignment horizontal="right"/>
    </xf>
    <xf numFmtId="0" fontId="0" fillId="0" borderId="6" xfId="0" applyBorder="1" applyAlignment="1" applyProtection="1">
      <alignment horizontal="right" shrinkToFit="1"/>
    </xf>
    <xf numFmtId="164" fontId="0" fillId="0" borderId="7" xfId="0" applyNumberFormat="1" applyBorder="1" applyAlignment="1" applyProtection="1">
      <alignment horizontal="center" shrinkToFit="1"/>
    </xf>
    <xf numFmtId="0" fontId="0" fillId="0" borderId="7" xfId="0" applyBorder="1" applyAlignment="1" applyProtection="1">
      <alignment shrinkToFit="1"/>
    </xf>
    <xf numFmtId="0" fontId="0" fillId="0" borderId="8" xfId="0" applyBorder="1" applyAlignment="1" applyProtection="1">
      <alignment shrinkToFit="1"/>
    </xf>
    <xf numFmtId="0" fontId="5" fillId="6" borderId="0" xfId="0" applyFont="1" applyFill="1" applyAlignment="1" applyProtection="1">
      <alignment horizontal="center"/>
    </xf>
    <xf numFmtId="164" fontId="0" fillId="0" borderId="46" xfId="0" applyNumberFormat="1" applyBorder="1" applyAlignment="1" applyProtection="1">
      <alignment horizontal="center"/>
    </xf>
    <xf numFmtId="165" fontId="0" fillId="0" borderId="35" xfId="0" applyNumberFormat="1" applyBorder="1" applyAlignment="1" applyProtection="1">
      <alignment horizontal="right"/>
    </xf>
    <xf numFmtId="164" fontId="0" fillId="0" borderId="17" xfId="0" applyNumberFormat="1" applyBorder="1" applyAlignment="1" applyProtection="1">
      <alignment horizontal="center"/>
    </xf>
    <xf numFmtId="165" fontId="0" fillId="0" borderId="36" xfId="0" applyNumberFormat="1" applyBorder="1" applyAlignment="1" applyProtection="1">
      <alignment horizontal="right"/>
    </xf>
    <xf numFmtId="164" fontId="0" fillId="0" borderId="40" xfId="0" applyNumberFormat="1" applyBorder="1" applyAlignment="1" applyProtection="1">
      <alignment horizontal="center"/>
    </xf>
    <xf numFmtId="165" fontId="0" fillId="0" borderId="37" xfId="0" applyNumberFormat="1" applyBorder="1" applyAlignment="1" applyProtection="1">
      <alignment horizontal="right"/>
    </xf>
    <xf numFmtId="0" fontId="0" fillId="6" borderId="0" xfId="0" applyFill="1" applyBorder="1" applyAlignment="1" applyProtection="1">
      <alignment horizontal="center"/>
    </xf>
    <xf numFmtId="164" fontId="0" fillId="6" borderId="0" xfId="0" applyNumberFormat="1" applyFill="1" applyBorder="1" applyAlignment="1" applyProtection="1">
      <alignment horizontal="center"/>
    </xf>
    <xf numFmtId="165" fontId="0" fillId="6" borderId="0" xfId="0" applyNumberFormat="1" applyFill="1" applyBorder="1" applyAlignment="1" applyProtection="1">
      <alignment horizontal="right"/>
    </xf>
    <xf numFmtId="0" fontId="1" fillId="6" borderId="0" xfId="0" applyFont="1" applyFill="1" applyBorder="1" applyAlignment="1" applyProtection="1">
      <alignment horizontal="center"/>
    </xf>
    <xf numFmtId="164" fontId="1" fillId="6" borderId="0" xfId="0" applyNumberFormat="1" applyFont="1" applyFill="1" applyBorder="1" applyAlignment="1" applyProtection="1">
      <alignment horizontal="center"/>
    </xf>
    <xf numFmtId="165" fontId="1" fillId="6" borderId="2" xfId="0" applyNumberFormat="1" applyFont="1" applyFill="1" applyBorder="1" applyAlignment="1" applyProtection="1">
      <alignment horizontal="center"/>
    </xf>
    <xf numFmtId="0" fontId="1" fillId="6" borderId="3" xfId="0" applyFont="1" applyFill="1" applyBorder="1" applyAlignment="1" applyProtection="1">
      <alignment horizontal="left"/>
    </xf>
    <xf numFmtId="165" fontId="1" fillId="6" borderId="0" xfId="0" applyNumberFormat="1" applyFont="1" applyFill="1" applyBorder="1" applyAlignment="1" applyProtection="1">
      <alignment horizontal="center"/>
    </xf>
    <xf numFmtId="0" fontId="1" fillId="6" borderId="5" xfId="0" applyFont="1" applyFill="1" applyBorder="1" applyAlignment="1" applyProtection="1">
      <alignment horizontal="left"/>
    </xf>
    <xf numFmtId="165" fontId="1" fillId="6" borderId="7" xfId="0" applyNumberFormat="1" applyFont="1" applyFill="1" applyBorder="1" applyAlignment="1" applyProtection="1">
      <alignment horizontal="center"/>
    </xf>
    <xf numFmtId="0" fontId="1" fillId="6" borderId="8" xfId="0" applyFont="1" applyFill="1" applyBorder="1" applyAlignment="1" applyProtection="1">
      <alignment horizontal="left"/>
    </xf>
    <xf numFmtId="0" fontId="1" fillId="6" borderId="0" xfId="0" applyFont="1" applyFill="1" applyBorder="1" applyAlignment="1" applyProtection="1">
      <alignment horizontal="left" vertical="center"/>
    </xf>
    <xf numFmtId="0" fontId="15" fillId="0" borderId="0" xfId="0" applyFont="1" applyAlignment="1" applyProtection="1">
      <alignment vertical="center"/>
    </xf>
    <xf numFmtId="0" fontId="1" fillId="0" borderId="0" xfId="0" applyFont="1" applyBorder="1" applyAlignment="1" applyProtection="1">
      <alignment horizontal="left" vertical="center"/>
    </xf>
    <xf numFmtId="165" fontId="0" fillId="0" borderId="46" xfId="0" applyNumberFormat="1" applyBorder="1" applyAlignment="1" applyProtection="1">
      <alignment horizontal="center"/>
    </xf>
    <xf numFmtId="2" fontId="0" fillId="0" borderId="46" xfId="0" applyNumberFormat="1" applyBorder="1" applyAlignment="1" applyProtection="1">
      <alignment horizontal="center"/>
    </xf>
    <xf numFmtId="164" fontId="0" fillId="0" borderId="35" xfId="0" applyNumberFormat="1" applyBorder="1" applyAlignment="1" applyProtection="1">
      <alignment horizontal="center"/>
    </xf>
    <xf numFmtId="165" fontId="0" fillId="0" borderId="17" xfId="0" applyNumberFormat="1" applyBorder="1" applyAlignment="1" applyProtection="1">
      <alignment horizontal="center"/>
    </xf>
    <xf numFmtId="2" fontId="0" fillId="0" borderId="17" xfId="0" applyNumberFormat="1" applyBorder="1" applyAlignment="1" applyProtection="1">
      <alignment horizontal="center"/>
    </xf>
    <xf numFmtId="164" fontId="0" fillId="0" borderId="36" xfId="0" applyNumberFormat="1" applyBorder="1" applyAlignment="1" applyProtection="1">
      <alignment horizontal="center"/>
    </xf>
    <xf numFmtId="165" fontId="0" fillId="0" borderId="40" xfId="0" applyNumberFormat="1" applyBorder="1" applyAlignment="1" applyProtection="1">
      <alignment horizontal="center"/>
    </xf>
    <xf numFmtId="2" fontId="0" fillId="0" borderId="40" xfId="0" applyNumberFormat="1" applyBorder="1" applyAlignment="1" applyProtection="1">
      <alignment horizontal="center"/>
    </xf>
    <xf numFmtId="164" fontId="0" fillId="0" borderId="37" xfId="0" applyNumberFormat="1" applyBorder="1" applyAlignment="1" applyProtection="1">
      <alignment horizontal="center"/>
    </xf>
    <xf numFmtId="0" fontId="1" fillId="6" borderId="32" xfId="0" applyFont="1" applyFill="1" applyBorder="1" applyAlignment="1" applyProtection="1">
      <alignment horizontal="center"/>
    </xf>
    <xf numFmtId="165" fontId="1" fillId="0" borderId="8" xfId="0" applyNumberFormat="1" applyFont="1" applyBorder="1" applyAlignment="1" applyProtection="1">
      <alignment horizontal="center"/>
    </xf>
    <xf numFmtId="165" fontId="1" fillId="6" borderId="0" xfId="0" applyNumberFormat="1" applyFont="1" applyFill="1" applyAlignment="1" applyProtection="1">
      <alignment horizontal="left"/>
    </xf>
    <xf numFmtId="0" fontId="1" fillId="0" borderId="0" xfId="0" applyFont="1" applyBorder="1" applyAlignment="1" applyProtection="1">
      <alignment horizontal="left"/>
    </xf>
    <xf numFmtId="0" fontId="1" fillId="6" borderId="0" xfId="0" applyFont="1" applyFill="1" applyBorder="1" applyAlignment="1" applyProtection="1">
      <alignment horizontal="left"/>
    </xf>
    <xf numFmtId="2" fontId="0" fillId="6" borderId="17" xfId="0" applyNumberFormat="1" applyFill="1" applyBorder="1" applyAlignment="1" applyProtection="1">
      <alignment horizontal="center"/>
    </xf>
    <xf numFmtId="2" fontId="1" fillId="6" borderId="0" xfId="0" applyNumberFormat="1" applyFont="1" applyFill="1" applyBorder="1" applyAlignment="1" applyProtection="1">
      <alignment horizontal="center"/>
    </xf>
    <xf numFmtId="0" fontId="8" fillId="6" borderId="0" xfId="0" applyFont="1" applyFill="1" applyBorder="1" applyAlignment="1" applyProtection="1">
      <alignment horizontal="left"/>
    </xf>
    <xf numFmtId="0" fontId="1" fillId="0" borderId="0" xfId="0" applyFont="1" applyFill="1" applyBorder="1" applyAlignment="1" applyProtection="1">
      <alignment horizontal="center"/>
    </xf>
    <xf numFmtId="0" fontId="2" fillId="0" borderId="0" xfId="0" applyFont="1" applyFill="1" applyBorder="1" applyAlignment="1" applyProtection="1">
      <alignment horizontal="center"/>
    </xf>
    <xf numFmtId="0" fontId="1" fillId="0" borderId="4" xfId="0" applyFont="1" applyFill="1" applyBorder="1" applyAlignment="1" applyProtection="1">
      <alignment horizontal="right"/>
    </xf>
    <xf numFmtId="165" fontId="0" fillId="0" borderId="0" xfId="0" applyNumberFormat="1" applyFont="1" applyFill="1" applyBorder="1" applyAlignment="1" applyProtection="1">
      <alignment horizontal="center"/>
    </xf>
    <xf numFmtId="0" fontId="0" fillId="0" borderId="0" xfId="0" applyFont="1" applyFill="1" applyBorder="1" applyAlignment="1" applyProtection="1">
      <alignment horizontal="left"/>
    </xf>
    <xf numFmtId="0" fontId="0" fillId="2" borderId="0" xfId="0" applyFill="1" applyAlignment="1" applyProtection="1">
      <alignment horizontal="center"/>
    </xf>
    <xf numFmtId="0" fontId="1" fillId="0" borderId="6" xfId="0" applyFont="1" applyFill="1" applyBorder="1" applyAlignment="1" applyProtection="1">
      <alignment horizontal="right"/>
    </xf>
    <xf numFmtId="0" fontId="0" fillId="6" borderId="0" xfId="0" applyFill="1" applyAlignment="1" applyProtection="1">
      <alignment horizontal="left"/>
    </xf>
    <xf numFmtId="0" fontId="1" fillId="0" borderId="29" xfId="0" applyFont="1" applyBorder="1" applyAlignment="1" applyProtection="1">
      <alignment horizontal="center"/>
    </xf>
    <xf numFmtId="0" fontId="1" fillId="0" borderId="32" xfId="0" applyFont="1" applyBorder="1" applyAlignment="1" applyProtection="1">
      <alignment horizontal="center"/>
    </xf>
    <xf numFmtId="165" fontId="5" fillId="6" borderId="0" xfId="0" applyNumberFormat="1" applyFont="1" applyFill="1" applyAlignment="1" applyProtection="1">
      <alignment horizontal="center"/>
    </xf>
    <xf numFmtId="2" fontId="0" fillId="0" borderId="0" xfId="0" applyNumberForma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Protection="1"/>
    <xf numFmtId="0" fontId="1" fillId="6" borderId="0" xfId="0" applyFont="1" applyFill="1" applyAlignment="1" applyProtection="1">
      <alignment horizontal="left"/>
    </xf>
    <xf numFmtId="0" fontId="0" fillId="4" borderId="5" xfId="0" applyFill="1" applyBorder="1" applyAlignment="1" applyProtection="1">
      <alignment horizontal="center"/>
      <protection locked="0"/>
    </xf>
    <xf numFmtId="0" fontId="0" fillId="4" borderId="8" xfId="0" applyFont="1" applyFill="1" applyBorder="1" applyAlignment="1" applyProtection="1">
      <alignment horizontal="center"/>
      <protection locked="0"/>
    </xf>
    <xf numFmtId="0" fontId="15" fillId="0" borderId="0" xfId="0" applyFont="1" applyAlignment="1">
      <alignment vertical="center"/>
    </xf>
    <xf numFmtId="0" fontId="16" fillId="0" borderId="0" xfId="0" applyFont="1" applyAlignment="1">
      <alignment horizontal="left" vertical="center"/>
    </xf>
    <xf numFmtId="0" fontId="15" fillId="0" borderId="0" xfId="0" applyFont="1" applyAlignment="1">
      <alignment horizontal="center" vertical="center"/>
    </xf>
    <xf numFmtId="0" fontId="33" fillId="2" borderId="0" xfId="3" applyFont="1" applyFill="1" applyAlignment="1" applyProtection="1">
      <alignment horizontal="left"/>
      <protection locked="0"/>
    </xf>
    <xf numFmtId="2" fontId="0" fillId="0" borderId="17" xfId="0" applyNumberFormat="1" applyBorder="1"/>
    <xf numFmtId="0" fontId="36" fillId="6" borderId="0" xfId="0" applyFont="1" applyFill="1" applyProtection="1"/>
    <xf numFmtId="165" fontId="0" fillId="2" borderId="0" xfId="0" applyNumberFormat="1" applyFill="1" applyBorder="1" applyAlignment="1" applyProtection="1">
      <alignment horizontal="center"/>
    </xf>
    <xf numFmtId="0" fontId="0" fillId="6" borderId="0" xfId="0" applyFill="1" applyAlignment="1" applyProtection="1">
      <alignment vertical="center"/>
    </xf>
    <xf numFmtId="165" fontId="0" fillId="0" borderId="0" xfId="0" applyNumberFormat="1" applyBorder="1" applyAlignment="1" applyProtection="1">
      <alignment horizontal="right"/>
    </xf>
    <xf numFmtId="2" fontId="0" fillId="0" borderId="0" xfId="0" applyNumberFormat="1" applyBorder="1" applyAlignment="1" applyProtection="1">
      <alignment horizontal="center"/>
    </xf>
    <xf numFmtId="164" fontId="0" fillId="2" borderId="0" xfId="0" applyNumberFormat="1" applyFill="1" applyBorder="1" applyAlignment="1" applyProtection="1">
      <alignment horizontal="center"/>
    </xf>
    <xf numFmtId="164" fontId="0" fillId="0" borderId="0" xfId="0" applyNumberFormat="1" applyBorder="1" applyAlignment="1" applyProtection="1">
      <alignment horizontal="right"/>
    </xf>
    <xf numFmtId="2" fontId="0" fillId="2" borderId="0" xfId="0" applyNumberFormat="1" applyFill="1" applyBorder="1" applyAlignment="1" applyProtection="1">
      <alignment horizontal="center"/>
    </xf>
    <xf numFmtId="164" fontId="1" fillId="0" borderId="0" xfId="0" applyNumberFormat="1" applyFont="1" applyBorder="1" applyAlignment="1" applyProtection="1">
      <alignment horizontal="left"/>
    </xf>
    <xf numFmtId="165" fontId="0" fillId="0" borderId="0" xfId="0" applyNumberFormat="1" applyFill="1" applyBorder="1" applyAlignment="1" applyProtection="1">
      <alignment horizontal="center"/>
    </xf>
    <xf numFmtId="164" fontId="0" fillId="0" borderId="0" xfId="0" applyNumberFormat="1" applyFill="1" applyBorder="1" applyAlignment="1" applyProtection="1">
      <alignment horizontal="center"/>
    </xf>
    <xf numFmtId="0" fontId="2" fillId="0" borderId="0" xfId="0" applyFont="1" applyFill="1" applyAlignment="1" applyProtection="1">
      <alignment horizontal="center"/>
    </xf>
    <xf numFmtId="0" fontId="0" fillId="0" borderId="17" xfId="0" applyBorder="1" applyAlignment="1" applyProtection="1">
      <alignment horizontal="center"/>
    </xf>
    <xf numFmtId="0" fontId="23" fillId="0" borderId="0" xfId="0" applyFont="1" applyAlignment="1">
      <alignment horizontal="left" vertical="center"/>
    </xf>
    <xf numFmtId="1" fontId="0" fillId="4" borderId="17" xfId="0" applyNumberFormat="1" applyFont="1" applyFill="1" applyBorder="1" applyAlignment="1" applyProtection="1">
      <alignment horizontal="center" vertical="center"/>
      <protection locked="0"/>
    </xf>
    <xf numFmtId="2" fontId="0" fillId="0" borderId="17" xfId="0" applyNumberFormat="1" applyBorder="1" applyAlignment="1" applyProtection="1">
      <alignment horizontal="center" vertical="center"/>
    </xf>
    <xf numFmtId="2" fontId="0" fillId="2" borderId="17" xfId="0" applyNumberFormat="1" applyFont="1" applyFill="1" applyBorder="1" applyAlignment="1" applyProtection="1">
      <alignment horizontal="center" vertical="center"/>
    </xf>
    <xf numFmtId="0" fontId="1" fillId="0" borderId="4" xfId="0" applyFont="1" applyBorder="1" applyAlignment="1">
      <alignment horizontal="center"/>
    </xf>
    <xf numFmtId="0" fontId="1" fillId="0" borderId="0" xfId="0" applyFont="1" applyBorder="1" applyAlignment="1">
      <alignment horizontal="center"/>
    </xf>
    <xf numFmtId="0" fontId="1" fillId="0" borderId="5" xfId="0" applyFont="1" applyBorder="1" applyAlignment="1">
      <alignment horizontal="center"/>
    </xf>
    <xf numFmtId="1" fontId="0" fillId="4" borderId="17" xfId="0" applyNumberFormat="1" applyFill="1" applyBorder="1" applyAlignment="1" applyProtection="1">
      <alignment horizontal="center"/>
      <protection locked="0"/>
    </xf>
    <xf numFmtId="165" fontId="0" fillId="4" borderId="17" xfId="0" applyNumberFormat="1" applyFill="1" applyBorder="1" applyAlignment="1" applyProtection="1">
      <alignment horizontal="center"/>
      <protection locked="0"/>
    </xf>
    <xf numFmtId="2" fontId="0" fillId="4" borderId="17" xfId="0" applyNumberFormat="1" applyFill="1" applyBorder="1" applyAlignment="1" applyProtection="1">
      <alignment horizontal="center"/>
      <protection locked="0"/>
    </xf>
    <xf numFmtId="0" fontId="39" fillId="0" borderId="0" xfId="0" applyFont="1" applyAlignment="1" applyProtection="1">
      <alignment horizontal="center" vertical="center"/>
    </xf>
    <xf numFmtId="0" fontId="0" fillId="0" borderId="0" xfId="0" applyAlignment="1" applyProtection="1">
      <alignment horizontal="center"/>
    </xf>
    <xf numFmtId="0" fontId="1" fillId="0" borderId="17" xfId="0" applyFont="1" applyBorder="1" applyAlignment="1" applyProtection="1">
      <alignment horizontal="center"/>
    </xf>
    <xf numFmtId="0" fontId="0" fillId="5" borderId="17" xfId="0" applyFont="1" applyFill="1" applyBorder="1" applyAlignment="1" applyProtection="1">
      <alignment horizontal="center" shrinkToFit="1"/>
      <protection locked="0"/>
    </xf>
    <xf numFmtId="0" fontId="0" fillId="5" borderId="17" xfId="0" applyFont="1" applyFill="1" applyBorder="1" applyAlignment="1" applyProtection="1">
      <alignment horizontal="center" vertical="center"/>
      <protection locked="0"/>
    </xf>
    <xf numFmtId="169" fontId="0" fillId="0" borderId="0" xfId="0" applyNumberFormat="1"/>
    <xf numFmtId="0" fontId="0" fillId="0" borderId="0" xfId="0" applyNumberFormat="1"/>
    <xf numFmtId="0" fontId="4" fillId="0" borderId="0" xfId="0" applyNumberFormat="1" applyFont="1"/>
    <xf numFmtId="165" fontId="6" fillId="0" borderId="17" xfId="0" applyNumberFormat="1" applyFont="1" applyBorder="1" applyAlignment="1" applyProtection="1">
      <alignment horizontal="center" vertical="center"/>
    </xf>
    <xf numFmtId="0" fontId="0" fillId="5" borderId="36" xfId="0" applyFont="1" applyFill="1" applyBorder="1" applyAlignment="1" applyProtection="1">
      <alignment horizontal="center" shrinkToFit="1"/>
      <protection locked="0"/>
    </xf>
    <xf numFmtId="0" fontId="0" fillId="5" borderId="36" xfId="0" applyFont="1" applyFill="1" applyBorder="1" applyAlignment="1" applyProtection="1">
      <alignment horizontal="center" vertical="center"/>
      <protection locked="0"/>
    </xf>
    <xf numFmtId="0" fontId="0" fillId="5" borderId="36" xfId="0" applyFont="1" applyFill="1" applyBorder="1" applyAlignment="1" applyProtection="1">
      <alignment horizontal="center"/>
      <protection locked="0"/>
    </xf>
    <xf numFmtId="0" fontId="0" fillId="0" borderId="36" xfId="0" applyBorder="1" applyAlignment="1" applyProtection="1">
      <alignment horizontal="center" vertical="center"/>
    </xf>
    <xf numFmtId="2" fontId="0" fillId="0" borderId="36" xfId="0" applyNumberFormat="1" applyBorder="1" applyAlignment="1" applyProtection="1">
      <alignment horizontal="center"/>
    </xf>
    <xf numFmtId="165" fontId="0" fillId="0" borderId="37" xfId="0" applyNumberFormat="1" applyBorder="1" applyAlignment="1" applyProtection="1">
      <alignment horizontal="center"/>
    </xf>
    <xf numFmtId="0" fontId="1" fillId="0" borderId="54" xfId="0" applyFont="1" applyBorder="1" applyAlignment="1" applyProtection="1">
      <alignment horizontal="center"/>
    </xf>
    <xf numFmtId="0" fontId="1" fillId="0" borderId="54" xfId="0" applyFont="1" applyFill="1" applyBorder="1" applyAlignment="1" applyProtection="1">
      <alignment horizontal="center"/>
    </xf>
    <xf numFmtId="0" fontId="1" fillId="0" borderId="54" xfId="0" applyFont="1" applyFill="1" applyBorder="1" applyAlignment="1" applyProtection="1">
      <alignment horizontal="center" vertical="center" wrapText="1"/>
    </xf>
    <xf numFmtId="2" fontId="1" fillId="0" borderId="54" xfId="0" applyNumberFormat="1" applyFont="1" applyBorder="1" applyAlignment="1" applyProtection="1">
      <alignment horizontal="center"/>
    </xf>
    <xf numFmtId="2" fontId="1" fillId="0" borderId="55" xfId="0" applyNumberFormat="1" applyFont="1" applyBorder="1" applyAlignment="1" applyProtection="1">
      <alignment horizontal="center"/>
    </xf>
    <xf numFmtId="0" fontId="0" fillId="5" borderId="38" xfId="0" applyFont="1" applyFill="1" applyBorder="1" applyAlignment="1" applyProtection="1">
      <alignment horizontal="center" shrinkToFit="1"/>
      <protection locked="0"/>
    </xf>
    <xf numFmtId="0" fontId="0" fillId="5" borderId="38" xfId="0" applyFont="1" applyFill="1" applyBorder="1" applyAlignment="1" applyProtection="1">
      <alignment horizontal="center" vertical="center"/>
      <protection locked="0"/>
    </xf>
    <xf numFmtId="0" fontId="0" fillId="5" borderId="38" xfId="0" applyFont="1" applyFill="1" applyBorder="1" applyAlignment="1" applyProtection="1">
      <alignment horizontal="center"/>
      <protection locked="0"/>
    </xf>
    <xf numFmtId="0" fontId="0" fillId="0" borderId="38" xfId="0" applyBorder="1" applyAlignment="1" applyProtection="1">
      <alignment horizontal="center" vertical="center"/>
    </xf>
    <xf numFmtId="2" fontId="0" fillId="0" borderId="38" xfId="0" applyNumberFormat="1" applyBorder="1" applyAlignment="1" applyProtection="1">
      <alignment horizontal="center"/>
    </xf>
    <xf numFmtId="165" fontId="0" fillId="0" borderId="39" xfId="0" applyNumberFormat="1" applyBorder="1" applyAlignment="1" applyProtection="1">
      <alignment horizontal="center"/>
    </xf>
    <xf numFmtId="0" fontId="1" fillId="0" borderId="4" xfId="0" applyFont="1" applyFill="1" applyBorder="1" applyAlignment="1" applyProtection="1">
      <alignment horizontal="left"/>
    </xf>
    <xf numFmtId="0" fontId="1" fillId="0" borderId="17" xfId="0" applyFont="1" applyBorder="1" applyProtection="1"/>
    <xf numFmtId="1" fontId="0" fillId="0" borderId="17" xfId="0" applyNumberFormat="1" applyFill="1" applyBorder="1" applyAlignment="1" applyProtection="1">
      <alignment horizontal="center"/>
      <protection locked="0"/>
    </xf>
    <xf numFmtId="0" fontId="0" fillId="6" borderId="17" xfId="0" applyFill="1" applyBorder="1" applyAlignment="1" applyProtection="1">
      <alignment horizontal="center"/>
    </xf>
    <xf numFmtId="0" fontId="0" fillId="6" borderId="20" xfId="0" applyFill="1" applyBorder="1" applyProtection="1"/>
    <xf numFmtId="170" fontId="34" fillId="6" borderId="0" xfId="1" applyNumberFormat="1" applyFont="1" applyFill="1" applyAlignment="1" applyProtection="1">
      <alignment horizontal="center"/>
    </xf>
    <xf numFmtId="0" fontId="0" fillId="0" borderId="17" xfId="0" applyFill="1" applyBorder="1" applyAlignment="1" applyProtection="1">
      <alignment horizontal="center"/>
      <protection locked="0"/>
    </xf>
    <xf numFmtId="0" fontId="0" fillId="6" borderId="17" xfId="0" applyFill="1" applyBorder="1" applyAlignment="1">
      <alignment horizontal="center"/>
    </xf>
    <xf numFmtId="0" fontId="0" fillId="0" borderId="0" xfId="0"/>
    <xf numFmtId="0" fontId="0" fillId="0" borderId="0" xfId="0" applyBorder="1"/>
    <xf numFmtId="2" fontId="0" fillId="0" borderId="0" xfId="0" applyNumberFormat="1"/>
    <xf numFmtId="164" fontId="0" fillId="0" borderId="0" xfId="0" applyNumberFormat="1"/>
    <xf numFmtId="21" fontId="0" fillId="0" borderId="0" xfId="0" applyNumberFormat="1"/>
    <xf numFmtId="0" fontId="4" fillId="0" borderId="0" xfId="0" applyFont="1"/>
    <xf numFmtId="164" fontId="4" fillId="0" borderId="0" xfId="0" applyNumberFormat="1" applyFont="1"/>
    <xf numFmtId="21" fontId="4" fillId="0" borderId="0" xfId="0" applyNumberFormat="1" applyFont="1"/>
    <xf numFmtId="0" fontId="0" fillId="0" borderId="0" xfId="0" applyBorder="1" applyAlignment="1">
      <alignment horizontal="center" vertical="center"/>
    </xf>
    <xf numFmtId="0" fontId="0" fillId="0" borderId="17" xfId="0" applyBorder="1"/>
    <xf numFmtId="2" fontId="4" fillId="0" borderId="0" xfId="0" applyNumberFormat="1" applyFont="1"/>
    <xf numFmtId="0" fontId="1" fillId="0" borderId="43" xfId="0" applyFont="1" applyFill="1" applyBorder="1" applyAlignment="1" applyProtection="1">
      <alignment horizontal="center" vertical="center" wrapText="1"/>
    </xf>
    <xf numFmtId="0" fontId="0" fillId="4" borderId="35" xfId="0" applyFont="1" applyFill="1" applyBorder="1" applyAlignment="1" applyProtection="1">
      <alignment horizontal="center" vertical="center"/>
      <protection locked="0"/>
    </xf>
    <xf numFmtId="0" fontId="0" fillId="6" borderId="39" xfId="0" applyFill="1" applyBorder="1" applyAlignment="1" applyProtection="1">
      <alignment horizontal="right" vertical="center"/>
    </xf>
    <xf numFmtId="0" fontId="29" fillId="0" borderId="0" xfId="0" applyFont="1" applyBorder="1" applyAlignment="1">
      <alignment horizontal="center" vertical="center" wrapText="1"/>
    </xf>
    <xf numFmtId="0" fontId="1" fillId="0" borderId="17" xfId="0" applyFont="1" applyBorder="1" applyAlignment="1">
      <alignment horizontal="center" vertical="center"/>
    </xf>
    <xf numFmtId="0" fontId="29" fillId="0" borderId="17" xfId="0" applyFont="1" applyBorder="1" applyAlignment="1">
      <alignment horizontal="center" vertical="center" wrapText="1"/>
    </xf>
    <xf numFmtId="0" fontId="56" fillId="0" borderId="0" xfId="0" applyFont="1" applyBorder="1" applyAlignment="1">
      <alignment vertical="center"/>
    </xf>
    <xf numFmtId="0" fontId="1" fillId="0" borderId="19" xfId="0" applyFont="1" applyBorder="1" applyAlignment="1">
      <alignment horizontal="center" vertical="center"/>
    </xf>
    <xf numFmtId="0" fontId="29" fillId="0" borderId="19" xfId="0" applyFont="1" applyBorder="1" applyAlignment="1">
      <alignment horizontal="center" vertical="center" wrapText="1"/>
    </xf>
    <xf numFmtId="0" fontId="1" fillId="0" borderId="43" xfId="0" applyFont="1" applyFill="1" applyBorder="1" applyAlignment="1">
      <alignment horizontal="center" vertical="center"/>
    </xf>
    <xf numFmtId="0" fontId="1" fillId="0" borderId="46" xfId="0" applyFont="1" applyBorder="1" applyAlignment="1">
      <alignment horizontal="center" vertical="center"/>
    </xf>
    <xf numFmtId="0" fontId="1" fillId="0" borderId="35" xfId="0" applyFont="1" applyBorder="1" applyAlignment="1">
      <alignment horizontal="center" vertical="center"/>
    </xf>
    <xf numFmtId="0" fontId="58" fillId="0" borderId="40" xfId="0" applyFont="1" applyBorder="1" applyAlignment="1">
      <alignment horizontal="center" vertical="center" wrapText="1"/>
    </xf>
    <xf numFmtId="0" fontId="0" fillId="4" borderId="37" xfId="0" applyFill="1" applyBorder="1" applyAlignment="1" applyProtection="1">
      <alignment horizontal="center" vertical="center"/>
      <protection locked="0"/>
    </xf>
    <xf numFmtId="2" fontId="39" fillId="0" borderId="0" xfId="0" applyNumberFormat="1" applyFont="1" applyBorder="1" applyAlignment="1" applyProtection="1">
      <alignment horizontal="center"/>
    </xf>
    <xf numFmtId="165" fontId="23" fillId="0" borderId="17" xfId="0" applyNumberFormat="1" applyFont="1" applyFill="1" applyBorder="1" applyAlignment="1">
      <alignment horizontal="center" shrinkToFit="1"/>
    </xf>
    <xf numFmtId="0" fontId="0" fillId="0" borderId="5" xfId="0" applyFill="1" applyBorder="1" applyAlignment="1">
      <alignment horizontal="center" vertical="center"/>
    </xf>
    <xf numFmtId="0" fontId="0" fillId="0" borderId="4" xfId="0" applyFill="1" applyBorder="1" applyAlignment="1">
      <alignment horizontal="center" vertical="center"/>
    </xf>
    <xf numFmtId="0" fontId="0" fillId="0" borderId="0" xfId="0" applyFill="1" applyBorder="1" applyAlignment="1">
      <alignment horizontal="center" vertical="center"/>
    </xf>
    <xf numFmtId="0" fontId="0" fillId="0" borderId="8" xfId="0" applyFill="1" applyBorder="1" applyAlignment="1">
      <alignment horizontal="center" vertical="center"/>
    </xf>
    <xf numFmtId="0" fontId="35" fillId="0" borderId="17" xfId="0" applyFont="1" applyFill="1" applyBorder="1" applyAlignment="1" applyProtection="1">
      <alignment horizontal="center"/>
    </xf>
    <xf numFmtId="164" fontId="0" fillId="0" borderId="0" xfId="0" applyNumberFormat="1" applyProtection="1"/>
    <xf numFmtId="164" fontId="0" fillId="0" borderId="17" xfId="0" applyNumberFormat="1" applyBorder="1" applyAlignment="1">
      <alignment horizontal="center"/>
    </xf>
    <xf numFmtId="2" fontId="39" fillId="0" borderId="0" xfId="3" applyNumberFormat="1" applyFont="1" applyAlignment="1" applyProtection="1">
      <alignment horizontal="center" vertical="center"/>
    </xf>
    <xf numFmtId="167" fontId="39" fillId="11" borderId="0" xfId="3" applyNumberFormat="1" applyFont="1" applyFill="1" applyAlignment="1" applyProtection="1">
      <alignment horizontal="center" vertical="center"/>
      <protection locked="0"/>
    </xf>
    <xf numFmtId="0" fontId="39" fillId="11" borderId="0" xfId="3" applyNumberFormat="1" applyFont="1" applyFill="1" applyAlignment="1" applyProtection="1">
      <alignment horizontal="center" vertical="center"/>
      <protection locked="0"/>
    </xf>
    <xf numFmtId="2" fontId="39" fillId="0" borderId="17" xfId="3" applyNumberFormat="1" applyFont="1" applyBorder="1" applyAlignment="1" applyProtection="1">
      <alignment horizontal="center" vertical="center"/>
    </xf>
    <xf numFmtId="0" fontId="39" fillId="11" borderId="17" xfId="3" applyNumberFormat="1" applyFont="1" applyFill="1" applyBorder="1" applyAlignment="1" applyProtection="1">
      <alignment horizontal="center" vertical="center"/>
      <protection locked="0"/>
    </xf>
    <xf numFmtId="0" fontId="39" fillId="11" borderId="42" xfId="3" applyNumberFormat="1" applyFont="1" applyFill="1" applyBorder="1" applyAlignment="1" applyProtection="1">
      <alignment horizontal="center" vertical="center"/>
      <protection locked="0"/>
    </xf>
    <xf numFmtId="0" fontId="39" fillId="12" borderId="0" xfId="3" applyNumberFormat="1" applyFont="1" applyFill="1" applyAlignment="1" applyProtection="1">
      <alignment horizontal="center" vertical="center"/>
      <protection locked="0"/>
    </xf>
    <xf numFmtId="0" fontId="39" fillId="0" borderId="0" xfId="3" applyNumberFormat="1" applyFont="1" applyAlignment="1" applyProtection="1">
      <alignment horizontal="center" vertical="center"/>
      <protection locked="0"/>
    </xf>
    <xf numFmtId="0" fontId="39" fillId="13" borderId="0" xfId="3" applyNumberFormat="1" applyFont="1" applyFill="1" applyAlignment="1" applyProtection="1">
      <alignment horizontal="center" vertical="center"/>
      <protection locked="0"/>
    </xf>
    <xf numFmtId="0" fontId="39" fillId="0" borderId="0" xfId="3" applyNumberFormat="1" applyFont="1" applyFill="1" applyAlignment="1" applyProtection="1">
      <alignment horizontal="center" vertical="center"/>
    </xf>
    <xf numFmtId="0" fontId="39" fillId="12" borderId="0" xfId="3" applyNumberFormat="1" applyFont="1" applyFill="1" applyAlignment="1" applyProtection="1">
      <alignment horizontal="left" vertical="center"/>
    </xf>
    <xf numFmtId="2" fontId="39" fillId="0" borderId="0" xfId="3" applyNumberFormat="1" applyFont="1" applyAlignment="1" applyProtection="1">
      <alignment horizontal="left" vertical="center"/>
    </xf>
    <xf numFmtId="0" fontId="39" fillId="0" borderId="0" xfId="3" applyFont="1" applyAlignment="1" applyProtection="1">
      <alignment horizontal="left" vertical="center"/>
    </xf>
    <xf numFmtId="0" fontId="39" fillId="0" borderId="0" xfId="3" applyFont="1" applyAlignment="1" applyProtection="1">
      <alignment vertical="center"/>
    </xf>
    <xf numFmtId="0" fontId="37" fillId="0" borderId="0" xfId="3" applyAlignment="1" applyProtection="1">
      <alignment vertical="center"/>
    </xf>
    <xf numFmtId="0" fontId="38" fillId="0" borderId="0" xfId="3" applyFont="1" applyAlignment="1" applyProtection="1">
      <alignment horizontal="left" vertical="center"/>
    </xf>
    <xf numFmtId="0" fontId="45" fillId="0" borderId="0" xfId="3" applyFont="1" applyAlignment="1" applyProtection="1">
      <alignment horizontal="center" vertical="center"/>
    </xf>
    <xf numFmtId="0" fontId="40" fillId="0" borderId="0" xfId="3" applyFont="1" applyAlignment="1" applyProtection="1">
      <alignment horizontal="center" vertical="center"/>
    </xf>
    <xf numFmtId="0" fontId="39" fillId="0" borderId="17" xfId="3" applyFont="1" applyBorder="1" applyAlignment="1" applyProtection="1">
      <alignment horizontal="center" vertical="center"/>
    </xf>
    <xf numFmtId="2" fontId="39" fillId="0" borderId="0" xfId="3" applyNumberFormat="1" applyFont="1" applyAlignment="1" applyProtection="1">
      <alignment horizontal="center" vertical="center"/>
      <protection locked="0"/>
    </xf>
    <xf numFmtId="0" fontId="40" fillId="0" borderId="0" xfId="3" applyFont="1" applyAlignment="1" applyProtection="1">
      <alignment horizontal="left" vertical="center"/>
    </xf>
    <xf numFmtId="0" fontId="39" fillId="0" borderId="0" xfId="3" applyNumberFormat="1" applyFont="1" applyAlignment="1" applyProtection="1">
      <alignment vertical="center"/>
    </xf>
    <xf numFmtId="0" fontId="37" fillId="0" borderId="0" xfId="3" applyNumberFormat="1" applyAlignment="1" applyProtection="1">
      <alignment vertical="center"/>
    </xf>
    <xf numFmtId="0" fontId="40" fillId="0" borderId="0" xfId="3" applyNumberFormat="1" applyFont="1" applyAlignment="1" applyProtection="1">
      <alignment horizontal="left" vertical="center"/>
    </xf>
    <xf numFmtId="0" fontId="39" fillId="0" borderId="0" xfId="3" applyNumberFormat="1" applyFont="1" applyFill="1" applyAlignment="1" applyProtection="1">
      <alignment vertical="center"/>
    </xf>
    <xf numFmtId="0" fontId="37" fillId="0" borderId="0" xfId="3" applyNumberFormat="1" applyFill="1" applyAlignment="1" applyProtection="1">
      <alignment vertical="center"/>
    </xf>
    <xf numFmtId="0" fontId="40" fillId="0" borderId="0" xfId="3" applyNumberFormat="1" applyFont="1" applyFill="1" applyAlignment="1" applyProtection="1">
      <alignment horizontal="center" vertical="center"/>
    </xf>
    <xf numFmtId="0" fontId="39" fillId="12" borderId="0" xfId="3" applyNumberFormat="1" applyFont="1" applyFill="1" applyAlignment="1" applyProtection="1">
      <alignment horizontal="left" vertical="center"/>
      <protection locked="0"/>
    </xf>
    <xf numFmtId="0" fontId="37" fillId="0" borderId="0" xfId="3" applyAlignment="1" applyProtection="1">
      <alignment horizontal="left" vertical="center"/>
    </xf>
    <xf numFmtId="0" fontId="0" fillId="0" borderId="0" xfId="0" applyAlignment="1">
      <alignment horizontal="center" vertical="center" wrapText="1"/>
    </xf>
    <xf numFmtId="0" fontId="0" fillId="0" borderId="0" xfId="0" applyAlignment="1">
      <alignment vertical="center" wrapText="1"/>
    </xf>
    <xf numFmtId="0" fontId="35" fillId="0" borderId="0" xfId="0" applyFont="1"/>
    <xf numFmtId="1" fontId="0" fillId="4" borderId="19" xfId="0" applyNumberFormat="1" applyFill="1" applyBorder="1" applyAlignment="1" applyProtection="1">
      <alignment horizontal="center"/>
      <protection locked="0"/>
    </xf>
    <xf numFmtId="0" fontId="35" fillId="6" borderId="0" xfId="0" applyFont="1" applyFill="1"/>
    <xf numFmtId="0" fontId="1" fillId="0" borderId="6" xfId="0" applyFont="1" applyBorder="1" applyAlignment="1" applyProtection="1">
      <alignment horizontal="center" vertical="center"/>
    </xf>
    <xf numFmtId="0" fontId="0" fillId="0" borderId="0" xfId="0" applyAlignment="1">
      <alignment horizontal="center"/>
    </xf>
    <xf numFmtId="0" fontId="1" fillId="0" borderId="4" xfId="0" applyFont="1" applyBorder="1" applyAlignment="1" applyProtection="1">
      <alignment horizontal="center" vertical="center"/>
    </xf>
    <xf numFmtId="0" fontId="1" fillId="6" borderId="29" xfId="0" applyFont="1" applyFill="1" applyBorder="1" applyAlignment="1" applyProtection="1">
      <alignment vertical="center"/>
    </xf>
    <xf numFmtId="0" fontId="1" fillId="6" borderId="32" xfId="0" applyFont="1" applyFill="1" applyBorder="1" applyAlignment="1" applyProtection="1">
      <alignment vertical="center"/>
    </xf>
    <xf numFmtId="0" fontId="0" fillId="0" borderId="0" xfId="0" applyFill="1" applyBorder="1" applyAlignment="1" applyProtection="1"/>
    <xf numFmtId="0" fontId="0" fillId="8" borderId="0" xfId="0" applyFill="1" applyAlignment="1" applyProtection="1">
      <alignment horizontal="left"/>
      <protection locked="0"/>
    </xf>
    <xf numFmtId="0" fontId="2" fillId="3" borderId="0" xfId="0" applyFont="1" applyFill="1" applyAlignment="1">
      <alignment horizontal="center"/>
    </xf>
    <xf numFmtId="0" fontId="0" fillId="0" borderId="0" xfId="0" applyAlignment="1">
      <alignment horizontal="center"/>
    </xf>
    <xf numFmtId="0" fontId="2" fillId="3" borderId="0" xfId="0" applyFont="1" applyFill="1" applyAlignment="1">
      <alignment horizontal="left"/>
    </xf>
    <xf numFmtId="0" fontId="1" fillId="6" borderId="17" xfId="0" applyFont="1" applyFill="1" applyBorder="1" applyAlignment="1">
      <alignment horizontal="center"/>
    </xf>
    <xf numFmtId="0" fontId="1" fillId="6" borderId="17" xfId="0" applyFont="1" applyFill="1" applyBorder="1" applyAlignment="1" applyProtection="1">
      <alignment horizontal="center"/>
    </xf>
    <xf numFmtId="0" fontId="1" fillId="0" borderId="0" xfId="0" applyFont="1" applyAlignment="1">
      <alignment vertical="center"/>
    </xf>
    <xf numFmtId="0" fontId="1" fillId="0" borderId="0" xfId="0" applyFont="1" applyFill="1" applyBorder="1" applyAlignment="1">
      <alignment horizontal="center" vertical="center"/>
    </xf>
    <xf numFmtId="0" fontId="0" fillId="6" borderId="0" xfId="0" applyFill="1" applyAlignment="1">
      <alignment horizontal="left" vertical="center"/>
    </xf>
    <xf numFmtId="0" fontId="0" fillId="6" borderId="0" xfId="0" applyFill="1" applyBorder="1" applyAlignment="1" applyProtection="1">
      <alignment horizontal="center" vertical="center"/>
      <protection locked="0"/>
    </xf>
    <xf numFmtId="0" fontId="1" fillId="0" borderId="0" xfId="0" applyFont="1" applyBorder="1" applyAlignment="1">
      <alignment vertical="center"/>
    </xf>
    <xf numFmtId="0" fontId="1" fillId="6" borderId="0" xfId="0" applyFont="1" applyFill="1" applyAlignment="1">
      <alignment horizontal="right" vertical="center"/>
    </xf>
    <xf numFmtId="165" fontId="5" fillId="6" borderId="0" xfId="0" applyNumberFormat="1" applyFont="1" applyFill="1" applyAlignment="1">
      <alignment horizontal="center" vertical="center"/>
    </xf>
    <xf numFmtId="0" fontId="1" fillId="6" borderId="0" xfId="0" applyFont="1" applyFill="1" applyBorder="1" applyAlignment="1">
      <alignment horizontal="right" vertical="center"/>
    </xf>
    <xf numFmtId="0" fontId="0" fillId="5" borderId="17" xfId="0" applyFill="1" applyBorder="1" applyAlignment="1" applyProtection="1">
      <alignment horizontal="center" vertical="center"/>
      <protection locked="0"/>
    </xf>
    <xf numFmtId="0" fontId="0" fillId="0" borderId="17" xfId="0" applyBorder="1" applyAlignment="1">
      <alignment horizontal="center" vertical="center"/>
    </xf>
    <xf numFmtId="0" fontId="1" fillId="6" borderId="0" xfId="0" applyFont="1" applyFill="1" applyBorder="1" applyAlignment="1">
      <alignment horizontal="left" vertical="center"/>
    </xf>
    <xf numFmtId="0" fontId="1" fillId="0" borderId="5"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0" fillId="0" borderId="12" xfId="0" applyBorder="1" applyAlignment="1">
      <alignment horizontal="right" vertical="center" wrapText="1"/>
    </xf>
    <xf numFmtId="0" fontId="0" fillId="0" borderId="13" xfId="0" applyBorder="1" applyAlignment="1">
      <alignment horizontal="center" vertical="center" wrapText="1"/>
    </xf>
    <xf numFmtId="0" fontId="0" fillId="0" borderId="14" xfId="0" applyBorder="1" applyAlignment="1">
      <alignment horizontal="right"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pplyProtection="1">
      <alignment horizontal="center"/>
      <protection locked="0"/>
    </xf>
    <xf numFmtId="0" fontId="0" fillId="0" borderId="17" xfId="0" applyFont="1" applyBorder="1" applyAlignment="1" applyProtection="1">
      <alignment horizontal="center"/>
      <protection locked="0"/>
    </xf>
    <xf numFmtId="0" fontId="0" fillId="0" borderId="17" xfId="0" applyFont="1" applyFill="1" applyBorder="1" applyAlignment="1">
      <alignment horizontal="center"/>
    </xf>
    <xf numFmtId="0" fontId="35" fillId="2" borderId="0" xfId="0" applyFont="1" applyFill="1" applyAlignment="1" applyProtection="1">
      <alignment horizontal="center"/>
    </xf>
    <xf numFmtId="2" fontId="35" fillId="0" borderId="22" xfId="0" applyNumberFormat="1" applyFont="1" applyBorder="1" applyAlignment="1" applyProtection="1">
      <alignment horizontal="center" vertical="center"/>
    </xf>
    <xf numFmtId="2" fontId="35" fillId="0" borderId="21" xfId="0" applyNumberFormat="1" applyFont="1" applyBorder="1" applyAlignment="1" applyProtection="1">
      <alignment horizontal="center" vertical="center"/>
    </xf>
    <xf numFmtId="0" fontId="1" fillId="0" borderId="17" xfId="0" applyFont="1" applyBorder="1" applyAlignment="1" applyProtection="1">
      <alignment horizontal="left"/>
    </xf>
    <xf numFmtId="2" fontId="1" fillId="0" borderId="17" xfId="0" applyNumberFormat="1" applyFont="1" applyBorder="1" applyAlignment="1" applyProtection="1">
      <alignment horizontal="center"/>
    </xf>
    <xf numFmtId="0" fontId="0" fillId="0" borderId="17" xfId="0" applyBorder="1" applyProtection="1"/>
    <xf numFmtId="2" fontId="35" fillId="0" borderId="18" xfId="0" applyNumberFormat="1" applyFont="1" applyBorder="1" applyAlignment="1" applyProtection="1">
      <alignment horizontal="center" vertical="center"/>
    </xf>
    <xf numFmtId="2" fontId="1" fillId="0" borderId="20" xfId="0" applyNumberFormat="1" applyFont="1" applyBorder="1" applyAlignment="1" applyProtection="1">
      <alignment horizontal="left"/>
    </xf>
    <xf numFmtId="2" fontId="0" fillId="0" borderId="17" xfId="0" applyNumberFormat="1" applyBorder="1" applyAlignment="1" applyProtection="1">
      <alignment vertical="center"/>
    </xf>
    <xf numFmtId="165" fontId="0" fillId="0" borderId="17" xfId="0" applyNumberFormat="1" applyFont="1" applyBorder="1" applyAlignment="1" applyProtection="1">
      <alignment horizontal="center"/>
    </xf>
    <xf numFmtId="0" fontId="1" fillId="0" borderId="38" xfId="0" applyFont="1" applyBorder="1" applyAlignment="1" applyProtection="1">
      <alignment horizontal="center"/>
    </xf>
    <xf numFmtId="0" fontId="1" fillId="0" borderId="38" xfId="0" applyFont="1" applyBorder="1" applyProtection="1"/>
    <xf numFmtId="165" fontId="0" fillId="0" borderId="36" xfId="0" applyNumberFormat="1" applyFont="1" applyBorder="1" applyAlignment="1" applyProtection="1">
      <alignment horizontal="center"/>
    </xf>
    <xf numFmtId="0" fontId="1" fillId="0" borderId="39" xfId="0" applyFont="1" applyBorder="1" applyProtection="1"/>
    <xf numFmtId="0" fontId="0" fillId="0" borderId="40" xfId="0" applyBorder="1" applyAlignment="1" applyProtection="1">
      <alignment horizontal="center"/>
    </xf>
    <xf numFmtId="165" fontId="0" fillId="0" borderId="40" xfId="0" applyNumberFormat="1" applyFont="1" applyBorder="1" applyAlignment="1" applyProtection="1">
      <alignment horizontal="center"/>
    </xf>
    <xf numFmtId="165" fontId="0" fillId="0" borderId="37" xfId="0" applyNumberFormat="1" applyFont="1" applyBorder="1" applyAlignment="1" applyProtection="1">
      <alignment horizontal="center"/>
    </xf>
    <xf numFmtId="0" fontId="20" fillId="0" borderId="4" xfId="0" applyFont="1" applyBorder="1" applyAlignment="1">
      <alignment horizontal="center"/>
    </xf>
    <xf numFmtId="166" fontId="1" fillId="0" borderId="2" xfId="0" applyNumberFormat="1" applyFont="1" applyBorder="1" applyAlignment="1">
      <alignment horizontal="center"/>
    </xf>
    <xf numFmtId="0" fontId="1" fillId="0" borderId="3" xfId="0" applyFont="1" applyBorder="1" applyAlignment="1"/>
    <xf numFmtId="0" fontId="0" fillId="0" borderId="0" xfId="0" applyBorder="1" applyAlignment="1">
      <alignment horizontal="center"/>
    </xf>
    <xf numFmtId="0" fontId="0" fillId="0" borderId="0" xfId="0" applyAlignment="1">
      <alignment horizontal="center"/>
    </xf>
    <xf numFmtId="0" fontId="1" fillId="0" borderId="17" xfId="0" applyFont="1" applyFill="1" applyBorder="1" applyAlignment="1" applyProtection="1">
      <alignment horizontal="center"/>
    </xf>
    <xf numFmtId="0" fontId="1" fillId="0" borderId="36" xfId="0" applyFont="1" applyFill="1" applyBorder="1" applyAlignment="1" applyProtection="1">
      <alignment horizontal="center"/>
    </xf>
    <xf numFmtId="165" fontId="0" fillId="0" borderId="28" xfId="0" applyNumberFormat="1" applyFill="1" applyBorder="1" applyAlignment="1" applyProtection="1">
      <alignment horizontal="center"/>
    </xf>
    <xf numFmtId="165" fontId="0" fillId="0" borderId="2" xfId="0" applyNumberFormat="1" applyFill="1" applyBorder="1" applyProtection="1"/>
    <xf numFmtId="0" fontId="0" fillId="0" borderId="3" xfId="0" applyFill="1" applyBorder="1" applyProtection="1"/>
    <xf numFmtId="0" fontId="0" fillId="0" borderId="4" xfId="0" applyFill="1" applyBorder="1" applyAlignment="1" applyProtection="1">
      <alignment horizontal="left"/>
    </xf>
    <xf numFmtId="165" fontId="0" fillId="0" borderId="30" xfId="0" applyNumberFormat="1" applyFill="1" applyBorder="1" applyAlignment="1" applyProtection="1">
      <alignment horizontal="center"/>
    </xf>
    <xf numFmtId="165" fontId="0" fillId="0" borderId="0" xfId="0" applyNumberFormat="1" applyFill="1" applyBorder="1" applyProtection="1"/>
    <xf numFmtId="0" fontId="0" fillId="0" borderId="5" xfId="0" applyFill="1" applyBorder="1" applyProtection="1"/>
    <xf numFmtId="0" fontId="0" fillId="0" borderId="4" xfId="0" applyFill="1" applyBorder="1" applyAlignment="1" applyProtection="1"/>
    <xf numFmtId="1" fontId="0" fillId="0" borderId="30" xfId="0" applyNumberFormat="1" applyFill="1" applyBorder="1" applyAlignment="1" applyProtection="1">
      <alignment horizontal="center"/>
    </xf>
    <xf numFmtId="165" fontId="0" fillId="0" borderId="17" xfId="0" applyNumberFormat="1" applyBorder="1" applyAlignment="1">
      <alignment horizontal="center"/>
    </xf>
    <xf numFmtId="0" fontId="1" fillId="0" borderId="17" xfId="0" applyFont="1" applyFill="1" applyBorder="1" applyAlignment="1">
      <alignment horizontal="center"/>
    </xf>
    <xf numFmtId="0" fontId="1" fillId="0" borderId="17" xfId="0" applyFont="1" applyFill="1" applyBorder="1" applyAlignment="1" applyProtection="1">
      <alignment horizontal="center"/>
      <protection locked="0"/>
    </xf>
    <xf numFmtId="0" fontId="1" fillId="6" borderId="28" xfId="0" applyFont="1" applyFill="1" applyBorder="1" applyAlignment="1" applyProtection="1">
      <alignment horizontal="right"/>
    </xf>
    <xf numFmtId="0" fontId="1" fillId="6" borderId="0" xfId="0" applyFont="1" applyFill="1" applyBorder="1" applyAlignment="1" applyProtection="1">
      <alignment horizontal="center"/>
    </xf>
    <xf numFmtId="0" fontId="1" fillId="6" borderId="0" xfId="0" applyFont="1" applyFill="1" applyBorder="1" applyAlignment="1" applyProtection="1">
      <alignment horizontal="left"/>
    </xf>
    <xf numFmtId="0" fontId="0" fillId="0" borderId="17" xfId="0" applyFill="1" applyBorder="1" applyAlignment="1" applyProtection="1">
      <alignment horizontal="center"/>
    </xf>
    <xf numFmtId="0" fontId="0" fillId="6" borderId="17" xfId="0" applyFill="1" applyBorder="1" applyAlignment="1" applyProtection="1">
      <alignment horizontal="center"/>
      <protection locked="0"/>
    </xf>
    <xf numFmtId="0" fontId="0" fillId="0" borderId="17" xfId="0" applyFill="1" applyBorder="1" applyAlignment="1" applyProtection="1">
      <alignment horizontal="left"/>
    </xf>
    <xf numFmtId="0" fontId="0" fillId="0" borderId="20" xfId="0" applyBorder="1" applyAlignment="1">
      <alignment horizontal="center"/>
    </xf>
    <xf numFmtId="0" fontId="0" fillId="0" borderId="22" xfId="0" applyBorder="1" applyAlignment="1">
      <alignment horizontal="center"/>
    </xf>
    <xf numFmtId="0" fontId="0" fillId="0" borderId="0" xfId="0" applyAlignment="1">
      <alignment horizontal="center"/>
    </xf>
    <xf numFmtId="0" fontId="0" fillId="4" borderId="17" xfId="0" applyFill="1" applyBorder="1" applyAlignment="1" applyProtection="1">
      <alignment horizontal="left"/>
      <protection locked="0"/>
    </xf>
    <xf numFmtId="0" fontId="0" fillId="4" borderId="18" xfId="0" applyFill="1" applyBorder="1" applyAlignment="1" applyProtection="1">
      <alignment horizontal="center"/>
      <protection locked="0"/>
    </xf>
    <xf numFmtId="0" fontId="0" fillId="4" borderId="60" xfId="0" applyFill="1" applyBorder="1" applyAlignment="1" applyProtection="1">
      <alignment horizontal="center"/>
      <protection locked="0"/>
    </xf>
    <xf numFmtId="165" fontId="0" fillId="6" borderId="0" xfId="0" applyNumberFormat="1" applyFill="1" applyBorder="1" applyAlignment="1" applyProtection="1">
      <alignment horizontal="center"/>
    </xf>
    <xf numFmtId="2" fontId="0" fillId="6" borderId="0" xfId="0" applyNumberFormat="1" applyFill="1" applyBorder="1" applyAlignment="1" applyProtection="1">
      <alignment horizontal="center"/>
    </xf>
    <xf numFmtId="0" fontId="0" fillId="6" borderId="0" xfId="0" applyFill="1" applyBorder="1" applyAlignment="1" applyProtection="1">
      <alignment horizontal="right"/>
    </xf>
    <xf numFmtId="43" fontId="0" fillId="6" borderId="0" xfId="2" applyFont="1" applyFill="1" applyBorder="1" applyProtection="1"/>
    <xf numFmtId="43" fontId="0" fillId="6" borderId="0" xfId="2" applyFont="1" applyFill="1" applyBorder="1" applyAlignment="1" applyProtection="1">
      <alignment vertical="center"/>
    </xf>
    <xf numFmtId="0" fontId="0" fillId="6" borderId="17" xfId="0" applyFill="1" applyBorder="1" applyProtection="1"/>
    <xf numFmtId="165" fontId="0" fillId="0" borderId="17" xfId="0" applyNumberFormat="1" applyBorder="1" applyAlignment="1" applyProtection="1">
      <alignment horizontal="right"/>
    </xf>
    <xf numFmtId="165" fontId="0" fillId="6" borderId="17" xfId="0" applyNumberFormat="1" applyFill="1" applyBorder="1" applyAlignment="1" applyProtection="1">
      <alignment horizontal="center"/>
    </xf>
    <xf numFmtId="165" fontId="1" fillId="6" borderId="17" xfId="0" applyNumberFormat="1" applyFont="1" applyFill="1" applyBorder="1" applyAlignment="1" applyProtection="1">
      <alignment horizontal="left"/>
    </xf>
    <xf numFmtId="164" fontId="0" fillId="0" borderId="17" xfId="0" applyNumberFormat="1" applyFill="1" applyBorder="1" applyAlignment="1" applyProtection="1">
      <alignment horizontal="center"/>
    </xf>
    <xf numFmtId="0" fontId="1" fillId="0" borderId="6" xfId="0" applyFont="1" applyFill="1" applyBorder="1" applyAlignment="1" applyProtection="1">
      <alignment horizontal="center"/>
    </xf>
    <xf numFmtId="0" fontId="0" fillId="0" borderId="30" xfId="0" applyFill="1" applyBorder="1" applyAlignment="1" applyProtection="1">
      <alignment horizontal="center"/>
      <protection locked="0"/>
    </xf>
    <xf numFmtId="0" fontId="1" fillId="0" borderId="7" xfId="0" applyFont="1" applyFill="1" applyBorder="1" applyAlignment="1" applyProtection="1">
      <alignment horizontal="left"/>
    </xf>
    <xf numFmtId="164" fontId="1" fillId="6" borderId="0" xfId="0" applyNumberFormat="1" applyFont="1" applyFill="1" applyBorder="1" applyAlignment="1" applyProtection="1">
      <alignment horizontal="left"/>
    </xf>
    <xf numFmtId="0" fontId="1" fillId="6" borderId="17" xfId="0" applyFont="1" applyFill="1" applyBorder="1" applyAlignment="1" applyProtection="1">
      <alignment horizontal="center"/>
    </xf>
    <xf numFmtId="0" fontId="1" fillId="0" borderId="16" xfId="0" applyFont="1" applyBorder="1" applyAlignment="1">
      <alignment horizontal="center"/>
    </xf>
    <xf numFmtId="0" fontId="1" fillId="0" borderId="14" xfId="0" applyFont="1"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0" fillId="6" borderId="0" xfId="0" applyFont="1" applyFill="1" applyAlignment="1" applyProtection="1">
      <alignment horizontal="left"/>
    </xf>
    <xf numFmtId="0" fontId="0" fillId="6" borderId="21" xfId="0" applyFont="1" applyFill="1" applyBorder="1" applyAlignment="1" applyProtection="1"/>
    <xf numFmtId="0" fontId="0" fillId="0" borderId="17" xfId="0" applyBorder="1" applyAlignment="1">
      <alignment horizontal="center"/>
    </xf>
    <xf numFmtId="0" fontId="1" fillId="0" borderId="17" xfId="0" applyFont="1" applyBorder="1" applyAlignment="1">
      <alignment horizontal="center"/>
    </xf>
    <xf numFmtId="0" fontId="0" fillId="4" borderId="22" xfId="0" applyFill="1" applyBorder="1" applyAlignment="1" applyProtection="1">
      <alignment horizontal="center"/>
      <protection locked="0"/>
    </xf>
    <xf numFmtId="165" fontId="0" fillId="4" borderId="30" xfId="0" applyNumberFormat="1" applyFill="1" applyBorder="1" applyAlignment="1" applyProtection="1">
      <alignment horizontal="center"/>
      <protection locked="0"/>
    </xf>
    <xf numFmtId="0" fontId="0" fillId="5" borderId="26" xfId="0" applyFill="1" applyBorder="1" applyAlignment="1" applyProtection="1">
      <alignment horizontal="center" vertical="center"/>
      <protection locked="0"/>
    </xf>
    <xf numFmtId="0" fontId="0" fillId="6" borderId="50" xfId="0" applyFill="1" applyBorder="1" applyAlignment="1" applyProtection="1">
      <alignment horizontal="center" vertical="center"/>
    </xf>
    <xf numFmtId="0" fontId="0" fillId="6" borderId="29" xfId="0" applyFill="1" applyBorder="1" applyAlignment="1" applyProtection="1">
      <alignment horizontal="center" vertical="center"/>
    </xf>
    <xf numFmtId="0" fontId="0" fillId="6" borderId="44" xfId="0" applyFill="1" applyBorder="1" applyAlignment="1" applyProtection="1">
      <alignment horizontal="center" vertical="center"/>
    </xf>
    <xf numFmtId="14" fontId="0" fillId="5" borderId="44" xfId="0" applyNumberFormat="1" applyFill="1" applyBorder="1" applyAlignment="1" applyProtection="1">
      <alignment horizontal="center" vertical="center"/>
      <protection locked="0"/>
    </xf>
    <xf numFmtId="0" fontId="0" fillId="5" borderId="34" xfId="0" applyFill="1" applyBorder="1" applyAlignment="1" applyProtection="1">
      <alignment horizontal="center" vertical="center"/>
      <protection locked="0"/>
    </xf>
    <xf numFmtId="0" fontId="0" fillId="5" borderId="42" xfId="0" applyFill="1" applyBorder="1" applyAlignment="1" applyProtection="1">
      <alignment horizontal="center" vertical="center"/>
      <protection locked="0"/>
    </xf>
    <xf numFmtId="0" fontId="59" fillId="6" borderId="0" xfId="0" applyFont="1" applyFill="1" applyBorder="1"/>
    <xf numFmtId="0" fontId="0" fillId="6" borderId="0" xfId="0" applyFill="1" applyBorder="1" applyAlignment="1">
      <alignment horizontal="right"/>
    </xf>
    <xf numFmtId="0" fontId="0" fillId="6" borderId="0" xfId="0" applyFill="1" applyBorder="1" applyAlignment="1">
      <alignment vertical="center" wrapText="1"/>
    </xf>
    <xf numFmtId="0" fontId="1" fillId="0" borderId="4" xfId="0" applyFont="1" applyFill="1" applyBorder="1"/>
    <xf numFmtId="0" fontId="4" fillId="4" borderId="17" xfId="0" applyFont="1" applyFill="1" applyBorder="1" applyAlignment="1" applyProtection="1">
      <alignment horizontal="center"/>
      <protection locked="0"/>
    </xf>
    <xf numFmtId="0" fontId="4" fillId="6" borderId="0" xfId="0" applyFont="1" applyFill="1"/>
    <xf numFmtId="0" fontId="4" fillId="6" borderId="0" xfId="0" applyFont="1" applyFill="1" applyAlignment="1">
      <alignment horizontal="right"/>
    </xf>
    <xf numFmtId="1" fontId="4" fillId="6" borderId="0" xfId="0" applyNumberFormat="1" applyFont="1" applyFill="1" applyAlignment="1">
      <alignment horizontal="center"/>
    </xf>
    <xf numFmtId="0" fontId="53" fillId="6" borderId="0" xfId="0" applyFont="1" applyFill="1" applyBorder="1"/>
    <xf numFmtId="0" fontId="4" fillId="6" borderId="0" xfId="0" applyFont="1" applyFill="1" applyBorder="1"/>
    <xf numFmtId="0" fontId="0" fillId="6" borderId="0" xfId="0" applyFill="1" applyProtection="1"/>
    <xf numFmtId="0" fontId="0" fillId="16" borderId="17" xfId="0" applyFill="1" applyBorder="1" applyAlignment="1" applyProtection="1">
      <alignment horizontal="center" vertical="center"/>
      <protection locked="0"/>
    </xf>
    <xf numFmtId="0" fontId="0" fillId="0" borderId="19" xfId="0" applyFill="1" applyBorder="1" applyAlignment="1" applyProtection="1">
      <alignment horizontal="center" vertical="center"/>
    </xf>
    <xf numFmtId="0" fontId="62" fillId="0" borderId="19" xfId="0" applyFont="1" applyFill="1" applyBorder="1" applyAlignment="1" applyProtection="1">
      <alignment horizontal="center" vertical="center"/>
    </xf>
    <xf numFmtId="0" fontId="0" fillId="0" borderId="6" xfId="0" applyBorder="1" applyAlignment="1">
      <alignment horizontal="center"/>
    </xf>
    <xf numFmtId="0" fontId="0" fillId="0" borderId="7" xfId="0" applyBorder="1" applyAlignment="1">
      <alignment horizontal="center"/>
    </xf>
    <xf numFmtId="0" fontId="0" fillId="0" borderId="2" xfId="0" applyBorder="1" applyAlignment="1">
      <alignment horizontal="center"/>
    </xf>
    <xf numFmtId="0" fontId="21" fillId="0" borderId="17" xfId="0" applyFont="1" applyBorder="1" applyAlignment="1">
      <alignment horizontal="center"/>
    </xf>
    <xf numFmtId="0" fontId="0" fillId="0" borderId="0" xfId="0" applyBorder="1" applyAlignment="1">
      <alignment horizontal="center"/>
    </xf>
    <xf numFmtId="2"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0" borderId="5" xfId="0" applyBorder="1" applyAlignment="1">
      <alignment horizontal="center"/>
    </xf>
    <xf numFmtId="0" fontId="0" fillId="0" borderId="3" xfId="0" applyBorder="1" applyAlignment="1">
      <alignment horizontal="center"/>
    </xf>
    <xf numFmtId="0" fontId="0" fillId="4" borderId="17" xfId="0" applyFont="1" applyFill="1" applyBorder="1" applyAlignment="1" applyProtection="1">
      <alignment horizontal="center"/>
      <protection locked="0"/>
    </xf>
    <xf numFmtId="0" fontId="0" fillId="0" borderId="17" xfId="0" applyFont="1" applyFill="1" applyBorder="1" applyAlignment="1" applyProtection="1">
      <alignment horizontal="center" vertical="center"/>
    </xf>
    <xf numFmtId="0" fontId="0" fillId="0" borderId="17" xfId="0" applyFont="1" applyBorder="1" applyAlignment="1" applyProtection="1">
      <alignment horizontal="center"/>
    </xf>
    <xf numFmtId="0" fontId="0" fillId="7" borderId="8" xfId="0" applyFill="1" applyBorder="1" applyAlignment="1">
      <alignment horizontal="center"/>
    </xf>
    <xf numFmtId="0" fontId="0" fillId="17" borderId="17" xfId="0" applyFill="1" applyBorder="1" applyAlignment="1">
      <alignment horizontal="center"/>
    </xf>
    <xf numFmtId="49" fontId="0" fillId="0" borderId="17" xfId="0" applyNumberFormat="1" applyBorder="1" applyAlignment="1">
      <alignment horizontal="center"/>
    </xf>
    <xf numFmtId="0" fontId="0" fillId="0" borderId="4" xfId="0" applyNumberFormat="1" applyBorder="1" applyAlignment="1">
      <alignment horizontal="center"/>
    </xf>
    <xf numFmtId="0" fontId="0" fillId="0" borderId="1" xfId="0" applyNumberFormat="1" applyBorder="1" applyAlignment="1">
      <alignment horizontal="center"/>
    </xf>
    <xf numFmtId="0" fontId="0" fillId="2" borderId="4" xfId="0" applyFill="1" applyBorder="1" applyAlignment="1">
      <alignment horizontal="center"/>
    </xf>
    <xf numFmtId="0" fontId="0" fillId="7" borderId="4" xfId="0" applyFill="1" applyBorder="1" applyAlignment="1">
      <alignment horizontal="center"/>
    </xf>
    <xf numFmtId="0" fontId="0" fillId="6" borderId="0" xfId="0" applyFill="1" applyBorder="1" applyAlignment="1">
      <alignment horizontal="center"/>
    </xf>
    <xf numFmtId="9" fontId="0" fillId="0" borderId="29" xfId="1" applyFont="1" applyBorder="1" applyAlignment="1">
      <alignment horizontal="center" vertical="center"/>
    </xf>
    <xf numFmtId="9" fontId="0" fillId="0" borderId="32" xfId="1" applyFont="1" applyBorder="1" applyAlignment="1">
      <alignment horizontal="center" vertical="center"/>
    </xf>
    <xf numFmtId="0" fontId="0" fillId="0" borderId="42" xfId="0" applyBorder="1" applyAlignment="1">
      <alignment horizontal="center" vertical="center"/>
    </xf>
    <xf numFmtId="0" fontId="1" fillId="6" borderId="0" xfId="0" applyFont="1" applyFill="1" applyBorder="1" applyAlignment="1">
      <alignment horizontal="center" vertical="center"/>
    </xf>
    <xf numFmtId="2" fontId="0" fillId="0" borderId="17" xfId="0" applyNumberFormat="1" applyBorder="1" applyAlignment="1">
      <alignment horizontal="center" vertical="center"/>
    </xf>
    <xf numFmtId="0" fontId="1" fillId="0" borderId="43" xfId="0" applyFont="1" applyBorder="1" applyAlignment="1">
      <alignment horizontal="center" vertical="center"/>
    </xf>
    <xf numFmtId="0" fontId="0" fillId="6" borderId="46" xfId="0" applyFill="1" applyBorder="1" applyAlignment="1">
      <alignment horizontal="center" vertical="center"/>
    </xf>
    <xf numFmtId="0" fontId="0" fillId="0" borderId="46" xfId="0" applyBorder="1" applyAlignment="1">
      <alignment horizontal="center" vertical="center"/>
    </xf>
    <xf numFmtId="0" fontId="0" fillId="6" borderId="35" xfId="0" applyFont="1" applyFill="1" applyBorder="1" applyAlignment="1">
      <alignment horizontal="center" vertical="center"/>
    </xf>
    <xf numFmtId="0" fontId="0" fillId="4" borderId="38" xfId="0" applyFill="1" applyBorder="1" applyAlignment="1" applyProtection="1">
      <alignment horizontal="center" vertical="center"/>
      <protection locked="0"/>
    </xf>
    <xf numFmtId="0" fontId="0" fillId="6" borderId="36" xfId="0" applyFont="1" applyFill="1" applyBorder="1" applyAlignment="1">
      <alignment horizontal="center" vertical="center"/>
    </xf>
    <xf numFmtId="0" fontId="1" fillId="6" borderId="39" xfId="0" applyFont="1" applyFill="1" applyBorder="1" applyAlignment="1" applyProtection="1">
      <alignment horizontal="center" vertical="center"/>
      <protection locked="0"/>
    </xf>
    <xf numFmtId="0" fontId="0" fillId="6" borderId="40" xfId="0" applyFill="1" applyBorder="1" applyAlignment="1">
      <alignment horizontal="center" vertical="center"/>
    </xf>
    <xf numFmtId="165" fontId="1" fillId="0" borderId="40" xfId="0" applyNumberFormat="1" applyFont="1" applyBorder="1" applyAlignment="1">
      <alignment horizontal="center" vertical="center"/>
    </xf>
    <xf numFmtId="0" fontId="1" fillId="0" borderId="40" xfId="0" applyFont="1" applyBorder="1" applyAlignment="1">
      <alignment horizontal="center" vertical="center"/>
    </xf>
    <xf numFmtId="165" fontId="1" fillId="0" borderId="37" xfId="0" applyNumberFormat="1" applyFont="1" applyBorder="1" applyAlignment="1">
      <alignment horizontal="center" vertical="center"/>
    </xf>
    <xf numFmtId="2" fontId="1" fillId="0" borderId="14" xfId="0" applyNumberFormat="1" applyFont="1" applyBorder="1" applyAlignment="1" applyProtection="1">
      <alignment horizontal="left"/>
    </xf>
    <xf numFmtId="2" fontId="35" fillId="0" borderId="15" xfId="0" applyNumberFormat="1" applyFont="1" applyBorder="1" applyAlignment="1" applyProtection="1">
      <alignment horizontal="center" vertical="center"/>
    </xf>
    <xf numFmtId="2" fontId="35" fillId="0" borderId="16" xfId="0" applyNumberFormat="1" applyFont="1" applyBorder="1" applyAlignment="1" applyProtection="1">
      <alignment horizontal="center" vertical="center"/>
    </xf>
    <xf numFmtId="2" fontId="1" fillId="0" borderId="39" xfId="0" applyNumberFormat="1" applyFont="1" applyBorder="1" applyAlignment="1" applyProtection="1">
      <alignment horizontal="right"/>
    </xf>
    <xf numFmtId="2" fontId="9" fillId="2" borderId="40" xfId="0" applyNumberFormat="1" applyFont="1" applyFill="1" applyBorder="1" applyAlignment="1" applyProtection="1">
      <alignment horizontal="center"/>
    </xf>
    <xf numFmtId="2" fontId="9" fillId="2" borderId="37" xfId="0" applyNumberFormat="1" applyFont="1" applyFill="1" applyBorder="1" applyAlignment="1" applyProtection="1">
      <alignment horizontal="center"/>
    </xf>
    <xf numFmtId="0" fontId="1" fillId="0" borderId="43" xfId="0" applyFont="1" applyFill="1" applyBorder="1" applyAlignment="1" applyProtection="1">
      <alignment horizontal="center"/>
    </xf>
    <xf numFmtId="0" fontId="1" fillId="0" borderId="46" xfId="0" applyFont="1" applyBorder="1" applyAlignment="1" applyProtection="1">
      <alignment horizontal="center"/>
    </xf>
    <xf numFmtId="0" fontId="1" fillId="0" borderId="35" xfId="0" applyFont="1" applyBorder="1" applyAlignment="1" applyProtection="1">
      <alignment horizontal="center"/>
    </xf>
    <xf numFmtId="2" fontId="1" fillId="0" borderId="38" xfId="0" applyNumberFormat="1" applyFont="1" applyBorder="1" applyAlignment="1" applyProtection="1">
      <alignment horizontal="right"/>
    </xf>
    <xf numFmtId="2" fontId="1" fillId="0" borderId="38" xfId="0" applyNumberFormat="1" applyFont="1" applyBorder="1" applyAlignment="1" applyProtection="1">
      <alignment horizontal="right" wrapText="1"/>
    </xf>
    <xf numFmtId="0" fontId="35" fillId="0" borderId="38" xfId="0" applyFont="1" applyFill="1" applyBorder="1" applyAlignment="1" applyProtection="1">
      <alignment horizontal="center"/>
    </xf>
    <xf numFmtId="2" fontId="35" fillId="0" borderId="18" xfId="0" applyNumberFormat="1" applyFont="1" applyBorder="1" applyAlignment="1" applyProtection="1">
      <alignment horizontal="left"/>
    </xf>
    <xf numFmtId="0" fontId="35" fillId="0" borderId="54" xfId="0" applyFont="1" applyFill="1" applyBorder="1" applyAlignment="1" applyProtection="1">
      <alignment horizontal="center" vertical="center" wrapText="1"/>
    </xf>
    <xf numFmtId="0" fontId="35" fillId="2" borderId="0" xfId="0" applyFont="1" applyFill="1" applyAlignment="1" applyProtection="1">
      <alignment horizontal="left"/>
    </xf>
    <xf numFmtId="0" fontId="1" fillId="0" borderId="29" xfId="0" applyFont="1" applyBorder="1" applyAlignment="1" applyProtection="1">
      <alignment horizontal="center" vertical="center"/>
    </xf>
    <xf numFmtId="0" fontId="1" fillId="0" borderId="32" xfId="0" applyFont="1" applyBorder="1" applyAlignment="1" applyProtection="1">
      <alignment horizontal="center" vertical="center"/>
    </xf>
    <xf numFmtId="0" fontId="1" fillId="0" borderId="26" xfId="0" applyFont="1" applyBorder="1" applyAlignment="1" applyProtection="1">
      <alignment horizontal="center" vertical="center"/>
    </xf>
    <xf numFmtId="0" fontId="1" fillId="0" borderId="1" xfId="0" applyFont="1" applyBorder="1" applyAlignment="1" applyProtection="1">
      <alignment horizontal="center" vertical="center"/>
    </xf>
    <xf numFmtId="165" fontId="1" fillId="6" borderId="0" xfId="0" applyNumberFormat="1" applyFont="1" applyFill="1" applyBorder="1" applyAlignment="1" applyProtection="1">
      <alignment horizontal="left"/>
    </xf>
    <xf numFmtId="0" fontId="0" fillId="6" borderId="0" xfId="0" applyFill="1" applyBorder="1" applyAlignment="1" applyProtection="1">
      <alignment horizontal="left"/>
    </xf>
    <xf numFmtId="2" fontId="39" fillId="0" borderId="0" xfId="0" applyNumberFormat="1" applyFont="1" applyBorder="1" applyAlignment="1" applyProtection="1">
      <alignment horizontal="center"/>
    </xf>
    <xf numFmtId="0" fontId="0" fillId="5" borderId="31" xfId="0" applyFill="1" applyBorder="1" applyAlignment="1" applyProtection="1">
      <alignment horizontal="center" vertical="center"/>
      <protection locked="0"/>
    </xf>
    <xf numFmtId="0" fontId="1" fillId="0" borderId="42" xfId="0" applyFont="1" applyBorder="1" applyAlignment="1" applyProtection="1">
      <alignment horizontal="center" vertical="center"/>
    </xf>
    <xf numFmtId="0" fontId="1" fillId="6" borderId="0" xfId="0" applyFont="1" applyFill="1" applyAlignment="1" applyProtection="1">
      <alignment horizontal="center" vertical="center"/>
    </xf>
    <xf numFmtId="0" fontId="35" fillId="6" borderId="0" xfId="0" applyFont="1" applyFill="1" applyAlignment="1" applyProtection="1">
      <alignment vertical="center"/>
    </xf>
    <xf numFmtId="0" fontId="0" fillId="5" borderId="33" xfId="0" applyFill="1" applyBorder="1" applyAlignment="1" applyProtection="1">
      <alignment horizontal="center" vertical="center"/>
      <protection locked="0"/>
    </xf>
    <xf numFmtId="0" fontId="27" fillId="6" borderId="0" xfId="0" applyFont="1" applyFill="1" applyAlignment="1" applyProtection="1">
      <alignment vertical="center"/>
    </xf>
    <xf numFmtId="0" fontId="0" fillId="6" borderId="0" xfId="0" applyFill="1" applyAlignment="1" applyProtection="1">
      <alignment horizontal="center" vertical="center"/>
    </xf>
    <xf numFmtId="0" fontId="0" fillId="6" borderId="50" xfId="0" applyFill="1" applyBorder="1" applyAlignment="1" applyProtection="1">
      <alignment vertical="center"/>
    </xf>
    <xf numFmtId="0" fontId="0" fillId="5" borderId="57" xfId="0" applyFill="1" applyBorder="1" applyAlignment="1" applyProtection="1">
      <alignment horizontal="center" vertical="center"/>
      <protection locked="0"/>
    </xf>
    <xf numFmtId="0" fontId="1" fillId="6" borderId="17" xfId="0" applyFont="1" applyFill="1" applyBorder="1" applyAlignment="1">
      <alignment horizontal="center" vertical="center"/>
    </xf>
    <xf numFmtId="0" fontId="65" fillId="0" borderId="0" xfId="0" applyFont="1" applyAlignment="1" applyProtection="1">
      <alignment horizontal="center" vertical="center"/>
    </xf>
    <xf numFmtId="0" fontId="65" fillId="0" borderId="28" xfId="0" applyFont="1" applyBorder="1" applyAlignment="1" applyProtection="1">
      <alignment horizontal="left" vertical="center"/>
    </xf>
    <xf numFmtId="0" fontId="65" fillId="0" borderId="0" xfId="0" applyNumberFormat="1" applyFont="1" applyAlignment="1" applyProtection="1">
      <alignment horizontal="center" vertical="center"/>
    </xf>
    <xf numFmtId="0" fontId="1" fillId="6" borderId="0" xfId="0" applyFont="1" applyFill="1" applyBorder="1" applyAlignment="1" applyProtection="1">
      <alignment horizontal="left"/>
    </xf>
    <xf numFmtId="0" fontId="0" fillId="0" borderId="17" xfId="0" applyBorder="1" applyAlignment="1">
      <alignment horizontal="center"/>
    </xf>
    <xf numFmtId="0" fontId="0" fillId="4" borderId="17" xfId="0" applyFill="1" applyBorder="1" applyAlignment="1" applyProtection="1">
      <alignment horizontal="center"/>
      <protection locked="0"/>
    </xf>
    <xf numFmtId="0" fontId="1" fillId="0" borderId="0" xfId="0" applyFont="1" applyAlignment="1">
      <alignment horizontal="center"/>
    </xf>
    <xf numFmtId="0" fontId="35" fillId="2" borderId="0" xfId="0" applyFont="1" applyFill="1"/>
    <xf numFmtId="0" fontId="0" fillId="2" borderId="0" xfId="0" applyFill="1" applyAlignment="1">
      <alignment horizontal="right"/>
    </xf>
    <xf numFmtId="1" fontId="0" fillId="2" borderId="0" xfId="0" applyNumberFormat="1" applyFill="1" applyAlignment="1">
      <alignment horizontal="center"/>
    </xf>
    <xf numFmtId="0" fontId="12" fillId="0" borderId="0" xfId="0" applyFont="1" applyAlignment="1">
      <alignment horizontal="left" vertical="center"/>
    </xf>
    <xf numFmtId="0" fontId="0" fillId="0" borderId="0" xfId="0" applyAlignment="1">
      <alignment horizontal="left"/>
    </xf>
    <xf numFmtId="2" fontId="0" fillId="0" borderId="0" xfId="0" applyNumberFormat="1" applyAlignment="1">
      <alignment horizontal="center"/>
    </xf>
    <xf numFmtId="0" fontId="0" fillId="0" borderId="0" xfId="0" applyAlignment="1">
      <alignment horizontal="center"/>
    </xf>
    <xf numFmtId="0" fontId="0" fillId="4" borderId="17" xfId="0" applyFill="1" applyBorder="1" applyAlignment="1" applyProtection="1">
      <alignment horizontal="center"/>
      <protection locked="0"/>
    </xf>
    <xf numFmtId="0" fontId="1" fillId="6" borderId="17" xfId="0" applyFont="1" applyFill="1" applyBorder="1" applyAlignment="1" applyProtection="1">
      <alignment horizontal="center"/>
    </xf>
    <xf numFmtId="0" fontId="0" fillId="6" borderId="17" xfId="0" applyFill="1" applyBorder="1" applyAlignment="1">
      <alignment horizontal="right" vertical="center"/>
    </xf>
    <xf numFmtId="0" fontId="0" fillId="6" borderId="17" xfId="0" applyFont="1" applyFill="1" applyBorder="1" applyAlignment="1">
      <alignment horizontal="center" vertical="center"/>
    </xf>
    <xf numFmtId="165" fontId="0" fillId="0" borderId="17" xfId="0" applyNumberFormat="1" applyBorder="1" applyAlignment="1">
      <alignment horizontal="center" vertical="center"/>
    </xf>
    <xf numFmtId="0" fontId="1" fillId="0" borderId="17" xfId="0" applyFont="1" applyBorder="1" applyAlignment="1">
      <alignment horizontal="center" vertical="center" wrapText="1"/>
    </xf>
    <xf numFmtId="0" fontId="1" fillId="6" borderId="0" xfId="0" applyFont="1" applyFill="1" applyBorder="1" applyAlignment="1">
      <alignment horizontal="center" vertical="center" wrapText="1"/>
    </xf>
    <xf numFmtId="171" fontId="0" fillId="6" borderId="17" xfId="2" applyNumberFormat="1" applyFont="1" applyFill="1" applyBorder="1" applyAlignment="1" applyProtection="1">
      <alignment horizontal="center" vertical="center"/>
      <protection locked="0"/>
    </xf>
    <xf numFmtId="49" fontId="35" fillId="5" borderId="42" xfId="0" quotePrefix="1" applyNumberFormat="1" applyFont="1" applyFill="1" applyBorder="1" applyAlignment="1" applyProtection="1">
      <alignment horizontal="center" vertical="center"/>
      <protection locked="0"/>
    </xf>
    <xf numFmtId="172" fontId="0" fillId="0" borderId="0" xfId="2" applyNumberFormat="1" applyFont="1"/>
    <xf numFmtId="0" fontId="2" fillId="6" borderId="4" xfId="0" applyFont="1" applyFill="1" applyBorder="1" applyAlignment="1" applyProtection="1">
      <alignment horizontal="center"/>
    </xf>
    <xf numFmtId="0" fontId="2" fillId="6" borderId="0" xfId="0" applyFont="1" applyFill="1" applyBorder="1" applyAlignment="1" applyProtection="1">
      <alignment horizontal="center"/>
    </xf>
    <xf numFmtId="0" fontId="0" fillId="6" borderId="0" xfId="0" applyFont="1" applyFill="1" applyBorder="1" applyAlignment="1" applyProtection="1">
      <alignment horizontal="left"/>
    </xf>
    <xf numFmtId="0" fontId="0" fillId="6" borderId="17" xfId="0" applyFill="1" applyBorder="1" applyAlignment="1" applyProtection="1">
      <alignment horizontal="center" vertical="center" wrapText="1"/>
    </xf>
    <xf numFmtId="0" fontId="0" fillId="6" borderId="18" xfId="0" applyFill="1" applyBorder="1" applyAlignment="1" applyProtection="1">
      <alignment horizontal="center" vertical="center" wrapText="1"/>
    </xf>
    <xf numFmtId="0" fontId="0" fillId="6" borderId="17" xfId="0" applyFont="1" applyFill="1" applyBorder="1" applyAlignment="1" applyProtection="1">
      <alignment horizontal="center"/>
    </xf>
    <xf numFmtId="0" fontId="0" fillId="4" borderId="17" xfId="0" applyFill="1" applyBorder="1" applyAlignment="1" applyProtection="1">
      <alignment horizontal="center"/>
      <protection locked="0"/>
    </xf>
    <xf numFmtId="0" fontId="0" fillId="6" borderId="17" xfId="0" applyFill="1" applyBorder="1" applyAlignment="1">
      <alignment horizontal="center" vertical="center"/>
    </xf>
    <xf numFmtId="0" fontId="1" fillId="6" borderId="17" xfId="0" applyFont="1" applyFill="1" applyBorder="1" applyAlignment="1">
      <alignment horizontal="center" vertical="center" wrapText="1"/>
    </xf>
    <xf numFmtId="0" fontId="0" fillId="3" borderId="24" xfId="0" applyFill="1" applyBorder="1"/>
    <xf numFmtId="0" fontId="0" fillId="3" borderId="25" xfId="0" applyFill="1" applyBorder="1"/>
    <xf numFmtId="0" fontId="0" fillId="6" borderId="17" xfId="0" applyFill="1" applyBorder="1" applyAlignment="1" applyProtection="1">
      <alignment horizontal="center" vertical="center" wrapText="1"/>
      <protection locked="0"/>
    </xf>
    <xf numFmtId="2" fontId="1" fillId="0" borderId="0" xfId="0" applyNumberFormat="1" applyFont="1" applyBorder="1" applyAlignment="1" applyProtection="1">
      <alignment horizontal="center"/>
    </xf>
    <xf numFmtId="0" fontId="23" fillId="0" borderId="17" xfId="0" applyFont="1" applyBorder="1" applyAlignment="1">
      <alignment horizontal="center" vertical="center" shrinkToFit="1"/>
    </xf>
    <xf numFmtId="165" fontId="1" fillId="2" borderId="33" xfId="0" applyNumberFormat="1" applyFont="1" applyFill="1" applyBorder="1" applyAlignment="1">
      <alignment horizontal="center" vertical="center"/>
    </xf>
    <xf numFmtId="0" fontId="0" fillId="0" borderId="0" xfId="0" applyAlignment="1">
      <alignment horizontal="left"/>
    </xf>
    <xf numFmtId="0" fontId="0" fillId="0" borderId="20" xfId="0" applyBorder="1" applyAlignment="1">
      <alignment horizontal="center"/>
    </xf>
    <xf numFmtId="0" fontId="0" fillId="0" borderId="22" xfId="0" applyBorder="1" applyAlignment="1">
      <alignment horizontal="center"/>
    </xf>
    <xf numFmtId="0" fontId="0" fillId="0" borderId="0" xfId="0" applyAlignment="1">
      <alignment horizontal="center"/>
    </xf>
    <xf numFmtId="0" fontId="0" fillId="0" borderId="17" xfId="0" applyFont="1" applyFill="1" applyBorder="1" applyAlignment="1">
      <alignment horizontal="center" vertical="center" wrapText="1"/>
    </xf>
    <xf numFmtId="0" fontId="0" fillId="0" borderId="17" xfId="0" applyFont="1" applyFill="1" applyBorder="1" applyAlignment="1">
      <alignment horizontal="center" vertical="center"/>
    </xf>
    <xf numFmtId="0" fontId="0" fillId="0" borderId="0" xfId="0" applyFont="1" applyFill="1" applyAlignment="1">
      <alignment horizontal="center" vertical="center"/>
    </xf>
    <xf numFmtId="0" fontId="0" fillId="0" borderId="0" xfId="0" applyFont="1" applyFill="1" applyAlignment="1">
      <alignment horizontal="left" vertical="center"/>
    </xf>
    <xf numFmtId="0" fontId="0" fillId="0" borderId="0" xfId="0" applyFont="1" applyFill="1" applyAlignment="1">
      <alignment vertical="center"/>
    </xf>
    <xf numFmtId="0" fontId="0" fillId="4" borderId="26" xfId="0" applyFill="1" applyBorder="1" applyAlignment="1" applyProtection="1">
      <alignment vertical="center"/>
      <protection locked="0"/>
    </xf>
    <xf numFmtId="0" fontId="51" fillId="6" borderId="0" xfId="0" applyFont="1" applyFill="1" applyAlignment="1">
      <alignment vertical="center"/>
    </xf>
    <xf numFmtId="0" fontId="0" fillId="4" borderId="29" xfId="0" applyFill="1" applyBorder="1" applyAlignment="1" applyProtection="1">
      <alignment vertical="center"/>
      <protection locked="0"/>
    </xf>
    <xf numFmtId="0" fontId="35" fillId="4" borderId="42" xfId="0" applyFont="1" applyFill="1" applyBorder="1" applyAlignment="1">
      <alignment vertical="center"/>
    </xf>
    <xf numFmtId="0" fontId="1" fillId="6" borderId="0" xfId="0" applyFont="1" applyFill="1" applyBorder="1" applyAlignment="1">
      <alignment vertical="center"/>
    </xf>
    <xf numFmtId="0" fontId="5" fillId="6" borderId="0" xfId="0" applyFont="1" applyFill="1" applyBorder="1" applyAlignment="1">
      <alignment vertical="center"/>
    </xf>
    <xf numFmtId="0" fontId="1" fillId="0" borderId="26" xfId="0" applyFont="1" applyBorder="1" applyAlignment="1">
      <alignment vertical="center"/>
    </xf>
    <xf numFmtId="0" fontId="0" fillId="4" borderId="27" xfId="0" applyFill="1" applyBorder="1" applyAlignment="1" applyProtection="1">
      <alignment horizontal="center" vertical="center"/>
      <protection locked="0"/>
    </xf>
    <xf numFmtId="0" fontId="9" fillId="6" borderId="0" xfId="0" applyFont="1" applyFill="1" applyAlignment="1">
      <alignment vertical="center"/>
    </xf>
    <xf numFmtId="0" fontId="1" fillId="0" borderId="23" xfId="0" applyFont="1" applyBorder="1" applyAlignment="1">
      <alignment vertical="center"/>
    </xf>
    <xf numFmtId="0" fontId="0" fillId="4" borderId="42" xfId="0" applyFill="1" applyBorder="1" applyAlignment="1" applyProtection="1">
      <alignment horizontal="center" vertical="center"/>
      <protection locked="0"/>
    </xf>
    <xf numFmtId="0" fontId="1" fillId="0" borderId="23" xfId="0" applyFont="1" applyBorder="1" applyAlignment="1">
      <alignment horizontal="center" vertical="center"/>
    </xf>
    <xf numFmtId="0" fontId="1" fillId="0" borderId="24" xfId="0" applyFont="1" applyBorder="1" applyAlignment="1">
      <alignment horizontal="center" vertical="center"/>
    </xf>
    <xf numFmtId="0" fontId="1" fillId="0" borderId="25" xfId="0" applyFont="1" applyBorder="1" applyAlignment="1">
      <alignment horizontal="center" vertical="center"/>
    </xf>
    <xf numFmtId="0" fontId="1" fillId="6" borderId="0" xfId="0" applyFont="1" applyFill="1" applyAlignment="1">
      <alignment vertical="center"/>
    </xf>
    <xf numFmtId="0" fontId="0" fillId="4" borderId="41" xfId="0" applyFill="1" applyBorder="1" applyAlignment="1" applyProtection="1">
      <alignment horizontal="center" vertical="center"/>
      <protection locked="0"/>
    </xf>
    <xf numFmtId="0" fontId="0" fillId="4" borderId="19" xfId="0" applyFill="1" applyBorder="1" applyAlignment="1" applyProtection="1">
      <alignment horizontal="center" vertical="center"/>
      <protection locked="0"/>
    </xf>
    <xf numFmtId="165" fontId="0" fillId="0" borderId="0" xfId="0" applyNumberFormat="1" applyBorder="1" applyAlignment="1">
      <alignment horizontal="center" vertical="center"/>
    </xf>
    <xf numFmtId="0" fontId="0" fillId="4" borderId="52" xfId="0" applyFill="1" applyBorder="1" applyAlignment="1" applyProtection="1">
      <alignment horizontal="center" vertical="center"/>
      <protection locked="0"/>
    </xf>
    <xf numFmtId="165" fontId="0" fillId="6" borderId="0" xfId="0" applyNumberFormat="1" applyFill="1" applyBorder="1" applyAlignment="1">
      <alignment horizontal="center" vertical="center"/>
    </xf>
    <xf numFmtId="1" fontId="0" fillId="6" borderId="0" xfId="0" applyNumberFormat="1" applyFill="1" applyBorder="1" applyAlignment="1">
      <alignment horizontal="right" vertical="center"/>
    </xf>
    <xf numFmtId="165" fontId="0" fillId="6" borderId="0" xfId="0" applyNumberFormat="1" applyFill="1" applyBorder="1" applyAlignment="1">
      <alignment horizontal="right" vertical="center"/>
    </xf>
    <xf numFmtId="0" fontId="0" fillId="4" borderId="36" xfId="0" applyFill="1" applyBorder="1" applyAlignment="1" applyProtection="1">
      <alignment horizontal="center" vertical="center"/>
      <protection locked="0"/>
    </xf>
    <xf numFmtId="0" fontId="0" fillId="4" borderId="39" xfId="0" applyFill="1" applyBorder="1" applyAlignment="1" applyProtection="1">
      <alignment horizontal="center" vertical="center"/>
      <protection locked="0"/>
    </xf>
    <xf numFmtId="0" fontId="0" fillId="4" borderId="40" xfId="0" applyFill="1" applyBorder="1" applyAlignment="1" applyProtection="1">
      <alignment horizontal="center" vertical="center"/>
      <protection locked="0"/>
    </xf>
    <xf numFmtId="165" fontId="0" fillId="0" borderId="7" xfId="0" applyNumberFormat="1" applyBorder="1" applyAlignment="1">
      <alignment horizontal="center" vertical="center"/>
    </xf>
    <xf numFmtId="49" fontId="0" fillId="6" borderId="0" xfId="0" applyNumberFormat="1" applyFill="1" applyAlignment="1" applyProtection="1">
      <alignment horizontal="center" vertical="center"/>
      <protection locked="0"/>
    </xf>
    <xf numFmtId="0" fontId="6" fillId="6" borderId="0" xfId="0" applyFont="1" applyFill="1" applyAlignment="1">
      <alignment horizontal="left" vertical="center"/>
    </xf>
    <xf numFmtId="0" fontId="0" fillId="6" borderId="0" xfId="0" applyFont="1" applyFill="1" applyAlignment="1">
      <alignment horizontal="right" vertical="center"/>
    </xf>
    <xf numFmtId="9" fontId="0" fillId="6" borderId="0" xfId="0" applyNumberFormat="1" applyFont="1" applyFill="1" applyAlignment="1">
      <alignment horizontal="center" vertical="center"/>
    </xf>
    <xf numFmtId="0" fontId="1" fillId="6" borderId="0" xfId="0" applyFont="1" applyFill="1" applyAlignment="1">
      <alignment horizontal="left" vertical="center"/>
    </xf>
    <xf numFmtId="0" fontId="0" fillId="6" borderId="17" xfId="0" applyFill="1" applyBorder="1" applyAlignment="1">
      <alignment vertical="center"/>
    </xf>
    <xf numFmtId="0" fontId="1" fillId="6" borderId="4" xfId="0" applyFont="1" applyFill="1" applyBorder="1" applyAlignment="1">
      <alignment horizontal="center" vertical="center"/>
    </xf>
    <xf numFmtId="0" fontId="0" fillId="4" borderId="44" xfId="0" applyFill="1" applyBorder="1" applyAlignment="1" applyProtection="1">
      <alignment horizontal="center" vertical="center"/>
      <protection locked="0"/>
    </xf>
    <xf numFmtId="0" fontId="0" fillId="6" borderId="5" xfId="0" applyFill="1" applyBorder="1" applyAlignment="1">
      <alignment vertical="center"/>
    </xf>
    <xf numFmtId="0" fontId="0" fillId="4" borderId="30" xfId="0" applyFill="1" applyBorder="1" applyAlignment="1" applyProtection="1">
      <alignment horizontal="center" vertical="center"/>
      <protection locked="0"/>
    </xf>
    <xf numFmtId="164" fontId="0" fillId="6" borderId="0" xfId="0" applyNumberFormat="1" applyFill="1" applyBorder="1" applyAlignment="1">
      <alignment horizontal="center" vertical="center"/>
    </xf>
    <xf numFmtId="0" fontId="1" fillId="6" borderId="6" xfId="0" applyFont="1" applyFill="1" applyBorder="1" applyAlignment="1">
      <alignment horizontal="center" vertical="center"/>
    </xf>
    <xf numFmtId="165" fontId="0" fillId="4" borderId="34" xfId="0" applyNumberFormat="1" applyFill="1" applyBorder="1" applyAlignment="1" applyProtection="1">
      <alignment horizontal="center" vertical="center"/>
      <protection locked="0"/>
    </xf>
    <xf numFmtId="165" fontId="0" fillId="6" borderId="0" xfId="0" applyNumberFormat="1" applyFill="1" applyAlignment="1">
      <alignment horizontal="center" vertical="center"/>
    </xf>
    <xf numFmtId="0" fontId="0" fillId="6" borderId="4" xfId="0" applyFill="1" applyBorder="1" applyAlignment="1">
      <alignment vertical="center"/>
    </xf>
    <xf numFmtId="0" fontId="0" fillId="6" borderId="0" xfId="0" applyFont="1" applyFill="1" applyBorder="1" applyAlignment="1">
      <alignment horizontal="left" vertical="center"/>
    </xf>
    <xf numFmtId="0" fontId="0" fillId="6" borderId="0" xfId="0" applyFill="1" applyBorder="1" applyAlignment="1">
      <alignment horizontal="left" vertical="center"/>
    </xf>
    <xf numFmtId="2" fontId="0" fillId="6" borderId="0" xfId="0" applyNumberFormat="1" applyFill="1" applyBorder="1" applyAlignment="1">
      <alignment horizontal="center" vertical="center"/>
    </xf>
    <xf numFmtId="0" fontId="1" fillId="6" borderId="4" xfId="0" applyFont="1" applyFill="1" applyBorder="1" applyAlignment="1">
      <alignment horizontal="right" vertical="center"/>
    </xf>
    <xf numFmtId="0" fontId="30" fillId="6" borderId="0" xfId="0" applyFont="1" applyFill="1" applyBorder="1" applyAlignment="1">
      <alignment vertical="center"/>
    </xf>
    <xf numFmtId="0" fontId="1" fillId="6" borderId="5" xfId="0" applyFont="1" applyFill="1" applyBorder="1" applyAlignment="1">
      <alignment vertical="center"/>
    </xf>
    <xf numFmtId="0" fontId="1" fillId="6" borderId="4" xfId="0" applyFont="1" applyFill="1" applyBorder="1" applyAlignment="1">
      <alignment vertical="center"/>
    </xf>
    <xf numFmtId="0" fontId="0" fillId="6" borderId="0" xfId="0" applyFill="1" applyBorder="1" applyAlignment="1">
      <alignment horizontal="center" vertical="center"/>
    </xf>
    <xf numFmtId="0" fontId="0" fillId="6" borderId="4" xfId="0" applyFill="1" applyBorder="1" applyAlignment="1">
      <alignment horizontal="right" vertical="center"/>
    </xf>
    <xf numFmtId="0" fontId="0" fillId="6" borderId="6" xfId="0" applyFill="1" applyBorder="1" applyAlignment="1">
      <alignment horizontal="right" vertical="center"/>
    </xf>
    <xf numFmtId="1" fontId="0" fillId="6" borderId="7" xfId="0" applyNumberFormat="1" applyFill="1" applyBorder="1" applyAlignment="1">
      <alignment horizontal="center"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0" xfId="0" applyFont="1" applyFill="1" applyAlignment="1">
      <alignment horizontal="center" vertical="center"/>
    </xf>
    <xf numFmtId="0" fontId="35" fillId="4" borderId="42" xfId="0" applyFont="1" applyFill="1" applyBorder="1" applyAlignment="1">
      <alignment horizontal="center" vertical="center"/>
    </xf>
    <xf numFmtId="0" fontId="0" fillId="4" borderId="43" xfId="0" applyFill="1" applyBorder="1" applyAlignment="1" applyProtection="1">
      <alignment horizontal="center" vertical="center"/>
      <protection locked="0"/>
    </xf>
    <xf numFmtId="0" fontId="0" fillId="4" borderId="35" xfId="0" applyFill="1" applyBorder="1" applyAlignment="1" applyProtection="1">
      <alignment horizontal="center" vertical="center"/>
      <protection locked="0"/>
    </xf>
    <xf numFmtId="164" fontId="0" fillId="0" borderId="2" xfId="0" applyNumberFormat="1" applyBorder="1" applyAlignment="1">
      <alignment horizontal="center" vertical="center"/>
    </xf>
    <xf numFmtId="165" fontId="0" fillId="0" borderId="3" xfId="0" applyNumberFormat="1" applyBorder="1" applyAlignment="1">
      <alignment horizontal="right" vertical="center"/>
    </xf>
    <xf numFmtId="164" fontId="0" fillId="0" borderId="24" xfId="0" applyNumberFormat="1" applyBorder="1" applyAlignment="1">
      <alignment horizontal="center" vertical="center"/>
    </xf>
    <xf numFmtId="165" fontId="0" fillId="0" borderId="25" xfId="0" applyNumberFormat="1" applyBorder="1" applyAlignment="1">
      <alignment horizontal="right" vertical="center"/>
    </xf>
    <xf numFmtId="0" fontId="35" fillId="6" borderId="0" xfId="0" applyFont="1" applyFill="1" applyAlignment="1">
      <alignment horizontal="center" vertical="center"/>
    </xf>
    <xf numFmtId="0" fontId="1" fillId="6" borderId="0" xfId="0" applyFont="1" applyFill="1" applyBorder="1" applyAlignment="1" applyProtection="1">
      <alignment horizontal="center" vertical="center"/>
      <protection locked="0"/>
    </xf>
    <xf numFmtId="164" fontId="1" fillId="6" borderId="0" xfId="0" applyNumberFormat="1" applyFont="1" applyFill="1" applyBorder="1" applyAlignment="1">
      <alignment horizontal="center" vertical="center"/>
    </xf>
    <xf numFmtId="165" fontId="1" fillId="6" borderId="2" xfId="0" applyNumberFormat="1" applyFont="1" applyFill="1" applyBorder="1" applyAlignment="1">
      <alignment horizontal="center" vertical="center"/>
    </xf>
    <xf numFmtId="0" fontId="1" fillId="6" borderId="3" xfId="0" applyFont="1" applyFill="1" applyBorder="1" applyAlignment="1">
      <alignment horizontal="left" vertical="center"/>
    </xf>
    <xf numFmtId="0" fontId="0" fillId="0" borderId="0" xfId="0" applyFont="1" applyBorder="1" applyAlignment="1">
      <alignment horizontal="center" vertical="center"/>
    </xf>
    <xf numFmtId="2" fontId="0" fillId="0" borderId="0" xfId="0" applyNumberFormat="1" applyFont="1" applyBorder="1" applyAlignment="1">
      <alignment horizontal="center" vertical="center"/>
    </xf>
    <xf numFmtId="165" fontId="1" fillId="6" borderId="0" xfId="0" applyNumberFormat="1" applyFont="1" applyFill="1" applyBorder="1" applyAlignment="1">
      <alignment horizontal="center" vertical="center"/>
    </xf>
    <xf numFmtId="0" fontId="1" fillId="6" borderId="5" xfId="0" applyFont="1" applyFill="1" applyBorder="1" applyAlignment="1">
      <alignment horizontal="left" vertical="center"/>
    </xf>
    <xf numFmtId="165" fontId="1" fillId="6" borderId="7" xfId="0" applyNumberFormat="1" applyFont="1" applyFill="1" applyBorder="1" applyAlignment="1">
      <alignment horizontal="center" vertical="center"/>
    </xf>
    <xf numFmtId="0" fontId="1" fillId="6" borderId="8" xfId="0" applyFont="1" applyFill="1" applyBorder="1" applyAlignment="1">
      <alignment horizontal="left" vertical="center"/>
    </xf>
    <xf numFmtId="0" fontId="0" fillId="4" borderId="53" xfId="0" applyFill="1" applyBorder="1" applyAlignment="1" applyProtection="1">
      <alignment horizontal="center" vertical="center"/>
      <protection locked="0"/>
    </xf>
    <xf numFmtId="165" fontId="0" fillId="0" borderId="1" xfId="0" applyNumberFormat="1" applyBorder="1" applyAlignment="1">
      <alignment horizontal="center" vertical="center"/>
    </xf>
    <xf numFmtId="164" fontId="0" fillId="0" borderId="3" xfId="0" applyNumberFormat="1" applyBorder="1" applyAlignment="1">
      <alignment horizontal="center" vertical="center"/>
    </xf>
    <xf numFmtId="0" fontId="0" fillId="4" borderId="54" xfId="0" applyFill="1" applyBorder="1" applyAlignment="1" applyProtection="1">
      <alignment horizontal="center" vertical="center"/>
      <protection locked="0"/>
    </xf>
    <xf numFmtId="165" fontId="0" fillId="0" borderId="4" xfId="0" applyNumberFormat="1" applyBorder="1" applyAlignment="1">
      <alignment horizontal="center" vertical="center"/>
    </xf>
    <xf numFmtId="164" fontId="0" fillId="0" borderId="0" xfId="0" applyNumberFormat="1" applyBorder="1" applyAlignment="1">
      <alignment horizontal="center" vertical="center"/>
    </xf>
    <xf numFmtId="164" fontId="0" fillId="0" borderId="5" xfId="0" applyNumberFormat="1" applyBorder="1" applyAlignment="1">
      <alignment horizontal="center" vertical="center"/>
    </xf>
    <xf numFmtId="0" fontId="0" fillId="4" borderId="55" xfId="0" applyFill="1" applyBorder="1" applyAlignment="1" applyProtection="1">
      <alignment horizontal="center" vertical="center"/>
      <protection locked="0"/>
    </xf>
    <xf numFmtId="165"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0" fontId="1" fillId="6" borderId="42" xfId="0" applyFont="1" applyFill="1" applyBorder="1" applyAlignment="1" applyProtection="1">
      <alignment horizontal="center" vertical="center"/>
      <protection locked="0"/>
    </xf>
    <xf numFmtId="165" fontId="1" fillId="0" borderId="7" xfId="0" applyNumberFormat="1" applyFont="1" applyBorder="1" applyAlignment="1">
      <alignment horizontal="center" vertical="center"/>
    </xf>
    <xf numFmtId="165" fontId="1" fillId="0" borderId="8" xfId="0" applyNumberFormat="1" applyFont="1" applyBorder="1" applyAlignment="1">
      <alignment horizontal="center" vertical="center"/>
    </xf>
    <xf numFmtId="165" fontId="1" fillId="6" borderId="0" xfId="0" applyNumberFormat="1" applyFont="1" applyFill="1" applyAlignment="1">
      <alignment horizontal="left" vertical="center"/>
    </xf>
    <xf numFmtId="165" fontId="1" fillId="0" borderId="0" xfId="0" applyNumberFormat="1" applyFont="1" applyBorder="1" applyAlignment="1">
      <alignment horizontal="left" vertical="center"/>
    </xf>
    <xf numFmtId="165" fontId="1" fillId="0" borderId="0" xfId="0" applyNumberFormat="1" applyFont="1" applyBorder="1" applyAlignment="1">
      <alignment horizontal="center" vertical="center"/>
    </xf>
    <xf numFmtId="0" fontId="1" fillId="0" borderId="0" xfId="0" applyFont="1" applyFill="1" applyAlignment="1">
      <alignment horizontal="center" vertical="center"/>
    </xf>
    <xf numFmtId="0" fontId="1" fillId="0" borderId="17" xfId="0" applyFont="1" applyFill="1" applyBorder="1" applyAlignment="1">
      <alignment horizontal="center" vertical="center"/>
    </xf>
    <xf numFmtId="165" fontId="0" fillId="0" borderId="0" xfId="0" applyNumberFormat="1" applyFont="1" applyFill="1" applyAlignment="1">
      <alignment horizontal="center" vertical="center"/>
    </xf>
    <xf numFmtId="0" fontId="2" fillId="6" borderId="0" xfId="0" applyFont="1" applyFill="1" applyBorder="1" applyAlignment="1">
      <alignment vertical="center"/>
    </xf>
    <xf numFmtId="0" fontId="0" fillId="6" borderId="0" xfId="0" applyFont="1" applyFill="1" applyBorder="1" applyAlignment="1">
      <alignment vertical="center"/>
    </xf>
    <xf numFmtId="165" fontId="0" fillId="0" borderId="2" xfId="0" applyNumberFormat="1" applyBorder="1" applyAlignment="1">
      <alignment horizontal="center" vertical="center"/>
    </xf>
    <xf numFmtId="2" fontId="0" fillId="6" borderId="0" xfId="0" applyNumberFormat="1" applyFont="1" applyFill="1" applyBorder="1" applyAlignment="1">
      <alignment horizontal="center" vertical="center"/>
    </xf>
    <xf numFmtId="0" fontId="64" fillId="6" borderId="0" xfId="0" applyFont="1" applyFill="1" applyBorder="1" applyAlignment="1">
      <alignment vertical="center"/>
    </xf>
    <xf numFmtId="0" fontId="2" fillId="6" borderId="0" xfId="0" applyFont="1" applyFill="1" applyBorder="1" applyAlignment="1">
      <alignment horizontal="center" vertical="center"/>
    </xf>
    <xf numFmtId="0" fontId="31" fillId="6" borderId="0" xfId="0" applyFont="1" applyFill="1" applyBorder="1" applyAlignment="1">
      <alignment vertical="center"/>
    </xf>
    <xf numFmtId="0" fontId="1" fillId="6" borderId="20" xfId="0" applyFont="1" applyFill="1" applyBorder="1" applyAlignment="1">
      <alignment horizontal="center" vertical="center"/>
    </xf>
    <xf numFmtId="0" fontId="1" fillId="6" borderId="17" xfId="0" applyFont="1" applyFill="1" applyBorder="1" applyAlignment="1" applyProtection="1">
      <alignment horizontal="center" vertical="center"/>
    </xf>
    <xf numFmtId="0" fontId="0" fillId="6" borderId="0" xfId="0" applyFill="1" applyAlignment="1">
      <alignment horizontal="right" vertical="center"/>
    </xf>
    <xf numFmtId="0" fontId="0" fillId="0" borderId="0" xfId="0" applyAlignment="1">
      <alignment horizontal="left" vertical="center"/>
    </xf>
    <xf numFmtId="0" fontId="0" fillId="0" borderId="38" xfId="0" applyBorder="1" applyAlignment="1">
      <alignment horizontal="center" vertical="center"/>
    </xf>
    <xf numFmtId="0" fontId="0" fillId="0" borderId="39" xfId="0" applyBorder="1" applyAlignment="1">
      <alignment horizontal="center" vertical="center"/>
    </xf>
    <xf numFmtId="2" fontId="0" fillId="0" borderId="40" xfId="0" applyNumberFormat="1" applyBorder="1" applyAlignment="1">
      <alignment horizontal="center" vertical="center"/>
    </xf>
    <xf numFmtId="0" fontId="0" fillId="6" borderId="0" xfId="0" applyFont="1" applyFill="1" applyBorder="1" applyAlignment="1">
      <alignment horizontal="center" vertical="center"/>
    </xf>
    <xf numFmtId="0" fontId="35" fillId="6" borderId="0" xfId="0" applyFont="1" applyFill="1" applyBorder="1" applyAlignment="1">
      <alignment vertical="center"/>
    </xf>
    <xf numFmtId="0" fontId="1" fillId="0" borderId="4" xfId="0" applyFont="1" applyBorder="1" applyAlignment="1">
      <alignment horizontal="right" vertical="center"/>
    </xf>
    <xf numFmtId="0" fontId="0" fillId="5" borderId="30" xfId="0" applyFill="1" applyBorder="1" applyAlignment="1" applyProtection="1">
      <alignment horizontal="center" vertical="center"/>
      <protection locked="0"/>
    </xf>
    <xf numFmtId="0" fontId="1" fillId="0" borderId="0" xfId="0" applyFont="1" applyBorder="1" applyAlignment="1">
      <alignment horizontal="left" vertical="center"/>
    </xf>
    <xf numFmtId="0" fontId="0" fillId="4" borderId="29" xfId="0" applyFill="1" applyBorder="1" applyAlignment="1" applyProtection="1">
      <alignment horizontal="center" vertical="center"/>
      <protection locked="0"/>
    </xf>
    <xf numFmtId="0" fontId="0" fillId="5" borderId="44" xfId="0" applyFill="1" applyBorder="1" applyAlignment="1" applyProtection="1">
      <alignment horizontal="center" vertical="center"/>
      <protection locked="0"/>
    </xf>
    <xf numFmtId="0" fontId="35" fillId="0" borderId="0" xfId="0" applyFont="1" applyFill="1" applyAlignment="1">
      <alignment horizontal="center" vertical="center"/>
    </xf>
    <xf numFmtId="0" fontId="0" fillId="0" borderId="0" xfId="0" applyAlignment="1" applyProtection="1">
      <alignment horizontal="center"/>
    </xf>
    <xf numFmtId="2" fontId="0" fillId="0" borderId="0" xfId="0" applyNumberFormat="1" applyAlignment="1">
      <alignment horizontal="left"/>
    </xf>
    <xf numFmtId="0" fontId="0" fillId="4" borderId="17" xfId="0" applyFill="1" applyBorder="1" applyAlignment="1" applyProtection="1">
      <alignment horizontal="center"/>
      <protection locked="0"/>
    </xf>
    <xf numFmtId="0" fontId="0" fillId="0" borderId="0" xfId="0" applyAlignment="1">
      <alignment horizontal="center"/>
    </xf>
    <xf numFmtId="0" fontId="0" fillId="0" borderId="0" xfId="0" applyAlignment="1">
      <alignment horizontal="right"/>
    </xf>
    <xf numFmtId="0" fontId="0" fillId="4" borderId="19" xfId="0" applyFill="1" applyBorder="1" applyAlignment="1" applyProtection="1">
      <alignment horizontal="left"/>
      <protection locked="0"/>
    </xf>
    <xf numFmtId="0" fontId="0" fillId="0" borderId="6" xfId="0" applyBorder="1" applyAlignment="1">
      <alignment horizontal="center"/>
    </xf>
    <xf numFmtId="0" fontId="0" fillId="0" borderId="7" xfId="0" applyBorder="1" applyAlignment="1">
      <alignment horizontal="center"/>
    </xf>
    <xf numFmtId="0" fontId="1" fillId="0" borderId="0" xfId="0" applyFont="1" applyBorder="1" applyAlignment="1">
      <alignment horizontal="left"/>
    </xf>
    <xf numFmtId="0" fontId="0" fillId="0" borderId="0" xfId="0" applyBorder="1" applyAlignment="1">
      <alignment horizontal="center"/>
    </xf>
    <xf numFmtId="0" fontId="0" fillId="6" borderId="0" xfId="0" applyFill="1" applyAlignment="1">
      <alignment horizontal="center"/>
    </xf>
    <xf numFmtId="0" fontId="0" fillId="0" borderId="0" xfId="0" applyAlignment="1">
      <alignment horizontal="left"/>
    </xf>
    <xf numFmtId="2" fontId="0" fillId="0" borderId="0" xfId="0" applyNumberFormat="1" applyAlignment="1">
      <alignment horizontal="center"/>
    </xf>
    <xf numFmtId="0" fontId="0" fillId="0" borderId="4" xfId="0" applyFont="1" applyBorder="1" applyAlignment="1">
      <alignment horizontal="left"/>
    </xf>
    <xf numFmtId="0" fontId="1" fillId="0" borderId="17" xfId="0" applyFont="1" applyBorder="1" applyAlignment="1">
      <alignment horizontal="center"/>
    </xf>
    <xf numFmtId="0" fontId="1" fillId="0" borderId="0" xfId="0" applyFont="1" applyAlignment="1">
      <alignment horizontal="center"/>
    </xf>
    <xf numFmtId="0" fontId="0" fillId="0" borderId="17" xfId="0" applyBorder="1" applyAlignment="1">
      <alignment horizontal="center"/>
    </xf>
    <xf numFmtId="0" fontId="0" fillId="0" borderId="0" xfId="0" applyAlignment="1">
      <alignment horizontal="center"/>
    </xf>
    <xf numFmtId="0" fontId="1" fillId="0" borderId="0" xfId="0" applyFont="1" applyBorder="1" applyAlignment="1">
      <alignment horizontal="center" vertical="center" wrapText="1"/>
    </xf>
    <xf numFmtId="0" fontId="0" fillId="0" borderId="0" xfId="0" applyAlignment="1" applyProtection="1">
      <alignment horizontal="left"/>
    </xf>
    <xf numFmtId="165" fontId="0" fillId="4" borderId="19" xfId="0" applyNumberFormat="1" applyFill="1" applyBorder="1" applyAlignment="1" applyProtection="1">
      <alignment horizontal="center"/>
      <protection locked="0"/>
    </xf>
    <xf numFmtId="0" fontId="1" fillId="0" borderId="19" xfId="0" applyFont="1" applyBorder="1" applyAlignment="1" applyProtection="1">
      <alignment horizontal="center"/>
    </xf>
    <xf numFmtId="0" fontId="1" fillId="0" borderId="19" xfId="0" applyFont="1" applyFill="1" applyBorder="1" applyAlignment="1" applyProtection="1">
      <alignment horizontal="center"/>
    </xf>
    <xf numFmtId="0" fontId="1" fillId="0" borderId="19" xfId="0" applyFont="1" applyFill="1" applyBorder="1" applyAlignment="1" applyProtection="1">
      <alignment horizontal="center" vertical="center"/>
    </xf>
    <xf numFmtId="0" fontId="0" fillId="0" borderId="2" xfId="0" applyBorder="1" applyAlignment="1"/>
    <xf numFmtId="0" fontId="0" fillId="0" borderId="2" xfId="0" applyBorder="1" applyAlignment="1">
      <alignment horizontal="right"/>
    </xf>
    <xf numFmtId="0" fontId="0" fillId="2" borderId="32" xfId="0" applyFill="1" applyBorder="1" applyAlignment="1">
      <alignment horizontal="center" vertical="center"/>
    </xf>
    <xf numFmtId="0" fontId="0" fillId="2" borderId="29" xfId="0" applyFill="1" applyBorder="1" applyAlignment="1">
      <alignment horizontal="center"/>
    </xf>
    <xf numFmtId="0" fontId="0" fillId="2" borderId="32" xfId="0" applyFill="1" applyBorder="1" applyAlignment="1">
      <alignment horizontal="center"/>
    </xf>
    <xf numFmtId="0" fontId="15" fillId="0" borderId="0" xfId="0" applyFont="1" applyAlignment="1">
      <alignment vertical="center"/>
    </xf>
    <xf numFmtId="0" fontId="16" fillId="0" borderId="0" xfId="0" applyFont="1" applyAlignment="1">
      <alignment horizontal="left" vertical="center"/>
    </xf>
    <xf numFmtId="164" fontId="0" fillId="0" borderId="17" xfId="0" applyNumberFormat="1" applyBorder="1" applyAlignment="1">
      <alignment horizontal="center" vertical="center"/>
    </xf>
    <xf numFmtId="0" fontId="0" fillId="16" borderId="19" xfId="0" applyFill="1" applyBorder="1" applyAlignment="1" applyProtection="1">
      <alignment horizontal="center" vertical="center"/>
      <protection locked="0"/>
    </xf>
    <xf numFmtId="0" fontId="67" fillId="0" borderId="0" xfId="3" applyFont="1" applyProtection="1"/>
    <xf numFmtId="0" fontId="67" fillId="0" borderId="0" xfId="3" applyFont="1" applyAlignment="1" applyProtection="1">
      <alignment horizontal="center" vertical="center"/>
    </xf>
    <xf numFmtId="0" fontId="67" fillId="0" borderId="17" xfId="3" applyFont="1" applyBorder="1" applyAlignment="1" applyProtection="1">
      <alignment horizontal="center" vertical="center"/>
    </xf>
    <xf numFmtId="0" fontId="2" fillId="3" borderId="24" xfId="0" applyFont="1" applyFill="1" applyBorder="1" applyAlignment="1">
      <alignment horizontal="center" vertical="center"/>
    </xf>
    <xf numFmtId="0" fontId="2" fillId="3" borderId="25" xfId="0" applyFont="1" applyFill="1" applyBorder="1" applyAlignment="1">
      <alignment horizontal="center" vertical="center"/>
    </xf>
    <xf numFmtId="0" fontId="1" fillId="0" borderId="6" xfId="0" applyFont="1" applyBorder="1" applyAlignment="1">
      <alignment horizontal="center" vertical="center"/>
    </xf>
    <xf numFmtId="0" fontId="35" fillId="6" borderId="0" xfId="0" applyFont="1" applyFill="1" applyBorder="1" applyAlignment="1">
      <alignment horizontal="left" vertical="center"/>
    </xf>
    <xf numFmtId="0" fontId="0" fillId="0" borderId="17" xfId="0" applyBorder="1" applyAlignment="1">
      <alignment horizontal="center" vertical="center"/>
    </xf>
    <xf numFmtId="0" fontId="1" fillId="0" borderId="0" xfId="0" applyFont="1" applyAlignment="1">
      <alignment horizontal="left"/>
    </xf>
    <xf numFmtId="0" fontId="1" fillId="2" borderId="17" xfId="0" applyFont="1" applyFill="1" applyBorder="1" applyAlignment="1" applyProtection="1">
      <alignment horizontal="center" vertical="center"/>
    </xf>
    <xf numFmtId="170" fontId="34" fillId="2" borderId="17" xfId="1" applyNumberFormat="1" applyFont="1" applyFill="1" applyBorder="1" applyAlignment="1" applyProtection="1">
      <alignment horizontal="center" vertical="center"/>
    </xf>
    <xf numFmtId="0" fontId="0" fillId="4" borderId="18" xfId="0" applyFill="1" applyBorder="1" applyAlignment="1" applyProtection="1">
      <alignment horizontal="left" vertical="center"/>
      <protection locked="0"/>
    </xf>
    <xf numFmtId="0" fontId="20" fillId="0" borderId="46" xfId="0" applyFont="1" applyBorder="1" applyAlignment="1">
      <alignment horizontal="center" vertical="center"/>
    </xf>
    <xf numFmtId="0" fontId="1" fillId="6" borderId="19" xfId="0" applyFont="1" applyFill="1" applyBorder="1" applyAlignment="1">
      <alignment horizontal="center" vertical="center" wrapText="1"/>
    </xf>
    <xf numFmtId="0" fontId="1" fillId="6" borderId="19" xfId="0" applyFont="1" applyFill="1" applyBorder="1" applyAlignment="1">
      <alignment horizontal="center" vertical="center"/>
    </xf>
    <xf numFmtId="165" fontId="0" fillId="0" borderId="17" xfId="0" applyNumberFormat="1" applyFill="1" applyBorder="1" applyAlignment="1">
      <alignment horizontal="center"/>
    </xf>
    <xf numFmtId="0" fontId="5" fillId="6" borderId="0" xfId="0" applyFont="1" applyFill="1" applyAlignment="1">
      <alignment vertical="center"/>
    </xf>
    <xf numFmtId="0" fontId="1" fillId="0" borderId="0" xfId="0" applyFont="1" applyAlignment="1">
      <alignment horizontal="center"/>
    </xf>
    <xf numFmtId="165" fontId="0" fillId="4" borderId="0" xfId="0" applyNumberFormat="1" applyFill="1" applyAlignment="1" applyProtection="1">
      <alignment horizontal="center"/>
      <protection locked="0"/>
    </xf>
    <xf numFmtId="0" fontId="0" fillId="6" borderId="20" xfId="0" applyFill="1" applyBorder="1" applyAlignment="1" applyProtection="1">
      <alignment horizontal="center"/>
    </xf>
    <xf numFmtId="0" fontId="1" fillId="6" borderId="0" xfId="0" applyFont="1" applyFill="1" applyBorder="1" applyAlignment="1" applyProtection="1">
      <alignment horizontal="left"/>
    </xf>
    <xf numFmtId="0" fontId="1" fillId="6" borderId="17" xfId="0" applyFont="1" applyFill="1" applyBorder="1" applyAlignment="1" applyProtection="1">
      <alignment horizontal="center"/>
    </xf>
    <xf numFmtId="0" fontId="1" fillId="6" borderId="20" xfId="0" applyFont="1" applyFill="1" applyBorder="1" applyAlignment="1" applyProtection="1">
      <alignment horizontal="center"/>
    </xf>
    <xf numFmtId="0" fontId="0" fillId="6" borderId="0" xfId="0" applyFill="1" applyAlignment="1" applyProtection="1">
      <alignment horizontal="center"/>
    </xf>
    <xf numFmtId="0" fontId="35" fillId="6" borderId="0" xfId="0" applyFont="1" applyFill="1" applyAlignment="1" applyProtection="1">
      <alignment horizontal="center"/>
    </xf>
    <xf numFmtId="0" fontId="0" fillId="4" borderId="63" xfId="0" applyFill="1" applyBorder="1" applyAlignment="1" applyProtection="1">
      <alignment horizontal="center"/>
      <protection locked="0"/>
    </xf>
    <xf numFmtId="0" fontId="0" fillId="4" borderId="64" xfId="0" applyFill="1" applyBorder="1" applyAlignment="1" applyProtection="1">
      <alignment horizontal="center"/>
      <protection locked="0"/>
    </xf>
    <xf numFmtId="2" fontId="0" fillId="6" borderId="63" xfId="0" applyNumberFormat="1" applyFill="1" applyBorder="1" applyAlignment="1" applyProtection="1">
      <alignment horizontal="center"/>
    </xf>
    <xf numFmtId="0" fontId="1" fillId="0" borderId="29" xfId="0" applyFont="1" applyBorder="1" applyAlignment="1" applyProtection="1"/>
    <xf numFmtId="0" fontId="0" fillId="4" borderId="62" xfId="0" applyFill="1" applyBorder="1" applyAlignment="1" applyProtection="1">
      <alignment horizontal="center"/>
      <protection locked="0"/>
    </xf>
    <xf numFmtId="0" fontId="35" fillId="4" borderId="62" xfId="0" applyFont="1" applyFill="1" applyBorder="1" applyAlignment="1" applyProtection="1">
      <alignment horizontal="center"/>
      <protection locked="0"/>
    </xf>
    <xf numFmtId="0" fontId="1" fillId="0" borderId="4" xfId="0" applyFont="1" applyBorder="1" applyAlignment="1" applyProtection="1"/>
    <xf numFmtId="0" fontId="1" fillId="0" borderId="6" xfId="0" applyFont="1" applyBorder="1" applyAlignment="1" applyProtection="1">
      <alignment horizontal="center"/>
    </xf>
    <xf numFmtId="0" fontId="0" fillId="4" borderId="32" xfId="0" applyNumberFormat="1" applyFill="1" applyBorder="1" applyAlignment="1" applyProtection="1">
      <alignment horizontal="center"/>
      <protection locked="0"/>
    </xf>
    <xf numFmtId="0" fontId="0" fillId="4" borderId="32" xfId="0" applyFill="1" applyBorder="1" applyAlignment="1" applyProtection="1">
      <alignment horizontal="center"/>
      <protection locked="0"/>
    </xf>
    <xf numFmtId="0" fontId="0" fillId="6" borderId="29" xfId="0" applyFill="1" applyBorder="1" applyAlignment="1" applyProtection="1">
      <alignment vertical="center"/>
    </xf>
    <xf numFmtId="165" fontId="0" fillId="6" borderId="17" xfId="0" applyNumberFormat="1" applyFont="1" applyFill="1" applyBorder="1" applyAlignment="1" applyProtection="1">
      <alignment horizontal="center" vertical="center"/>
    </xf>
    <xf numFmtId="165" fontId="2" fillId="6" borderId="17" xfId="0" applyNumberFormat="1" applyFont="1" applyFill="1" applyBorder="1" applyAlignment="1" applyProtection="1">
      <alignment horizontal="center" vertical="center"/>
    </xf>
    <xf numFmtId="0" fontId="0" fillId="6" borderId="17" xfId="0" applyFill="1" applyBorder="1" applyAlignment="1" applyProtection="1">
      <alignment horizontal="center" vertical="center"/>
    </xf>
    <xf numFmtId="2" fontId="0" fillId="0" borderId="0" xfId="0" applyNumberFormat="1" applyAlignment="1">
      <alignment horizontal="center"/>
    </xf>
    <xf numFmtId="1" fontId="23" fillId="0" borderId="17" xfId="0" applyNumberFormat="1" applyFont="1" applyBorder="1" applyAlignment="1">
      <alignment horizontal="center" vertical="center" shrinkToFit="1"/>
    </xf>
    <xf numFmtId="0" fontId="23" fillId="0" borderId="17" xfId="0" applyFont="1" applyFill="1" applyBorder="1" applyAlignment="1">
      <alignment horizontal="center" vertical="center" shrinkToFit="1"/>
    </xf>
    <xf numFmtId="164" fontId="52" fillId="0" borderId="0" xfId="0" applyNumberFormat="1" applyFont="1" applyBorder="1" applyAlignment="1">
      <alignment horizontal="center" vertical="center"/>
    </xf>
    <xf numFmtId="165" fontId="23" fillId="0" borderId="12" xfId="0" applyNumberFormat="1" applyFont="1" applyBorder="1" applyAlignment="1">
      <alignment horizontal="center" vertical="center"/>
    </xf>
    <xf numFmtId="165" fontId="23" fillId="0" borderId="0" xfId="0" applyNumberFormat="1" applyFont="1" applyBorder="1" applyAlignment="1">
      <alignment horizontal="center" vertical="center"/>
    </xf>
    <xf numFmtId="164" fontId="23" fillId="0" borderId="0" xfId="0" applyNumberFormat="1" applyFont="1" applyBorder="1" applyAlignment="1">
      <alignment horizontal="center" vertical="center" shrinkToFit="1"/>
    </xf>
    <xf numFmtId="164" fontId="23" fillId="0" borderId="0" xfId="0" applyNumberFormat="1" applyFont="1" applyBorder="1" applyAlignment="1">
      <alignment horizontal="center" vertical="center"/>
    </xf>
    <xf numFmtId="165" fontId="0" fillId="0" borderId="0" xfId="0" applyNumberFormat="1" applyFont="1" applyBorder="1" applyAlignment="1">
      <alignment horizontal="center" vertical="center" shrinkToFit="1"/>
    </xf>
    <xf numFmtId="0" fontId="29" fillId="0" borderId="17" xfId="0" applyFont="1" applyBorder="1" applyAlignment="1">
      <alignment horizontal="center" vertical="center"/>
    </xf>
    <xf numFmtId="0" fontId="1" fillId="6" borderId="17" xfId="0" applyFont="1" applyFill="1" applyBorder="1" applyAlignment="1">
      <alignment horizontal="center" vertical="center" shrinkToFit="1"/>
    </xf>
    <xf numFmtId="1" fontId="1" fillId="6" borderId="17" xfId="0" applyNumberFormat="1" applyFont="1" applyFill="1" applyBorder="1" applyAlignment="1">
      <alignment horizontal="center" vertical="center" shrinkToFit="1"/>
    </xf>
    <xf numFmtId="1" fontId="0" fillId="6" borderId="17" xfId="0" applyNumberFormat="1" applyFill="1" applyBorder="1" applyAlignment="1">
      <alignment horizontal="center" vertical="center" shrinkToFit="1"/>
    </xf>
    <xf numFmtId="0" fontId="0" fillId="6" borderId="17" xfId="0" applyFill="1" applyBorder="1" applyAlignment="1">
      <alignment horizontal="center" vertical="center" shrinkToFit="1"/>
    </xf>
    <xf numFmtId="0" fontId="1" fillId="0" borderId="17" xfId="0" applyFont="1" applyBorder="1" applyAlignment="1">
      <alignment horizontal="center"/>
    </xf>
    <xf numFmtId="0" fontId="50" fillId="2" borderId="0" xfId="0" applyFont="1" applyFill="1" applyAlignment="1" applyProtection="1">
      <alignment horizontal="center" vertical="center"/>
    </xf>
    <xf numFmtId="0" fontId="38" fillId="0" borderId="0" xfId="0" applyFont="1" applyAlignment="1" applyProtection="1">
      <alignment horizontal="left" vertical="center"/>
    </xf>
    <xf numFmtId="0" fontId="47" fillId="15" borderId="0" xfId="0" applyFont="1" applyFill="1" applyAlignment="1" applyProtection="1">
      <alignment horizontal="left" vertical="center"/>
    </xf>
    <xf numFmtId="0" fontId="40" fillId="0" borderId="0" xfId="0" applyFont="1" applyFill="1" applyBorder="1" applyAlignment="1" applyProtection="1">
      <alignment horizontal="left" vertical="center"/>
    </xf>
    <xf numFmtId="0" fontId="40" fillId="0" borderId="0" xfId="0" applyFont="1" applyAlignment="1" applyProtection="1">
      <alignment horizontal="center" vertical="center"/>
    </xf>
    <xf numFmtId="0" fontId="39" fillId="0" borderId="0" xfId="0" applyFont="1" applyFill="1" applyAlignment="1" applyProtection="1">
      <alignment horizontal="center" vertical="center"/>
    </xf>
    <xf numFmtId="0" fontId="40" fillId="0" borderId="0" xfId="0" applyFont="1" applyAlignment="1" applyProtection="1">
      <alignment horizontal="left" vertical="center"/>
    </xf>
    <xf numFmtId="165" fontId="39" fillId="0" borderId="0" xfId="0" applyNumberFormat="1" applyFont="1" applyAlignment="1" applyProtection="1">
      <alignment horizontal="center" vertical="center"/>
    </xf>
    <xf numFmtId="165" fontId="40" fillId="0" borderId="0" xfId="0" applyNumberFormat="1" applyFont="1" applyAlignment="1" applyProtection="1">
      <alignment horizontal="center" vertical="center"/>
    </xf>
    <xf numFmtId="0" fontId="39" fillId="0" borderId="0" xfId="0" applyFont="1" applyAlignment="1" applyProtection="1">
      <alignment vertical="center"/>
    </xf>
    <xf numFmtId="167" fontId="40" fillId="0" borderId="0" xfId="0" applyNumberFormat="1" applyFont="1" applyFill="1" applyBorder="1" applyAlignment="1" applyProtection="1">
      <alignment horizontal="center" vertical="center"/>
    </xf>
    <xf numFmtId="0" fontId="40" fillId="0" borderId="0" xfId="0" applyFont="1" applyFill="1" applyBorder="1" applyAlignment="1" applyProtection="1">
      <alignment horizontal="center" vertical="center"/>
    </xf>
    <xf numFmtId="0" fontId="39" fillId="0" borderId="0" xfId="0" applyFont="1" applyFill="1" applyBorder="1" applyAlignment="1" applyProtection="1">
      <alignment horizontal="center" vertical="center"/>
    </xf>
    <xf numFmtId="0" fontId="40" fillId="0" borderId="0" xfId="0" applyFont="1" applyBorder="1" applyAlignment="1" applyProtection="1">
      <alignment horizontal="center" vertical="center"/>
    </xf>
    <xf numFmtId="0" fontId="39" fillId="0" borderId="0" xfId="0" applyFont="1" applyBorder="1" applyAlignment="1" applyProtection="1">
      <alignment horizontal="center" vertical="center"/>
    </xf>
    <xf numFmtId="0" fontId="40" fillId="15" borderId="0" xfId="0" applyFont="1" applyFill="1" applyAlignment="1" applyProtection="1">
      <alignment horizontal="center" vertical="center"/>
    </xf>
    <xf numFmtId="0" fontId="40" fillId="0" borderId="0" xfId="0" applyFont="1" applyFill="1" applyAlignment="1" applyProtection="1">
      <alignment horizontal="center" vertical="center"/>
    </xf>
    <xf numFmtId="0" fontId="0" fillId="6" borderId="17" xfId="0" applyFill="1"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xf>
    <xf numFmtId="0" fontId="1" fillId="0" borderId="20" xfId="0" applyFont="1" applyBorder="1" applyAlignment="1">
      <alignment horizontal="center" vertical="center"/>
    </xf>
    <xf numFmtId="0" fontId="1" fillId="0" borderId="17" xfId="0" applyFont="1" applyBorder="1" applyAlignment="1">
      <alignment horizontal="center"/>
    </xf>
    <xf numFmtId="0" fontId="1" fillId="0" borderId="17" xfId="0" applyFont="1" applyBorder="1" applyAlignment="1">
      <alignment horizontal="center" vertical="center"/>
    </xf>
    <xf numFmtId="1" fontId="0" fillId="0" borderId="17" xfId="0" applyNumberFormat="1" applyBorder="1" applyAlignment="1">
      <alignment horizontal="center"/>
    </xf>
    <xf numFmtId="0" fontId="0" fillId="6" borderId="0" xfId="0" applyFill="1" applyAlignment="1">
      <alignment horizontal="center"/>
    </xf>
    <xf numFmtId="0" fontId="1" fillId="0" borderId="19" xfId="0" applyFont="1" applyBorder="1" applyAlignment="1">
      <alignment horizontal="center"/>
    </xf>
    <xf numFmtId="0" fontId="1" fillId="0" borderId="17" xfId="0" applyFont="1" applyBorder="1" applyAlignment="1">
      <alignment horizontal="center"/>
    </xf>
    <xf numFmtId="0" fontId="53" fillId="6" borderId="19" xfId="0" applyFont="1" applyFill="1" applyBorder="1" applyAlignment="1">
      <alignment horizontal="center"/>
    </xf>
    <xf numFmtId="0" fontId="4" fillId="6" borderId="0" xfId="0" applyFont="1" applyFill="1" applyBorder="1" applyAlignment="1">
      <alignment horizontal="center"/>
    </xf>
    <xf numFmtId="0" fontId="0" fillId="3" borderId="0" xfId="0" applyFill="1"/>
    <xf numFmtId="0" fontId="2" fillId="6" borderId="0" xfId="0" applyFont="1" applyFill="1" applyBorder="1" applyAlignment="1">
      <alignment horizontal="center"/>
    </xf>
    <xf numFmtId="0" fontId="0" fillId="6" borderId="0" xfId="0" applyFill="1" applyBorder="1" applyAlignment="1">
      <alignment horizontal="center" vertical="center" wrapText="1"/>
    </xf>
    <xf numFmtId="0" fontId="0" fillId="6" borderId="0" xfId="0" applyFill="1" applyBorder="1" applyAlignment="1"/>
    <xf numFmtId="0" fontId="0" fillId="4" borderId="17" xfId="0" applyNumberFormat="1" applyFill="1" applyBorder="1" applyAlignment="1" applyProtection="1">
      <alignment horizontal="center"/>
      <protection locked="0"/>
    </xf>
    <xf numFmtId="170" fontId="0" fillId="6" borderId="17" xfId="1" applyNumberFormat="1" applyFont="1" applyFill="1" applyBorder="1" applyAlignment="1">
      <alignment horizontal="center" vertical="center"/>
    </xf>
    <xf numFmtId="1" fontId="0" fillId="6" borderId="0" xfId="0" applyNumberFormat="1" applyFill="1" applyBorder="1" applyAlignment="1">
      <alignment horizontal="center"/>
    </xf>
    <xf numFmtId="0" fontId="1" fillId="2" borderId="17" xfId="0" applyFont="1" applyFill="1" applyBorder="1"/>
    <xf numFmtId="0" fontId="0" fillId="3" borderId="24" xfId="0" applyFill="1" applyBorder="1" applyAlignment="1">
      <alignment horizontal="right"/>
    </xf>
    <xf numFmtId="1" fontId="0" fillId="3" borderId="24" xfId="0" applyNumberFormat="1" applyFill="1" applyBorder="1" applyAlignment="1">
      <alignment horizontal="center"/>
    </xf>
    <xf numFmtId="1" fontId="0" fillId="3" borderId="25" xfId="0" applyNumberFormat="1" applyFill="1" applyBorder="1" applyAlignment="1">
      <alignment horizontal="center"/>
    </xf>
    <xf numFmtId="0" fontId="70" fillId="6" borderId="0" xfId="4" applyFill="1" applyAlignment="1"/>
    <xf numFmtId="0" fontId="1" fillId="0" borderId="18" xfId="0" applyFont="1" applyBorder="1" applyAlignment="1">
      <alignment horizontal="center"/>
    </xf>
    <xf numFmtId="164" fontId="0" fillId="0" borderId="18" xfId="0" applyNumberFormat="1" applyBorder="1" applyAlignment="1">
      <alignment horizontal="center"/>
    </xf>
    <xf numFmtId="0" fontId="1" fillId="0" borderId="43" xfId="0" applyFont="1" applyBorder="1" applyAlignment="1">
      <alignment horizontal="center"/>
    </xf>
    <xf numFmtId="164" fontId="0" fillId="0" borderId="46" xfId="0" applyNumberFormat="1" applyBorder="1" applyAlignment="1">
      <alignment horizontal="center"/>
    </xf>
    <xf numFmtId="164" fontId="0" fillId="0" borderId="35" xfId="0" applyNumberFormat="1" applyBorder="1" applyAlignment="1">
      <alignment horizontal="center"/>
    </xf>
    <xf numFmtId="0" fontId="1" fillId="0" borderId="38" xfId="0" applyFont="1" applyBorder="1" applyAlignment="1">
      <alignment horizontal="center"/>
    </xf>
    <xf numFmtId="164" fontId="0" fillId="0" borderId="36" xfId="0" applyNumberFormat="1" applyBorder="1" applyAlignment="1">
      <alignment horizontal="center"/>
    </xf>
    <xf numFmtId="164" fontId="0" fillId="0" borderId="40" xfId="0" applyNumberFormat="1" applyBorder="1" applyAlignment="1">
      <alignment horizontal="center"/>
    </xf>
    <xf numFmtId="164" fontId="0" fillId="0" borderId="37" xfId="0" applyNumberFormat="1" applyBorder="1" applyAlignment="1">
      <alignment horizontal="center"/>
    </xf>
    <xf numFmtId="0" fontId="1" fillId="6" borderId="14" xfId="0" applyFont="1" applyFill="1" applyBorder="1" applyAlignment="1">
      <alignment horizontal="center"/>
    </xf>
    <xf numFmtId="164" fontId="0" fillId="6" borderId="15" xfId="0" applyNumberFormat="1" applyFill="1" applyBorder="1" applyAlignment="1">
      <alignment horizontal="center"/>
    </xf>
    <xf numFmtId="164" fontId="0" fillId="6" borderId="16" xfId="0" applyNumberFormat="1" applyFill="1" applyBorder="1" applyAlignment="1">
      <alignment horizontal="center"/>
    </xf>
    <xf numFmtId="164" fontId="0" fillId="4" borderId="17" xfId="0" applyNumberFormat="1" applyFill="1" applyBorder="1" applyAlignment="1" applyProtection="1">
      <alignment horizontal="center"/>
      <protection locked="0"/>
    </xf>
    <xf numFmtId="1" fontId="4" fillId="6" borderId="0" xfId="0" applyNumberFormat="1" applyFont="1" applyFill="1" applyAlignment="1">
      <alignment horizontal="left"/>
    </xf>
    <xf numFmtId="9" fontId="0" fillId="6" borderId="0" xfId="1" applyFont="1" applyFill="1" applyAlignment="1">
      <alignment horizontal="center"/>
    </xf>
    <xf numFmtId="0" fontId="35" fillId="4" borderId="19" xfId="0" applyFont="1" applyFill="1" applyBorder="1" applyAlignment="1" applyProtection="1">
      <alignment horizontal="center"/>
      <protection locked="0"/>
    </xf>
    <xf numFmtId="0" fontId="1" fillId="0" borderId="19" xfId="0" applyFont="1" applyBorder="1" applyAlignment="1">
      <alignment horizontal="right"/>
    </xf>
    <xf numFmtId="0" fontId="0" fillId="6" borderId="0" xfId="0" applyFont="1" applyFill="1" applyBorder="1" applyAlignment="1">
      <alignment horizontal="center"/>
    </xf>
    <xf numFmtId="0" fontId="0" fillId="6" borderId="0" xfId="0" applyFont="1" applyFill="1" applyBorder="1" applyAlignment="1">
      <alignment horizontal="left"/>
    </xf>
    <xf numFmtId="0" fontId="2" fillId="3" borderId="24" xfId="0" applyFont="1" applyFill="1" applyBorder="1" applyAlignment="1"/>
    <xf numFmtId="0" fontId="2" fillId="3" borderId="25" xfId="0" applyFont="1" applyFill="1" applyBorder="1" applyAlignment="1"/>
    <xf numFmtId="0" fontId="1" fillId="6" borderId="0" xfId="0" applyFont="1" applyFill="1" applyBorder="1" applyAlignment="1">
      <alignment horizontal="right"/>
    </xf>
    <xf numFmtId="165" fontId="0" fillId="0" borderId="5" xfId="0" applyNumberFormat="1" applyBorder="1" applyAlignment="1">
      <alignment horizontal="right" vertical="center"/>
    </xf>
    <xf numFmtId="165" fontId="0" fillId="0" borderId="8" xfId="0" applyNumberFormat="1" applyBorder="1" applyAlignment="1">
      <alignment horizontal="right" vertical="center"/>
    </xf>
    <xf numFmtId="1" fontId="23" fillId="0" borderId="17" xfId="0" applyNumberFormat="1" applyFont="1" applyFill="1" applyBorder="1" applyAlignment="1">
      <alignment horizontal="center" vertical="center" shrinkToFit="1"/>
    </xf>
    <xf numFmtId="0" fontId="2" fillId="6" borderId="0" xfId="0" applyFont="1" applyFill="1" applyBorder="1" applyAlignment="1">
      <alignment horizontal="left"/>
    </xf>
    <xf numFmtId="0" fontId="0" fillId="6" borderId="19" xfId="0" applyFill="1" applyBorder="1" applyAlignment="1">
      <alignment horizontal="center"/>
    </xf>
    <xf numFmtId="0" fontId="0" fillId="0" borderId="3" xfId="0" applyBorder="1" applyAlignment="1">
      <alignment horizontal="center"/>
    </xf>
    <xf numFmtId="0" fontId="0" fillId="0" borderId="0" xfId="0" applyAlignment="1">
      <alignment horizontal="center"/>
    </xf>
    <xf numFmtId="164" fontId="0" fillId="4" borderId="19" xfId="0" applyNumberFormat="1" applyFill="1" applyBorder="1" applyAlignment="1" applyProtection="1">
      <alignment horizontal="center"/>
      <protection locked="0"/>
    </xf>
    <xf numFmtId="1" fontId="0" fillId="4" borderId="17" xfId="0" applyNumberFormat="1" applyFill="1" applyBorder="1" applyAlignment="1" applyProtection="1">
      <alignment horizontal="center" vertical="center"/>
      <protection locked="0"/>
    </xf>
    <xf numFmtId="1" fontId="0" fillId="0" borderId="8" xfId="0" applyNumberFormat="1" applyBorder="1" applyAlignment="1">
      <alignment horizontal="center"/>
    </xf>
    <xf numFmtId="0" fontId="4" fillId="6" borderId="0" xfId="0" applyFont="1" applyFill="1" applyAlignment="1">
      <alignment horizontal="left"/>
    </xf>
    <xf numFmtId="0" fontId="0" fillId="5" borderId="0" xfId="0" applyFill="1" applyAlignment="1" applyProtection="1">
      <alignment horizontal="center"/>
      <protection locked="0"/>
    </xf>
    <xf numFmtId="0" fontId="71" fillId="6" borderId="0" xfId="0" applyFont="1" applyFill="1" applyProtection="1"/>
    <xf numFmtId="0" fontId="0" fillId="6" borderId="0" xfId="0" applyFill="1" applyAlignment="1" applyProtection="1">
      <alignment horizontal="center"/>
    </xf>
    <xf numFmtId="0" fontId="1" fillId="6" borderId="17" xfId="0" applyFont="1" applyFill="1" applyBorder="1" applyAlignment="1" applyProtection="1">
      <alignment horizontal="center"/>
    </xf>
    <xf numFmtId="2" fontId="1" fillId="6" borderId="38" xfId="0" applyNumberFormat="1" applyFont="1" applyFill="1" applyBorder="1" applyAlignment="1" applyProtection="1">
      <alignment horizontal="center"/>
    </xf>
    <xf numFmtId="2" fontId="1" fillId="6" borderId="36" xfId="0" applyNumberFormat="1" applyFont="1" applyFill="1" applyBorder="1" applyAlignment="1" applyProtection="1">
      <alignment horizontal="center"/>
    </xf>
    <xf numFmtId="2" fontId="0" fillId="6" borderId="38" xfId="0" applyNumberFormat="1" applyFont="1" applyFill="1" applyBorder="1" applyAlignment="1" applyProtection="1">
      <alignment horizontal="center"/>
    </xf>
    <xf numFmtId="0" fontId="0" fillId="2" borderId="38" xfId="0" applyFill="1" applyBorder="1" applyAlignment="1" applyProtection="1">
      <alignment horizontal="center"/>
    </xf>
    <xf numFmtId="0" fontId="0" fillId="2" borderId="36" xfId="0" applyFill="1" applyBorder="1" applyAlignment="1" applyProtection="1">
      <alignment horizontal="center"/>
    </xf>
    <xf numFmtId="0" fontId="0" fillId="6" borderId="0" xfId="0" applyFill="1" applyAlignment="1" applyProtection="1">
      <alignment horizontal="center"/>
    </xf>
    <xf numFmtId="165" fontId="0" fillId="0" borderId="17" xfId="0" applyNumberFormat="1" applyFont="1" applyBorder="1" applyAlignment="1">
      <alignment horizontal="center"/>
    </xf>
    <xf numFmtId="0" fontId="1"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1" fillId="0" borderId="17" xfId="0" applyFont="1" applyBorder="1" applyAlignment="1">
      <alignment horizontal="center"/>
    </xf>
    <xf numFmtId="2" fontId="0" fillId="6" borderId="30" xfId="0" applyNumberFormat="1" applyFont="1" applyFill="1" applyBorder="1" applyAlignment="1" applyProtection="1">
      <alignment horizontal="center"/>
    </xf>
    <xf numFmtId="0" fontId="39" fillId="0" borderId="0" xfId="3" applyFont="1" applyAlignment="1" applyProtection="1">
      <alignment horizontal="justify" vertical="top"/>
    </xf>
    <xf numFmtId="0" fontId="1" fillId="0" borderId="17" xfId="0" applyFont="1" applyBorder="1" applyAlignment="1">
      <alignment horizontal="center" vertical="center"/>
    </xf>
    <xf numFmtId="0" fontId="1" fillId="0" borderId="0" xfId="0" applyFont="1" applyAlignment="1">
      <alignment horizontal="left" vertical="center"/>
    </xf>
    <xf numFmtId="49" fontId="0" fillId="0" borderId="17" xfId="0" applyNumberFormat="1" applyFont="1" applyBorder="1" applyAlignment="1" applyProtection="1">
      <alignment horizontal="center" vertical="center"/>
    </xf>
    <xf numFmtId="0" fontId="0" fillId="0" borderId="17" xfId="0" applyFont="1" applyBorder="1" applyAlignment="1">
      <alignment horizontal="center" vertical="center" shrinkToFit="1"/>
    </xf>
    <xf numFmtId="14"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vertical="center"/>
    </xf>
    <xf numFmtId="49" fontId="1" fillId="0" borderId="0" xfId="0" applyNumberFormat="1" applyFont="1" applyAlignment="1">
      <alignment vertical="center"/>
    </xf>
    <xf numFmtId="0" fontId="0" fillId="0" borderId="0" xfId="0" applyFont="1" applyAlignment="1">
      <alignment horizontal="justify" vertical="center"/>
    </xf>
    <xf numFmtId="0" fontId="0" fillId="0" borderId="17" xfId="0" applyFont="1" applyFill="1" applyBorder="1" applyAlignment="1">
      <alignment horizontal="center" vertical="center" shrinkToFit="1"/>
    </xf>
    <xf numFmtId="0" fontId="0" fillId="0" borderId="0" xfId="0" applyFont="1" applyAlignment="1" applyProtection="1">
      <alignment vertical="center"/>
    </xf>
    <xf numFmtId="0" fontId="0" fillId="0" borderId="0" xfId="0" applyFont="1" applyBorder="1" applyProtection="1"/>
    <xf numFmtId="0" fontId="0" fillId="0" borderId="24" xfId="0" applyFont="1" applyBorder="1" applyProtection="1"/>
    <xf numFmtId="0" fontId="0" fillId="0" borderId="0" xfId="0" applyFont="1" applyBorder="1" applyAlignment="1" applyProtection="1">
      <alignment vertical="center" wrapText="1"/>
    </xf>
    <xf numFmtId="0" fontId="1" fillId="0" borderId="0" xfId="0" applyFont="1" applyAlignment="1" applyProtection="1">
      <alignment vertical="center"/>
    </xf>
    <xf numFmtId="0" fontId="1" fillId="0" borderId="0" xfId="0" applyFont="1" applyAlignment="1" applyProtection="1">
      <alignment vertical="justify" wrapText="1"/>
    </xf>
    <xf numFmtId="0" fontId="0" fillId="0" borderId="0" xfId="0" applyFont="1" applyAlignment="1" applyProtection="1">
      <alignment horizontal="center" vertical="center"/>
    </xf>
    <xf numFmtId="0" fontId="0" fillId="0" borderId="2" xfId="0" applyFont="1" applyBorder="1" applyAlignment="1" applyProtection="1"/>
    <xf numFmtId="0" fontId="0" fillId="0" borderId="2" xfId="0" applyFont="1" applyBorder="1" applyAlignment="1" applyProtection="1">
      <alignment wrapText="1"/>
    </xf>
    <xf numFmtId="0" fontId="0" fillId="0" borderId="0" xfId="0" applyFont="1" applyAlignment="1" applyProtection="1"/>
    <xf numFmtId="0" fontId="0" fillId="0" borderId="0" xfId="0" applyFont="1" applyBorder="1" applyAlignment="1" applyProtection="1">
      <alignment horizontal="left" wrapText="1"/>
    </xf>
    <xf numFmtId="0" fontId="0" fillId="0" borderId="0" xfId="0" applyFont="1" applyBorder="1" applyAlignment="1" applyProtection="1">
      <alignment horizontal="center" wrapText="1"/>
    </xf>
    <xf numFmtId="0" fontId="0" fillId="0" borderId="0" xfId="0" applyFont="1" applyAlignment="1" applyProtection="1">
      <alignment wrapText="1"/>
    </xf>
    <xf numFmtId="0" fontId="0" fillId="0" borderId="0" xfId="0" applyFont="1" applyBorder="1" applyAlignment="1" applyProtection="1">
      <alignment horizontal="left" vertical="center" wrapText="1"/>
    </xf>
    <xf numFmtId="0" fontId="0" fillId="0" borderId="0" xfId="0" applyFont="1" applyBorder="1" applyAlignment="1" applyProtection="1">
      <alignment horizontal="center" vertical="center" wrapText="1"/>
    </xf>
    <xf numFmtId="0" fontId="0" fillId="0" borderId="0" xfId="0" applyFont="1" applyAlignment="1" applyProtection="1">
      <alignment vertical="center" wrapText="1"/>
    </xf>
    <xf numFmtId="0" fontId="0" fillId="0" borderId="17" xfId="0" applyFont="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1" fillId="0" borderId="0" xfId="0" applyFont="1" applyAlignment="1" applyProtection="1">
      <alignment horizontal="justify" vertical="justify" wrapText="1"/>
    </xf>
    <xf numFmtId="0" fontId="1" fillId="0" borderId="0" xfId="0" applyFont="1" applyBorder="1" applyAlignment="1" applyProtection="1">
      <alignment horizontal="center" vertical="center" wrapText="1"/>
    </xf>
    <xf numFmtId="0" fontId="1" fillId="0" borderId="0" xfId="0" applyFont="1" applyBorder="1" applyAlignment="1" applyProtection="1">
      <alignment horizontal="left" vertical="center" wrapText="1"/>
    </xf>
    <xf numFmtId="0" fontId="0" fillId="0" borderId="0" xfId="0" applyFont="1" applyBorder="1" applyAlignment="1" applyProtection="1">
      <alignment horizontal="center" vertical="center"/>
    </xf>
    <xf numFmtId="0" fontId="0" fillId="0" borderId="17" xfId="0" applyFont="1" applyFill="1" applyBorder="1" applyAlignment="1" applyProtection="1">
      <alignment horizontal="center" vertical="center" wrapText="1"/>
    </xf>
    <xf numFmtId="0" fontId="0" fillId="2" borderId="17" xfId="0" applyFont="1" applyFill="1" applyBorder="1" applyAlignment="1" applyProtection="1">
      <alignment horizontal="center" vertical="center"/>
    </xf>
    <xf numFmtId="0" fontId="0" fillId="2" borderId="17" xfId="0" applyFont="1" applyFill="1" applyBorder="1" applyAlignment="1" applyProtection="1">
      <alignment horizontal="center" vertical="center" wrapText="1"/>
    </xf>
    <xf numFmtId="0" fontId="1" fillId="0" borderId="20" xfId="0" applyFont="1" applyBorder="1" applyAlignment="1" applyProtection="1">
      <alignment horizontal="center" vertical="center" wrapText="1"/>
    </xf>
    <xf numFmtId="0" fontId="1" fillId="0" borderId="22" xfId="0" applyFont="1" applyBorder="1" applyAlignment="1" applyProtection="1">
      <alignment horizontal="center" vertical="center" wrapText="1"/>
    </xf>
    <xf numFmtId="0" fontId="1" fillId="0" borderId="0" xfId="0" applyFont="1" applyAlignment="1" applyProtection="1">
      <alignment horizontal="justify" vertical="center" wrapText="1"/>
    </xf>
    <xf numFmtId="0" fontId="0" fillId="0" borderId="19" xfId="0" applyFont="1" applyBorder="1" applyAlignment="1" applyProtection="1">
      <alignment horizontal="center" wrapText="1"/>
    </xf>
    <xf numFmtId="0" fontId="0" fillId="4" borderId="19" xfId="0" applyFont="1" applyFill="1" applyBorder="1" applyAlignment="1" applyProtection="1">
      <alignment horizontal="center" vertical="center"/>
      <protection locked="0"/>
    </xf>
    <xf numFmtId="0" fontId="0" fillId="2" borderId="17"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wrapText="1"/>
    </xf>
    <xf numFmtId="0" fontId="1" fillId="2" borderId="17" xfId="0" applyFont="1" applyFill="1" applyBorder="1" applyAlignment="1" applyProtection="1">
      <alignment horizontal="center" vertical="center" wrapText="1"/>
    </xf>
    <xf numFmtId="0" fontId="1" fillId="0" borderId="17" xfId="0" applyFont="1" applyBorder="1" applyAlignment="1" applyProtection="1">
      <alignment horizontal="center" wrapText="1"/>
    </xf>
    <xf numFmtId="9" fontId="0" fillId="0" borderId="17" xfId="1" applyFont="1" applyBorder="1" applyAlignment="1" applyProtection="1">
      <alignment horizontal="center" vertical="center" wrapText="1"/>
    </xf>
    <xf numFmtId="9" fontId="0" fillId="0" borderId="17" xfId="1" applyFont="1" applyBorder="1" applyAlignment="1" applyProtection="1">
      <alignment horizontal="center"/>
    </xf>
    <xf numFmtId="0" fontId="0" fillId="4" borderId="22" xfId="0" applyFont="1" applyFill="1" applyBorder="1" applyAlignment="1" applyProtection="1">
      <alignment horizontal="center" vertical="center"/>
      <protection locked="0"/>
    </xf>
    <xf numFmtId="0" fontId="0" fillId="0" borderId="17" xfId="0" applyFont="1" applyFill="1" applyBorder="1" applyAlignment="1" applyProtection="1">
      <alignment horizontal="center" vertical="center"/>
      <protection locked="0"/>
    </xf>
    <xf numFmtId="0" fontId="1" fillId="0" borderId="20" xfId="0" applyFont="1" applyBorder="1" applyAlignment="1" applyProtection="1">
      <alignment horizontal="center" vertical="center"/>
    </xf>
    <xf numFmtId="0" fontId="1" fillId="0" borderId="20" xfId="0" applyFont="1" applyBorder="1" applyAlignment="1" applyProtection="1">
      <alignment horizontal="center" wrapText="1"/>
    </xf>
    <xf numFmtId="0" fontId="1" fillId="0" borderId="22" xfId="0" applyFont="1" applyFill="1" applyBorder="1" applyAlignment="1" applyProtection="1">
      <alignment horizontal="center" wrapText="1"/>
    </xf>
    <xf numFmtId="0" fontId="4" fillId="2" borderId="17" xfId="0" applyFont="1" applyFill="1" applyBorder="1" applyAlignment="1" applyProtection="1">
      <alignment horizontal="center" vertical="center"/>
    </xf>
    <xf numFmtId="0" fontId="0" fillId="0" borderId="20" xfId="0" applyFont="1" applyBorder="1" applyAlignment="1" applyProtection="1">
      <alignment horizontal="center" vertical="center"/>
    </xf>
    <xf numFmtId="165" fontId="0" fillId="0" borderId="17" xfId="0" applyNumberFormat="1" applyFont="1" applyBorder="1" applyAlignment="1" applyProtection="1">
      <alignment horizontal="center" vertical="center" wrapText="1"/>
    </xf>
    <xf numFmtId="0" fontId="0" fillId="2" borderId="17" xfId="0" applyFont="1" applyFill="1" applyBorder="1" applyAlignment="1" applyProtection="1">
      <alignment horizontal="center"/>
    </xf>
    <xf numFmtId="0" fontId="0" fillId="0" borderId="17" xfId="0" applyFont="1" applyBorder="1" applyAlignment="1" applyProtection="1">
      <alignment horizontal="right"/>
    </xf>
    <xf numFmtId="0" fontId="0" fillId="0" borderId="17" xfId="0" applyFont="1" applyBorder="1" applyAlignment="1">
      <alignment horizontal="center" vertical="center" wrapText="1"/>
    </xf>
    <xf numFmtId="0" fontId="1" fillId="0" borderId="19" xfId="0" applyFont="1" applyBorder="1" applyAlignment="1" applyProtection="1">
      <alignment horizontal="center" vertical="center" wrapText="1"/>
    </xf>
    <xf numFmtId="0" fontId="1" fillId="0" borderId="19" xfId="0" applyFont="1" applyBorder="1" applyAlignment="1" applyProtection="1">
      <alignment horizontal="center" vertical="center"/>
    </xf>
    <xf numFmtId="0" fontId="1" fillId="0" borderId="0" xfId="0" applyFont="1" applyAlignment="1" applyProtection="1">
      <alignment horizontal="center" vertical="center" wrapText="1"/>
    </xf>
    <xf numFmtId="9" fontId="34" fillId="0" borderId="17" xfId="1" applyFont="1" applyBorder="1" applyAlignment="1" applyProtection="1">
      <alignment horizontal="center" vertical="center" wrapText="1"/>
    </xf>
    <xf numFmtId="0" fontId="1" fillId="2" borderId="20" xfId="0" applyFont="1" applyFill="1" applyBorder="1" applyAlignment="1" applyProtection="1">
      <alignment horizontal="center" vertical="center"/>
    </xf>
    <xf numFmtId="0" fontId="0" fillId="2" borderId="20" xfId="0" applyFont="1" applyFill="1" applyBorder="1" applyAlignment="1" applyProtection="1">
      <alignment horizontal="center" vertical="center"/>
    </xf>
    <xf numFmtId="9" fontId="34" fillId="0" borderId="20" xfId="1" applyFont="1" applyBorder="1" applyAlignment="1" applyProtection="1">
      <alignment horizontal="center" vertical="center" wrapText="1"/>
    </xf>
    <xf numFmtId="0" fontId="1" fillId="0" borderId="22" xfId="0" applyFont="1" applyBorder="1" applyAlignment="1" applyProtection="1">
      <alignment horizontal="center" vertical="center"/>
    </xf>
    <xf numFmtId="0" fontId="0" fillId="0" borderId="25" xfId="0" applyFont="1" applyBorder="1" applyProtection="1"/>
    <xf numFmtId="0" fontId="0" fillId="0" borderId="19" xfId="0" applyFont="1" applyFill="1" applyBorder="1" applyAlignment="1" applyProtection="1">
      <alignment horizontal="center" vertical="center"/>
    </xf>
    <xf numFmtId="9" fontId="0" fillId="0" borderId="19" xfId="1" applyFont="1" applyFill="1" applyBorder="1" applyAlignment="1" applyProtection="1">
      <alignment horizontal="center" vertical="center" wrapText="1"/>
    </xf>
    <xf numFmtId="0" fontId="0" fillId="0" borderId="0" xfId="0" applyAlignment="1">
      <alignment horizontal="left"/>
    </xf>
    <xf numFmtId="0" fontId="0" fillId="0" borderId="20" xfId="0" applyFont="1" applyBorder="1" applyAlignment="1" applyProtection="1">
      <alignment horizontal="center" vertical="center"/>
    </xf>
    <xf numFmtId="0" fontId="0" fillId="0" borderId="17" xfId="0" applyFont="1" applyBorder="1" applyAlignment="1" applyProtection="1">
      <alignment horizontal="center" vertical="center"/>
    </xf>
    <xf numFmtId="0" fontId="0" fillId="0" borderId="17" xfId="0" applyFont="1" applyBorder="1" applyAlignment="1" applyProtection="1">
      <alignment horizontal="center"/>
    </xf>
    <xf numFmtId="0" fontId="1" fillId="0" borderId="17" xfId="0" applyFont="1" applyBorder="1" applyAlignment="1" applyProtection="1">
      <alignment horizontal="center" vertical="center"/>
    </xf>
    <xf numFmtId="0" fontId="1" fillId="0" borderId="0" xfId="0" applyFont="1" applyAlignment="1">
      <alignment horizontal="center" vertical="center"/>
    </xf>
    <xf numFmtId="0" fontId="0" fillId="0" borderId="0" xfId="0" applyFont="1" applyAlignment="1">
      <alignment horizontal="justify" vertical="center" wrapText="1"/>
    </xf>
    <xf numFmtId="0" fontId="0" fillId="0" borderId="0" xfId="0" applyFont="1" applyAlignment="1">
      <alignment vertical="center"/>
    </xf>
    <xf numFmtId="0" fontId="0" fillId="0" borderId="17" xfId="0" applyFont="1" applyBorder="1" applyAlignment="1" applyProtection="1">
      <alignment horizontal="center" vertical="center"/>
    </xf>
    <xf numFmtId="0" fontId="0" fillId="0" borderId="0" xfId="0" applyFont="1" applyAlignment="1">
      <alignment vertical="center"/>
    </xf>
    <xf numFmtId="0" fontId="75" fillId="0" borderId="0" xfId="0" applyFont="1" applyAlignment="1" applyProtection="1">
      <alignment horizontal="center"/>
    </xf>
    <xf numFmtId="0" fontId="66" fillId="0" borderId="0" xfId="0" applyFont="1" applyAlignment="1" applyProtection="1">
      <alignment horizontal="center"/>
    </xf>
    <xf numFmtId="0" fontId="2" fillId="19" borderId="23" xfId="0" applyFont="1" applyFill="1" applyBorder="1" applyAlignment="1" applyProtection="1">
      <alignment horizontal="right"/>
    </xf>
    <xf numFmtId="0" fontId="2" fillId="19" borderId="24" xfId="0" applyFont="1" applyFill="1" applyBorder="1" applyAlignment="1" applyProtection="1">
      <alignment horizontal="left"/>
    </xf>
    <xf numFmtId="0" fontId="2" fillId="19" borderId="24" xfId="0" applyFont="1" applyFill="1" applyBorder="1" applyAlignment="1" applyProtection="1"/>
    <xf numFmtId="0" fontId="2" fillId="19" borderId="25" xfId="0" applyFont="1" applyFill="1" applyBorder="1" applyAlignment="1" applyProtection="1"/>
    <xf numFmtId="165" fontId="0" fillId="0" borderId="22" xfId="0" applyNumberFormat="1" applyBorder="1" applyAlignment="1">
      <alignment horizontal="center"/>
    </xf>
    <xf numFmtId="1" fontId="0" fillId="0" borderId="20" xfId="0" applyNumberFormat="1" applyBorder="1" applyAlignment="1">
      <alignment horizontal="center"/>
    </xf>
    <xf numFmtId="165" fontId="1" fillId="0" borderId="16" xfId="0" applyNumberFormat="1" applyFont="1" applyBorder="1" applyAlignment="1">
      <alignment horizontal="center"/>
    </xf>
    <xf numFmtId="1" fontId="1" fillId="0" borderId="14" xfId="0" applyNumberFormat="1" applyFont="1" applyBorder="1" applyAlignment="1">
      <alignment horizontal="center"/>
    </xf>
    <xf numFmtId="165" fontId="0" fillId="0" borderId="11" xfId="0" applyNumberFormat="1" applyBorder="1" applyAlignment="1">
      <alignment horizontal="center"/>
    </xf>
    <xf numFmtId="1" fontId="0" fillId="0" borderId="9" xfId="0" applyNumberFormat="1" applyBorder="1" applyAlignment="1">
      <alignment horizontal="center"/>
    </xf>
    <xf numFmtId="0" fontId="76" fillId="4" borderId="17" xfId="0" applyFont="1" applyFill="1" applyBorder="1" applyAlignment="1" applyProtection="1">
      <alignment horizontal="center"/>
      <protection locked="0"/>
    </xf>
    <xf numFmtId="0" fontId="1" fillId="0" borderId="0" xfId="0" applyFont="1" applyFill="1" applyAlignment="1">
      <alignment vertical="center"/>
    </xf>
    <xf numFmtId="0" fontId="0" fillId="0" borderId="0" xfId="0" applyFont="1" applyFill="1" applyAlignment="1">
      <alignment horizontal="justify" vertical="center" wrapText="1"/>
    </xf>
    <xf numFmtId="0" fontId="35" fillId="2" borderId="0" xfId="0" applyFont="1" applyFill="1" applyAlignment="1" applyProtection="1">
      <alignment horizontal="left" vertical="center"/>
      <protection locked="0"/>
    </xf>
    <xf numFmtId="0" fontId="77" fillId="0" borderId="0" xfId="0" applyFont="1" applyAlignment="1" applyProtection="1">
      <alignment horizontal="center"/>
    </xf>
    <xf numFmtId="0" fontId="77" fillId="6" borderId="0" xfId="0" applyFont="1" applyFill="1" applyBorder="1" applyAlignment="1">
      <alignment horizontal="center" vertical="center"/>
    </xf>
    <xf numFmtId="0" fontId="0" fillId="0" borderId="0" xfId="0" applyBorder="1" applyAlignment="1">
      <alignment horizontal="center"/>
    </xf>
    <xf numFmtId="0" fontId="0" fillId="0" borderId="0" xfId="0" applyBorder="1" applyAlignment="1">
      <alignment horizontal="left"/>
    </xf>
    <xf numFmtId="0" fontId="0" fillId="0" borderId="0" xfId="0" applyAlignment="1">
      <alignment horizontal="center"/>
    </xf>
    <xf numFmtId="0" fontId="1" fillId="0" borderId="17" xfId="0" applyFont="1" applyBorder="1" applyAlignment="1">
      <alignment horizontal="center" vertical="center"/>
    </xf>
    <xf numFmtId="0" fontId="1" fillId="0" borderId="19" xfId="0" applyFont="1" applyBorder="1" applyAlignment="1" applyProtection="1">
      <alignment horizontal="center" vertical="center" wrapText="1"/>
    </xf>
    <xf numFmtId="0" fontId="0" fillId="0" borderId="17" xfId="0" applyFont="1" applyBorder="1" applyAlignment="1" applyProtection="1">
      <alignment horizontal="center" vertical="center" wrapText="1"/>
    </xf>
    <xf numFmtId="0" fontId="0" fillId="0" borderId="20" xfId="0" applyFont="1" applyBorder="1" applyAlignment="1" applyProtection="1">
      <alignment horizontal="center" vertical="center" wrapText="1"/>
    </xf>
    <xf numFmtId="0" fontId="0" fillId="0" borderId="17" xfId="0" applyFont="1" applyBorder="1" applyAlignment="1" applyProtection="1">
      <alignment horizontal="center"/>
    </xf>
    <xf numFmtId="0" fontId="0" fillId="0" borderId="17" xfId="0" applyFont="1" applyBorder="1" applyAlignment="1" applyProtection="1">
      <alignment horizontal="center" vertical="center"/>
    </xf>
    <xf numFmtId="0" fontId="0" fillId="2" borderId="17" xfId="0" applyFont="1" applyFill="1" applyBorder="1" applyAlignment="1" applyProtection="1">
      <alignment horizontal="center"/>
    </xf>
    <xf numFmtId="0" fontId="1" fillId="0" borderId="17" xfId="0" applyFont="1" applyBorder="1" applyAlignment="1" applyProtection="1">
      <alignment horizontal="center"/>
    </xf>
    <xf numFmtId="0" fontId="0" fillId="0" borderId="18" xfId="0" applyFont="1" applyBorder="1" applyAlignment="1" applyProtection="1">
      <alignment horizontal="center" vertical="center" wrapText="1"/>
    </xf>
    <xf numFmtId="0" fontId="0" fillId="0" borderId="19" xfId="0" applyFont="1" applyBorder="1" applyAlignment="1" applyProtection="1">
      <alignment horizontal="center" vertical="center" wrapText="1"/>
    </xf>
    <xf numFmtId="0" fontId="1" fillId="0" borderId="17" xfId="0" applyFont="1" applyBorder="1" applyAlignment="1" applyProtection="1">
      <alignment horizontal="center" vertical="center" wrapText="1"/>
    </xf>
    <xf numFmtId="0" fontId="0" fillId="0" borderId="17" xfId="0" applyFont="1" applyBorder="1" applyAlignment="1">
      <alignment horizontal="center" vertical="center" wrapText="1"/>
    </xf>
    <xf numFmtId="0" fontId="1" fillId="0" borderId="17" xfId="0" applyFont="1" applyBorder="1" applyAlignment="1" applyProtection="1">
      <alignment horizontal="center" vertical="center"/>
    </xf>
    <xf numFmtId="0" fontId="1" fillId="0" borderId="0" xfId="0" applyFont="1" applyAlignment="1">
      <alignment horizontal="center" vertical="center"/>
    </xf>
    <xf numFmtId="0" fontId="0" fillId="0" borderId="0" xfId="0" applyFont="1" applyAlignment="1">
      <alignment vertical="center"/>
    </xf>
    <xf numFmtId="0" fontId="78" fillId="0" borderId="17" xfId="3" applyFont="1" applyBorder="1" applyAlignment="1" applyProtection="1">
      <alignment horizontal="center" vertical="center"/>
    </xf>
    <xf numFmtId="0" fontId="6" fillId="0" borderId="0" xfId="0" applyFont="1" applyAlignment="1">
      <alignment vertical="top"/>
    </xf>
    <xf numFmtId="0" fontId="77" fillId="0" borderId="0" xfId="0" applyFont="1" applyAlignment="1">
      <alignment horizontal="center" vertical="center"/>
    </xf>
    <xf numFmtId="0" fontId="1" fillId="2" borderId="0" xfId="0" applyFont="1" applyFill="1" applyBorder="1" applyAlignment="1" applyProtection="1">
      <alignment horizontal="center" vertical="center"/>
      <protection locked="0"/>
    </xf>
    <xf numFmtId="164" fontId="1" fillId="2" borderId="0" xfId="0" applyNumberFormat="1" applyFont="1" applyFill="1" applyBorder="1" applyAlignment="1">
      <alignment horizontal="center" vertical="center"/>
    </xf>
    <xf numFmtId="0" fontId="1" fillId="2" borderId="0" xfId="0" applyFont="1" applyFill="1" applyAlignment="1">
      <alignment horizontal="center" vertical="center"/>
    </xf>
    <xf numFmtId="0" fontId="1" fillId="2" borderId="4" xfId="0" applyFont="1" applyFill="1" applyBorder="1" applyAlignment="1">
      <alignment vertical="center"/>
    </xf>
    <xf numFmtId="0" fontId="1" fillId="2" borderId="20" xfId="0" applyFont="1" applyFill="1" applyBorder="1" applyAlignment="1">
      <alignment horizontal="center" vertical="center"/>
    </xf>
    <xf numFmtId="0" fontId="1" fillId="2" borderId="17" xfId="0" applyFont="1" applyFill="1" applyBorder="1" applyAlignment="1">
      <alignment horizontal="center" vertical="center" wrapText="1"/>
    </xf>
    <xf numFmtId="0" fontId="0" fillId="2" borderId="26" xfId="0" applyFill="1" applyBorder="1" applyAlignment="1">
      <alignment horizontal="center"/>
    </xf>
    <xf numFmtId="0" fontId="1" fillId="2" borderId="27" xfId="0" applyFont="1" applyFill="1" applyBorder="1" applyAlignment="1">
      <alignment horizontal="center" vertical="center"/>
    </xf>
    <xf numFmtId="0" fontId="77" fillId="0" borderId="0" xfId="0" applyFont="1" applyAlignment="1" applyProtection="1">
      <alignment horizontal="center" vertical="center"/>
    </xf>
    <xf numFmtId="0" fontId="0" fillId="2" borderId="17" xfId="0" applyFill="1" applyBorder="1" applyAlignment="1" applyProtection="1">
      <alignment horizontal="center"/>
    </xf>
    <xf numFmtId="0" fontId="77" fillId="0" borderId="0" xfId="0" applyFont="1" applyAlignment="1">
      <alignment horizontal="left" vertical="center"/>
    </xf>
    <xf numFmtId="0" fontId="0" fillId="0" borderId="10" xfId="0" applyBorder="1" applyAlignment="1">
      <alignment horizontal="center"/>
    </xf>
    <xf numFmtId="9" fontId="0" fillId="0" borderId="0" xfId="0" applyNumberFormat="1" applyBorder="1" applyAlignment="1">
      <alignment horizontal="center"/>
    </xf>
    <xf numFmtId="0" fontId="0" fillId="0" borderId="13" xfId="0" applyBorder="1" applyAlignment="1">
      <alignment horizontal="left"/>
    </xf>
    <xf numFmtId="0" fontId="0" fillId="10" borderId="0" xfId="0" applyFill="1" applyBorder="1" applyAlignment="1">
      <alignment horizontal="center"/>
    </xf>
    <xf numFmtId="0" fontId="0" fillId="0" borderId="15" xfId="0" applyBorder="1" applyAlignment="1">
      <alignment horizontal="left"/>
    </xf>
    <xf numFmtId="0" fontId="0" fillId="0" borderId="16" xfId="0" applyBorder="1" applyAlignment="1">
      <alignment horizontal="left"/>
    </xf>
    <xf numFmtId="0" fontId="77" fillId="6" borderId="0" xfId="0" applyFont="1" applyFill="1" applyAlignment="1" applyProtection="1"/>
    <xf numFmtId="0" fontId="15" fillId="0" borderId="0" xfId="0" applyFont="1" applyAlignment="1">
      <alignment vertical="center"/>
    </xf>
    <xf numFmtId="170" fontId="34" fillId="0" borderId="17" xfId="1" applyNumberFormat="1" applyFont="1" applyBorder="1" applyAlignment="1" applyProtection="1">
      <alignment horizontal="center" vertical="center"/>
    </xf>
    <xf numFmtId="0" fontId="0" fillId="2" borderId="19" xfId="0" applyFont="1" applyFill="1" applyBorder="1" applyAlignment="1" applyProtection="1">
      <alignment horizontal="center" vertical="center"/>
    </xf>
    <xf numFmtId="0" fontId="0" fillId="0" borderId="0" xfId="0" applyFont="1" applyBorder="1" applyAlignment="1">
      <alignment vertical="center"/>
    </xf>
    <xf numFmtId="0" fontId="0" fillId="0" borderId="0" xfId="0" applyFont="1" applyFill="1" applyBorder="1" applyAlignment="1">
      <alignment vertical="center"/>
    </xf>
    <xf numFmtId="0" fontId="0" fillId="2"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Font="1" applyBorder="1" applyAlignment="1" applyProtection="1">
      <alignment vertical="center"/>
    </xf>
    <xf numFmtId="0" fontId="0" fillId="0" borderId="0" xfId="0" applyFont="1" applyBorder="1" applyAlignment="1" applyProtection="1">
      <alignment horizontal="left" vertical="center"/>
    </xf>
    <xf numFmtId="0" fontId="0" fillId="0" borderId="17" xfId="0" applyFont="1" applyBorder="1" applyAlignment="1" applyProtection="1">
      <alignment vertical="center"/>
    </xf>
    <xf numFmtId="0" fontId="0" fillId="0" borderId="17" xfId="0" applyFont="1" applyBorder="1" applyAlignment="1" applyProtection="1">
      <alignment horizontal="left" vertical="center"/>
    </xf>
    <xf numFmtId="0" fontId="0" fillId="0" borderId="17" xfId="0" applyFont="1" applyBorder="1" applyProtection="1"/>
    <xf numFmtId="0" fontId="0" fillId="0" borderId="0" xfId="0" applyFont="1" applyAlignment="1">
      <alignment vertical="center"/>
    </xf>
    <xf numFmtId="0" fontId="0" fillId="6" borderId="0" xfId="0" applyFill="1" applyAlignment="1" applyProtection="1">
      <alignment horizontal="center"/>
    </xf>
    <xf numFmtId="0" fontId="1" fillId="6" borderId="17" xfId="0" applyFont="1" applyFill="1" applyBorder="1" applyAlignment="1" applyProtection="1">
      <alignment horizontal="center"/>
    </xf>
    <xf numFmtId="0" fontId="1" fillId="6" borderId="19" xfId="0" applyFont="1" applyFill="1" applyBorder="1" applyAlignment="1" applyProtection="1">
      <alignment horizontal="center"/>
    </xf>
    <xf numFmtId="0" fontId="1" fillId="4" borderId="8" xfId="0" applyFont="1" applyFill="1" applyBorder="1" applyAlignment="1" applyProtection="1">
      <alignment horizontal="center" vertical="center"/>
      <protection locked="0"/>
    </xf>
    <xf numFmtId="0" fontId="1" fillId="6" borderId="0" xfId="0" applyFont="1" applyFill="1" applyAlignment="1" applyProtection="1">
      <alignment horizontal="left" vertical="center"/>
    </xf>
    <xf numFmtId="0" fontId="0" fillId="6" borderId="17" xfId="0" applyNumberFormat="1" applyFont="1" applyFill="1" applyBorder="1" applyAlignment="1" applyProtection="1">
      <alignment horizontal="center"/>
    </xf>
    <xf numFmtId="0" fontId="2" fillId="0" borderId="5" xfId="0" applyFont="1" applyFill="1" applyBorder="1" applyAlignment="1" applyProtection="1">
      <alignment horizontal="center"/>
    </xf>
    <xf numFmtId="165" fontId="0" fillId="0" borderId="7" xfId="0" applyNumberFormat="1" applyFont="1" applyFill="1" applyBorder="1" applyAlignment="1" applyProtection="1">
      <alignment horizontal="center"/>
    </xf>
    <xf numFmtId="0" fontId="0" fillId="0" borderId="7" xfId="0" applyFont="1" applyFill="1" applyBorder="1" applyAlignment="1" applyProtection="1">
      <alignment horizontal="left"/>
    </xf>
    <xf numFmtId="0" fontId="0" fillId="6" borderId="8" xfId="0" applyFill="1" applyBorder="1" applyProtection="1"/>
    <xf numFmtId="0" fontId="80" fillId="6" borderId="0" xfId="0" applyFont="1" applyFill="1" applyBorder="1" applyAlignment="1" applyProtection="1">
      <alignment horizontal="left"/>
    </xf>
    <xf numFmtId="0" fontId="1" fillId="6" borderId="18" xfId="0" applyFont="1" applyFill="1" applyBorder="1" applyAlignment="1" applyProtection="1">
      <alignment horizontal="center"/>
    </xf>
    <xf numFmtId="164" fontId="0" fillId="6" borderId="19" xfId="0" applyNumberFormat="1" applyFont="1" applyFill="1" applyBorder="1" applyAlignment="1" applyProtection="1">
      <alignment horizontal="center"/>
    </xf>
    <xf numFmtId="0" fontId="1" fillId="6" borderId="58" xfId="0" applyFont="1" applyFill="1" applyBorder="1" applyAlignment="1" applyProtection="1">
      <alignment horizontal="center"/>
    </xf>
    <xf numFmtId="0" fontId="0" fillId="4" borderId="59" xfId="0" applyFill="1" applyBorder="1" applyAlignment="1" applyProtection="1">
      <alignment horizontal="center"/>
      <protection locked="0"/>
    </xf>
    <xf numFmtId="0" fontId="0" fillId="4" borderId="45" xfId="0" applyFill="1" applyBorder="1" applyAlignment="1" applyProtection="1">
      <alignment horizontal="center"/>
      <protection locked="0"/>
    </xf>
    <xf numFmtId="2" fontId="0" fillId="6" borderId="19" xfId="0" applyNumberFormat="1" applyFont="1" applyFill="1" applyBorder="1" applyAlignment="1" applyProtection="1">
      <alignment horizontal="center"/>
    </xf>
    <xf numFmtId="0" fontId="0" fillId="4" borderId="17" xfId="0" applyFont="1" applyFill="1" applyBorder="1" applyAlignment="1" applyProtection="1">
      <alignment horizontal="center" vertical="center"/>
      <protection locked="0"/>
    </xf>
    <xf numFmtId="0" fontId="0" fillId="0" borderId="0" xfId="0" applyFont="1" applyAlignment="1">
      <alignment vertical="center"/>
    </xf>
    <xf numFmtId="0" fontId="0" fillId="6" borderId="0" xfId="0" applyFill="1" applyAlignment="1" applyProtection="1">
      <alignment horizontal="center"/>
    </xf>
    <xf numFmtId="0" fontId="0" fillId="6" borderId="17" xfId="0" applyFill="1" applyBorder="1" applyAlignment="1" applyProtection="1">
      <alignment horizontal="center" vertical="center"/>
    </xf>
    <xf numFmtId="0" fontId="0" fillId="6" borderId="17" xfId="0" applyFill="1" applyBorder="1" applyAlignment="1">
      <alignment horizontal="center" vertical="center"/>
    </xf>
    <xf numFmtId="0" fontId="0" fillId="0" borderId="17" xfId="0" applyBorder="1" applyAlignment="1">
      <alignment horizontal="center" vertical="center"/>
    </xf>
    <xf numFmtId="0" fontId="1" fillId="0" borderId="17" xfId="0" applyFont="1" applyFill="1" applyBorder="1" applyAlignment="1">
      <alignment horizontal="center" vertical="center"/>
    </xf>
    <xf numFmtId="0" fontId="0" fillId="6" borderId="0" xfId="0" applyFill="1" applyBorder="1" applyAlignment="1">
      <alignment horizontal="center" vertical="center"/>
    </xf>
    <xf numFmtId="0" fontId="0" fillId="0" borderId="0" xfId="0" applyBorder="1" applyAlignment="1">
      <alignment vertical="center"/>
    </xf>
    <xf numFmtId="0" fontId="1" fillId="0" borderId="4" xfId="0" applyFont="1" applyBorder="1" applyAlignment="1">
      <alignment horizontal="center" vertical="center"/>
    </xf>
    <xf numFmtId="0" fontId="0" fillId="0" borderId="0" xfId="0" applyAlignment="1">
      <alignment horizontal="left" vertical="center"/>
    </xf>
    <xf numFmtId="2" fontId="0" fillId="0" borderId="0" xfId="0" applyNumberFormat="1" applyBorder="1" applyAlignment="1">
      <alignment horizontal="center" vertical="center"/>
    </xf>
    <xf numFmtId="0" fontId="1" fillId="6" borderId="17" xfId="0" applyFont="1" applyFill="1" applyBorder="1" applyAlignment="1" applyProtection="1">
      <alignment horizontal="center"/>
    </xf>
    <xf numFmtId="0" fontId="1" fillId="0" borderId="17" xfId="0" applyFont="1" applyBorder="1" applyAlignment="1">
      <alignment horizontal="center" vertical="center"/>
    </xf>
    <xf numFmtId="0" fontId="1" fillId="0" borderId="0" xfId="0" applyFont="1" applyAlignment="1">
      <alignment horizontal="center" vertical="center"/>
    </xf>
    <xf numFmtId="14" fontId="0" fillId="0" borderId="0" xfId="0" applyNumberFormat="1" applyFont="1" applyAlignment="1">
      <alignment horizontal="center" vertical="center" shrinkToFit="1"/>
    </xf>
    <xf numFmtId="0" fontId="1" fillId="0" borderId="66" xfId="0" applyFont="1" applyBorder="1" applyAlignment="1">
      <alignment horizontal="center"/>
    </xf>
    <xf numFmtId="164" fontId="0" fillId="0" borderId="67" xfId="0" applyNumberFormat="1" applyBorder="1" applyAlignment="1">
      <alignment horizontal="center"/>
    </xf>
    <xf numFmtId="165" fontId="0" fillId="4" borderId="18" xfId="0" applyNumberFormat="1" applyFill="1" applyBorder="1" applyAlignment="1" applyProtection="1">
      <alignment horizontal="center"/>
      <protection locked="0"/>
    </xf>
    <xf numFmtId="0" fontId="1" fillId="0" borderId="58" xfId="0" applyFont="1" applyBorder="1" applyAlignment="1">
      <alignment horizontal="center"/>
    </xf>
    <xf numFmtId="165" fontId="0" fillId="4" borderId="59" xfId="0" applyNumberFormat="1" applyFill="1" applyBorder="1" applyAlignment="1" applyProtection="1">
      <alignment horizontal="center"/>
      <protection locked="0"/>
    </xf>
    <xf numFmtId="165" fontId="0" fillId="4" borderId="45" xfId="0" applyNumberFormat="1" applyFill="1" applyBorder="1" applyAlignment="1" applyProtection="1">
      <alignment horizontal="center"/>
      <protection locked="0"/>
    </xf>
    <xf numFmtId="0" fontId="35" fillId="6" borderId="0" xfId="0" applyFont="1" applyFill="1" applyBorder="1" applyAlignment="1">
      <alignment horizontal="right"/>
    </xf>
    <xf numFmtId="0" fontId="0" fillId="6" borderId="64" xfId="0" applyFill="1" applyBorder="1" applyAlignment="1" applyProtection="1">
      <alignment horizontal="center"/>
    </xf>
    <xf numFmtId="0" fontId="1" fillId="6" borderId="0" xfId="0" applyFont="1" applyFill="1" applyBorder="1" applyAlignment="1" applyProtection="1">
      <alignment horizontal="right"/>
    </xf>
    <xf numFmtId="0" fontId="0" fillId="4" borderId="17" xfId="0" applyFill="1" applyBorder="1" applyAlignment="1" applyProtection="1">
      <alignment vertical="center"/>
      <protection locked="0"/>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0" fillId="6" borderId="2" xfId="0" applyFill="1" applyBorder="1" applyAlignment="1">
      <alignment horizontal="center" vertical="center"/>
    </xf>
    <xf numFmtId="0" fontId="0" fillId="6" borderId="2" xfId="0" applyFill="1" applyBorder="1" applyAlignment="1">
      <alignment vertical="center"/>
    </xf>
    <xf numFmtId="0" fontId="1" fillId="0" borderId="26" xfId="0" applyFont="1" applyFill="1" applyBorder="1" applyAlignment="1">
      <alignment horizontal="center" vertical="center"/>
    </xf>
    <xf numFmtId="0" fontId="0" fillId="4" borderId="1" xfId="0" applyFill="1" applyBorder="1" applyAlignment="1" applyProtection="1">
      <alignment horizontal="center" vertical="center"/>
      <protection locked="0"/>
    </xf>
    <xf numFmtId="0" fontId="0" fillId="4" borderId="2" xfId="0" applyFill="1" applyBorder="1" applyAlignment="1" applyProtection="1">
      <alignment horizontal="center" vertical="center"/>
      <protection locked="0"/>
    </xf>
    <xf numFmtId="165" fontId="0" fillId="6" borderId="2" xfId="0" applyNumberFormat="1" applyFill="1" applyBorder="1" applyAlignment="1">
      <alignment horizontal="center" vertical="center"/>
    </xf>
    <xf numFmtId="0" fontId="0" fillId="6" borderId="3" xfId="0" applyFill="1" applyBorder="1" applyAlignment="1">
      <alignment horizontal="center" vertical="center"/>
    </xf>
    <xf numFmtId="0" fontId="0" fillId="4" borderId="4"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6" borderId="5" xfId="0" applyFill="1" applyBorder="1" applyAlignment="1">
      <alignment horizontal="center" vertical="center"/>
    </xf>
    <xf numFmtId="0" fontId="0" fillId="4" borderId="6"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165" fontId="0" fillId="6" borderId="7" xfId="0" applyNumberFormat="1" applyFill="1" applyBorder="1" applyAlignment="1">
      <alignment horizontal="center"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4" borderId="23" xfId="0" applyFill="1" applyBorder="1" applyAlignment="1" applyProtection="1">
      <alignment horizontal="center" vertical="center"/>
      <protection locked="0"/>
    </xf>
    <xf numFmtId="165" fontId="1" fillId="0" borderId="24" xfId="0" applyNumberFormat="1" applyFont="1" applyBorder="1" applyAlignment="1">
      <alignment horizontal="center" vertical="center"/>
    </xf>
    <xf numFmtId="165" fontId="1" fillId="0" borderId="25" xfId="0" applyNumberFormat="1" applyFont="1" applyBorder="1" applyAlignment="1">
      <alignment horizontal="center" vertical="center"/>
    </xf>
    <xf numFmtId="0" fontId="0" fillId="4" borderId="26" xfId="0" applyFill="1" applyBorder="1" applyAlignment="1" applyProtection="1">
      <alignment horizontal="center" vertical="center"/>
      <protection locked="0"/>
    </xf>
    <xf numFmtId="165" fontId="0" fillId="4" borderId="32" xfId="0" applyNumberFormat="1" applyFill="1" applyBorder="1" applyAlignment="1" applyProtection="1">
      <alignment horizontal="center" vertical="center"/>
      <protection locked="0"/>
    </xf>
    <xf numFmtId="0" fontId="0" fillId="0" borderId="0" xfId="0" applyFont="1" applyBorder="1" applyAlignment="1">
      <alignment horizontal="left" vertical="center"/>
    </xf>
    <xf numFmtId="0" fontId="0" fillId="0" borderId="0" xfId="0" applyBorder="1" applyAlignment="1">
      <alignment horizontal="left" vertical="center"/>
    </xf>
    <xf numFmtId="0" fontId="0" fillId="4" borderId="28" xfId="0" applyFill="1" applyBorder="1" applyAlignment="1" applyProtection="1">
      <alignment horizontal="center" vertical="center"/>
      <protection locked="0"/>
    </xf>
    <xf numFmtId="165" fontId="0" fillId="0" borderId="5" xfId="0" applyNumberFormat="1" applyBorder="1" applyAlignment="1">
      <alignment horizontal="center" vertical="center"/>
    </xf>
    <xf numFmtId="0" fontId="0" fillId="4" borderId="34" xfId="0" applyFill="1" applyBorder="1" applyAlignment="1" applyProtection="1">
      <alignment horizontal="center" vertical="center"/>
      <protection locked="0"/>
    </xf>
    <xf numFmtId="165" fontId="0" fillId="0" borderId="8" xfId="0" applyNumberFormat="1" applyBorder="1" applyAlignment="1">
      <alignment horizontal="center" vertical="center"/>
    </xf>
    <xf numFmtId="0" fontId="35" fillId="0" borderId="0" xfId="0" applyFont="1" applyAlignment="1">
      <alignment vertical="center"/>
    </xf>
    <xf numFmtId="0" fontId="0" fillId="3" borderId="24" xfId="0" applyFill="1" applyBorder="1" applyAlignment="1">
      <alignment vertical="center"/>
    </xf>
    <xf numFmtId="0" fontId="0" fillId="3" borderId="25" xfId="0" applyFill="1" applyBorder="1" applyAlignment="1">
      <alignment vertical="center"/>
    </xf>
    <xf numFmtId="0" fontId="1" fillId="6" borderId="17" xfId="0" applyFont="1" applyFill="1" applyBorder="1" applyAlignment="1">
      <alignment horizontal="right" vertical="center"/>
    </xf>
    <xf numFmtId="165" fontId="0" fillId="6" borderId="17" xfId="0" applyNumberFormat="1" applyFont="1" applyFill="1" applyBorder="1" applyAlignment="1">
      <alignment horizontal="center" vertical="center"/>
    </xf>
    <xf numFmtId="170" fontId="2" fillId="6" borderId="0" xfId="1" applyNumberFormat="1" applyFont="1" applyFill="1" applyAlignment="1">
      <alignment horizontal="center" vertical="center"/>
    </xf>
    <xf numFmtId="0" fontId="21" fillId="0" borderId="0" xfId="0" applyFont="1" applyFill="1" applyAlignment="1">
      <alignment horizontal="left" vertical="center"/>
    </xf>
    <xf numFmtId="0" fontId="5" fillId="0" borderId="0" xfId="0" applyFont="1" applyBorder="1" applyAlignment="1">
      <alignment vertical="center"/>
    </xf>
    <xf numFmtId="0" fontId="2" fillId="0" borderId="38" xfId="0" applyFont="1" applyFill="1" applyBorder="1" applyAlignment="1">
      <alignment horizontal="center" vertical="center"/>
    </xf>
    <xf numFmtId="0" fontId="0" fillId="4" borderId="31" xfId="0" applyFill="1" applyBorder="1" applyAlignment="1" applyProtection="1">
      <alignment horizontal="center" vertical="center"/>
      <protection locked="0"/>
    </xf>
    <xf numFmtId="0" fontId="5" fillId="0" borderId="0" xfId="0" applyFont="1" applyBorder="1" applyAlignment="1">
      <alignment horizontal="center" vertical="center"/>
    </xf>
    <xf numFmtId="0" fontId="2" fillId="0" borderId="39" xfId="0" applyFont="1" applyFill="1" applyBorder="1" applyAlignment="1">
      <alignment horizontal="center" vertical="center"/>
    </xf>
    <xf numFmtId="0" fontId="0" fillId="4" borderId="33" xfId="0" applyFill="1" applyBorder="1" applyAlignment="1" applyProtection="1">
      <alignment horizontal="center" vertical="center"/>
      <protection locked="0"/>
    </xf>
    <xf numFmtId="0" fontId="0" fillId="0" borderId="0" xfId="0" applyFill="1" applyAlignment="1">
      <alignment vertical="center"/>
    </xf>
    <xf numFmtId="0" fontId="35" fillId="0" borderId="0" xfId="0" applyFont="1" applyFill="1" applyAlignment="1">
      <alignment vertical="center"/>
    </xf>
    <xf numFmtId="0" fontId="5" fillId="0" borderId="0" xfId="0" applyFont="1" applyFill="1" applyBorder="1" applyAlignment="1">
      <alignment horizontal="center" vertical="center"/>
    </xf>
    <xf numFmtId="0" fontId="5" fillId="0" borderId="4" xfId="0" applyFont="1" applyBorder="1" applyAlignment="1">
      <alignment horizontal="center" vertical="center"/>
    </xf>
    <xf numFmtId="0" fontId="0" fillId="0" borderId="17" xfId="0" applyBorder="1" applyAlignment="1">
      <alignment vertical="center"/>
    </xf>
    <xf numFmtId="0" fontId="0" fillId="2" borderId="17" xfId="0" applyFill="1" applyBorder="1" applyAlignment="1">
      <alignment horizontal="center" vertical="center"/>
    </xf>
    <xf numFmtId="0" fontId="1" fillId="0" borderId="17" xfId="0" applyFont="1" applyFill="1" applyBorder="1" applyAlignment="1" applyProtection="1">
      <alignment horizontal="center" vertical="center"/>
      <protection locked="0"/>
    </xf>
    <xf numFmtId="0" fontId="0" fillId="6" borderId="17" xfId="0" applyFill="1" applyBorder="1" applyAlignment="1" applyProtection="1">
      <alignment horizontal="center" vertical="center"/>
      <protection locked="0"/>
    </xf>
    <xf numFmtId="165" fontId="1" fillId="0" borderId="17" xfId="0" applyNumberFormat="1" applyFont="1" applyBorder="1" applyAlignment="1" applyProtection="1">
      <alignment horizontal="center" vertical="center"/>
    </xf>
    <xf numFmtId="0" fontId="1" fillId="0" borderId="19" xfId="0" applyFont="1" applyBorder="1" applyAlignment="1">
      <alignment horizontal="center"/>
    </xf>
    <xf numFmtId="0" fontId="1" fillId="0" borderId="17" xfId="0" applyFont="1" applyBorder="1" applyAlignment="1">
      <alignment horizontal="center"/>
    </xf>
    <xf numFmtId="173" fontId="0" fillId="6" borderId="17" xfId="1" applyNumberFormat="1" applyFont="1" applyFill="1" applyBorder="1" applyAlignment="1">
      <alignment horizontal="center" vertical="center"/>
    </xf>
    <xf numFmtId="2" fontId="0" fillId="0" borderId="17" xfId="0" applyNumberFormat="1" applyFill="1" applyBorder="1" applyAlignment="1">
      <alignment horizontal="center"/>
    </xf>
    <xf numFmtId="0" fontId="70" fillId="6" borderId="0" xfId="4" applyFill="1" applyBorder="1" applyAlignment="1">
      <alignment horizontal="center"/>
    </xf>
    <xf numFmtId="0" fontId="1" fillId="0" borderId="19" xfId="0" applyFont="1" applyBorder="1" applyAlignment="1">
      <alignment horizontal="center"/>
    </xf>
    <xf numFmtId="0" fontId="1" fillId="0" borderId="17" xfId="0" applyFont="1" applyBorder="1" applyAlignment="1">
      <alignment horizontal="center"/>
    </xf>
    <xf numFmtId="0" fontId="1" fillId="6" borderId="20" xfId="0" applyFont="1" applyFill="1" applyBorder="1" applyAlignment="1">
      <alignment horizontal="center"/>
    </xf>
    <xf numFmtId="165" fontId="0" fillId="6" borderId="21" xfId="0" applyNumberFormat="1" applyFill="1" applyBorder="1" applyAlignment="1" applyProtection="1">
      <alignment horizontal="center"/>
      <protection locked="0"/>
    </xf>
    <xf numFmtId="165" fontId="0" fillId="6" borderId="22" xfId="0" applyNumberFormat="1" applyFill="1" applyBorder="1" applyAlignment="1" applyProtection="1">
      <alignment horizontal="center"/>
      <protection locked="0"/>
    </xf>
    <xf numFmtId="0" fontId="1" fillId="6" borderId="9" xfId="0" applyFont="1" applyFill="1" applyBorder="1" applyAlignment="1">
      <alignment horizontal="center"/>
    </xf>
    <xf numFmtId="165" fontId="0" fillId="6" borderId="10" xfId="0" applyNumberFormat="1" applyFill="1" applyBorder="1" applyAlignment="1" applyProtection="1">
      <alignment horizontal="center"/>
      <protection locked="0"/>
    </xf>
    <xf numFmtId="165" fontId="0" fillId="6" borderId="11" xfId="0" applyNumberFormat="1" applyFill="1" applyBorder="1" applyAlignment="1" applyProtection="1">
      <alignment horizontal="center"/>
      <protection locked="0"/>
    </xf>
    <xf numFmtId="1" fontId="9" fillId="6" borderId="0" xfId="0" applyNumberFormat="1" applyFont="1" applyFill="1" applyAlignment="1">
      <alignment horizontal="left" vertical="center"/>
    </xf>
    <xf numFmtId="164" fontId="0" fillId="6" borderId="17" xfId="0" applyNumberFormat="1" applyFill="1" applyBorder="1" applyAlignment="1" applyProtection="1">
      <alignment horizontal="center"/>
    </xf>
    <xf numFmtId="0" fontId="76" fillId="3" borderId="23" xfId="0" applyFont="1" applyFill="1" applyBorder="1" applyAlignment="1">
      <alignment horizontal="right"/>
    </xf>
    <xf numFmtId="164" fontId="0" fillId="6" borderId="17" xfId="0" applyNumberFormat="1" applyFill="1" applyBorder="1" applyAlignment="1" applyProtection="1">
      <alignment horizontal="center" shrinkToFit="1"/>
      <protection locked="0"/>
    </xf>
    <xf numFmtId="0" fontId="81" fillId="0" borderId="17" xfId="0" applyFont="1" applyBorder="1" applyAlignment="1">
      <alignment horizontal="center" vertical="center"/>
    </xf>
    <xf numFmtId="0" fontId="0" fillId="0" borderId="0" xfId="0" applyFill="1" applyAlignment="1">
      <alignment horizontal="right"/>
    </xf>
    <xf numFmtId="1" fontId="0" fillId="0" borderId="0" xfId="0" applyNumberFormat="1" applyFill="1" applyAlignment="1">
      <alignment horizontal="center"/>
    </xf>
    <xf numFmtId="0" fontId="53" fillId="6" borderId="0" xfId="0" applyFont="1" applyFill="1" applyBorder="1" applyAlignment="1">
      <alignment horizontal="center"/>
    </xf>
    <xf numFmtId="0" fontId="23" fillId="0" borderId="0" xfId="0" applyFont="1" applyBorder="1" applyAlignment="1">
      <alignment horizontal="center" vertical="center" shrinkToFit="1"/>
    </xf>
    <xf numFmtId="164" fontId="9" fillId="4" borderId="17" xfId="0" applyNumberFormat="1" applyFont="1" applyFill="1" applyBorder="1" applyAlignment="1" applyProtection="1">
      <alignment horizontal="center" shrinkToFit="1"/>
      <protection locked="0"/>
    </xf>
    <xf numFmtId="0" fontId="35" fillId="0" borderId="43" xfId="0" applyFont="1" applyBorder="1" applyAlignment="1">
      <alignment horizontal="center"/>
    </xf>
    <xf numFmtId="0" fontId="35" fillId="0" borderId="38" xfId="0" applyFont="1" applyBorder="1" applyAlignment="1">
      <alignment horizontal="center"/>
    </xf>
    <xf numFmtId="0" fontId="35" fillId="0" borderId="17" xfId="0" applyFont="1" applyBorder="1" applyAlignment="1">
      <alignment horizontal="center"/>
    </xf>
    <xf numFmtId="0" fontId="35" fillId="0" borderId="39" xfId="0" applyFont="1" applyBorder="1" applyAlignment="1">
      <alignment horizontal="center"/>
    </xf>
    <xf numFmtId="0" fontId="23" fillId="0" borderId="0" xfId="0" applyFont="1" applyAlignment="1">
      <alignment horizontal="justify" vertical="center" shrinkToFit="1"/>
    </xf>
    <xf numFmtId="0" fontId="23" fillId="0" borderId="0" xfId="0" applyFont="1" applyAlignment="1">
      <alignment horizontal="center" vertical="center" shrinkToFit="1"/>
    </xf>
    <xf numFmtId="0" fontId="0" fillId="0" borderId="17" xfId="0" applyNumberFormat="1" applyBorder="1" applyAlignment="1">
      <alignment horizontal="center"/>
    </xf>
    <xf numFmtId="0" fontId="0" fillId="0" borderId="17" xfId="1" applyNumberFormat="1" applyFont="1" applyBorder="1" applyAlignment="1">
      <alignment horizontal="center"/>
    </xf>
    <xf numFmtId="0" fontId="1" fillId="2" borderId="17" xfId="0" applyNumberFormat="1" applyFont="1" applyFill="1" applyBorder="1" applyAlignment="1">
      <alignment horizontal="center"/>
    </xf>
    <xf numFmtId="0" fontId="0" fillId="2" borderId="17" xfId="0" applyNumberFormat="1" applyFill="1" applyBorder="1" applyAlignment="1">
      <alignment horizontal="center"/>
    </xf>
    <xf numFmtId="0" fontId="0" fillId="6" borderId="20" xfId="0" applyNumberFormat="1" applyFill="1" applyBorder="1"/>
    <xf numFmtId="0" fontId="0" fillId="6" borderId="21" xfId="0" applyNumberFormat="1" applyFill="1" applyBorder="1" applyAlignment="1">
      <alignment horizontal="center"/>
    </xf>
    <xf numFmtId="0" fontId="0" fillId="6" borderId="22" xfId="0" applyNumberFormat="1" applyFill="1" applyBorder="1" applyAlignment="1">
      <alignment horizontal="center"/>
    </xf>
    <xf numFmtId="0" fontId="53" fillId="6" borderId="17" xfId="0" applyNumberFormat="1" applyFont="1" applyFill="1" applyBorder="1" applyAlignment="1">
      <alignment horizontal="center" vertical="center" wrapText="1"/>
    </xf>
    <xf numFmtId="0" fontId="0" fillId="6" borderId="17" xfId="1" applyNumberFormat="1" applyFont="1" applyFill="1" applyBorder="1" applyAlignment="1">
      <alignment horizontal="center" vertical="center"/>
    </xf>
    <xf numFmtId="0" fontId="1" fillId="0" borderId="17" xfId="0" applyNumberFormat="1" applyFont="1" applyBorder="1" applyAlignment="1">
      <alignment horizontal="center" shrinkToFit="1"/>
    </xf>
    <xf numFmtId="165" fontId="23" fillId="0" borderId="0" xfId="0" applyNumberFormat="1" applyFont="1" applyBorder="1" applyAlignment="1">
      <alignment horizontal="center" vertical="center" shrinkToFit="1"/>
    </xf>
    <xf numFmtId="165" fontId="23" fillId="0" borderId="0" xfId="0" applyNumberFormat="1" applyFont="1" applyFill="1" applyBorder="1" applyAlignment="1">
      <alignment horizontal="center" shrinkToFit="1"/>
    </xf>
    <xf numFmtId="165" fontId="23" fillId="0" borderId="0" xfId="0" applyNumberFormat="1" applyFont="1" applyBorder="1" applyAlignment="1">
      <alignment horizontal="justify" vertical="center" shrinkToFit="1"/>
    </xf>
    <xf numFmtId="0" fontId="0" fillId="6" borderId="0" xfId="0" applyFill="1" applyAlignment="1">
      <alignment horizontal="center"/>
    </xf>
    <xf numFmtId="1" fontId="0" fillId="6" borderId="19" xfId="0" applyNumberFormat="1" applyFill="1" applyBorder="1" applyAlignment="1" applyProtection="1">
      <alignment horizontal="center"/>
    </xf>
    <xf numFmtId="0" fontId="85" fillId="4" borderId="32" xfId="0" applyNumberFormat="1" applyFont="1" applyFill="1" applyBorder="1" applyAlignment="1" applyProtection="1">
      <alignment horizontal="center" vertical="center"/>
      <protection locked="0"/>
    </xf>
    <xf numFmtId="0" fontId="1" fillId="0" borderId="23" xfId="0" applyFont="1" applyBorder="1" applyAlignment="1" applyProtection="1">
      <alignment horizontal="center" vertical="center"/>
    </xf>
    <xf numFmtId="0" fontId="0" fillId="6" borderId="17" xfId="0" applyFill="1" applyBorder="1" applyAlignment="1" applyProtection="1">
      <alignment horizontal="center" vertical="center"/>
    </xf>
    <xf numFmtId="0" fontId="0" fillId="6" borderId="0" xfId="0" applyFont="1" applyFill="1" applyBorder="1" applyAlignment="1">
      <alignment horizontal="center"/>
    </xf>
    <xf numFmtId="0" fontId="1" fillId="6" borderId="20" xfId="0" applyFont="1" applyFill="1" applyBorder="1" applyAlignment="1" applyProtection="1">
      <alignment horizontal="center"/>
    </xf>
    <xf numFmtId="0" fontId="1" fillId="0" borderId="17" xfId="0" applyFont="1" applyFill="1" applyBorder="1" applyAlignment="1">
      <alignment horizontal="center" vertical="center"/>
    </xf>
    <xf numFmtId="2" fontId="0" fillId="0" borderId="0" xfId="0" applyNumberFormat="1" applyAlignment="1">
      <alignment horizontal="left" vertical="center"/>
    </xf>
    <xf numFmtId="0" fontId="0" fillId="0" borderId="0" xfId="0" applyAlignment="1">
      <alignment horizontal="center"/>
    </xf>
    <xf numFmtId="0" fontId="0" fillId="4" borderId="59" xfId="0" applyFill="1" applyBorder="1" applyAlignment="1" applyProtection="1">
      <alignment horizontal="center" vertical="center"/>
      <protection locked="0"/>
    </xf>
    <xf numFmtId="164" fontId="0" fillId="6" borderId="14" xfId="0" applyNumberFormat="1" applyFont="1" applyFill="1" applyBorder="1" applyAlignment="1" applyProtection="1">
      <alignment horizontal="center"/>
    </xf>
    <xf numFmtId="164" fontId="0" fillId="6" borderId="16" xfId="0" applyNumberFormat="1" applyFont="1" applyFill="1" applyBorder="1" applyAlignment="1" applyProtection="1">
      <alignment horizontal="center"/>
    </xf>
    <xf numFmtId="0" fontId="1" fillId="6" borderId="42" xfId="0" applyFont="1" applyFill="1" applyBorder="1" applyAlignment="1" applyProtection="1">
      <alignment horizontal="center"/>
    </xf>
    <xf numFmtId="0" fontId="0" fillId="6" borderId="20" xfId="0" applyNumberFormat="1" applyFont="1" applyFill="1" applyBorder="1" applyAlignment="1" applyProtection="1">
      <alignment horizontal="center"/>
    </xf>
    <xf numFmtId="0" fontId="0" fillId="4" borderId="9" xfId="0" applyFill="1" applyBorder="1" applyAlignment="1" applyProtection="1">
      <alignment horizontal="center"/>
      <protection locked="0"/>
    </xf>
    <xf numFmtId="0" fontId="0" fillId="4" borderId="68" xfId="0" applyFill="1" applyBorder="1" applyAlignment="1" applyProtection="1">
      <alignment horizontal="center"/>
      <protection locked="0"/>
    </xf>
    <xf numFmtId="164" fontId="0" fillId="6" borderId="23" xfId="0" applyNumberFormat="1" applyFont="1" applyFill="1" applyBorder="1" applyAlignment="1" applyProtection="1">
      <alignment horizontal="center"/>
    </xf>
    <xf numFmtId="0" fontId="0" fillId="6" borderId="20" xfId="0" applyFont="1" applyFill="1" applyBorder="1" applyAlignment="1" applyProtection="1">
      <alignment horizontal="center"/>
    </xf>
    <xf numFmtId="2" fontId="0" fillId="6" borderId="17" xfId="0" applyNumberFormat="1" applyFont="1" applyFill="1" applyBorder="1" applyAlignment="1" applyProtection="1">
      <alignment horizontal="center" vertical="center"/>
    </xf>
    <xf numFmtId="2" fontId="1" fillId="6" borderId="17" xfId="0" applyNumberFormat="1" applyFont="1" applyFill="1" applyBorder="1" applyAlignment="1" applyProtection="1">
      <alignment horizontal="center" vertical="center"/>
    </xf>
    <xf numFmtId="0" fontId="0" fillId="0" borderId="18" xfId="0" applyFont="1" applyFill="1" applyBorder="1" applyAlignment="1">
      <alignment horizontal="center" vertical="center"/>
    </xf>
    <xf numFmtId="0" fontId="0" fillId="4" borderId="18" xfId="0" applyFill="1" applyBorder="1" applyAlignment="1" applyProtection="1">
      <alignment horizontal="center" vertical="center"/>
      <protection locked="0"/>
    </xf>
    <xf numFmtId="1" fontId="0" fillId="2" borderId="17" xfId="0" applyNumberFormat="1" applyFill="1" applyBorder="1" applyAlignment="1">
      <alignment horizontal="center" vertical="center"/>
    </xf>
    <xf numFmtId="0" fontId="1" fillId="2" borderId="17" xfId="0" applyFont="1" applyFill="1" applyBorder="1" applyAlignment="1">
      <alignment horizontal="center" vertical="center"/>
    </xf>
    <xf numFmtId="0" fontId="0" fillId="2" borderId="17" xfId="0" applyFill="1" applyBorder="1" applyAlignment="1">
      <alignment horizontal="center"/>
    </xf>
    <xf numFmtId="0" fontId="0" fillId="0" borderId="0" xfId="0" applyFill="1" applyBorder="1" applyAlignment="1">
      <alignment horizontal="center"/>
    </xf>
    <xf numFmtId="1" fontId="0" fillId="0" borderId="0" xfId="0" applyNumberFormat="1" applyFill="1" applyBorder="1" applyAlignment="1" applyProtection="1">
      <alignment horizontal="center" vertical="center"/>
      <protection locked="0"/>
    </xf>
    <xf numFmtId="165" fontId="0" fillId="0" borderId="17" xfId="0" applyNumberFormat="1" applyBorder="1" applyAlignment="1">
      <alignment horizontal="left" vertical="center"/>
    </xf>
    <xf numFmtId="2" fontId="0" fillId="4" borderId="17" xfId="0" applyNumberFormat="1" applyFill="1" applyBorder="1" applyAlignment="1" applyProtection="1">
      <alignment horizontal="center" vertical="center"/>
      <protection locked="0"/>
    </xf>
    <xf numFmtId="164" fontId="0" fillId="2" borderId="20" xfId="0" applyNumberFormat="1" applyFill="1" applyBorder="1" applyAlignment="1">
      <alignment horizontal="center" vertical="center"/>
    </xf>
    <xf numFmtId="0" fontId="0" fillId="2" borderId="19" xfId="0" applyFill="1" applyBorder="1" applyAlignment="1">
      <alignment horizontal="center" vertical="center"/>
    </xf>
    <xf numFmtId="0" fontId="0" fillId="2" borderId="65" xfId="0" applyFill="1" applyBorder="1" applyAlignment="1">
      <alignment horizontal="center"/>
    </xf>
    <xf numFmtId="0" fontId="40" fillId="13" borderId="0" xfId="0" applyFont="1" applyFill="1" applyAlignment="1" applyProtection="1">
      <alignment horizontal="center" vertical="center"/>
    </xf>
    <xf numFmtId="0" fontId="0" fillId="0" borderId="4" xfId="0" applyFill="1" applyBorder="1"/>
    <xf numFmtId="0" fontId="0" fillId="0" borderId="5" xfId="0" applyFill="1" applyBorder="1"/>
    <xf numFmtId="0" fontId="35" fillId="0" borderId="0" xfId="0" applyFont="1" applyFill="1" applyBorder="1" applyAlignment="1">
      <alignment horizontal="left"/>
    </xf>
    <xf numFmtId="0" fontId="47" fillId="15" borderId="23" xfId="0" applyFont="1" applyFill="1" applyBorder="1" applyAlignment="1" applyProtection="1">
      <alignment horizontal="center" vertical="center"/>
    </xf>
    <xf numFmtId="2" fontId="39" fillId="15" borderId="24" xfId="0" applyNumberFormat="1" applyFont="1" applyFill="1" applyBorder="1" applyAlignment="1" applyProtection="1">
      <alignment horizontal="center"/>
    </xf>
    <xf numFmtId="0" fontId="39" fillId="15" borderId="24" xfId="0" applyFont="1" applyFill="1" applyBorder="1" applyProtection="1"/>
    <xf numFmtId="0" fontId="0" fillId="15" borderId="24" xfId="0" applyFill="1" applyBorder="1" applyProtection="1"/>
    <xf numFmtId="0" fontId="47" fillId="0" borderId="0" xfId="0" applyFont="1" applyFill="1" applyBorder="1" applyAlignment="1" applyProtection="1">
      <alignment horizontal="left" vertical="center"/>
    </xf>
    <xf numFmtId="2" fontId="48" fillId="0" borderId="0" xfId="0" applyNumberFormat="1" applyFont="1" applyFill="1" applyBorder="1" applyAlignment="1" applyProtection="1">
      <alignment horizontal="center"/>
    </xf>
    <xf numFmtId="0" fontId="48" fillId="0" borderId="0" xfId="0" applyFont="1" applyFill="1" applyBorder="1" applyProtection="1"/>
    <xf numFmtId="0" fontId="47" fillId="0" borderId="0" xfId="0" applyFont="1" applyFill="1" applyBorder="1" applyAlignment="1" applyProtection="1">
      <alignment horizontal="center" vertical="center"/>
    </xf>
    <xf numFmtId="0" fontId="47" fillId="0" borderId="0" xfId="0" applyFont="1" applyFill="1" applyBorder="1" applyAlignment="1" applyProtection="1">
      <alignment horizontal="center" vertical="center" wrapText="1"/>
    </xf>
    <xf numFmtId="0" fontId="49" fillId="0" borderId="0" xfId="0" applyFont="1" applyFill="1" applyBorder="1" applyProtection="1"/>
    <xf numFmtId="2" fontId="39" fillId="14" borderId="0" xfId="0" applyNumberFormat="1" applyFont="1" applyFill="1" applyAlignment="1" applyProtection="1">
      <alignment horizontal="center" vertical="center"/>
      <protection locked="0"/>
    </xf>
    <xf numFmtId="2" fontId="39" fillId="0" borderId="0" xfId="0" applyNumberFormat="1" applyFont="1" applyAlignment="1" applyProtection="1">
      <alignment horizontal="center" vertical="center"/>
    </xf>
    <xf numFmtId="0" fontId="48" fillId="15" borderId="24" xfId="0" applyFont="1" applyFill="1" applyBorder="1" applyAlignment="1" applyProtection="1">
      <alignment horizontal="center" vertical="center"/>
    </xf>
    <xf numFmtId="0" fontId="0" fillId="0" borderId="0" xfId="0" applyAlignment="1" applyProtection="1">
      <alignment horizontal="center" vertical="center"/>
    </xf>
    <xf numFmtId="0" fontId="39" fillId="0" borderId="17" xfId="0" applyFont="1" applyBorder="1" applyAlignment="1" applyProtection="1">
      <alignment horizontal="center" vertical="center"/>
    </xf>
    <xf numFmtId="2" fontId="39" fillId="11" borderId="17" xfId="0" applyNumberFormat="1" applyFont="1" applyFill="1" applyBorder="1" applyAlignment="1" applyProtection="1">
      <alignment horizontal="center"/>
      <protection locked="0"/>
    </xf>
    <xf numFmtId="0" fontId="39" fillId="0" borderId="17" xfId="0" applyFont="1" applyFill="1" applyBorder="1" applyAlignment="1" applyProtection="1">
      <alignment horizontal="center" vertical="center"/>
    </xf>
    <xf numFmtId="2" fontId="39" fillId="11" borderId="17" xfId="0" applyNumberFormat="1" applyFont="1" applyFill="1" applyBorder="1" applyAlignment="1" applyProtection="1">
      <alignment horizontal="center" vertical="center"/>
      <protection locked="0"/>
    </xf>
    <xf numFmtId="0" fontId="39" fillId="0" borderId="17" xfId="0" applyFont="1" applyBorder="1" applyAlignment="1" applyProtection="1">
      <alignment horizontal="center"/>
    </xf>
    <xf numFmtId="2" fontId="39" fillId="0" borderId="17" xfId="0" applyNumberFormat="1" applyFont="1" applyBorder="1" applyAlignment="1" applyProtection="1">
      <alignment horizontal="center"/>
    </xf>
    <xf numFmtId="2" fontId="39" fillId="14" borderId="17" xfId="0" applyNumberFormat="1" applyFont="1" applyFill="1" applyBorder="1" applyAlignment="1" applyProtection="1">
      <alignment horizontal="center" vertical="center"/>
      <protection locked="0"/>
    </xf>
    <xf numFmtId="2" fontId="39" fillId="14" borderId="19" xfId="0" applyNumberFormat="1" applyFont="1" applyFill="1" applyBorder="1" applyAlignment="1" applyProtection="1">
      <alignment horizontal="center" vertical="center"/>
      <protection locked="0"/>
    </xf>
    <xf numFmtId="0" fontId="40" fillId="0" borderId="17" xfId="0" applyFont="1" applyBorder="1" applyAlignment="1" applyProtection="1">
      <alignment horizontal="center" vertical="center"/>
    </xf>
    <xf numFmtId="10" fontId="39" fillId="0" borderId="17" xfId="1" applyNumberFormat="1" applyFont="1" applyBorder="1" applyAlignment="1" applyProtection="1">
      <alignment horizontal="center" vertical="center"/>
    </xf>
    <xf numFmtId="0" fontId="40" fillId="2" borderId="17" xfId="0" applyFont="1" applyFill="1" applyBorder="1" applyAlignment="1" applyProtection="1">
      <alignment horizontal="center" vertical="center"/>
    </xf>
    <xf numFmtId="2" fontId="40" fillId="3" borderId="17" xfId="0" applyNumberFormat="1" applyFont="1" applyFill="1" applyBorder="1" applyAlignment="1" applyProtection="1">
      <alignment horizontal="center" vertical="center"/>
    </xf>
    <xf numFmtId="0" fontId="40" fillId="3" borderId="17" xfId="0" applyFont="1" applyFill="1" applyBorder="1" applyAlignment="1" applyProtection="1">
      <alignment horizontal="center" vertical="center"/>
    </xf>
    <xf numFmtId="0" fontId="40" fillId="18" borderId="17" xfId="0" applyFont="1" applyFill="1" applyBorder="1" applyAlignment="1" applyProtection="1">
      <alignment horizontal="center" vertical="center"/>
    </xf>
    <xf numFmtId="0" fontId="40" fillId="18" borderId="20" xfId="0" applyFont="1" applyFill="1" applyBorder="1" applyAlignment="1" applyProtection="1"/>
    <xf numFmtId="0" fontId="40" fillId="18" borderId="21" xfId="0" applyFont="1" applyFill="1" applyBorder="1" applyAlignment="1" applyProtection="1"/>
    <xf numFmtId="0" fontId="40" fillId="18" borderId="22" xfId="0" applyFont="1" applyFill="1" applyBorder="1" applyAlignment="1" applyProtection="1"/>
    <xf numFmtId="165" fontId="40" fillId="14" borderId="17" xfId="0" applyNumberFormat="1" applyFont="1" applyFill="1" applyBorder="1" applyAlignment="1" applyProtection="1">
      <alignment horizontal="center" vertical="center"/>
      <protection locked="0"/>
    </xf>
    <xf numFmtId="0" fontId="39" fillId="0" borderId="22" xfId="0" applyFont="1" applyBorder="1" applyAlignment="1" applyProtection="1">
      <alignment horizontal="center"/>
    </xf>
    <xf numFmtId="0" fontId="39" fillId="6" borderId="18" xfId="0" applyFont="1" applyFill="1" applyBorder="1" applyProtection="1"/>
    <xf numFmtId="0" fontId="39" fillId="6" borderId="65" xfId="0" applyFont="1" applyFill="1" applyBorder="1" applyAlignment="1" applyProtection="1">
      <alignment horizontal="center" vertical="center"/>
    </xf>
    <xf numFmtId="0" fontId="39" fillId="6" borderId="19" xfId="0" applyFont="1" applyFill="1" applyBorder="1" applyProtection="1"/>
    <xf numFmtId="165" fontId="40" fillId="14" borderId="19" xfId="0" applyNumberFormat="1" applyFont="1" applyFill="1" applyBorder="1" applyAlignment="1" applyProtection="1">
      <alignment horizontal="center" vertical="center"/>
      <protection locked="0"/>
    </xf>
    <xf numFmtId="2" fontId="39" fillId="0" borderId="17" xfId="0" applyNumberFormat="1" applyFont="1" applyBorder="1" applyAlignment="1" applyProtection="1">
      <alignment horizontal="center" vertical="center"/>
    </xf>
    <xf numFmtId="2" fontId="39" fillId="14" borderId="17" xfId="0" applyNumberFormat="1" applyFont="1" applyFill="1" applyBorder="1" applyAlignment="1" applyProtection="1">
      <alignment horizontal="center"/>
      <protection locked="0"/>
    </xf>
    <xf numFmtId="2" fontId="0" fillId="0" borderId="0" xfId="0" applyNumberFormat="1" applyFont="1" applyBorder="1" applyAlignment="1">
      <alignment horizontal="center" vertical="center" shrinkToFit="1"/>
    </xf>
    <xf numFmtId="2" fontId="0" fillId="0" borderId="0" xfId="0" applyNumberFormat="1" applyFont="1" applyBorder="1" applyAlignment="1">
      <alignment vertical="center" shrinkToFit="1"/>
    </xf>
    <xf numFmtId="0" fontId="0" fillId="0" borderId="0" xfId="0" applyFont="1" applyBorder="1" applyAlignment="1">
      <alignment horizontal="center" vertical="center" shrinkToFit="1"/>
    </xf>
    <xf numFmtId="10" fontId="0" fillId="0" borderId="20" xfId="0" applyNumberFormat="1" applyFont="1" applyBorder="1" applyAlignment="1">
      <alignment horizontal="center" vertical="center" shrinkToFit="1"/>
    </xf>
    <xf numFmtId="0" fontId="0" fillId="0" borderId="0" xfId="0" applyNumberFormat="1" applyFont="1" applyBorder="1" applyAlignment="1">
      <alignment horizontal="center" vertical="center" shrinkToFit="1"/>
    </xf>
    <xf numFmtId="165" fontId="0" fillId="0" borderId="0" xfId="0" applyNumberFormat="1" applyFont="1" applyBorder="1" applyAlignment="1">
      <alignment vertical="center" shrinkToFit="1"/>
    </xf>
    <xf numFmtId="2" fontId="0" fillId="0" borderId="18" xfId="0" applyNumberFormat="1" applyFont="1" applyBorder="1" applyAlignment="1">
      <alignment horizontal="center" vertical="center" shrinkToFit="1"/>
    </xf>
    <xf numFmtId="0" fontId="29" fillId="0" borderId="0" xfId="0" applyFont="1" applyBorder="1" applyAlignment="1">
      <alignment horizontal="left" vertical="center"/>
    </xf>
    <xf numFmtId="0" fontId="21" fillId="0" borderId="0" xfId="0" applyFont="1" applyBorder="1" applyAlignment="1">
      <alignment vertical="center"/>
    </xf>
    <xf numFmtId="0" fontId="21" fillId="0" borderId="0" xfId="0" applyFont="1" applyBorder="1" applyAlignment="1">
      <alignment horizontal="left" vertical="center"/>
    </xf>
    <xf numFmtId="0" fontId="23" fillId="0" borderId="0" xfId="0" applyFont="1" applyBorder="1" applyAlignment="1">
      <alignment horizontal="left" vertical="center"/>
    </xf>
    <xf numFmtId="0" fontId="67" fillId="0" borderId="0" xfId="0" applyFont="1" applyAlignment="1" applyProtection="1">
      <alignment horizontal="left"/>
    </xf>
    <xf numFmtId="0" fontId="78" fillId="0" borderId="17" xfId="0" applyFont="1" applyBorder="1" applyAlignment="1" applyProtection="1">
      <alignment horizontal="center" vertical="top"/>
    </xf>
    <xf numFmtId="0" fontId="78" fillId="0" borderId="18" xfId="0" applyFont="1" applyBorder="1" applyAlignment="1" applyProtection="1">
      <alignment horizontal="center" vertical="top"/>
    </xf>
    <xf numFmtId="2" fontId="67" fillId="0" borderId="17" xfId="0" applyNumberFormat="1" applyFont="1" applyBorder="1" applyAlignment="1" applyProtection="1">
      <alignment horizontal="center" vertical="center"/>
    </xf>
    <xf numFmtId="2" fontId="67" fillId="0" borderId="17" xfId="0" applyNumberFormat="1" applyFont="1" applyBorder="1" applyAlignment="1" applyProtection="1">
      <alignment horizontal="center" vertical="top"/>
    </xf>
    <xf numFmtId="0" fontId="23" fillId="0" borderId="17" xfId="0" applyFont="1" applyBorder="1" applyAlignment="1">
      <alignment horizontal="center"/>
    </xf>
    <xf numFmtId="0" fontId="29" fillId="0" borderId="0" xfId="0" applyFont="1" applyAlignment="1">
      <alignment vertical="center"/>
    </xf>
    <xf numFmtId="0" fontId="23" fillId="0" borderId="0" xfId="0" applyFont="1" applyBorder="1" applyAlignment="1">
      <alignment horizontal="center" vertical="center" wrapText="1"/>
    </xf>
    <xf numFmtId="0" fontId="23" fillId="0" borderId="0" xfId="0" applyFont="1" applyBorder="1" applyAlignment="1">
      <alignment vertical="center" wrapText="1"/>
    </xf>
    <xf numFmtId="0" fontId="0" fillId="0" borderId="18" xfId="0" applyNumberFormat="1" applyFont="1" applyBorder="1" applyAlignment="1">
      <alignment horizontal="center" vertical="center" shrinkToFit="1"/>
    </xf>
    <xf numFmtId="0" fontId="40" fillId="0" borderId="17" xfId="0" applyFont="1" applyFill="1" applyBorder="1" applyAlignment="1" applyProtection="1">
      <alignment horizontal="center" vertical="center"/>
    </xf>
    <xf numFmtId="0" fontId="1" fillId="0" borderId="0" xfId="0" applyFont="1" applyFill="1" applyAlignment="1">
      <alignment horizontal="right" vertical="center"/>
    </xf>
    <xf numFmtId="0" fontId="50" fillId="15" borderId="23" xfId="0" applyFont="1" applyFill="1" applyBorder="1" applyAlignment="1" applyProtection="1">
      <alignment horizontal="center" vertical="center"/>
    </xf>
    <xf numFmtId="0" fontId="2" fillId="0" borderId="0" xfId="0" applyFont="1" applyFill="1" applyBorder="1" applyAlignment="1">
      <alignment horizontal="right" vertical="center"/>
    </xf>
    <xf numFmtId="0" fontId="0" fillId="0" borderId="0" xfId="0" applyFill="1" applyBorder="1" applyAlignment="1" applyProtection="1">
      <alignment horizontal="right" vertical="center"/>
      <protection locked="0"/>
    </xf>
    <xf numFmtId="0" fontId="0" fillId="0" borderId="0" xfId="0" applyAlignment="1">
      <alignment horizontal="center"/>
    </xf>
    <xf numFmtId="0" fontId="1" fillId="0" borderId="17" xfId="0" applyFont="1" applyFill="1" applyBorder="1" applyAlignment="1">
      <alignment horizontal="center" vertical="center"/>
    </xf>
    <xf numFmtId="0" fontId="2" fillId="6" borderId="0" xfId="0" applyFont="1" applyFill="1" applyBorder="1" applyAlignment="1">
      <alignment horizontal="center" vertical="center"/>
    </xf>
    <xf numFmtId="0" fontId="1" fillId="6" borderId="0" xfId="0" applyFont="1" applyFill="1" applyBorder="1" applyAlignment="1">
      <alignment horizontal="left" vertical="center"/>
    </xf>
    <xf numFmtId="0" fontId="0" fillId="0" borderId="4" xfId="0" applyBorder="1" applyAlignment="1">
      <alignment vertical="center"/>
    </xf>
    <xf numFmtId="0" fontId="1" fillId="0" borderId="4" xfId="0" applyFont="1" applyBorder="1" applyAlignment="1">
      <alignment horizontal="center" vertical="center"/>
    </xf>
    <xf numFmtId="0" fontId="1" fillId="0" borderId="1" xfId="0" applyFont="1" applyBorder="1" applyAlignment="1">
      <alignment horizontal="center" vertical="center"/>
    </xf>
    <xf numFmtId="0" fontId="1" fillId="0" borderId="17" xfId="0" applyFont="1" applyBorder="1" applyAlignment="1">
      <alignment horizontal="center" vertical="center"/>
    </xf>
    <xf numFmtId="0" fontId="0" fillId="0" borderId="0" xfId="0" applyFont="1" applyFill="1" applyAlignment="1">
      <alignment horizontal="left" vertical="center"/>
    </xf>
    <xf numFmtId="1" fontId="6" fillId="6" borderId="17" xfId="0" applyNumberFormat="1" applyFont="1" applyFill="1" applyBorder="1" applyAlignment="1" applyProtection="1">
      <alignment horizontal="center" vertical="center"/>
    </xf>
    <xf numFmtId="165" fontId="0" fillId="4" borderId="17" xfId="0" applyNumberFormat="1" applyFill="1" applyBorder="1" applyAlignment="1" applyProtection="1">
      <alignment horizontal="center" vertical="center"/>
      <protection locked="0"/>
    </xf>
    <xf numFmtId="0" fontId="0" fillId="0" borderId="0" xfId="0" applyFont="1" applyFill="1" applyAlignment="1">
      <alignment horizontal="left" vertical="center"/>
    </xf>
    <xf numFmtId="0" fontId="0" fillId="4" borderId="65" xfId="0" applyFill="1" applyBorder="1" applyAlignment="1" applyProtection="1">
      <alignment horizontal="center"/>
      <protection locked="0"/>
    </xf>
    <xf numFmtId="0" fontId="1" fillId="0" borderId="6" xfId="0" applyFont="1" applyBorder="1" applyAlignment="1">
      <alignment horizontal="right" vertical="center"/>
    </xf>
    <xf numFmtId="2" fontId="0" fillId="0" borderId="7" xfId="0" applyNumberFormat="1" applyBorder="1" applyAlignment="1">
      <alignment horizontal="center" vertical="center"/>
    </xf>
    <xf numFmtId="0" fontId="0" fillId="4" borderId="42" xfId="0" applyFill="1" applyBorder="1" applyAlignment="1" applyProtection="1">
      <alignment vertical="center"/>
      <protection locked="0"/>
    </xf>
    <xf numFmtId="0" fontId="1" fillId="0" borderId="19" xfId="0" applyFont="1" applyFill="1" applyBorder="1" applyAlignment="1">
      <alignment horizontal="center" vertical="center"/>
    </xf>
    <xf numFmtId="0" fontId="1" fillId="2" borderId="20" xfId="0" applyFont="1" applyFill="1" applyBorder="1" applyAlignment="1" applyProtection="1">
      <alignment horizontal="center" vertical="center"/>
      <protection locked="0"/>
    </xf>
    <xf numFmtId="0" fontId="1" fillId="4" borderId="22" xfId="0" applyFont="1" applyFill="1" applyBorder="1" applyAlignment="1" applyProtection="1">
      <alignment horizontal="center" vertical="center"/>
      <protection locked="0"/>
    </xf>
    <xf numFmtId="0" fontId="1" fillId="4" borderId="17" xfId="0" applyFont="1" applyFill="1" applyBorder="1" applyAlignment="1" applyProtection="1">
      <alignment horizontal="center" vertical="center"/>
      <protection locked="0"/>
    </xf>
    <xf numFmtId="0" fontId="1" fillId="3" borderId="42" xfId="0" applyFont="1" applyFill="1" applyBorder="1" applyAlignment="1" applyProtection="1">
      <alignment horizontal="center" vertical="center"/>
    </xf>
    <xf numFmtId="0" fontId="0" fillId="4" borderId="22" xfId="0" applyFill="1" applyBorder="1" applyAlignment="1" applyProtection="1">
      <alignment horizontal="center" vertical="center"/>
      <protection locked="0"/>
    </xf>
    <xf numFmtId="0" fontId="69" fillId="4" borderId="17" xfId="0" applyFont="1" applyFill="1" applyBorder="1" applyAlignment="1" applyProtection="1">
      <alignment horizontal="center" vertical="center"/>
      <protection locked="0"/>
    </xf>
    <xf numFmtId="0" fontId="39" fillId="14" borderId="17" xfId="0" applyNumberFormat="1" applyFont="1" applyFill="1" applyBorder="1" applyAlignment="1" applyProtection="1">
      <alignment horizontal="center" vertical="center"/>
      <protection locked="0"/>
    </xf>
    <xf numFmtId="2" fontId="40" fillId="0" borderId="17" xfId="3" applyNumberFormat="1" applyFont="1" applyBorder="1" applyAlignment="1" applyProtection="1">
      <alignment horizontal="center"/>
    </xf>
    <xf numFmtId="2" fontId="88" fillId="0" borderId="0" xfId="3" applyNumberFormat="1" applyFont="1" applyAlignment="1" applyProtection="1">
      <alignment horizontal="center" vertical="center"/>
    </xf>
    <xf numFmtId="0" fontId="23" fillId="0" borderId="17" xfId="0" applyFont="1" applyBorder="1" applyAlignment="1">
      <alignment horizontal="center" vertical="center"/>
    </xf>
    <xf numFmtId="0" fontId="0" fillId="0" borderId="0" xfId="0" applyAlignment="1">
      <alignment horizontal="center"/>
    </xf>
    <xf numFmtId="0" fontId="23" fillId="0" borderId="0" xfId="0" applyFont="1" applyAlignment="1">
      <alignment horizontal="center" vertical="center"/>
    </xf>
    <xf numFmtId="0" fontId="23" fillId="0" borderId="0" xfId="0" applyFont="1" applyAlignment="1">
      <alignment horizontal="justify" vertical="center" wrapText="1"/>
    </xf>
    <xf numFmtId="0" fontId="29" fillId="0" borderId="0" xfId="0" applyFont="1" applyAlignment="1">
      <alignment horizontal="left" vertical="center"/>
    </xf>
    <xf numFmtId="0" fontId="23" fillId="0" borderId="0" xfId="0" applyFont="1" applyAlignment="1">
      <alignment horizontal="justify" vertical="center"/>
    </xf>
    <xf numFmtId="0" fontId="21" fillId="0" borderId="17" xfId="0" applyNumberFormat="1" applyFont="1" applyBorder="1" applyAlignment="1">
      <alignment horizontal="center" vertical="center" shrinkToFit="1"/>
    </xf>
    <xf numFmtId="0" fontId="21" fillId="0" borderId="18" xfId="0" applyNumberFormat="1" applyFont="1" applyBorder="1" applyAlignment="1">
      <alignment horizontal="center" vertical="center" shrinkToFit="1"/>
    </xf>
    <xf numFmtId="2" fontId="0" fillId="0" borderId="17" xfId="0" applyNumberFormat="1" applyFont="1" applyBorder="1" applyAlignment="1">
      <alignment horizontal="center" vertical="center" shrinkToFit="1"/>
    </xf>
    <xf numFmtId="0" fontId="21" fillId="0" borderId="9" xfId="0" applyNumberFormat="1" applyFont="1" applyBorder="1" applyAlignment="1">
      <alignment horizontal="center" vertical="center" shrinkToFit="1"/>
    </xf>
    <xf numFmtId="2" fontId="0" fillId="0" borderId="20" xfId="0" applyNumberFormat="1" applyFont="1" applyBorder="1" applyAlignment="1">
      <alignment horizontal="center" vertical="center" shrinkToFit="1"/>
    </xf>
    <xf numFmtId="0" fontId="21" fillId="0" borderId="20" xfId="0" applyNumberFormat="1" applyFont="1" applyBorder="1" applyAlignment="1">
      <alignment horizontal="center" vertical="center" shrinkToFit="1"/>
    </xf>
    <xf numFmtId="165" fontId="0" fillId="0" borderId="22" xfId="0" applyNumberFormat="1" applyFont="1" applyBorder="1" applyAlignment="1">
      <alignment horizontal="center" vertical="center" shrinkToFit="1"/>
    </xf>
    <xf numFmtId="0" fontId="0" fillId="0" borderId="17" xfId="0" applyNumberFormat="1" applyFont="1" applyBorder="1" applyAlignment="1">
      <alignment horizontal="center" vertical="center" shrinkToFit="1"/>
    </xf>
    <xf numFmtId="165" fontId="0" fillId="0" borderId="17" xfId="0" applyNumberFormat="1" applyFont="1" applyBorder="1" applyAlignment="1">
      <alignment horizontal="center" vertical="center" shrinkToFit="1"/>
    </xf>
    <xf numFmtId="0" fontId="0" fillId="0" borderId="17" xfId="0" applyFont="1" applyBorder="1" applyAlignment="1">
      <alignment horizontal="center" vertical="center" shrinkToFit="1"/>
    </xf>
    <xf numFmtId="0" fontId="0" fillId="0" borderId="20" xfId="0" applyFont="1" applyBorder="1" applyAlignment="1">
      <alignment horizontal="center" vertical="center" shrinkToFit="1"/>
    </xf>
    <xf numFmtId="0" fontId="0" fillId="0" borderId="22" xfId="0" applyFont="1" applyBorder="1" applyAlignment="1">
      <alignment horizontal="center" vertical="center" shrinkToFit="1"/>
    </xf>
    <xf numFmtId="0" fontId="0" fillId="0" borderId="22" xfId="0" applyFont="1" applyBorder="1" applyAlignment="1">
      <alignment horizontal="center" vertical="center"/>
    </xf>
    <xf numFmtId="0" fontId="0" fillId="0" borderId="0" xfId="0" applyFont="1" applyAlignment="1">
      <alignment vertical="center"/>
    </xf>
    <xf numFmtId="0" fontId="0" fillId="6" borderId="17" xfId="0" applyFill="1" applyBorder="1" applyAlignment="1" applyProtection="1">
      <alignment horizontal="center" vertical="center"/>
    </xf>
    <xf numFmtId="0" fontId="0" fillId="6" borderId="0" xfId="0" applyFill="1" applyAlignment="1" applyProtection="1">
      <alignment horizontal="left" vertical="center"/>
    </xf>
    <xf numFmtId="0" fontId="0" fillId="6" borderId="0" xfId="0" applyFill="1" applyAlignment="1" applyProtection="1">
      <alignment horizontal="right" vertical="center"/>
    </xf>
    <xf numFmtId="0" fontId="51" fillId="2" borderId="0" xfId="0" applyFont="1" applyFill="1" applyAlignment="1" applyProtection="1">
      <alignment horizontal="left" vertical="center"/>
      <protection locked="0"/>
    </xf>
    <xf numFmtId="2" fontId="23" fillId="0" borderId="0" xfId="0" applyNumberFormat="1" applyFont="1" applyBorder="1" applyAlignment="1">
      <alignment vertical="center"/>
    </xf>
    <xf numFmtId="0" fontId="9" fillId="5" borderId="32" xfId="0" applyFont="1" applyFill="1" applyBorder="1" applyAlignment="1" applyProtection="1">
      <alignment horizontal="center" vertical="center"/>
      <protection locked="0"/>
    </xf>
    <xf numFmtId="0" fontId="1" fillId="0" borderId="4" xfId="0" applyFont="1" applyBorder="1" applyAlignment="1">
      <alignment horizontal="center" vertical="center"/>
    </xf>
    <xf numFmtId="0" fontId="1" fillId="6" borderId="42" xfId="0" applyFont="1" applyFill="1" applyBorder="1" applyAlignment="1" applyProtection="1">
      <alignment horizontal="center" vertical="center"/>
    </xf>
    <xf numFmtId="165" fontId="1" fillId="0" borderId="23" xfId="0" applyNumberFormat="1" applyFont="1" applyBorder="1" applyAlignment="1" applyProtection="1">
      <alignment horizontal="center" vertical="center"/>
    </xf>
    <xf numFmtId="165" fontId="1" fillId="0" borderId="24" xfId="0" applyNumberFormat="1" applyFont="1" applyBorder="1" applyAlignment="1" applyProtection="1">
      <alignment horizontal="center" vertical="center"/>
    </xf>
    <xf numFmtId="165" fontId="1" fillId="6" borderId="25" xfId="0" applyNumberFormat="1" applyFont="1" applyFill="1" applyBorder="1" applyAlignment="1" applyProtection="1">
      <alignment horizontal="left" vertical="center"/>
    </xf>
    <xf numFmtId="0" fontId="0" fillId="0" borderId="17" xfId="0" applyFont="1" applyBorder="1" applyAlignment="1" applyProtection="1">
      <alignment horizontal="center"/>
    </xf>
    <xf numFmtId="1" fontId="0" fillId="0" borderId="17" xfId="0" applyNumberFormat="1" applyBorder="1" applyAlignment="1" applyProtection="1">
      <alignment horizontal="center"/>
    </xf>
    <xf numFmtId="1" fontId="0" fillId="18" borderId="17" xfId="0" applyNumberFormat="1" applyFill="1" applyBorder="1" applyAlignment="1" applyProtection="1">
      <alignment horizontal="center"/>
    </xf>
    <xf numFmtId="2" fontId="0" fillId="18" borderId="17" xfId="0" applyNumberFormat="1" applyFill="1" applyBorder="1" applyAlignment="1" applyProtection="1">
      <alignment horizontal="center"/>
    </xf>
    <xf numFmtId="0" fontId="0" fillId="0" borderId="17" xfId="0" applyBorder="1" applyAlignment="1">
      <alignment horizontal="center" vertical="center"/>
    </xf>
    <xf numFmtId="0" fontId="0" fillId="0" borderId="4" xfId="0" applyBorder="1" applyAlignment="1">
      <alignment horizontal="center"/>
    </xf>
    <xf numFmtId="0" fontId="0" fillId="0" borderId="0"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7" xfId="0" applyBorder="1" applyAlignment="1">
      <alignment horizontal="center" vertical="center"/>
    </xf>
    <xf numFmtId="0" fontId="0" fillId="0" borderId="36" xfId="0" applyBorder="1" applyAlignment="1">
      <alignment horizontal="center" vertical="center"/>
    </xf>
    <xf numFmtId="0" fontId="0" fillId="0" borderId="40" xfId="0" applyBorder="1" applyAlignment="1">
      <alignment horizontal="center" vertical="center"/>
    </xf>
    <xf numFmtId="0" fontId="0" fillId="0" borderId="37" xfId="0" applyBorder="1" applyAlignment="1">
      <alignment horizontal="center" vertical="center"/>
    </xf>
    <xf numFmtId="0" fontId="0" fillId="6" borderId="22" xfId="0" applyFill="1" applyBorder="1" applyAlignment="1">
      <alignment horizontal="center" vertical="center"/>
    </xf>
    <xf numFmtId="0" fontId="1" fillId="6" borderId="6" xfId="0" applyFont="1" applyFill="1" applyBorder="1" applyAlignment="1">
      <alignment horizontal="center" vertical="center"/>
    </xf>
    <xf numFmtId="0" fontId="1" fillId="0" borderId="17" xfId="0" applyFont="1" applyBorder="1" applyAlignment="1">
      <alignment horizontal="center" vertical="center"/>
    </xf>
    <xf numFmtId="0" fontId="0" fillId="0" borderId="0" xfId="0" applyBorder="1" applyAlignment="1">
      <alignment vertical="center"/>
    </xf>
    <xf numFmtId="0" fontId="1" fillId="0" borderId="4" xfId="0" applyFont="1" applyBorder="1" applyAlignment="1">
      <alignment horizontal="center" vertical="center"/>
    </xf>
    <xf numFmtId="0" fontId="1" fillId="0" borderId="0" xfId="0" applyFont="1" applyBorder="1" applyAlignment="1">
      <alignment horizontal="center" vertical="center"/>
    </xf>
    <xf numFmtId="0" fontId="1" fillId="0" borderId="17" xfId="0" applyFont="1" applyBorder="1" applyAlignment="1">
      <alignment horizontal="center" vertical="center"/>
    </xf>
    <xf numFmtId="0" fontId="1" fillId="0" borderId="0" xfId="0" applyFont="1" applyAlignment="1">
      <alignment horizontal="center" vertical="center"/>
    </xf>
    <xf numFmtId="0" fontId="0" fillId="0" borderId="0" xfId="0" applyFont="1" applyAlignment="1">
      <alignment horizontal="left" vertical="center"/>
    </xf>
    <xf numFmtId="0" fontId="0" fillId="6" borderId="27" xfId="0" applyFill="1" applyBorder="1" applyAlignment="1" applyProtection="1">
      <alignment horizontal="center" vertical="center"/>
    </xf>
    <xf numFmtId="0" fontId="0" fillId="6" borderId="46" xfId="0" applyFill="1" applyBorder="1" applyAlignment="1" applyProtection="1">
      <alignment horizontal="center" vertical="center"/>
    </xf>
    <xf numFmtId="1" fontId="0" fillId="0" borderId="4"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0" fontId="0" fillId="6" borderId="11" xfId="0" applyFill="1" applyBorder="1" applyAlignment="1">
      <alignment horizontal="center" vertical="center"/>
    </xf>
    <xf numFmtId="0" fontId="4" fillId="6" borderId="16" xfId="0" applyFont="1" applyFill="1" applyBorder="1" applyAlignment="1">
      <alignment horizontal="center" vertical="center"/>
    </xf>
    <xf numFmtId="0" fontId="4" fillId="6" borderId="15" xfId="0" applyFont="1" applyFill="1" applyBorder="1" applyAlignment="1">
      <alignment horizontal="center" vertical="center"/>
    </xf>
    <xf numFmtId="0" fontId="0" fillId="0" borderId="24" xfId="0" applyFill="1" applyBorder="1" applyAlignment="1" applyProtection="1">
      <alignment horizontal="center" vertical="center"/>
      <protection locked="0"/>
    </xf>
    <xf numFmtId="0" fontId="0" fillId="0" borderId="23" xfId="0" applyBorder="1" applyAlignment="1">
      <alignment vertical="center"/>
    </xf>
    <xf numFmtId="0" fontId="0" fillId="0" borderId="25" xfId="0" applyFont="1" applyBorder="1" applyAlignment="1">
      <alignment horizontal="left" vertical="center"/>
    </xf>
    <xf numFmtId="0" fontId="1" fillId="0" borderId="38" xfId="0" applyFont="1" applyBorder="1" applyAlignment="1">
      <alignment horizontal="center" vertical="center"/>
    </xf>
    <xf numFmtId="0" fontId="1" fillId="0" borderId="36" xfId="0" applyFont="1" applyBorder="1" applyAlignment="1">
      <alignment horizontal="center" vertical="center"/>
    </xf>
    <xf numFmtId="0" fontId="0" fillId="0" borderId="0" xfId="0" applyFont="1" applyAlignment="1">
      <alignment vertical="center"/>
    </xf>
    <xf numFmtId="0" fontId="89" fillId="0" borderId="0" xfId="0" applyFont="1" applyAlignment="1">
      <alignment horizontal="center" vertical="center"/>
    </xf>
    <xf numFmtId="0" fontId="28" fillId="0" borderId="0" xfId="0" applyFont="1" applyAlignment="1">
      <alignment horizontal="center" vertical="center"/>
    </xf>
    <xf numFmtId="0" fontId="0" fillId="0" borderId="0" xfId="0" applyFill="1" applyAlignment="1">
      <alignment horizontal="left" vertical="center"/>
    </xf>
    <xf numFmtId="0" fontId="4" fillId="0" borderId="22" xfId="0" applyFont="1" applyFill="1" applyBorder="1" applyAlignment="1">
      <alignment horizontal="center" vertical="center"/>
    </xf>
    <xf numFmtId="0" fontId="4" fillId="0" borderId="20" xfId="0" applyFont="1" applyFill="1" applyBorder="1" applyAlignment="1">
      <alignment horizontal="left" vertical="center"/>
    </xf>
    <xf numFmtId="0" fontId="4" fillId="0" borderId="20" xfId="0" applyFont="1" applyFill="1" applyBorder="1" applyAlignment="1">
      <alignment vertical="center"/>
    </xf>
    <xf numFmtId="0" fontId="53" fillId="0" borderId="16" xfId="0" applyFont="1" applyFill="1" applyBorder="1" applyAlignment="1">
      <alignment horizontal="center" vertical="center"/>
    </xf>
    <xf numFmtId="0" fontId="53" fillId="0" borderId="14"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9" xfId="0" applyFont="1" applyFill="1" applyBorder="1" applyAlignment="1">
      <alignment horizontal="left" vertical="center"/>
    </xf>
    <xf numFmtId="0" fontId="39" fillId="11" borderId="0" xfId="3" applyNumberFormat="1" applyFont="1" applyFill="1" applyBorder="1" applyAlignment="1" applyProtection="1">
      <alignment horizontal="center" vertical="center"/>
      <protection locked="0"/>
    </xf>
    <xf numFmtId="0" fontId="39" fillId="0" borderId="0" xfId="3" applyFont="1" applyAlignment="1" applyProtection="1">
      <alignment vertical="center" wrapText="1"/>
    </xf>
    <xf numFmtId="0" fontId="1" fillId="0" borderId="2" xfId="0" applyFont="1" applyBorder="1" applyAlignment="1" applyProtection="1">
      <alignment horizontal="left"/>
    </xf>
    <xf numFmtId="0" fontId="0" fillId="0" borderId="17" xfId="0" applyBorder="1" applyAlignment="1">
      <alignment horizontal="left" vertical="center"/>
    </xf>
    <xf numFmtId="0" fontId="53" fillId="6" borderId="0" xfId="0" applyFont="1" applyFill="1" applyBorder="1" applyAlignment="1" applyProtection="1">
      <alignment horizontal="center" vertical="center"/>
    </xf>
    <xf numFmtId="9" fontId="0" fillId="6" borderId="0" xfId="1" applyFont="1" applyFill="1" applyAlignment="1" applyProtection="1">
      <alignment horizontal="center" vertical="center"/>
    </xf>
    <xf numFmtId="0" fontId="0" fillId="4" borderId="17" xfId="0" applyFill="1" applyBorder="1" applyProtection="1">
      <protection locked="0"/>
    </xf>
    <xf numFmtId="0" fontId="0" fillId="4" borderId="63" xfId="0" applyFill="1" applyBorder="1" applyProtection="1">
      <protection locked="0"/>
    </xf>
    <xf numFmtId="0" fontId="6" fillId="0" borderId="7" xfId="0" applyFont="1" applyBorder="1" applyAlignment="1" applyProtection="1">
      <alignment horizontal="center" vertical="center"/>
    </xf>
    <xf numFmtId="0" fontId="33" fillId="0" borderId="0" xfId="3" applyFont="1" applyFill="1" applyAlignment="1" applyProtection="1">
      <alignment horizontal="left"/>
      <protection locked="0"/>
    </xf>
    <xf numFmtId="0" fontId="39" fillId="0" borderId="0" xfId="3" applyFont="1" applyFill="1" applyProtection="1"/>
    <xf numFmtId="0" fontId="16" fillId="0" borderId="0" xfId="0" applyFont="1" applyFill="1" applyAlignment="1">
      <alignment vertical="center"/>
    </xf>
    <xf numFmtId="0" fontId="16" fillId="0" borderId="0" xfId="0" applyFont="1" applyFill="1" applyAlignment="1">
      <alignment horizontal="left" vertical="center"/>
    </xf>
    <xf numFmtId="49" fontId="16" fillId="0" borderId="0" xfId="0" applyNumberFormat="1" applyFont="1" applyFill="1" applyAlignment="1">
      <alignment vertical="center"/>
    </xf>
    <xf numFmtId="0" fontId="39" fillId="0" borderId="0" xfId="3" applyFont="1" applyFill="1" applyAlignment="1" applyProtection="1">
      <alignment vertical="top" wrapText="1"/>
    </xf>
    <xf numFmtId="0" fontId="39" fillId="0" borderId="0" xfId="3" applyFont="1" applyFill="1" applyAlignment="1" applyProtection="1">
      <alignment vertical="top"/>
    </xf>
    <xf numFmtId="0" fontId="40" fillId="0" borderId="0" xfId="3" applyFont="1" applyFill="1" applyProtection="1"/>
    <xf numFmtId="0" fontId="14" fillId="0" borderId="0" xfId="0" applyFont="1" applyFill="1" applyAlignment="1">
      <alignment vertical="top"/>
    </xf>
    <xf numFmtId="49" fontId="39" fillId="0" borderId="0" xfId="3" applyNumberFormat="1" applyFont="1" applyFill="1" applyBorder="1" applyAlignment="1" applyProtection="1">
      <alignment horizontal="center" vertical="center" shrinkToFit="1"/>
    </xf>
    <xf numFmtId="1" fontId="39" fillId="0" borderId="0" xfId="3" applyNumberFormat="1" applyFont="1" applyFill="1" applyBorder="1" applyAlignment="1" applyProtection="1">
      <alignment horizontal="center" vertical="center" shrinkToFit="1"/>
    </xf>
    <xf numFmtId="0" fontId="39" fillId="0" borderId="0" xfId="3" applyFont="1" applyFill="1" applyBorder="1" applyProtection="1"/>
    <xf numFmtId="0" fontId="15" fillId="0" borderId="0" xfId="0" applyFont="1" applyFill="1" applyAlignment="1">
      <alignment horizontal="center" vertical="center"/>
    </xf>
    <xf numFmtId="14" fontId="15" fillId="0" borderId="0" xfId="0" applyNumberFormat="1" applyFont="1" applyFill="1" applyAlignment="1">
      <alignment horizontal="center" vertical="center"/>
    </xf>
    <xf numFmtId="14" fontId="15" fillId="0" borderId="0" xfId="0" applyNumberFormat="1" applyFont="1" applyFill="1" applyAlignment="1">
      <alignment horizontal="center" vertical="center" shrinkToFit="1"/>
    </xf>
    <xf numFmtId="0" fontId="39" fillId="0" borderId="0" xfId="3" applyFont="1" applyFill="1" applyBorder="1" applyAlignment="1" applyProtection="1"/>
    <xf numFmtId="0" fontId="39" fillId="0" borderId="0" xfId="3" applyFont="1" applyFill="1" applyAlignment="1" applyProtection="1">
      <alignment vertical="center" wrapText="1"/>
    </xf>
    <xf numFmtId="0" fontId="40" fillId="0" borderId="0" xfId="3" applyFont="1" applyFill="1" applyBorder="1" applyProtection="1"/>
    <xf numFmtId="0" fontId="42" fillId="0" borderId="0" xfId="3" applyFont="1" applyFill="1" applyBorder="1" applyAlignment="1" applyProtection="1">
      <alignment horizontal="justify"/>
    </xf>
    <xf numFmtId="0" fontId="40" fillId="0" borderId="0" xfId="3" applyFont="1" applyFill="1" applyAlignment="1" applyProtection="1">
      <alignment horizontal="center"/>
    </xf>
    <xf numFmtId="0" fontId="40" fillId="0" borderId="0" xfId="3" applyFont="1" applyFill="1" applyBorder="1" applyAlignment="1" applyProtection="1">
      <alignment horizontal="center" vertical="top" wrapText="1"/>
    </xf>
    <xf numFmtId="0" fontId="40" fillId="0" borderId="0" xfId="3" applyFont="1" applyFill="1" applyBorder="1" applyAlignment="1" applyProtection="1">
      <alignment horizontal="justify" vertical="top" wrapText="1"/>
    </xf>
    <xf numFmtId="14" fontId="72" fillId="6" borderId="18" xfId="3" applyNumberFormat="1" applyFont="1" applyFill="1" applyBorder="1" applyAlignment="1" applyProtection="1">
      <alignment horizontal="center" vertical="center" shrinkToFit="1"/>
    </xf>
    <xf numFmtId="14" fontId="37" fillId="6" borderId="65" xfId="3" applyNumberFormat="1" applyFont="1" applyFill="1" applyBorder="1" applyAlignment="1" applyProtection="1">
      <alignment horizontal="center" vertical="center" shrinkToFit="1"/>
    </xf>
    <xf numFmtId="14" fontId="72" fillId="6" borderId="19" xfId="3" applyNumberFormat="1" applyFont="1" applyFill="1" applyBorder="1" applyAlignment="1" applyProtection="1">
      <alignment horizontal="center" vertical="center" shrinkToFit="1"/>
    </xf>
    <xf numFmtId="0" fontId="65" fillId="0" borderId="21" xfId="3" applyNumberFormat="1" applyFont="1" applyFill="1" applyBorder="1" applyAlignment="1" applyProtection="1">
      <alignment horizontal="center" vertical="center" wrapText="1"/>
    </xf>
    <xf numFmtId="0" fontId="65" fillId="0" borderId="22" xfId="3" applyNumberFormat="1" applyFont="1" applyFill="1" applyBorder="1" applyAlignment="1" applyProtection="1">
      <alignment horizontal="center" vertical="center" wrapText="1"/>
    </xf>
    <xf numFmtId="0" fontId="65" fillId="0" borderId="17" xfId="3" applyNumberFormat="1" applyFont="1" applyFill="1" applyBorder="1" applyAlignment="1" applyProtection="1">
      <alignment horizontal="center" vertical="center"/>
    </xf>
    <xf numFmtId="0" fontId="65" fillId="0" borderId="10" xfId="3" applyNumberFormat="1" applyFont="1" applyFill="1" applyBorder="1" applyAlignment="1" applyProtection="1">
      <alignment horizontal="center" vertical="center" wrapText="1"/>
    </xf>
    <xf numFmtId="0" fontId="65" fillId="0" borderId="11" xfId="3" applyNumberFormat="1" applyFont="1" applyFill="1" applyBorder="1" applyAlignment="1" applyProtection="1">
      <alignment horizontal="center" vertical="center" wrapText="1"/>
    </xf>
    <xf numFmtId="0" fontId="37" fillId="6" borderId="0" xfId="3" applyNumberFormat="1" applyFont="1" applyFill="1" applyBorder="1" applyAlignment="1" applyProtection="1">
      <alignment horizontal="center" vertical="center" shrinkToFit="1"/>
    </xf>
    <xf numFmtId="0" fontId="37" fillId="6" borderId="10" xfId="3" applyNumberFormat="1" applyFont="1" applyFill="1" applyBorder="1" applyAlignment="1" applyProtection="1">
      <alignment horizontal="center" vertical="center" shrinkToFit="1"/>
    </xf>
    <xf numFmtId="0" fontId="72" fillId="6" borderId="10" xfId="3" applyNumberFormat="1" applyFont="1" applyFill="1" applyBorder="1" applyAlignment="1" applyProtection="1">
      <alignment horizontal="center" vertical="center" shrinkToFit="1"/>
    </xf>
    <xf numFmtId="0" fontId="37" fillId="6" borderId="11" xfId="3" applyNumberFormat="1" applyFont="1" applyFill="1" applyBorder="1" applyAlignment="1" applyProtection="1">
      <alignment horizontal="center" vertical="center" shrinkToFit="1"/>
    </xf>
    <xf numFmtId="0" fontId="37" fillId="6" borderId="13" xfId="3" applyNumberFormat="1" applyFont="1" applyFill="1" applyBorder="1" applyAlignment="1" applyProtection="1">
      <alignment horizontal="center" vertical="center" shrinkToFit="1"/>
    </xf>
    <xf numFmtId="0" fontId="37" fillId="6" borderId="15" xfId="3" applyNumberFormat="1" applyFont="1" applyFill="1" applyBorder="1" applyAlignment="1" applyProtection="1">
      <alignment horizontal="center" vertical="center" shrinkToFit="1"/>
    </xf>
    <xf numFmtId="0" fontId="72" fillId="6" borderId="15" xfId="3" applyNumberFormat="1" applyFont="1" applyFill="1" applyBorder="1" applyAlignment="1" applyProtection="1">
      <alignment horizontal="center" vertical="center" shrinkToFit="1"/>
    </xf>
    <xf numFmtId="0" fontId="37" fillId="6" borderId="16" xfId="3" applyNumberFormat="1" applyFont="1" applyFill="1" applyBorder="1" applyAlignment="1" applyProtection="1">
      <alignment horizontal="center" vertical="center" shrinkToFit="1"/>
    </xf>
    <xf numFmtId="0" fontId="37" fillId="6" borderId="10" xfId="3" applyNumberFormat="1" applyFont="1" applyFill="1" applyBorder="1" applyAlignment="1" applyProtection="1">
      <alignment horizontal="center" vertical="center" shrinkToFit="1"/>
    </xf>
    <xf numFmtId="0" fontId="37" fillId="6" borderId="0" xfId="3" applyNumberFormat="1" applyFont="1" applyFill="1" applyBorder="1" applyAlignment="1" applyProtection="1">
      <alignment horizontal="center" vertical="center" shrinkToFit="1"/>
    </xf>
    <xf numFmtId="0" fontId="14" fillId="0" borderId="0" xfId="0" applyFont="1" applyFill="1" applyAlignment="1">
      <alignment horizontal="left" vertical="center" shrinkToFit="1"/>
    </xf>
    <xf numFmtId="0" fontId="14" fillId="0" borderId="0" xfId="0" applyFont="1" applyFill="1" applyAlignment="1">
      <alignment horizontal="center" vertical="center"/>
    </xf>
    <xf numFmtId="14" fontId="14" fillId="0" borderId="0" xfId="0" applyNumberFormat="1" applyFont="1" applyFill="1" applyAlignment="1">
      <alignment horizontal="right" vertical="center" shrinkToFit="1"/>
    </xf>
    <xf numFmtId="0" fontId="92" fillId="0" borderId="0" xfId="3" applyFont="1" applyFill="1" applyAlignment="1" applyProtection="1">
      <alignment horizontal="center"/>
    </xf>
    <xf numFmtId="0" fontId="92" fillId="0" borderId="0" xfId="3" applyFont="1" applyFill="1" applyAlignment="1" applyProtection="1">
      <alignment horizontal="center" vertical="top"/>
    </xf>
    <xf numFmtId="0" fontId="92" fillId="0" borderId="0" xfId="3" applyFont="1" applyFill="1" applyBorder="1" applyAlignment="1" applyProtection="1">
      <alignment horizontal="center"/>
    </xf>
    <xf numFmtId="14" fontId="39" fillId="0" borderId="0" xfId="3" applyNumberFormat="1" applyFont="1" applyFill="1" applyProtection="1"/>
    <xf numFmtId="0" fontId="5" fillId="0" borderId="39" xfId="0" applyFont="1" applyBorder="1" applyAlignment="1">
      <alignment horizontal="center" vertical="center" wrapText="1"/>
    </xf>
    <xf numFmtId="164" fontId="0" fillId="6" borderId="0" xfId="0" applyNumberFormat="1" applyFill="1"/>
    <xf numFmtId="165" fontId="0" fillId="6" borderId="0" xfId="0" applyNumberFormat="1" applyFill="1"/>
    <xf numFmtId="0" fontId="1" fillId="6" borderId="0" xfId="0" applyFont="1" applyFill="1" applyBorder="1" applyAlignment="1" applyProtection="1">
      <alignment horizontal="left"/>
    </xf>
    <xf numFmtId="0" fontId="0" fillId="0" borderId="0" xfId="0" applyAlignment="1">
      <alignment horizontal="left"/>
    </xf>
    <xf numFmtId="0" fontId="0" fillId="0" borderId="0" xfId="0" applyAlignment="1">
      <alignment horizontal="center"/>
    </xf>
    <xf numFmtId="0" fontId="0" fillId="0" borderId="17" xfId="0" applyBorder="1" applyAlignment="1">
      <alignment horizontal="right"/>
    </xf>
    <xf numFmtId="0" fontId="0" fillId="4" borderId="17" xfId="0" applyFill="1" applyBorder="1" applyAlignment="1" applyProtection="1">
      <alignment horizontal="left" vertical="center"/>
      <protection locked="0"/>
    </xf>
    <xf numFmtId="0" fontId="93" fillId="6" borderId="0" xfId="0" applyFont="1" applyFill="1" applyBorder="1" applyAlignment="1">
      <alignment horizontal="left"/>
    </xf>
    <xf numFmtId="0" fontId="96" fillId="0" borderId="17" xfId="0" applyFont="1" applyBorder="1" applyAlignment="1">
      <alignment horizontal="center" shrinkToFit="1"/>
    </xf>
    <xf numFmtId="0" fontId="95" fillId="6" borderId="17" xfId="0" applyFont="1" applyFill="1" applyBorder="1" applyAlignment="1">
      <alignment horizontal="center"/>
    </xf>
    <xf numFmtId="0" fontId="96" fillId="2" borderId="17" xfId="0" applyFont="1" applyFill="1" applyBorder="1" applyAlignment="1">
      <alignment horizontal="center"/>
    </xf>
    <xf numFmtId="164" fontId="75" fillId="2" borderId="17" xfId="0" applyNumberFormat="1" applyFont="1" applyFill="1" applyBorder="1" applyAlignment="1">
      <alignment horizontal="center"/>
    </xf>
    <xf numFmtId="0" fontId="75" fillId="6" borderId="0" xfId="0" applyFont="1" applyFill="1" applyAlignment="1">
      <alignment horizontal="right"/>
    </xf>
    <xf numFmtId="165" fontId="75" fillId="6" borderId="0" xfId="0" applyNumberFormat="1" applyFont="1" applyFill="1" applyAlignment="1">
      <alignment horizontal="center"/>
    </xf>
    <xf numFmtId="0" fontId="75" fillId="6" borderId="0" xfId="0" applyFont="1" applyFill="1"/>
    <xf numFmtId="1" fontId="75" fillId="6" borderId="0" xfId="0" applyNumberFormat="1" applyFont="1" applyFill="1" applyAlignment="1">
      <alignment horizontal="center"/>
    </xf>
    <xf numFmtId="165" fontId="96" fillId="0" borderId="17" xfId="0" applyNumberFormat="1" applyFont="1" applyBorder="1" applyAlignment="1">
      <alignment horizontal="center" shrinkToFit="1"/>
    </xf>
    <xf numFmtId="165" fontId="75" fillId="6" borderId="17" xfId="1" applyNumberFormat="1" applyFont="1" applyFill="1" applyBorder="1" applyAlignment="1">
      <alignment horizontal="center"/>
    </xf>
    <xf numFmtId="165" fontId="75" fillId="6" borderId="17" xfId="0" applyNumberFormat="1" applyFont="1" applyFill="1" applyBorder="1" applyAlignment="1">
      <alignment horizontal="center"/>
    </xf>
    <xf numFmtId="165" fontId="75" fillId="0" borderId="17" xfId="0" applyNumberFormat="1" applyFont="1" applyBorder="1" applyAlignment="1">
      <alignment horizontal="center" shrinkToFit="1"/>
    </xf>
    <xf numFmtId="165" fontId="96" fillId="6" borderId="17" xfId="0" applyNumberFormat="1" applyFont="1" applyFill="1" applyBorder="1" applyAlignment="1">
      <alignment horizontal="center"/>
    </xf>
    <xf numFmtId="165" fontId="96" fillId="20" borderId="17" xfId="0" applyNumberFormat="1" applyFont="1" applyFill="1" applyBorder="1" applyAlignment="1">
      <alignment horizontal="center" shrinkToFit="1"/>
    </xf>
    <xf numFmtId="165" fontId="75" fillId="20" borderId="17" xfId="0" applyNumberFormat="1" applyFont="1" applyFill="1" applyBorder="1" applyAlignment="1">
      <alignment horizontal="center"/>
    </xf>
    <xf numFmtId="165" fontId="96" fillId="6" borderId="0" xfId="0" applyNumberFormat="1" applyFont="1" applyFill="1" applyBorder="1" applyAlignment="1">
      <alignment horizontal="center"/>
    </xf>
    <xf numFmtId="165" fontId="75" fillId="6" borderId="0" xfId="0" applyNumberFormat="1" applyFont="1" applyFill="1" applyBorder="1" applyAlignment="1">
      <alignment horizontal="center"/>
    </xf>
    <xf numFmtId="165" fontId="96" fillId="2" borderId="1" xfId="0" applyNumberFormat="1" applyFont="1" applyFill="1" applyBorder="1" applyAlignment="1" applyProtection="1">
      <alignment horizontal="center"/>
    </xf>
    <xf numFmtId="0" fontId="75" fillId="6" borderId="0" xfId="0" applyFont="1" applyFill="1" applyAlignment="1">
      <alignment horizontal="center"/>
    </xf>
    <xf numFmtId="0" fontId="0" fillId="0" borderId="13" xfId="0" applyBorder="1"/>
    <xf numFmtId="0" fontId="0" fillId="0" borderId="16" xfId="0" applyBorder="1"/>
    <xf numFmtId="0" fontId="0" fillId="0" borderId="22" xfId="0" applyFill="1" applyBorder="1" applyAlignment="1" applyProtection="1">
      <alignment horizontal="center"/>
    </xf>
    <xf numFmtId="0" fontId="1" fillId="0" borderId="1" xfId="0" applyFont="1" applyFill="1" applyBorder="1" applyAlignment="1" applyProtection="1">
      <alignment horizontal="center"/>
    </xf>
    <xf numFmtId="0" fontId="0" fillId="0" borderId="4" xfId="0" applyFill="1" applyBorder="1" applyAlignment="1" applyProtection="1">
      <alignment horizontal="center"/>
    </xf>
    <xf numFmtId="0" fontId="1" fillId="0" borderId="4" xfId="0" applyFont="1" applyFill="1" applyBorder="1" applyAlignment="1" applyProtection="1">
      <alignment horizontal="center"/>
    </xf>
    <xf numFmtId="0" fontId="0" fillId="6" borderId="0" xfId="0" applyFont="1" applyFill="1" applyBorder="1" applyAlignment="1" applyProtection="1">
      <alignment horizontal="right"/>
    </xf>
    <xf numFmtId="165" fontId="0" fillId="6" borderId="0" xfId="0" applyNumberFormat="1" applyFont="1" applyFill="1" applyBorder="1" applyAlignment="1" applyProtection="1">
      <alignment horizontal="left"/>
    </xf>
    <xf numFmtId="0" fontId="40" fillId="0" borderId="0" xfId="0" applyFont="1" applyFill="1" applyAlignment="1" applyProtection="1">
      <alignment horizontal="right" vertical="center"/>
    </xf>
    <xf numFmtId="0" fontId="0" fillId="4" borderId="17"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xf>
    <xf numFmtId="0" fontId="0" fillId="0" borderId="17" xfId="0" applyFont="1" applyBorder="1" applyAlignment="1" applyProtection="1">
      <alignment horizontal="center" vertical="center"/>
    </xf>
    <xf numFmtId="0" fontId="0" fillId="0" borderId="17" xfId="0" applyFont="1" applyBorder="1" applyAlignment="1" applyProtection="1">
      <alignment horizontal="center" vertical="center" wrapText="1"/>
    </xf>
    <xf numFmtId="0" fontId="1" fillId="0" borderId="17" xfId="0" applyFont="1" applyBorder="1" applyAlignment="1" applyProtection="1">
      <alignment horizontal="center" vertical="center" wrapText="1"/>
    </xf>
    <xf numFmtId="0" fontId="1" fillId="0" borderId="18" xfId="0" applyFont="1" applyBorder="1" applyAlignment="1" applyProtection="1">
      <alignment horizontal="center" vertical="center" wrapText="1"/>
    </xf>
    <xf numFmtId="1" fontId="0" fillId="0" borderId="17" xfId="0" applyNumberFormat="1" applyFill="1" applyBorder="1" applyAlignment="1" applyProtection="1">
      <alignment horizontal="left" vertical="center"/>
    </xf>
    <xf numFmtId="0" fontId="0" fillId="0" borderId="0" xfId="0" applyAlignment="1">
      <alignment horizontal="left" vertical="center"/>
    </xf>
    <xf numFmtId="0" fontId="1" fillId="0" borderId="18" xfId="0" applyFont="1" applyBorder="1" applyAlignment="1" applyProtection="1">
      <alignment horizontal="center" vertical="center" wrapText="1"/>
    </xf>
    <xf numFmtId="0" fontId="0" fillId="0" borderId="17" xfId="0" applyFont="1" applyBorder="1" applyAlignment="1" applyProtection="1">
      <alignment horizontal="center" vertical="center" wrapText="1"/>
    </xf>
    <xf numFmtId="0" fontId="0" fillId="0" borderId="17" xfId="0" applyFont="1" applyBorder="1" applyAlignment="1" applyProtection="1">
      <alignment horizontal="center" vertical="center"/>
    </xf>
    <xf numFmtId="0" fontId="0" fillId="0" borderId="20" xfId="0" applyFont="1" applyBorder="1" applyAlignment="1" applyProtection="1">
      <alignment horizontal="center" vertical="center"/>
    </xf>
    <xf numFmtId="0" fontId="0" fillId="4" borderId="17"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wrapText="1"/>
    </xf>
    <xf numFmtId="0" fontId="1" fillId="0" borderId="17" xfId="0" applyFont="1" applyBorder="1" applyAlignment="1" applyProtection="1">
      <alignment horizontal="center" vertical="center"/>
    </xf>
    <xf numFmtId="0" fontId="0" fillId="0" borderId="17" xfId="0" applyFont="1" applyBorder="1" applyAlignment="1">
      <alignment horizontal="center" vertical="center" shrinkToFit="1"/>
    </xf>
    <xf numFmtId="0" fontId="0" fillId="0" borderId="0" xfId="0" applyFont="1" applyAlignment="1">
      <alignment vertical="center"/>
    </xf>
    <xf numFmtId="0" fontId="0" fillId="4" borderId="17" xfId="0" applyFont="1" applyFill="1" applyBorder="1" applyAlignment="1" applyProtection="1">
      <alignment horizontal="center" vertical="center"/>
      <protection locked="0"/>
    </xf>
    <xf numFmtId="0" fontId="0" fillId="0" borderId="0" xfId="0" applyFont="1" applyAlignment="1">
      <alignment vertical="center"/>
    </xf>
    <xf numFmtId="14" fontId="0" fillId="0" borderId="0" xfId="0" applyNumberFormat="1" applyFont="1" applyProtection="1"/>
    <xf numFmtId="0" fontId="0" fillId="0" borderId="0" xfId="0" applyFont="1" applyBorder="1" applyAlignment="1">
      <alignment horizontal="center" vertical="center" wrapText="1"/>
    </xf>
    <xf numFmtId="0" fontId="51" fillId="2" borderId="0" xfId="3" applyFont="1" applyFill="1" applyAlignment="1" applyProtection="1">
      <alignment horizontal="left"/>
      <protection locked="0"/>
    </xf>
    <xf numFmtId="1" fontId="97" fillId="0" borderId="0" xfId="3" applyNumberFormat="1" applyFont="1" applyFill="1" applyAlignment="1" applyProtection="1">
      <alignment horizontal="left" vertical="center"/>
    </xf>
    <xf numFmtId="0" fontId="67" fillId="0" borderId="0" xfId="3" applyFont="1" applyAlignment="1" applyProtection="1">
      <alignment vertical="top" wrapText="1"/>
    </xf>
    <xf numFmtId="0" fontId="67" fillId="0" borderId="0" xfId="3" applyFont="1" applyAlignment="1" applyProtection="1">
      <alignment vertical="top"/>
    </xf>
    <xf numFmtId="0" fontId="78" fillId="0" borderId="0" xfId="3" applyFont="1" applyProtection="1"/>
    <xf numFmtId="49" fontId="67" fillId="0" borderId="0" xfId="3" applyNumberFormat="1" applyFont="1" applyBorder="1" applyAlignment="1" applyProtection="1">
      <alignment horizontal="center" vertical="center" shrinkToFit="1"/>
    </xf>
    <xf numFmtId="1" fontId="67" fillId="0" borderId="0" xfId="3" applyNumberFormat="1" applyFont="1" applyBorder="1" applyAlignment="1" applyProtection="1">
      <alignment horizontal="center" vertical="center" shrinkToFit="1"/>
    </xf>
    <xf numFmtId="0" fontId="67" fillId="0" borderId="0" xfId="3" applyFont="1" applyBorder="1" applyProtection="1"/>
    <xf numFmtId="0" fontId="67" fillId="0" borderId="0" xfId="3" applyFont="1" applyAlignment="1" applyProtection="1">
      <alignment vertical="center" wrapText="1"/>
    </xf>
    <xf numFmtId="0" fontId="78" fillId="0" borderId="0" xfId="3" applyFont="1" applyBorder="1" applyProtection="1"/>
    <xf numFmtId="0" fontId="78" fillId="0" borderId="0" xfId="3" applyFont="1" applyAlignment="1" applyProtection="1">
      <alignment horizontal="center"/>
    </xf>
    <xf numFmtId="0" fontId="67" fillId="0" borderId="17" xfId="3" applyFont="1" applyBorder="1" applyAlignment="1" applyProtection="1">
      <alignment horizontal="center" shrinkToFit="1"/>
    </xf>
    <xf numFmtId="0" fontId="98" fillId="0" borderId="0" xfId="3" applyFont="1" applyBorder="1" applyAlignment="1" applyProtection="1">
      <alignment horizontal="left" vertical="top"/>
    </xf>
    <xf numFmtId="0" fontId="67" fillId="0" borderId="0" xfId="3" applyFont="1" applyBorder="1" applyAlignment="1" applyProtection="1">
      <alignment horizontal="justify" vertical="top" wrapText="1"/>
    </xf>
    <xf numFmtId="0" fontId="67" fillId="0" borderId="0" xfId="3" applyFont="1" applyBorder="1" applyAlignment="1" applyProtection="1">
      <alignment horizontal="center" vertical="center"/>
    </xf>
    <xf numFmtId="0" fontId="67" fillId="0" borderId="0" xfId="3" applyFont="1" applyBorder="1" applyAlignment="1" applyProtection="1">
      <alignment horizontal="center" shrinkToFit="1"/>
    </xf>
    <xf numFmtId="0" fontId="100" fillId="0" borderId="0" xfId="3" applyFont="1" applyBorder="1" applyAlignment="1" applyProtection="1">
      <alignment horizontal="justify"/>
    </xf>
    <xf numFmtId="0" fontId="4" fillId="0" borderId="0" xfId="3" applyFont="1" applyFill="1" applyBorder="1" applyAlignment="1" applyProtection="1">
      <alignment horizontal="center" vertical="center" wrapText="1"/>
    </xf>
    <xf numFmtId="0" fontId="67" fillId="0" borderId="0" xfId="3" applyFont="1" applyFill="1" applyAlignment="1" applyProtection="1">
      <alignment horizontal="justify" vertical="center" wrapText="1"/>
    </xf>
    <xf numFmtId="0" fontId="67" fillId="0" borderId="0" xfId="3" applyNumberFormat="1" applyFont="1" applyAlignment="1" applyProtection="1">
      <alignment horizontal="justify" vertical="center" wrapText="1"/>
    </xf>
    <xf numFmtId="0" fontId="4" fillId="0" borderId="17" xfId="3" applyFont="1" applyFill="1" applyBorder="1" applyAlignment="1" applyProtection="1">
      <alignment horizontal="center" vertical="center" wrapText="1"/>
    </xf>
    <xf numFmtId="0" fontId="78" fillId="0" borderId="17" xfId="3" applyFont="1" applyBorder="1" applyAlignment="1" applyProtection="1">
      <alignment horizontal="center" vertical="center" wrapText="1"/>
    </xf>
    <xf numFmtId="0" fontId="64" fillId="0" borderId="17" xfId="3" applyFont="1" applyFill="1" applyBorder="1" applyAlignment="1" applyProtection="1">
      <alignment horizontal="center" vertical="center" wrapText="1"/>
    </xf>
    <xf numFmtId="0" fontId="67" fillId="0" borderId="0" xfId="3" applyFont="1" applyAlignment="1" applyProtection="1">
      <alignment horizontal="justify"/>
    </xf>
    <xf numFmtId="0" fontId="67" fillId="0" borderId="0" xfId="3" applyFont="1" applyAlignment="1" applyProtection="1">
      <alignment horizontal="justify" vertical="center" wrapText="1"/>
    </xf>
    <xf numFmtId="0" fontId="67" fillId="0" borderId="0" xfId="3" applyFont="1" applyBorder="1" applyAlignment="1" applyProtection="1">
      <alignment horizontal="justify" vertical="top"/>
    </xf>
    <xf numFmtId="0" fontId="1" fillId="6" borderId="0" xfId="0" applyFont="1" applyFill="1" applyBorder="1" applyAlignment="1" applyProtection="1">
      <alignment horizontal="center"/>
    </xf>
    <xf numFmtId="0" fontId="23" fillId="0" borderId="0" xfId="0" applyFont="1" applyAlignment="1" applyProtection="1">
      <alignment vertical="center"/>
    </xf>
    <xf numFmtId="0" fontId="21" fillId="0" borderId="0" xfId="0" applyFont="1" applyAlignment="1" applyProtection="1">
      <alignment vertical="center"/>
    </xf>
    <xf numFmtId="0" fontId="21" fillId="0" borderId="0" xfId="0" applyFont="1" applyAlignment="1" applyProtection="1">
      <alignment horizontal="left" vertical="center"/>
    </xf>
    <xf numFmtId="49" fontId="21" fillId="0" borderId="0" xfId="0" applyNumberFormat="1" applyFont="1" applyAlignment="1" applyProtection="1">
      <alignment vertical="center"/>
    </xf>
    <xf numFmtId="0" fontId="29" fillId="0" borderId="0" xfId="0" applyFont="1" applyAlignment="1" applyProtection="1">
      <alignment vertical="top"/>
    </xf>
    <xf numFmtId="0" fontId="23" fillId="0" borderId="0" xfId="0" applyFont="1" applyFill="1" applyAlignment="1" applyProtection="1">
      <alignment horizontal="left" vertical="center"/>
    </xf>
    <xf numFmtId="0" fontId="23" fillId="0" borderId="0" xfId="0" applyFont="1" applyAlignment="1" applyProtection="1">
      <alignment horizontal="center" vertical="center"/>
    </xf>
    <xf numFmtId="14" fontId="23" fillId="0" borderId="0" xfId="0" applyNumberFormat="1" applyFont="1" applyAlignment="1" applyProtection="1">
      <alignment horizontal="center" vertical="center"/>
    </xf>
    <xf numFmtId="14" fontId="23" fillId="0" borderId="0" xfId="0" applyNumberFormat="1" applyFont="1" applyAlignment="1" applyProtection="1">
      <alignment horizontal="center" vertical="center" shrinkToFit="1"/>
    </xf>
    <xf numFmtId="0" fontId="39" fillId="6" borderId="0" xfId="3" applyFont="1" applyFill="1" applyAlignment="1" applyProtection="1">
      <alignment horizontal="center" vertical="center"/>
    </xf>
    <xf numFmtId="2" fontId="88" fillId="6" borderId="0" xfId="3" applyNumberFormat="1" applyFont="1" applyFill="1" applyAlignment="1" applyProtection="1">
      <alignment horizontal="center" vertical="center"/>
    </xf>
    <xf numFmtId="0" fontId="39" fillId="6" borderId="0" xfId="3" applyFont="1" applyFill="1" applyAlignment="1" applyProtection="1">
      <alignment vertical="center"/>
    </xf>
    <xf numFmtId="0" fontId="37" fillId="6" borderId="0" xfId="3" applyFill="1" applyAlignment="1" applyProtection="1">
      <alignment vertical="center"/>
    </xf>
    <xf numFmtId="0" fontId="40" fillId="6" borderId="0" xfId="3" applyFont="1" applyFill="1" applyAlignment="1" applyProtection="1">
      <alignment horizontal="center" vertical="center"/>
    </xf>
    <xf numFmtId="0" fontId="39" fillId="6" borderId="0" xfId="3" applyNumberFormat="1" applyFont="1" applyFill="1" applyAlignment="1" applyProtection="1">
      <alignment horizontal="center" vertical="center"/>
    </xf>
    <xf numFmtId="2" fontId="39" fillId="6" borderId="0" xfId="3" applyNumberFormat="1" applyFont="1" applyFill="1" applyAlignment="1" applyProtection="1">
      <alignment horizontal="center" vertical="center"/>
    </xf>
    <xf numFmtId="0" fontId="37" fillId="6" borderId="0" xfId="3" applyNumberFormat="1" applyFill="1" applyAlignment="1" applyProtection="1">
      <alignment vertical="center"/>
    </xf>
    <xf numFmtId="0" fontId="39" fillId="6" borderId="0" xfId="3" applyFont="1" applyFill="1" applyAlignment="1" applyProtection="1">
      <alignment horizontal="left" vertical="center"/>
    </xf>
    <xf numFmtId="2" fontId="39" fillId="6" borderId="0" xfId="3" applyNumberFormat="1" applyFont="1" applyFill="1" applyAlignment="1" applyProtection="1">
      <alignment horizontal="left" vertical="center"/>
    </xf>
    <xf numFmtId="167" fontId="39" fillId="16" borderId="0" xfId="3" applyNumberFormat="1" applyFont="1" applyFill="1" applyAlignment="1" applyProtection="1">
      <alignment horizontal="center" vertical="center"/>
      <protection locked="0"/>
    </xf>
    <xf numFmtId="0" fontId="39" fillId="6" borderId="0" xfId="3" applyFont="1" applyFill="1" applyBorder="1" applyAlignment="1" applyProtection="1">
      <alignment vertical="center" wrapText="1"/>
    </xf>
    <xf numFmtId="0" fontId="39" fillId="6" borderId="0" xfId="3" applyNumberFormat="1" applyFont="1" applyFill="1" applyBorder="1" applyAlignment="1" applyProtection="1">
      <alignment horizontal="center" vertical="center"/>
    </xf>
    <xf numFmtId="0" fontId="40" fillId="13" borderId="0" xfId="3" applyFont="1" applyFill="1" applyAlignment="1" applyProtection="1">
      <alignment horizontal="center" vertical="center"/>
    </xf>
    <xf numFmtId="0" fontId="39" fillId="13" borderId="0" xfId="3" applyFont="1" applyFill="1" applyAlignment="1" applyProtection="1">
      <alignment horizontal="center" vertical="center"/>
    </xf>
    <xf numFmtId="0" fontId="39" fillId="13" borderId="0" xfId="3" applyFont="1" applyFill="1" applyAlignment="1" applyProtection="1">
      <alignment vertical="center"/>
    </xf>
    <xf numFmtId="0" fontId="37" fillId="13" borderId="0" xfId="3" applyFill="1" applyAlignment="1" applyProtection="1">
      <alignment vertical="center"/>
    </xf>
    <xf numFmtId="0" fontId="40" fillId="13" borderId="0" xfId="3" applyFont="1" applyFill="1" applyBorder="1" applyAlignment="1" applyProtection="1">
      <alignment wrapText="1"/>
    </xf>
    <xf numFmtId="0" fontId="40" fillId="13" borderId="0" xfId="3" applyFont="1" applyFill="1" applyBorder="1" applyAlignment="1" applyProtection="1">
      <alignment horizontal="center" vertical="center" wrapText="1"/>
    </xf>
    <xf numFmtId="0" fontId="67" fillId="0" borderId="20" xfId="3" applyFont="1" applyBorder="1" applyProtection="1"/>
    <xf numFmtId="0" fontId="67" fillId="0" borderId="22" xfId="3" applyFont="1" applyBorder="1" applyAlignment="1" applyProtection="1">
      <alignment horizontal="center"/>
    </xf>
    <xf numFmtId="0" fontId="40" fillId="6" borderId="0" xfId="3" applyFont="1" applyFill="1" applyAlignment="1" applyProtection="1">
      <alignment vertical="center"/>
    </xf>
    <xf numFmtId="0" fontId="39" fillId="6" borderId="0" xfId="3" applyFont="1" applyFill="1" applyBorder="1" applyAlignment="1" applyProtection="1">
      <alignment horizontal="left" vertical="center"/>
    </xf>
    <xf numFmtId="2" fontId="78" fillId="0" borderId="17" xfId="3" applyNumberFormat="1" applyFont="1" applyFill="1" applyBorder="1" applyAlignment="1" applyProtection="1">
      <alignment horizontal="center"/>
    </xf>
    <xf numFmtId="0" fontId="39" fillId="21" borderId="42" xfId="3" applyNumberFormat="1" applyFont="1" applyFill="1" applyBorder="1" applyAlignment="1" applyProtection="1">
      <alignment horizontal="center" vertical="center"/>
      <protection locked="0"/>
    </xf>
    <xf numFmtId="0" fontId="0" fillId="6" borderId="15" xfId="0" applyFill="1" applyBorder="1" applyAlignment="1" applyProtection="1">
      <alignment horizontal="left"/>
    </xf>
    <xf numFmtId="2" fontId="0" fillId="6" borderId="0" xfId="0" applyNumberFormat="1" applyFill="1" applyBorder="1" applyAlignment="1" applyProtection="1">
      <alignment horizontal="right"/>
    </xf>
    <xf numFmtId="0" fontId="39" fillId="16" borderId="0" xfId="3" applyNumberFormat="1" applyFont="1" applyFill="1" applyBorder="1" applyAlignment="1" applyProtection="1">
      <alignment horizontal="center" vertical="center"/>
      <protection locked="0"/>
    </xf>
    <xf numFmtId="0" fontId="39" fillId="16" borderId="15" xfId="3" applyNumberFormat="1" applyFont="1" applyFill="1" applyBorder="1" applyAlignment="1" applyProtection="1">
      <alignment horizontal="center" vertical="center"/>
      <protection locked="0"/>
    </xf>
    <xf numFmtId="0" fontId="1" fillId="0" borderId="17" xfId="0" applyFont="1" applyFill="1" applyBorder="1" applyAlignment="1">
      <alignment horizontal="center" vertical="center"/>
    </xf>
    <xf numFmtId="0" fontId="0" fillId="6" borderId="0" xfId="0" applyFill="1" applyBorder="1" applyAlignment="1">
      <alignment horizontal="center" vertical="center"/>
    </xf>
    <xf numFmtId="0" fontId="0" fillId="0" borderId="0" xfId="0" applyAlignment="1">
      <alignment horizontal="left"/>
    </xf>
    <xf numFmtId="0" fontId="1" fillId="6" borderId="17" xfId="0" applyFont="1" applyFill="1" applyBorder="1" applyAlignment="1">
      <alignment horizontal="center" vertical="center"/>
    </xf>
    <xf numFmtId="0" fontId="0" fillId="0" borderId="0" xfId="0" applyAlignment="1">
      <alignment horizontal="center"/>
    </xf>
    <xf numFmtId="0" fontId="1" fillId="0" borderId="0" xfId="0" applyFont="1" applyAlignment="1">
      <alignment horizontal="center"/>
    </xf>
    <xf numFmtId="49" fontId="0" fillId="0" borderId="0" xfId="0" applyNumberFormat="1"/>
    <xf numFmtId="0" fontId="19" fillId="0" borderId="0" xfId="0" applyFont="1" applyAlignment="1">
      <alignment horizontal="center" vertical="center"/>
    </xf>
    <xf numFmtId="0" fontId="0" fillId="5" borderId="0" xfId="0" applyFill="1" applyBorder="1" applyAlignment="1" applyProtection="1">
      <alignment horizontal="center"/>
      <protection locked="0"/>
    </xf>
    <xf numFmtId="0" fontId="35" fillId="5" borderId="0" xfId="0" applyFont="1" applyFill="1" applyAlignment="1" applyProtection="1">
      <alignment horizontal="center" vertical="center"/>
      <protection locked="0"/>
    </xf>
    <xf numFmtId="0" fontId="0" fillId="6" borderId="12" xfId="0" applyFill="1" applyBorder="1" applyAlignment="1">
      <alignment horizontal="center" vertical="center"/>
    </xf>
    <xf numFmtId="0" fontId="0" fillId="6" borderId="13" xfId="0" applyFont="1" applyFill="1" applyBorder="1" applyAlignment="1">
      <alignment horizontal="center" vertical="center"/>
    </xf>
    <xf numFmtId="0" fontId="0" fillId="6" borderId="14" xfId="0" applyFill="1" applyBorder="1" applyAlignment="1">
      <alignment horizontal="center" vertical="center"/>
    </xf>
    <xf numFmtId="0" fontId="0" fillId="6" borderId="15" xfId="0" applyFont="1" applyFill="1" applyBorder="1" applyAlignment="1">
      <alignment horizontal="center" vertical="center"/>
    </xf>
    <xf numFmtId="0" fontId="0" fillId="6" borderId="16" xfId="0" applyFont="1" applyFill="1" applyBorder="1" applyAlignment="1">
      <alignment horizontal="center" vertical="center"/>
    </xf>
    <xf numFmtId="0" fontId="1" fillId="6" borderId="12" xfId="0" applyFont="1" applyFill="1" applyBorder="1" applyAlignment="1">
      <alignment horizontal="center" vertical="center"/>
    </xf>
    <xf numFmtId="0" fontId="1" fillId="6" borderId="13" xfId="0" applyFont="1" applyFill="1" applyBorder="1" applyAlignment="1">
      <alignment horizontal="center" vertical="center"/>
    </xf>
    <xf numFmtId="165" fontId="1" fillId="6" borderId="0" xfId="0" applyNumberFormat="1" applyFont="1" applyFill="1" applyAlignment="1">
      <alignment horizontal="center" vertical="center"/>
    </xf>
    <xf numFmtId="0" fontId="0" fillId="6" borderId="32" xfId="0" applyFill="1" applyBorder="1" applyAlignment="1">
      <alignment horizontal="center" vertical="center"/>
    </xf>
    <xf numFmtId="0" fontId="1" fillId="2" borderId="26" xfId="0" applyFont="1" applyFill="1" applyBorder="1" applyAlignment="1">
      <alignment horizontal="center" vertical="center"/>
    </xf>
    <xf numFmtId="0" fontId="1" fillId="6" borderId="43" xfId="0" applyFont="1" applyFill="1" applyBorder="1" applyAlignment="1">
      <alignment horizontal="center" vertical="center" wrapText="1"/>
    </xf>
    <xf numFmtId="1" fontId="0" fillId="0" borderId="0" xfId="0" applyNumberFormat="1" applyAlignment="1">
      <alignment horizontal="center" vertical="center"/>
    </xf>
    <xf numFmtId="170" fontId="0" fillId="6" borderId="0" xfId="1" applyNumberFormat="1" applyFont="1" applyFill="1" applyBorder="1" applyAlignment="1">
      <alignment horizontal="center" vertical="center"/>
    </xf>
    <xf numFmtId="0" fontId="0" fillId="0" borderId="0" xfId="0" quotePrefix="1" applyAlignment="1">
      <alignment vertical="center"/>
    </xf>
    <xf numFmtId="0" fontId="0" fillId="0" borderId="0" xfId="0" quotePrefix="1"/>
    <xf numFmtId="0" fontId="0" fillId="0" borderId="0" xfId="0" applyFill="1" applyBorder="1" applyAlignment="1">
      <alignment vertical="center"/>
    </xf>
    <xf numFmtId="0" fontId="0" fillId="0" borderId="0" xfId="0" quotePrefix="1" applyFill="1"/>
    <xf numFmtId="0" fontId="0" fillId="0" borderId="0" xfId="0" quotePrefix="1" applyFill="1" applyAlignment="1">
      <alignment vertical="center"/>
    </xf>
    <xf numFmtId="0" fontId="27" fillId="0" borderId="0" xfId="0" applyFont="1" applyAlignment="1" applyProtection="1">
      <alignment horizontal="center" vertical="center" wrapText="1"/>
    </xf>
    <xf numFmtId="0" fontId="14" fillId="0" borderId="0" xfId="0" applyFont="1" applyFill="1" applyAlignment="1">
      <alignment horizontal="left" vertical="center" shrinkToFit="1"/>
    </xf>
    <xf numFmtId="0" fontId="14" fillId="0" borderId="0" xfId="0" applyFont="1" applyAlignment="1">
      <alignment horizontal="center" vertical="center"/>
    </xf>
    <xf numFmtId="14" fontId="14" fillId="0" borderId="0" xfId="0" applyNumberFormat="1" applyFont="1" applyAlignment="1">
      <alignment horizontal="right" vertical="center" shrinkToFit="1"/>
    </xf>
    <xf numFmtId="0" fontId="0" fillId="0" borderId="0" xfId="0" applyBorder="1" applyAlignment="1">
      <alignment vertical="center"/>
    </xf>
    <xf numFmtId="0" fontId="23" fillId="0" borderId="0" xfId="0" applyFont="1" applyAlignment="1">
      <alignment horizontal="justify" vertical="center"/>
    </xf>
    <xf numFmtId="0" fontId="0" fillId="0" borderId="0" xfId="0" applyFont="1" applyAlignment="1">
      <alignment vertical="center"/>
    </xf>
    <xf numFmtId="0" fontId="0" fillId="0" borderId="0" xfId="0" applyFont="1" applyAlignment="1">
      <alignment horizontal="justify" vertical="center" wrapText="1"/>
    </xf>
    <xf numFmtId="0" fontId="0" fillId="0" borderId="0" xfId="0" applyAlignment="1" applyProtection="1">
      <alignment horizontal="left" vertical="center"/>
    </xf>
    <xf numFmtId="0" fontId="1" fillId="0" borderId="0" xfId="0" applyFont="1" applyAlignment="1" applyProtection="1">
      <alignment horizontal="center" vertical="center"/>
    </xf>
    <xf numFmtId="0" fontId="1" fillId="0" borderId="0" xfId="0" applyFont="1" applyAlignment="1" applyProtection="1">
      <alignment horizontal="left" vertical="center"/>
    </xf>
    <xf numFmtId="0" fontId="0" fillId="0" borderId="1" xfId="0" applyFont="1" applyBorder="1" applyAlignment="1">
      <alignment horizontal="center"/>
    </xf>
    <xf numFmtId="0" fontId="0" fillId="0" borderId="2" xfId="0" applyFont="1" applyBorder="1" applyAlignment="1">
      <alignment vertical="center"/>
    </xf>
    <xf numFmtId="0" fontId="0" fillId="0" borderId="3" xfId="0" applyFont="1" applyBorder="1" applyAlignment="1">
      <alignment vertical="center"/>
    </xf>
    <xf numFmtId="0" fontId="0" fillId="0" borderId="5" xfId="0" applyFont="1" applyBorder="1" applyAlignment="1">
      <alignment vertical="center"/>
    </xf>
    <xf numFmtId="0" fontId="0" fillId="0" borderId="4" xfId="0" applyFont="1" applyBorder="1" applyAlignment="1">
      <alignment horizontal="center"/>
    </xf>
    <xf numFmtId="0" fontId="70" fillId="0" borderId="6" xfId="4" applyFont="1" applyBorder="1" applyAlignment="1">
      <alignment horizontal="center"/>
    </xf>
    <xf numFmtId="0" fontId="70" fillId="0" borderId="0" xfId="4" applyAlignment="1" applyProtection="1">
      <alignment horizontal="center" vertical="center"/>
    </xf>
    <xf numFmtId="0" fontId="1" fillId="0" borderId="19" xfId="0" applyFont="1" applyBorder="1" applyAlignment="1">
      <alignment horizontal="center"/>
    </xf>
    <xf numFmtId="0" fontId="40" fillId="18" borderId="20" xfId="0" applyFont="1" applyFill="1" applyBorder="1" applyAlignment="1" applyProtection="1">
      <alignment horizontal="center" vertical="center"/>
    </xf>
    <xf numFmtId="0" fontId="40" fillId="18" borderId="21" xfId="0" applyFont="1" applyFill="1" applyBorder="1" applyAlignment="1" applyProtection="1">
      <alignment horizontal="center" vertical="center"/>
    </xf>
    <xf numFmtId="0" fontId="40" fillId="18" borderId="22" xfId="0" applyFont="1" applyFill="1" applyBorder="1" applyAlignment="1" applyProtection="1">
      <alignment horizontal="center" vertical="center"/>
    </xf>
    <xf numFmtId="0" fontId="40" fillId="18" borderId="21" xfId="0" applyFont="1" applyFill="1" applyBorder="1" applyAlignment="1" applyProtection="1">
      <alignment horizontal="center"/>
    </xf>
    <xf numFmtId="0" fontId="40" fillId="0" borderId="0" xfId="0" applyFont="1" applyAlignment="1" applyProtection="1">
      <alignment horizontal="center" vertical="center"/>
    </xf>
    <xf numFmtId="2" fontId="0" fillId="0" borderId="20" xfId="0" applyNumberFormat="1" applyFont="1" applyBorder="1" applyAlignment="1">
      <alignment horizontal="center" vertical="center" shrinkToFit="1"/>
    </xf>
    <xf numFmtId="0" fontId="0" fillId="4" borderId="17" xfId="0" applyFont="1" applyFill="1" applyBorder="1" applyAlignment="1" applyProtection="1">
      <alignment horizontal="center" vertical="center"/>
      <protection locked="0"/>
    </xf>
    <xf numFmtId="0" fontId="0" fillId="0" borderId="20" xfId="0" applyFont="1" applyBorder="1" applyAlignment="1">
      <alignment horizontal="center" vertical="center" shrinkToFit="1"/>
    </xf>
    <xf numFmtId="165" fontId="0" fillId="6" borderId="19" xfId="0" applyNumberFormat="1" applyFill="1" applyBorder="1" applyAlignment="1" applyProtection="1">
      <alignment horizontal="center"/>
    </xf>
    <xf numFmtId="0" fontId="47" fillId="15" borderId="24" xfId="0" applyFont="1" applyFill="1" applyBorder="1" applyAlignment="1" applyProtection="1">
      <alignment horizontal="center" vertical="center"/>
    </xf>
    <xf numFmtId="9" fontId="2" fillId="6" borderId="0" xfId="0" applyNumberFormat="1" applyFont="1" applyFill="1" applyBorder="1" applyAlignment="1" applyProtection="1">
      <alignment horizontal="center" vertical="center"/>
    </xf>
    <xf numFmtId="2" fontId="0" fillId="6" borderId="0" xfId="0" applyNumberFormat="1" applyFill="1" applyAlignment="1" applyProtection="1">
      <alignment horizontal="center" vertical="center"/>
    </xf>
    <xf numFmtId="0" fontId="6" fillId="6" borderId="0" xfId="0" applyFont="1" applyFill="1" applyBorder="1" applyAlignment="1" applyProtection="1">
      <alignment horizontal="center" vertical="center"/>
    </xf>
    <xf numFmtId="165" fontId="40" fillId="0" borderId="17" xfId="0" applyNumberFormat="1" applyFont="1" applyFill="1" applyBorder="1" applyAlignment="1" applyProtection="1">
      <alignment horizontal="center" vertical="center"/>
    </xf>
    <xf numFmtId="0" fontId="21" fillId="0" borderId="18" xfId="0" applyNumberFormat="1" applyFont="1" applyFill="1" applyBorder="1" applyAlignment="1">
      <alignment horizontal="center" vertical="center" shrinkToFit="1"/>
    </xf>
    <xf numFmtId="2" fontId="39" fillId="14" borderId="26" xfId="0" applyNumberFormat="1" applyFont="1" applyFill="1" applyBorder="1" applyAlignment="1" applyProtection="1">
      <alignment horizontal="center" vertical="center"/>
      <protection locked="0"/>
    </xf>
    <xf numFmtId="2" fontId="39" fillId="14" borderId="32" xfId="0" applyNumberFormat="1" applyFont="1" applyFill="1" applyBorder="1" applyAlignment="1" applyProtection="1">
      <alignment horizontal="center" vertical="center"/>
      <protection locked="0"/>
    </xf>
    <xf numFmtId="9" fontId="49" fillId="2" borderId="19" xfId="1" applyFont="1" applyFill="1" applyBorder="1" applyAlignment="1" applyProtection="1">
      <alignment horizontal="center" vertical="center"/>
    </xf>
    <xf numFmtId="0" fontId="0" fillId="0" borderId="0" xfId="0" applyBorder="1" applyAlignment="1">
      <alignment horizontal="center"/>
    </xf>
    <xf numFmtId="0" fontId="0" fillId="0" borderId="0" xfId="0" applyAlignment="1">
      <alignment horizontal="left"/>
    </xf>
    <xf numFmtId="0" fontId="0" fillId="0" borderId="17" xfId="0" applyFont="1" applyBorder="1" applyAlignment="1" applyProtection="1">
      <alignment horizontal="center" vertical="center" wrapText="1"/>
    </xf>
    <xf numFmtId="0" fontId="1" fillId="0" borderId="17" xfId="0" applyFont="1" applyBorder="1" applyAlignment="1" applyProtection="1">
      <alignment horizontal="center" vertical="center" wrapText="1"/>
    </xf>
    <xf numFmtId="0" fontId="1" fillId="0" borderId="17" xfId="0" applyFont="1" applyBorder="1" applyAlignment="1" applyProtection="1">
      <alignment horizontal="center" vertical="center"/>
    </xf>
    <xf numFmtId="0" fontId="15" fillId="0" borderId="0" xfId="0" applyFont="1" applyFill="1" applyAlignment="1">
      <alignment vertical="center"/>
    </xf>
    <xf numFmtId="0" fontId="23" fillId="0" borderId="17" xfId="0" applyFont="1" applyBorder="1" applyAlignment="1">
      <alignment horizontal="center" vertical="center"/>
    </xf>
    <xf numFmtId="0" fontId="23" fillId="0" borderId="17" xfId="0" applyFont="1" applyBorder="1" applyAlignment="1">
      <alignment horizontal="center" vertical="center" wrapTex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horizontal="justify" vertical="center"/>
    </xf>
    <xf numFmtId="0" fontId="21" fillId="0" borderId="17" xfId="0" applyFont="1" applyBorder="1" applyAlignment="1">
      <alignment horizontal="center" vertical="center" wrapText="1"/>
    </xf>
    <xf numFmtId="0" fontId="23" fillId="0" borderId="0" xfId="0" applyFont="1" applyAlignment="1">
      <alignment horizontal="justify" vertical="center" wrapText="1"/>
    </xf>
    <xf numFmtId="0" fontId="52" fillId="0" borderId="17" xfId="0" applyFont="1" applyBorder="1" applyAlignment="1">
      <alignment horizontal="center" vertical="center"/>
    </xf>
    <xf numFmtId="0" fontId="21" fillId="0" borderId="17" xfId="0" applyFont="1" applyBorder="1" applyAlignment="1">
      <alignment horizontal="center" vertical="center"/>
    </xf>
    <xf numFmtId="0" fontId="21" fillId="0" borderId="17" xfId="0" applyFont="1" applyBorder="1" applyAlignment="1">
      <alignment horizontal="center" vertical="center" shrinkToFit="1"/>
    </xf>
    <xf numFmtId="0" fontId="1" fillId="0" borderId="17" xfId="0" applyFont="1" applyBorder="1" applyAlignment="1" applyProtection="1">
      <alignment horizontal="center" vertical="center"/>
    </xf>
    <xf numFmtId="0" fontId="1" fillId="0" borderId="17" xfId="0" applyFont="1" applyBorder="1" applyAlignment="1" applyProtection="1">
      <alignment horizontal="center" vertical="center" wrapText="1"/>
    </xf>
    <xf numFmtId="0" fontId="0" fillId="4" borderId="17" xfId="0" applyFill="1" applyBorder="1" applyAlignment="1" applyProtection="1">
      <alignment horizontal="center" vertical="center"/>
      <protection locked="0"/>
    </xf>
    <xf numFmtId="0" fontId="0" fillId="0" borderId="0" xfId="0" applyFont="1" applyAlignment="1" applyProtection="1">
      <alignment horizontal="center" vertical="center" wrapText="1"/>
    </xf>
    <xf numFmtId="0" fontId="0" fillId="4" borderId="17" xfId="1" applyNumberFormat="1" applyFont="1" applyFill="1" applyBorder="1" applyAlignment="1" applyProtection="1">
      <alignment horizontal="center" vertical="center"/>
      <protection locked="0"/>
    </xf>
    <xf numFmtId="10" fontId="0" fillId="4" borderId="17" xfId="1" applyNumberFormat="1" applyFont="1" applyFill="1" applyBorder="1" applyAlignment="1" applyProtection="1">
      <alignment horizontal="center" vertical="center"/>
      <protection locked="0"/>
    </xf>
    <xf numFmtId="166" fontId="0" fillId="0" borderId="17" xfId="0" applyNumberFormat="1" applyBorder="1" applyAlignment="1" applyProtection="1">
      <alignment horizontal="center" vertical="center"/>
    </xf>
    <xf numFmtId="0" fontId="0" fillId="0" borderId="0" xfId="0" applyAlignment="1" applyProtection="1">
      <alignment horizontal="center" vertical="center" wrapText="1"/>
    </xf>
    <xf numFmtId="0" fontId="0" fillId="0" borderId="0" xfId="0" applyAlignment="1" applyProtection="1">
      <alignment horizontal="right" vertical="center"/>
    </xf>
    <xf numFmtId="165" fontId="0" fillId="0" borderId="0" xfId="1" applyNumberFormat="1" applyFont="1" applyAlignment="1" applyProtection="1">
      <alignment horizontal="center" vertical="center"/>
    </xf>
    <xf numFmtId="170" fontId="0" fillId="0" borderId="0" xfId="1" applyNumberFormat="1" applyFont="1" applyAlignment="1" applyProtection="1">
      <alignment horizontal="center" vertical="center"/>
    </xf>
    <xf numFmtId="0" fontId="0" fillId="0" borderId="0" xfId="0" applyFill="1" applyBorder="1" applyAlignment="1" applyProtection="1">
      <alignment horizontal="right" vertical="center"/>
    </xf>
    <xf numFmtId="0" fontId="0" fillId="0" borderId="17" xfId="0" applyBorder="1" applyAlignment="1" applyProtection="1">
      <alignment horizontal="center" vertical="center" wrapText="1"/>
    </xf>
    <xf numFmtId="0" fontId="0" fillId="0" borderId="17" xfId="0" applyBorder="1" applyAlignment="1" applyProtection="1">
      <alignment vertical="center"/>
    </xf>
    <xf numFmtId="10" fontId="0" fillId="0" borderId="17" xfId="1" applyNumberFormat="1" applyFont="1" applyBorder="1" applyAlignment="1" applyProtection="1">
      <alignment horizontal="center" vertical="center"/>
    </xf>
    <xf numFmtId="0" fontId="0" fillId="0" borderId="15" xfId="0" applyBorder="1" applyAlignment="1" applyProtection="1">
      <alignment vertical="center"/>
    </xf>
    <xf numFmtId="0" fontId="35" fillId="0" borderId="17" xfId="0" applyFont="1" applyBorder="1" applyAlignment="1" applyProtection="1">
      <alignment horizontal="left" vertical="center"/>
    </xf>
    <xf numFmtId="165" fontId="0" fillId="4" borderId="17" xfId="1" applyNumberFormat="1" applyFont="1" applyFill="1" applyBorder="1" applyAlignment="1" applyProtection="1">
      <alignment horizontal="center" vertical="center"/>
      <protection locked="0"/>
    </xf>
    <xf numFmtId="165" fontId="0" fillId="0" borderId="0" xfId="0" applyNumberFormat="1" applyAlignment="1" applyProtection="1">
      <alignment horizontal="left" vertical="center"/>
    </xf>
    <xf numFmtId="0" fontId="0" fillId="0" borderId="17" xfId="2" applyNumberFormat="1" applyFont="1" applyBorder="1" applyAlignment="1" applyProtection="1">
      <alignment horizontal="center" vertical="center"/>
    </xf>
    <xf numFmtId="9" fontId="0" fillId="0" borderId="17" xfId="1" applyFont="1" applyBorder="1" applyAlignment="1" applyProtection="1">
      <alignment horizontal="center" vertical="center"/>
    </xf>
    <xf numFmtId="0" fontId="0" fillId="4" borderId="17" xfId="0" applyFill="1" applyBorder="1" applyAlignment="1" applyProtection="1">
      <alignment horizontal="center" vertical="center"/>
      <protection locked="0"/>
    </xf>
    <xf numFmtId="0" fontId="0" fillId="0" borderId="0" xfId="0" applyFill="1" applyAlignment="1" applyProtection="1">
      <alignment vertical="center"/>
    </xf>
    <xf numFmtId="0" fontId="0" fillId="0" borderId="9" xfId="0" applyBorder="1" applyAlignment="1" applyProtection="1">
      <alignment horizontal="center" vertical="center"/>
    </xf>
    <xf numFmtId="0" fontId="1" fillId="0" borderId="11" xfId="0" applyFont="1" applyBorder="1" applyAlignment="1" applyProtection="1">
      <alignment horizontal="center" vertical="center"/>
    </xf>
    <xf numFmtId="0" fontId="0" fillId="0" borderId="12" xfId="0" applyBorder="1" applyAlignment="1" applyProtection="1">
      <alignment horizontal="center" vertical="center"/>
    </xf>
    <xf numFmtId="0" fontId="0" fillId="0" borderId="14" xfId="0" applyBorder="1" applyAlignment="1" applyProtection="1">
      <alignment horizontal="center" vertical="center"/>
    </xf>
    <xf numFmtId="166" fontId="0" fillId="0" borderId="0" xfId="0" applyNumberFormat="1" applyAlignment="1" applyProtection="1">
      <alignment vertical="center"/>
    </xf>
    <xf numFmtId="0" fontId="23" fillId="0" borderId="0" xfId="0" applyFont="1" applyAlignment="1">
      <alignment vertical="center"/>
    </xf>
    <xf numFmtId="0" fontId="29" fillId="0" borderId="17" xfId="0" applyFont="1" applyBorder="1" applyAlignment="1">
      <alignment horizontal="center" vertical="center" shrinkToFit="1"/>
    </xf>
    <xf numFmtId="165" fontId="23" fillId="0" borderId="0" xfId="0" applyNumberFormat="1" applyFont="1" applyAlignment="1">
      <alignment vertical="center"/>
    </xf>
    <xf numFmtId="10" fontId="23" fillId="0" borderId="17" xfId="0" applyNumberFormat="1" applyFont="1" applyBorder="1" applyAlignment="1">
      <alignment horizontal="center" vertical="center"/>
    </xf>
    <xf numFmtId="0" fontId="23" fillId="0" borderId="0" xfId="0" applyFont="1" applyFill="1" applyAlignment="1">
      <alignment vertical="center"/>
    </xf>
    <xf numFmtId="0" fontId="29" fillId="0" borderId="0" xfId="0" applyFont="1" applyBorder="1" applyAlignment="1">
      <alignment horizontal="justify" vertical="top" wrapText="1"/>
    </xf>
    <xf numFmtId="0" fontId="23" fillId="0" borderId="0" xfId="0" applyFont="1" applyAlignment="1">
      <alignment vertical="center" wrapText="1"/>
    </xf>
    <xf numFmtId="0" fontId="21" fillId="0" borderId="17" xfId="0" applyFont="1" applyBorder="1" applyAlignment="1">
      <alignment horizontal="center" vertical="center" wrapText="1" shrinkToFit="1"/>
    </xf>
    <xf numFmtId="0" fontId="23" fillId="0" borderId="17" xfId="0" applyNumberFormat="1" applyFont="1" applyBorder="1" applyAlignment="1">
      <alignment horizontal="center" vertical="center"/>
    </xf>
    <xf numFmtId="0" fontId="1" fillId="0" borderId="17" xfId="0" applyFont="1" applyBorder="1" applyAlignment="1">
      <alignment horizontal="center" vertical="center" wrapText="1" shrinkToFit="1"/>
    </xf>
    <xf numFmtId="0" fontId="0" fillId="0" borderId="20" xfId="0" applyBorder="1" applyAlignment="1" applyProtection="1">
      <alignment horizontal="center" vertical="center"/>
    </xf>
    <xf numFmtId="0" fontId="0" fillId="4" borderId="20" xfId="1" applyNumberFormat="1" applyFont="1" applyFill="1" applyBorder="1" applyAlignment="1" applyProtection="1">
      <alignment horizontal="center" vertical="center"/>
      <protection locked="0"/>
    </xf>
    <xf numFmtId="0" fontId="1" fillId="0" borderId="64" xfId="0" applyFont="1" applyBorder="1" applyAlignment="1" applyProtection="1">
      <alignment horizontal="center" vertical="center" wrapText="1"/>
    </xf>
    <xf numFmtId="0" fontId="0" fillId="0" borderId="64" xfId="0" applyBorder="1" applyAlignment="1" applyProtection="1">
      <alignment horizontal="center" vertical="center"/>
    </xf>
    <xf numFmtId="0" fontId="0" fillId="4" borderId="64" xfId="1" applyNumberFormat="1" applyFont="1" applyFill="1" applyBorder="1" applyAlignment="1" applyProtection="1">
      <alignment horizontal="center" vertical="center"/>
      <protection locked="0"/>
    </xf>
    <xf numFmtId="9" fontId="0" fillId="0" borderId="17" xfId="1" applyFont="1" applyBorder="1" applyAlignment="1" applyProtection="1">
      <alignment vertical="center"/>
    </xf>
    <xf numFmtId="9" fontId="23" fillId="0" borderId="17" xfId="0" applyNumberFormat="1" applyFont="1" applyBorder="1" applyAlignment="1">
      <alignment horizontal="center" vertical="center"/>
    </xf>
    <xf numFmtId="0" fontId="23" fillId="0" borderId="17" xfId="0" applyFont="1" applyBorder="1" applyAlignment="1">
      <alignment horizontal="center" shrinkToFit="1"/>
    </xf>
    <xf numFmtId="9" fontId="0" fillId="4" borderId="17" xfId="1" applyFont="1" applyFill="1" applyBorder="1" applyAlignment="1" applyProtection="1">
      <alignment horizontal="center" vertical="center"/>
      <protection locked="0"/>
    </xf>
    <xf numFmtId="0" fontId="21" fillId="0" borderId="0" xfId="0" applyFont="1" applyAlignment="1">
      <alignment horizontal="center" vertical="center" wrapText="1"/>
    </xf>
    <xf numFmtId="9" fontId="1" fillId="0" borderId="0" xfId="1" applyFont="1" applyAlignment="1" applyProtection="1">
      <alignment horizontal="center" vertical="center"/>
    </xf>
    <xf numFmtId="9" fontId="0" fillId="4" borderId="17" xfId="1" applyNumberFormat="1" applyFont="1" applyFill="1" applyBorder="1" applyAlignment="1" applyProtection="1">
      <alignment horizontal="center" vertical="center"/>
      <protection locked="0"/>
    </xf>
    <xf numFmtId="0" fontId="4" fillId="0" borderId="17" xfId="3" applyFont="1" applyFill="1" applyBorder="1" applyAlignment="1" applyProtection="1">
      <alignment horizontal="center" vertical="center" wrapText="1"/>
    </xf>
    <xf numFmtId="0" fontId="64" fillId="0" borderId="17" xfId="3" applyFont="1" applyFill="1" applyBorder="1" applyAlignment="1" applyProtection="1">
      <alignment horizontal="center" vertical="center" wrapText="1"/>
    </xf>
    <xf numFmtId="0" fontId="23" fillId="0" borderId="17" xfId="0" applyFont="1" applyBorder="1" applyAlignment="1">
      <alignment horizontal="center" vertical="center" shrinkToFit="1"/>
    </xf>
    <xf numFmtId="0" fontId="23" fillId="0" borderId="0" xfId="0" applyFont="1" applyAlignment="1">
      <alignment vertical="center"/>
    </xf>
    <xf numFmtId="9" fontId="0" fillId="0" borderId="17" xfId="0" applyNumberFormat="1" applyBorder="1" applyAlignment="1" applyProtection="1">
      <alignment horizontal="center" vertical="center"/>
    </xf>
    <xf numFmtId="0" fontId="9" fillId="4" borderId="17" xfId="1" applyNumberFormat="1" applyFont="1" applyFill="1" applyBorder="1" applyAlignment="1" applyProtection="1">
      <alignment horizontal="left" vertical="center"/>
      <protection locked="0"/>
    </xf>
    <xf numFmtId="0" fontId="0" fillId="4" borderId="17" xfId="0" applyFill="1" applyBorder="1" applyAlignment="1" applyProtection="1">
      <alignment horizontal="center" vertical="center"/>
      <protection locked="0"/>
    </xf>
    <xf numFmtId="0" fontId="0" fillId="4" borderId="17" xfId="0" applyFill="1" applyBorder="1" applyAlignment="1" applyProtection="1">
      <alignment horizontal="center" vertical="center"/>
      <protection locked="0"/>
    </xf>
    <xf numFmtId="0" fontId="0" fillId="0" borderId="0" xfId="0" applyAlignment="1">
      <alignment horizontal="right"/>
    </xf>
    <xf numFmtId="0" fontId="1" fillId="0" borderId="0" xfId="0" applyFont="1" applyAlignment="1">
      <alignment horizontal="left"/>
    </xf>
    <xf numFmtId="0" fontId="0" fillId="5" borderId="0" xfId="0" applyFill="1" applyAlignment="1" applyProtection="1">
      <alignment horizontal="left" vertical="center"/>
      <protection locked="0"/>
    </xf>
    <xf numFmtId="0" fontId="27" fillId="0" borderId="0" xfId="0" applyFont="1" applyAlignment="1">
      <alignment vertical="center" wrapText="1"/>
    </xf>
    <xf numFmtId="0" fontId="21" fillId="0" borderId="0" xfId="0" applyFont="1"/>
    <xf numFmtId="0" fontId="23" fillId="0" borderId="0" xfId="0" applyFont="1" applyFill="1" applyAlignment="1">
      <alignment horizontal="center"/>
    </xf>
    <xf numFmtId="165" fontId="0" fillId="0" borderId="0" xfId="0" applyNumberFormat="1" applyAlignment="1">
      <alignment horizontal="left"/>
    </xf>
    <xf numFmtId="0" fontId="0" fillId="4" borderId="17" xfId="0" applyFill="1" applyBorder="1" applyAlignment="1" applyProtection="1">
      <alignment horizontal="center" vertical="center"/>
      <protection locked="0"/>
    </xf>
    <xf numFmtId="0" fontId="23" fillId="0" borderId="0" xfId="0" applyFont="1" applyAlignment="1">
      <alignment horizontal="justify" vertical="center" wrapText="1"/>
    </xf>
    <xf numFmtId="0" fontId="23" fillId="0" borderId="0" xfId="0" applyFont="1" applyAlignment="1">
      <alignment horizontal="justify" vertical="center"/>
    </xf>
    <xf numFmtId="0" fontId="23" fillId="0" borderId="0" xfId="0" applyFont="1" applyAlignment="1">
      <alignment vertical="center"/>
    </xf>
    <xf numFmtId="0" fontId="0" fillId="0" borderId="17" xfId="0" applyBorder="1" applyAlignment="1">
      <alignment horizontal="center" vertical="center"/>
    </xf>
    <xf numFmtId="0" fontId="1" fillId="0" borderId="17" xfId="0" applyFont="1" applyBorder="1" applyAlignment="1">
      <alignment horizontal="center" vertical="center"/>
    </xf>
    <xf numFmtId="0" fontId="29" fillId="0" borderId="0" xfId="0" applyFont="1" applyAlignment="1">
      <alignment horizontal="left" vertical="center"/>
    </xf>
    <xf numFmtId="0" fontId="23" fillId="0" borderId="0" xfId="0" applyFont="1" applyBorder="1" applyAlignment="1">
      <alignment horizontal="left" vertical="top"/>
    </xf>
    <xf numFmtId="0" fontId="6" fillId="0" borderId="0" xfId="0" applyFont="1" applyBorder="1" applyAlignment="1">
      <alignment horizontal="justify" vertical="top"/>
    </xf>
    <xf numFmtId="0" fontId="29" fillId="0" borderId="0" xfId="0" applyFont="1" applyAlignment="1">
      <alignment vertical="center" wrapText="1"/>
    </xf>
    <xf numFmtId="0" fontId="67" fillId="0" borderId="0" xfId="0" applyFont="1" applyBorder="1" applyAlignment="1">
      <alignment horizontal="center" vertical="center" wrapText="1"/>
    </xf>
    <xf numFmtId="0" fontId="106" fillId="0" borderId="0" xfId="0" applyFont="1" applyBorder="1" applyAlignment="1">
      <alignment horizontal="center" vertical="center" wrapText="1"/>
    </xf>
    <xf numFmtId="0" fontId="67" fillId="0" borderId="0" xfId="0" applyFont="1" applyBorder="1" applyAlignment="1">
      <alignment horizontal="center" vertical="center"/>
    </xf>
    <xf numFmtId="0" fontId="6" fillId="0" borderId="0" xfId="0" applyFont="1" applyBorder="1" applyAlignment="1">
      <alignment horizontal="center" vertical="center"/>
    </xf>
    <xf numFmtId="165" fontId="22" fillId="0" borderId="0" xfId="0" applyNumberFormat="1" applyFont="1" applyBorder="1" applyAlignment="1">
      <alignment horizontal="center" vertical="center"/>
    </xf>
    <xf numFmtId="0" fontId="0" fillId="0" borderId="0" xfId="0"/>
    <xf numFmtId="0" fontId="23" fillId="0" borderId="0" xfId="0" applyFont="1" applyAlignment="1">
      <alignment horizontal="justify" vertical="center" wrapText="1"/>
    </xf>
    <xf numFmtId="0" fontId="23" fillId="0" borderId="0" xfId="0" applyFont="1" applyAlignment="1">
      <alignment horizontal="justify" vertical="center"/>
    </xf>
    <xf numFmtId="0" fontId="29" fillId="0" borderId="0" xfId="0" applyFont="1" applyBorder="1" applyAlignment="1">
      <alignment horizontal="justify" vertical="top" wrapText="1"/>
    </xf>
    <xf numFmtId="0" fontId="52" fillId="0" borderId="17" xfId="0" applyFont="1" applyBorder="1" applyAlignment="1">
      <alignment horizontal="center" vertical="center"/>
    </xf>
    <xf numFmtId="0" fontId="23" fillId="0" borderId="0" xfId="0" applyFont="1" applyAlignment="1">
      <alignment vertical="center"/>
    </xf>
    <xf numFmtId="0" fontId="23" fillId="0" borderId="0" xfId="0" applyFont="1" applyAlignment="1">
      <alignment horizontal="left" vertical="center"/>
    </xf>
    <xf numFmtId="0" fontId="23" fillId="0" borderId="0" xfId="0" applyFont="1" applyAlignment="1">
      <alignment horizontal="center" vertical="center"/>
    </xf>
    <xf numFmtId="0" fontId="0" fillId="4" borderId="17" xfId="0" applyFill="1" applyBorder="1" applyAlignment="1" applyProtection="1">
      <alignment horizontal="center" vertical="center"/>
      <protection locked="0"/>
    </xf>
    <xf numFmtId="14" fontId="23" fillId="0" borderId="0" xfId="0" applyNumberFormat="1" applyFont="1" applyAlignment="1">
      <alignment vertical="center"/>
    </xf>
    <xf numFmtId="0" fontId="23" fillId="0" borderId="0" xfId="0" applyFont="1" applyAlignment="1"/>
    <xf numFmtId="0" fontId="52" fillId="0" borderId="17" xfId="0" applyFont="1" applyBorder="1" applyAlignment="1">
      <alignment vertical="center"/>
    </xf>
    <xf numFmtId="0" fontId="52" fillId="0" borderId="0" xfId="0" applyFont="1" applyBorder="1" applyAlignment="1">
      <alignment horizontal="center" vertical="center"/>
    </xf>
    <xf numFmtId="0" fontId="23" fillId="0" borderId="0" xfId="0" applyFont="1" applyBorder="1" applyAlignment="1"/>
    <xf numFmtId="0" fontId="52" fillId="0" borderId="20" xfId="0" applyFont="1" applyBorder="1" applyAlignment="1">
      <alignment vertical="center"/>
    </xf>
    <xf numFmtId="0" fontId="52" fillId="0" borderId="22" xfId="0" applyFont="1" applyBorder="1" applyAlignment="1">
      <alignment vertical="center"/>
    </xf>
    <xf numFmtId="2" fontId="52" fillId="0" borderId="12" xfId="0" applyNumberFormat="1" applyFont="1" applyBorder="1" applyAlignment="1">
      <alignment horizontal="center" vertical="center"/>
    </xf>
    <xf numFmtId="2" fontId="52" fillId="0" borderId="0" xfId="0" applyNumberFormat="1" applyFont="1" applyBorder="1" applyAlignment="1">
      <alignment horizontal="center" vertical="center"/>
    </xf>
    <xf numFmtId="2" fontId="23" fillId="0" borderId="0" xfId="0" applyNumberFormat="1" applyFont="1" applyAlignment="1">
      <alignment vertical="center"/>
    </xf>
    <xf numFmtId="0" fontId="52" fillId="0" borderId="0" xfId="0" applyFont="1" applyBorder="1" applyAlignment="1">
      <alignment horizontal="left" vertical="center"/>
    </xf>
    <xf numFmtId="2" fontId="23" fillId="0" borderId="0" xfId="0" applyNumberFormat="1" applyFont="1" applyBorder="1" applyAlignment="1">
      <alignment horizontal="center" vertical="center"/>
    </xf>
    <xf numFmtId="165" fontId="23" fillId="0" borderId="0" xfId="0" applyNumberFormat="1" applyFont="1" applyFill="1" applyBorder="1" applyAlignment="1">
      <alignment horizontal="center" vertical="center"/>
    </xf>
    <xf numFmtId="0" fontId="52" fillId="0" borderId="20" xfId="0" applyFont="1" applyBorder="1" applyAlignment="1">
      <alignment horizontal="left" vertical="center"/>
    </xf>
    <xf numFmtId="1" fontId="52" fillId="0" borderId="0" xfId="0" applyNumberFormat="1" applyFont="1" applyBorder="1" applyAlignment="1">
      <alignment horizontal="center" vertical="center"/>
    </xf>
    <xf numFmtId="0" fontId="52" fillId="0" borderId="22" xfId="0" applyFont="1" applyBorder="1" applyAlignment="1">
      <alignment vertical="center" wrapText="1"/>
    </xf>
    <xf numFmtId="0" fontId="6" fillId="0" borderId="0" xfId="0" applyFont="1" applyAlignment="1">
      <alignment vertical="center" wrapText="1"/>
    </xf>
    <xf numFmtId="0" fontId="6" fillId="0" borderId="17" xfId="0" applyFont="1" applyFill="1" applyBorder="1" applyAlignment="1">
      <alignment horizontal="center" vertical="center" wrapText="1" shrinkToFit="1"/>
    </xf>
    <xf numFmtId="0" fontId="6" fillId="0" borderId="0" xfId="0" applyFont="1" applyFill="1" applyAlignment="1">
      <alignment vertical="center" wrapText="1"/>
    </xf>
    <xf numFmtId="0" fontId="29" fillId="0" borderId="0" xfId="0" applyFont="1" applyBorder="1" applyAlignment="1">
      <alignment vertical="top" wrapText="1"/>
    </xf>
    <xf numFmtId="0" fontId="23" fillId="2" borderId="0" xfId="0" applyFont="1" applyFill="1" applyAlignment="1">
      <alignment vertical="center"/>
    </xf>
    <xf numFmtId="0" fontId="23" fillId="0" borderId="0" xfId="0" applyFont="1" applyFill="1" applyAlignment="1">
      <alignment horizontal="justify" vertical="center" wrapText="1"/>
    </xf>
    <xf numFmtId="0" fontId="21" fillId="0" borderId="17" xfId="0" applyFont="1" applyFill="1" applyBorder="1" applyAlignment="1">
      <alignment horizontal="center" vertical="center" wrapText="1"/>
    </xf>
    <xf numFmtId="14" fontId="6" fillId="0" borderId="17" xfId="0" applyNumberFormat="1" applyFont="1" applyFill="1" applyBorder="1" applyAlignment="1">
      <alignment horizontal="center" vertical="center" shrinkToFit="1"/>
    </xf>
    <xf numFmtId="1" fontId="0" fillId="6" borderId="0" xfId="0" applyNumberFormat="1" applyFill="1" applyProtection="1"/>
    <xf numFmtId="9" fontId="0" fillId="6" borderId="0" xfId="0" applyNumberFormat="1" applyFill="1" applyProtection="1"/>
    <xf numFmtId="1" fontId="1" fillId="6" borderId="23" xfId="0" applyNumberFormat="1" applyFont="1" applyFill="1" applyBorder="1" applyAlignment="1" applyProtection="1">
      <alignment horizontal="center"/>
    </xf>
    <xf numFmtId="0" fontId="1" fillId="6" borderId="25" xfId="0" applyFont="1" applyFill="1" applyBorder="1" applyAlignment="1" applyProtection="1">
      <alignment horizontal="center"/>
    </xf>
    <xf numFmtId="0" fontId="23" fillId="0" borderId="0" xfId="0" applyFont="1" applyAlignment="1">
      <alignment horizontal="justify" vertical="center" wrapText="1"/>
    </xf>
    <xf numFmtId="0" fontId="23" fillId="0" borderId="0" xfId="0" applyFont="1" applyAlignment="1">
      <alignment horizontal="justify" vertical="center"/>
    </xf>
    <xf numFmtId="0" fontId="23" fillId="0" borderId="0" xfId="0" applyFont="1" applyAlignment="1">
      <alignment vertical="center"/>
    </xf>
    <xf numFmtId="0" fontId="23" fillId="0" borderId="0" xfId="0" applyFont="1" applyAlignment="1">
      <alignment horizontal="left" vertical="center"/>
    </xf>
    <xf numFmtId="0" fontId="21" fillId="0" borderId="0" xfId="0" applyFont="1" applyAlignment="1">
      <alignment horizontal="justify" vertical="top" wrapText="1"/>
    </xf>
    <xf numFmtId="0" fontId="0" fillId="0" borderId="0" xfId="0" applyFont="1" applyAlignment="1">
      <alignment horizontal="justify" vertical="center" wrapText="1"/>
    </xf>
    <xf numFmtId="0" fontId="0" fillId="0" borderId="0" xfId="0" applyFont="1" applyAlignment="1">
      <alignment vertical="center"/>
    </xf>
    <xf numFmtId="0" fontId="23" fillId="0" borderId="0" xfId="0" applyFont="1" applyAlignment="1">
      <alignment horizontal="justify" vertical="center" wrapText="1"/>
    </xf>
    <xf numFmtId="0" fontId="23" fillId="0" borderId="0" xfId="0" applyFont="1" applyAlignment="1">
      <alignment horizontal="justify" vertical="center"/>
    </xf>
    <xf numFmtId="0" fontId="29" fillId="0" borderId="0" xfId="0" applyFont="1" applyBorder="1" applyAlignment="1">
      <alignment horizontal="justify" vertical="top" wrapText="1"/>
    </xf>
    <xf numFmtId="0" fontId="23" fillId="0" borderId="17" xfId="0" applyFont="1" applyBorder="1" applyAlignment="1">
      <alignment horizontal="center" vertical="center"/>
    </xf>
    <xf numFmtId="0" fontId="21" fillId="0" borderId="17" xfId="0" applyFont="1" applyBorder="1" applyAlignment="1">
      <alignment horizontal="center" vertical="center"/>
    </xf>
    <xf numFmtId="0" fontId="23" fillId="0" borderId="20" xfId="0" applyFont="1" applyBorder="1" applyAlignment="1">
      <alignment horizontal="center" vertical="center"/>
    </xf>
    <xf numFmtId="0" fontId="52" fillId="0" borderId="17" xfId="0" applyFont="1" applyBorder="1" applyAlignment="1">
      <alignment horizontal="center" vertical="center"/>
    </xf>
    <xf numFmtId="0" fontId="21" fillId="0" borderId="0" xfId="0" applyFont="1" applyAlignment="1">
      <alignment horizontal="left" vertical="center" wrapText="1"/>
    </xf>
    <xf numFmtId="0" fontId="23" fillId="0" borderId="0" xfId="0" applyFont="1" applyAlignment="1">
      <alignment vertical="center"/>
    </xf>
    <xf numFmtId="0" fontId="23" fillId="0" borderId="0" xfId="0" applyFont="1" applyAlignment="1">
      <alignment horizontal="left" vertical="center"/>
    </xf>
    <xf numFmtId="0" fontId="23" fillId="0" borderId="0" xfId="0" applyFont="1" applyAlignment="1">
      <alignment horizontal="center" vertical="center"/>
    </xf>
    <xf numFmtId="0" fontId="21" fillId="0" borderId="0" xfId="0" applyFont="1" applyAlignment="1">
      <alignment horizontal="center" vertical="center"/>
    </xf>
    <xf numFmtId="14" fontId="23" fillId="0" borderId="0" xfId="0" applyNumberFormat="1" applyFont="1" applyAlignment="1">
      <alignment horizontal="left" vertical="center"/>
    </xf>
    <xf numFmtId="0" fontId="29" fillId="0" borderId="0" xfId="0" applyFont="1" applyAlignment="1">
      <alignment horizontal="center" vertical="center"/>
    </xf>
    <xf numFmtId="0" fontId="14" fillId="0" borderId="0" xfId="0" applyFont="1" applyBorder="1" applyAlignment="1">
      <alignment horizontal="left" vertical="top" wrapText="1"/>
    </xf>
    <xf numFmtId="0" fontId="23" fillId="0" borderId="10" xfId="0" applyFont="1" applyBorder="1" applyAlignment="1">
      <alignment horizontal="center" vertical="center" shrinkToFit="1"/>
    </xf>
    <xf numFmtId="0" fontId="21" fillId="0" borderId="0" xfId="0" applyFont="1" applyAlignment="1">
      <alignment horizontal="justify" vertical="center" wrapText="1"/>
    </xf>
    <xf numFmtId="0" fontId="23" fillId="0" borderId="0" xfId="0" applyFont="1" applyBorder="1" applyAlignment="1">
      <alignment horizontal="justify" vertical="top"/>
    </xf>
    <xf numFmtId="0" fontId="0" fillId="0" borderId="0" xfId="0" applyFont="1" applyAlignment="1">
      <alignment vertical="center"/>
    </xf>
    <xf numFmtId="0" fontId="0" fillId="0" borderId="17" xfId="0" applyFont="1" applyBorder="1" applyAlignment="1">
      <alignment horizontal="center" vertical="center" shrinkToFit="1"/>
    </xf>
    <xf numFmtId="0" fontId="0" fillId="0" borderId="0" xfId="0" applyFont="1"/>
    <xf numFmtId="0" fontId="28" fillId="0" borderId="0" xfId="0" applyFont="1" applyBorder="1" applyAlignment="1">
      <alignment horizontal="center" vertical="center" wrapText="1"/>
    </xf>
    <xf numFmtId="0" fontId="3" fillId="0" borderId="17" xfId="0" applyFont="1" applyBorder="1" applyAlignment="1">
      <alignment horizontal="center" vertical="center"/>
    </xf>
    <xf numFmtId="0" fontId="1" fillId="0" borderId="17" xfId="0" applyFont="1" applyFill="1" applyBorder="1" applyAlignment="1">
      <alignment horizontal="center" vertical="center" wrapText="1"/>
    </xf>
    <xf numFmtId="0" fontId="23" fillId="0" borderId="0" xfId="0" applyFont="1" applyAlignment="1">
      <alignment horizontal="justify" vertical="center" wrapText="1"/>
    </xf>
    <xf numFmtId="0" fontId="23" fillId="0" borderId="0" xfId="0" applyFont="1" applyAlignment="1">
      <alignment horizontal="justify" vertical="center"/>
    </xf>
    <xf numFmtId="0" fontId="6" fillId="0" borderId="0" xfId="0" applyFont="1" applyAlignment="1">
      <alignment horizontal="justify" vertical="center" wrapText="1"/>
    </xf>
    <xf numFmtId="0" fontId="23" fillId="0" borderId="0" xfId="0" applyFont="1" applyAlignment="1">
      <alignment vertical="center"/>
    </xf>
    <xf numFmtId="0" fontId="23" fillId="0" borderId="0" xfId="0" applyFont="1" applyAlignment="1">
      <alignment horizontal="left" vertical="center"/>
    </xf>
    <xf numFmtId="0" fontId="52" fillId="0" borderId="17" xfId="0" applyFont="1" applyBorder="1" applyAlignment="1">
      <alignment horizontal="center" vertical="center"/>
    </xf>
    <xf numFmtId="0" fontId="29" fillId="0" borderId="0" xfId="0" applyFont="1" applyBorder="1" applyAlignment="1">
      <alignment horizontal="justify" vertical="top" wrapText="1"/>
    </xf>
    <xf numFmtId="0" fontId="23" fillId="0" borderId="17" xfId="0" applyFont="1" applyBorder="1" applyAlignment="1">
      <alignment horizontal="center" vertical="center" shrinkToFit="1"/>
    </xf>
    <xf numFmtId="0" fontId="52" fillId="0" borderId="20" xfId="0" applyFont="1" applyBorder="1" applyAlignment="1">
      <alignment horizontal="center" vertical="center"/>
    </xf>
    <xf numFmtId="0" fontId="52" fillId="0" borderId="17" xfId="0" applyFont="1" applyBorder="1" applyAlignment="1">
      <alignment horizontal="center" vertical="center" wrapText="1"/>
    </xf>
    <xf numFmtId="0" fontId="23" fillId="0" borderId="0" xfId="0" applyFont="1" applyAlignment="1">
      <alignment horizontal="left" vertical="center" wrapText="1"/>
    </xf>
    <xf numFmtId="0" fontId="29" fillId="0" borderId="0" xfId="0" applyFont="1" applyBorder="1" applyAlignment="1">
      <alignment horizontal="left" vertical="top" wrapText="1"/>
    </xf>
    <xf numFmtId="0" fontId="29" fillId="0" borderId="0" xfId="0" applyFont="1" applyAlignment="1">
      <alignment horizontal="center" vertical="center"/>
    </xf>
    <xf numFmtId="0" fontId="23" fillId="0" borderId="0" xfId="0" applyFont="1" applyAlignment="1">
      <alignment horizontal="center" vertical="center"/>
    </xf>
    <xf numFmtId="1" fontId="23" fillId="0" borderId="17" xfId="0" applyNumberFormat="1" applyFont="1" applyFill="1" applyBorder="1" applyAlignment="1">
      <alignment horizontal="center"/>
    </xf>
    <xf numFmtId="0" fontId="1" fillId="0" borderId="17" xfId="0" applyFont="1" applyBorder="1" applyAlignment="1">
      <alignment horizontal="center" vertical="center"/>
    </xf>
    <xf numFmtId="0" fontId="1" fillId="0" borderId="0" xfId="0" applyFont="1" applyAlignment="1">
      <alignment horizontal="center" vertical="center"/>
    </xf>
    <xf numFmtId="0" fontId="0" fillId="0" borderId="17" xfId="0" applyFont="1" applyBorder="1" applyAlignment="1">
      <alignment horizontal="center" vertical="center"/>
    </xf>
    <xf numFmtId="0" fontId="0" fillId="0" borderId="0" xfId="0" applyFont="1" applyAlignment="1">
      <alignment vertical="center"/>
    </xf>
    <xf numFmtId="0" fontId="0" fillId="0" borderId="0" xfId="0" applyFont="1" applyAlignment="1">
      <alignment horizontal="left" vertical="center"/>
    </xf>
    <xf numFmtId="0" fontId="1" fillId="0" borderId="27" xfId="0" applyFont="1" applyBorder="1" applyAlignment="1" applyProtection="1">
      <alignment vertical="center"/>
    </xf>
    <xf numFmtId="0" fontId="1" fillId="0" borderId="31" xfId="0" applyFont="1" applyBorder="1" applyAlignment="1" applyProtection="1">
      <alignment vertical="center"/>
    </xf>
    <xf numFmtId="0" fontId="1" fillId="0" borderId="43" xfId="0" applyFont="1" applyBorder="1" applyAlignment="1" applyProtection="1">
      <alignment horizontal="left" vertical="center"/>
    </xf>
    <xf numFmtId="0" fontId="27" fillId="6" borderId="46" xfId="0" applyFont="1" applyFill="1" applyBorder="1" applyAlignment="1" applyProtection="1">
      <alignment horizontal="left" vertical="center"/>
    </xf>
    <xf numFmtId="0" fontId="0" fillId="5" borderId="35" xfId="0" applyFill="1" applyBorder="1" applyAlignment="1" applyProtection="1">
      <alignment horizontal="center" vertical="center"/>
      <protection locked="0"/>
    </xf>
    <xf numFmtId="0" fontId="0" fillId="5" borderId="36" xfId="0" applyFill="1" applyBorder="1" applyAlignment="1" applyProtection="1">
      <alignment horizontal="center" vertical="center"/>
      <protection locked="0"/>
    </xf>
    <xf numFmtId="0" fontId="0" fillId="5" borderId="72" xfId="0" applyFill="1" applyBorder="1" applyAlignment="1" applyProtection="1">
      <alignment horizontal="center" vertical="center"/>
      <protection locked="0"/>
    </xf>
    <xf numFmtId="0" fontId="1" fillId="0" borderId="57" xfId="0" applyFont="1" applyFill="1" applyBorder="1" applyAlignment="1" applyProtection="1">
      <alignment vertical="center"/>
    </xf>
    <xf numFmtId="0" fontId="109" fillId="0" borderId="0" xfId="0" applyFont="1" applyAlignment="1">
      <alignment vertical="center"/>
    </xf>
    <xf numFmtId="0" fontId="52" fillId="0" borderId="17" xfId="0" applyFont="1" applyFill="1" applyBorder="1" applyAlignment="1">
      <alignment horizontal="center" vertical="center" wrapText="1"/>
    </xf>
    <xf numFmtId="0" fontId="23" fillId="0" borderId="0" xfId="0" applyFont="1" applyAlignment="1">
      <alignment horizontal="left" vertical="center" shrinkToFit="1"/>
    </xf>
    <xf numFmtId="165" fontId="23" fillId="0" borderId="17" xfId="0" applyNumberFormat="1" applyFont="1" applyBorder="1" applyAlignment="1">
      <alignment horizontal="center" vertical="center" shrinkToFit="1"/>
    </xf>
    <xf numFmtId="2" fontId="23" fillId="0" borderId="17" xfId="0" applyNumberFormat="1" applyFont="1" applyBorder="1" applyAlignment="1">
      <alignment horizontal="center" vertical="center" shrinkToFit="1"/>
    </xf>
    <xf numFmtId="49" fontId="6" fillId="0" borderId="0" xfId="0" applyNumberFormat="1" applyFont="1" applyBorder="1" applyAlignment="1">
      <alignment horizontal="justify" vertical="center" wrapText="1"/>
    </xf>
    <xf numFmtId="0" fontId="6" fillId="0" borderId="0" xfId="0" applyFont="1" applyAlignment="1">
      <alignment vertical="center"/>
    </xf>
    <xf numFmtId="0" fontId="0" fillId="6" borderId="0" xfId="0" applyNumberFormat="1" applyFill="1" applyAlignment="1" applyProtection="1">
      <alignment vertical="center"/>
    </xf>
    <xf numFmtId="14" fontId="29" fillId="0" borderId="0" xfId="0" applyNumberFormat="1" applyFont="1" applyAlignment="1">
      <alignment horizontal="center" vertical="center"/>
    </xf>
    <xf numFmtId="0" fontId="6" fillId="0" borderId="0" xfId="0" applyFont="1" applyAlignment="1">
      <alignment horizontal="left" vertical="center"/>
    </xf>
    <xf numFmtId="0" fontId="52" fillId="0" borderId="0" xfId="0" applyFont="1" applyAlignment="1">
      <alignment horizontal="right" vertical="center"/>
    </xf>
    <xf numFmtId="0" fontId="6" fillId="0" borderId="0" xfId="0" applyFont="1" applyAlignment="1">
      <alignment horizontal="left" vertical="center"/>
    </xf>
    <xf numFmtId="0" fontId="52" fillId="0" borderId="20" xfId="0" applyFont="1" applyBorder="1" applyAlignment="1">
      <alignment horizontal="left" vertical="center"/>
    </xf>
    <xf numFmtId="0" fontId="108" fillId="0" borderId="0" xfId="0" applyFont="1" applyFill="1" applyBorder="1" applyAlignment="1">
      <alignment horizontal="center" vertical="center" shrinkToFit="1"/>
    </xf>
    <xf numFmtId="0" fontId="111" fillId="0" borderId="0" xfId="0" applyFont="1" applyFill="1" applyBorder="1" applyAlignment="1">
      <alignment horizontal="center" vertical="center" shrinkToFit="1"/>
    </xf>
    <xf numFmtId="0" fontId="29" fillId="0" borderId="0" xfId="0" applyFont="1" applyBorder="1" applyAlignment="1">
      <alignment vertical="top"/>
    </xf>
    <xf numFmtId="0" fontId="6" fillId="0" borderId="0" xfId="0" applyFont="1" applyBorder="1" applyAlignment="1">
      <alignment vertical="top"/>
    </xf>
    <xf numFmtId="0" fontId="6" fillId="0" borderId="0" xfId="0" applyFont="1" applyBorder="1" applyAlignment="1">
      <alignment horizontal="left" vertical="top"/>
    </xf>
    <xf numFmtId="0" fontId="6" fillId="0" borderId="0" xfId="0" applyFont="1" applyBorder="1" applyAlignment="1">
      <alignment vertical="center"/>
    </xf>
    <xf numFmtId="0" fontId="29" fillId="0" borderId="0" xfId="0" applyFont="1" applyBorder="1" applyAlignment="1">
      <alignment horizontal="left" vertical="top"/>
    </xf>
    <xf numFmtId="0" fontId="112" fillId="0" borderId="0" xfId="0" applyFont="1" applyFill="1" applyBorder="1" applyAlignment="1">
      <alignment horizontal="center" vertical="center" shrinkToFit="1"/>
    </xf>
    <xf numFmtId="0" fontId="23" fillId="0" borderId="17" xfId="0" applyFont="1" applyBorder="1" applyAlignment="1">
      <alignment vertical="center"/>
    </xf>
    <xf numFmtId="0" fontId="22" fillId="0" borderId="0" xfId="0" applyFont="1" applyAlignment="1">
      <alignment vertical="center"/>
    </xf>
    <xf numFmtId="0" fontId="51" fillId="0" borderId="0" xfId="0" applyFont="1" applyAlignment="1">
      <alignment horizontal="left" vertical="center"/>
    </xf>
    <xf numFmtId="0" fontId="21" fillId="0" borderId="0" xfId="0" applyFont="1" applyAlignment="1">
      <alignment vertical="center" wrapText="1"/>
    </xf>
    <xf numFmtId="0" fontId="29" fillId="0" borderId="10" xfId="0" applyFont="1" applyBorder="1" applyAlignment="1">
      <alignment vertical="top"/>
    </xf>
    <xf numFmtId="0" fontId="29" fillId="0" borderId="10" xfId="0" applyFont="1" applyBorder="1" applyAlignment="1">
      <alignment vertical="top" wrapText="1"/>
    </xf>
    <xf numFmtId="2" fontId="108" fillId="0" borderId="0" xfId="0" applyNumberFormat="1" applyFont="1" applyFill="1" applyBorder="1" applyAlignment="1">
      <alignment horizontal="center" vertical="center"/>
    </xf>
    <xf numFmtId="2" fontId="6" fillId="0" borderId="0" xfId="0" applyNumberFormat="1" applyFont="1" applyAlignment="1">
      <alignment vertical="center"/>
    </xf>
    <xf numFmtId="164" fontId="111" fillId="0" borderId="0" xfId="0" applyNumberFormat="1" applyFont="1" applyFill="1" applyBorder="1" applyAlignment="1">
      <alignment horizontal="center" vertical="center"/>
    </xf>
    <xf numFmtId="164" fontId="6" fillId="0" borderId="0" xfId="0" applyNumberFormat="1" applyFont="1" applyAlignment="1">
      <alignment vertical="center"/>
    </xf>
    <xf numFmtId="0" fontId="113" fillId="0" borderId="0" xfId="0" applyFont="1" applyFill="1" applyBorder="1" applyAlignment="1">
      <alignment vertical="top"/>
    </xf>
    <xf numFmtId="0" fontId="112" fillId="0" borderId="0" xfId="0" applyFont="1" applyFill="1" applyBorder="1" applyAlignment="1">
      <alignment vertical="center"/>
    </xf>
    <xf numFmtId="0" fontId="23" fillId="0" borderId="15" xfId="0" applyFont="1" applyBorder="1" applyAlignment="1">
      <alignment vertical="center"/>
    </xf>
    <xf numFmtId="165" fontId="111" fillId="0" borderId="0" xfId="0" applyNumberFormat="1" applyFont="1" applyFill="1" applyBorder="1" applyAlignment="1">
      <alignment horizontal="center" vertical="center"/>
    </xf>
    <xf numFmtId="0" fontId="23" fillId="0" borderId="10" xfId="0" applyFont="1" applyBorder="1" applyAlignment="1">
      <alignment horizontal="left" vertical="center" wrapText="1"/>
    </xf>
    <xf numFmtId="0" fontId="29" fillId="0" borderId="10" xfId="0" applyFont="1" applyBorder="1" applyAlignment="1">
      <alignment horizontal="center" vertical="center" wrapText="1" shrinkToFit="1"/>
    </xf>
    <xf numFmtId="1" fontId="23" fillId="0" borderId="0" xfId="0" applyNumberFormat="1" applyFont="1" applyBorder="1" applyAlignment="1">
      <alignment horizontal="center" vertical="center"/>
    </xf>
    <xf numFmtId="2" fontId="23" fillId="0" borderId="0" xfId="0" applyNumberFormat="1" applyFont="1" applyBorder="1" applyAlignment="1">
      <alignment horizontal="center" vertical="center" shrinkToFit="1"/>
    </xf>
    <xf numFmtId="0" fontId="115" fillId="0" borderId="17" xfId="0" applyFont="1" applyBorder="1" applyAlignment="1">
      <alignment horizontal="center" vertical="center" wrapText="1"/>
    </xf>
    <xf numFmtId="0" fontId="3" fillId="0" borderId="0" xfId="0" applyFont="1" applyAlignment="1">
      <alignment vertical="top"/>
    </xf>
    <xf numFmtId="1" fontId="23" fillId="0" borderId="0" xfId="0" applyNumberFormat="1" applyFont="1" applyAlignment="1">
      <alignment vertical="center"/>
    </xf>
    <xf numFmtId="165" fontId="52" fillId="0" borderId="0" xfId="0" applyNumberFormat="1" applyFont="1" applyBorder="1" applyAlignment="1">
      <alignment horizontal="center" vertical="center" shrinkToFit="1"/>
    </xf>
    <xf numFmtId="0" fontId="6" fillId="0" borderId="0" xfId="0" applyFont="1" applyBorder="1" applyAlignment="1">
      <alignment horizontal="center" vertical="top" wrapText="1"/>
    </xf>
    <xf numFmtId="0" fontId="6" fillId="0" borderId="0" xfId="0" applyFont="1" applyAlignment="1">
      <alignment horizontal="center" vertical="center"/>
    </xf>
    <xf numFmtId="0" fontId="52" fillId="0" borderId="0" xfId="0" applyFont="1" applyBorder="1" applyAlignment="1">
      <alignment horizontal="center" vertical="center" shrinkToFit="1"/>
    </xf>
    <xf numFmtId="165" fontId="23" fillId="0" borderId="0" xfId="0" applyNumberFormat="1" applyFont="1" applyAlignment="1">
      <alignment horizontal="center" vertical="center" shrinkToFit="1"/>
    </xf>
    <xf numFmtId="165" fontId="23" fillId="0" borderId="0" xfId="0" applyNumberFormat="1" applyFont="1" applyAlignment="1">
      <alignment vertical="center" shrinkToFit="1"/>
    </xf>
    <xf numFmtId="0" fontId="23" fillId="0" borderId="0" xfId="0" applyFont="1" applyBorder="1" applyAlignment="1">
      <alignment horizontal="justify" vertical="center" wrapText="1"/>
    </xf>
    <xf numFmtId="0" fontId="29" fillId="0" borderId="10" xfId="0" applyFont="1" applyBorder="1" applyAlignment="1">
      <alignment vertical="top" shrinkToFit="1"/>
    </xf>
    <xf numFmtId="0" fontId="52" fillId="0" borderId="17" xfId="0" applyFont="1" applyBorder="1" applyAlignment="1">
      <alignment horizontal="center" vertical="center" shrinkToFit="1"/>
    </xf>
    <xf numFmtId="0" fontId="29" fillId="0" borderId="0" xfId="0" applyFont="1" applyBorder="1" applyAlignment="1">
      <alignment vertical="center"/>
    </xf>
    <xf numFmtId="0" fontId="23" fillId="0" borderId="0" xfId="0" quotePrefix="1" applyFont="1" applyAlignment="1">
      <alignment vertical="center"/>
    </xf>
    <xf numFmtId="0" fontId="23" fillId="0" borderId="0" xfId="0" applyNumberFormat="1" applyFont="1" applyAlignment="1">
      <alignment vertical="center"/>
    </xf>
    <xf numFmtId="0" fontId="52" fillId="0" borderId="0" xfId="0" applyFont="1" applyAlignment="1">
      <alignment vertical="center"/>
    </xf>
    <xf numFmtId="0" fontId="0" fillId="0" borderId="20" xfId="0" applyFont="1" applyBorder="1" applyAlignment="1">
      <alignment vertical="center"/>
    </xf>
    <xf numFmtId="0" fontId="0" fillId="0" borderId="20" xfId="0" applyFont="1" applyFill="1" applyBorder="1" applyAlignment="1">
      <alignment vertical="center"/>
    </xf>
    <xf numFmtId="0" fontId="0" fillId="0" borderId="20" xfId="0" applyFont="1" applyBorder="1" applyAlignment="1">
      <alignment vertical="center" wrapText="1"/>
    </xf>
    <xf numFmtId="0" fontId="0" fillId="0" borderId="0" xfId="0" applyFont="1" applyBorder="1" applyAlignment="1">
      <alignment vertical="center" wrapText="1"/>
    </xf>
    <xf numFmtId="0" fontId="0" fillId="0" borderId="20" xfId="0" applyFont="1" applyFill="1" applyBorder="1" applyAlignment="1">
      <alignment vertical="center" wrapText="1"/>
    </xf>
    <xf numFmtId="0" fontId="0" fillId="0" borderId="20" xfId="0" applyFont="1" applyFill="1" applyBorder="1" applyAlignment="1">
      <alignment vertical="center" shrinkToFit="1"/>
    </xf>
    <xf numFmtId="165" fontId="23" fillId="0" borderId="0" xfId="0" applyNumberFormat="1" applyFont="1" applyAlignment="1">
      <alignment horizontal="left" vertical="center"/>
    </xf>
    <xf numFmtId="0" fontId="29" fillId="0" borderId="0" xfId="0" applyFont="1" applyBorder="1" applyAlignment="1">
      <alignment horizontal="left" vertical="top" wrapText="1"/>
    </xf>
    <xf numFmtId="0" fontId="23" fillId="0" borderId="0" xfId="0" applyFont="1" applyAlignment="1">
      <alignment horizontal="left" vertical="center"/>
    </xf>
    <xf numFmtId="0" fontId="23" fillId="0" borderId="0" xfId="0" applyFont="1" applyAlignment="1">
      <alignment horizontal="justify" vertical="center" wrapText="1"/>
    </xf>
    <xf numFmtId="0" fontId="23" fillId="0" borderId="0" xfId="0" applyFont="1" applyAlignment="1">
      <alignment horizontal="justify" vertical="center"/>
    </xf>
    <xf numFmtId="0" fontId="23" fillId="0" borderId="0" xfId="0" applyFont="1" applyAlignment="1">
      <alignment vertical="center"/>
    </xf>
    <xf numFmtId="0" fontId="52" fillId="0" borderId="17" xfId="0" applyFont="1" applyBorder="1" applyAlignment="1">
      <alignment horizontal="center" vertical="center"/>
    </xf>
    <xf numFmtId="0" fontId="23" fillId="0" borderId="17" xfId="0" applyFont="1" applyBorder="1" applyAlignment="1">
      <alignment horizontal="center" vertical="center"/>
    </xf>
    <xf numFmtId="0" fontId="23" fillId="0" borderId="17" xfId="0" applyFont="1" applyBorder="1" applyAlignment="1">
      <alignment horizontal="center" vertical="center" shrinkToFit="1"/>
    </xf>
    <xf numFmtId="0" fontId="21" fillId="0" borderId="17" xfId="0" applyFont="1" applyBorder="1" applyAlignment="1">
      <alignment horizontal="center" vertical="center"/>
    </xf>
    <xf numFmtId="0" fontId="29" fillId="0" borderId="0" xfId="0" applyFont="1" applyBorder="1" applyAlignment="1">
      <alignment horizontal="justify" vertical="top"/>
    </xf>
    <xf numFmtId="0" fontId="29" fillId="0" borderId="0" xfId="0" applyFont="1" applyAlignment="1">
      <alignment horizontal="center" vertical="center"/>
    </xf>
    <xf numFmtId="0" fontId="23" fillId="0" borderId="0" xfId="0" applyFont="1" applyAlignment="1">
      <alignment horizontal="center" vertical="center"/>
    </xf>
    <xf numFmtId="0" fontId="23" fillId="0" borderId="0" xfId="0" applyFont="1" applyAlignment="1">
      <alignment horizontal="justify" vertical="top" wrapText="1"/>
    </xf>
    <xf numFmtId="0" fontId="23" fillId="0" borderId="12" xfId="0" applyFont="1" applyBorder="1" applyAlignment="1">
      <alignment horizontal="center" vertical="center" wrapText="1"/>
    </xf>
    <xf numFmtId="0" fontId="6" fillId="0" borderId="17" xfId="0" applyFont="1" applyBorder="1" applyAlignment="1">
      <alignment horizontal="center" vertical="center"/>
    </xf>
    <xf numFmtId="0" fontId="29" fillId="0" borderId="0" xfId="0" applyFont="1" applyBorder="1" applyAlignment="1">
      <alignment horizontal="left" vertical="top"/>
    </xf>
    <xf numFmtId="0" fontId="23" fillId="0" borderId="17" xfId="0" applyFont="1" applyBorder="1" applyAlignment="1">
      <alignment horizontal="center" vertical="center" wrapText="1"/>
    </xf>
    <xf numFmtId="0" fontId="21" fillId="0" borderId="17" xfId="0" applyFont="1" applyBorder="1" applyAlignment="1">
      <alignment horizontal="center" vertical="center" wrapText="1"/>
    </xf>
    <xf numFmtId="14" fontId="29" fillId="0" borderId="0" xfId="0" applyNumberFormat="1" applyFont="1" applyAlignment="1">
      <alignment horizontal="center" vertical="center"/>
    </xf>
    <xf numFmtId="0" fontId="23" fillId="0" borderId="0" xfId="0" applyFont="1" applyAlignment="1">
      <alignment horizontal="center" vertical="center" wrapText="1"/>
    </xf>
    <xf numFmtId="0" fontId="23" fillId="0" borderId="0" xfId="0" applyFont="1" applyBorder="1" applyAlignment="1">
      <alignment horizontal="left" vertical="top" wrapText="1"/>
    </xf>
    <xf numFmtId="14" fontId="29" fillId="0" borderId="0" xfId="0" applyNumberFormat="1" applyFont="1" applyAlignment="1" applyProtection="1">
      <alignment horizontal="center" vertical="center"/>
    </xf>
    <xf numFmtId="0" fontId="21" fillId="0" borderId="0" xfId="0" applyNumberFormat="1" applyFont="1" applyBorder="1" applyAlignment="1" applyProtection="1">
      <alignment vertical="center"/>
    </xf>
    <xf numFmtId="0" fontId="23" fillId="0" borderId="0" xfId="0" applyNumberFormat="1" applyFont="1" applyBorder="1" applyAlignment="1" applyProtection="1">
      <alignment vertical="center" wrapText="1"/>
    </xf>
    <xf numFmtId="0" fontId="116" fillId="0" borderId="0" xfId="0" applyFont="1" applyProtection="1"/>
    <xf numFmtId="174" fontId="23" fillId="0" borderId="0" xfId="0" applyNumberFormat="1" applyFont="1" applyAlignment="1" applyProtection="1">
      <alignment vertical="center"/>
    </xf>
    <xf numFmtId="0" fontId="23" fillId="0" borderId="0" xfId="0" applyFont="1" applyAlignment="1">
      <alignment vertical="center"/>
    </xf>
    <xf numFmtId="0" fontId="23" fillId="0" borderId="0" xfId="0" applyFont="1" applyAlignment="1">
      <alignment vertical="center"/>
    </xf>
    <xf numFmtId="0" fontId="52" fillId="0" borderId="9" xfId="0" applyFont="1" applyBorder="1" applyAlignment="1">
      <alignment vertical="center"/>
    </xf>
    <xf numFmtId="0" fontId="52" fillId="0" borderId="11" xfId="0" applyFont="1" applyBorder="1" applyAlignment="1">
      <alignment vertical="center"/>
    </xf>
    <xf numFmtId="0" fontId="52" fillId="0" borderId="14" xfId="0" applyFont="1" applyBorder="1" applyAlignment="1">
      <alignment vertical="center"/>
    </xf>
    <xf numFmtId="0" fontId="52" fillId="0" borderId="16" xfId="0" applyFont="1" applyBorder="1" applyAlignment="1">
      <alignment vertical="center"/>
    </xf>
    <xf numFmtId="0" fontId="23" fillId="0" borderId="0" xfId="0" applyFont="1" applyAlignment="1">
      <alignment horizontal="left" vertical="center"/>
    </xf>
    <xf numFmtId="0" fontId="23" fillId="0" borderId="0" xfId="0" applyFont="1" applyAlignment="1">
      <alignment vertical="center"/>
    </xf>
    <xf numFmtId="0" fontId="29" fillId="0" borderId="0" xfId="0" applyFont="1" applyAlignment="1" applyProtection="1">
      <alignment horizontal="center" vertical="center"/>
    </xf>
    <xf numFmtId="0" fontId="23" fillId="0" borderId="0" xfId="0" applyFont="1" applyAlignment="1" applyProtection="1">
      <alignment vertical="center"/>
    </xf>
    <xf numFmtId="0" fontId="23" fillId="0" borderId="0" xfId="0" applyFont="1" applyAlignment="1" applyProtection="1">
      <alignment horizontal="justify" vertical="center" wrapText="1"/>
    </xf>
    <xf numFmtId="0" fontId="29" fillId="0" borderId="0" xfId="0" applyFont="1" applyAlignment="1" applyProtection="1">
      <alignment horizontal="left" vertical="center"/>
    </xf>
    <xf numFmtId="0" fontId="23" fillId="0" borderId="0" xfId="0" applyFont="1" applyAlignment="1" applyProtection="1">
      <alignment horizontal="justify" vertical="center"/>
    </xf>
    <xf numFmtId="0" fontId="23" fillId="0" borderId="0" xfId="0" applyFont="1" applyAlignment="1">
      <alignment horizontal="left" vertical="center"/>
    </xf>
    <xf numFmtId="14" fontId="23" fillId="0" borderId="0" xfId="0" applyNumberFormat="1" applyFont="1" applyAlignment="1">
      <alignment horizontal="left" vertical="center"/>
    </xf>
    <xf numFmtId="0" fontId="23" fillId="0" borderId="0" xfId="0" applyFont="1" applyAlignment="1">
      <alignment horizontal="left" vertical="center" shrinkToFit="1"/>
    </xf>
    <xf numFmtId="0" fontId="23" fillId="0" borderId="0" xfId="0" applyFont="1" applyAlignment="1">
      <alignment horizontal="left" vertical="center"/>
    </xf>
    <xf numFmtId="0" fontId="23" fillId="0" borderId="0" xfId="0" applyFont="1" applyAlignment="1">
      <alignment vertical="center"/>
    </xf>
    <xf numFmtId="14" fontId="23" fillId="0" borderId="0" xfId="0" applyNumberFormat="1" applyFont="1" applyAlignment="1">
      <alignment horizontal="left" vertical="center" shrinkToFit="1"/>
    </xf>
    <xf numFmtId="0" fontId="23" fillId="0" borderId="0" xfId="0" applyFont="1" applyAlignment="1">
      <alignment horizontal="justify" vertical="center" wrapText="1"/>
    </xf>
    <xf numFmtId="0" fontId="29" fillId="0" borderId="0" xfId="0" applyFont="1" applyBorder="1" applyAlignment="1">
      <alignment horizontal="justify" vertical="top" wrapText="1"/>
    </xf>
    <xf numFmtId="0" fontId="52" fillId="0" borderId="17" xfId="0" applyFont="1" applyBorder="1" applyAlignment="1">
      <alignment horizontal="center" vertical="center"/>
    </xf>
    <xf numFmtId="0" fontId="23" fillId="0" borderId="0" xfId="0" applyFont="1" applyAlignment="1">
      <alignment vertical="center"/>
    </xf>
    <xf numFmtId="0" fontId="23" fillId="0" borderId="0" xfId="0" applyFont="1" applyAlignment="1">
      <alignment horizontal="left" vertical="center"/>
    </xf>
    <xf numFmtId="0" fontId="23" fillId="0" borderId="0" xfId="0" applyFont="1" applyAlignment="1">
      <alignment horizontal="center" vertical="center"/>
    </xf>
    <xf numFmtId="0" fontId="23" fillId="0" borderId="0" xfId="0" applyFont="1" applyAlignment="1">
      <alignment horizontal="justify" vertical="top" wrapText="1"/>
    </xf>
    <xf numFmtId="0" fontId="29" fillId="0" borderId="0" xfId="0" applyFont="1" applyAlignment="1">
      <alignment horizontal="center" vertical="center"/>
    </xf>
    <xf numFmtId="14" fontId="23" fillId="0" borderId="0" xfId="0" applyNumberFormat="1" applyFont="1" applyAlignment="1">
      <alignment horizontal="left" vertical="center"/>
    </xf>
    <xf numFmtId="14" fontId="29" fillId="0" borderId="0" xfId="0" applyNumberFormat="1" applyFont="1" applyAlignment="1">
      <alignment horizontal="center" vertical="center"/>
    </xf>
    <xf numFmtId="0" fontId="23" fillId="0" borderId="0" xfId="0" applyFont="1" applyAlignment="1">
      <alignment horizontal="center"/>
    </xf>
    <xf numFmtId="0" fontId="23" fillId="0" borderId="0" xfId="0" applyFont="1" applyAlignment="1">
      <alignment horizontal="center" vertical="center" wrapText="1"/>
    </xf>
    <xf numFmtId="0" fontId="0" fillId="0" borderId="17" xfId="0" applyFont="1" applyBorder="1" applyAlignment="1">
      <alignment horizontal="center" vertical="center"/>
    </xf>
    <xf numFmtId="14" fontId="6" fillId="0" borderId="17" xfId="0" applyNumberFormat="1" applyFont="1" applyFill="1" applyBorder="1" applyAlignment="1">
      <alignment horizontal="center" vertical="center" shrinkToFit="1"/>
    </xf>
    <xf numFmtId="0" fontId="0" fillId="6" borderId="27" xfId="0" applyFill="1" applyBorder="1" applyAlignment="1" applyProtection="1">
      <alignment vertical="center"/>
    </xf>
    <xf numFmtId="0" fontId="0" fillId="22" borderId="37" xfId="0" applyFill="1" applyBorder="1" applyAlignment="1" applyProtection="1">
      <alignment vertical="center"/>
    </xf>
    <xf numFmtId="0" fontId="23" fillId="0" borderId="0" xfId="0" applyFont="1" applyAlignment="1">
      <alignment vertical="center"/>
    </xf>
    <xf numFmtId="0" fontId="29" fillId="0" borderId="17" xfId="0" applyFont="1" applyBorder="1" applyAlignment="1">
      <alignment vertical="center" wrapText="1"/>
    </xf>
    <xf numFmtId="0" fontId="115" fillId="0" borderId="17" xfId="0" applyFont="1" applyBorder="1" applyAlignment="1">
      <alignment vertical="center" wrapText="1"/>
    </xf>
    <xf numFmtId="0" fontId="52" fillId="0" borderId="0" xfId="0" applyFont="1" applyFill="1" applyBorder="1" applyAlignment="1">
      <alignment horizontal="center" vertical="center"/>
    </xf>
    <xf numFmtId="0" fontId="1" fillId="0" borderId="17" xfId="0" applyFont="1" applyBorder="1" applyAlignment="1">
      <alignment vertical="center"/>
    </xf>
    <xf numFmtId="0" fontId="52" fillId="0" borderId="17" xfId="0" applyFont="1" applyBorder="1" applyAlignment="1">
      <alignment vertical="center" shrinkToFit="1"/>
    </xf>
    <xf numFmtId="0" fontId="52" fillId="0" borderId="0" xfId="0" applyFont="1" applyFill="1" applyBorder="1" applyAlignment="1">
      <alignment horizontal="center" vertical="center" shrinkToFit="1"/>
    </xf>
    <xf numFmtId="165" fontId="23" fillId="0" borderId="0" xfId="0" applyNumberFormat="1" applyFont="1" applyFill="1" applyBorder="1" applyAlignment="1">
      <alignment horizontal="center" vertical="center" shrinkToFit="1"/>
    </xf>
    <xf numFmtId="0" fontId="3" fillId="0" borderId="0" xfId="0" applyFont="1" applyAlignment="1">
      <alignment vertical="center"/>
    </xf>
    <xf numFmtId="2" fontId="52" fillId="0" borderId="0" xfId="0" applyNumberFormat="1" applyFont="1" applyBorder="1" applyAlignment="1">
      <alignment horizontal="center" vertical="center" shrinkToFit="1"/>
    </xf>
    <xf numFmtId="2" fontId="52" fillId="0" borderId="0" xfId="0" applyNumberFormat="1" applyFont="1" applyFill="1" applyBorder="1" applyAlignment="1">
      <alignment horizontal="center" vertical="center" shrinkToFit="1"/>
    </xf>
    <xf numFmtId="164" fontId="23" fillId="0" borderId="0" xfId="0" applyNumberFormat="1" applyFont="1" applyFill="1" applyBorder="1" applyAlignment="1">
      <alignment horizontal="center" vertical="center" shrinkToFit="1"/>
    </xf>
    <xf numFmtId="0" fontId="52" fillId="0" borderId="0" xfId="0" applyFont="1" applyBorder="1" applyAlignment="1">
      <alignment horizontal="left" vertical="center" shrinkToFit="1"/>
    </xf>
    <xf numFmtId="0" fontId="23" fillId="0" borderId="0" xfId="0" applyFont="1" applyFill="1" applyAlignment="1">
      <alignment vertical="center" shrinkToFit="1"/>
    </xf>
    <xf numFmtId="0" fontId="108" fillId="0" borderId="0" xfId="0" applyFont="1" applyBorder="1" applyAlignment="1">
      <alignment horizontal="center" vertical="center" shrinkToFit="1"/>
    </xf>
    <xf numFmtId="0" fontId="112" fillId="0" borderId="0" xfId="0" applyFont="1" applyAlignment="1">
      <alignment vertical="center" shrinkToFit="1"/>
    </xf>
    <xf numFmtId="165" fontId="112" fillId="0" borderId="0" xfId="0" applyNumberFormat="1" applyFont="1" applyBorder="1" applyAlignment="1">
      <alignment horizontal="center" vertical="center" shrinkToFit="1"/>
    </xf>
    <xf numFmtId="165" fontId="23" fillId="0" borderId="0" xfId="0" applyNumberFormat="1" applyFont="1" applyAlignment="1">
      <alignment horizontal="center" vertical="center"/>
    </xf>
    <xf numFmtId="1" fontId="52" fillId="0" borderId="0" xfId="0" applyNumberFormat="1" applyFont="1" applyBorder="1" applyAlignment="1">
      <alignment horizontal="center" vertical="center" shrinkToFit="1"/>
    </xf>
    <xf numFmtId="0" fontId="23" fillId="0" borderId="0" xfId="0" applyNumberFormat="1" applyFont="1" applyBorder="1" applyAlignment="1">
      <alignment horizontal="center" vertical="center" shrinkToFit="1"/>
    </xf>
    <xf numFmtId="2" fontId="23" fillId="0" borderId="17" xfId="0" applyNumberFormat="1" applyFont="1" applyFill="1" applyBorder="1" applyAlignment="1">
      <alignment horizontal="center" vertical="center" shrinkToFit="1"/>
    </xf>
    <xf numFmtId="0" fontId="23" fillId="2" borderId="0" xfId="0" applyFont="1" applyFill="1" applyAlignment="1">
      <alignment horizontal="center" vertical="center"/>
    </xf>
    <xf numFmtId="0" fontId="28" fillId="0" borderId="17" xfId="0" applyFont="1" applyBorder="1" applyAlignment="1">
      <alignment horizontal="center" vertical="center" shrinkToFit="1"/>
    </xf>
    <xf numFmtId="0" fontId="23" fillId="0" borderId="0" xfId="0" applyFont="1" applyAlignment="1">
      <alignment vertical="center"/>
    </xf>
    <xf numFmtId="0" fontId="23" fillId="0" borderId="0" xfId="0" applyFont="1" applyAlignment="1">
      <alignment horizontal="left" vertical="center"/>
    </xf>
    <xf numFmtId="0" fontId="23" fillId="0" borderId="0" xfId="0" applyFont="1" applyAlignment="1">
      <alignment vertical="center"/>
    </xf>
    <xf numFmtId="2" fontId="23" fillId="0" borderId="17" xfId="0" applyNumberFormat="1" applyFont="1" applyBorder="1" applyAlignment="1">
      <alignment horizontal="center" vertical="center"/>
    </xf>
    <xf numFmtId="10" fontId="23" fillId="0" borderId="0" xfId="0" applyNumberFormat="1" applyFont="1" applyBorder="1" applyAlignment="1">
      <alignment horizontal="center" vertical="center"/>
    </xf>
    <xf numFmtId="0" fontId="23" fillId="0" borderId="0" xfId="0" applyFont="1" applyAlignment="1">
      <alignment vertical="center"/>
    </xf>
    <xf numFmtId="0" fontId="21" fillId="0" borderId="17" xfId="0" applyFont="1" applyBorder="1" applyAlignment="1">
      <alignment horizontal="center" vertical="center"/>
    </xf>
    <xf numFmtId="0" fontId="23" fillId="0" borderId="0" xfId="0" applyFont="1" applyAlignment="1">
      <alignment vertical="center"/>
    </xf>
    <xf numFmtId="0" fontId="22" fillId="0" borderId="0" xfId="0" applyFont="1" applyAlignment="1">
      <alignment horizontal="left" vertical="center"/>
    </xf>
    <xf numFmtId="0" fontId="23" fillId="0" borderId="0" xfId="0" applyFont="1" applyAlignment="1">
      <alignment vertical="center"/>
    </xf>
    <xf numFmtId="0" fontId="0" fillId="5" borderId="32" xfId="0" applyFill="1" applyBorder="1" applyAlignment="1" applyProtection="1">
      <alignment horizontal="center" vertical="center"/>
      <protection locked="0"/>
    </xf>
    <xf numFmtId="0" fontId="0" fillId="5" borderId="45" xfId="0" applyFill="1" applyBorder="1" applyAlignment="1" applyProtection="1">
      <alignment horizontal="center" vertical="center"/>
      <protection locked="0"/>
    </xf>
    <xf numFmtId="0" fontId="23" fillId="0" borderId="17" xfId="0" applyFont="1" applyBorder="1" applyAlignment="1">
      <alignment horizontal="center" vertical="center" shrinkToFit="1"/>
    </xf>
    <xf numFmtId="0" fontId="52" fillId="0" borderId="17" xfId="0" applyFont="1" applyBorder="1" applyAlignment="1">
      <alignment horizontal="center" vertical="center"/>
    </xf>
    <xf numFmtId="0" fontId="6" fillId="0" borderId="17" xfId="0" applyFont="1" applyBorder="1" applyAlignment="1">
      <alignment horizontal="center" vertical="center"/>
    </xf>
    <xf numFmtId="0" fontId="29" fillId="0" borderId="17" xfId="0" applyFont="1" applyBorder="1" applyAlignment="1">
      <alignment horizontal="center" vertical="center" wrapText="1"/>
    </xf>
    <xf numFmtId="0" fontId="6" fillId="0" borderId="17" xfId="0" applyFont="1" applyBorder="1" applyAlignment="1">
      <alignment horizontal="center" vertical="center" wrapText="1" shrinkToFit="1"/>
    </xf>
    <xf numFmtId="0" fontId="0" fillId="0" borderId="17" xfId="0" applyFont="1" applyBorder="1" applyAlignment="1">
      <alignment horizontal="center" vertical="center" shrinkToFit="1"/>
    </xf>
    <xf numFmtId="0" fontId="23" fillId="0" borderId="0" xfId="0" applyFont="1" applyAlignment="1">
      <alignment horizontal="left" vertical="center"/>
    </xf>
    <xf numFmtId="0" fontId="23" fillId="0" borderId="0" xfId="0" applyFont="1" applyAlignment="1">
      <alignment vertical="center"/>
    </xf>
    <xf numFmtId="0" fontId="23" fillId="0" borderId="0" xfId="0" applyFont="1" applyAlignment="1">
      <alignment horizontal="left" vertical="center" wrapText="1"/>
    </xf>
    <xf numFmtId="0" fontId="0" fillId="0" borderId="17" xfId="0" applyFont="1" applyBorder="1" applyAlignment="1">
      <alignment vertical="center"/>
    </xf>
    <xf numFmtId="0" fontId="0" fillId="4" borderId="17" xfId="0" applyFill="1" applyBorder="1" applyAlignment="1" applyProtection="1">
      <alignment horizontal="center" vertical="center"/>
      <protection locked="0"/>
    </xf>
    <xf numFmtId="14" fontId="6" fillId="0" borderId="17" xfId="0" applyNumberFormat="1" applyFont="1" applyFill="1" applyBorder="1" applyAlignment="1">
      <alignment horizontal="center" vertical="center" shrinkToFit="1"/>
    </xf>
    <xf numFmtId="0" fontId="23" fillId="0" borderId="0" xfId="0" applyFont="1" applyAlignment="1">
      <alignment vertical="center"/>
    </xf>
    <xf numFmtId="14" fontId="6" fillId="0" borderId="17" xfId="0" applyNumberFormat="1" applyFont="1" applyFill="1" applyBorder="1" applyAlignment="1">
      <alignment horizontal="center" vertical="center" shrinkToFit="1"/>
    </xf>
    <xf numFmtId="0" fontId="1" fillId="0" borderId="17" xfId="0" applyFont="1" applyBorder="1" applyAlignment="1" applyProtection="1">
      <alignment horizontal="center" vertical="center" wrapText="1"/>
    </xf>
    <xf numFmtId="0" fontId="23" fillId="0" borderId="0" xfId="0" applyFont="1" applyAlignment="1">
      <alignment vertical="center"/>
    </xf>
    <xf numFmtId="0" fontId="53" fillId="0" borderId="17" xfId="0" applyFont="1" applyBorder="1" applyAlignment="1" applyProtection="1">
      <alignment horizontal="center" vertical="center"/>
    </xf>
    <xf numFmtId="0" fontId="23" fillId="0" borderId="17" xfId="0" applyFont="1" applyFill="1" applyBorder="1" applyAlignment="1">
      <alignment horizontal="center" vertical="center" shrinkToFit="1"/>
    </xf>
    <xf numFmtId="0" fontId="1" fillId="6" borderId="39" xfId="0" applyFont="1" applyFill="1" applyBorder="1" applyAlignment="1" applyProtection="1">
      <alignment horizontal="left" vertical="center"/>
    </xf>
    <xf numFmtId="0" fontId="1" fillId="6" borderId="40" xfId="0" applyFont="1" applyFill="1" applyBorder="1" applyAlignment="1" applyProtection="1">
      <alignment horizontal="left" vertical="center"/>
    </xf>
    <xf numFmtId="0" fontId="1" fillId="0" borderId="38" xfId="0" applyFont="1" applyBorder="1" applyAlignment="1" applyProtection="1">
      <alignment vertical="center"/>
    </xf>
    <xf numFmtId="0" fontId="1" fillId="0" borderId="17" xfId="0" applyFont="1" applyBorder="1" applyAlignment="1" applyProtection="1">
      <alignment vertical="center"/>
    </xf>
    <xf numFmtId="0" fontId="1" fillId="0" borderId="38" xfId="0" applyFont="1" applyFill="1" applyBorder="1" applyAlignment="1" applyProtection="1">
      <alignment horizontal="left" vertical="center"/>
    </xf>
    <xf numFmtId="0" fontId="1" fillId="0" borderId="17" xfId="0" applyFont="1" applyFill="1" applyBorder="1" applyAlignment="1" applyProtection="1">
      <alignment horizontal="left" vertical="center"/>
    </xf>
    <xf numFmtId="0" fontId="1" fillId="6" borderId="23" xfId="0" applyFont="1" applyFill="1" applyBorder="1" applyAlignment="1" applyProtection="1">
      <alignment horizontal="center" vertical="center" shrinkToFit="1"/>
    </xf>
    <xf numFmtId="0" fontId="1" fillId="6" borderId="24" xfId="0" applyFont="1" applyFill="1" applyBorder="1" applyAlignment="1" applyProtection="1">
      <alignment horizontal="center" vertical="center" shrinkToFit="1"/>
    </xf>
    <xf numFmtId="0" fontId="1" fillId="0" borderId="29" xfId="0" applyFont="1" applyBorder="1" applyAlignment="1" applyProtection="1">
      <alignment horizontal="center" vertical="center"/>
    </xf>
    <xf numFmtId="0" fontId="1" fillId="0" borderId="32" xfId="0" applyFont="1" applyBorder="1" applyAlignment="1" applyProtection="1">
      <alignment horizontal="center" vertical="center"/>
    </xf>
    <xf numFmtId="0" fontId="26" fillId="3" borderId="23" xfId="0" applyFont="1" applyFill="1" applyBorder="1" applyAlignment="1" applyProtection="1">
      <alignment horizontal="center" vertical="center"/>
    </xf>
    <xf numFmtId="0" fontId="26" fillId="3" borderId="24" xfId="0" applyFont="1" applyFill="1" applyBorder="1" applyAlignment="1" applyProtection="1">
      <alignment horizontal="center" vertical="center"/>
    </xf>
    <xf numFmtId="0" fontId="26" fillId="3" borderId="25" xfId="0" applyFont="1" applyFill="1" applyBorder="1" applyAlignment="1" applyProtection="1">
      <alignment horizontal="center" vertical="center"/>
    </xf>
    <xf numFmtId="0" fontId="27" fillId="0" borderId="23" xfId="0" applyFont="1" applyFill="1" applyBorder="1" applyAlignment="1" applyProtection="1">
      <alignment horizontal="center" vertical="center"/>
    </xf>
    <xf numFmtId="0" fontId="27" fillId="0" borderId="25" xfId="0" applyFont="1" applyFill="1" applyBorder="1" applyAlignment="1" applyProtection="1">
      <alignment horizontal="center" vertical="center"/>
    </xf>
    <xf numFmtId="0" fontId="1" fillId="0" borderId="26" xfId="0" applyFont="1" applyBorder="1" applyAlignment="1" applyProtection="1">
      <alignment horizontal="center" vertical="center"/>
    </xf>
    <xf numFmtId="0" fontId="1" fillId="0" borderId="56" xfId="0" applyFont="1" applyBorder="1" applyAlignment="1" applyProtection="1">
      <alignment horizontal="left" vertical="center"/>
    </xf>
    <xf numFmtId="0" fontId="1" fillId="0" borderId="11" xfId="0" applyFont="1" applyBorder="1" applyAlignment="1" applyProtection="1">
      <alignment horizontal="left" vertical="center"/>
    </xf>
    <xf numFmtId="0" fontId="0" fillId="6" borderId="23" xfId="0" applyFill="1" applyBorder="1" applyAlignment="1" applyProtection="1">
      <alignment horizontal="center" vertical="center"/>
      <protection locked="0"/>
    </xf>
    <xf numFmtId="0" fontId="0" fillId="6" borderId="24" xfId="0" applyFill="1" applyBorder="1" applyAlignment="1" applyProtection="1">
      <alignment horizontal="center" vertical="center"/>
      <protection locked="0"/>
    </xf>
    <xf numFmtId="0" fontId="0" fillId="6" borderId="25" xfId="0" applyFill="1" applyBorder="1" applyAlignment="1" applyProtection="1">
      <alignment horizontal="center" vertical="center"/>
      <protection locked="0"/>
    </xf>
    <xf numFmtId="0" fontId="1" fillId="0" borderId="28" xfId="0" applyFont="1" applyBorder="1" applyAlignment="1" applyProtection="1">
      <alignment horizontal="center" vertical="center" wrapText="1"/>
    </xf>
    <xf numFmtId="0" fontId="1" fillId="0" borderId="34" xfId="0" applyFont="1" applyBorder="1" applyAlignment="1" applyProtection="1">
      <alignment horizontal="center" vertical="center" wrapText="1"/>
    </xf>
    <xf numFmtId="14" fontId="0" fillId="4" borderId="28" xfId="0" applyNumberFormat="1" applyFill="1" applyBorder="1" applyAlignment="1" applyProtection="1">
      <alignment horizontal="center" vertical="center"/>
      <protection locked="0"/>
    </xf>
    <xf numFmtId="14" fontId="0" fillId="4" borderId="50" xfId="0" applyNumberFormat="1" applyFill="1" applyBorder="1" applyAlignment="1" applyProtection="1">
      <alignment horizontal="center" vertical="center"/>
      <protection locked="0"/>
    </xf>
    <xf numFmtId="0" fontId="35" fillId="6" borderId="4" xfId="0" applyFont="1" applyFill="1" applyBorder="1" applyAlignment="1" applyProtection="1">
      <alignment horizontal="center" vertical="center" wrapText="1"/>
    </xf>
    <xf numFmtId="0" fontId="35" fillId="6" borderId="5" xfId="0" applyFont="1" applyFill="1" applyBorder="1" applyAlignment="1" applyProtection="1">
      <alignment horizontal="center" vertical="center" wrapText="1"/>
    </xf>
    <xf numFmtId="0" fontId="1" fillId="0" borderId="23" xfId="0" applyFont="1" applyBorder="1" applyAlignment="1" applyProtection="1">
      <alignment horizontal="center" vertical="center"/>
    </xf>
    <xf numFmtId="0" fontId="1" fillId="0" borderId="24" xfId="0" applyFont="1" applyBorder="1" applyAlignment="1" applyProtection="1">
      <alignment horizontal="center" vertical="center"/>
    </xf>
    <xf numFmtId="0" fontId="1" fillId="0" borderId="25" xfId="0" applyFont="1" applyBorder="1" applyAlignment="1" applyProtection="1">
      <alignment horizontal="center" vertical="center"/>
    </xf>
    <xf numFmtId="0" fontId="21" fillId="0" borderId="20" xfId="0" applyFont="1" applyBorder="1" applyAlignment="1">
      <alignment horizontal="center"/>
    </xf>
    <xf numFmtId="0" fontId="21" fillId="0" borderId="22" xfId="0" applyFont="1" applyBorder="1" applyAlignment="1">
      <alignment horizontal="center"/>
    </xf>
    <xf numFmtId="0" fontId="2" fillId="3" borderId="15" xfId="0" applyFont="1" applyFill="1" applyBorder="1" applyAlignment="1">
      <alignment horizontal="center"/>
    </xf>
    <xf numFmtId="0" fontId="1" fillId="17" borderId="1" xfId="0" applyFont="1" applyFill="1" applyBorder="1" applyAlignment="1">
      <alignment horizontal="center"/>
    </xf>
    <xf numFmtId="0" fontId="1" fillId="17" borderId="2" xfId="0" applyFont="1" applyFill="1" applyBorder="1" applyAlignment="1">
      <alignment horizontal="center"/>
    </xf>
    <xf numFmtId="0" fontId="1" fillId="17" borderId="3" xfId="0" applyFont="1" applyFill="1"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2" fillId="3" borderId="9" xfId="0" applyFont="1" applyFill="1" applyBorder="1" applyAlignment="1">
      <alignment horizontal="center"/>
    </xf>
    <xf numFmtId="0" fontId="2" fillId="3" borderId="10" xfId="0" applyFont="1" applyFill="1" applyBorder="1" applyAlignment="1">
      <alignment horizontal="center"/>
    </xf>
    <xf numFmtId="0" fontId="2" fillId="3" borderId="11" xfId="0" applyFont="1"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3" fillId="3" borderId="17" xfId="0" applyFont="1" applyFill="1" applyBorder="1" applyAlignment="1">
      <alignment horizontal="center"/>
    </xf>
    <xf numFmtId="0" fontId="0" fillId="0" borderId="0" xfId="0" applyBorder="1" applyAlignment="1">
      <alignment horizontal="left"/>
    </xf>
    <xf numFmtId="0" fontId="0" fillId="0" borderId="5" xfId="0" applyBorder="1" applyAlignment="1">
      <alignment horizontal="left"/>
    </xf>
    <xf numFmtId="0" fontId="0" fillId="4" borderId="23" xfId="0" applyFill="1" applyBorder="1" applyAlignment="1">
      <alignment horizontal="center" vertical="center"/>
    </xf>
    <xf numFmtId="0" fontId="0" fillId="4" borderId="24" xfId="0" applyFill="1" applyBorder="1" applyAlignment="1">
      <alignment horizontal="center" vertical="center"/>
    </xf>
    <xf numFmtId="0" fontId="0" fillId="4" borderId="25" xfId="0" applyFill="1" applyBorder="1" applyAlignment="1">
      <alignment horizontal="center" vertical="center"/>
    </xf>
    <xf numFmtId="0" fontId="53" fillId="3" borderId="20" xfId="0" applyFont="1" applyFill="1" applyBorder="1" applyAlignment="1">
      <alignment horizontal="center"/>
    </xf>
    <xf numFmtId="0" fontId="53" fillId="3" borderId="21" xfId="0" applyFont="1" applyFill="1" applyBorder="1" applyAlignment="1">
      <alignment horizontal="center"/>
    </xf>
    <xf numFmtId="0" fontId="53" fillId="3" borderId="22" xfId="0" applyFont="1" applyFill="1" applyBorder="1" applyAlignment="1">
      <alignment horizontal="center"/>
    </xf>
    <xf numFmtId="0" fontId="2" fillId="3" borderId="0" xfId="0" applyFont="1" applyFill="1" applyAlignment="1">
      <alignment horizontal="center"/>
    </xf>
    <xf numFmtId="0" fontId="0" fillId="0" borderId="7" xfId="0" applyBorder="1" applyAlignment="1">
      <alignment horizontal="left" vertical="top"/>
    </xf>
    <xf numFmtId="0" fontId="0" fillId="0" borderId="8" xfId="0" applyBorder="1" applyAlignment="1">
      <alignment horizontal="left" vertical="top"/>
    </xf>
    <xf numFmtId="0" fontId="23" fillId="0" borderId="0" xfId="0" applyFont="1" applyBorder="1" applyAlignment="1">
      <alignment horizontal="left" vertical="center" wrapText="1"/>
    </xf>
    <xf numFmtId="0" fontId="23" fillId="0" borderId="5" xfId="0" applyFont="1" applyBorder="1" applyAlignment="1">
      <alignment horizontal="left" vertical="center" wrapText="1"/>
    </xf>
    <xf numFmtId="0" fontId="1" fillId="6" borderId="53" xfId="0" applyFont="1" applyFill="1" applyBorder="1" applyAlignment="1">
      <alignment horizontal="center" vertical="center"/>
    </xf>
    <xf numFmtId="0" fontId="1" fillId="6" borderId="54" xfId="0" applyFont="1" applyFill="1" applyBorder="1" applyAlignment="1">
      <alignment horizontal="center" vertical="center"/>
    </xf>
    <xf numFmtId="0" fontId="1" fillId="0" borderId="1" xfId="0" applyFont="1" applyBorder="1" applyAlignment="1">
      <alignment horizontal="center" vertical="center"/>
    </xf>
    <xf numFmtId="0" fontId="1" fillId="0" borderId="61" xfId="0" applyFont="1" applyBorder="1" applyAlignment="1">
      <alignment horizontal="center" vertical="center"/>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Border="1" applyAlignment="1">
      <alignment horizontal="center" vertical="center" wrapText="1"/>
    </xf>
    <xf numFmtId="0" fontId="1" fillId="0" borderId="5" xfId="0" applyFont="1" applyBorder="1" applyAlignment="1">
      <alignment horizontal="center" vertical="center" wrapText="1"/>
    </xf>
    <xf numFmtId="0" fontId="56" fillId="0" borderId="17" xfId="0" applyFont="1" applyBorder="1" applyAlignment="1">
      <alignment horizontal="center" vertical="center" shrinkToFit="1"/>
    </xf>
    <xf numFmtId="0" fontId="56" fillId="0" borderId="40" xfId="0" applyFont="1" applyBorder="1" applyAlignment="1">
      <alignment horizontal="center" vertical="center" shrinkToFit="1"/>
    </xf>
    <xf numFmtId="0" fontId="1" fillId="6" borderId="0" xfId="0" applyFont="1" applyFill="1" applyAlignment="1" applyProtection="1">
      <alignment horizontal="center" vertical="center"/>
    </xf>
    <xf numFmtId="0" fontId="1" fillId="6" borderId="13" xfId="0" applyFont="1" applyFill="1" applyBorder="1" applyAlignment="1" applyProtection="1">
      <alignment horizontal="center" vertical="center"/>
    </xf>
    <xf numFmtId="2" fontId="21" fillId="6" borderId="9" xfId="0" applyNumberFormat="1" applyFont="1" applyFill="1" applyBorder="1" applyAlignment="1" applyProtection="1">
      <alignment horizontal="center" vertical="center"/>
    </xf>
    <xf numFmtId="2" fontId="21" fillId="6" borderId="11" xfId="0" applyNumberFormat="1" applyFont="1" applyFill="1" applyBorder="1" applyAlignment="1" applyProtection="1">
      <alignment horizontal="center" vertical="center"/>
    </xf>
    <xf numFmtId="2" fontId="21" fillId="6" borderId="12" xfId="0" applyNumberFormat="1" applyFont="1" applyFill="1" applyBorder="1" applyAlignment="1" applyProtection="1">
      <alignment horizontal="center" vertical="center"/>
    </xf>
    <xf numFmtId="2" fontId="21" fillId="6" borderId="13" xfId="0" applyNumberFormat="1" applyFont="1" applyFill="1" applyBorder="1" applyAlignment="1" applyProtection="1">
      <alignment horizontal="center" vertical="center"/>
    </xf>
    <xf numFmtId="2" fontId="21" fillId="6" borderId="14" xfId="0" applyNumberFormat="1" applyFont="1" applyFill="1" applyBorder="1" applyAlignment="1" applyProtection="1">
      <alignment horizontal="center" vertical="center"/>
    </xf>
    <xf numFmtId="2" fontId="21" fillId="6" borderId="16" xfId="0" applyNumberFormat="1" applyFont="1" applyFill="1" applyBorder="1" applyAlignment="1" applyProtection="1">
      <alignment horizontal="center" vertical="center"/>
    </xf>
    <xf numFmtId="0" fontId="61" fillId="6" borderId="0" xfId="0" applyFont="1" applyFill="1" applyAlignment="1" applyProtection="1">
      <alignment horizontal="left"/>
    </xf>
    <xf numFmtId="0" fontId="2" fillId="3" borderId="23" xfId="0" applyFont="1" applyFill="1" applyBorder="1" applyAlignment="1" applyProtection="1">
      <alignment horizontal="center"/>
    </xf>
    <xf numFmtId="0" fontId="2" fillId="3" borderId="24" xfId="0" applyFont="1" applyFill="1" applyBorder="1" applyAlignment="1" applyProtection="1">
      <alignment horizontal="center"/>
    </xf>
    <xf numFmtId="0" fontId="2" fillId="3" borderId="25" xfId="0" applyFont="1" applyFill="1" applyBorder="1" applyAlignment="1" applyProtection="1">
      <alignment horizontal="center"/>
    </xf>
    <xf numFmtId="0" fontId="1" fillId="6" borderId="1" xfId="0" applyFont="1" applyFill="1" applyBorder="1" applyAlignment="1" applyProtection="1">
      <alignment horizontal="left"/>
    </xf>
    <xf numFmtId="0" fontId="1" fillId="6" borderId="2" xfId="0" applyFont="1" applyFill="1" applyBorder="1" applyAlignment="1" applyProtection="1">
      <alignment horizontal="left"/>
    </xf>
    <xf numFmtId="0" fontId="0" fillId="6" borderId="17" xfId="0" applyFill="1" applyBorder="1" applyAlignment="1" applyProtection="1">
      <alignment horizontal="center" vertical="center"/>
    </xf>
    <xf numFmtId="10" fontId="0" fillId="6" borderId="20" xfId="1" applyNumberFormat="1" applyFont="1" applyFill="1" applyBorder="1" applyAlignment="1" applyProtection="1">
      <alignment horizontal="center"/>
    </xf>
    <xf numFmtId="10" fontId="0" fillId="6" borderId="22" xfId="1" applyNumberFormat="1" applyFont="1" applyFill="1" applyBorder="1" applyAlignment="1" applyProtection="1">
      <alignment horizontal="center"/>
    </xf>
    <xf numFmtId="0" fontId="1" fillId="6" borderId="0" xfId="0" applyFont="1" applyFill="1" applyBorder="1" applyAlignment="1" applyProtection="1">
      <alignment horizontal="right" vertical="center"/>
    </xf>
    <xf numFmtId="2" fontId="21" fillId="6" borderId="43" xfId="0" applyNumberFormat="1" applyFont="1" applyFill="1" applyBorder="1" applyAlignment="1" applyProtection="1">
      <alignment horizontal="center"/>
    </xf>
    <xf numFmtId="2" fontId="21" fillId="6" borderId="35" xfId="0" applyNumberFormat="1" applyFont="1" applyFill="1" applyBorder="1" applyAlignment="1" applyProtection="1">
      <alignment horizontal="center"/>
    </xf>
    <xf numFmtId="0" fontId="0" fillId="0" borderId="0" xfId="0" applyAlignment="1" applyProtection="1">
      <alignment horizontal="center"/>
    </xf>
    <xf numFmtId="0" fontId="2" fillId="3" borderId="23" xfId="0" applyFont="1" applyFill="1" applyBorder="1" applyAlignment="1" applyProtection="1">
      <alignment horizontal="left"/>
    </xf>
    <xf numFmtId="0" fontId="2" fillId="3" borderId="24" xfId="0" applyFont="1" applyFill="1" applyBorder="1" applyAlignment="1" applyProtection="1">
      <alignment horizontal="left"/>
    </xf>
    <xf numFmtId="0" fontId="2" fillId="3" borderId="25" xfId="0" applyFont="1" applyFill="1" applyBorder="1" applyAlignment="1" applyProtection="1">
      <alignment horizontal="left"/>
    </xf>
    <xf numFmtId="0" fontId="0" fillId="0" borderId="24" xfId="0"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0" fillId="0" borderId="17" xfId="0" applyBorder="1" applyAlignment="1" applyProtection="1"/>
    <xf numFmtId="0" fontId="0" fillId="0" borderId="19" xfId="0" applyBorder="1" applyAlignment="1" applyProtection="1"/>
    <xf numFmtId="0" fontId="79" fillId="3" borderId="1" xfId="0" applyFont="1" applyFill="1" applyBorder="1" applyAlignment="1" applyProtection="1">
      <alignment horizontal="center"/>
    </xf>
    <xf numFmtId="0" fontId="79" fillId="3" borderId="2" xfId="0" applyFont="1" applyFill="1" applyBorder="1" applyAlignment="1" applyProtection="1">
      <alignment horizontal="center"/>
    </xf>
    <xf numFmtId="0" fontId="79" fillId="3" borderId="3" xfId="0" applyFont="1" applyFill="1" applyBorder="1" applyAlignment="1" applyProtection="1">
      <alignment horizontal="center"/>
    </xf>
    <xf numFmtId="165" fontId="1" fillId="0" borderId="0" xfId="0" applyNumberFormat="1" applyFont="1" applyFill="1" applyBorder="1" applyAlignment="1" applyProtection="1">
      <alignment horizontal="center"/>
    </xf>
    <xf numFmtId="0" fontId="0" fillId="6" borderId="20" xfId="0" applyFill="1" applyBorder="1" applyAlignment="1" applyProtection="1">
      <alignment horizontal="center"/>
    </xf>
    <xf numFmtId="0" fontId="0" fillId="6" borderId="21" xfId="0" applyFill="1" applyBorder="1" applyAlignment="1" applyProtection="1">
      <alignment horizontal="center"/>
    </xf>
    <xf numFmtId="0" fontId="0" fillId="6" borderId="22" xfId="0" applyFill="1" applyBorder="1" applyAlignment="1" applyProtection="1">
      <alignment horizontal="center"/>
    </xf>
    <xf numFmtId="0" fontId="0" fillId="6" borderId="20" xfId="0" applyFill="1" applyBorder="1" applyAlignment="1" applyProtection="1">
      <alignment horizontal="center" vertical="center" wrapText="1"/>
    </xf>
    <xf numFmtId="0" fontId="0" fillId="6" borderId="22" xfId="0" applyFill="1" applyBorder="1" applyAlignment="1" applyProtection="1">
      <alignment horizontal="center" vertical="center" wrapText="1"/>
    </xf>
    <xf numFmtId="0" fontId="1" fillId="6" borderId="0" xfId="0" applyFont="1" applyFill="1" applyBorder="1" applyAlignment="1" applyProtection="1">
      <alignment horizontal="center"/>
    </xf>
    <xf numFmtId="0" fontId="1" fillId="6" borderId="4" xfId="0" applyFont="1" applyFill="1" applyBorder="1" applyAlignment="1" applyProtection="1">
      <alignment horizontal="left"/>
    </xf>
    <xf numFmtId="0" fontId="1" fillId="6" borderId="0" xfId="0" applyFont="1" applyFill="1" applyBorder="1" applyAlignment="1" applyProtection="1">
      <alignment horizontal="left"/>
    </xf>
    <xf numFmtId="0" fontId="1" fillId="6" borderId="6" xfId="0" applyFont="1" applyFill="1" applyBorder="1" applyAlignment="1" applyProtection="1">
      <alignment horizontal="left"/>
    </xf>
    <xf numFmtId="0" fontId="1" fillId="6" borderId="7" xfId="0" applyFont="1" applyFill="1" applyBorder="1" applyAlignment="1" applyProtection="1">
      <alignment horizontal="left"/>
    </xf>
    <xf numFmtId="0" fontId="0" fillId="0" borderId="17" xfId="0" applyFont="1" applyFill="1" applyBorder="1" applyAlignment="1">
      <alignment horizontal="center" vertical="center"/>
    </xf>
    <xf numFmtId="0" fontId="6" fillId="0" borderId="17" xfId="0" applyFont="1" applyBorder="1" applyAlignment="1">
      <alignment horizontal="center" vertical="center" wrapText="1"/>
    </xf>
    <xf numFmtId="0" fontId="52" fillId="0" borderId="20" xfId="0" applyFont="1" applyBorder="1" applyAlignment="1">
      <alignment horizontal="left" vertical="center"/>
    </xf>
    <xf numFmtId="0" fontId="52" fillId="0" borderId="22" xfId="0" applyFont="1" applyBorder="1" applyAlignment="1">
      <alignment horizontal="left" vertical="center"/>
    </xf>
    <xf numFmtId="0" fontId="14" fillId="0" borderId="0" xfId="0" applyFont="1" applyBorder="1" applyAlignment="1">
      <alignment horizontal="left" vertical="top" wrapText="1"/>
    </xf>
    <xf numFmtId="0" fontId="0" fillId="0" borderId="17" xfId="0" applyFont="1" applyFill="1" applyBorder="1" applyAlignment="1">
      <alignment horizontal="left" vertical="center" wrapText="1" shrinkToFit="1"/>
    </xf>
    <xf numFmtId="0" fontId="0" fillId="0" borderId="17" xfId="0" applyFont="1" applyFill="1" applyBorder="1" applyAlignment="1">
      <alignment horizontal="center" vertical="center" shrinkToFit="1"/>
    </xf>
    <xf numFmtId="0" fontId="0" fillId="0" borderId="22" xfId="0" applyFont="1" applyFill="1" applyBorder="1" applyAlignment="1">
      <alignment horizontal="center" vertical="center"/>
    </xf>
    <xf numFmtId="0" fontId="6" fillId="0" borderId="17" xfId="0" applyFont="1" applyBorder="1" applyAlignment="1">
      <alignment horizontal="center" vertical="center" wrapText="1" shrinkToFit="1"/>
    </xf>
    <xf numFmtId="0" fontId="29" fillId="0" borderId="10" xfId="0" applyFont="1" applyFill="1" applyBorder="1" applyAlignment="1">
      <alignment horizontal="left" vertical="top" wrapText="1"/>
    </xf>
    <xf numFmtId="0" fontId="29" fillId="0" borderId="0" xfId="0" applyFont="1" applyFill="1" applyBorder="1" applyAlignment="1">
      <alignment horizontal="left" vertical="top" wrapText="1"/>
    </xf>
    <xf numFmtId="0" fontId="52" fillId="0" borderId="17" xfId="0" applyFont="1" applyBorder="1" applyAlignment="1">
      <alignment horizontal="center" vertical="center"/>
    </xf>
    <xf numFmtId="0" fontId="29" fillId="0" borderId="17" xfId="0" applyFont="1" applyBorder="1" applyAlignment="1">
      <alignment horizontal="center" vertical="center" wrapText="1"/>
    </xf>
    <xf numFmtId="0" fontId="29" fillId="0" borderId="0" xfId="0" applyFont="1" applyAlignment="1">
      <alignment horizontal="center" vertical="center"/>
    </xf>
    <xf numFmtId="0" fontId="23" fillId="0" borderId="0" xfId="0" applyFont="1" applyAlignment="1">
      <alignment horizontal="left" vertical="center" wrapText="1"/>
    </xf>
    <xf numFmtId="0" fontId="23" fillId="0" borderId="0" xfId="0" applyFont="1" applyAlignment="1">
      <alignment horizontal="justify" vertical="center"/>
    </xf>
    <xf numFmtId="0" fontId="23" fillId="0" borderId="17" xfId="0" applyFont="1" applyFill="1" applyBorder="1" applyAlignment="1">
      <alignment horizontal="center" vertical="center"/>
    </xf>
    <xf numFmtId="0" fontId="23" fillId="0" borderId="17" xfId="0" applyFont="1" applyBorder="1" applyAlignment="1">
      <alignment horizontal="left" vertical="center"/>
    </xf>
    <xf numFmtId="0" fontId="23" fillId="0" borderId="17" xfId="0" applyFont="1" applyBorder="1" applyAlignment="1">
      <alignment horizontal="center" vertical="center"/>
    </xf>
    <xf numFmtId="0" fontId="23" fillId="0" borderId="0" xfId="0" applyFont="1" applyAlignment="1">
      <alignment horizontal="left" vertical="center"/>
    </xf>
    <xf numFmtId="14" fontId="23" fillId="0" borderId="0" xfId="0" applyNumberFormat="1" applyFont="1" applyAlignment="1">
      <alignment horizontal="left" vertical="center"/>
    </xf>
    <xf numFmtId="0" fontId="23" fillId="0" borderId="0" xfId="0" applyFont="1" applyAlignment="1">
      <alignment vertical="center"/>
    </xf>
    <xf numFmtId="0" fontId="23" fillId="0" borderId="0" xfId="0" applyFont="1" applyAlignment="1">
      <alignment horizontal="justify" vertical="center" wrapText="1"/>
    </xf>
    <xf numFmtId="0" fontId="23" fillId="0" borderId="0" xfId="0" applyFont="1" applyAlignment="1">
      <alignment horizontal="justify" vertical="top" wrapText="1"/>
    </xf>
    <xf numFmtId="0" fontId="21" fillId="0" borderId="0" xfId="0" applyFont="1" applyAlignment="1">
      <alignment horizontal="left" vertical="center" wrapText="1"/>
    </xf>
    <xf numFmtId="0" fontId="29" fillId="0" borderId="0" xfId="0" applyFont="1" applyFill="1" applyAlignment="1">
      <alignment horizontal="left" vertical="center"/>
    </xf>
    <xf numFmtId="0" fontId="29" fillId="0" borderId="0" xfId="0" applyFont="1" applyAlignment="1">
      <alignment horizontal="center" vertical="center" shrinkToFit="1"/>
    </xf>
    <xf numFmtId="0" fontId="29" fillId="0" borderId="0" xfId="0" applyFont="1" applyBorder="1" applyAlignment="1">
      <alignment horizontal="justify" vertical="top" wrapText="1"/>
    </xf>
    <xf numFmtId="0" fontId="23" fillId="0" borderId="17" xfId="0" applyNumberFormat="1" applyFont="1" applyBorder="1" applyAlignment="1">
      <alignment horizontal="center" vertical="center" wrapText="1"/>
    </xf>
    <xf numFmtId="0" fontId="21" fillId="0" borderId="0" xfId="0" applyFont="1" applyAlignment="1">
      <alignment horizontal="center" vertical="center"/>
    </xf>
    <xf numFmtId="0" fontId="21" fillId="0" borderId="0" xfId="0" applyFont="1" applyAlignment="1">
      <alignment horizontal="justify" vertical="center" shrinkToFit="1"/>
    </xf>
    <xf numFmtId="14" fontId="23" fillId="0" borderId="0" xfId="0" applyNumberFormat="1" applyFont="1" applyAlignment="1">
      <alignment vertical="center"/>
    </xf>
    <xf numFmtId="0" fontId="21" fillId="0" borderId="0" xfId="0" applyFont="1" applyAlignment="1">
      <alignment horizontal="left" vertical="center" shrinkToFit="1"/>
    </xf>
    <xf numFmtId="0" fontId="1" fillId="0" borderId="17" xfId="0" applyFont="1" applyFill="1" applyBorder="1" applyAlignment="1">
      <alignment horizontal="center" vertical="center"/>
    </xf>
    <xf numFmtId="0" fontId="29" fillId="0" borderId="0" xfId="0" applyFont="1" applyBorder="1" applyAlignment="1">
      <alignment horizontal="left" vertical="top" wrapText="1"/>
    </xf>
    <xf numFmtId="0" fontId="52" fillId="0" borderId="17" xfId="0" applyFont="1" applyBorder="1" applyAlignment="1">
      <alignment horizontal="center" vertical="center" wrapText="1"/>
    </xf>
    <xf numFmtId="0" fontId="6" fillId="0" borderId="17" xfId="0" applyFont="1" applyFill="1" applyBorder="1" applyAlignment="1">
      <alignment horizontal="center" vertical="center" wrapText="1"/>
    </xf>
    <xf numFmtId="0" fontId="0" fillId="0" borderId="20" xfId="0" applyFont="1" applyFill="1" applyBorder="1" applyAlignment="1">
      <alignment horizontal="center" vertical="center"/>
    </xf>
    <xf numFmtId="0" fontId="6" fillId="0" borderId="17" xfId="0" applyFont="1" applyBorder="1" applyAlignment="1">
      <alignment horizontal="center" vertical="center"/>
    </xf>
    <xf numFmtId="0" fontId="76" fillId="3" borderId="20" xfId="0" applyFont="1" applyFill="1" applyBorder="1" applyAlignment="1">
      <alignment horizontal="center"/>
    </xf>
    <xf numFmtId="0" fontId="76" fillId="3" borderId="21" xfId="0" applyFont="1" applyFill="1" applyBorder="1" applyAlignment="1">
      <alignment horizontal="center"/>
    </xf>
    <xf numFmtId="0" fontId="76" fillId="3" borderId="22" xfId="0" applyFont="1" applyFill="1" applyBorder="1" applyAlignment="1">
      <alignment horizontal="center"/>
    </xf>
    <xf numFmtId="0" fontId="2" fillId="3" borderId="23" xfId="0" applyFont="1" applyFill="1" applyBorder="1" applyAlignment="1">
      <alignment horizontal="center"/>
    </xf>
    <xf numFmtId="0" fontId="2" fillId="3" borderId="24" xfId="0" applyFont="1" applyFill="1" applyBorder="1" applyAlignment="1">
      <alignment horizontal="center"/>
    </xf>
    <xf numFmtId="0" fontId="2" fillId="3" borderId="25" xfId="0" applyFont="1" applyFill="1" applyBorder="1" applyAlignment="1">
      <alignment horizontal="center"/>
    </xf>
    <xf numFmtId="0" fontId="76" fillId="3" borderId="70" xfId="0" applyFont="1" applyFill="1" applyBorder="1" applyAlignment="1">
      <alignment horizontal="center"/>
    </xf>
    <xf numFmtId="0" fontId="76" fillId="3" borderId="51" xfId="0" applyFont="1" applyFill="1" applyBorder="1" applyAlignment="1">
      <alignment horizontal="center"/>
    </xf>
    <xf numFmtId="0" fontId="76" fillId="3" borderId="71" xfId="0" applyFont="1" applyFill="1" applyBorder="1" applyAlignment="1">
      <alignment horizontal="center"/>
    </xf>
    <xf numFmtId="0" fontId="0" fillId="6" borderId="0" xfId="0" applyFill="1" applyAlignment="1">
      <alignment horizontal="center"/>
    </xf>
    <xf numFmtId="0" fontId="0" fillId="6" borderId="0" xfId="0" applyFont="1" applyFill="1" applyAlignment="1">
      <alignment horizontal="center"/>
    </xf>
    <xf numFmtId="0" fontId="0" fillId="6" borderId="0"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1" fillId="0" borderId="0" xfId="0" applyFont="1" applyBorder="1" applyAlignment="1">
      <alignment horizontal="left"/>
    </xf>
    <xf numFmtId="0" fontId="2" fillId="3" borderId="1" xfId="0" applyNumberFormat="1" applyFont="1" applyFill="1" applyBorder="1" applyAlignment="1">
      <alignment horizontal="center"/>
    </xf>
    <xf numFmtId="0" fontId="2" fillId="3" borderId="2" xfId="0" applyNumberFormat="1" applyFont="1" applyFill="1" applyBorder="1" applyAlignment="1">
      <alignment horizontal="center"/>
    </xf>
    <xf numFmtId="0" fontId="2" fillId="3" borderId="3" xfId="0" applyNumberFormat="1" applyFont="1" applyFill="1" applyBorder="1" applyAlignment="1">
      <alignment horizontal="center"/>
    </xf>
    <xf numFmtId="0" fontId="86" fillId="6" borderId="0" xfId="0" applyFont="1" applyFill="1" applyBorder="1" applyAlignment="1">
      <alignment horizontal="center" vertical="center" wrapText="1"/>
    </xf>
    <xf numFmtId="0" fontId="76" fillId="6" borderId="0" xfId="0" applyFont="1" applyFill="1" applyAlignment="1">
      <alignment horizontal="center" vertical="center" wrapText="1"/>
    </xf>
    <xf numFmtId="0" fontId="2" fillId="3" borderId="58" xfId="0" applyFont="1" applyFill="1" applyBorder="1" applyAlignment="1">
      <alignment horizontal="center"/>
    </xf>
    <xf numFmtId="0" fontId="2" fillId="3" borderId="59" xfId="0" applyFont="1" applyFill="1" applyBorder="1" applyAlignment="1">
      <alignment horizontal="center"/>
    </xf>
    <xf numFmtId="0" fontId="2" fillId="3" borderId="45" xfId="0" applyFont="1" applyFill="1" applyBorder="1" applyAlignment="1">
      <alignment horizontal="center"/>
    </xf>
    <xf numFmtId="0" fontId="96" fillId="0" borderId="20" xfId="0" applyFont="1" applyBorder="1" applyAlignment="1">
      <alignment horizontal="center" shrinkToFit="1"/>
    </xf>
    <xf numFmtId="0" fontId="96" fillId="0" borderId="21" xfId="0" applyFont="1" applyBorder="1" applyAlignment="1">
      <alignment horizontal="center" shrinkToFit="1"/>
    </xf>
    <xf numFmtId="0" fontId="96" fillId="0" borderId="22" xfId="0" applyFont="1" applyBorder="1" applyAlignment="1">
      <alignment horizontal="center" shrinkToFit="1"/>
    </xf>
    <xf numFmtId="0" fontId="95" fillId="3" borderId="1" xfId="0" applyFont="1" applyFill="1" applyBorder="1" applyAlignment="1">
      <alignment horizontal="center"/>
    </xf>
    <xf numFmtId="0" fontId="95" fillId="3" borderId="2" xfId="0" applyFont="1" applyFill="1" applyBorder="1" applyAlignment="1">
      <alignment horizontal="center"/>
    </xf>
    <xf numFmtId="0" fontId="95" fillId="3" borderId="3" xfId="0" applyFont="1" applyFill="1" applyBorder="1" applyAlignment="1">
      <alignment horizontal="center"/>
    </xf>
    <xf numFmtId="165" fontId="96" fillId="0" borderId="17" xfId="0" applyNumberFormat="1" applyFont="1" applyBorder="1" applyAlignment="1">
      <alignment horizontal="center" shrinkToFit="1"/>
    </xf>
    <xf numFmtId="0" fontId="2" fillId="3" borderId="6" xfId="0" applyNumberFormat="1" applyFont="1" applyFill="1" applyBorder="1" applyAlignment="1">
      <alignment horizontal="center"/>
    </xf>
    <xf numFmtId="0" fontId="2" fillId="3" borderId="7" xfId="0" applyNumberFormat="1" applyFont="1" applyFill="1" applyBorder="1" applyAlignment="1">
      <alignment horizontal="center"/>
    </xf>
    <xf numFmtId="0" fontId="2" fillId="3" borderId="8" xfId="0" applyNumberFormat="1" applyFont="1" applyFill="1" applyBorder="1" applyAlignment="1">
      <alignment horizontal="center"/>
    </xf>
    <xf numFmtId="0" fontId="0" fillId="0" borderId="17" xfId="0" applyBorder="1" applyAlignment="1">
      <alignment horizontal="left"/>
    </xf>
    <xf numFmtId="165" fontId="96" fillId="19" borderId="2" xfId="0" applyNumberFormat="1" applyFont="1" applyFill="1" applyBorder="1" applyAlignment="1" applyProtection="1">
      <alignment horizontal="center"/>
    </xf>
    <xf numFmtId="165" fontId="96" fillId="19" borderId="3" xfId="0" applyNumberFormat="1" applyFont="1" applyFill="1" applyBorder="1" applyAlignment="1" applyProtection="1">
      <alignment horizontal="center"/>
    </xf>
    <xf numFmtId="0" fontId="0" fillId="0" borderId="17" xfId="0" applyBorder="1" applyAlignment="1">
      <alignment horizontal="left" vertical="center"/>
    </xf>
    <xf numFmtId="0" fontId="6" fillId="0" borderId="0" xfId="0" applyFont="1" applyBorder="1" applyAlignment="1">
      <alignment horizontal="left"/>
    </xf>
    <xf numFmtId="0" fontId="6" fillId="0" borderId="5" xfId="0" applyFont="1" applyBorder="1" applyAlignment="1">
      <alignment horizontal="left"/>
    </xf>
    <xf numFmtId="0" fontId="0" fillId="6" borderId="0" xfId="0" applyFill="1" applyAlignment="1">
      <alignment horizontal="left"/>
    </xf>
    <xf numFmtId="0" fontId="0" fillId="6" borderId="0" xfId="0" applyFont="1" applyFill="1" applyAlignment="1">
      <alignment horizontal="left"/>
    </xf>
    <xf numFmtId="1" fontId="1" fillId="6" borderId="14" xfId="0" applyNumberFormat="1" applyFont="1" applyFill="1" applyBorder="1" applyAlignment="1">
      <alignment horizontal="center"/>
    </xf>
    <xf numFmtId="1" fontId="1" fillId="6" borderId="15" xfId="0" applyNumberFormat="1" applyFont="1" applyFill="1" applyBorder="1" applyAlignment="1">
      <alignment horizontal="center"/>
    </xf>
    <xf numFmtId="1" fontId="1" fillId="6" borderId="16" xfId="0" applyNumberFormat="1" applyFont="1" applyFill="1" applyBorder="1" applyAlignment="1">
      <alignment horizontal="center"/>
    </xf>
    <xf numFmtId="0" fontId="70" fillId="3" borderId="24" xfId="4" applyFill="1" applyBorder="1" applyAlignment="1">
      <alignment horizontal="center"/>
    </xf>
    <xf numFmtId="0" fontId="70" fillId="3" borderId="25" xfId="4" applyFill="1" applyBorder="1" applyAlignment="1">
      <alignment horizontal="center"/>
    </xf>
    <xf numFmtId="0" fontId="0" fillId="0" borderId="17" xfId="0" applyBorder="1" applyAlignment="1">
      <alignment horizontal="left" shrinkToFit="1"/>
    </xf>
    <xf numFmtId="0" fontId="0" fillId="6" borderId="17" xfId="0" applyFill="1" applyBorder="1" applyAlignment="1"/>
    <xf numFmtId="0" fontId="0" fillId="6" borderId="17" xfId="0" applyFill="1" applyBorder="1" applyAlignment="1">
      <alignment horizontal="left"/>
    </xf>
    <xf numFmtId="0" fontId="0" fillId="6" borderId="17" xfId="0" applyFont="1" applyFill="1" applyBorder="1" applyAlignment="1">
      <alignment horizontal="left" vertical="center" wrapText="1"/>
    </xf>
    <xf numFmtId="0" fontId="2" fillId="6" borderId="17" xfId="0" applyFont="1" applyFill="1" applyBorder="1" applyAlignment="1">
      <alignment horizontal="left"/>
    </xf>
    <xf numFmtId="0" fontId="60" fillId="3" borderId="23" xfId="0" applyFont="1" applyFill="1" applyBorder="1" applyAlignment="1">
      <alignment horizontal="center"/>
    </xf>
    <xf numFmtId="0" fontId="60" fillId="3" borderId="24" xfId="0" applyFont="1" applyFill="1" applyBorder="1" applyAlignment="1">
      <alignment horizontal="center"/>
    </xf>
    <xf numFmtId="0" fontId="60" fillId="3" borderId="25" xfId="0" applyFont="1" applyFill="1" applyBorder="1" applyAlignment="1">
      <alignment horizontal="center"/>
    </xf>
    <xf numFmtId="0" fontId="4" fillId="6" borderId="2" xfId="0" applyFont="1" applyFill="1" applyBorder="1" applyAlignment="1">
      <alignment horizontal="center"/>
    </xf>
    <xf numFmtId="0" fontId="0" fillId="6" borderId="19" xfId="0" applyFill="1" applyBorder="1" applyAlignment="1">
      <alignment horizontal="left"/>
    </xf>
    <xf numFmtId="0" fontId="29" fillId="0" borderId="20" xfId="0" applyFont="1" applyBorder="1" applyAlignment="1">
      <alignment horizontal="center" vertical="center" wrapText="1"/>
    </xf>
    <xf numFmtId="0" fontId="29" fillId="0" borderId="21"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20" xfId="0" applyFont="1" applyBorder="1" applyAlignment="1">
      <alignment horizontal="center" wrapText="1"/>
    </xf>
    <xf numFmtId="0" fontId="29" fillId="0" borderId="21" xfId="0" applyFont="1" applyBorder="1" applyAlignment="1">
      <alignment horizontal="center" wrapText="1"/>
    </xf>
    <xf numFmtId="0" fontId="29" fillId="0" borderId="22" xfId="0" applyFont="1" applyBorder="1" applyAlignment="1">
      <alignment horizontal="center" wrapText="1"/>
    </xf>
    <xf numFmtId="0" fontId="29" fillId="0" borderId="9" xfId="0" applyFont="1" applyBorder="1" applyAlignment="1">
      <alignment horizontal="center" vertical="center" wrapText="1"/>
    </xf>
    <xf numFmtId="0" fontId="29" fillId="0" borderId="11" xfId="0" applyFont="1" applyBorder="1" applyAlignment="1">
      <alignment horizontal="center" vertical="center" wrapText="1"/>
    </xf>
    <xf numFmtId="0" fontId="52" fillId="0" borderId="20" xfId="0" applyFont="1" applyBorder="1" applyAlignment="1">
      <alignment horizontal="center" vertical="center" shrinkToFit="1"/>
    </xf>
    <xf numFmtId="0" fontId="52" fillId="0" borderId="21" xfId="0" applyFont="1" applyBorder="1" applyAlignment="1">
      <alignment horizontal="center" vertical="center" shrinkToFit="1"/>
    </xf>
    <xf numFmtId="0" fontId="29" fillId="0" borderId="0" xfId="0" applyFont="1" applyBorder="1" applyAlignment="1">
      <alignment horizontal="center" vertical="center" wrapText="1"/>
    </xf>
    <xf numFmtId="0" fontId="29" fillId="0" borderId="20" xfId="0" applyFont="1" applyFill="1" applyBorder="1" applyAlignment="1">
      <alignment horizontal="center" vertical="center" wrapText="1"/>
    </xf>
    <xf numFmtId="0" fontId="29" fillId="0" borderId="21" xfId="0" applyFont="1" applyFill="1" applyBorder="1" applyAlignment="1">
      <alignment horizontal="center" vertical="center" wrapText="1"/>
    </xf>
    <xf numFmtId="0" fontId="29" fillId="0" borderId="22" xfId="0" applyFont="1" applyFill="1" applyBorder="1" applyAlignment="1">
      <alignment horizontal="center" vertical="center" wrapText="1"/>
    </xf>
    <xf numFmtId="0" fontId="115" fillId="0" borderId="20" xfId="0" applyFont="1" applyBorder="1" applyAlignment="1">
      <alignment horizontal="center" vertical="center" wrapText="1"/>
    </xf>
    <xf numFmtId="0" fontId="115" fillId="0" borderId="22" xfId="0" applyFont="1" applyBorder="1" applyAlignment="1">
      <alignment horizontal="center" vertical="center" wrapText="1"/>
    </xf>
    <xf numFmtId="1" fontId="29" fillId="0" borderId="17" xfId="0" applyNumberFormat="1" applyFont="1" applyFill="1" applyBorder="1" applyAlignment="1">
      <alignment horizontal="center" wrapText="1"/>
    </xf>
    <xf numFmtId="1" fontId="23" fillId="0" borderId="17" xfId="0" applyNumberFormat="1" applyFont="1" applyFill="1" applyBorder="1" applyAlignment="1">
      <alignment horizontal="center"/>
    </xf>
    <xf numFmtId="0" fontId="29" fillId="0" borderId="12" xfId="0" applyFont="1" applyBorder="1" applyAlignment="1">
      <alignment horizontal="center" vertical="center" wrapText="1"/>
    </xf>
    <xf numFmtId="0" fontId="29" fillId="0" borderId="13" xfId="0" applyFont="1" applyBorder="1" applyAlignment="1">
      <alignment horizontal="center" vertical="center" wrapText="1"/>
    </xf>
    <xf numFmtId="0" fontId="29" fillId="0" borderId="14"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20" xfId="0" applyFont="1" applyBorder="1" applyAlignment="1">
      <alignment horizontal="center" vertical="center" wrapText="1" shrinkToFit="1"/>
    </xf>
    <xf numFmtId="0" fontId="29" fillId="0" borderId="21" xfId="0" applyFont="1" applyBorder="1" applyAlignment="1">
      <alignment horizontal="center" vertical="center" wrapText="1" shrinkToFit="1"/>
    </xf>
    <xf numFmtId="0" fontId="29" fillId="0" borderId="22" xfId="0" applyFont="1" applyBorder="1" applyAlignment="1">
      <alignment horizontal="center" vertical="center" wrapText="1" shrinkToFit="1"/>
    </xf>
    <xf numFmtId="0" fontId="23" fillId="0" borderId="20" xfId="0" applyFont="1" applyBorder="1" applyAlignment="1">
      <alignment horizontal="left" vertical="center"/>
    </xf>
    <xf numFmtId="0" fontId="23" fillId="0" borderId="21" xfId="0" applyFont="1" applyBorder="1" applyAlignment="1">
      <alignment horizontal="left" vertical="center"/>
    </xf>
    <xf numFmtId="0" fontId="23" fillId="0" borderId="22" xfId="0" applyFont="1" applyBorder="1" applyAlignment="1">
      <alignment horizontal="left" vertical="center"/>
    </xf>
    <xf numFmtId="0" fontId="29" fillId="0" borderId="10" xfId="0" applyFont="1" applyBorder="1" applyAlignment="1">
      <alignment horizontal="left" vertical="top" wrapText="1"/>
    </xf>
    <xf numFmtId="0" fontId="23" fillId="0" borderId="0" xfId="0" applyFont="1" applyBorder="1" applyAlignment="1">
      <alignment horizontal="left" vertical="center"/>
    </xf>
    <xf numFmtId="0" fontId="29" fillId="0" borderId="0" xfId="0" applyFont="1" applyFill="1" applyAlignment="1">
      <alignment horizontal="left" vertical="center" shrinkToFit="1"/>
    </xf>
    <xf numFmtId="0" fontId="21" fillId="0" borderId="0" xfId="0" applyFont="1" applyAlignment="1">
      <alignment horizontal="justify" vertical="center"/>
    </xf>
    <xf numFmtId="0" fontId="23" fillId="0" borderId="20" xfId="0" applyFont="1" applyFill="1" applyBorder="1" applyAlignment="1">
      <alignment horizontal="center" vertical="center"/>
    </xf>
    <xf numFmtId="0" fontId="23" fillId="0" borderId="21" xfId="0" applyFont="1" applyFill="1" applyBorder="1" applyAlignment="1">
      <alignment horizontal="center" vertical="center"/>
    </xf>
    <xf numFmtId="0" fontId="23" fillId="0" borderId="22" xfId="0" applyFont="1" applyFill="1" applyBorder="1" applyAlignment="1">
      <alignment horizontal="center" vertical="center"/>
    </xf>
    <xf numFmtId="0" fontId="23" fillId="0" borderId="9" xfId="0" applyFont="1" applyBorder="1" applyAlignment="1">
      <alignment horizontal="center" vertical="center" shrinkToFit="1"/>
    </xf>
    <xf numFmtId="0" fontId="23" fillId="0" borderId="10" xfId="0" applyFont="1" applyBorder="1" applyAlignment="1">
      <alignment horizontal="center" vertical="center" shrinkToFit="1"/>
    </xf>
    <xf numFmtId="0" fontId="23" fillId="0" borderId="11" xfId="0" applyFont="1" applyBorder="1" applyAlignment="1">
      <alignment horizontal="center" vertical="center" shrinkToFit="1"/>
    </xf>
    <xf numFmtId="0" fontId="23" fillId="0" borderId="14" xfId="0" applyFont="1" applyBorder="1" applyAlignment="1">
      <alignment horizontal="center" vertical="center" shrinkToFit="1"/>
    </xf>
    <xf numFmtId="0" fontId="23" fillId="0" borderId="15" xfId="0" applyFont="1" applyBorder="1" applyAlignment="1">
      <alignment horizontal="center" vertical="center" shrinkToFit="1"/>
    </xf>
    <xf numFmtId="0" fontId="23" fillId="0" borderId="16" xfId="0" applyFont="1" applyBorder="1" applyAlignment="1">
      <alignment horizontal="center" vertical="center" shrinkToFit="1"/>
    </xf>
    <xf numFmtId="0" fontId="0" fillId="0" borderId="20" xfId="0" applyFont="1" applyFill="1" applyBorder="1" applyAlignment="1">
      <alignment horizontal="center" vertical="center" shrinkToFit="1"/>
    </xf>
    <xf numFmtId="0" fontId="0" fillId="0" borderId="21" xfId="0" applyFont="1" applyFill="1" applyBorder="1" applyAlignment="1">
      <alignment horizontal="center" vertical="center" shrinkToFit="1"/>
    </xf>
    <xf numFmtId="0" fontId="0" fillId="0" borderId="22" xfId="0" applyFont="1" applyFill="1" applyBorder="1" applyAlignment="1">
      <alignment horizontal="center" vertical="center" shrinkToFit="1"/>
    </xf>
    <xf numFmtId="0" fontId="23" fillId="0" borderId="20" xfId="0" applyFont="1" applyBorder="1" applyAlignment="1">
      <alignment horizontal="center" vertical="center" shrinkToFit="1"/>
    </xf>
    <xf numFmtId="0" fontId="23" fillId="0" borderId="21" xfId="0" applyFont="1" applyBorder="1" applyAlignment="1">
      <alignment horizontal="center" vertical="center" shrinkToFit="1"/>
    </xf>
    <xf numFmtId="0" fontId="23" fillId="0" borderId="22" xfId="0" applyFont="1" applyBorder="1" applyAlignment="1">
      <alignment horizontal="center" vertical="center" shrinkToFit="1"/>
    </xf>
    <xf numFmtId="0" fontId="52" fillId="0" borderId="20" xfId="0" applyFont="1" applyBorder="1" applyAlignment="1">
      <alignment horizontal="center" vertical="center"/>
    </xf>
    <xf numFmtId="0" fontId="52" fillId="0" borderId="21" xfId="0" applyFont="1" applyBorder="1" applyAlignment="1">
      <alignment horizontal="center" vertical="center"/>
    </xf>
    <xf numFmtId="0" fontId="52" fillId="0" borderId="22" xfId="0" applyFont="1" applyBorder="1" applyAlignment="1">
      <alignment horizontal="center" vertical="center"/>
    </xf>
    <xf numFmtId="0" fontId="23" fillId="0" borderId="20"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52" fillId="0" borderId="20" xfId="0" applyFont="1" applyBorder="1" applyAlignment="1">
      <alignment horizontal="center" vertical="center" wrapText="1"/>
    </xf>
    <xf numFmtId="0" fontId="52" fillId="0" borderId="21" xfId="0" applyFont="1" applyBorder="1" applyAlignment="1">
      <alignment horizontal="center" vertical="center" wrapText="1"/>
    </xf>
    <xf numFmtId="0" fontId="52" fillId="0" borderId="22" xfId="0" applyFont="1" applyBorder="1" applyAlignment="1">
      <alignment horizontal="center" vertical="center" wrapText="1"/>
    </xf>
    <xf numFmtId="0" fontId="21" fillId="0" borderId="17" xfId="0" applyFont="1" applyBorder="1" applyAlignment="1">
      <alignment horizontal="center" vertical="center"/>
    </xf>
    <xf numFmtId="0" fontId="22" fillId="0" borderId="0" xfId="0" applyFont="1" applyAlignment="1">
      <alignment horizontal="left" vertical="center" wrapText="1"/>
    </xf>
    <xf numFmtId="0" fontId="23" fillId="0" borderId="0" xfId="0" applyFont="1" applyAlignment="1">
      <alignment horizontal="justify" wrapText="1"/>
    </xf>
    <xf numFmtId="0" fontId="23" fillId="0" borderId="0" xfId="0" applyFont="1" applyFill="1" applyAlignment="1">
      <alignment horizontal="justify" vertical="center" wrapText="1"/>
    </xf>
    <xf numFmtId="0" fontId="6" fillId="0" borderId="0" xfId="0" applyFont="1" applyBorder="1" applyAlignment="1">
      <alignment horizontal="left" vertical="center"/>
    </xf>
    <xf numFmtId="0" fontId="29" fillId="0" borderId="0" xfId="0" applyFont="1" applyBorder="1" applyAlignment="1">
      <alignment horizontal="left" vertical="top"/>
    </xf>
    <xf numFmtId="0" fontId="115" fillId="0" borderId="18" xfId="0" applyFont="1" applyBorder="1" applyAlignment="1">
      <alignment horizontal="center" vertical="center" wrapText="1"/>
    </xf>
    <xf numFmtId="0" fontId="115" fillId="0" borderId="65" xfId="0" applyFont="1" applyBorder="1" applyAlignment="1">
      <alignment horizontal="center" vertical="center" wrapText="1"/>
    </xf>
    <xf numFmtId="0" fontId="115" fillId="0" borderId="19"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65" xfId="0" applyFont="1" applyBorder="1" applyAlignment="1">
      <alignment horizontal="center" vertical="center" wrapText="1"/>
    </xf>
    <xf numFmtId="0" fontId="29" fillId="0" borderId="19" xfId="0" applyFont="1" applyBorder="1" applyAlignment="1">
      <alignment horizontal="center" vertical="center" wrapText="1"/>
    </xf>
    <xf numFmtId="0" fontId="21" fillId="0" borderId="17" xfId="0" applyFont="1" applyFill="1" applyBorder="1" applyAlignment="1">
      <alignment horizontal="center" vertical="center"/>
    </xf>
    <xf numFmtId="0" fontId="22" fillId="0" borderId="15" xfId="0" applyFont="1" applyBorder="1" applyAlignment="1">
      <alignment horizontal="left" vertical="center" wrapText="1"/>
    </xf>
    <xf numFmtId="0" fontId="33" fillId="0" borderId="13" xfId="3" applyFont="1" applyBorder="1" applyAlignment="1" applyProtection="1">
      <alignment horizontal="center" vertical="center" wrapText="1"/>
    </xf>
    <xf numFmtId="0" fontId="37" fillId="6" borderId="14" xfId="3" applyNumberFormat="1" applyFont="1" applyFill="1" applyBorder="1" applyAlignment="1" applyProtection="1">
      <alignment horizontal="center" vertical="center" shrinkToFit="1"/>
    </xf>
    <xf numFmtId="0" fontId="37" fillId="6" borderId="15" xfId="3" applyNumberFormat="1" applyFont="1" applyFill="1" applyBorder="1" applyAlignment="1" applyProtection="1">
      <alignment horizontal="center" vertical="center" shrinkToFit="1"/>
    </xf>
    <xf numFmtId="0" fontId="90" fillId="0" borderId="10" xfId="3" applyFont="1" applyBorder="1" applyAlignment="1" applyProtection="1">
      <alignment horizontal="justify" vertical="top" wrapText="1"/>
    </xf>
    <xf numFmtId="0" fontId="90" fillId="0" borderId="0" xfId="3" applyFont="1" applyBorder="1" applyAlignment="1" applyProtection="1">
      <alignment horizontal="justify" vertical="top" wrapText="1"/>
    </xf>
    <xf numFmtId="0" fontId="37" fillId="6" borderId="9" xfId="3" applyNumberFormat="1" applyFont="1" applyFill="1" applyBorder="1" applyAlignment="1" applyProtection="1">
      <alignment horizontal="center" vertical="center" shrinkToFit="1"/>
    </xf>
    <xf numFmtId="0" fontId="37" fillId="6" borderId="10" xfId="3" applyNumberFormat="1" applyFont="1" applyFill="1" applyBorder="1" applyAlignment="1" applyProtection="1">
      <alignment horizontal="center" vertical="center" shrinkToFit="1"/>
    </xf>
    <xf numFmtId="0" fontId="37" fillId="6" borderId="12" xfId="3" applyNumberFormat="1" applyFont="1" applyFill="1" applyBorder="1" applyAlignment="1" applyProtection="1">
      <alignment horizontal="center" vertical="center" shrinkToFit="1"/>
    </xf>
    <xf numFmtId="0" fontId="37" fillId="6" borderId="0" xfId="3" applyNumberFormat="1" applyFont="1" applyFill="1" applyBorder="1" applyAlignment="1" applyProtection="1">
      <alignment horizontal="center" vertical="center" shrinkToFit="1"/>
    </xf>
    <xf numFmtId="0" fontId="65" fillId="0" borderId="21" xfId="3" applyNumberFormat="1" applyFont="1" applyFill="1" applyBorder="1" applyAlignment="1" applyProtection="1">
      <alignment horizontal="center" vertical="center" shrinkToFit="1"/>
    </xf>
    <xf numFmtId="0" fontId="65" fillId="0" borderId="21" xfId="3" applyNumberFormat="1" applyFont="1" applyFill="1" applyBorder="1" applyAlignment="1" applyProtection="1">
      <alignment horizontal="center" vertical="center"/>
    </xf>
    <xf numFmtId="0" fontId="39" fillId="0" borderId="0" xfId="3" applyFont="1" applyFill="1" applyAlignment="1" applyProtection="1">
      <alignment horizontal="justify" vertical="center"/>
    </xf>
    <xf numFmtId="0" fontId="39" fillId="0" borderId="0" xfId="3" applyFont="1" applyFill="1" applyAlignment="1" applyProtection="1">
      <alignment horizontal="justify"/>
    </xf>
    <xf numFmtId="0" fontId="65" fillId="0" borderId="10" xfId="3" applyNumberFormat="1" applyFont="1" applyFill="1" applyBorder="1" applyAlignment="1" applyProtection="1">
      <alignment horizontal="center" vertical="center" shrinkToFit="1"/>
    </xf>
    <xf numFmtId="0" fontId="65" fillId="0" borderId="10" xfId="3" applyNumberFormat="1" applyFont="1" applyFill="1" applyBorder="1" applyAlignment="1" applyProtection="1">
      <alignment horizontal="center" vertical="center"/>
    </xf>
    <xf numFmtId="0" fontId="39" fillId="0" borderId="0" xfId="3" applyFont="1" applyFill="1" applyBorder="1" applyAlignment="1" applyProtection="1">
      <alignment horizontal="justify" vertical="top"/>
    </xf>
    <xf numFmtId="0" fontId="14" fillId="0" borderId="0" xfId="0" applyFont="1" applyFill="1" applyAlignment="1">
      <alignment horizontal="left" vertical="center" shrinkToFit="1"/>
    </xf>
    <xf numFmtId="0" fontId="14" fillId="0" borderId="0" xfId="0" applyFont="1" applyFill="1" applyAlignment="1">
      <alignment horizontal="center" vertical="center"/>
    </xf>
    <xf numFmtId="14" fontId="14" fillId="0" borderId="0" xfId="0" applyNumberFormat="1" applyFont="1" applyFill="1" applyAlignment="1">
      <alignment horizontal="right" vertical="center" shrinkToFit="1"/>
    </xf>
    <xf numFmtId="0" fontId="39" fillId="0" borderId="0" xfId="3" applyFont="1" applyFill="1" applyAlignment="1" applyProtection="1">
      <alignment horizontal="justify" vertical="center" wrapText="1"/>
    </xf>
    <xf numFmtId="0" fontId="39" fillId="0" borderId="0" xfId="3" applyFont="1" applyFill="1" applyAlignment="1" applyProtection="1">
      <alignment horizontal="left" vertical="center" wrapText="1"/>
    </xf>
    <xf numFmtId="0" fontId="15" fillId="0" borderId="17" xfId="0" applyNumberFormat="1" applyFont="1" applyFill="1" applyBorder="1" applyAlignment="1">
      <alignment horizontal="center" vertical="center" wrapText="1"/>
    </xf>
    <xf numFmtId="0" fontId="15" fillId="0" borderId="17" xfId="0" applyFont="1" applyFill="1" applyBorder="1" applyAlignment="1">
      <alignment horizontal="center" vertical="center"/>
    </xf>
    <xf numFmtId="0" fontId="15" fillId="0" borderId="0" xfId="0" applyFont="1" applyFill="1" applyAlignment="1">
      <alignment vertical="center"/>
    </xf>
    <xf numFmtId="0" fontId="15" fillId="0" borderId="0" xfId="0" applyFont="1" applyFill="1" applyAlignment="1">
      <alignment horizontal="left" vertical="center"/>
    </xf>
    <xf numFmtId="0" fontId="17" fillId="0" borderId="17" xfId="0" applyFont="1" applyFill="1" applyBorder="1" applyAlignment="1">
      <alignment horizontal="center" vertical="center"/>
    </xf>
    <xf numFmtId="0" fontId="16" fillId="0" borderId="0" xfId="0" applyFont="1" applyFill="1" applyAlignment="1">
      <alignment horizontal="left" vertical="center" wrapText="1"/>
    </xf>
    <xf numFmtId="0" fontId="16" fillId="0" borderId="0" xfId="0" applyFont="1" applyFill="1" applyAlignment="1">
      <alignment horizontal="left" vertical="center" shrinkToFit="1"/>
    </xf>
    <xf numFmtId="0" fontId="39" fillId="0" borderId="0" xfId="3" applyNumberFormat="1" applyFont="1" applyFill="1" applyAlignment="1" applyProtection="1">
      <alignment horizontal="justify" vertical="center" wrapText="1"/>
    </xf>
    <xf numFmtId="0" fontId="14" fillId="0" borderId="0" xfId="0" applyFont="1" applyFill="1" applyAlignment="1">
      <alignment horizontal="center" vertical="center" shrinkToFit="1"/>
    </xf>
    <xf numFmtId="0" fontId="16" fillId="0" borderId="0" xfId="0" applyFont="1" applyFill="1" applyAlignment="1">
      <alignment horizontal="center" vertical="center"/>
    </xf>
    <xf numFmtId="0" fontId="16" fillId="0" borderId="0" xfId="0" applyFont="1" applyFill="1" applyAlignment="1">
      <alignment horizontal="justify" vertical="center" shrinkToFit="1"/>
    </xf>
    <xf numFmtId="0" fontId="14" fillId="0" borderId="0" xfId="0" applyFont="1" applyAlignment="1">
      <alignment horizontal="center" vertical="center" shrinkToFit="1"/>
    </xf>
    <xf numFmtId="0" fontId="39" fillId="0" borderId="20" xfId="3" applyFont="1" applyBorder="1" applyAlignment="1" applyProtection="1">
      <alignment horizontal="left" vertical="center"/>
    </xf>
    <xf numFmtId="0" fontId="39" fillId="0" borderId="21" xfId="3" applyFont="1" applyBorder="1" applyAlignment="1" applyProtection="1">
      <alignment horizontal="left" vertical="center"/>
    </xf>
    <xf numFmtId="0" fontId="39" fillId="0" borderId="22" xfId="3" applyFont="1" applyBorder="1" applyAlignment="1" applyProtection="1">
      <alignment horizontal="left" vertical="center"/>
    </xf>
    <xf numFmtId="2" fontId="39" fillId="0" borderId="20" xfId="3" applyNumberFormat="1" applyFont="1" applyBorder="1" applyAlignment="1" applyProtection="1">
      <alignment horizontal="center" vertical="center"/>
    </xf>
    <xf numFmtId="2" fontId="39" fillId="0" borderId="22" xfId="3" applyNumberFormat="1" applyFont="1" applyBorder="1" applyAlignment="1" applyProtection="1">
      <alignment horizontal="center" vertical="center"/>
    </xf>
    <xf numFmtId="0" fontId="39" fillId="0" borderId="20" xfId="3" applyFont="1" applyBorder="1" applyAlignment="1" applyProtection="1">
      <alignment horizontal="center" vertical="center"/>
    </xf>
    <xf numFmtId="0" fontId="39" fillId="0" borderId="21" xfId="3" applyFont="1" applyBorder="1" applyAlignment="1" applyProtection="1">
      <alignment horizontal="center" vertical="center"/>
    </xf>
    <xf numFmtId="0" fontId="39" fillId="0" borderId="0" xfId="3" applyNumberFormat="1" applyFont="1" applyAlignment="1" applyProtection="1">
      <alignment horizontal="justify" vertical="center" wrapText="1"/>
    </xf>
    <xf numFmtId="0" fontId="40" fillId="0" borderId="20" xfId="3" applyFont="1" applyBorder="1" applyAlignment="1" applyProtection="1">
      <alignment horizontal="center" vertical="center" shrinkToFit="1"/>
    </xf>
    <xf numFmtId="0" fontId="40" fillId="0" borderId="21" xfId="3" applyFont="1" applyBorder="1" applyAlignment="1" applyProtection="1">
      <alignment horizontal="center" vertical="center" shrinkToFit="1"/>
    </xf>
    <xf numFmtId="0" fontId="40" fillId="0" borderId="22" xfId="3" applyFont="1" applyBorder="1" applyAlignment="1" applyProtection="1">
      <alignment horizontal="center" vertical="center" shrinkToFit="1"/>
    </xf>
    <xf numFmtId="0" fontId="40" fillId="0" borderId="20" xfId="3" applyFont="1" applyBorder="1" applyAlignment="1" applyProtection="1">
      <alignment horizontal="center"/>
    </xf>
    <xf numFmtId="0" fontId="40" fillId="0" borderId="22" xfId="3" applyFont="1" applyBorder="1" applyAlignment="1" applyProtection="1">
      <alignment horizontal="center"/>
    </xf>
    <xf numFmtId="0" fontId="40" fillId="0" borderId="20" xfId="3" applyFont="1" applyBorder="1" applyAlignment="1" applyProtection="1">
      <alignment horizontal="center" vertical="top" wrapText="1"/>
    </xf>
    <xf numFmtId="0" fontId="40" fillId="0" borderId="21" xfId="3" applyFont="1" applyBorder="1" applyAlignment="1" applyProtection="1">
      <alignment horizontal="center" vertical="top" wrapText="1"/>
    </xf>
    <xf numFmtId="0" fontId="39" fillId="0" borderId="0" xfId="3" applyFont="1" applyAlignment="1" applyProtection="1">
      <alignment horizontal="justify" vertical="center" wrapText="1"/>
    </xf>
    <xf numFmtId="0" fontId="17" fillId="0" borderId="17" xfId="0" applyFont="1" applyBorder="1" applyAlignment="1">
      <alignment horizontal="center" vertical="center"/>
    </xf>
    <xf numFmtId="0" fontId="15" fillId="0" borderId="17" xfId="0" applyFont="1" applyBorder="1" applyAlignment="1">
      <alignment horizontal="center" vertical="center"/>
    </xf>
    <xf numFmtId="0" fontId="15" fillId="0" borderId="0" xfId="0" applyFont="1" applyAlignment="1">
      <alignment vertical="center"/>
    </xf>
    <xf numFmtId="0" fontId="15" fillId="0" borderId="0" xfId="0" applyFont="1" applyAlignment="1">
      <alignment horizontal="left" vertical="center"/>
    </xf>
    <xf numFmtId="0" fontId="15" fillId="0" borderId="17" xfId="0" applyNumberFormat="1" applyFont="1" applyBorder="1" applyAlignment="1">
      <alignment horizontal="center" vertical="center" wrapText="1"/>
    </xf>
    <xf numFmtId="0" fontId="16" fillId="0" borderId="0" xfId="0" applyFont="1" applyAlignment="1">
      <alignment horizontal="left" vertical="center" wrapText="1"/>
    </xf>
    <xf numFmtId="0" fontId="16" fillId="0" borderId="0" xfId="0" applyFont="1" applyAlignment="1">
      <alignment horizontal="left" vertical="center" shrinkToFit="1"/>
    </xf>
    <xf numFmtId="0" fontId="16" fillId="0" borderId="0" xfId="0" applyFont="1" applyAlignment="1">
      <alignment horizontal="center" vertical="center"/>
    </xf>
    <xf numFmtId="0" fontId="16" fillId="0" borderId="0" xfId="0" applyFont="1" applyAlignment="1">
      <alignment horizontal="justify" vertical="center" shrinkToFit="1"/>
    </xf>
    <xf numFmtId="0" fontId="39" fillId="0" borderId="17" xfId="3" applyFont="1" applyBorder="1" applyAlignment="1" applyProtection="1">
      <alignment horizontal="left" vertical="top" wrapText="1"/>
    </xf>
    <xf numFmtId="0" fontId="14" fillId="0" borderId="0" xfId="0" applyFont="1" applyAlignment="1">
      <alignment horizontal="center" vertical="center"/>
    </xf>
    <xf numFmtId="0" fontId="39" fillId="0" borderId="0" xfId="3" applyFont="1" applyAlignment="1" applyProtection="1">
      <alignment horizontal="left" vertical="center" wrapText="1"/>
    </xf>
    <xf numFmtId="0" fontId="39" fillId="0" borderId="17" xfId="3" applyFont="1" applyBorder="1" applyAlignment="1" applyProtection="1">
      <alignment horizontal="justify" vertical="top" wrapText="1"/>
    </xf>
    <xf numFmtId="14" fontId="14" fillId="0" borderId="0" xfId="0" applyNumberFormat="1" applyFont="1" applyAlignment="1">
      <alignment horizontal="right" vertical="center" shrinkToFit="1"/>
    </xf>
    <xf numFmtId="0" fontId="39" fillId="0" borderId="0" xfId="3" applyFont="1" applyBorder="1" applyAlignment="1" applyProtection="1">
      <alignment horizontal="justify" vertical="top"/>
    </xf>
    <xf numFmtId="0" fontId="15" fillId="0" borderId="0" xfId="0" applyFont="1" applyFill="1" applyAlignment="1">
      <alignment horizontal="justify" vertical="center" shrinkToFit="1"/>
    </xf>
    <xf numFmtId="0" fontId="39" fillId="0" borderId="0" xfId="3" applyFont="1" applyAlignment="1" applyProtection="1">
      <alignment horizontal="justify"/>
    </xf>
    <xf numFmtId="0" fontId="39" fillId="0" borderId="0" xfId="3" applyFont="1" applyAlignment="1" applyProtection="1">
      <alignment horizontal="justify" vertical="center"/>
    </xf>
    <xf numFmtId="0" fontId="2" fillId="3" borderId="23" xfId="0" applyFont="1" applyFill="1" applyBorder="1" applyAlignment="1">
      <alignment horizontal="center" vertical="center"/>
    </xf>
    <xf numFmtId="0" fontId="2" fillId="3" borderId="24" xfId="0" applyFont="1" applyFill="1" applyBorder="1" applyAlignment="1">
      <alignment horizontal="center" vertical="center"/>
    </xf>
    <xf numFmtId="0" fontId="2" fillId="3" borderId="25" xfId="0" applyFont="1" applyFill="1" applyBorder="1" applyAlignment="1">
      <alignment horizontal="center" vertical="center"/>
    </xf>
    <xf numFmtId="0" fontId="0" fillId="0" borderId="4" xfId="0" applyBorder="1" applyAlignment="1">
      <alignment vertical="center"/>
    </xf>
    <xf numFmtId="0" fontId="0" fillId="0" borderId="0" xfId="0" applyBorder="1" applyAlignment="1">
      <alignment vertical="center"/>
    </xf>
    <xf numFmtId="0" fontId="0" fillId="0" borderId="5" xfId="0" applyBorder="1" applyAlignment="1">
      <alignment vertical="center"/>
    </xf>
    <xf numFmtId="0" fontId="0" fillId="0" borderId="24" xfId="0" applyBorder="1" applyAlignment="1">
      <alignment horizontal="center" vertical="center"/>
    </xf>
    <xf numFmtId="0" fontId="1" fillId="0" borderId="4" xfId="0" applyFont="1" applyBorder="1" applyAlignment="1">
      <alignment horizontal="center" vertical="center"/>
    </xf>
    <xf numFmtId="0" fontId="1" fillId="0" borderId="0" xfId="0" applyFont="1" applyBorder="1" applyAlignment="1">
      <alignment horizontal="center" vertical="center"/>
    </xf>
    <xf numFmtId="0" fontId="0" fillId="6" borderId="20" xfId="0" applyFill="1" applyBorder="1" applyAlignment="1">
      <alignment horizontal="center" vertical="center"/>
    </xf>
    <xf numFmtId="0" fontId="0" fillId="6" borderId="22" xfId="0" applyFill="1" applyBorder="1" applyAlignment="1">
      <alignment horizontal="center" vertical="center"/>
    </xf>
    <xf numFmtId="0" fontId="2" fillId="3" borderId="58" xfId="0" applyFont="1" applyFill="1" applyBorder="1" applyAlignment="1">
      <alignment horizontal="center" vertical="center"/>
    </xf>
    <xf numFmtId="0" fontId="2" fillId="3" borderId="59" xfId="0" applyFont="1" applyFill="1" applyBorder="1" applyAlignment="1">
      <alignment horizontal="center" vertical="center"/>
    </xf>
    <xf numFmtId="0" fontId="6" fillId="6" borderId="0" xfId="0" applyFont="1" applyFill="1" applyAlignment="1">
      <alignment horizontal="left"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5" fillId="6" borderId="0" xfId="0" applyFont="1" applyFill="1" applyAlignment="1">
      <alignment horizontal="center" vertical="center"/>
    </xf>
    <xf numFmtId="0" fontId="1" fillId="6" borderId="1" xfId="0" applyFont="1" applyFill="1" applyBorder="1" applyAlignment="1">
      <alignment horizontal="left" vertical="center"/>
    </xf>
    <xf numFmtId="0" fontId="1" fillId="6" borderId="2" xfId="0" applyFont="1" applyFill="1" applyBorder="1" applyAlignment="1">
      <alignment horizontal="left" vertical="center"/>
    </xf>
    <xf numFmtId="0" fontId="2" fillId="3" borderId="45" xfId="0" applyFont="1" applyFill="1" applyBorder="1" applyAlignment="1">
      <alignment horizontal="center" vertical="center"/>
    </xf>
    <xf numFmtId="0" fontId="1" fillId="0" borderId="14" xfId="0" applyFont="1" applyFill="1" applyBorder="1" applyAlignment="1">
      <alignment horizontal="center" vertical="center"/>
    </xf>
    <xf numFmtId="0" fontId="1" fillId="0" borderId="15" xfId="0" applyFont="1" applyFill="1" applyBorder="1" applyAlignment="1">
      <alignment horizontal="center" vertical="center"/>
    </xf>
    <xf numFmtId="0" fontId="2" fillId="18" borderId="23" xfId="0" applyFont="1" applyFill="1" applyBorder="1" applyAlignment="1">
      <alignment horizontal="center" vertical="center"/>
    </xf>
    <xf numFmtId="0" fontId="2" fillId="18" borderId="24" xfId="0" applyFont="1" applyFill="1" applyBorder="1" applyAlignment="1">
      <alignment horizontal="center" vertical="center"/>
    </xf>
    <xf numFmtId="0" fontId="2" fillId="18" borderId="25" xfId="0" applyFont="1" applyFill="1" applyBorder="1" applyAlignment="1">
      <alignment horizontal="center" vertical="center"/>
    </xf>
    <xf numFmtId="0" fontId="0" fillId="6" borderId="0" xfId="0" applyFill="1" applyBorder="1" applyAlignment="1">
      <alignment horizontal="center" vertical="center"/>
    </xf>
    <xf numFmtId="0" fontId="1" fillId="0" borderId="46" xfId="0" applyFont="1" applyBorder="1" applyAlignment="1">
      <alignment horizontal="center" vertical="center" wrapText="1"/>
    </xf>
    <xf numFmtId="0" fontId="1" fillId="0" borderId="35" xfId="0" applyFont="1" applyBorder="1" applyAlignment="1">
      <alignment horizontal="center" vertical="center" wrapText="1"/>
    </xf>
    <xf numFmtId="0" fontId="0" fillId="0" borderId="17" xfId="0" applyBorder="1" applyAlignment="1">
      <alignment horizontal="center" vertical="center"/>
    </xf>
    <xf numFmtId="0" fontId="0" fillId="0" borderId="36" xfId="0" applyBorder="1" applyAlignment="1">
      <alignment horizontal="center" vertical="center"/>
    </xf>
    <xf numFmtId="0" fontId="0" fillId="6" borderId="18" xfId="0" applyFill="1" applyBorder="1" applyAlignment="1">
      <alignment horizontal="center" vertical="center"/>
    </xf>
    <xf numFmtId="0" fontId="0" fillId="6" borderId="19" xfId="0" applyFill="1" applyBorder="1" applyAlignment="1">
      <alignment horizontal="center" vertical="center"/>
    </xf>
    <xf numFmtId="0" fontId="0" fillId="0" borderId="40" xfId="0" applyBorder="1" applyAlignment="1">
      <alignment horizontal="center" vertical="center"/>
    </xf>
    <xf numFmtId="0" fontId="0" fillId="0" borderId="37" xfId="0" applyBorder="1" applyAlignment="1">
      <alignment horizontal="center" vertical="center"/>
    </xf>
    <xf numFmtId="0" fontId="0" fillId="6" borderId="69" xfId="0" applyFill="1" applyBorder="1" applyAlignment="1">
      <alignment horizontal="center" vertical="center"/>
    </xf>
    <xf numFmtId="0" fontId="87" fillId="6" borderId="0" xfId="0" applyFont="1" applyFill="1" applyAlignment="1">
      <alignment horizontal="center" vertical="center"/>
    </xf>
    <xf numFmtId="0" fontId="0" fillId="0" borderId="0" xfId="0" applyAlignment="1">
      <alignment horizontal="left" vertical="center"/>
    </xf>
    <xf numFmtId="0" fontId="2" fillId="18" borderId="23" xfId="0" applyFont="1" applyFill="1" applyBorder="1" applyAlignment="1">
      <alignment horizontal="left" vertical="center"/>
    </xf>
    <xf numFmtId="0" fontId="2" fillId="18" borderId="24" xfId="0" applyFont="1" applyFill="1" applyBorder="1" applyAlignment="1">
      <alignment horizontal="left" vertical="center"/>
    </xf>
    <xf numFmtId="0" fontId="2" fillId="18" borderId="25" xfId="0" applyFont="1" applyFill="1" applyBorder="1" applyAlignment="1">
      <alignment horizontal="left" vertical="center"/>
    </xf>
    <xf numFmtId="0" fontId="1" fillId="6" borderId="19" xfId="0" applyFont="1" applyFill="1" applyBorder="1" applyAlignment="1">
      <alignment horizontal="center" vertical="center" wrapText="1"/>
    </xf>
    <xf numFmtId="0" fontId="35" fillId="0" borderId="0" xfId="0" applyFont="1" applyAlignment="1">
      <alignment horizontal="center" vertical="center"/>
    </xf>
    <xf numFmtId="0" fontId="35" fillId="6" borderId="0" xfId="0" applyFont="1" applyFill="1" applyBorder="1" applyAlignment="1">
      <alignment horizontal="left" vertical="center"/>
    </xf>
    <xf numFmtId="0" fontId="2" fillId="6" borderId="0" xfId="0" applyFont="1" applyFill="1" applyBorder="1" applyAlignment="1">
      <alignment horizontal="center" vertical="center"/>
    </xf>
    <xf numFmtId="0" fontId="1" fillId="6" borderId="4" xfId="0" applyFont="1" applyFill="1" applyBorder="1" applyAlignment="1">
      <alignment horizontal="left" vertical="center"/>
    </xf>
    <xf numFmtId="0" fontId="1" fillId="6" borderId="0" xfId="0" applyFont="1" applyFill="1" applyBorder="1" applyAlignment="1">
      <alignment horizontal="left" vertical="center"/>
    </xf>
    <xf numFmtId="0" fontId="1" fillId="6" borderId="6" xfId="0" applyFont="1" applyFill="1" applyBorder="1" applyAlignment="1">
      <alignment horizontal="left" vertical="center"/>
    </xf>
    <xf numFmtId="0" fontId="1" fillId="6" borderId="7" xfId="0" applyFont="1" applyFill="1" applyBorder="1" applyAlignment="1">
      <alignment horizontal="left" vertical="center"/>
    </xf>
    <xf numFmtId="0" fontId="52" fillId="0" borderId="17" xfId="0" applyFont="1" applyBorder="1" applyAlignment="1">
      <alignment horizontal="left" vertical="center" shrinkToFit="1"/>
    </xf>
    <xf numFmtId="0" fontId="0" fillId="0" borderId="20" xfId="0" applyFont="1" applyFill="1" applyBorder="1" applyAlignment="1">
      <alignment horizontal="center" vertical="center" wrapText="1" shrinkToFit="1"/>
    </xf>
    <xf numFmtId="0" fontId="0" fillId="0" borderId="21" xfId="0" applyFont="1" applyFill="1" applyBorder="1" applyAlignment="1">
      <alignment horizontal="center" vertical="center" wrapText="1" shrinkToFit="1"/>
    </xf>
    <xf numFmtId="0" fontId="0" fillId="0" borderId="22" xfId="0" applyFont="1" applyFill="1" applyBorder="1" applyAlignment="1">
      <alignment horizontal="center" vertical="center" wrapText="1" shrinkToFit="1"/>
    </xf>
    <xf numFmtId="0" fontId="52" fillId="0" borderId="20" xfId="0" applyFont="1" applyBorder="1" applyAlignment="1">
      <alignment horizontal="left" vertical="center" shrinkToFit="1"/>
    </xf>
    <xf numFmtId="0" fontId="52" fillId="0" borderId="21" xfId="0" applyFont="1" applyBorder="1" applyAlignment="1">
      <alignment horizontal="left" vertical="center" shrinkToFit="1"/>
    </xf>
    <xf numFmtId="0" fontId="23" fillId="0" borderId="17" xfId="0" applyFont="1" applyBorder="1" applyAlignment="1">
      <alignment horizontal="center" vertical="center" shrinkToFit="1"/>
    </xf>
    <xf numFmtId="0" fontId="3" fillId="0" borderId="0" xfId="0" applyFont="1" applyAlignment="1">
      <alignment horizontal="left" vertical="center" wrapText="1"/>
    </xf>
    <xf numFmtId="0" fontId="23" fillId="0" borderId="0" xfId="0" applyFont="1" applyAlignment="1">
      <alignment horizontal="left" shrinkToFit="1"/>
    </xf>
    <xf numFmtId="0" fontId="23" fillId="0" borderId="17" xfId="0" applyFont="1" applyBorder="1" applyAlignment="1">
      <alignment horizontal="left" vertical="center" shrinkToFit="1"/>
    </xf>
    <xf numFmtId="0" fontId="29" fillId="0" borderId="0" xfId="0" applyFont="1" applyAlignment="1">
      <alignment horizontal="left" vertical="center" shrinkToFit="1"/>
    </xf>
    <xf numFmtId="0" fontId="21" fillId="0" borderId="0" xfId="0" applyFont="1" applyAlignment="1">
      <alignment horizontal="left" vertical="center"/>
    </xf>
    <xf numFmtId="0" fontId="23" fillId="0" borderId="0" xfId="0" applyFont="1" applyAlignment="1">
      <alignment horizontal="left"/>
    </xf>
    <xf numFmtId="0" fontId="29" fillId="0" borderId="0" xfId="0" applyFont="1" applyBorder="1" applyAlignment="1">
      <alignment horizontal="justify" vertical="top"/>
    </xf>
    <xf numFmtId="0" fontId="22" fillId="0" borderId="0" xfId="0" applyFont="1" applyAlignment="1">
      <alignment horizontal="justify" vertical="center" wrapText="1"/>
    </xf>
    <xf numFmtId="0" fontId="23" fillId="0" borderId="17" xfId="0" applyFont="1" applyFill="1" applyBorder="1" applyAlignment="1">
      <alignment horizontal="center" vertical="center" shrinkToFit="1"/>
    </xf>
    <xf numFmtId="0" fontId="29" fillId="0" borderId="0" xfId="0" applyFont="1" applyFill="1" applyAlignment="1" applyProtection="1">
      <alignment horizontal="left" vertical="center" shrinkToFit="1"/>
    </xf>
    <xf numFmtId="0" fontId="29" fillId="0" borderId="0" xfId="0" applyFont="1" applyAlignment="1" applyProtection="1">
      <alignment horizontal="center" vertical="center"/>
    </xf>
    <xf numFmtId="14" fontId="29" fillId="0" borderId="0" xfId="0" applyNumberFormat="1" applyFont="1" applyAlignment="1" applyProtection="1">
      <alignment horizontal="right" vertical="center" shrinkToFit="1"/>
    </xf>
    <xf numFmtId="0" fontId="67" fillId="0" borderId="0" xfId="3" applyFont="1" applyFill="1" applyAlignment="1" applyProtection="1">
      <alignment horizontal="justify" vertical="center" wrapText="1"/>
    </xf>
    <xf numFmtId="0" fontId="67" fillId="0" borderId="0" xfId="3" applyNumberFormat="1" applyFont="1" applyAlignment="1" applyProtection="1">
      <alignment horizontal="justify" vertical="center" wrapText="1"/>
    </xf>
    <xf numFmtId="0" fontId="4" fillId="0" borderId="17" xfId="3" applyFont="1" applyFill="1" applyBorder="1" applyAlignment="1" applyProtection="1">
      <alignment horizontal="center" vertical="center" wrapText="1"/>
    </xf>
    <xf numFmtId="0" fontId="78" fillId="0" borderId="17" xfId="3" applyFont="1" applyFill="1" applyBorder="1" applyAlignment="1" applyProtection="1">
      <alignment horizontal="center" vertical="center" wrapText="1"/>
    </xf>
    <xf numFmtId="0" fontId="64" fillId="0" borderId="17" xfId="3" quotePrefix="1" applyFont="1" applyFill="1" applyBorder="1" applyAlignment="1" applyProtection="1">
      <alignment horizontal="center" vertical="center" wrapText="1"/>
    </xf>
    <xf numFmtId="0" fontId="4" fillId="0" borderId="17" xfId="3" quotePrefix="1" applyFont="1" applyFill="1" applyBorder="1" applyAlignment="1" applyProtection="1">
      <alignment horizontal="center" vertical="center" wrapText="1"/>
    </xf>
    <xf numFmtId="0" fontId="4" fillId="0" borderId="10" xfId="3" quotePrefix="1" applyFont="1" applyFill="1" applyBorder="1" applyAlignment="1" applyProtection="1">
      <alignment horizontal="center" vertical="center" wrapText="1"/>
    </xf>
    <xf numFmtId="0" fontId="4" fillId="0" borderId="11" xfId="3" quotePrefix="1" applyFont="1" applyFill="1" applyBorder="1" applyAlignment="1" applyProtection="1">
      <alignment horizontal="center" vertical="center" wrapText="1"/>
    </xf>
    <xf numFmtId="0" fontId="4" fillId="0" borderId="14" xfId="3" quotePrefix="1" applyFont="1" applyFill="1" applyBorder="1" applyAlignment="1" applyProtection="1">
      <alignment horizontal="center" vertical="center" wrapText="1"/>
    </xf>
    <xf numFmtId="0" fontId="4" fillId="0" borderId="15" xfId="3" quotePrefix="1" applyFont="1" applyFill="1" applyBorder="1" applyAlignment="1" applyProtection="1">
      <alignment horizontal="center" vertical="center" wrapText="1"/>
    </xf>
    <xf numFmtId="0" fontId="4" fillId="0" borderId="16" xfId="3" quotePrefix="1" applyFont="1" applyFill="1" applyBorder="1" applyAlignment="1" applyProtection="1">
      <alignment horizontal="center" vertical="center" wrapText="1"/>
    </xf>
    <xf numFmtId="0" fontId="64" fillId="0" borderId="17" xfId="3" applyFont="1" applyFill="1" applyBorder="1" applyAlignment="1" applyProtection="1">
      <alignment horizontal="center" vertical="center" wrapText="1"/>
    </xf>
    <xf numFmtId="0" fontId="67" fillId="0" borderId="0" xfId="3" applyFont="1" applyAlignment="1" applyProtection="1">
      <alignment horizontal="justify" vertical="center"/>
    </xf>
    <xf numFmtId="0" fontId="67" fillId="0" borderId="0" xfId="3" applyFont="1" applyAlignment="1" applyProtection="1">
      <alignment horizontal="justify" vertical="center" wrapText="1"/>
    </xf>
    <xf numFmtId="0" fontId="67" fillId="0" borderId="0" xfId="3" applyFont="1" applyBorder="1" applyAlignment="1" applyProtection="1">
      <alignment horizontal="justify" vertical="top"/>
    </xf>
    <xf numFmtId="0" fontId="78" fillId="0" borderId="20" xfId="3" applyFont="1" applyBorder="1" applyAlignment="1" applyProtection="1">
      <alignment horizontal="center" vertical="center" shrinkToFit="1"/>
    </xf>
    <xf numFmtId="0" fontId="78" fillId="0" borderId="21" xfId="3" applyFont="1" applyBorder="1" applyAlignment="1" applyProtection="1">
      <alignment horizontal="center" vertical="center" shrinkToFit="1"/>
    </xf>
    <xf numFmtId="0" fontId="78" fillId="0" borderId="22" xfId="3" applyFont="1" applyBorder="1" applyAlignment="1" applyProtection="1">
      <alignment horizontal="center" vertical="center" shrinkToFit="1"/>
    </xf>
    <xf numFmtId="0" fontId="78" fillId="0" borderId="20" xfId="3" applyFont="1" applyBorder="1" applyAlignment="1" applyProtection="1">
      <alignment horizontal="center"/>
    </xf>
    <xf numFmtId="0" fontId="78" fillId="0" borderId="22" xfId="3" applyFont="1" applyBorder="1" applyAlignment="1" applyProtection="1">
      <alignment horizontal="center"/>
    </xf>
    <xf numFmtId="0" fontId="67" fillId="0" borderId="20" xfId="3" applyFont="1" applyBorder="1" applyAlignment="1" applyProtection="1">
      <alignment horizontal="left" vertical="center"/>
    </xf>
    <xf numFmtId="0" fontId="67" fillId="0" borderId="21" xfId="3" applyFont="1" applyBorder="1" applyAlignment="1" applyProtection="1">
      <alignment horizontal="left" vertical="center"/>
    </xf>
    <xf numFmtId="0" fontId="67" fillId="0" borderId="22" xfId="3" applyFont="1" applyBorder="1" applyAlignment="1" applyProtection="1">
      <alignment horizontal="left" vertical="center"/>
    </xf>
    <xf numFmtId="2" fontId="67" fillId="0" borderId="20" xfId="3" applyNumberFormat="1" applyFont="1" applyBorder="1" applyAlignment="1" applyProtection="1">
      <alignment horizontal="center" vertical="center"/>
    </xf>
    <xf numFmtId="2" fontId="67" fillId="0" borderId="22" xfId="3" applyNumberFormat="1" applyFont="1" applyBorder="1" applyAlignment="1" applyProtection="1">
      <alignment horizontal="center" vertical="center"/>
    </xf>
    <xf numFmtId="0" fontId="67" fillId="0" borderId="0" xfId="3" applyFont="1" applyAlignment="1" applyProtection="1">
      <alignment horizontal="justify"/>
    </xf>
    <xf numFmtId="0" fontId="67" fillId="0" borderId="17" xfId="3" applyFont="1" applyBorder="1" applyAlignment="1" applyProtection="1">
      <alignment horizontal="left" vertical="top" wrapText="1"/>
    </xf>
    <xf numFmtId="0" fontId="52" fillId="0" borderId="17" xfId="0" applyFont="1" applyBorder="1" applyAlignment="1" applyProtection="1">
      <alignment horizontal="center" vertical="center"/>
    </xf>
    <xf numFmtId="0" fontId="23" fillId="0" borderId="17" xfId="0" applyNumberFormat="1" applyFont="1" applyBorder="1" applyAlignment="1" applyProtection="1">
      <alignment horizontal="center" vertical="center" wrapText="1"/>
    </xf>
    <xf numFmtId="0" fontId="23" fillId="0" borderId="17" xfId="0" applyFont="1" applyBorder="1" applyAlignment="1" applyProtection="1">
      <alignment horizontal="center" vertic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shrinkToFit="1"/>
    </xf>
    <xf numFmtId="0" fontId="23" fillId="0" borderId="0" xfId="0" applyFont="1" applyAlignment="1" applyProtection="1">
      <alignment vertical="center"/>
    </xf>
    <xf numFmtId="0" fontId="23" fillId="0" borderId="0" xfId="0" applyFont="1" applyAlignment="1" applyProtection="1">
      <alignment horizontal="left" vertical="center"/>
    </xf>
    <xf numFmtId="0" fontId="29" fillId="0" borderId="0" xfId="0" applyFont="1" applyAlignment="1" applyProtection="1">
      <alignment horizontal="center" vertical="center" shrinkToFit="1"/>
    </xf>
    <xf numFmtId="0" fontId="27" fillId="0" borderId="0" xfId="0" applyFont="1" applyAlignment="1" applyProtection="1">
      <alignment horizontal="center" vertical="center"/>
    </xf>
    <xf numFmtId="0" fontId="21" fillId="0" borderId="0" xfId="0" applyFont="1" applyAlignment="1" applyProtection="1">
      <alignment horizontal="justify" vertical="center" shrinkToFit="1"/>
    </xf>
    <xf numFmtId="0" fontId="27" fillId="0" borderId="0" xfId="0" applyFont="1" applyAlignment="1" applyProtection="1">
      <alignment horizontal="center" vertical="center" wrapText="1"/>
    </xf>
    <xf numFmtId="0" fontId="78" fillId="0" borderId="17" xfId="3" applyFont="1" applyBorder="1" applyAlignment="1" applyProtection="1">
      <alignment horizontal="center" vertical="center" wrapText="1"/>
    </xf>
    <xf numFmtId="0" fontId="101" fillId="0" borderId="17" xfId="3" applyFont="1" applyFill="1" applyBorder="1" applyAlignment="1" applyProtection="1">
      <alignment horizontal="center" vertical="center" wrapText="1"/>
    </xf>
    <xf numFmtId="0" fontId="101" fillId="0" borderId="10" xfId="3" applyFont="1" applyFill="1" applyBorder="1" applyAlignment="1" applyProtection="1">
      <alignment horizontal="justify" vertical="top" wrapText="1"/>
    </xf>
    <xf numFmtId="0" fontId="67" fillId="0" borderId="17" xfId="3" applyFont="1" applyBorder="1" applyAlignment="1" applyProtection="1">
      <alignment horizontal="center" vertical="center" wrapText="1"/>
    </xf>
    <xf numFmtId="0" fontId="4" fillId="0" borderId="10" xfId="3" applyFont="1" applyFill="1" applyBorder="1" applyAlignment="1" applyProtection="1">
      <alignment horizontal="center" vertical="center" wrapText="1"/>
    </xf>
    <xf numFmtId="0" fontId="0" fillId="0" borderId="19" xfId="0" applyBorder="1" applyAlignment="1" applyProtection="1">
      <alignment horizontal="center"/>
    </xf>
    <xf numFmtId="0" fontId="35" fillId="0" borderId="0" xfId="0" applyFont="1" applyAlignment="1">
      <alignment horizontal="left"/>
    </xf>
    <xf numFmtId="0" fontId="1" fillId="0" borderId="20" xfId="0" applyFont="1" applyBorder="1" applyAlignment="1">
      <alignment horizontal="center"/>
    </xf>
    <xf numFmtId="0" fontId="1" fillId="0" borderId="21" xfId="0" applyFont="1" applyBorder="1" applyAlignment="1">
      <alignment horizontal="center"/>
    </xf>
    <xf numFmtId="0" fontId="1" fillId="0" borderId="22" xfId="0" applyFont="1" applyBorder="1" applyAlignment="1">
      <alignment horizontal="center"/>
    </xf>
    <xf numFmtId="0" fontId="0" fillId="0" borderId="0" xfId="0" applyAlignment="1">
      <alignment horizontal="right"/>
    </xf>
    <xf numFmtId="2" fontId="0" fillId="0" borderId="0" xfId="0" applyNumberFormat="1" applyAlignment="1">
      <alignment horizontal="left"/>
    </xf>
    <xf numFmtId="0" fontId="1" fillId="0" borderId="19" xfId="0" applyFont="1" applyBorder="1" applyAlignment="1">
      <alignment horizontal="center"/>
    </xf>
    <xf numFmtId="0" fontId="1" fillId="0" borderId="17" xfId="0" applyFont="1" applyBorder="1" applyAlignment="1">
      <alignment horizontal="center"/>
    </xf>
    <xf numFmtId="0" fontId="5" fillId="0" borderId="4" xfId="0" applyFont="1" applyBorder="1" applyAlignment="1">
      <alignment horizontal="center"/>
    </xf>
    <xf numFmtId="0" fontId="5" fillId="0" borderId="0" xfId="0" applyFont="1" applyBorder="1" applyAlignment="1">
      <alignment horizontal="center"/>
    </xf>
    <xf numFmtId="0" fontId="0" fillId="0" borderId="4" xfId="0" applyBorder="1" applyAlignment="1"/>
    <xf numFmtId="0" fontId="0" fillId="0" borderId="0" xfId="0" applyBorder="1" applyAlignment="1"/>
    <xf numFmtId="2" fontId="0" fillId="0" borderId="38" xfId="0" applyNumberFormat="1" applyBorder="1" applyAlignment="1">
      <alignment horizontal="center"/>
    </xf>
    <xf numFmtId="2" fontId="0" fillId="0" borderId="17" xfId="0" applyNumberFormat="1" applyBorder="1" applyAlignment="1">
      <alignment horizontal="center"/>
    </xf>
    <xf numFmtId="2" fontId="0" fillId="0" borderId="36" xfId="0" applyNumberFormat="1"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7" xfId="0" applyFont="1" applyBorder="1" applyAlignment="1">
      <alignment horizontal="center"/>
    </xf>
    <xf numFmtId="0" fontId="0" fillId="0" borderId="0" xfId="0" applyAlignment="1">
      <alignment horizontal="right" vertical="center" wrapText="1"/>
    </xf>
    <xf numFmtId="0" fontId="0" fillId="0" borderId="0" xfId="0" applyAlignment="1">
      <alignment horizontal="left"/>
    </xf>
    <xf numFmtId="0" fontId="52" fillId="0" borderId="17" xfId="0" applyFont="1" applyBorder="1" applyAlignment="1">
      <alignment horizontal="left" vertical="center"/>
    </xf>
    <xf numFmtId="0" fontId="115" fillId="0" borderId="17" xfId="0" applyFont="1" applyBorder="1" applyAlignment="1">
      <alignment horizontal="center" vertical="center" wrapText="1" shrinkToFit="1"/>
    </xf>
    <xf numFmtId="0" fontId="3" fillId="0" borderId="0" xfId="0" applyFont="1" applyBorder="1" applyAlignment="1">
      <alignment horizontal="left" vertical="top" wrapText="1"/>
    </xf>
    <xf numFmtId="0" fontId="28" fillId="0" borderId="17" xfId="0" applyFont="1" applyBorder="1" applyAlignment="1">
      <alignment horizontal="center" vertical="center"/>
    </xf>
    <xf numFmtId="0" fontId="23" fillId="2" borderId="0" xfId="0" applyFont="1" applyFill="1" applyAlignment="1">
      <alignment horizontal="justify" vertical="center" wrapText="1"/>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1" fillId="0" borderId="0" xfId="0" applyFont="1" applyFill="1" applyBorder="1" applyAlignment="1">
      <alignment horizontal="right" vertical="center"/>
    </xf>
    <xf numFmtId="0" fontId="1" fillId="0" borderId="0" xfId="0" applyFont="1" applyFill="1" applyAlignment="1">
      <alignment horizontal="right" vertical="center"/>
    </xf>
    <xf numFmtId="0" fontId="1" fillId="0" borderId="13" xfId="0" applyFont="1" applyFill="1" applyBorder="1" applyAlignment="1">
      <alignment horizontal="right" vertical="center"/>
    </xf>
    <xf numFmtId="0" fontId="1" fillId="6" borderId="17" xfId="0" applyFont="1" applyFill="1" applyBorder="1" applyAlignment="1" applyProtection="1">
      <alignment horizontal="center"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35" fillId="0" borderId="0" xfId="0" applyFont="1" applyFill="1" applyAlignment="1">
      <alignment horizontal="left" vertical="center"/>
    </xf>
    <xf numFmtId="0" fontId="2" fillId="3" borderId="17"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5" fillId="0" borderId="61" xfId="0" applyFont="1" applyBorder="1" applyAlignment="1">
      <alignment horizontal="center" vertical="center" wrapText="1"/>
    </xf>
    <xf numFmtId="0" fontId="5" fillId="0" borderId="62" xfId="0" applyFont="1" applyBorder="1" applyAlignment="1">
      <alignment horizontal="center" vertical="center" wrapText="1"/>
    </xf>
    <xf numFmtId="0" fontId="5" fillId="0" borderId="17" xfId="0" applyFont="1" applyBorder="1" applyAlignment="1">
      <alignment horizontal="center" vertical="center"/>
    </xf>
    <xf numFmtId="0" fontId="2" fillId="0" borderId="19" xfId="0" applyFont="1" applyBorder="1" applyAlignment="1">
      <alignment horizontal="center" vertical="center"/>
    </xf>
    <xf numFmtId="0" fontId="2" fillId="0" borderId="19" xfId="0" applyFont="1" applyFill="1" applyBorder="1" applyAlignment="1">
      <alignment horizontal="center" vertical="center"/>
    </xf>
    <xf numFmtId="0" fontId="1" fillId="0" borderId="20" xfId="0" applyFont="1" applyBorder="1" applyAlignment="1">
      <alignment horizontal="center" vertical="center"/>
    </xf>
    <xf numFmtId="0" fontId="1" fillId="0" borderId="2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23" fillId="0" borderId="20" xfId="0" applyFont="1" applyBorder="1" applyAlignment="1">
      <alignment horizontal="left" vertical="center" shrinkToFit="1"/>
    </xf>
    <xf numFmtId="0" fontId="23" fillId="0" borderId="21" xfId="0" applyFont="1" applyBorder="1" applyAlignment="1">
      <alignment horizontal="left" vertical="center" shrinkToFit="1"/>
    </xf>
    <xf numFmtId="0" fontId="23" fillId="0" borderId="22" xfId="0" applyFont="1" applyBorder="1" applyAlignment="1">
      <alignment horizontal="left" vertical="center" shrinkToFit="1"/>
    </xf>
    <xf numFmtId="0" fontId="6" fillId="0" borderId="17" xfId="0" applyFont="1" applyBorder="1" applyAlignment="1">
      <alignment horizontal="center" vertical="center" shrinkToFit="1"/>
    </xf>
    <xf numFmtId="0" fontId="29" fillId="0" borderId="0" xfId="0" applyFont="1" applyAlignment="1">
      <alignment horizontal="left" vertical="center"/>
    </xf>
    <xf numFmtId="14" fontId="29" fillId="0" borderId="0" xfId="0" applyNumberFormat="1" applyFont="1" applyAlignment="1">
      <alignment horizontal="left" vertical="center" shrinkToFit="1"/>
    </xf>
    <xf numFmtId="0" fontId="23" fillId="0" borderId="9" xfId="0" applyFont="1" applyBorder="1" applyAlignment="1">
      <alignment horizontal="center" vertical="center" wrapText="1" shrinkToFit="1"/>
    </xf>
    <xf numFmtId="0" fontId="23" fillId="0" borderId="10" xfId="0" applyFont="1" applyBorder="1" applyAlignment="1">
      <alignment horizontal="center" vertical="center" wrapText="1" shrinkToFit="1"/>
    </xf>
    <xf numFmtId="0" fontId="23" fillId="0" borderId="11" xfId="0" applyFont="1" applyBorder="1" applyAlignment="1">
      <alignment horizontal="center" vertical="center" wrapText="1" shrinkToFit="1"/>
    </xf>
    <xf numFmtId="0" fontId="23" fillId="0" borderId="14" xfId="0" applyFont="1" applyBorder="1" applyAlignment="1">
      <alignment horizontal="center" vertical="center" wrapText="1" shrinkToFit="1"/>
    </xf>
    <xf numFmtId="0" fontId="23" fillId="0" borderId="15" xfId="0" applyFont="1" applyBorder="1" applyAlignment="1">
      <alignment horizontal="center" vertical="center" wrapText="1" shrinkToFit="1"/>
    </xf>
    <xf numFmtId="0" fontId="23" fillId="0" borderId="16" xfId="0" applyFont="1" applyBorder="1" applyAlignment="1">
      <alignment horizontal="center" vertical="center" wrapText="1" shrinkToFit="1"/>
    </xf>
    <xf numFmtId="0" fontId="0" fillId="0" borderId="17" xfId="0" applyFont="1" applyFill="1" applyBorder="1" applyAlignment="1">
      <alignment horizontal="center" vertical="center" wrapText="1" shrinkToFit="1"/>
    </xf>
    <xf numFmtId="0" fontId="1" fillId="6" borderId="17" xfId="0" applyFont="1" applyFill="1" applyBorder="1" applyAlignment="1">
      <alignment horizontal="center" vertical="center"/>
    </xf>
    <xf numFmtId="164" fontId="1" fillId="0" borderId="0" xfId="0" applyNumberFormat="1" applyFont="1" applyBorder="1" applyAlignment="1" applyProtection="1">
      <alignment horizontal="left"/>
    </xf>
    <xf numFmtId="0" fontId="0" fillId="0" borderId="17" xfId="0" applyBorder="1" applyAlignment="1" applyProtection="1">
      <alignment horizontal="center"/>
    </xf>
    <xf numFmtId="0" fontId="0" fillId="0" borderId="61" xfId="0" applyBorder="1" applyAlignment="1" applyProtection="1">
      <alignment horizontal="center"/>
    </xf>
    <xf numFmtId="0" fontId="0" fillId="0" borderId="15" xfId="0" applyBorder="1" applyAlignment="1" applyProtection="1">
      <alignment horizontal="center"/>
    </xf>
    <xf numFmtId="0" fontId="1" fillId="6" borderId="17" xfId="0" applyFont="1" applyFill="1" applyBorder="1" applyAlignment="1" applyProtection="1">
      <alignment horizontal="center"/>
    </xf>
    <xf numFmtId="0" fontId="1" fillId="6" borderId="20" xfId="0" applyFont="1" applyFill="1" applyBorder="1" applyAlignment="1" applyProtection="1">
      <alignment horizontal="center"/>
    </xf>
    <xf numFmtId="0" fontId="1" fillId="6" borderId="19" xfId="0" applyFont="1" applyFill="1" applyBorder="1" applyAlignment="1" applyProtection="1">
      <alignment horizontal="center"/>
    </xf>
    <xf numFmtId="0" fontId="1" fillId="6" borderId="22" xfId="0" applyFont="1" applyFill="1" applyBorder="1" applyAlignment="1" applyProtection="1">
      <alignment horizontal="center"/>
    </xf>
    <xf numFmtId="0" fontId="0" fillId="0" borderId="20" xfId="0" applyBorder="1" applyAlignment="1" applyProtection="1">
      <alignment horizontal="center" shrinkToFit="1"/>
    </xf>
    <xf numFmtId="0" fontId="0" fillId="0" borderId="21" xfId="0" applyBorder="1" applyAlignment="1" applyProtection="1">
      <alignment horizontal="center" shrinkToFit="1"/>
    </xf>
    <xf numFmtId="0" fontId="0" fillId="0" borderId="22" xfId="0" applyBorder="1" applyAlignment="1" applyProtection="1">
      <alignment horizontal="center" shrinkToFit="1"/>
    </xf>
    <xf numFmtId="0" fontId="1" fillId="0" borderId="0" xfId="0" applyFont="1" applyFill="1" applyAlignment="1" applyProtection="1">
      <alignment horizontal="center"/>
    </xf>
    <xf numFmtId="0" fontId="0" fillId="0" borderId="17" xfId="0" applyBorder="1" applyAlignment="1" applyProtection="1">
      <alignment wrapText="1"/>
    </xf>
    <xf numFmtId="0" fontId="29" fillId="0" borderId="17" xfId="0" applyFont="1" applyBorder="1" applyAlignment="1">
      <alignment horizontal="center" vertical="center" wrapText="1" shrinkToFit="1"/>
    </xf>
    <xf numFmtId="0" fontId="3" fillId="0" borderId="17" xfId="0" applyFont="1" applyBorder="1" applyAlignment="1">
      <alignment horizontal="center" vertical="center" wrapText="1" shrinkToFit="1"/>
    </xf>
    <xf numFmtId="0" fontId="23" fillId="0" borderId="17" xfId="0" applyFont="1" applyBorder="1" applyAlignment="1">
      <alignment horizontal="center" vertical="center" wrapText="1"/>
    </xf>
    <xf numFmtId="0" fontId="29" fillId="0" borderId="0" xfId="0" applyNumberFormat="1" applyFont="1" applyAlignment="1">
      <alignment horizontal="left" vertical="center" shrinkToFit="1"/>
    </xf>
    <xf numFmtId="0" fontId="67" fillId="0" borderId="0" xfId="0" applyFont="1" applyAlignment="1">
      <alignment horizontal="justify" vertical="center" wrapText="1"/>
    </xf>
    <xf numFmtId="0" fontId="1" fillId="0" borderId="20" xfId="0" applyFont="1" applyFill="1" applyBorder="1" applyAlignment="1" applyProtection="1">
      <alignment horizontal="center" vertical="center" wrapText="1"/>
    </xf>
    <xf numFmtId="0" fontId="1" fillId="0" borderId="22" xfId="0" applyFont="1" applyFill="1" applyBorder="1" applyAlignment="1" applyProtection="1">
      <alignment horizontal="center" vertical="center" wrapText="1"/>
    </xf>
    <xf numFmtId="0" fontId="2" fillId="3" borderId="0" xfId="0" applyFont="1" applyFill="1" applyAlignment="1" applyProtection="1">
      <alignment horizontal="center"/>
    </xf>
    <xf numFmtId="0" fontId="0" fillId="0" borderId="4" xfId="0" applyBorder="1" applyAlignment="1" applyProtection="1">
      <alignment horizontal="center"/>
    </xf>
    <xf numFmtId="0" fontId="0" fillId="0" borderId="0" xfId="0" applyBorder="1" applyAlignment="1" applyProtection="1">
      <alignment horizontal="center"/>
    </xf>
    <xf numFmtId="0" fontId="1" fillId="0" borderId="9" xfId="0" applyFont="1" applyBorder="1" applyAlignment="1" applyProtection="1">
      <alignment horizontal="center"/>
    </xf>
    <xf numFmtId="0" fontId="1" fillId="0" borderId="11" xfId="0" applyFont="1" applyBorder="1" applyAlignment="1" applyProtection="1">
      <alignment horizontal="center"/>
    </xf>
    <xf numFmtId="0" fontId="1" fillId="0" borderId="0" xfId="0" applyFont="1" applyAlignment="1" applyProtection="1">
      <alignment horizontal="left"/>
    </xf>
    <xf numFmtId="0" fontId="0" fillId="0" borderId="6" xfId="0" applyBorder="1" applyAlignment="1" applyProtection="1">
      <alignment horizontal="center"/>
    </xf>
    <xf numFmtId="0" fontId="0" fillId="0" borderId="7" xfId="0" applyBorder="1" applyAlignment="1" applyProtection="1">
      <alignment horizontal="center"/>
    </xf>
    <xf numFmtId="0" fontId="1" fillId="0" borderId="2" xfId="0" applyFont="1" applyBorder="1" applyAlignment="1" applyProtection="1">
      <alignment horizontal="center"/>
    </xf>
    <xf numFmtId="0" fontId="1" fillId="0" borderId="1" xfId="0" applyFont="1" applyBorder="1" applyAlignment="1" applyProtection="1">
      <alignment horizontal="center" vertical="center"/>
    </xf>
    <xf numFmtId="0" fontId="1" fillId="0" borderId="2" xfId="0" applyFont="1" applyBorder="1" applyAlignment="1" applyProtection="1">
      <alignment horizontal="center" vertical="center"/>
    </xf>
    <xf numFmtId="0" fontId="1" fillId="0" borderId="6" xfId="0" applyFont="1" applyBorder="1" applyAlignment="1" applyProtection="1">
      <alignment horizontal="center" vertical="center"/>
    </xf>
    <xf numFmtId="0" fontId="1" fillId="0" borderId="7" xfId="0" applyFont="1" applyBorder="1" applyAlignment="1" applyProtection="1">
      <alignment horizontal="center" vertical="center"/>
    </xf>
    <xf numFmtId="0" fontId="2" fillId="3" borderId="1" xfId="0" applyFont="1" applyFill="1" applyBorder="1" applyAlignment="1" applyProtection="1">
      <alignment horizontal="center"/>
    </xf>
    <xf numFmtId="0" fontId="2" fillId="3" borderId="2" xfId="0" applyFont="1" applyFill="1" applyBorder="1" applyAlignment="1" applyProtection="1">
      <alignment horizontal="center"/>
    </xf>
    <xf numFmtId="0" fontId="0" fillId="0" borderId="17" xfId="0" applyFill="1" applyBorder="1" applyAlignment="1" applyProtection="1">
      <alignment horizontal="center"/>
    </xf>
    <xf numFmtId="0" fontId="0" fillId="0" borderId="1" xfId="0" applyBorder="1" applyAlignment="1" applyProtection="1">
      <alignment horizontal="center"/>
    </xf>
    <xf numFmtId="0" fontId="0" fillId="0" borderId="2" xfId="0" applyBorder="1" applyAlignment="1" applyProtection="1">
      <alignment horizontal="center"/>
    </xf>
    <xf numFmtId="0" fontId="1" fillId="0" borderId="17" xfId="0" applyFont="1" applyFill="1" applyBorder="1" applyAlignment="1" applyProtection="1">
      <alignment horizontal="center" vertical="center" wrapText="1"/>
    </xf>
    <xf numFmtId="0" fontId="1" fillId="0" borderId="21" xfId="0" applyFont="1" applyFill="1" applyBorder="1" applyAlignment="1" applyProtection="1">
      <alignment horizontal="center" vertical="center" wrapText="1"/>
    </xf>
    <xf numFmtId="0" fontId="1" fillId="0" borderId="0" xfId="0" applyFont="1" applyAlignment="1" applyProtection="1">
      <alignment horizontal="center"/>
    </xf>
    <xf numFmtId="0" fontId="35" fillId="0" borderId="54" xfId="0" applyFont="1" applyBorder="1" applyAlignment="1" applyProtection="1">
      <alignment horizontal="center"/>
    </xf>
    <xf numFmtId="0" fontId="35" fillId="0" borderId="21" xfId="0" applyFont="1" applyBorder="1" applyAlignment="1" applyProtection="1">
      <alignment horizontal="center"/>
    </xf>
    <xf numFmtId="0" fontId="35" fillId="0" borderId="31" xfId="0" applyFont="1" applyBorder="1" applyAlignment="1" applyProtection="1">
      <alignment horizontal="center"/>
    </xf>
    <xf numFmtId="0" fontId="2" fillId="3" borderId="0" xfId="0" applyFont="1" applyFill="1" applyAlignment="1" applyProtection="1">
      <alignment horizontal="left"/>
    </xf>
    <xf numFmtId="0" fontId="35" fillId="0" borderId="0" xfId="0" applyFont="1" applyAlignment="1" applyProtection="1">
      <alignment horizontal="center" wrapText="1"/>
    </xf>
    <xf numFmtId="0" fontId="35" fillId="0" borderId="15" xfId="0" applyFont="1" applyBorder="1" applyAlignment="1" applyProtection="1">
      <alignment horizontal="center" wrapText="1"/>
    </xf>
    <xf numFmtId="0" fontId="1" fillId="0" borderId="12" xfId="0" applyFont="1" applyFill="1" applyBorder="1" applyAlignment="1" applyProtection="1">
      <alignment horizontal="center" vertical="center" wrapText="1"/>
    </xf>
    <xf numFmtId="0" fontId="1" fillId="0" borderId="0" xfId="0" applyFont="1" applyFill="1" applyBorder="1" applyAlignment="1" applyProtection="1">
      <alignment horizontal="center" vertical="center" wrapText="1"/>
    </xf>
    <xf numFmtId="0" fontId="1" fillId="0" borderId="12" xfId="0"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29" fillId="0" borderId="0" xfId="0" applyFont="1" applyAlignment="1">
      <alignment horizontal="left" vertical="top" wrapText="1"/>
    </xf>
    <xf numFmtId="14" fontId="23" fillId="0" borderId="0" xfId="0" applyNumberFormat="1" applyFont="1" applyAlignment="1" applyProtection="1">
      <alignment horizontal="left" vertical="center"/>
    </xf>
    <xf numFmtId="0" fontId="23" fillId="0" borderId="17" xfId="0" applyFont="1" applyBorder="1" applyAlignment="1">
      <alignment horizontal="left" vertical="top"/>
    </xf>
    <xf numFmtId="0" fontId="21" fillId="0" borderId="17" xfId="0" applyFont="1" applyBorder="1" applyAlignment="1">
      <alignment horizontal="center" vertical="center" wrapText="1"/>
    </xf>
    <xf numFmtId="0" fontId="23" fillId="0" borderId="9" xfId="0" applyNumberFormat="1" applyFont="1" applyBorder="1" applyAlignment="1">
      <alignment horizontal="center" vertical="center" wrapText="1"/>
    </xf>
    <xf numFmtId="0" fontId="23" fillId="0" borderId="11" xfId="0" applyNumberFormat="1" applyFont="1" applyBorder="1" applyAlignment="1">
      <alignment horizontal="center" vertical="center" wrapText="1"/>
    </xf>
    <xf numFmtId="0" fontId="23" fillId="0" borderId="14" xfId="0" applyNumberFormat="1" applyFont="1" applyBorder="1" applyAlignment="1">
      <alignment horizontal="center" vertical="center" wrapText="1"/>
    </xf>
    <xf numFmtId="0" fontId="23" fillId="0" borderId="16" xfId="0" applyNumberFormat="1" applyFont="1" applyBorder="1" applyAlignment="1">
      <alignment horizontal="center" vertical="center" wrapText="1"/>
    </xf>
    <xf numFmtId="0" fontId="52" fillId="0" borderId="18" xfId="0" applyFont="1" applyBorder="1" applyAlignment="1">
      <alignment horizontal="center" vertical="center"/>
    </xf>
    <xf numFmtId="0" fontId="52" fillId="0" borderId="19" xfId="0" applyFont="1" applyBorder="1" applyAlignment="1">
      <alignment horizontal="center" vertical="center"/>
    </xf>
    <xf numFmtId="0" fontId="21" fillId="0" borderId="18" xfId="0" applyFont="1" applyBorder="1" applyAlignment="1">
      <alignment horizontal="center" vertical="center" wrapText="1"/>
    </xf>
    <xf numFmtId="0" fontId="21" fillId="0" borderId="19" xfId="0" applyFont="1" applyBorder="1" applyAlignment="1">
      <alignment horizontal="center" vertical="center" wrapText="1"/>
    </xf>
    <xf numFmtId="0" fontId="21" fillId="0" borderId="20" xfId="0" applyFont="1" applyBorder="1" applyAlignment="1">
      <alignment horizontal="center" vertical="center" wrapText="1"/>
    </xf>
    <xf numFmtId="0" fontId="21" fillId="0" borderId="21" xfId="0" applyFont="1" applyBorder="1" applyAlignment="1">
      <alignment horizontal="center" vertical="center" wrapText="1"/>
    </xf>
    <xf numFmtId="0" fontId="21" fillId="0" borderId="22" xfId="0" applyFont="1" applyBorder="1" applyAlignment="1">
      <alignment horizontal="center" vertical="center" wrapText="1"/>
    </xf>
    <xf numFmtId="0" fontId="6" fillId="0" borderId="20" xfId="0" applyFont="1" applyBorder="1" applyAlignment="1">
      <alignment horizontal="center" vertical="center"/>
    </xf>
    <xf numFmtId="0" fontId="6" fillId="0" borderId="22" xfId="0" applyFont="1" applyBorder="1" applyAlignment="1">
      <alignment horizontal="center" vertical="center"/>
    </xf>
    <xf numFmtId="0" fontId="52" fillId="0" borderId="0" xfId="0" applyFont="1" applyAlignment="1">
      <alignment horizontal="left"/>
    </xf>
    <xf numFmtId="0" fontId="0" fillId="0" borderId="17" xfId="0" applyFont="1" applyBorder="1" applyAlignment="1" applyProtection="1">
      <alignment horizontal="center" vertical="center"/>
    </xf>
    <xf numFmtId="0" fontId="0" fillId="0" borderId="20" xfId="0" applyFont="1" applyBorder="1" applyAlignment="1" applyProtection="1">
      <alignment horizontal="center" vertical="center"/>
    </xf>
    <xf numFmtId="0" fontId="0" fillId="0" borderId="22" xfId="0" applyFont="1" applyBorder="1" applyAlignment="1" applyProtection="1">
      <alignment horizontal="center" vertical="center"/>
    </xf>
    <xf numFmtId="0" fontId="1" fillId="0" borderId="14" xfId="0" applyFont="1" applyBorder="1" applyAlignment="1" applyProtection="1">
      <alignment horizontal="right"/>
    </xf>
    <xf numFmtId="0" fontId="1" fillId="0" borderId="15" xfId="0" applyFont="1" applyBorder="1" applyAlignment="1" applyProtection="1">
      <alignment horizontal="right"/>
    </xf>
    <xf numFmtId="0" fontId="1" fillId="0" borderId="16" xfId="0" applyFont="1" applyBorder="1" applyAlignment="1" applyProtection="1">
      <alignment horizontal="right"/>
    </xf>
    <xf numFmtId="0" fontId="0" fillId="0" borderId="17" xfId="0" applyFont="1" applyBorder="1" applyAlignment="1" applyProtection="1">
      <alignment horizontal="center" vertical="center" wrapText="1"/>
    </xf>
    <xf numFmtId="0" fontId="0" fillId="0" borderId="20" xfId="0" applyFont="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0" borderId="65" xfId="0" applyFont="1" applyBorder="1" applyAlignment="1" applyProtection="1">
      <alignment horizontal="center" vertical="center" wrapText="1"/>
    </xf>
    <xf numFmtId="0" fontId="0" fillId="0" borderId="19" xfId="0" applyFont="1" applyBorder="1" applyAlignment="1" applyProtection="1">
      <alignment horizontal="center" vertical="center" wrapText="1"/>
    </xf>
    <xf numFmtId="0" fontId="1" fillId="0" borderId="17" xfId="0" applyFont="1" applyBorder="1" applyAlignment="1" applyProtection="1">
      <alignment horizontal="center"/>
    </xf>
    <xf numFmtId="0" fontId="0" fillId="0" borderId="22" xfId="0" applyFont="1" applyBorder="1" applyAlignment="1" applyProtection="1">
      <alignment horizontal="center"/>
    </xf>
    <xf numFmtId="0" fontId="0" fillId="0" borderId="17" xfId="0" applyFont="1" applyBorder="1" applyAlignment="1" applyProtection="1">
      <alignment horizontal="center"/>
    </xf>
    <xf numFmtId="0" fontId="0" fillId="2" borderId="17" xfId="0" applyFont="1" applyFill="1" applyBorder="1" applyAlignment="1" applyProtection="1">
      <alignment horizontal="center"/>
    </xf>
    <xf numFmtId="0" fontId="0" fillId="0" borderId="2" xfId="0" applyFont="1" applyBorder="1" applyAlignment="1" applyProtection="1">
      <alignment horizontal="center" vertical="center"/>
    </xf>
    <xf numFmtId="0" fontId="0" fillId="4" borderId="17" xfId="0" applyFont="1" applyFill="1" applyBorder="1" applyAlignment="1" applyProtection="1">
      <alignment horizontal="center" vertical="center"/>
      <protection locked="0"/>
    </xf>
    <xf numFmtId="0" fontId="74" fillId="0" borderId="23" xfId="0" applyFont="1" applyFill="1" applyBorder="1" applyAlignment="1" applyProtection="1">
      <alignment horizontal="center" vertical="center"/>
    </xf>
    <xf numFmtId="0" fontId="74" fillId="0" borderId="24" xfId="0" applyFont="1" applyFill="1" applyBorder="1" applyAlignment="1" applyProtection="1">
      <alignment horizontal="center" vertical="center"/>
    </xf>
    <xf numFmtId="0" fontId="74" fillId="0" borderId="25" xfId="0" applyFont="1" applyFill="1" applyBorder="1" applyAlignment="1" applyProtection="1">
      <alignment horizontal="center" vertical="center"/>
    </xf>
    <xf numFmtId="0" fontId="1" fillId="0" borderId="19" xfId="0" applyFont="1" applyBorder="1" applyAlignment="1" applyProtection="1">
      <alignment horizontal="center" vertical="center" wrapText="1"/>
    </xf>
    <xf numFmtId="0" fontId="1" fillId="0" borderId="17" xfId="0" applyFont="1" applyBorder="1" applyAlignment="1" applyProtection="1">
      <alignment horizontal="center" vertical="center" wrapText="1"/>
    </xf>
    <xf numFmtId="0" fontId="2" fillId="3" borderId="23" xfId="0" applyFont="1" applyFill="1" applyBorder="1" applyAlignment="1" applyProtection="1">
      <alignment horizontal="center" vertical="center"/>
    </xf>
    <xf numFmtId="0" fontId="2" fillId="3" borderId="24" xfId="0" applyFont="1" applyFill="1" applyBorder="1" applyAlignment="1" applyProtection="1">
      <alignment horizontal="center" vertical="center"/>
    </xf>
    <xf numFmtId="0" fontId="2" fillId="3" borderId="25" xfId="0" applyFont="1" applyFill="1" applyBorder="1" applyAlignment="1" applyProtection="1">
      <alignment horizontal="center" vertical="center"/>
    </xf>
    <xf numFmtId="0" fontId="2" fillId="3" borderId="1"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0" fillId="0" borderId="17" xfId="0" applyFont="1" applyBorder="1" applyAlignment="1" applyProtection="1">
      <alignment horizontal="right" vertical="center"/>
    </xf>
    <xf numFmtId="0" fontId="29" fillId="0" borderId="20" xfId="0" applyFont="1" applyBorder="1" applyAlignment="1" applyProtection="1">
      <alignment horizontal="left" vertical="center"/>
    </xf>
    <xf numFmtId="0" fontId="29" fillId="0" borderId="21" xfId="0" applyFont="1" applyBorder="1" applyAlignment="1" applyProtection="1">
      <alignment horizontal="left" vertical="center"/>
    </xf>
    <xf numFmtId="0" fontId="29" fillId="0" borderId="22" xfId="0" applyFont="1" applyBorder="1" applyAlignment="1" applyProtection="1">
      <alignment horizontal="left" vertical="center"/>
    </xf>
    <xf numFmtId="0" fontId="73" fillId="13" borderId="23" xfId="0" applyFont="1" applyFill="1" applyBorder="1" applyAlignment="1" applyProtection="1">
      <alignment horizontal="center"/>
    </xf>
    <xf numFmtId="0" fontId="73" fillId="13" borderId="24" xfId="0" applyFont="1" applyFill="1" applyBorder="1" applyAlignment="1" applyProtection="1">
      <alignment horizontal="center"/>
    </xf>
    <xf numFmtId="0" fontId="73" fillId="13" borderId="25" xfId="0" applyFont="1" applyFill="1" applyBorder="1" applyAlignment="1" applyProtection="1">
      <alignment horizontal="center"/>
    </xf>
    <xf numFmtId="0" fontId="73" fillId="13" borderId="23" xfId="0" applyFont="1" applyFill="1" applyBorder="1" applyAlignment="1" applyProtection="1">
      <alignment horizontal="center" vertical="center"/>
    </xf>
    <xf numFmtId="0" fontId="73" fillId="13" borderId="24" xfId="0" applyFont="1" applyFill="1" applyBorder="1" applyAlignment="1" applyProtection="1">
      <alignment horizontal="center" vertical="center"/>
    </xf>
    <xf numFmtId="0" fontId="73" fillId="13" borderId="25" xfId="0" applyFont="1" applyFill="1" applyBorder="1" applyAlignment="1" applyProtection="1">
      <alignment horizontal="center" vertical="center"/>
    </xf>
    <xf numFmtId="0" fontId="0" fillId="0" borderId="21" xfId="0" applyFont="1" applyBorder="1" applyAlignment="1" applyProtection="1">
      <alignment horizontal="center" vertical="center"/>
    </xf>
    <xf numFmtId="0" fontId="0" fillId="0" borderId="17" xfId="0" applyFont="1" applyBorder="1" applyAlignment="1">
      <alignment horizontal="center" vertical="center" wrapText="1"/>
    </xf>
    <xf numFmtId="0" fontId="0" fillId="0" borderId="20" xfId="0" applyFont="1" applyBorder="1" applyAlignment="1">
      <alignment horizontal="center" vertical="center" wrapText="1"/>
    </xf>
    <xf numFmtId="0" fontId="1" fillId="0" borderId="17" xfId="0" applyFont="1" applyBorder="1" applyAlignment="1" applyProtection="1">
      <alignment horizontal="center" vertical="center"/>
    </xf>
    <xf numFmtId="14" fontId="6" fillId="0" borderId="17" xfId="0" applyNumberFormat="1" applyFont="1" applyFill="1" applyBorder="1" applyAlignment="1">
      <alignment horizontal="center" vertical="center" shrinkToFit="1"/>
    </xf>
    <xf numFmtId="0" fontId="6" fillId="0" borderId="20"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6" fillId="0" borderId="22" xfId="0" applyFont="1" applyFill="1" applyBorder="1" applyAlignment="1">
      <alignment horizontal="center" vertical="center" wrapText="1"/>
    </xf>
    <xf numFmtId="0" fontId="1" fillId="0" borderId="20"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17" xfId="0" applyFont="1" applyBorder="1" applyAlignment="1">
      <alignment horizontal="center" vertical="center"/>
    </xf>
    <xf numFmtId="0" fontId="28" fillId="0" borderId="17" xfId="0" applyFont="1" applyBorder="1" applyAlignment="1">
      <alignment horizontal="center" vertical="center" wrapText="1"/>
    </xf>
    <xf numFmtId="0" fontId="6" fillId="0" borderId="0" xfId="0" applyFont="1" applyBorder="1" applyAlignment="1">
      <alignment horizontal="justify" vertical="top" wrapText="1"/>
    </xf>
    <xf numFmtId="0" fontId="0" fillId="0" borderId="0" xfId="0" applyFont="1" applyAlignment="1">
      <alignment horizontal="justify" vertical="center" wrapText="1"/>
    </xf>
    <xf numFmtId="0" fontId="1" fillId="0" borderId="0" xfId="0" applyFont="1" applyAlignment="1">
      <alignment horizontal="center" vertical="center"/>
    </xf>
    <xf numFmtId="0" fontId="0" fillId="0" borderId="17" xfId="0" applyFont="1" applyBorder="1" applyAlignment="1">
      <alignment horizontal="center" vertical="center" shrinkToFit="1"/>
    </xf>
    <xf numFmtId="0" fontId="0" fillId="0" borderId="20" xfId="0" applyFont="1" applyBorder="1" applyAlignment="1">
      <alignment horizontal="center" vertical="center" shrinkToFit="1"/>
    </xf>
    <xf numFmtId="0" fontId="0" fillId="0" borderId="21" xfId="0" applyFont="1" applyBorder="1" applyAlignment="1">
      <alignment horizontal="center" vertical="center" shrinkToFit="1"/>
    </xf>
    <xf numFmtId="0" fontId="0" fillId="0" borderId="22" xfId="0" applyFont="1" applyBorder="1" applyAlignment="1">
      <alignment horizontal="center" vertical="center" shrinkToFit="1"/>
    </xf>
    <xf numFmtId="0" fontId="0" fillId="0" borderId="20" xfId="0" applyFont="1" applyFill="1" applyBorder="1" applyAlignment="1">
      <alignment horizontal="left" vertical="center"/>
    </xf>
    <xf numFmtId="0" fontId="0" fillId="0" borderId="21" xfId="0" applyFont="1" applyFill="1" applyBorder="1" applyAlignment="1">
      <alignment horizontal="left" vertical="center"/>
    </xf>
    <xf numFmtId="0" fontId="0" fillId="0" borderId="22" xfId="0" applyFont="1" applyFill="1" applyBorder="1" applyAlignment="1">
      <alignment horizontal="left" vertical="center"/>
    </xf>
    <xf numFmtId="2" fontId="0" fillId="0" borderId="17" xfId="0" applyNumberFormat="1" applyFont="1" applyFill="1" applyBorder="1" applyAlignment="1">
      <alignment horizontal="center" vertical="center" wrapText="1"/>
    </xf>
    <xf numFmtId="0" fontId="0" fillId="0" borderId="17" xfId="0" applyFont="1" applyFill="1" applyBorder="1" applyAlignment="1">
      <alignment horizontal="center" vertical="center" wrapText="1"/>
    </xf>
    <xf numFmtId="0" fontId="0" fillId="0" borderId="22" xfId="0" applyFont="1" applyBorder="1" applyAlignment="1">
      <alignment horizontal="center" vertical="center" wrapText="1"/>
    </xf>
    <xf numFmtId="0" fontId="0" fillId="0" borderId="20" xfId="0" applyFont="1" applyFill="1" applyBorder="1" applyAlignment="1">
      <alignment horizontal="center" vertical="center" wrapText="1"/>
    </xf>
    <xf numFmtId="0" fontId="0" fillId="0" borderId="22" xfId="0" applyFont="1" applyFill="1" applyBorder="1" applyAlignment="1">
      <alignment horizontal="center" vertical="center" wrapText="1"/>
    </xf>
    <xf numFmtId="0" fontId="0" fillId="0" borderId="17" xfId="0" applyFont="1" applyBorder="1" applyAlignment="1">
      <alignment horizontal="left" vertical="center"/>
    </xf>
    <xf numFmtId="0" fontId="0" fillId="0" borderId="20" xfId="0" applyFont="1" applyBorder="1" applyAlignment="1">
      <alignment horizontal="center" vertical="center"/>
    </xf>
    <xf numFmtId="0" fontId="0" fillId="0" borderId="22" xfId="0" applyFont="1" applyBorder="1" applyAlignment="1">
      <alignment horizontal="center" vertical="center"/>
    </xf>
    <xf numFmtId="0" fontId="0" fillId="0" borderId="17" xfId="0" applyFont="1" applyBorder="1" applyAlignment="1">
      <alignment horizontal="justify" vertical="center" wrapText="1"/>
    </xf>
    <xf numFmtId="0" fontId="0" fillId="0" borderId="17" xfId="0" applyFont="1" applyFill="1" applyBorder="1" applyAlignment="1">
      <alignment horizontal="justify" vertical="center" wrapText="1"/>
    </xf>
    <xf numFmtId="0" fontId="0" fillId="0" borderId="17" xfId="0" applyFont="1" applyFill="1" applyBorder="1" applyAlignment="1">
      <alignment horizontal="left" vertical="center"/>
    </xf>
    <xf numFmtId="165" fontId="0" fillId="0" borderId="20" xfId="0" applyNumberFormat="1" applyFont="1" applyBorder="1" applyAlignment="1">
      <alignment horizontal="center" vertical="center" wrapText="1"/>
    </xf>
    <xf numFmtId="165" fontId="0" fillId="0" borderId="22" xfId="0" applyNumberFormat="1" applyFont="1" applyBorder="1" applyAlignment="1">
      <alignment horizontal="center" vertical="center" wrapText="1"/>
    </xf>
    <xf numFmtId="0" fontId="35" fillId="2" borderId="17" xfId="0" applyFont="1" applyFill="1" applyBorder="1" applyAlignment="1">
      <alignment horizontal="center" vertical="center"/>
    </xf>
    <xf numFmtId="0" fontId="51" fillId="2" borderId="17" xfId="0" applyFont="1" applyFill="1" applyBorder="1" applyAlignment="1">
      <alignment horizontal="center" vertical="center" wrapText="1"/>
    </xf>
    <xf numFmtId="0" fontId="0" fillId="0" borderId="20" xfId="0" applyFont="1" applyBorder="1" applyAlignment="1">
      <alignment horizontal="left" vertical="center"/>
    </xf>
    <xf numFmtId="0" fontId="0" fillId="0" borderId="21" xfId="0" applyFont="1" applyBorder="1" applyAlignment="1">
      <alignment horizontal="left" vertical="center"/>
    </xf>
    <xf numFmtId="0" fontId="0" fillId="0" borderId="22" xfId="0" applyFont="1" applyBorder="1" applyAlignment="1">
      <alignment horizontal="left" vertical="center"/>
    </xf>
    <xf numFmtId="0" fontId="1" fillId="0" borderId="22" xfId="0" applyFont="1" applyBorder="1" applyAlignment="1">
      <alignment horizontal="center" vertical="center"/>
    </xf>
    <xf numFmtId="0" fontId="0" fillId="0" borderId="0" xfId="0" applyFont="1" applyFill="1" applyAlignment="1">
      <alignment horizontal="justify" vertical="center" wrapText="1"/>
    </xf>
    <xf numFmtId="0" fontId="0" fillId="0" borderId="0" xfId="0" applyFont="1" applyFill="1" applyAlignment="1">
      <alignment horizontal="justify" vertical="top" wrapText="1"/>
    </xf>
    <xf numFmtId="0" fontId="0" fillId="0" borderId="0" xfId="0" applyFont="1" applyAlignment="1">
      <alignment horizontal="justify" vertical="center"/>
    </xf>
    <xf numFmtId="0" fontId="0" fillId="0" borderId="21" xfId="0" applyFont="1" applyBorder="1" applyAlignment="1">
      <alignment horizontal="center" vertical="center"/>
    </xf>
    <xf numFmtId="0" fontId="0" fillId="0" borderId="0" xfId="0" applyFont="1" applyFill="1" applyAlignment="1">
      <alignment horizontal="left" vertical="center"/>
    </xf>
    <xf numFmtId="0" fontId="0" fillId="0" borderId="0" xfId="0" applyFont="1" applyAlignment="1">
      <alignment horizontal="left" vertical="center" shrinkToFit="1"/>
    </xf>
    <xf numFmtId="0" fontId="1" fillId="0" borderId="0" xfId="0" applyFont="1" applyAlignment="1">
      <alignment horizontal="justify" vertical="center" shrinkToFit="1"/>
    </xf>
    <xf numFmtId="0" fontId="1" fillId="0" borderId="0" xfId="0" applyFont="1" applyAlignment="1">
      <alignment horizontal="left" vertical="center" wrapText="1"/>
    </xf>
    <xf numFmtId="0" fontId="0" fillId="0" borderId="17" xfId="0" applyNumberFormat="1" applyFont="1" applyBorder="1" applyAlignment="1">
      <alignment horizontal="center" vertical="center" wrapText="1"/>
    </xf>
    <xf numFmtId="0" fontId="0" fillId="0" borderId="17" xfId="0" applyFont="1" applyBorder="1" applyAlignment="1">
      <alignment horizontal="center" vertical="center"/>
    </xf>
    <xf numFmtId="0" fontId="0" fillId="0" borderId="0" xfId="0" applyFont="1" applyAlignment="1">
      <alignment vertical="center"/>
    </xf>
    <xf numFmtId="0" fontId="0" fillId="0" borderId="0" xfId="0" applyFont="1" applyAlignment="1">
      <alignment horizontal="left" vertical="center"/>
    </xf>
    <xf numFmtId="0" fontId="1" fillId="0" borderId="0" xfId="0" applyFont="1" applyAlignment="1">
      <alignment horizontal="left" vertical="center" shrinkToFit="1"/>
    </xf>
    <xf numFmtId="0" fontId="0" fillId="0" borderId="17" xfId="0" applyBorder="1" applyAlignment="1" applyProtection="1">
      <alignment horizontal="center" vertical="center" wrapText="1"/>
    </xf>
    <xf numFmtId="0" fontId="0" fillId="4" borderId="17" xfId="0" applyFill="1" applyBorder="1" applyAlignment="1" applyProtection="1">
      <alignment horizontal="center" vertical="center"/>
      <protection locked="0"/>
    </xf>
    <xf numFmtId="0" fontId="1" fillId="0" borderId="20" xfId="0" applyFont="1" applyBorder="1" applyAlignment="1" applyProtection="1">
      <alignment horizontal="center" vertical="center"/>
    </xf>
    <xf numFmtId="0" fontId="29" fillId="0" borderId="10" xfId="0" applyFont="1" applyBorder="1" applyAlignment="1" applyProtection="1">
      <alignment horizontal="center" vertical="top"/>
    </xf>
    <xf numFmtId="0" fontId="0" fillId="0" borderId="20" xfId="0" applyBorder="1" applyAlignment="1" applyProtection="1">
      <alignment horizontal="center" vertical="center"/>
    </xf>
    <xf numFmtId="0" fontId="0" fillId="0" borderId="21" xfId="0" applyBorder="1" applyAlignment="1" applyProtection="1">
      <alignment horizontal="center" vertical="center"/>
    </xf>
    <xf numFmtId="0" fontId="0" fillId="0" borderId="15" xfId="0" applyBorder="1" applyAlignment="1" applyProtection="1">
      <alignment horizontal="center" vertical="center"/>
    </xf>
    <xf numFmtId="0" fontId="1" fillId="0" borderId="64" xfId="0" applyFont="1" applyBorder="1" applyAlignment="1" applyProtection="1">
      <alignment horizontal="center" vertical="center"/>
    </xf>
    <xf numFmtId="0" fontId="1" fillId="0" borderId="0" xfId="0" applyFont="1" applyAlignment="1">
      <alignment horizontal="center" vertical="center" shrinkToFit="1"/>
    </xf>
    <xf numFmtId="0" fontId="6" fillId="0" borderId="0" xfId="0" applyFont="1" applyAlignment="1">
      <alignment horizontal="justify" vertical="center" wrapText="1"/>
    </xf>
    <xf numFmtId="0" fontId="21" fillId="0" borderId="17" xfId="0" applyFont="1" applyBorder="1" applyAlignment="1">
      <alignment horizontal="center" vertical="center" shrinkToFit="1"/>
    </xf>
    <xf numFmtId="0" fontId="21" fillId="0" borderId="17" xfId="0" applyFont="1" applyBorder="1" applyAlignment="1">
      <alignment horizontal="center"/>
    </xf>
    <xf numFmtId="170" fontId="23" fillId="0" borderId="17" xfId="1" applyNumberFormat="1" applyFont="1" applyBorder="1" applyAlignment="1">
      <alignment horizontal="center" vertical="center"/>
    </xf>
    <xf numFmtId="0" fontId="21" fillId="0" borderId="17" xfId="0" applyFont="1" applyBorder="1" applyAlignment="1">
      <alignment horizontal="center" vertical="center" wrapText="1" shrinkToFit="1"/>
    </xf>
    <xf numFmtId="0" fontId="23" fillId="0" borderId="17" xfId="0" applyNumberFormat="1" applyFont="1" applyBorder="1" applyAlignment="1">
      <alignment horizontal="center" vertical="center"/>
    </xf>
    <xf numFmtId="0" fontId="23" fillId="0" borderId="0" xfId="0" applyFont="1" applyAlignment="1">
      <alignment horizontal="left" vertical="top" wrapText="1"/>
    </xf>
    <xf numFmtId="0" fontId="23" fillId="0" borderId="0" xfId="0" applyFont="1" applyAlignment="1">
      <alignment horizontal="center" vertical="top" wrapText="1"/>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9" fontId="23" fillId="0" borderId="20" xfId="0" applyNumberFormat="1" applyFont="1" applyBorder="1" applyAlignment="1">
      <alignment horizontal="center" vertical="center" wrapText="1" shrinkToFit="1"/>
    </xf>
    <xf numFmtId="0" fontId="23" fillId="0" borderId="22" xfId="0" applyFont="1" applyBorder="1" applyAlignment="1">
      <alignment horizontal="center" vertical="center" wrapText="1" shrinkToFit="1"/>
    </xf>
    <xf numFmtId="0" fontId="21" fillId="0" borderId="0" xfId="0" applyFont="1" applyAlignment="1">
      <alignment horizontal="justify" vertical="top" wrapText="1"/>
    </xf>
    <xf numFmtId="0" fontId="23" fillId="0" borderId="0" xfId="0" applyFont="1" applyBorder="1" applyAlignment="1" applyProtection="1">
      <alignment horizontal="center" vertical="center" wrapText="1"/>
      <protection locked="0"/>
    </xf>
    <xf numFmtId="0" fontId="52" fillId="0" borderId="0" xfId="0" applyNumberFormat="1" applyFont="1" applyBorder="1" applyAlignment="1" applyProtection="1">
      <alignment horizontal="center" vertical="center" wrapText="1"/>
    </xf>
    <xf numFmtId="0" fontId="52" fillId="0" borderId="0" xfId="0" applyNumberFormat="1" applyFont="1" applyBorder="1" applyAlignment="1" applyProtection="1">
      <alignment horizontal="center" vertical="center" wrapText="1"/>
      <protection locked="0"/>
    </xf>
    <xf numFmtId="0" fontId="23" fillId="0" borderId="0" xfId="0" applyFont="1" applyAlignment="1" applyProtection="1">
      <alignment horizontal="justify" vertical="center" wrapText="1"/>
    </xf>
    <xf numFmtId="0" fontId="29" fillId="0" borderId="0" xfId="0" applyFont="1" applyAlignment="1" applyProtection="1">
      <alignment horizontal="left" vertical="center"/>
    </xf>
    <xf numFmtId="0" fontId="21" fillId="0" borderId="0" xfId="0" applyFont="1" applyAlignment="1" applyProtection="1">
      <alignment horizontal="center" vertical="center"/>
    </xf>
    <xf numFmtId="0" fontId="23" fillId="0" borderId="0" xfId="0" applyFont="1" applyAlignment="1" applyProtection="1">
      <alignment horizontal="justify" vertical="center"/>
    </xf>
    <xf numFmtId="0" fontId="23" fillId="0" borderId="0" xfId="0" applyFont="1" applyAlignment="1" applyProtection="1">
      <alignment horizontal="left" vertical="center" wrapText="1"/>
    </xf>
    <xf numFmtId="0" fontId="29" fillId="0" borderId="0" xfId="0" applyFont="1" applyAlignment="1" applyProtection="1">
      <alignment horizontal="justify" vertical="center" wrapText="1"/>
    </xf>
    <xf numFmtId="0" fontId="0" fillId="5" borderId="0" xfId="0" applyFill="1" applyAlignment="1" applyProtection="1">
      <alignment horizontal="center"/>
      <protection locked="0"/>
    </xf>
    <xf numFmtId="0" fontId="0" fillId="0" borderId="0" xfId="0" applyAlignment="1">
      <alignment horizontal="center"/>
    </xf>
    <xf numFmtId="0" fontId="6" fillId="0" borderId="0" xfId="0" applyFont="1" applyAlignment="1">
      <alignment horizontal="left" vertical="center" shrinkToFit="1"/>
    </xf>
    <xf numFmtId="0" fontId="52" fillId="0" borderId="0" xfId="0" applyFont="1" applyBorder="1" applyAlignment="1">
      <alignment horizontal="right" vertical="center"/>
    </xf>
    <xf numFmtId="0" fontId="52" fillId="0" borderId="0" xfId="0" applyFont="1" applyAlignment="1">
      <alignment horizontal="left" vertical="center"/>
    </xf>
    <xf numFmtId="0" fontId="6" fillId="0" borderId="0" xfId="0" applyFont="1" applyAlignment="1">
      <alignment horizontal="left" vertical="center"/>
    </xf>
    <xf numFmtId="0" fontId="21" fillId="0" borderId="0" xfId="0" applyFont="1" applyAlignment="1">
      <alignment horizontal="center" vertical="center" wrapText="1"/>
    </xf>
    <xf numFmtId="14" fontId="29" fillId="0" borderId="0" xfId="0" applyNumberFormat="1" applyFont="1" applyAlignment="1">
      <alignment horizontal="center" vertical="center"/>
    </xf>
    <xf numFmtId="2" fontId="39" fillId="0" borderId="0" xfId="0" applyNumberFormat="1" applyFont="1" applyBorder="1" applyAlignment="1" applyProtection="1">
      <alignment horizontal="center"/>
    </xf>
    <xf numFmtId="0" fontId="47" fillId="15" borderId="23" xfId="0" applyFont="1" applyFill="1" applyBorder="1" applyAlignment="1" applyProtection="1">
      <alignment horizontal="center" vertical="center"/>
    </xf>
    <xf numFmtId="0" fontId="47" fillId="15" borderId="24" xfId="0" applyFont="1" applyFill="1" applyBorder="1" applyAlignment="1" applyProtection="1">
      <alignment horizontal="center" vertical="center"/>
    </xf>
    <xf numFmtId="2" fontId="40" fillId="3" borderId="20" xfId="0" applyNumberFormat="1" applyFont="1" applyFill="1" applyBorder="1" applyAlignment="1" applyProtection="1">
      <alignment horizontal="center"/>
    </xf>
    <xf numFmtId="2" fontId="40" fillId="3" borderId="21" xfId="0" applyNumberFormat="1" applyFont="1" applyFill="1" applyBorder="1" applyAlignment="1" applyProtection="1">
      <alignment horizontal="center"/>
    </xf>
    <xf numFmtId="2" fontId="40" fillId="3" borderId="22" xfId="0" applyNumberFormat="1" applyFont="1" applyFill="1" applyBorder="1" applyAlignment="1" applyProtection="1">
      <alignment horizontal="center"/>
    </xf>
    <xf numFmtId="0" fontId="40" fillId="18" borderId="20" xfId="0" applyFont="1" applyFill="1" applyBorder="1" applyAlignment="1" applyProtection="1">
      <alignment horizontal="center"/>
    </xf>
    <xf numFmtId="0" fontId="40" fillId="18" borderId="21" xfId="0" applyFont="1" applyFill="1" applyBorder="1" applyAlignment="1" applyProtection="1">
      <alignment horizontal="center"/>
    </xf>
    <xf numFmtId="0" fontId="40" fillId="18" borderId="17" xfId="0" applyFont="1" applyFill="1" applyBorder="1" applyAlignment="1" applyProtection="1">
      <alignment horizontal="center"/>
    </xf>
    <xf numFmtId="0" fontId="40" fillId="0" borderId="0" xfId="0" applyFont="1" applyAlignment="1" applyProtection="1">
      <alignment horizontal="center" vertical="center"/>
    </xf>
    <xf numFmtId="0" fontId="39" fillId="0" borderId="0" xfId="0" applyFont="1" applyAlignment="1" applyProtection="1">
      <alignment horizontal="center" vertical="center"/>
    </xf>
    <xf numFmtId="0" fontId="40" fillId="13" borderId="0" xfId="0" applyFont="1" applyFill="1" applyAlignment="1" applyProtection="1">
      <alignment horizontal="center" vertical="center"/>
    </xf>
    <xf numFmtId="0" fontId="40" fillId="2" borderId="18" xfId="0" applyFont="1" applyFill="1" applyBorder="1" applyAlignment="1" applyProtection="1">
      <alignment horizontal="center" vertical="center" wrapText="1"/>
    </xf>
    <xf numFmtId="0" fontId="40" fillId="2" borderId="19" xfId="0" applyFont="1" applyFill="1" applyBorder="1" applyAlignment="1" applyProtection="1">
      <alignment horizontal="center" vertical="center" wrapText="1"/>
    </xf>
    <xf numFmtId="0" fontId="40" fillId="13" borderId="18" xfId="0" applyFont="1" applyFill="1" applyBorder="1" applyAlignment="1" applyProtection="1">
      <alignment horizontal="center" vertical="center"/>
    </xf>
    <xf numFmtId="0" fontId="40" fillId="13" borderId="19" xfId="0" applyFont="1" applyFill="1" applyBorder="1" applyAlignment="1" applyProtection="1">
      <alignment horizontal="center" vertical="center"/>
    </xf>
    <xf numFmtId="0" fontId="40" fillId="13" borderId="65" xfId="0" applyFont="1" applyFill="1" applyBorder="1" applyAlignment="1" applyProtection="1">
      <alignment horizontal="center" vertical="center"/>
    </xf>
    <xf numFmtId="2" fontId="67" fillId="0" borderId="20" xfId="0" applyNumberFormat="1" applyFont="1" applyBorder="1" applyAlignment="1">
      <alignment horizontal="center" vertical="center" wrapText="1" shrinkToFit="1"/>
    </xf>
    <xf numFmtId="2" fontId="67" fillId="0" borderId="21" xfId="0" applyNumberFormat="1" applyFont="1" applyBorder="1" applyAlignment="1">
      <alignment horizontal="center" vertical="center" wrapText="1" shrinkToFit="1"/>
    </xf>
    <xf numFmtId="2" fontId="67" fillId="0" borderId="22" xfId="0" applyNumberFormat="1" applyFont="1" applyBorder="1" applyAlignment="1">
      <alignment horizontal="center" vertical="center" wrapText="1" shrinkToFit="1"/>
    </xf>
    <xf numFmtId="165" fontId="0" fillId="0" borderId="20" xfId="0" applyNumberFormat="1" applyFont="1" applyBorder="1" applyAlignment="1">
      <alignment horizontal="center" vertical="center" shrinkToFit="1"/>
    </xf>
    <xf numFmtId="165" fontId="0" fillId="0" borderId="22" xfId="0" applyNumberFormat="1" applyFont="1" applyBorder="1" applyAlignment="1">
      <alignment horizontal="center" vertical="center" shrinkToFit="1"/>
    </xf>
    <xf numFmtId="0" fontId="67" fillId="0" borderId="17" xfId="0" applyFont="1" applyBorder="1" applyAlignment="1">
      <alignment horizontal="center" vertical="center" wrapText="1"/>
    </xf>
    <xf numFmtId="2" fontId="23" fillId="0" borderId="17" xfId="0" applyNumberFormat="1" applyFont="1" applyBorder="1" applyAlignment="1">
      <alignment horizontal="center" vertical="center"/>
    </xf>
    <xf numFmtId="0" fontId="21" fillId="0" borderId="17" xfId="0" applyNumberFormat="1" applyFont="1" applyBorder="1" applyAlignment="1">
      <alignment horizontal="center" vertical="center" shrinkToFit="1"/>
    </xf>
    <xf numFmtId="0" fontId="67" fillId="0" borderId="0" xfId="0" applyFont="1" applyAlignment="1" applyProtection="1">
      <alignment horizontal="left" shrinkToFit="1"/>
    </xf>
    <xf numFmtId="0" fontId="23" fillId="0" borderId="20" xfId="0" applyFont="1" applyBorder="1" applyAlignment="1">
      <alignment horizontal="center"/>
    </xf>
    <xf numFmtId="0" fontId="23" fillId="0" borderId="22" xfId="0" applyFont="1" applyBorder="1" applyAlignment="1">
      <alignment horizontal="center"/>
    </xf>
    <xf numFmtId="0" fontId="67" fillId="0" borderId="17" xfId="0" applyFont="1" applyBorder="1" applyAlignment="1" applyProtection="1">
      <alignment horizontal="center" vertical="top"/>
    </xf>
    <xf numFmtId="0" fontId="23" fillId="0" borderId="0" xfId="0" applyFont="1" applyFill="1" applyAlignment="1">
      <alignment horizontal="justify" vertical="center"/>
    </xf>
    <xf numFmtId="0" fontId="78" fillId="0" borderId="17" xfId="0" applyFont="1" applyBorder="1" applyAlignment="1" applyProtection="1">
      <alignment horizontal="center"/>
    </xf>
    <xf numFmtId="0" fontId="21" fillId="0" borderId="18" xfId="0" applyNumberFormat="1" applyFont="1" applyBorder="1" applyAlignment="1">
      <alignment horizontal="center" vertical="center" shrinkToFit="1"/>
    </xf>
    <xf numFmtId="2" fontId="0" fillId="0" borderId="17" xfId="0" applyNumberFormat="1" applyFont="1" applyBorder="1" applyAlignment="1">
      <alignment horizontal="center" vertical="center" shrinkToFit="1"/>
    </xf>
    <xf numFmtId="0" fontId="52" fillId="0" borderId="17" xfId="0" applyNumberFormat="1"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justify" vertical="top"/>
    </xf>
    <xf numFmtId="0" fontId="21" fillId="0" borderId="9" xfId="0" applyNumberFormat="1" applyFont="1" applyBorder="1" applyAlignment="1">
      <alignment horizontal="center" vertical="center" shrinkToFit="1"/>
    </xf>
    <xf numFmtId="0" fontId="21" fillId="0" borderId="10" xfId="0" applyNumberFormat="1" applyFont="1" applyBorder="1" applyAlignment="1">
      <alignment horizontal="center" vertical="center" shrinkToFit="1"/>
    </xf>
    <xf numFmtId="2" fontId="0" fillId="0" borderId="20" xfId="0" applyNumberFormat="1" applyFont="1" applyBorder="1" applyAlignment="1">
      <alignment horizontal="center" vertical="center" shrinkToFit="1"/>
    </xf>
    <xf numFmtId="0" fontId="21" fillId="0" borderId="20" xfId="0" applyNumberFormat="1" applyFont="1" applyBorder="1" applyAlignment="1">
      <alignment horizontal="center" vertical="center" shrinkToFit="1"/>
    </xf>
    <xf numFmtId="0" fontId="21" fillId="0" borderId="22" xfId="0" applyNumberFormat="1" applyFont="1" applyBorder="1" applyAlignment="1">
      <alignment horizontal="center" vertical="center" shrinkToFit="1"/>
    </xf>
    <xf numFmtId="165" fontId="0" fillId="0" borderId="17" xfId="0" applyNumberFormat="1" applyFont="1" applyBorder="1" applyAlignment="1">
      <alignment horizontal="center" vertical="center" shrinkToFit="1"/>
    </xf>
    <xf numFmtId="0" fontId="0" fillId="0" borderId="17" xfId="0" applyNumberFormat="1" applyFont="1" applyBorder="1" applyAlignment="1">
      <alignment horizontal="center" vertical="center" shrinkToFit="1"/>
    </xf>
    <xf numFmtId="0" fontId="21" fillId="0" borderId="0" xfId="0" applyFont="1" applyAlignment="1">
      <alignment horizontal="justify" vertical="center" wrapText="1"/>
    </xf>
    <xf numFmtId="0" fontId="0" fillId="0" borderId="0" xfId="0" applyFont="1" applyAlignment="1">
      <alignment horizontal="left" wrapText="1"/>
    </xf>
    <xf numFmtId="0" fontId="23" fillId="0" borderId="0" xfId="0" applyFont="1" applyAlignment="1">
      <alignment horizontal="center" vertical="center" wrapText="1"/>
    </xf>
    <xf numFmtId="2" fontId="0" fillId="6" borderId="0" xfId="0" applyNumberFormat="1" applyFill="1" applyAlignment="1">
      <alignment horizontal="left"/>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0" fillId="0" borderId="56" xfId="0" applyFont="1" applyBorder="1" applyAlignment="1">
      <alignment horizontal="left"/>
    </xf>
    <xf numFmtId="0" fontId="0" fillId="0" borderId="57" xfId="0" applyFont="1" applyBorder="1" applyAlignment="1">
      <alignment horizontal="left"/>
    </xf>
    <xf numFmtId="0" fontId="0" fillId="0" borderId="4" xfId="0" applyFont="1" applyBorder="1" applyAlignment="1">
      <alignment horizontal="left"/>
    </xf>
    <xf numFmtId="0" fontId="0" fillId="0" borderId="5" xfId="0" applyFont="1" applyBorder="1" applyAlignment="1">
      <alignment horizontal="left"/>
    </xf>
    <xf numFmtId="0" fontId="1" fillId="0" borderId="1" xfId="0" applyFont="1" applyBorder="1" applyAlignment="1">
      <alignment horizontal="left"/>
    </xf>
    <xf numFmtId="0" fontId="1" fillId="0" borderId="2" xfId="0" applyFont="1" applyBorder="1" applyAlignment="1">
      <alignment horizontal="left"/>
    </xf>
    <xf numFmtId="0" fontId="1" fillId="0" borderId="6" xfId="0" applyFont="1" applyBorder="1" applyAlignment="1">
      <alignment horizontal="center"/>
    </xf>
    <xf numFmtId="0" fontId="1" fillId="0" borderId="8" xfId="0" applyFont="1" applyBorder="1" applyAlignment="1">
      <alignment horizontal="center"/>
    </xf>
    <xf numFmtId="0" fontId="35" fillId="4" borderId="51" xfId="0" applyFont="1" applyFill="1" applyBorder="1" applyAlignment="1" applyProtection="1">
      <alignment horizontal="center"/>
      <protection locked="0"/>
    </xf>
    <xf numFmtId="0" fontId="35" fillId="4" borderId="27" xfId="0" applyFont="1" applyFill="1" applyBorder="1" applyAlignment="1" applyProtection="1">
      <alignment horizontal="center"/>
      <protection locked="0"/>
    </xf>
    <xf numFmtId="0" fontId="52" fillId="0" borderId="0" xfId="0" applyFont="1" applyAlignment="1">
      <alignment horizontal="left" vertical="center" shrinkToFit="1"/>
    </xf>
    <xf numFmtId="0" fontId="23" fillId="0" borderId="0" xfId="0" applyFont="1" applyAlignment="1">
      <alignment horizontal="left" vertical="center" shrinkToFit="1"/>
    </xf>
    <xf numFmtId="0" fontId="23" fillId="0" borderId="9" xfId="0" applyNumberFormat="1" applyFont="1" applyBorder="1" applyAlignment="1">
      <alignment horizontal="center" vertical="center" wrapText="1" shrinkToFit="1"/>
    </xf>
    <xf numFmtId="0" fontId="23" fillId="0" borderId="10" xfId="0" applyNumberFormat="1" applyFont="1" applyBorder="1" applyAlignment="1">
      <alignment horizontal="center" vertical="center" wrapText="1" shrinkToFit="1"/>
    </xf>
    <xf numFmtId="0" fontId="23" fillId="0" borderId="11" xfId="0" applyNumberFormat="1" applyFont="1" applyBorder="1" applyAlignment="1">
      <alignment horizontal="center" vertical="center" wrapText="1" shrinkToFit="1"/>
    </xf>
    <xf numFmtId="0" fontId="23" fillId="0" borderId="14" xfId="0" applyNumberFormat="1" applyFont="1" applyBorder="1" applyAlignment="1">
      <alignment horizontal="center" vertical="center" wrapText="1" shrinkToFit="1"/>
    </xf>
    <xf numFmtId="0" fontId="23" fillId="0" borderId="15" xfId="0" applyNumberFormat="1" applyFont="1" applyBorder="1" applyAlignment="1">
      <alignment horizontal="center" vertical="center" wrapText="1" shrinkToFit="1"/>
    </xf>
    <xf numFmtId="0" fontId="23" fillId="0" borderId="16" xfId="0" applyNumberFormat="1" applyFont="1" applyBorder="1" applyAlignment="1">
      <alignment horizontal="center" vertical="center" wrapText="1" shrinkToFit="1"/>
    </xf>
    <xf numFmtId="49" fontId="6" fillId="0" borderId="10" xfId="0" applyNumberFormat="1" applyFont="1" applyBorder="1" applyAlignment="1">
      <alignment horizontal="justify" vertical="center" wrapText="1"/>
    </xf>
    <xf numFmtId="49" fontId="6" fillId="0" borderId="0" xfId="0" applyNumberFormat="1" applyFont="1" applyBorder="1" applyAlignment="1">
      <alignment horizontal="justify" vertical="center" wrapText="1"/>
    </xf>
    <xf numFmtId="14" fontId="23" fillId="0" borderId="0" xfId="0" applyNumberFormat="1" applyFont="1" applyAlignment="1">
      <alignment horizontal="right"/>
    </xf>
    <xf numFmtId="0" fontId="23" fillId="0" borderId="0" xfId="0" applyFont="1" applyAlignment="1">
      <alignment horizontal="center"/>
    </xf>
    <xf numFmtId="0" fontId="23" fillId="0" borderId="0" xfId="0" applyFont="1" applyAlignment="1">
      <alignment horizontal="center" vertical="center"/>
    </xf>
    <xf numFmtId="0" fontId="6" fillId="0" borderId="0" xfId="0" applyFont="1" applyAlignment="1">
      <alignment horizontal="left"/>
    </xf>
    <xf numFmtId="0" fontId="22" fillId="0" borderId="0" xfId="0" applyFont="1" applyAlignment="1">
      <alignment horizontal="left" vertical="center"/>
    </xf>
    <xf numFmtId="2" fontId="22" fillId="0" borderId="0" xfId="0" applyNumberFormat="1" applyFont="1" applyAlignment="1">
      <alignment horizontal="left" vertical="center"/>
    </xf>
    <xf numFmtId="0" fontId="24" fillId="0" borderId="0" xfId="0" applyNumberFormat="1" applyFont="1" applyAlignment="1">
      <alignment horizontal="center" vertical="center" wrapText="1"/>
    </xf>
    <xf numFmtId="0" fontId="23" fillId="2" borderId="0" xfId="0" applyFont="1" applyFill="1" applyAlignment="1">
      <alignment horizontal="center" vertical="center" wrapText="1"/>
    </xf>
    <xf numFmtId="0" fontId="23" fillId="0" borderId="0" xfId="0" applyFont="1" applyFill="1" applyAlignment="1">
      <alignment horizontal="center" vertical="center" wrapText="1"/>
    </xf>
    <xf numFmtId="0" fontId="27" fillId="0" borderId="0" xfId="0" applyFont="1" applyAlignment="1">
      <alignment horizontal="center" vertical="center" wrapText="1"/>
    </xf>
    <xf numFmtId="0" fontId="0" fillId="6" borderId="7" xfId="0" applyFill="1" applyBorder="1" applyAlignment="1" applyProtection="1">
      <alignment horizontal="justify" vertical="center"/>
    </xf>
    <xf numFmtId="49" fontId="39" fillId="0" borderId="0" xfId="3" applyNumberFormat="1" applyFont="1" applyAlignment="1" applyProtection="1">
      <alignment horizontal="justify" vertical="center" wrapText="1"/>
    </xf>
    <xf numFmtId="0" fontId="42" fillId="0" borderId="0" xfId="3" applyFont="1" applyAlignment="1" applyProtection="1">
      <alignment horizontal="justify" vertical="center"/>
    </xf>
    <xf numFmtId="0" fontId="78" fillId="0" borderId="17" xfId="3" applyFont="1" applyBorder="1" applyAlignment="1" applyProtection="1">
      <alignment horizontal="center"/>
    </xf>
    <xf numFmtId="0" fontId="67" fillId="0" borderId="17" xfId="3" applyFont="1" applyBorder="1" applyAlignment="1" applyProtection="1">
      <alignment horizontal="justify"/>
    </xf>
    <xf numFmtId="0" fontId="67" fillId="0" borderId="17" xfId="3" applyFont="1" applyBorder="1" applyAlignment="1" applyProtection="1">
      <alignment horizontal="center" vertical="center"/>
    </xf>
    <xf numFmtId="0" fontId="40" fillId="0" borderId="0" xfId="3" applyFont="1" applyAlignment="1" applyProtection="1">
      <alignment horizontal="justify" vertical="top"/>
    </xf>
    <xf numFmtId="165" fontId="67" fillId="0" borderId="17" xfId="3" applyNumberFormat="1" applyFont="1" applyBorder="1" applyAlignment="1" applyProtection="1">
      <alignment horizontal="center"/>
    </xf>
    <xf numFmtId="0" fontId="67" fillId="0" borderId="17" xfId="3" applyFont="1" applyBorder="1" applyAlignment="1" applyProtection="1">
      <alignment horizontal="center"/>
    </xf>
    <xf numFmtId="0" fontId="0" fillId="0" borderId="17" xfId="0" applyBorder="1" applyAlignment="1">
      <alignment horizontal="left" vertical="center" wrapText="1" shrinkToFit="1"/>
    </xf>
    <xf numFmtId="0" fontId="1" fillId="0" borderId="0" xfId="0" applyFont="1" applyAlignment="1">
      <alignment horizontal="left"/>
    </xf>
    <xf numFmtId="0" fontId="1" fillId="0" borderId="0" xfId="0" applyFont="1" applyAlignment="1">
      <alignment horizontal="center"/>
    </xf>
    <xf numFmtId="0" fontId="0" fillId="0" borderId="0" xfId="0" applyFont="1" applyAlignment="1">
      <alignment horizontal="center"/>
    </xf>
  </cellXfs>
  <cellStyles count="5">
    <cellStyle name="Hiperlink" xfId="4" builtinId="8"/>
    <cellStyle name="Normal" xfId="0" builtinId="0"/>
    <cellStyle name="Normal 2" xfId="3"/>
    <cellStyle name="Porcentagem" xfId="1" builtinId="5"/>
    <cellStyle name="Vírgula" xfId="2" builtinId="3"/>
  </cellStyles>
  <dxfs count="1311">
    <dxf>
      <font>
        <b/>
        <i val="0"/>
      </font>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19" formatCode="dd/mm/yy"/>
    </dxf>
    <dxf>
      <numFmt numFmtId="27" formatCode="dd/mm/yy\ hh:mm"/>
    </dxf>
    <dxf>
      <font>
        <b/>
        <i val="0"/>
        <color auto="1"/>
      </font>
    </dxf>
    <dxf>
      <font>
        <b/>
        <i/>
      </font>
    </dxf>
    <dxf>
      <font>
        <b val="0"/>
        <i/>
      </font>
    </dxf>
    <dxf>
      <font>
        <b/>
        <i val="0"/>
        <color rgb="FFFF0000"/>
      </font>
      <fill>
        <patternFill>
          <bgColor rgb="FFFFFF00"/>
        </patternFill>
      </fill>
    </dxf>
    <dxf>
      <border>
        <left style="thin">
          <color auto="1"/>
        </left>
        <right style="thin">
          <color auto="1"/>
        </right>
        <top style="thin">
          <color auto="1"/>
        </top>
        <bottom style="thin">
          <color auto="1"/>
        </bottom>
        <vertical/>
        <horizontal/>
      </border>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val="0"/>
      </font>
    </dxf>
    <dxf>
      <font>
        <b/>
        <i/>
      </font>
    </dxf>
    <dxf>
      <font>
        <b/>
        <i val="0"/>
      </font>
    </dxf>
    <dxf>
      <font>
        <b/>
        <i/>
      </font>
    </dxf>
    <dxf>
      <font>
        <b/>
        <i val="0"/>
      </font>
    </dxf>
    <dxf>
      <font>
        <b/>
        <i/>
      </font>
    </dxf>
    <dxf>
      <font>
        <b/>
        <i val="0"/>
      </font>
    </dxf>
    <dxf>
      <font>
        <b/>
        <i/>
      </font>
    </dxf>
    <dxf>
      <font>
        <b/>
        <i val="0"/>
      </font>
    </dxf>
    <dxf>
      <font>
        <b/>
        <i val="0"/>
      </font>
    </dxf>
    <dxf>
      <font>
        <b/>
        <i/>
      </font>
    </dxf>
    <dxf>
      <font>
        <b/>
        <i val="0"/>
      </font>
    </dxf>
    <dxf>
      <font>
        <b/>
        <i val="0"/>
      </font>
    </dxf>
    <dxf>
      <border>
        <left style="thin">
          <color auto="1"/>
        </left>
        <right style="thin">
          <color auto="1"/>
        </right>
        <top style="thin">
          <color auto="1"/>
        </top>
        <bottom style="thin">
          <color auto="1"/>
        </bottom>
        <vertical/>
        <horizontal/>
      </border>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val="0"/>
      </font>
    </dxf>
    <dxf>
      <font>
        <b/>
        <i/>
      </font>
    </dxf>
    <dxf>
      <font>
        <b/>
        <i val="0"/>
      </font>
    </dxf>
    <dxf>
      <border>
        <left style="thin">
          <color auto="1"/>
        </left>
        <right style="thin">
          <color auto="1"/>
        </right>
        <top style="thin">
          <color auto="1"/>
        </top>
        <bottom style="thin">
          <color auto="1"/>
        </bottom>
        <vertical/>
        <horizontal/>
      </border>
    </dxf>
    <dxf>
      <font>
        <b/>
        <i val="0"/>
      </font>
    </dxf>
    <dxf>
      <font>
        <b/>
        <i val="0"/>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color auto="1"/>
      </font>
      <fill>
        <patternFill patternType="none">
          <bgColor auto="1"/>
        </patternFill>
      </fill>
      <border>
        <left style="thin">
          <color auto="1"/>
        </left>
        <right style="thin">
          <color auto="1"/>
        </right>
        <top style="thin">
          <color auto="1"/>
        </top>
        <bottom style="thin">
          <color auto="1"/>
        </bottom>
        <vertical/>
        <horizontal/>
      </border>
    </dxf>
    <dxf>
      <font>
        <b/>
        <i/>
      </font>
    </dxf>
    <dxf>
      <font>
        <b/>
        <i val="0"/>
      </font>
    </dxf>
    <dxf>
      <font>
        <b/>
        <i val="0"/>
      </font>
    </dxf>
    <dxf>
      <font>
        <b/>
        <i val="0"/>
      </font>
    </dxf>
    <dxf>
      <font>
        <b/>
        <i val="0"/>
      </font>
    </dxf>
    <dxf>
      <font>
        <b/>
        <i val="0"/>
      </font>
    </dxf>
    <dxf>
      <font>
        <b/>
        <i val="0"/>
      </font>
    </dxf>
    <dxf>
      <font>
        <b/>
        <i val="0"/>
      </font>
    </dxf>
    <dxf>
      <font>
        <b/>
        <i val="0"/>
      </font>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font>
    </dxf>
    <dxf>
      <font>
        <b/>
        <i/>
      </font>
    </dxf>
    <dxf>
      <font>
        <b/>
        <i val="0"/>
      </font>
    </dxf>
    <dxf>
      <font>
        <b/>
        <i val="0"/>
      </font>
    </dxf>
    <dxf>
      <border>
        <left style="thin">
          <color auto="1"/>
        </left>
        <right style="thin">
          <color auto="1"/>
        </right>
        <top style="thin">
          <color auto="1"/>
        </top>
        <bottom style="thin">
          <color auto="1"/>
        </bottom>
        <vertical/>
        <horizontal/>
      </border>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val="0"/>
      </font>
    </dxf>
    <dxf>
      <font>
        <b/>
        <i val="0"/>
      </font>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font>
      <fill>
        <patternFill>
          <bgColor rgb="FFFFFF00"/>
        </patternFill>
      </fill>
    </dxf>
    <dxf>
      <font>
        <b/>
        <i val="0"/>
        <color auto="1"/>
      </font>
      <fill>
        <patternFill>
          <bgColor rgb="FFFFFF00"/>
        </patternFill>
      </fill>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font>
    </dxf>
    <dxf>
      <font>
        <b/>
        <i/>
      </font>
    </dxf>
    <dxf>
      <font>
        <b/>
        <i/>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val="0"/>
      </font>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val="0"/>
      </font>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val="0"/>
      </font>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val="0"/>
      </font>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val="0"/>
      </font>
    </dxf>
    <dxf>
      <font>
        <b/>
        <i val="0"/>
      </font>
    </dxf>
    <dxf>
      <font>
        <b/>
        <i/>
      </font>
    </dxf>
    <dxf>
      <font>
        <b/>
        <i val="0"/>
      </font>
    </dxf>
    <dxf>
      <font>
        <b/>
        <i val="0"/>
      </font>
    </dxf>
    <dxf>
      <font>
        <b/>
        <i/>
      </font>
    </dxf>
    <dxf>
      <font>
        <b/>
        <i/>
      </font>
    </dxf>
    <dxf>
      <font>
        <b/>
        <i/>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font>
    </dxf>
    <dxf>
      <font>
        <b/>
        <i/>
      </font>
    </dxf>
    <dxf>
      <font>
        <b/>
        <i val="0"/>
      </font>
    </dxf>
    <dxf>
      <font>
        <b/>
        <i val="0"/>
      </font>
    </dxf>
    <dxf>
      <font>
        <b/>
        <i/>
      </font>
    </dxf>
    <dxf>
      <font>
        <b/>
        <i val="0"/>
      </font>
    </dxf>
    <dxf>
      <font>
        <b/>
        <i/>
      </font>
    </dxf>
    <dxf>
      <font>
        <b/>
        <i/>
      </font>
    </dxf>
    <dxf>
      <font>
        <b/>
        <i val="0"/>
      </font>
    </dxf>
    <dxf>
      <font>
        <b/>
        <i val="0"/>
      </font>
    </dxf>
    <dxf>
      <font>
        <b/>
        <i val="0"/>
      </font>
    </dxf>
    <dxf>
      <font>
        <b/>
        <i val="0"/>
      </font>
    </dxf>
    <dxf>
      <font>
        <b/>
        <i val="0"/>
      </font>
    </dxf>
    <dxf>
      <font>
        <b/>
        <i/>
      </font>
    </dxf>
    <dxf>
      <font>
        <b/>
        <i val="0"/>
      </font>
    </dxf>
    <dxf>
      <font>
        <b/>
        <i/>
      </font>
    </dxf>
    <dxf>
      <font>
        <b/>
        <i val="0"/>
      </font>
    </dxf>
    <dxf>
      <font>
        <b/>
        <i/>
      </font>
    </dxf>
    <dxf>
      <font>
        <b/>
        <i val="0"/>
      </font>
    </dxf>
    <dxf>
      <font>
        <b/>
        <i/>
      </font>
    </dxf>
    <dxf>
      <font>
        <b/>
        <i val="0"/>
      </font>
    </dxf>
    <dxf>
      <font>
        <b/>
        <i/>
      </font>
    </dxf>
    <dxf>
      <font>
        <b/>
        <i val="0"/>
      </font>
    </dxf>
    <dxf>
      <font>
        <b/>
        <i/>
      </font>
    </dxf>
    <dxf>
      <font>
        <b/>
        <i val="0"/>
      </font>
    </dxf>
    <dxf>
      <font>
        <b/>
        <i/>
      </font>
    </dxf>
    <dxf>
      <font>
        <b/>
        <i/>
      </font>
    </dxf>
    <dxf>
      <font>
        <b/>
        <i val="0"/>
      </font>
    </dxf>
    <dxf>
      <font>
        <b/>
        <i/>
      </font>
    </dxf>
    <dxf>
      <font>
        <b/>
        <i/>
      </font>
    </dxf>
    <dxf>
      <font>
        <b/>
        <i val="0"/>
      </font>
    </dxf>
    <dxf>
      <font>
        <b/>
        <i/>
      </font>
    </dxf>
    <dxf>
      <font>
        <b/>
        <i val="0"/>
      </font>
    </dxf>
    <dxf>
      <font>
        <b/>
        <i/>
      </font>
    </dxf>
    <dxf>
      <font>
        <b/>
        <i val="0"/>
      </font>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font>
        <b/>
        <i val="0"/>
      </font>
    </dxf>
    <dxf>
      <font>
        <b/>
        <i val="0"/>
      </font>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font>
    </dxf>
    <dxf>
      <font>
        <b/>
        <i val="0"/>
      </font>
    </dxf>
    <dxf>
      <font>
        <b/>
        <i val="0"/>
      </font>
    </dxf>
    <dxf>
      <font>
        <b/>
        <i val="0"/>
      </font>
    </dxf>
    <dxf>
      <font>
        <b/>
        <i/>
      </font>
    </dxf>
    <dxf>
      <font>
        <b/>
        <i val="0"/>
      </font>
    </dxf>
    <dxf>
      <font>
        <b/>
        <i val="0"/>
      </font>
    </dxf>
    <dxf>
      <font>
        <b/>
        <i/>
      </font>
    </dxf>
    <dxf>
      <font>
        <b/>
        <i val="0"/>
      </font>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1" hidden="0"/>
    </dxf>
    <dxf>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65" formatCode="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 formatCode="0"/>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1"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numFmt numFmtId="165"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numFmt numFmtId="165"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1" hidden="0"/>
    </dxf>
    <dxf>
      <border outline="0">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numFmt numFmtId="3"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1" hidden="0"/>
    </dxf>
    <dxf>
      <border outline="0">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numFmt numFmtId="168" formatCode="#,##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1" hidden="0"/>
    </dxf>
    <dxf>
      <border outline="0">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i val="0"/>
        <color rgb="FFFF0000"/>
      </font>
      <fill>
        <patternFill>
          <bgColor rgb="FFFFFF00"/>
        </patternFill>
      </fill>
    </dxf>
    <dxf>
      <font>
        <b/>
        <i val="0"/>
      </font>
    </dxf>
    <dxf>
      <font>
        <b/>
        <i val="0"/>
      </font>
    </dxf>
    <dxf>
      <font>
        <b/>
        <i val="0"/>
      </font>
    </dxf>
    <dxf>
      <font>
        <color rgb="FF9C0006"/>
      </font>
      <fill>
        <patternFill>
          <bgColor rgb="FFFFC7CE"/>
        </patternFill>
      </fill>
    </dxf>
    <dxf>
      <font>
        <b/>
        <i val="0"/>
      </font>
    </dxf>
    <dxf>
      <font>
        <b/>
        <i val="0"/>
      </font>
    </dxf>
    <dxf>
      <font>
        <b/>
        <i val="0"/>
      </font>
    </dxf>
    <dxf>
      <font>
        <b/>
        <i/>
      </font>
    </dxf>
    <dxf>
      <font>
        <b/>
        <i val="0"/>
      </font>
    </dxf>
    <dxf>
      <font>
        <b/>
        <i/>
      </font>
    </dxf>
    <dxf>
      <font>
        <b/>
        <i val="0"/>
      </font>
    </dxf>
    <dxf>
      <font>
        <b/>
        <i/>
      </font>
    </dxf>
    <dxf>
      <font>
        <b/>
        <i/>
      </font>
    </dxf>
    <dxf>
      <font>
        <b/>
        <i val="0"/>
      </font>
    </dxf>
    <dxf>
      <font>
        <b/>
        <i val="0"/>
      </font>
    </dxf>
    <dxf>
      <font>
        <b/>
        <i val="0"/>
      </font>
    </dxf>
    <dxf>
      <font>
        <b/>
        <i/>
      </font>
    </dxf>
    <dxf>
      <font>
        <b/>
        <i val="0"/>
      </font>
    </dxf>
    <dxf>
      <font>
        <b/>
        <i/>
      </font>
    </dxf>
    <dxf>
      <font>
        <color auto="1"/>
      </font>
      <border>
        <left style="thin">
          <color auto="1"/>
        </left>
        <right style="thin">
          <color auto="1"/>
        </right>
        <top style="thin">
          <color auto="1"/>
        </top>
        <bottom style="thin">
          <color auto="1"/>
        </bottom>
        <vertical/>
        <horizontal/>
      </border>
    </dxf>
    <dxf>
      <font>
        <b/>
        <i val="0"/>
      </font>
    </dxf>
    <dxf>
      <font>
        <b/>
        <i/>
      </font>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b/>
        <i val="0"/>
      </font>
    </dxf>
    <dxf>
      <font>
        <b/>
        <i/>
      </font>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b/>
        <i val="0"/>
      </font>
    </dxf>
    <dxf>
      <font>
        <b/>
        <i/>
      </font>
    </dxf>
    <dxf>
      <font>
        <b/>
        <i val="0"/>
      </font>
    </dxf>
    <dxf>
      <font>
        <b/>
        <i/>
      </font>
    </dxf>
    <dxf>
      <font>
        <b/>
        <i val="0"/>
      </font>
    </dxf>
    <dxf>
      <font>
        <b/>
        <i val="0"/>
      </font>
    </dxf>
    <dxf>
      <font>
        <b/>
        <i val="0"/>
      </font>
    </dxf>
    <dxf>
      <font>
        <b/>
        <i val="0"/>
      </font>
    </dxf>
    <dxf>
      <font>
        <b/>
        <i val="0"/>
      </font>
    </dxf>
    <dxf>
      <font>
        <b/>
        <i val="0"/>
      </font>
    </dxf>
    <dxf>
      <font>
        <b/>
        <i val="0"/>
      </font>
    </dxf>
    <dxf>
      <font>
        <b/>
        <i/>
      </font>
    </dxf>
    <dxf>
      <font>
        <b/>
        <i val="0"/>
      </font>
    </dxf>
    <dxf>
      <font>
        <b/>
        <i/>
      </font>
    </dxf>
    <dxf>
      <font>
        <b/>
        <i val="0"/>
      </font>
    </dxf>
    <dxf>
      <font>
        <b/>
        <i/>
      </font>
    </dxf>
    <dxf>
      <font>
        <b/>
        <i val="0"/>
      </font>
    </dxf>
    <dxf>
      <font>
        <b/>
        <i/>
      </font>
    </dxf>
    <dxf>
      <font>
        <b/>
        <i val="0"/>
      </font>
    </dxf>
    <dxf>
      <font>
        <b/>
        <i/>
      </font>
    </dxf>
    <dxf>
      <font>
        <b/>
        <i val="0"/>
      </font>
    </dxf>
    <dxf>
      <font>
        <b/>
        <i/>
      </font>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font>
    </dxf>
    <dxf>
      <font>
        <b/>
        <i val="0"/>
      </font>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font>
    </dxf>
    <dxf>
      <font>
        <b/>
        <i val="0"/>
      </font>
    </dxf>
    <dxf>
      <font>
        <b/>
        <i val="0"/>
      </font>
    </dxf>
    <dxf>
      <font>
        <b/>
        <i/>
      </font>
    </dxf>
    <dxf>
      <font>
        <b/>
        <i val="0"/>
      </font>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b/>
        <i val="0"/>
      </font>
    </dxf>
    <dxf>
      <font>
        <b/>
        <i val="0"/>
      </font>
    </dxf>
    <dxf>
      <border>
        <left style="thin">
          <color auto="1"/>
        </left>
        <right style="thin">
          <color auto="1"/>
        </right>
        <top style="thin">
          <color auto="1"/>
        </top>
        <bottom style="thin">
          <color auto="1"/>
        </bottom>
        <vertical/>
        <horizontal/>
      </border>
    </dxf>
    <dxf>
      <font>
        <b/>
        <i val="0"/>
      </font>
    </dxf>
    <dxf>
      <font>
        <b/>
        <i val="0"/>
        <color rgb="FFFF0000"/>
      </font>
      <fill>
        <patternFill>
          <bgColor rgb="FFFFFF00"/>
        </patternFill>
      </fill>
    </dxf>
    <dxf>
      <font>
        <b/>
        <i val="0"/>
      </font>
    </dxf>
    <dxf>
      <font>
        <b/>
        <i/>
      </font>
    </dxf>
    <dxf>
      <font>
        <b/>
        <i val="0"/>
      </font>
    </dxf>
    <dxf>
      <font>
        <b/>
        <i/>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b/>
        <i val="0"/>
      </font>
    </dxf>
    <dxf>
      <font>
        <b/>
        <i val="0"/>
      </font>
    </dxf>
    <dxf>
      <font>
        <b/>
        <i/>
      </font>
    </dxf>
    <dxf>
      <font>
        <b/>
        <i val="0"/>
      </font>
    </dxf>
    <dxf>
      <font>
        <b/>
        <i val="0"/>
      </font>
    </dxf>
    <dxf>
      <font>
        <b/>
        <i/>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b/>
        <i val="0"/>
      </font>
    </dxf>
    <dxf>
      <font>
        <b/>
        <i val="0"/>
      </font>
    </dxf>
    <dxf>
      <font>
        <b/>
        <i/>
      </font>
    </dxf>
    <dxf>
      <font>
        <b/>
        <i val="0"/>
      </font>
    </dxf>
    <dxf>
      <font>
        <b/>
        <i val="0"/>
      </font>
    </dxf>
    <dxf>
      <font>
        <b/>
        <i/>
      </font>
    </dxf>
    <dxf>
      <font>
        <b/>
        <i val="0"/>
      </font>
    </dxf>
    <dxf>
      <font>
        <b/>
        <i val="0"/>
      </font>
    </dxf>
    <dxf>
      <font>
        <b/>
        <i val="0"/>
      </font>
    </dxf>
    <dxf>
      <border>
        <left style="thin">
          <color auto="1"/>
        </left>
        <right style="thin">
          <color auto="1"/>
        </right>
        <top style="thin">
          <color auto="1"/>
        </top>
        <bottom style="thin">
          <color auto="1"/>
        </bottom>
        <vertical/>
        <horizontal/>
      </border>
    </dxf>
    <dxf>
      <font>
        <b/>
        <i/>
      </font>
    </dxf>
    <dxf>
      <font>
        <b/>
        <i/>
      </font>
    </dxf>
    <dxf>
      <font>
        <b/>
        <i/>
      </font>
    </dxf>
    <dxf>
      <font>
        <b/>
        <i val="0"/>
        <condense val="0"/>
        <extend val="0"/>
      </font>
    </dxf>
    <dxf>
      <font>
        <b/>
        <i/>
      </font>
    </dxf>
    <dxf>
      <font>
        <b/>
        <i val="0"/>
        <condense val="0"/>
        <extend val="0"/>
      </font>
    </dxf>
    <dxf>
      <font>
        <color rgb="FFFF0000"/>
      </font>
      <fill>
        <patternFill>
          <bgColor rgb="FFFFFF00"/>
        </patternFill>
      </fill>
    </dxf>
    <dxf>
      <font>
        <b/>
        <i val="0"/>
      </font>
    </dxf>
    <dxf>
      <font>
        <b/>
        <i/>
      </font>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b/>
        <i val="0"/>
      </font>
    </dxf>
    <dxf>
      <font>
        <b/>
        <i/>
      </font>
    </dxf>
    <dxf>
      <font>
        <b/>
        <i val="0"/>
      </font>
    </dxf>
    <dxf>
      <font>
        <b/>
        <i/>
      </font>
    </dxf>
    <dxf>
      <font>
        <b/>
        <i val="0"/>
      </font>
    </dxf>
    <dxf>
      <font>
        <b/>
        <i/>
      </font>
    </dxf>
    <dxf>
      <font>
        <color rgb="FFFF0000"/>
      </font>
      <fill>
        <patternFill>
          <bgColor rgb="FFFFFF00"/>
        </patternFill>
      </fill>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color auto="1"/>
      </font>
      <border>
        <left style="thin">
          <color auto="1"/>
        </left>
        <right style="thin">
          <color auto="1"/>
        </right>
        <top style="thin">
          <color auto="1"/>
        </top>
        <bottom style="thin">
          <color auto="1"/>
        </bottom>
        <vertical/>
        <horizontal/>
      </border>
    </dxf>
    <dxf>
      <font>
        <b/>
        <i/>
      </font>
    </dxf>
    <dxf>
      <font>
        <b/>
        <i val="0"/>
      </font>
    </dxf>
    <dxf>
      <font>
        <color auto="1"/>
      </font>
      <border>
        <left style="thin">
          <color auto="1"/>
        </left>
        <right style="thin">
          <color auto="1"/>
        </right>
        <top style="thin">
          <color auto="1"/>
        </top>
        <bottom style="thin">
          <color auto="1"/>
        </bottom>
        <vertical/>
        <horizontal/>
      </border>
    </dxf>
    <dxf>
      <font>
        <b/>
        <i/>
      </font>
    </dxf>
    <dxf>
      <font>
        <b/>
        <i val="0"/>
      </font>
    </dxf>
    <dxf>
      <border>
        <left style="thin">
          <color auto="1"/>
        </left>
        <right style="thin">
          <color auto="1"/>
        </right>
        <top style="thin">
          <color auto="1"/>
        </top>
        <bottom style="thin">
          <color auto="1"/>
        </bottom>
        <vertical/>
        <horizontal/>
      </border>
    </dxf>
    <dxf>
      <font>
        <b/>
        <i/>
      </font>
    </dxf>
    <dxf>
      <font>
        <b/>
        <i val="0"/>
      </font>
    </dxf>
    <dxf>
      <font>
        <b/>
        <i val="0"/>
      </font>
    </dxf>
    <dxf>
      <font>
        <b/>
        <i/>
      </font>
    </dxf>
    <dxf>
      <font>
        <b/>
        <i val="0"/>
      </font>
    </dxf>
    <dxf>
      <font>
        <b/>
        <i val="0"/>
      </font>
    </dxf>
    <dxf>
      <font>
        <b/>
        <i val="0"/>
      </font>
    </dxf>
    <dxf>
      <font>
        <b/>
        <i/>
      </font>
    </dxf>
    <dxf>
      <font>
        <color auto="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border>
        <left/>
        <right/>
        <top/>
        <bottom/>
        <vertical/>
        <horizontal/>
      </border>
    </dxf>
    <dxf>
      <font>
        <b/>
        <i/>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font>
    </dxf>
    <dxf>
      <font>
        <b/>
        <i/>
      </font>
    </dxf>
    <dxf>
      <font>
        <b/>
        <i/>
      </font>
    </dxf>
    <dxf>
      <font>
        <b/>
        <i val="0"/>
        <condense val="0"/>
        <extend val="0"/>
      </font>
    </dxf>
    <dxf>
      <font>
        <b/>
        <i val="0"/>
        <condense val="0"/>
        <extend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color rgb="FFFF0000"/>
      </font>
      <fill>
        <patternFill>
          <bgColor rgb="FFFFFF00"/>
        </patternFill>
      </fill>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val="0"/>
      </font>
    </dxf>
    <dxf>
      <font>
        <b/>
        <i/>
      </font>
    </dxf>
    <dxf>
      <font>
        <b/>
        <i val="0"/>
      </font>
    </dxf>
    <dxf>
      <border>
        <left style="thin">
          <color auto="1"/>
        </left>
        <right style="thin">
          <color auto="1"/>
        </right>
        <top style="thin">
          <color auto="1"/>
        </top>
        <bottom style="thin">
          <color auto="1"/>
        </bottom>
        <vertical/>
        <horizontal/>
      </border>
    </dxf>
    <dxf>
      <font>
        <b/>
        <i val="0"/>
      </font>
    </dxf>
    <dxf>
      <font>
        <b/>
        <i/>
      </font>
    </dxf>
    <dxf>
      <border>
        <left style="thin">
          <color auto="1"/>
        </left>
        <right style="thin">
          <color auto="1"/>
        </right>
        <top style="thin">
          <color auto="1"/>
        </top>
        <bottom style="thin">
          <color auto="1"/>
        </bottom>
        <vertical/>
        <horizontal/>
      </border>
    </dxf>
    <dxf>
      <font>
        <b/>
        <i/>
      </font>
    </dxf>
    <dxf>
      <font>
        <b/>
        <i val="0"/>
      </font>
    </dxf>
    <dxf>
      <font>
        <b/>
        <i/>
      </font>
    </dxf>
    <dxf>
      <font>
        <b/>
        <i val="0"/>
      </font>
    </dxf>
    <dxf>
      <font>
        <b/>
        <i/>
      </font>
    </dxf>
    <dxf>
      <font>
        <b/>
        <i val="0"/>
      </font>
    </dxf>
    <dxf>
      <font>
        <b/>
        <i/>
      </font>
    </dxf>
    <dxf>
      <font>
        <b/>
        <i val="0"/>
      </font>
    </dxf>
    <dxf>
      <font>
        <b/>
        <i/>
      </font>
    </dxf>
    <dxf>
      <font>
        <b/>
        <i val="0"/>
      </font>
    </dxf>
    <dxf>
      <font>
        <b/>
        <i val="0"/>
      </font>
    </dxf>
    <dxf>
      <font>
        <b/>
        <i/>
      </font>
    </dxf>
    <dxf>
      <font>
        <b/>
        <i val="0"/>
      </font>
    </dxf>
    <dxf>
      <font>
        <b/>
        <i/>
      </font>
    </dxf>
    <dxf>
      <font>
        <b/>
        <i val="0"/>
      </font>
    </dxf>
    <dxf>
      <font>
        <b/>
        <i val="0"/>
      </font>
    </dxf>
    <dxf>
      <font>
        <b/>
        <i/>
      </font>
    </dxf>
    <dxf>
      <font>
        <b/>
        <i val="0"/>
      </font>
    </dxf>
    <dxf>
      <font>
        <b/>
        <i val="0"/>
      </font>
    </dxf>
    <dxf>
      <font>
        <b/>
        <i/>
      </font>
    </dxf>
    <dxf>
      <font>
        <b/>
        <i val="0"/>
      </font>
    </dxf>
    <dxf>
      <font>
        <b/>
        <i val="0"/>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font>
    </dxf>
    <dxf>
      <font>
        <b/>
        <i val="0"/>
      </font>
    </dxf>
    <dxf>
      <font>
        <b/>
        <i val="0"/>
      </font>
    </dxf>
    <dxf>
      <font>
        <b/>
        <i/>
      </font>
    </dxf>
    <dxf>
      <border>
        <left style="thin">
          <color auto="1"/>
        </left>
        <right style="thin">
          <color auto="1"/>
        </right>
        <top style="thin">
          <color auto="1"/>
        </top>
        <bottom style="thin">
          <color auto="1"/>
        </bottom>
        <vertical/>
        <horizontal/>
      </border>
    </dxf>
    <dxf>
      <font>
        <b/>
        <i val="0"/>
      </font>
    </dxf>
    <dxf>
      <font>
        <b/>
        <i/>
      </font>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color theme="0"/>
      </font>
      <fill>
        <patternFill patternType="none">
          <bgColor auto="1"/>
        </patternFill>
      </fill>
      <border>
        <left/>
        <right/>
        <top/>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color theme="0"/>
      </font>
      <fill>
        <patternFill patternType="none">
          <bgColor auto="1"/>
        </patternFill>
      </fill>
      <border>
        <left/>
        <right/>
        <top/>
        <bottom/>
        <vertical/>
        <horizontal/>
      </border>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val="0"/>
      </font>
    </dxf>
    <dxf>
      <font>
        <b/>
        <i val="0"/>
      </font>
    </dxf>
    <dxf>
      <font>
        <b/>
        <i val="0"/>
      </font>
    </dxf>
    <dxf>
      <font>
        <b/>
        <i val="0"/>
      </font>
    </dxf>
    <dxf>
      <font>
        <b/>
        <i/>
      </font>
    </dxf>
    <dxf>
      <font>
        <b/>
        <i val="0"/>
      </font>
    </dxf>
    <dxf>
      <font>
        <b/>
        <i val="0"/>
      </font>
    </dxf>
    <dxf>
      <border>
        <left style="thin">
          <color auto="1"/>
        </left>
        <right style="thin">
          <color auto="1"/>
        </right>
        <top style="thin">
          <color auto="1"/>
        </top>
        <bottom style="thin">
          <color auto="1"/>
        </bottom>
        <vertical/>
        <horizontal/>
      </border>
    </dxf>
    <dxf>
      <font>
        <b/>
        <i val="0"/>
      </font>
    </dxf>
    <dxf>
      <font>
        <b/>
        <i/>
      </font>
    </dxf>
    <dxf>
      <font>
        <b/>
        <i val="0"/>
      </font>
    </dxf>
    <dxf>
      <font>
        <b val="0"/>
        <i val="0"/>
      </font>
    </dxf>
    <dxf>
      <font>
        <b/>
        <i val="0"/>
      </font>
    </dxf>
    <dxf>
      <font>
        <b/>
        <i val="0"/>
      </font>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font>
    </dxf>
    <dxf>
      <font>
        <b/>
        <i val="0"/>
      </font>
    </dxf>
    <dxf>
      <font>
        <b/>
        <i/>
      </font>
    </dxf>
    <dxf>
      <font>
        <b/>
        <i val="0"/>
      </font>
    </dxf>
    <dxf>
      <font>
        <b/>
        <i/>
      </font>
    </dxf>
    <dxf>
      <font>
        <b/>
        <i val="0"/>
      </font>
    </dxf>
    <dxf>
      <font>
        <b/>
        <i/>
      </font>
    </dxf>
    <dxf>
      <font>
        <b/>
        <i val="0"/>
      </font>
    </dxf>
    <dxf>
      <font>
        <b/>
        <i/>
      </font>
    </dxf>
    <dxf>
      <font>
        <b/>
        <i val="0"/>
      </font>
    </dxf>
    <dxf>
      <font>
        <b/>
        <i/>
      </font>
    </dxf>
    <dxf>
      <font>
        <b/>
        <i val="0"/>
      </font>
    </dxf>
    <dxf>
      <font>
        <b/>
        <i/>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font>
        <b/>
        <i val="0"/>
      </font>
    </dxf>
    <dxf>
      <font>
        <b/>
        <i val="0"/>
      </font>
    </dxf>
    <dxf>
      <font>
        <b/>
        <i/>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b/>
        <i/>
      </font>
    </dxf>
    <dxf>
      <font>
        <b/>
        <i val="0"/>
      </font>
    </dxf>
    <dxf>
      <font>
        <b/>
        <i val="0"/>
      </font>
    </dxf>
    <dxf>
      <font>
        <b/>
        <i/>
      </font>
    </dxf>
    <dxf>
      <font>
        <b/>
        <i val="0"/>
      </font>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b/>
        <i/>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b/>
        <i val="0"/>
      </font>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b/>
        <i val="0"/>
      </font>
    </dxf>
    <dxf>
      <font>
        <color theme="0"/>
      </font>
      <fill>
        <patternFill patternType="none">
          <bgColor auto="1"/>
        </patternFill>
      </fill>
      <border>
        <left/>
        <right/>
        <top/>
        <bottom/>
        <vertical/>
        <horizontal/>
      </border>
    </dxf>
    <dxf>
      <font>
        <b/>
        <i/>
      </font>
    </dxf>
    <dxf>
      <font>
        <b/>
        <i/>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vertical/>
        <horizontal/>
      </border>
    </dxf>
    <dxf>
      <border>
        <left style="thin">
          <color auto="1"/>
        </left>
        <right style="thin">
          <color auto="1"/>
        </right>
        <top style="thin">
          <color auto="1"/>
        </top>
        <bottom style="thin">
          <color auto="1"/>
        </bottom>
        <vertical/>
        <horizontal/>
      </border>
    </dxf>
    <dxf>
      <font>
        <b/>
        <i val="0"/>
      </font>
    </dxf>
    <dxf>
      <font>
        <b val="0"/>
        <i val="0"/>
      </font>
    </dxf>
    <dxf>
      <font>
        <b/>
        <i val="0"/>
      </font>
    </dxf>
    <dxf>
      <font>
        <b/>
        <i val="0"/>
      </font>
    </dxf>
    <dxf>
      <font>
        <b/>
        <i val="0"/>
      </font>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font>
        <b/>
        <i val="0"/>
      </font>
    </dxf>
    <dxf>
      <font>
        <b/>
        <i val="0"/>
      </font>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font>
    </dxf>
    <dxf>
      <font>
        <color theme="0"/>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medium">
          <color indexed="64"/>
        </right>
        <top style="thin">
          <color indexed="64"/>
        </top>
        <bottom style="medium">
          <color indexed="64"/>
        </bottom>
      </border>
    </dxf>
    <dxf>
      <alignment vertical="center" textRotation="0" wrapText="0" indent="0" justifyLastLine="0" shrinkToFit="0" readingOrder="0"/>
    </dxf>
    <dxf>
      <border outline="0">
        <bottom style="thin">
          <color indexed="64"/>
        </bottom>
      </border>
    </dxf>
    <dxf>
      <font>
        <strike val="0"/>
        <outline val="0"/>
        <shadow val="0"/>
        <u val="none"/>
        <vertAlign val="baseline"/>
        <sz val="11"/>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left"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fill>
        <patternFill patternType="solid">
          <fgColor indexed="64"/>
          <bgColor theme="0"/>
        </patternFill>
      </fill>
      <alignment horizontal="center" vertical="center" textRotation="0" wrapText="0" indent="0" justifyLastLine="0" shrinkToFit="0" readingOrder="0"/>
      <protection locked="1" hidden="0"/>
    </dxf>
    <dxf>
      <fill>
        <patternFill patternType="solid">
          <fgColor indexed="64"/>
          <bgColor theme="0"/>
        </patternFill>
      </fill>
      <alignment horizontal="center" vertical="center" textRotation="0" wrapText="0" indent="0" justifyLastLine="0" shrinkToFit="0" readingOrder="0"/>
      <protection locked="1" hidden="0"/>
    </dxf>
    <dxf>
      <fill>
        <patternFill patternType="solid">
          <fgColor indexed="64"/>
          <bgColor theme="0"/>
        </patternFill>
      </fill>
      <alignment horizontal="center" vertical="center" textRotation="0" wrapText="0" indent="0" justifyLastLine="0" shrinkToFit="0" readingOrder="0"/>
      <protection locked="1" hidden="0"/>
    </dxf>
    <dxf>
      <border outline="0">
        <left style="medium">
          <color indexed="64"/>
        </left>
        <right style="medium">
          <color indexed="64"/>
        </right>
        <top style="medium">
          <color indexed="64"/>
        </top>
        <bottom style="medium">
          <color indexed="64"/>
        </bottom>
      </border>
    </dxf>
    <dxf>
      <fill>
        <patternFill patternType="solid">
          <fgColor indexed="64"/>
          <bgColor theme="0"/>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solid">
          <fgColor indexed="64"/>
          <bgColor theme="0"/>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1" formatCode="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5"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Monofásico</a:t>
            </a:r>
            <a:r>
              <a:rPr lang="pt-BR" baseline="0"/>
              <a:t> retificado em onda completa</a:t>
            </a:r>
          </a:p>
        </c:rich>
      </c:tx>
      <c:overlay val="0"/>
      <c:spPr>
        <a:noFill/>
        <a:ln>
          <a:noFill/>
        </a:ln>
        <a:effectLst/>
      </c:sp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Tabelas!$L$50:$L$58</c:f>
              <c:numCache>
                <c:formatCode>General</c:formatCode>
                <c:ptCount val="9"/>
                <c:pt idx="0">
                  <c:v>50</c:v>
                </c:pt>
                <c:pt idx="1">
                  <c:v>60</c:v>
                </c:pt>
                <c:pt idx="2">
                  <c:v>70</c:v>
                </c:pt>
                <c:pt idx="3">
                  <c:v>80</c:v>
                </c:pt>
                <c:pt idx="4">
                  <c:v>90</c:v>
                </c:pt>
                <c:pt idx="5">
                  <c:v>100</c:v>
                </c:pt>
                <c:pt idx="6">
                  <c:v>110</c:v>
                </c:pt>
                <c:pt idx="7">
                  <c:v>120</c:v>
                </c:pt>
                <c:pt idx="8">
                  <c:v>130</c:v>
                </c:pt>
              </c:numCache>
            </c:numRef>
          </c:xVal>
          <c:yVal>
            <c:numRef>
              <c:f>Tabelas!$M$50:$M$58</c:f>
              <c:numCache>
                <c:formatCode>General</c:formatCode>
                <c:ptCount val="9"/>
                <c:pt idx="0">
                  <c:v>1.5</c:v>
                </c:pt>
                <c:pt idx="1">
                  <c:v>1.8</c:v>
                </c:pt>
                <c:pt idx="2">
                  <c:v>2.1</c:v>
                </c:pt>
                <c:pt idx="3">
                  <c:v>2.2999999999999998</c:v>
                </c:pt>
                <c:pt idx="4">
                  <c:v>2.5</c:v>
                </c:pt>
                <c:pt idx="5">
                  <c:v>2.7</c:v>
                </c:pt>
                <c:pt idx="6">
                  <c:v>3</c:v>
                </c:pt>
                <c:pt idx="7">
                  <c:v>3.2</c:v>
                </c:pt>
                <c:pt idx="8">
                  <c:v>3.5</c:v>
                </c:pt>
              </c:numCache>
            </c:numRef>
          </c:yVal>
          <c:smooth val="0"/>
        </c:ser>
        <c:dLbls>
          <c:showLegendKey val="0"/>
          <c:showVal val="0"/>
          <c:showCatName val="0"/>
          <c:showSerName val="0"/>
          <c:showPercent val="0"/>
          <c:showBubbleSize val="0"/>
        </c:dLbls>
        <c:axId val="409716096"/>
        <c:axId val="409718056"/>
      </c:scatterChart>
      <c:valAx>
        <c:axId val="409716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18056"/>
        <c:crosses val="autoZero"/>
        <c:crossBetween val="midCat"/>
      </c:valAx>
      <c:valAx>
        <c:axId val="409718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16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Trifásico retificado em onda completa</a:t>
            </a:r>
          </a:p>
        </c:rich>
      </c:tx>
      <c:overlay val="0"/>
      <c:spPr>
        <a:noFill/>
        <a:ln>
          <a:noFill/>
        </a:ln>
        <a:effectLst/>
      </c:sp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Tabelas!$L$50:$L$58</c:f>
              <c:numCache>
                <c:formatCode>General</c:formatCode>
                <c:ptCount val="9"/>
                <c:pt idx="0">
                  <c:v>50</c:v>
                </c:pt>
                <c:pt idx="1">
                  <c:v>60</c:v>
                </c:pt>
                <c:pt idx="2">
                  <c:v>70</c:v>
                </c:pt>
                <c:pt idx="3">
                  <c:v>80</c:v>
                </c:pt>
                <c:pt idx="4">
                  <c:v>90</c:v>
                </c:pt>
                <c:pt idx="5">
                  <c:v>100</c:v>
                </c:pt>
                <c:pt idx="6">
                  <c:v>110</c:v>
                </c:pt>
                <c:pt idx="7">
                  <c:v>120</c:v>
                </c:pt>
                <c:pt idx="8">
                  <c:v>130</c:v>
                </c:pt>
              </c:numCache>
            </c:numRef>
          </c:xVal>
          <c:yVal>
            <c:numRef>
              <c:f>Tabelas!$N$50:$N$58</c:f>
              <c:numCache>
                <c:formatCode>General</c:formatCode>
                <c:ptCount val="9"/>
                <c:pt idx="0">
                  <c:v>1.6</c:v>
                </c:pt>
                <c:pt idx="1">
                  <c:v>2</c:v>
                </c:pt>
                <c:pt idx="2">
                  <c:v>2.2999999999999998</c:v>
                </c:pt>
                <c:pt idx="3">
                  <c:v>2.6</c:v>
                </c:pt>
                <c:pt idx="4">
                  <c:v>3</c:v>
                </c:pt>
                <c:pt idx="5">
                  <c:v>3.2</c:v>
                </c:pt>
                <c:pt idx="6">
                  <c:v>3.5</c:v>
                </c:pt>
                <c:pt idx="7">
                  <c:v>3.9</c:v>
                </c:pt>
                <c:pt idx="8">
                  <c:v>4.0999999999999996</c:v>
                </c:pt>
              </c:numCache>
            </c:numRef>
          </c:yVal>
          <c:smooth val="0"/>
        </c:ser>
        <c:dLbls>
          <c:showLegendKey val="0"/>
          <c:showVal val="0"/>
          <c:showCatName val="0"/>
          <c:showSerName val="0"/>
          <c:showPercent val="0"/>
          <c:showBubbleSize val="0"/>
        </c:dLbls>
        <c:axId val="409719232"/>
        <c:axId val="409716880"/>
      </c:scatterChart>
      <c:valAx>
        <c:axId val="40971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16880"/>
        <c:crosses val="autoZero"/>
        <c:crossBetween val="midCat"/>
      </c:valAx>
      <c:valAx>
        <c:axId val="40971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19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Alta frequência</a:t>
            </a:r>
          </a:p>
        </c:rich>
      </c:tx>
      <c:overlay val="0"/>
      <c:spPr>
        <a:noFill/>
        <a:ln>
          <a:noFill/>
        </a:ln>
        <a:effectLst/>
      </c:sp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Tabelas!$L$50:$L$58</c:f>
              <c:numCache>
                <c:formatCode>General</c:formatCode>
                <c:ptCount val="9"/>
                <c:pt idx="0">
                  <c:v>50</c:v>
                </c:pt>
                <c:pt idx="1">
                  <c:v>60</c:v>
                </c:pt>
                <c:pt idx="2">
                  <c:v>70</c:v>
                </c:pt>
                <c:pt idx="3">
                  <c:v>80</c:v>
                </c:pt>
                <c:pt idx="4">
                  <c:v>90</c:v>
                </c:pt>
                <c:pt idx="5">
                  <c:v>100</c:v>
                </c:pt>
                <c:pt idx="6">
                  <c:v>110</c:v>
                </c:pt>
                <c:pt idx="7">
                  <c:v>120</c:v>
                </c:pt>
                <c:pt idx="8">
                  <c:v>130</c:v>
                </c:pt>
              </c:numCache>
            </c:numRef>
          </c:xVal>
          <c:yVal>
            <c:numRef>
              <c:f>Tabelas!$O$50:$O$58</c:f>
              <c:numCache>
                <c:formatCode>General</c:formatCode>
                <c:ptCount val="9"/>
                <c:pt idx="0">
                  <c:v>1.8</c:v>
                </c:pt>
                <c:pt idx="1">
                  <c:v>2.2000000000000002</c:v>
                </c:pt>
                <c:pt idx="2">
                  <c:v>2.5</c:v>
                </c:pt>
                <c:pt idx="3">
                  <c:v>2.9</c:v>
                </c:pt>
                <c:pt idx="4">
                  <c:v>3.2</c:v>
                </c:pt>
                <c:pt idx="5">
                  <c:v>3.6</c:v>
                </c:pt>
                <c:pt idx="6">
                  <c:v>3.9</c:v>
                </c:pt>
                <c:pt idx="7">
                  <c:v>4.3</c:v>
                </c:pt>
                <c:pt idx="8">
                  <c:v>4.7</c:v>
                </c:pt>
              </c:numCache>
            </c:numRef>
          </c:yVal>
          <c:smooth val="0"/>
        </c:ser>
        <c:dLbls>
          <c:showLegendKey val="0"/>
          <c:showVal val="0"/>
          <c:showCatName val="0"/>
          <c:showSerName val="0"/>
          <c:showPercent val="0"/>
          <c:showBubbleSize val="0"/>
        </c:dLbls>
        <c:axId val="409717272"/>
        <c:axId val="409720016"/>
      </c:scatterChart>
      <c:valAx>
        <c:axId val="409717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20016"/>
        <c:crosses val="autoZero"/>
        <c:crossBetween val="midCat"/>
      </c:valAx>
      <c:valAx>
        <c:axId val="40972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172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pt-BR"/>
              <a:t>Curva Característica</a:t>
            </a:r>
          </a:p>
        </c:rich>
      </c:tx>
      <c:overlay val="0"/>
      <c:spPr>
        <a:noFill/>
        <a:ln w="25400">
          <a:noFill/>
        </a:ln>
      </c:spPr>
    </c:title>
    <c:autoTitleDeleted val="0"/>
    <c:plotArea>
      <c:layout/>
      <c:scatterChart>
        <c:scatterStyle val="lineMarker"/>
        <c:varyColors val="0"/>
        <c:ser>
          <c:idx val="0"/>
          <c:order val="0"/>
          <c:tx>
            <c:v>Curva Característica</c:v>
          </c:tx>
          <c:spPr>
            <a:ln w="28575">
              <a:noFill/>
            </a:ln>
          </c:spPr>
          <c:marker>
            <c:symbol val="diamond"/>
            <c:size val="5"/>
            <c:spPr>
              <a:solidFill>
                <a:srgbClr val="000080"/>
              </a:solidFill>
              <a:ln>
                <a:solidFill>
                  <a:srgbClr val="000080"/>
                </a:solidFill>
                <a:prstDash val="solid"/>
              </a:ln>
            </c:spPr>
          </c:marker>
          <c:xVal>
            <c:numRef>
              <c:f>Dados!#REF!</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yVal>
          <c:smooth val="0"/>
          <c:extLst xmlns:c16r2="http://schemas.microsoft.com/office/drawing/2015/06/chart">
            <c:ext xmlns:c16="http://schemas.microsoft.com/office/drawing/2014/chart" uri="{C3380CC4-5D6E-409C-BE32-E72D297353CC}">
              <c16:uniqueId val="{00000000-9A4F-410F-8A16-9B91A7E6C070}"/>
            </c:ext>
          </c:extLst>
        </c:ser>
        <c:dLbls>
          <c:showLegendKey val="0"/>
          <c:showVal val="0"/>
          <c:showCatName val="0"/>
          <c:showSerName val="0"/>
          <c:showPercent val="0"/>
          <c:showBubbleSize val="0"/>
        </c:dLbls>
        <c:axId val="409714136"/>
        <c:axId val="409720800"/>
      </c:scatterChart>
      <c:valAx>
        <c:axId val="409714136"/>
        <c:scaling>
          <c:orientation val="minMax"/>
          <c:max val="21"/>
          <c:min val="1"/>
        </c:scaling>
        <c:delete val="0"/>
        <c:axPos val="b"/>
        <c:title>
          <c:tx>
            <c:rich>
              <a:bodyPr/>
              <a:lstStyle/>
              <a:p>
                <a:pPr>
                  <a:defRPr sz="225" b="1" i="0" u="none" strike="noStrike" baseline="0">
                    <a:solidFill>
                      <a:srgbClr val="000000"/>
                    </a:solidFill>
                    <a:latin typeface="Arial"/>
                    <a:ea typeface="Arial"/>
                    <a:cs typeface="Arial"/>
                  </a:defRPr>
                </a:pPr>
                <a:r>
                  <a:rPr lang="pt-BR"/>
                  <a:t>Exposição Relativa (Log)</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pt-BR"/>
          </a:p>
        </c:txPr>
        <c:crossAx val="409720800"/>
        <c:crosses val="autoZero"/>
        <c:crossBetween val="midCat"/>
      </c:valAx>
      <c:valAx>
        <c:axId val="409720800"/>
        <c:scaling>
          <c:orientation val="minMax"/>
        </c:scaling>
        <c:delete val="0"/>
        <c:axPos val="l"/>
        <c:majorGridlines>
          <c:spPr>
            <a:ln w="3175">
              <a:solidFill>
                <a:srgbClr val="000000"/>
              </a:solidFill>
              <a:prstDash val="solid"/>
            </a:ln>
          </c:spPr>
        </c:majorGridlines>
        <c:title>
          <c:tx>
            <c:rich>
              <a:bodyPr/>
              <a:lstStyle/>
              <a:p>
                <a:pPr>
                  <a:defRPr sz="225" b="1" i="0" u="none" strike="noStrike" baseline="0">
                    <a:solidFill>
                      <a:srgbClr val="000000"/>
                    </a:solidFill>
                    <a:latin typeface="Arial"/>
                    <a:ea typeface="Arial"/>
                    <a:cs typeface="Arial"/>
                  </a:defRPr>
                </a:pPr>
                <a:r>
                  <a:rPr lang="pt-BR"/>
                  <a:t>Desnsidade do Filme</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pt-BR"/>
          </a:p>
        </c:txPr>
        <c:crossAx val="40971413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25"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Modo padrão do serviço - Fibras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pt-BR"/>
        </a:p>
      </c:txPr>
    </c:title>
    <c:autoTitleDeleted val="0"/>
    <c:plotArea>
      <c:layout/>
      <c:scatterChart>
        <c:scatterStyle val="lineMarker"/>
        <c:varyColors val="0"/>
        <c:ser>
          <c:idx val="0"/>
          <c:order val="0"/>
          <c:tx>
            <c:v>Fibras</c:v>
          </c:tx>
          <c:spPr>
            <a:ln w="25400" cap="rnd">
              <a:noFill/>
              <a:round/>
            </a:ln>
            <a:effectLst/>
          </c:spPr>
          <c:marker>
            <c:symbol val="circle"/>
            <c:size val="5"/>
            <c:spPr>
              <a:solidFill>
                <a:schemeClr val="accent1"/>
              </a:solidFill>
              <a:ln w="9525">
                <a:solidFill>
                  <a:schemeClr val="accent1"/>
                </a:solidFill>
              </a:ln>
              <a:effectLst/>
            </c:spPr>
          </c:marker>
          <c:xVal>
            <c:numRef>
              <c:f>'fantoma mama'!$B$4:$Z$4</c:f>
              <c:numCache>
                <c:formatCode>d\-mmm</c:formatCode>
                <c:ptCount val="25"/>
                <c:pt idx="0">
                  <c:v>46140</c:v>
                </c:pt>
                <c:pt idx="1">
                  <c:v>46141</c:v>
                </c:pt>
                <c:pt idx="2">
                  <c:v>46142</c:v>
                </c:pt>
                <c:pt idx="3">
                  <c:v>46143</c:v>
                </c:pt>
                <c:pt idx="4">
                  <c:v>46144</c:v>
                </c:pt>
                <c:pt idx="5">
                  <c:v>46145</c:v>
                </c:pt>
                <c:pt idx="6">
                  <c:v>46146</c:v>
                </c:pt>
                <c:pt idx="7">
                  <c:v>46147</c:v>
                </c:pt>
                <c:pt idx="8">
                  <c:v>46148</c:v>
                </c:pt>
                <c:pt idx="9">
                  <c:v>46149</c:v>
                </c:pt>
                <c:pt idx="10">
                  <c:v>46150</c:v>
                </c:pt>
                <c:pt idx="11">
                  <c:v>46151</c:v>
                </c:pt>
                <c:pt idx="12">
                  <c:v>46152</c:v>
                </c:pt>
                <c:pt idx="13">
                  <c:v>46153</c:v>
                </c:pt>
                <c:pt idx="14">
                  <c:v>46154</c:v>
                </c:pt>
                <c:pt idx="15">
                  <c:v>46155</c:v>
                </c:pt>
                <c:pt idx="16">
                  <c:v>46156</c:v>
                </c:pt>
                <c:pt idx="17">
                  <c:v>46157</c:v>
                </c:pt>
                <c:pt idx="18">
                  <c:v>46158</c:v>
                </c:pt>
                <c:pt idx="19">
                  <c:v>46159</c:v>
                </c:pt>
                <c:pt idx="20">
                  <c:v>46160</c:v>
                </c:pt>
                <c:pt idx="21">
                  <c:v>46161</c:v>
                </c:pt>
                <c:pt idx="22">
                  <c:v>46162</c:v>
                </c:pt>
                <c:pt idx="23">
                  <c:v>46163</c:v>
                </c:pt>
                <c:pt idx="24">
                  <c:v>46164</c:v>
                </c:pt>
              </c:numCache>
            </c:numRef>
          </c:xVal>
          <c:yVal>
            <c:numRef>
              <c:f>'fantoma mama'!$B$33:$Z$33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0"/>
        </c:ser>
        <c:dLbls>
          <c:showLegendKey val="0"/>
          <c:showVal val="0"/>
          <c:showCatName val="0"/>
          <c:showSerName val="0"/>
          <c:showPercent val="0"/>
          <c:showBubbleSize val="0"/>
        </c:dLbls>
        <c:axId val="428299520"/>
        <c:axId val="428303440"/>
      </c:scatterChart>
      <c:valAx>
        <c:axId val="4282995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pt-BR" b="0">
                    <a:solidFill>
                      <a:schemeClr val="tx1"/>
                    </a:solidFill>
                  </a:rPr>
                  <a:t>Data do teste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428303440"/>
        <c:crosses val="autoZero"/>
        <c:crossBetween val="midCat"/>
      </c:valAx>
      <c:valAx>
        <c:axId val="428303440"/>
        <c:scaling>
          <c:orientation val="minMax"/>
          <c:max val="6"/>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pt-BR" b="0">
                    <a:solidFill>
                      <a:schemeClr val="tx1"/>
                    </a:solidFill>
                  </a:rPr>
                  <a:t>Estruturas visualizadas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428299520"/>
        <c:crosses val="autoZero"/>
        <c:crossBetween val="midCat"/>
        <c:majorUnit val="0.5"/>
        <c:minorUnit val="0.5"/>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Modo padrão do serviço - Massas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pt-BR"/>
        </a:p>
      </c:txPr>
    </c:title>
    <c:autoTitleDeleted val="0"/>
    <c:plotArea>
      <c:layout/>
      <c:scatterChart>
        <c:scatterStyle val="lineMarker"/>
        <c:varyColors val="0"/>
        <c:ser>
          <c:idx val="0"/>
          <c:order val="0"/>
          <c:tx>
            <c:v>Massas</c:v>
          </c:tx>
          <c:spPr>
            <a:ln w="25400" cap="rnd">
              <a:noFill/>
              <a:round/>
            </a:ln>
            <a:effectLst/>
          </c:spPr>
          <c:marker>
            <c:symbol val="circle"/>
            <c:size val="5"/>
            <c:spPr>
              <a:solidFill>
                <a:schemeClr val="accent1"/>
              </a:solidFill>
              <a:ln w="9525">
                <a:solidFill>
                  <a:schemeClr val="accent1"/>
                </a:solidFill>
              </a:ln>
              <a:effectLst/>
            </c:spPr>
          </c:marker>
          <c:xVal>
            <c:numRef>
              <c:f>'fantoma mama'!$B$4:$Z$4</c:f>
              <c:numCache>
                <c:formatCode>d\-mmm</c:formatCode>
                <c:ptCount val="25"/>
                <c:pt idx="0">
                  <c:v>46140</c:v>
                </c:pt>
                <c:pt idx="1">
                  <c:v>46141</c:v>
                </c:pt>
                <c:pt idx="2">
                  <c:v>46142</c:v>
                </c:pt>
                <c:pt idx="3">
                  <c:v>46143</c:v>
                </c:pt>
                <c:pt idx="4">
                  <c:v>46144</c:v>
                </c:pt>
                <c:pt idx="5">
                  <c:v>46145</c:v>
                </c:pt>
                <c:pt idx="6">
                  <c:v>46146</c:v>
                </c:pt>
                <c:pt idx="7">
                  <c:v>46147</c:v>
                </c:pt>
                <c:pt idx="8">
                  <c:v>46148</c:v>
                </c:pt>
                <c:pt idx="9">
                  <c:v>46149</c:v>
                </c:pt>
                <c:pt idx="10">
                  <c:v>46150</c:v>
                </c:pt>
                <c:pt idx="11">
                  <c:v>46151</c:v>
                </c:pt>
                <c:pt idx="12">
                  <c:v>46152</c:v>
                </c:pt>
                <c:pt idx="13">
                  <c:v>46153</c:v>
                </c:pt>
                <c:pt idx="14">
                  <c:v>46154</c:v>
                </c:pt>
                <c:pt idx="15">
                  <c:v>46155</c:v>
                </c:pt>
                <c:pt idx="16">
                  <c:v>46156</c:v>
                </c:pt>
                <c:pt idx="17">
                  <c:v>46157</c:v>
                </c:pt>
                <c:pt idx="18">
                  <c:v>46158</c:v>
                </c:pt>
                <c:pt idx="19">
                  <c:v>46159</c:v>
                </c:pt>
                <c:pt idx="20">
                  <c:v>46160</c:v>
                </c:pt>
                <c:pt idx="21">
                  <c:v>46161</c:v>
                </c:pt>
                <c:pt idx="22">
                  <c:v>46162</c:v>
                </c:pt>
                <c:pt idx="23">
                  <c:v>46163</c:v>
                </c:pt>
                <c:pt idx="24">
                  <c:v>46164</c:v>
                </c:pt>
              </c:numCache>
            </c:numRef>
          </c:xVal>
          <c:yVal>
            <c:numRef>
              <c:f>'fantoma mama'!$B$34:$Z$34</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0"/>
        </c:ser>
        <c:dLbls>
          <c:showLegendKey val="0"/>
          <c:showVal val="0"/>
          <c:showCatName val="0"/>
          <c:showSerName val="0"/>
          <c:showPercent val="0"/>
          <c:showBubbleSize val="0"/>
        </c:dLbls>
        <c:axId val="428297952"/>
        <c:axId val="428299912"/>
      </c:scatterChart>
      <c:valAx>
        <c:axId val="4282979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pt-BR">
                    <a:solidFill>
                      <a:schemeClr val="tx1"/>
                    </a:solidFill>
                  </a:rPr>
                  <a:t>Data do teste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428299912"/>
        <c:crosses val="autoZero"/>
        <c:crossBetween val="midCat"/>
      </c:valAx>
      <c:valAx>
        <c:axId val="428299912"/>
        <c:scaling>
          <c:orientation val="minMax"/>
          <c:max val="6"/>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pt-BR">
                    <a:solidFill>
                      <a:schemeClr val="tx1"/>
                    </a:solidFill>
                  </a:rPr>
                  <a:t>Estruturas visualizadas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428297952"/>
        <c:crosses val="autoZero"/>
        <c:crossBetween val="midCat"/>
        <c:majorUnit val="0.5"/>
        <c:minorUnit val="0.5"/>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Modo padrão do serviço - Microcalcificações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pt-BR"/>
        </a:p>
      </c:txPr>
    </c:title>
    <c:autoTitleDeleted val="0"/>
    <c:plotArea>
      <c:layout/>
      <c:scatterChart>
        <c:scatterStyle val="lineMarker"/>
        <c:varyColors val="0"/>
        <c:ser>
          <c:idx val="0"/>
          <c:order val="0"/>
          <c:tx>
            <c:v>Microcalcificações</c:v>
          </c:tx>
          <c:spPr>
            <a:ln w="25400" cap="rnd">
              <a:noFill/>
              <a:round/>
            </a:ln>
            <a:effectLst/>
          </c:spPr>
          <c:marker>
            <c:symbol val="circle"/>
            <c:size val="5"/>
            <c:spPr>
              <a:solidFill>
                <a:schemeClr val="accent1"/>
              </a:solidFill>
              <a:ln w="9525">
                <a:solidFill>
                  <a:schemeClr val="accent1"/>
                </a:solidFill>
              </a:ln>
              <a:effectLst/>
            </c:spPr>
          </c:marker>
          <c:xVal>
            <c:numRef>
              <c:f>'fantoma mama'!$B$4:$Z$4</c:f>
              <c:numCache>
                <c:formatCode>d\-mmm</c:formatCode>
                <c:ptCount val="25"/>
                <c:pt idx="0">
                  <c:v>46140</c:v>
                </c:pt>
                <c:pt idx="1">
                  <c:v>46141</c:v>
                </c:pt>
                <c:pt idx="2">
                  <c:v>46142</c:v>
                </c:pt>
                <c:pt idx="3">
                  <c:v>46143</c:v>
                </c:pt>
                <c:pt idx="4">
                  <c:v>46144</c:v>
                </c:pt>
                <c:pt idx="5">
                  <c:v>46145</c:v>
                </c:pt>
                <c:pt idx="6">
                  <c:v>46146</c:v>
                </c:pt>
                <c:pt idx="7">
                  <c:v>46147</c:v>
                </c:pt>
                <c:pt idx="8">
                  <c:v>46148</c:v>
                </c:pt>
                <c:pt idx="9">
                  <c:v>46149</c:v>
                </c:pt>
                <c:pt idx="10">
                  <c:v>46150</c:v>
                </c:pt>
                <c:pt idx="11">
                  <c:v>46151</c:v>
                </c:pt>
                <c:pt idx="12">
                  <c:v>46152</c:v>
                </c:pt>
                <c:pt idx="13">
                  <c:v>46153</c:v>
                </c:pt>
                <c:pt idx="14">
                  <c:v>46154</c:v>
                </c:pt>
                <c:pt idx="15">
                  <c:v>46155</c:v>
                </c:pt>
                <c:pt idx="16">
                  <c:v>46156</c:v>
                </c:pt>
                <c:pt idx="17">
                  <c:v>46157</c:v>
                </c:pt>
                <c:pt idx="18">
                  <c:v>46158</c:v>
                </c:pt>
                <c:pt idx="19">
                  <c:v>46159</c:v>
                </c:pt>
                <c:pt idx="20">
                  <c:v>46160</c:v>
                </c:pt>
                <c:pt idx="21">
                  <c:v>46161</c:v>
                </c:pt>
                <c:pt idx="22">
                  <c:v>46162</c:v>
                </c:pt>
                <c:pt idx="23">
                  <c:v>46163</c:v>
                </c:pt>
                <c:pt idx="24">
                  <c:v>46164</c:v>
                </c:pt>
              </c:numCache>
            </c:numRef>
          </c:xVal>
          <c:yVal>
            <c:numRef>
              <c:f>'fantoma mama'!$B$35:$Z$35</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yVal>
          <c:smooth val="0"/>
        </c:ser>
        <c:dLbls>
          <c:showLegendKey val="0"/>
          <c:showVal val="0"/>
          <c:showCatName val="0"/>
          <c:showSerName val="0"/>
          <c:showPercent val="0"/>
          <c:showBubbleSize val="0"/>
        </c:dLbls>
        <c:axId val="428300304"/>
        <c:axId val="428302264"/>
      </c:scatterChart>
      <c:valAx>
        <c:axId val="428300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pt-BR">
                    <a:solidFill>
                      <a:schemeClr val="tx1"/>
                    </a:solidFill>
                  </a:rPr>
                  <a:t>Data do teste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428302264"/>
        <c:crosses val="autoZero"/>
        <c:crossBetween val="midCat"/>
      </c:valAx>
      <c:valAx>
        <c:axId val="428302264"/>
        <c:scaling>
          <c:orientation val="minMax"/>
          <c:max val="6"/>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pt-BR">
                    <a:solidFill>
                      <a:schemeClr val="tx1"/>
                    </a:solidFill>
                  </a:rPr>
                  <a:t>Estruturas visualizadas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428300304"/>
        <c:crosses val="autoZero"/>
        <c:crossBetween val="midCat"/>
        <c:majorUnit val="0.5"/>
        <c:minorUnit val="0.5"/>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pt-BR"/>
              <a:t>Curva Característica</a:t>
            </a:r>
          </a:p>
        </c:rich>
      </c:tx>
      <c:overlay val="0"/>
      <c:spPr>
        <a:noFill/>
        <a:ln w="25400">
          <a:noFill/>
        </a:ln>
      </c:spPr>
    </c:title>
    <c:autoTitleDeleted val="0"/>
    <c:plotArea>
      <c:layout/>
      <c:scatterChart>
        <c:scatterStyle val="lineMarker"/>
        <c:varyColors val="0"/>
        <c:ser>
          <c:idx val="0"/>
          <c:order val="0"/>
          <c:tx>
            <c:v>Curva Característica</c:v>
          </c:tx>
          <c:spPr>
            <a:ln w="28575">
              <a:noFill/>
            </a:ln>
          </c:spPr>
          <c:marker>
            <c:symbol val="diamond"/>
            <c:size val="5"/>
            <c:spPr>
              <a:solidFill>
                <a:srgbClr val="000080"/>
              </a:solidFill>
              <a:ln>
                <a:solidFill>
                  <a:srgbClr val="000080"/>
                </a:solidFill>
                <a:prstDash val="solid"/>
              </a:ln>
            </c:spPr>
          </c:marker>
          <c:xVal>
            <c:numRef>
              <c:f>Dados!#REF!</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yVal>
          <c:smooth val="0"/>
          <c:extLst xmlns:c16r2="http://schemas.microsoft.com/office/drawing/2015/06/chart">
            <c:ext xmlns:c16="http://schemas.microsoft.com/office/drawing/2014/chart" uri="{C3380CC4-5D6E-409C-BE32-E72D297353CC}">
              <c16:uniqueId val="{00000000-9A4F-410F-8A16-9B91A7E6C070}"/>
            </c:ext>
          </c:extLst>
        </c:ser>
        <c:dLbls>
          <c:showLegendKey val="0"/>
          <c:showVal val="0"/>
          <c:showCatName val="0"/>
          <c:showSerName val="0"/>
          <c:showPercent val="0"/>
          <c:showBubbleSize val="0"/>
        </c:dLbls>
        <c:axId val="428302656"/>
        <c:axId val="428300696"/>
      </c:scatterChart>
      <c:valAx>
        <c:axId val="428302656"/>
        <c:scaling>
          <c:orientation val="minMax"/>
          <c:max val="21"/>
          <c:min val="1"/>
        </c:scaling>
        <c:delete val="0"/>
        <c:axPos val="b"/>
        <c:title>
          <c:tx>
            <c:rich>
              <a:bodyPr/>
              <a:lstStyle/>
              <a:p>
                <a:pPr>
                  <a:defRPr sz="225" b="1" i="0" u="none" strike="noStrike" baseline="0">
                    <a:solidFill>
                      <a:srgbClr val="000000"/>
                    </a:solidFill>
                    <a:latin typeface="Arial"/>
                    <a:ea typeface="Arial"/>
                    <a:cs typeface="Arial"/>
                  </a:defRPr>
                </a:pPr>
                <a:r>
                  <a:rPr lang="pt-BR"/>
                  <a:t>Exposição Relativa (Log)</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pt-BR"/>
          </a:p>
        </c:txPr>
        <c:crossAx val="428300696"/>
        <c:crosses val="autoZero"/>
        <c:crossBetween val="midCat"/>
      </c:valAx>
      <c:valAx>
        <c:axId val="428300696"/>
        <c:scaling>
          <c:orientation val="minMax"/>
        </c:scaling>
        <c:delete val="0"/>
        <c:axPos val="l"/>
        <c:majorGridlines>
          <c:spPr>
            <a:ln w="3175">
              <a:solidFill>
                <a:srgbClr val="000000"/>
              </a:solidFill>
              <a:prstDash val="solid"/>
            </a:ln>
          </c:spPr>
        </c:majorGridlines>
        <c:title>
          <c:tx>
            <c:rich>
              <a:bodyPr/>
              <a:lstStyle/>
              <a:p>
                <a:pPr>
                  <a:defRPr sz="225" b="1" i="0" u="none" strike="noStrike" baseline="0">
                    <a:solidFill>
                      <a:srgbClr val="000000"/>
                    </a:solidFill>
                    <a:latin typeface="Arial"/>
                    <a:ea typeface="Arial"/>
                    <a:cs typeface="Arial"/>
                  </a:defRPr>
                </a:pPr>
                <a:r>
                  <a:rPr lang="pt-BR"/>
                  <a:t>Desnsidade do Filme</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pt-BR"/>
          </a:p>
        </c:txPr>
        <c:crossAx val="42830265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25"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pt-BR"/>
              <a:t>Curva Característica</a:t>
            </a:r>
          </a:p>
        </c:rich>
      </c:tx>
      <c:overlay val="0"/>
      <c:spPr>
        <a:noFill/>
        <a:ln w="25400">
          <a:noFill/>
        </a:ln>
      </c:spPr>
    </c:title>
    <c:autoTitleDeleted val="0"/>
    <c:plotArea>
      <c:layout/>
      <c:scatterChart>
        <c:scatterStyle val="lineMarker"/>
        <c:varyColors val="0"/>
        <c:ser>
          <c:idx val="0"/>
          <c:order val="0"/>
          <c:tx>
            <c:v>Curva Característica</c:v>
          </c:tx>
          <c:spPr>
            <a:ln w="28575">
              <a:noFill/>
            </a:ln>
          </c:spPr>
          <c:marker>
            <c:symbol val="diamond"/>
            <c:size val="5"/>
            <c:spPr>
              <a:solidFill>
                <a:srgbClr val="000080"/>
              </a:solidFill>
              <a:ln>
                <a:solidFill>
                  <a:srgbClr val="000080"/>
                </a:solidFill>
                <a:prstDash val="solid"/>
              </a:ln>
            </c:spPr>
          </c:marker>
          <c:xVal>
            <c:numRef>
              <c:f>Dados!#REF!</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yVal>
          <c:smooth val="0"/>
          <c:extLst xmlns:c16r2="http://schemas.microsoft.com/office/drawing/2015/06/chart">
            <c:ext xmlns:c16="http://schemas.microsoft.com/office/drawing/2014/chart" uri="{C3380CC4-5D6E-409C-BE32-E72D297353CC}">
              <c16:uniqueId val="{00000000-9A4F-410F-8A16-9B91A7E6C070}"/>
            </c:ext>
          </c:extLst>
        </c:ser>
        <c:dLbls>
          <c:showLegendKey val="0"/>
          <c:showVal val="0"/>
          <c:showCatName val="0"/>
          <c:showSerName val="0"/>
          <c:showPercent val="0"/>
          <c:showBubbleSize val="0"/>
        </c:dLbls>
        <c:axId val="428296776"/>
        <c:axId val="428301088"/>
      </c:scatterChart>
      <c:valAx>
        <c:axId val="428296776"/>
        <c:scaling>
          <c:orientation val="minMax"/>
          <c:max val="21"/>
          <c:min val="1"/>
        </c:scaling>
        <c:delete val="0"/>
        <c:axPos val="b"/>
        <c:title>
          <c:tx>
            <c:rich>
              <a:bodyPr/>
              <a:lstStyle/>
              <a:p>
                <a:pPr>
                  <a:defRPr sz="225" b="1" i="0" u="none" strike="noStrike" baseline="0">
                    <a:solidFill>
                      <a:srgbClr val="000000"/>
                    </a:solidFill>
                    <a:latin typeface="Arial"/>
                    <a:ea typeface="Arial"/>
                    <a:cs typeface="Arial"/>
                  </a:defRPr>
                </a:pPr>
                <a:r>
                  <a:rPr lang="pt-BR"/>
                  <a:t>Exposição Relativa (Log)</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pt-BR"/>
          </a:p>
        </c:txPr>
        <c:crossAx val="428301088"/>
        <c:crosses val="autoZero"/>
        <c:crossBetween val="midCat"/>
      </c:valAx>
      <c:valAx>
        <c:axId val="428301088"/>
        <c:scaling>
          <c:orientation val="minMax"/>
        </c:scaling>
        <c:delete val="0"/>
        <c:axPos val="l"/>
        <c:majorGridlines>
          <c:spPr>
            <a:ln w="3175">
              <a:solidFill>
                <a:srgbClr val="000000"/>
              </a:solidFill>
              <a:prstDash val="solid"/>
            </a:ln>
          </c:spPr>
        </c:majorGridlines>
        <c:title>
          <c:tx>
            <c:rich>
              <a:bodyPr/>
              <a:lstStyle/>
              <a:p>
                <a:pPr>
                  <a:defRPr sz="225" b="1" i="0" u="none" strike="noStrike" baseline="0">
                    <a:solidFill>
                      <a:srgbClr val="000000"/>
                    </a:solidFill>
                    <a:latin typeface="Arial"/>
                    <a:ea typeface="Arial"/>
                    <a:cs typeface="Arial"/>
                  </a:defRPr>
                </a:pPr>
                <a:r>
                  <a:rPr lang="pt-BR"/>
                  <a:t>Desnsidade do Filme</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pt-BR"/>
          </a:p>
        </c:txPr>
        <c:crossAx val="42829677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25"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pt-BR" b="1"/>
              <a:t>Protocolo para Crânio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v>Exatidão Água</c:v>
          </c:tx>
          <c:spPr>
            <a:ln w="19050" cap="rnd">
              <a:solidFill>
                <a:schemeClr val="accent2"/>
              </a:solidFill>
              <a:round/>
            </a:ln>
            <a:effectLst/>
          </c:spPr>
          <c:marker>
            <c:symbol val="circle"/>
            <c:size val="5"/>
            <c:spPr>
              <a:solidFill>
                <a:schemeClr val="accent2"/>
              </a:solidFill>
              <a:ln w="9525">
                <a:solidFill>
                  <a:schemeClr val="accent2"/>
                </a:solidFill>
              </a:ln>
              <a:effectLst/>
            </c:spPr>
          </c:marker>
          <c:cat>
            <c:numRef>
              <c:f>'N° CT'!$B$5:$Z$5</c:f>
              <c:numCache>
                <c:formatCode>d\-mmm</c:formatCode>
                <c:ptCount val="25"/>
              </c:numCache>
            </c:numRef>
          </c:cat>
          <c:val>
            <c:numRef>
              <c:f>'N° CT'!$B$35:$BA$35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0"/>
          <c:order val="1"/>
          <c:tx>
            <c:v>Exatidão Ar</c:v>
          </c:tx>
          <c:spPr>
            <a:ln w="19050" cap="rnd">
              <a:solidFill>
                <a:schemeClr val="accent1"/>
              </a:solidFill>
              <a:round/>
            </a:ln>
            <a:effectLst/>
          </c:spPr>
          <c:marker>
            <c:symbol val="circle"/>
            <c:size val="5"/>
            <c:spPr>
              <a:solidFill>
                <a:schemeClr val="accent1"/>
              </a:solidFill>
              <a:ln w="9525">
                <a:solidFill>
                  <a:schemeClr val="accent1"/>
                </a:solidFill>
              </a:ln>
              <a:effectLst/>
            </c:spPr>
          </c:marker>
          <c:cat>
            <c:numRef>
              <c:f>'N° CT'!$B$5:$Z$5</c:f>
              <c:numCache>
                <c:formatCode>d\-mmm</c:formatCode>
                <c:ptCount val="25"/>
              </c:numCache>
            </c:numRef>
          </c:cat>
          <c:val>
            <c:numRef>
              <c:f>'N° CT'!$B$37:$BA$37</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2"/>
          <c:order val="2"/>
          <c:tx>
            <c:v>Uniformidade</c:v>
          </c:tx>
          <c:spPr>
            <a:ln w="19050" cap="rnd">
              <a:solidFill>
                <a:schemeClr val="accent3"/>
              </a:solidFill>
              <a:round/>
            </a:ln>
            <a:effectLst/>
          </c:spPr>
          <c:marker>
            <c:symbol val="circle"/>
            <c:size val="5"/>
            <c:spPr>
              <a:solidFill>
                <a:schemeClr val="accent3"/>
              </a:solidFill>
              <a:ln w="9525">
                <a:solidFill>
                  <a:schemeClr val="accent3"/>
                </a:solidFill>
              </a:ln>
              <a:effectLst/>
            </c:spPr>
          </c:marker>
          <c:cat>
            <c:numRef>
              <c:f>'N° CT'!$B$5:$Z$5</c:f>
              <c:numCache>
                <c:formatCode>d\-mmm</c:formatCode>
                <c:ptCount val="25"/>
              </c:numCache>
            </c:numRef>
          </c:cat>
          <c:val>
            <c:numRef>
              <c:f>'N° CT'!$B$39:$BA$39</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3"/>
          <c:order val="3"/>
          <c:tx>
            <c:v>Ruído Água</c:v>
          </c:tx>
          <c:spPr>
            <a:ln w="19050" cap="rnd">
              <a:solidFill>
                <a:schemeClr val="accent4"/>
              </a:solidFill>
              <a:round/>
            </a:ln>
            <a:effectLst/>
          </c:spPr>
          <c:marker>
            <c:symbol val="circle"/>
            <c:size val="5"/>
            <c:spPr>
              <a:solidFill>
                <a:schemeClr val="accent4"/>
              </a:solidFill>
              <a:ln w="9525">
                <a:solidFill>
                  <a:schemeClr val="accent4"/>
                </a:solidFill>
              </a:ln>
              <a:effectLst/>
            </c:spPr>
          </c:marker>
          <c:cat>
            <c:numRef>
              <c:f>'N° CT'!$B$5:$Z$5</c:f>
              <c:numCache>
                <c:formatCode>d\-mmm</c:formatCode>
                <c:ptCount val="25"/>
              </c:numCache>
            </c:numRef>
          </c:cat>
          <c:val>
            <c:numRef>
              <c:f>'N° CT'!$B$41:$BA$41</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4"/>
          <c:order val="4"/>
          <c:tx>
            <c:v>Ruído Ar</c:v>
          </c:tx>
          <c:spPr>
            <a:ln w="19050" cap="rnd">
              <a:solidFill>
                <a:schemeClr val="accent5"/>
              </a:solidFill>
              <a:round/>
            </a:ln>
            <a:effectLst/>
          </c:spPr>
          <c:marker>
            <c:symbol val="circle"/>
            <c:size val="5"/>
            <c:spPr>
              <a:solidFill>
                <a:schemeClr val="accent5"/>
              </a:solidFill>
              <a:ln w="9525">
                <a:solidFill>
                  <a:schemeClr val="accent5"/>
                </a:solidFill>
              </a:ln>
              <a:effectLst/>
            </c:spPr>
          </c:marker>
          <c:cat>
            <c:numRef>
              <c:f>'N° CT'!$B$5:$Z$5</c:f>
              <c:numCache>
                <c:formatCode>d\-mmm</c:formatCode>
                <c:ptCount val="25"/>
              </c:numCache>
            </c:numRef>
          </c:cat>
          <c:val>
            <c:numRef>
              <c:f>'N° CT'!$B$43:$BA$43</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dLbls>
          <c:showLegendKey val="0"/>
          <c:showVal val="0"/>
          <c:showCatName val="0"/>
          <c:showSerName val="0"/>
          <c:showPercent val="0"/>
          <c:showBubbleSize val="0"/>
        </c:dLbls>
        <c:marker val="1"/>
        <c:smooth val="0"/>
        <c:axId val="428301480"/>
        <c:axId val="428297560"/>
      </c:lineChart>
      <c:catAx>
        <c:axId val="428301480"/>
        <c:scaling>
          <c:orientation val="minMax"/>
        </c:scaling>
        <c:delete val="1"/>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Data do teste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d\-mmm" sourceLinked="1"/>
        <c:majorTickMark val="none"/>
        <c:minorTickMark val="none"/>
        <c:tickLblPos val="nextTo"/>
        <c:crossAx val="428297560"/>
        <c:crosses val="autoZero"/>
        <c:auto val="1"/>
        <c:lblAlgn val="ctr"/>
        <c:lblOffset val="100"/>
        <c:noMultiLvlLbl val="1"/>
      </c:catAx>
      <c:valAx>
        <c:axId val="428297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HU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8301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pt-BR" b="1"/>
              <a:t>Protocolo para Abdômen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v>Exatidão Água</c:v>
          </c:tx>
          <c:spPr>
            <a:ln w="19050" cap="rnd">
              <a:solidFill>
                <a:schemeClr val="accent2"/>
              </a:solidFill>
              <a:round/>
            </a:ln>
            <a:effectLst/>
          </c:spPr>
          <c:marker>
            <c:symbol val="circle"/>
            <c:size val="5"/>
            <c:spPr>
              <a:solidFill>
                <a:schemeClr val="accent2"/>
              </a:solidFill>
              <a:ln w="9525">
                <a:solidFill>
                  <a:schemeClr val="accent2"/>
                </a:solidFill>
              </a:ln>
              <a:effectLst/>
            </c:spPr>
          </c:marker>
          <c:cat>
            <c:numRef>
              <c:f>'N° CT'!$B$5:$Z$5</c:f>
              <c:numCache>
                <c:formatCode>d\-mmm</c:formatCode>
                <c:ptCount val="25"/>
              </c:numCache>
            </c:numRef>
          </c:cat>
          <c:val>
            <c:numRef>
              <c:f>'N° CT'!$B$61:$BA$61</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0"/>
          <c:order val="1"/>
          <c:tx>
            <c:v>Exatidão Ar</c:v>
          </c:tx>
          <c:spPr>
            <a:ln w="19050" cap="rnd">
              <a:solidFill>
                <a:schemeClr val="accent1"/>
              </a:solidFill>
              <a:round/>
            </a:ln>
            <a:effectLst/>
          </c:spPr>
          <c:marker>
            <c:symbol val="circle"/>
            <c:size val="5"/>
            <c:spPr>
              <a:solidFill>
                <a:schemeClr val="accent1"/>
              </a:solidFill>
              <a:ln w="9525">
                <a:solidFill>
                  <a:schemeClr val="accent1"/>
                </a:solidFill>
              </a:ln>
              <a:effectLst/>
            </c:spPr>
          </c:marker>
          <c:cat>
            <c:numRef>
              <c:f>'N° CT'!$B$5:$Z$5</c:f>
              <c:numCache>
                <c:formatCode>d\-mmm</c:formatCode>
                <c:ptCount val="25"/>
              </c:numCache>
            </c:numRef>
          </c:cat>
          <c:val>
            <c:numRef>
              <c:f>'N° CT'!$B$63:$BA$63</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2"/>
          <c:order val="2"/>
          <c:tx>
            <c:v>Uniformidade</c:v>
          </c:tx>
          <c:spPr>
            <a:ln w="19050" cap="rnd">
              <a:solidFill>
                <a:schemeClr val="accent3"/>
              </a:solidFill>
              <a:round/>
            </a:ln>
            <a:effectLst/>
          </c:spPr>
          <c:marker>
            <c:symbol val="circle"/>
            <c:size val="5"/>
            <c:spPr>
              <a:solidFill>
                <a:schemeClr val="accent3"/>
              </a:solidFill>
              <a:ln w="9525">
                <a:solidFill>
                  <a:schemeClr val="accent3"/>
                </a:solidFill>
              </a:ln>
              <a:effectLst/>
            </c:spPr>
          </c:marker>
          <c:cat>
            <c:numRef>
              <c:f>'N° CT'!$B$5:$Z$5</c:f>
              <c:numCache>
                <c:formatCode>d\-mmm</c:formatCode>
                <c:ptCount val="25"/>
              </c:numCache>
            </c:numRef>
          </c:cat>
          <c:val>
            <c:numRef>
              <c:f>'N° CT'!$B$65:$BA$65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3"/>
          <c:order val="3"/>
          <c:tx>
            <c:v>Ruído Água</c:v>
          </c:tx>
          <c:spPr>
            <a:ln w="19050" cap="rnd">
              <a:solidFill>
                <a:schemeClr val="accent4"/>
              </a:solidFill>
              <a:round/>
            </a:ln>
            <a:effectLst/>
          </c:spPr>
          <c:marker>
            <c:symbol val="circle"/>
            <c:size val="5"/>
            <c:spPr>
              <a:solidFill>
                <a:schemeClr val="accent4"/>
              </a:solidFill>
              <a:ln w="9525">
                <a:solidFill>
                  <a:schemeClr val="accent4"/>
                </a:solidFill>
              </a:ln>
              <a:effectLst/>
            </c:spPr>
          </c:marker>
          <c:cat>
            <c:numRef>
              <c:f>'N° CT'!$B$5:$Z$5</c:f>
              <c:numCache>
                <c:formatCode>d\-mmm</c:formatCode>
                <c:ptCount val="25"/>
              </c:numCache>
            </c:numRef>
          </c:cat>
          <c:val>
            <c:numRef>
              <c:f>'N° CT'!$B$67:$BA$67</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ser>
          <c:idx val="4"/>
          <c:order val="4"/>
          <c:tx>
            <c:v>Ruído Ar</c:v>
          </c:tx>
          <c:spPr>
            <a:ln w="19050" cap="rnd">
              <a:solidFill>
                <a:schemeClr val="accent5"/>
              </a:solidFill>
              <a:round/>
            </a:ln>
            <a:effectLst/>
          </c:spPr>
          <c:marker>
            <c:symbol val="circle"/>
            <c:size val="5"/>
            <c:spPr>
              <a:solidFill>
                <a:schemeClr val="accent5"/>
              </a:solidFill>
              <a:ln w="9525">
                <a:solidFill>
                  <a:schemeClr val="accent5"/>
                </a:solidFill>
              </a:ln>
              <a:effectLst/>
            </c:spPr>
          </c:marker>
          <c:cat>
            <c:numRef>
              <c:f>'N° CT'!$B$5:$Z$5</c:f>
              <c:numCache>
                <c:formatCode>d\-mmm</c:formatCode>
                <c:ptCount val="25"/>
              </c:numCache>
            </c:numRef>
          </c:cat>
          <c:val>
            <c:numRef>
              <c:f>'N° CT'!$B$69:$BA$69</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ser>
        <c:dLbls>
          <c:showLegendKey val="0"/>
          <c:showVal val="0"/>
          <c:showCatName val="0"/>
          <c:showSerName val="0"/>
          <c:showPercent val="0"/>
          <c:showBubbleSize val="0"/>
        </c:dLbls>
        <c:marker val="1"/>
        <c:smooth val="0"/>
        <c:axId val="409721192"/>
        <c:axId val="409714528"/>
      </c:lineChart>
      <c:catAx>
        <c:axId val="409721192"/>
        <c:scaling>
          <c:orientation val="minMax"/>
        </c:scaling>
        <c:delete val="1"/>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Data do teste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d\-mmm" sourceLinked="1"/>
        <c:majorTickMark val="none"/>
        <c:minorTickMark val="none"/>
        <c:tickLblPos val="nextTo"/>
        <c:crossAx val="409714528"/>
        <c:crosses val="autoZero"/>
        <c:auto val="1"/>
        <c:lblAlgn val="ctr"/>
        <c:lblOffset val="100"/>
        <c:noMultiLvlLbl val="1"/>
      </c:catAx>
      <c:valAx>
        <c:axId val="409714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HU</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09721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Acessórios!$A$57:$A$77</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Acessórios!$B$57:$B$77</c:f>
              <c:numCache>
                <c:formatCode>0.00</c:formatCode>
                <c:ptCount val="21"/>
              </c:numCache>
            </c:numRef>
          </c:yVal>
          <c:smooth val="0"/>
        </c:ser>
        <c:dLbls>
          <c:showLegendKey val="0"/>
          <c:showVal val="0"/>
          <c:showCatName val="0"/>
          <c:showSerName val="0"/>
          <c:showPercent val="0"/>
          <c:showBubbleSize val="0"/>
        </c:dLbls>
        <c:axId val="452913720"/>
        <c:axId val="452914112"/>
      </c:scatterChart>
      <c:valAx>
        <c:axId val="452913720"/>
        <c:scaling>
          <c:orientation val="minMax"/>
          <c:max val="21"/>
          <c:min val="1"/>
        </c:scaling>
        <c:delete val="0"/>
        <c:axPos val="b"/>
        <c:numFmt formatCode="General" sourceLinked="1"/>
        <c:majorTickMark val="out"/>
        <c:minorTickMark val="none"/>
        <c:tickLblPos val="nextTo"/>
        <c:crossAx val="452914112"/>
        <c:crosses val="autoZero"/>
        <c:crossBetween val="midCat"/>
      </c:valAx>
      <c:valAx>
        <c:axId val="452914112"/>
        <c:scaling>
          <c:orientation val="minMax"/>
        </c:scaling>
        <c:delete val="0"/>
        <c:axPos val="l"/>
        <c:majorGridlines/>
        <c:numFmt formatCode="0.00" sourceLinked="1"/>
        <c:majorTickMark val="out"/>
        <c:minorTickMark val="none"/>
        <c:tickLblPos val="nextTo"/>
        <c:crossAx val="452913720"/>
        <c:crosses val="autoZero"/>
        <c:crossBetween val="midCat"/>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Acessórios!$A$57:$A$77</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Acessórios!$C$57:$C$77</c:f>
              <c:numCache>
                <c:formatCode>0.00</c:formatCode>
                <c:ptCount val="21"/>
              </c:numCache>
            </c:numRef>
          </c:yVal>
          <c:smooth val="0"/>
        </c:ser>
        <c:dLbls>
          <c:showLegendKey val="0"/>
          <c:showVal val="0"/>
          <c:showCatName val="0"/>
          <c:showSerName val="0"/>
          <c:showPercent val="0"/>
          <c:showBubbleSize val="0"/>
        </c:dLbls>
        <c:axId val="452908232"/>
        <c:axId val="452906664"/>
      </c:scatterChart>
      <c:valAx>
        <c:axId val="452908232"/>
        <c:scaling>
          <c:orientation val="minMax"/>
          <c:max val="21"/>
          <c:min val="1"/>
        </c:scaling>
        <c:delete val="0"/>
        <c:axPos val="b"/>
        <c:numFmt formatCode="General" sourceLinked="1"/>
        <c:majorTickMark val="out"/>
        <c:minorTickMark val="none"/>
        <c:tickLblPos val="nextTo"/>
        <c:crossAx val="452906664"/>
        <c:crosses val="autoZero"/>
        <c:crossBetween val="midCat"/>
      </c:valAx>
      <c:valAx>
        <c:axId val="452906664"/>
        <c:scaling>
          <c:orientation val="minMax"/>
        </c:scaling>
        <c:delete val="0"/>
        <c:axPos val="l"/>
        <c:majorGridlines/>
        <c:numFmt formatCode="0.00" sourceLinked="1"/>
        <c:majorTickMark val="out"/>
        <c:minorTickMark val="none"/>
        <c:tickLblPos val="nextTo"/>
        <c:crossAx val="452908232"/>
        <c:crosses val="autoZero"/>
        <c:crossBetween val="midCat"/>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Acessórios!$A$57:$A$77</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Acessórios!$D$57:$D$77</c:f>
              <c:numCache>
                <c:formatCode>0.00</c:formatCode>
                <c:ptCount val="21"/>
              </c:numCache>
            </c:numRef>
          </c:yVal>
          <c:smooth val="0"/>
        </c:ser>
        <c:dLbls>
          <c:showLegendKey val="0"/>
          <c:showVal val="0"/>
          <c:showCatName val="0"/>
          <c:showSerName val="0"/>
          <c:showPercent val="0"/>
          <c:showBubbleSize val="0"/>
        </c:dLbls>
        <c:axId val="452907448"/>
        <c:axId val="452910584"/>
      </c:scatterChart>
      <c:valAx>
        <c:axId val="452907448"/>
        <c:scaling>
          <c:orientation val="minMax"/>
          <c:max val="21"/>
          <c:min val="1"/>
        </c:scaling>
        <c:delete val="0"/>
        <c:axPos val="b"/>
        <c:numFmt formatCode="General" sourceLinked="1"/>
        <c:majorTickMark val="out"/>
        <c:minorTickMark val="none"/>
        <c:tickLblPos val="nextTo"/>
        <c:crossAx val="452910584"/>
        <c:crosses val="autoZero"/>
        <c:crossBetween val="midCat"/>
      </c:valAx>
      <c:valAx>
        <c:axId val="452910584"/>
        <c:scaling>
          <c:orientation val="minMax"/>
        </c:scaling>
        <c:delete val="0"/>
        <c:axPos val="l"/>
        <c:majorGridlines/>
        <c:numFmt formatCode="0.00" sourceLinked="1"/>
        <c:majorTickMark val="out"/>
        <c:minorTickMark val="none"/>
        <c:tickLblPos val="nextTo"/>
        <c:crossAx val="452907448"/>
        <c:crosses val="autoZero"/>
        <c:crossBetween val="midCat"/>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Acessórios!$A$57:$A$77</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Acessórios!$E$57:$E$77</c:f>
              <c:numCache>
                <c:formatCode>0.00</c:formatCode>
                <c:ptCount val="21"/>
              </c:numCache>
            </c:numRef>
          </c:yVal>
          <c:smooth val="0"/>
        </c:ser>
        <c:dLbls>
          <c:showLegendKey val="0"/>
          <c:showVal val="0"/>
          <c:showCatName val="0"/>
          <c:showSerName val="0"/>
          <c:showPercent val="0"/>
          <c:showBubbleSize val="0"/>
        </c:dLbls>
        <c:axId val="452912152"/>
        <c:axId val="452907056"/>
      </c:scatterChart>
      <c:valAx>
        <c:axId val="452912152"/>
        <c:scaling>
          <c:orientation val="minMax"/>
          <c:max val="21"/>
          <c:min val="1"/>
        </c:scaling>
        <c:delete val="0"/>
        <c:axPos val="b"/>
        <c:numFmt formatCode="General" sourceLinked="1"/>
        <c:majorTickMark val="out"/>
        <c:minorTickMark val="none"/>
        <c:tickLblPos val="nextTo"/>
        <c:crossAx val="452907056"/>
        <c:crosses val="autoZero"/>
        <c:crossBetween val="midCat"/>
      </c:valAx>
      <c:valAx>
        <c:axId val="452907056"/>
        <c:scaling>
          <c:orientation val="minMax"/>
        </c:scaling>
        <c:delete val="0"/>
        <c:axPos val="l"/>
        <c:majorGridlines/>
        <c:numFmt formatCode="0.00" sourceLinked="1"/>
        <c:majorTickMark val="out"/>
        <c:minorTickMark val="none"/>
        <c:tickLblPos val="nextTo"/>
        <c:crossAx val="452912152"/>
        <c:crosses val="autoZero"/>
        <c:crossBetween val="midCat"/>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emf"/><Relationship Id="rId1" Type="http://schemas.openxmlformats.org/officeDocument/2006/relationships/image" Target="../media/image8.emf"/><Relationship Id="rId4"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4.png"/><Relationship Id="rId7" Type="http://schemas.openxmlformats.org/officeDocument/2006/relationships/image" Target="../media/image18.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15.png"/><Relationship Id="rId9"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22</xdr:row>
      <xdr:rowOff>123825</xdr:rowOff>
    </xdr:from>
    <xdr:to>
      <xdr:col>0</xdr:col>
      <xdr:colOff>1591205</xdr:colOff>
      <xdr:row>27</xdr:row>
      <xdr:rowOff>47625</xdr:rowOff>
    </xdr:to>
    <xdr:pic>
      <xdr:nvPicPr>
        <xdr:cNvPr id="3" name="Imagem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4606925"/>
          <a:ext cx="1542847" cy="866775"/>
        </a:xfrm>
        <a:prstGeom prst="rect">
          <a:avLst/>
        </a:prstGeom>
      </xdr:spPr>
    </xdr:pic>
    <xdr:clientData/>
  </xdr:twoCellAnchor>
  <xdr:oneCellAnchor>
    <xdr:from>
      <xdr:col>1</xdr:col>
      <xdr:colOff>0</xdr:colOff>
      <xdr:row>17</xdr:row>
      <xdr:rowOff>0</xdr:rowOff>
    </xdr:from>
    <xdr:ext cx="304800" cy="304800"/>
    <xdr:sp macro="" textlink="">
      <xdr:nvSpPr>
        <xdr:cNvPr id="4" name="AutoShape 5" descr="Resultado de imagem para Pro-rad"/>
        <xdr:cNvSpPr>
          <a:spLocks noChangeAspect="1" noChangeArrowheads="1"/>
        </xdr:cNvSpPr>
      </xdr:nvSpPr>
      <xdr:spPr bwMode="auto">
        <a:xfrm>
          <a:off x="12382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18</xdr:row>
      <xdr:rowOff>0</xdr:rowOff>
    </xdr:from>
    <xdr:ext cx="304800" cy="304800"/>
    <xdr:sp macro="" textlink="">
      <xdr:nvSpPr>
        <xdr:cNvPr id="5" name="AutoShape 5" descr="Resultado de imagem para Pro-rad"/>
        <xdr:cNvSpPr>
          <a:spLocks noChangeAspect="1" noChangeArrowheads="1"/>
        </xdr:cNvSpPr>
      </xdr:nvSpPr>
      <xdr:spPr bwMode="auto">
        <a:xfrm>
          <a:off x="12382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79</xdr:row>
      <xdr:rowOff>67235</xdr:rowOff>
    </xdr:from>
    <xdr:to>
      <xdr:col>3</xdr:col>
      <xdr:colOff>941294</xdr:colOff>
      <xdr:row>99</xdr:row>
      <xdr:rowOff>142874</xdr:rowOff>
    </xdr:to>
    <xdr:grpSp>
      <xdr:nvGrpSpPr>
        <xdr:cNvPr id="4" name="Grupo 3"/>
        <xdr:cNvGrpSpPr/>
      </xdr:nvGrpSpPr>
      <xdr:grpSpPr>
        <a:xfrm>
          <a:off x="0" y="15973985"/>
          <a:ext cx="3839615" cy="3885639"/>
          <a:chOff x="3697941" y="16181293"/>
          <a:chExt cx="5186082" cy="5114925"/>
        </a:xfrm>
      </xdr:grpSpPr>
      <xdr:pic>
        <xdr:nvPicPr>
          <xdr:cNvPr id="2" name="Imagem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97941" y="16181293"/>
            <a:ext cx="5186082" cy="51149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Retângulo de cantos arredondados 2"/>
          <xdr:cNvSpPr/>
        </xdr:nvSpPr>
        <xdr:spPr>
          <a:xfrm>
            <a:off x="3753970" y="16270942"/>
            <a:ext cx="1471160" cy="4482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TOR 18FG</a:t>
            </a:r>
          </a:p>
        </xdr:txBody>
      </xdr:sp>
    </xdr:grpSp>
    <xdr:clientData/>
  </xdr:twoCellAnchor>
  <xdr:twoCellAnchor>
    <xdr:from>
      <xdr:col>0</xdr:col>
      <xdr:colOff>168089</xdr:colOff>
      <xdr:row>104</xdr:row>
      <xdr:rowOff>56030</xdr:rowOff>
    </xdr:from>
    <xdr:to>
      <xdr:col>4</xdr:col>
      <xdr:colOff>1277471</xdr:colOff>
      <xdr:row>126</xdr:row>
      <xdr:rowOff>168089</xdr:rowOff>
    </xdr:to>
    <xdr:grpSp>
      <xdr:nvGrpSpPr>
        <xdr:cNvPr id="7" name="Grupo 6"/>
        <xdr:cNvGrpSpPr/>
      </xdr:nvGrpSpPr>
      <xdr:grpSpPr>
        <a:xfrm>
          <a:off x="168089" y="20725280"/>
          <a:ext cx="5069061" cy="4303059"/>
          <a:chOff x="13301382" y="15576176"/>
          <a:chExt cx="4291293" cy="3571875"/>
        </a:xfrm>
      </xdr:grpSpPr>
      <xdr:pic>
        <xdr:nvPicPr>
          <xdr:cNvPr id="5" name="Imagem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01382" y="15576176"/>
            <a:ext cx="4291293" cy="357187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6" name="Retângulo de cantos arredondados 5"/>
          <xdr:cNvSpPr/>
        </xdr:nvSpPr>
        <xdr:spPr>
          <a:xfrm>
            <a:off x="13503089" y="15710646"/>
            <a:ext cx="1036297" cy="276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TOR CDR</a:t>
            </a:r>
          </a:p>
        </xdr:txBody>
      </xdr:sp>
    </xdr:grpSp>
    <xdr:clientData/>
  </xdr:twoCellAnchor>
  <xdr:twoCellAnchor editAs="oneCell">
    <xdr:from>
      <xdr:col>6</xdr:col>
      <xdr:colOff>789213</xdr:colOff>
      <xdr:row>124</xdr:row>
      <xdr:rowOff>27213</xdr:rowOff>
    </xdr:from>
    <xdr:to>
      <xdr:col>11</xdr:col>
      <xdr:colOff>340177</xdr:colOff>
      <xdr:row>134</xdr:row>
      <xdr:rowOff>77640</xdr:rowOff>
    </xdr:to>
    <xdr:pic>
      <xdr:nvPicPr>
        <xdr:cNvPr id="8" name="Imagem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579177" y="24506463"/>
          <a:ext cx="5197929" cy="19554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138</xdr:row>
      <xdr:rowOff>44824</xdr:rowOff>
    </xdr:from>
    <xdr:to>
      <xdr:col>4</xdr:col>
      <xdr:colOff>939800</xdr:colOff>
      <xdr:row>152</xdr:row>
      <xdr:rowOff>63500</xdr:rowOff>
    </xdr:to>
    <xdr:grpSp>
      <xdr:nvGrpSpPr>
        <xdr:cNvPr id="11" name="Grupo 10"/>
        <xdr:cNvGrpSpPr/>
      </xdr:nvGrpSpPr>
      <xdr:grpSpPr>
        <a:xfrm>
          <a:off x="0" y="27191074"/>
          <a:ext cx="4899479" cy="2712890"/>
          <a:chOff x="0" y="26543000"/>
          <a:chExt cx="5100918" cy="2633382"/>
        </a:xfrm>
      </xdr:grpSpPr>
      <xdr:pic>
        <xdr:nvPicPr>
          <xdr:cNvPr id="9" name="Imagem 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6871706"/>
            <a:ext cx="5100918" cy="230467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Retângulo de cantos arredondados 9"/>
          <xdr:cNvSpPr/>
        </xdr:nvSpPr>
        <xdr:spPr>
          <a:xfrm>
            <a:off x="186765" y="26543000"/>
            <a:ext cx="1272764" cy="30233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OD-FTOD</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180975</xdr:colOff>
      <xdr:row>206</xdr:row>
      <xdr:rowOff>147637</xdr:rowOff>
    </xdr:from>
    <xdr:to>
      <xdr:col>7</xdr:col>
      <xdr:colOff>9525</xdr:colOff>
      <xdr:row>221</xdr:row>
      <xdr:rowOff>33337</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161925</xdr:colOff>
      <xdr:row>221</xdr:row>
      <xdr:rowOff>157162</xdr:rowOff>
    </xdr:from>
    <xdr:to>
      <xdr:col>6</xdr:col>
      <xdr:colOff>962025</xdr:colOff>
      <xdr:row>236</xdr:row>
      <xdr:rowOff>42862</xdr:rowOff>
    </xdr:to>
    <xdr:graphicFrame macro="">
      <xdr:nvGraphicFramePr>
        <xdr:cNvPr id="5" name="Gráfico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273505</xdr:colOff>
      <xdr:row>206</xdr:row>
      <xdr:rowOff>155801</xdr:rowOff>
    </xdr:from>
    <xdr:to>
      <xdr:col>12</xdr:col>
      <xdr:colOff>873580</xdr:colOff>
      <xdr:row>221</xdr:row>
      <xdr:rowOff>41501</xdr:rowOff>
    </xdr:to>
    <xdr:graphicFrame macro="">
      <xdr:nvGraphicFramePr>
        <xdr:cNvPr id="6" name="Gráfico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156613</xdr:colOff>
      <xdr:row>149</xdr:row>
      <xdr:rowOff>170351</xdr:rowOff>
    </xdr:from>
    <xdr:to>
      <xdr:col>11</xdr:col>
      <xdr:colOff>23286</xdr:colOff>
      <xdr:row>156</xdr:row>
      <xdr:rowOff>80596</xdr:rowOff>
    </xdr:to>
    <xdr:pic>
      <xdr:nvPicPr>
        <xdr:cNvPr id="16" name="Imagem 15"/>
        <xdr:cNvPicPr>
          <a:picLocks noChangeAspect="1"/>
        </xdr:cNvPicPr>
      </xdr:nvPicPr>
      <xdr:blipFill>
        <a:blip xmlns:r="http://schemas.openxmlformats.org/officeDocument/2006/relationships" r:embed="rId1"/>
        <a:stretch>
          <a:fillRect/>
        </a:stretch>
      </xdr:blipFill>
      <xdr:spPr>
        <a:xfrm>
          <a:off x="8751094" y="28708716"/>
          <a:ext cx="2592289" cy="130236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381000</xdr:colOff>
      <xdr:row>48</xdr:row>
      <xdr:rowOff>0</xdr:rowOff>
    </xdr:from>
    <xdr:to>
      <xdr:col>16</xdr:col>
      <xdr:colOff>685800</xdr:colOff>
      <xdr:row>48</xdr:row>
      <xdr:rowOff>0</xdr:rowOff>
    </xdr:to>
    <xdr:graphicFrame macro="">
      <xdr:nvGraphicFramePr>
        <xdr:cNvPr id="2" name="Chart 1">
          <a:extLst>
            <a:ext uri="{FF2B5EF4-FFF2-40B4-BE49-F238E27FC236}">
              <a16:creationId xmlns:a16="http://schemas.microsoft.com/office/drawing/2014/main" xmlns="" id="{00000000-0008-0000-0100-000089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63</xdr:row>
      <xdr:rowOff>0</xdr:rowOff>
    </xdr:from>
    <xdr:to>
      <xdr:col>9</xdr:col>
      <xdr:colOff>520957</xdr:colOff>
      <xdr:row>78</xdr:row>
      <xdr:rowOff>22500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79</xdr:row>
      <xdr:rowOff>0</xdr:rowOff>
    </xdr:from>
    <xdr:to>
      <xdr:col>9</xdr:col>
      <xdr:colOff>520957</xdr:colOff>
      <xdr:row>94</xdr:row>
      <xdr:rowOff>22500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98</xdr:row>
      <xdr:rowOff>0</xdr:rowOff>
    </xdr:from>
    <xdr:to>
      <xdr:col>9</xdr:col>
      <xdr:colOff>520957</xdr:colOff>
      <xdr:row>113</xdr:row>
      <xdr:rowOff>22500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597857</xdr:colOff>
      <xdr:row>69</xdr:row>
      <xdr:rowOff>4330</xdr:rowOff>
    </xdr:from>
    <xdr:to>
      <xdr:col>9</xdr:col>
      <xdr:colOff>237073</xdr:colOff>
      <xdr:row>69</xdr:row>
      <xdr:rowOff>4330</xdr:rowOff>
    </xdr:to>
    <xdr:cxnSp macro="">
      <xdr:nvCxnSpPr>
        <xdr:cNvPr id="4" name="Conector reto 3"/>
        <xdr:cNvCxnSpPr/>
      </xdr:nvCxnSpPr>
      <xdr:spPr>
        <a:xfrm>
          <a:off x="597857" y="13339330"/>
          <a:ext cx="5220000" cy="0"/>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597480</xdr:colOff>
      <xdr:row>86</xdr:row>
      <xdr:rowOff>151535</xdr:rowOff>
    </xdr:from>
    <xdr:to>
      <xdr:col>9</xdr:col>
      <xdr:colOff>236696</xdr:colOff>
      <xdr:row>86</xdr:row>
      <xdr:rowOff>151535</xdr:rowOff>
    </xdr:to>
    <xdr:cxnSp macro="">
      <xdr:nvCxnSpPr>
        <xdr:cNvPr id="8" name="Conector reto 7"/>
        <xdr:cNvCxnSpPr/>
      </xdr:nvCxnSpPr>
      <xdr:spPr>
        <a:xfrm>
          <a:off x="597480" y="16725035"/>
          <a:ext cx="5220000" cy="0"/>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597477</xdr:colOff>
      <xdr:row>105</xdr:row>
      <xdr:rowOff>151534</xdr:rowOff>
    </xdr:from>
    <xdr:to>
      <xdr:col>9</xdr:col>
      <xdr:colOff>236693</xdr:colOff>
      <xdr:row>105</xdr:row>
      <xdr:rowOff>151534</xdr:rowOff>
    </xdr:to>
    <xdr:cxnSp macro="">
      <xdr:nvCxnSpPr>
        <xdr:cNvPr id="9" name="Conector reto 8"/>
        <xdr:cNvCxnSpPr/>
      </xdr:nvCxnSpPr>
      <xdr:spPr>
        <a:xfrm>
          <a:off x="597477" y="20344534"/>
          <a:ext cx="5220000" cy="0"/>
        </a:xfrm>
        <a:prstGeom prst="line">
          <a:avLst/>
        </a:prstGeom>
        <a:ln w="12700"/>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381000</xdr:colOff>
      <xdr:row>48</xdr:row>
      <xdr:rowOff>0</xdr:rowOff>
    </xdr:from>
    <xdr:to>
      <xdr:col>16</xdr:col>
      <xdr:colOff>685800</xdr:colOff>
      <xdr:row>48</xdr:row>
      <xdr:rowOff>0</xdr:rowOff>
    </xdr:to>
    <xdr:graphicFrame macro="">
      <xdr:nvGraphicFramePr>
        <xdr:cNvPr id="2" name="Chart 1">
          <a:extLst>
            <a:ext uri="{FF2B5EF4-FFF2-40B4-BE49-F238E27FC236}">
              <a16:creationId xmlns:a16="http://schemas.microsoft.com/office/drawing/2014/main" xmlns="" id="{00000000-0008-0000-0100-000089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381000</xdr:colOff>
      <xdr:row>53</xdr:row>
      <xdr:rowOff>0</xdr:rowOff>
    </xdr:from>
    <xdr:to>
      <xdr:col>16</xdr:col>
      <xdr:colOff>685800</xdr:colOff>
      <xdr:row>53</xdr:row>
      <xdr:rowOff>0</xdr:rowOff>
    </xdr:to>
    <xdr:graphicFrame macro="">
      <xdr:nvGraphicFramePr>
        <xdr:cNvPr id="2" name="Chart 1">
          <a:extLst>
            <a:ext uri="{FF2B5EF4-FFF2-40B4-BE49-F238E27FC236}">
              <a16:creationId xmlns:a16="http://schemas.microsoft.com/office/drawing/2014/main" xmlns="" id="{00000000-0008-0000-0100-000089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14653</xdr:colOff>
      <xdr:row>132</xdr:row>
      <xdr:rowOff>9525</xdr:rowOff>
    </xdr:from>
    <xdr:to>
      <xdr:col>9</xdr:col>
      <xdr:colOff>600806</xdr:colOff>
      <xdr:row>143</xdr:row>
      <xdr:rowOff>87923</xdr:rowOff>
    </xdr:to>
    <xdr:graphicFrame macro="">
      <xdr:nvGraphicFramePr>
        <xdr:cNvPr id="3" name="Gráfico 2" title="Protocolo Crâni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146</xdr:row>
      <xdr:rowOff>0</xdr:rowOff>
    </xdr:from>
    <xdr:to>
      <xdr:col>9</xdr:col>
      <xdr:colOff>586153</xdr:colOff>
      <xdr:row>157</xdr:row>
      <xdr:rowOff>78398</xdr:rowOff>
    </xdr:to>
    <xdr:graphicFrame macro="">
      <xdr:nvGraphicFramePr>
        <xdr:cNvPr id="4" name="Gráfico 3" title="Protocolo Crâni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4763</xdr:colOff>
      <xdr:row>84</xdr:row>
      <xdr:rowOff>39292</xdr:rowOff>
    </xdr:from>
    <xdr:to>
      <xdr:col>2</xdr:col>
      <xdr:colOff>220265</xdr:colOff>
      <xdr:row>102</xdr:row>
      <xdr:rowOff>184332</xdr:rowOff>
    </xdr:to>
    <xdr:pic>
      <xdr:nvPicPr>
        <xdr:cNvPr id="2" name="Imagem 1"/>
        <xdr:cNvPicPr>
          <a:picLocks noChangeAspect="1"/>
        </xdr:cNvPicPr>
      </xdr:nvPicPr>
      <xdr:blipFill rotWithShape="1">
        <a:blip xmlns:r="http://schemas.openxmlformats.org/officeDocument/2006/relationships" r:embed="rId1"/>
        <a:srcRect r="73116"/>
        <a:stretch/>
      </xdr:blipFill>
      <xdr:spPr>
        <a:xfrm>
          <a:off x="1147763" y="15374542"/>
          <a:ext cx="989408" cy="907040"/>
        </a:xfrm>
        <a:prstGeom prst="rect">
          <a:avLst/>
        </a:prstGeom>
      </xdr:spPr>
    </xdr:pic>
    <xdr:clientData/>
  </xdr:twoCellAnchor>
  <xdr:twoCellAnchor editAs="oneCell">
    <xdr:from>
      <xdr:col>3</xdr:col>
      <xdr:colOff>5951</xdr:colOff>
      <xdr:row>84</xdr:row>
      <xdr:rowOff>57151</xdr:rowOff>
    </xdr:from>
    <xdr:to>
      <xdr:col>4</xdr:col>
      <xdr:colOff>59531</xdr:colOff>
      <xdr:row>103</xdr:row>
      <xdr:rowOff>11691</xdr:rowOff>
    </xdr:to>
    <xdr:pic>
      <xdr:nvPicPr>
        <xdr:cNvPr id="6" name="Imagem 5"/>
        <xdr:cNvPicPr>
          <a:picLocks noChangeAspect="1"/>
        </xdr:cNvPicPr>
      </xdr:nvPicPr>
      <xdr:blipFill rotWithShape="1">
        <a:blip xmlns:r="http://schemas.openxmlformats.org/officeDocument/2006/relationships" r:embed="rId1"/>
        <a:srcRect l="37884" r="35102"/>
        <a:stretch/>
      </xdr:blipFill>
      <xdr:spPr>
        <a:xfrm>
          <a:off x="2887264" y="15392401"/>
          <a:ext cx="994173" cy="907040"/>
        </a:xfrm>
        <a:prstGeom prst="rect">
          <a:avLst/>
        </a:prstGeom>
      </xdr:spPr>
    </xdr:pic>
    <xdr:clientData/>
  </xdr:twoCellAnchor>
  <xdr:twoCellAnchor editAs="oneCell">
    <xdr:from>
      <xdr:col>5</xdr:col>
      <xdr:colOff>11906</xdr:colOff>
      <xdr:row>84</xdr:row>
      <xdr:rowOff>39291</xdr:rowOff>
    </xdr:from>
    <xdr:to>
      <xdr:col>6</xdr:col>
      <xdr:colOff>53579</xdr:colOff>
      <xdr:row>102</xdr:row>
      <xdr:rowOff>184331</xdr:rowOff>
    </xdr:to>
    <xdr:pic>
      <xdr:nvPicPr>
        <xdr:cNvPr id="7" name="Imagem 6"/>
        <xdr:cNvPicPr>
          <a:picLocks noChangeAspect="1"/>
        </xdr:cNvPicPr>
      </xdr:nvPicPr>
      <xdr:blipFill rotWithShape="1">
        <a:blip xmlns:r="http://schemas.openxmlformats.org/officeDocument/2006/relationships" r:embed="rId1"/>
        <a:srcRect l="70883"/>
        <a:stretch/>
      </xdr:blipFill>
      <xdr:spPr>
        <a:xfrm>
          <a:off x="4774406" y="15374541"/>
          <a:ext cx="1071564" cy="9070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55</xdr:row>
      <xdr:rowOff>0</xdr:rowOff>
    </xdr:from>
    <xdr:to>
      <xdr:col>16</xdr:col>
      <xdr:colOff>730250</xdr:colOff>
      <xdr:row>65</xdr:row>
      <xdr:rowOff>157285</xdr:rowOff>
    </xdr:to>
    <xdr:pic>
      <xdr:nvPicPr>
        <xdr:cNvPr id="6" name="Imagem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16150" y="10033000"/>
          <a:ext cx="2914650" cy="2000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63500</xdr:colOff>
      <xdr:row>54</xdr:row>
      <xdr:rowOff>127000</xdr:rowOff>
    </xdr:from>
    <xdr:to>
      <xdr:col>19</xdr:col>
      <xdr:colOff>50799</xdr:colOff>
      <xdr:row>66</xdr:row>
      <xdr:rowOff>19930</xdr:rowOff>
    </xdr:to>
    <xdr:pic>
      <xdr:nvPicPr>
        <xdr:cNvPr id="7" name="Imagem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983200" y="9975850"/>
          <a:ext cx="2755900" cy="21041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66</xdr:row>
      <xdr:rowOff>0</xdr:rowOff>
    </xdr:from>
    <xdr:to>
      <xdr:col>16</xdr:col>
      <xdr:colOff>345659</xdr:colOff>
      <xdr:row>75</xdr:row>
      <xdr:rowOff>77484</xdr:rowOff>
    </xdr:to>
    <xdr:pic>
      <xdr:nvPicPr>
        <xdr:cNvPr id="14" name="Imagem 13"/>
        <xdr:cNvPicPr>
          <a:picLocks noChangeAspect="1"/>
        </xdr:cNvPicPr>
      </xdr:nvPicPr>
      <xdr:blipFill>
        <a:blip xmlns:r="http://schemas.openxmlformats.org/officeDocument/2006/relationships" r:embed="rId3"/>
        <a:stretch>
          <a:fillRect/>
        </a:stretch>
      </xdr:blipFill>
      <xdr:spPr>
        <a:xfrm>
          <a:off x="15170150" y="12065000"/>
          <a:ext cx="2530059" cy="1731414"/>
        </a:xfrm>
        <a:prstGeom prst="rect">
          <a:avLst/>
        </a:prstGeom>
        <a:ln>
          <a:solidFill>
            <a:sysClr val="windowText" lastClr="000000"/>
          </a:solidFill>
        </a:ln>
      </xdr:spPr>
    </xdr:pic>
    <xdr:clientData/>
  </xdr:twoCellAnchor>
  <xdr:twoCellAnchor editAs="oneCell">
    <xdr:from>
      <xdr:col>17</xdr:col>
      <xdr:colOff>0</xdr:colOff>
      <xdr:row>67</xdr:row>
      <xdr:rowOff>0</xdr:rowOff>
    </xdr:from>
    <xdr:to>
      <xdr:col>18</xdr:col>
      <xdr:colOff>43813</xdr:colOff>
      <xdr:row>73</xdr:row>
      <xdr:rowOff>109024</xdr:rowOff>
    </xdr:to>
    <xdr:pic>
      <xdr:nvPicPr>
        <xdr:cNvPr id="15" name="Imagem 14"/>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1695" t="61702" r="25974" b="8009"/>
        <a:stretch/>
      </xdr:blipFill>
      <xdr:spPr bwMode="auto">
        <a:xfrm>
          <a:off x="18173700" y="12249150"/>
          <a:ext cx="1586865" cy="1215390"/>
        </a:xfrm>
        <a:prstGeom prst="rect">
          <a:avLst/>
        </a:prstGeom>
        <a:ln>
          <a:noFill/>
        </a:ln>
        <a:extLst>
          <a:ext uri="{53640926-AAD7-44D8-BBD7-CCE9431645EC}">
            <a14:shadowObscured xmlns:a14="http://schemas.microsoft.com/office/drawing/2010/main"/>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785812</xdr:colOff>
      <xdr:row>42</xdr:row>
      <xdr:rowOff>166689</xdr:rowOff>
    </xdr:from>
    <xdr:to>
      <xdr:col>6</xdr:col>
      <xdr:colOff>9100</xdr:colOff>
      <xdr:row>47</xdr:row>
      <xdr:rowOff>130970</xdr:rowOff>
    </xdr:to>
    <xdr:pic>
      <xdr:nvPicPr>
        <xdr:cNvPr id="22" name="Imagem 21"/>
        <xdr:cNvPicPr>
          <a:picLocks noChangeAspect="1"/>
        </xdr:cNvPicPr>
      </xdr:nvPicPr>
      <xdr:blipFill>
        <a:blip xmlns:r="http://schemas.openxmlformats.org/officeDocument/2006/relationships" r:embed="rId1"/>
        <a:stretch>
          <a:fillRect/>
        </a:stretch>
      </xdr:blipFill>
      <xdr:spPr>
        <a:xfrm>
          <a:off x="4524375" y="9786939"/>
          <a:ext cx="954457" cy="916781"/>
        </a:xfrm>
        <a:prstGeom prst="rect">
          <a:avLst/>
        </a:prstGeom>
      </xdr:spPr>
    </xdr:pic>
    <xdr:clientData/>
  </xdr:twoCellAnchor>
  <xdr:twoCellAnchor>
    <xdr:from>
      <xdr:col>3</xdr:col>
      <xdr:colOff>255984</xdr:colOff>
      <xdr:row>42</xdr:row>
      <xdr:rowOff>166689</xdr:rowOff>
    </xdr:from>
    <xdr:to>
      <xdr:col>5</xdr:col>
      <xdr:colOff>358166</xdr:colOff>
      <xdr:row>48</xdr:row>
      <xdr:rowOff>160737</xdr:rowOff>
    </xdr:to>
    <xdr:cxnSp macro="">
      <xdr:nvCxnSpPr>
        <xdr:cNvPr id="23" name="Conector em curva 22"/>
        <xdr:cNvCxnSpPr>
          <a:stCxn id="22" idx="0"/>
        </xdr:cNvCxnSpPr>
      </xdr:nvCxnSpPr>
      <xdr:spPr>
        <a:xfrm rot="16200000" flipH="1" flipV="1">
          <a:off x="3625942" y="9548325"/>
          <a:ext cx="1137048" cy="1614276"/>
        </a:xfrm>
        <a:prstGeom prst="curvedConnector4">
          <a:avLst>
            <a:gd name="adj1" fmla="val -7016"/>
            <a:gd name="adj2" fmla="val 10055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45</xdr:row>
      <xdr:rowOff>142876</xdr:rowOff>
    </xdr:from>
    <xdr:to>
      <xdr:col>4</xdr:col>
      <xdr:colOff>815578</xdr:colOff>
      <xdr:row>48</xdr:row>
      <xdr:rowOff>190499</xdr:rowOff>
    </xdr:to>
    <xdr:cxnSp macro="">
      <xdr:nvCxnSpPr>
        <xdr:cNvPr id="24" name="Conector em curva 23"/>
        <xdr:cNvCxnSpPr/>
      </xdr:nvCxnSpPr>
      <xdr:spPr>
        <a:xfrm rot="10800000" flipV="1">
          <a:off x="4310063" y="10334626"/>
          <a:ext cx="244078" cy="619123"/>
        </a:xfrm>
        <a:prstGeom prst="curved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228176</xdr:colOff>
      <xdr:row>45</xdr:row>
      <xdr:rowOff>53580</xdr:rowOff>
    </xdr:from>
    <xdr:to>
      <xdr:col>6</xdr:col>
      <xdr:colOff>416718</xdr:colOff>
      <xdr:row>49</xdr:row>
      <xdr:rowOff>11908</xdr:rowOff>
    </xdr:to>
    <xdr:cxnSp macro="">
      <xdr:nvCxnSpPr>
        <xdr:cNvPr id="25" name="Conector em curva 24"/>
        <xdr:cNvCxnSpPr>
          <a:stCxn id="22" idx="3"/>
        </xdr:cNvCxnSpPr>
      </xdr:nvCxnSpPr>
      <xdr:spPr>
        <a:xfrm>
          <a:off x="5478832" y="10245330"/>
          <a:ext cx="188542" cy="720328"/>
        </a:xfrm>
        <a:prstGeom prst="curved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267891</xdr:colOff>
      <xdr:row>47</xdr:row>
      <xdr:rowOff>130969</xdr:rowOff>
    </xdr:from>
    <xdr:to>
      <xdr:col>5</xdr:col>
      <xdr:colOff>358167</xdr:colOff>
      <xdr:row>48</xdr:row>
      <xdr:rowOff>178594</xdr:rowOff>
    </xdr:to>
    <xdr:cxnSp macro="">
      <xdr:nvCxnSpPr>
        <xdr:cNvPr id="26" name="Conector em curva 25"/>
        <xdr:cNvCxnSpPr>
          <a:stCxn id="22" idx="2"/>
        </xdr:cNvCxnSpPr>
      </xdr:nvCxnSpPr>
      <xdr:spPr>
        <a:xfrm rot="5400000">
          <a:off x="4837404" y="10777644"/>
          <a:ext cx="238125" cy="90276"/>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541735</xdr:colOff>
      <xdr:row>45</xdr:row>
      <xdr:rowOff>47625</xdr:rowOff>
    </xdr:from>
    <xdr:to>
      <xdr:col>5</xdr:col>
      <xdr:colOff>238125</xdr:colOff>
      <xdr:row>48</xdr:row>
      <xdr:rowOff>178593</xdr:rowOff>
    </xdr:to>
    <xdr:cxnSp macro="">
      <xdr:nvCxnSpPr>
        <xdr:cNvPr id="31" name="Conector em curva 30"/>
        <xdr:cNvCxnSpPr/>
      </xdr:nvCxnSpPr>
      <xdr:spPr>
        <a:xfrm rot="10800000" flipV="1">
          <a:off x="3065860" y="10239375"/>
          <a:ext cx="1815703" cy="702468"/>
        </a:xfrm>
        <a:prstGeom prst="curvedConnector3">
          <a:avLst>
            <a:gd name="adj1" fmla="val 10049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752475</xdr:colOff>
      <xdr:row>60</xdr:row>
      <xdr:rowOff>4010</xdr:rowOff>
    </xdr:from>
    <xdr:to>
      <xdr:col>8</xdr:col>
      <xdr:colOff>3313</xdr:colOff>
      <xdr:row>65</xdr:row>
      <xdr:rowOff>13245</xdr:rowOff>
    </xdr:to>
    <xdr:pic>
      <xdr:nvPicPr>
        <xdr:cNvPr id="43" name="Imagem 42"/>
        <xdr:cNvPicPr>
          <a:picLocks noChangeAspect="1"/>
        </xdr:cNvPicPr>
      </xdr:nvPicPr>
      <xdr:blipFill>
        <a:blip xmlns:r="http://schemas.openxmlformats.org/officeDocument/2006/relationships" r:embed="rId2"/>
        <a:stretch>
          <a:fillRect/>
        </a:stretch>
      </xdr:blipFill>
      <xdr:spPr>
        <a:xfrm>
          <a:off x="6162675" y="13043735"/>
          <a:ext cx="1165363" cy="1152235"/>
        </a:xfrm>
        <a:prstGeom prst="rect">
          <a:avLst/>
        </a:prstGeom>
      </xdr:spPr>
    </xdr:pic>
    <xdr:clientData/>
  </xdr:twoCellAnchor>
  <xdr:twoCellAnchor>
    <xdr:from>
      <xdr:col>7</xdr:col>
      <xdr:colOff>270209</xdr:colOff>
      <xdr:row>60</xdr:row>
      <xdr:rowOff>24848</xdr:rowOff>
    </xdr:from>
    <xdr:to>
      <xdr:col>7</xdr:col>
      <xdr:colOff>686301</xdr:colOff>
      <xdr:row>60</xdr:row>
      <xdr:rowOff>323022</xdr:rowOff>
    </xdr:to>
    <xdr:sp macro="" textlink="">
      <xdr:nvSpPr>
        <xdr:cNvPr id="44" name="Retângulo de cantos arredondados 43"/>
        <xdr:cNvSpPr/>
      </xdr:nvSpPr>
      <xdr:spPr>
        <a:xfrm>
          <a:off x="6647818" y="13045109"/>
          <a:ext cx="416092" cy="298174"/>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1038232</xdr:colOff>
      <xdr:row>77</xdr:row>
      <xdr:rowOff>91937</xdr:rowOff>
    </xdr:from>
    <xdr:to>
      <xdr:col>4</xdr:col>
      <xdr:colOff>781915</xdr:colOff>
      <xdr:row>84</xdr:row>
      <xdr:rowOff>109256</xdr:rowOff>
    </xdr:to>
    <xdr:pic>
      <xdr:nvPicPr>
        <xdr:cNvPr id="46" name="Imagem 45"/>
        <xdr:cNvPicPr>
          <a:picLocks noChangeAspect="1"/>
        </xdr:cNvPicPr>
      </xdr:nvPicPr>
      <xdr:blipFill>
        <a:blip xmlns:r="http://schemas.openxmlformats.org/officeDocument/2006/relationships" r:embed="rId3"/>
        <a:stretch>
          <a:fillRect/>
        </a:stretch>
      </xdr:blipFill>
      <xdr:spPr>
        <a:xfrm>
          <a:off x="2381257" y="16579712"/>
          <a:ext cx="2585860" cy="1350819"/>
        </a:xfrm>
        <a:prstGeom prst="rect">
          <a:avLst/>
        </a:prstGeom>
      </xdr:spPr>
    </xdr:pic>
    <xdr:clientData/>
  </xdr:twoCellAnchor>
  <xdr:twoCellAnchor>
    <xdr:from>
      <xdr:col>2</xdr:col>
      <xdr:colOff>297961</xdr:colOff>
      <xdr:row>77</xdr:row>
      <xdr:rowOff>106846</xdr:rowOff>
    </xdr:from>
    <xdr:to>
      <xdr:col>3</xdr:col>
      <xdr:colOff>412065</xdr:colOff>
      <xdr:row>79</xdr:row>
      <xdr:rowOff>167004</xdr:rowOff>
    </xdr:to>
    <xdr:sp macro="" textlink="">
      <xdr:nvSpPr>
        <xdr:cNvPr id="47" name="Retângulo de cantos arredondados 46"/>
        <xdr:cNvSpPr/>
      </xdr:nvSpPr>
      <xdr:spPr>
        <a:xfrm>
          <a:off x="2822086" y="16594621"/>
          <a:ext cx="723704" cy="441158"/>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5</xdr:col>
      <xdr:colOff>314326</xdr:colOff>
      <xdr:row>77</xdr:row>
      <xdr:rowOff>133349</xdr:rowOff>
    </xdr:from>
    <xdr:to>
      <xdr:col>7</xdr:col>
      <xdr:colOff>28576</xdr:colOff>
      <xdr:row>84</xdr:row>
      <xdr:rowOff>102256</xdr:rowOff>
    </xdr:to>
    <xdr:pic>
      <xdr:nvPicPr>
        <xdr:cNvPr id="48" name="Imagem 47"/>
        <xdr:cNvPicPr>
          <a:picLocks noChangeAspect="1"/>
        </xdr:cNvPicPr>
      </xdr:nvPicPr>
      <xdr:blipFill>
        <a:blip xmlns:r="http://schemas.openxmlformats.org/officeDocument/2006/relationships" r:embed="rId4"/>
        <a:stretch>
          <a:fillRect/>
        </a:stretch>
      </xdr:blipFill>
      <xdr:spPr>
        <a:xfrm>
          <a:off x="5114926" y="16621124"/>
          <a:ext cx="1476374" cy="1302407"/>
        </a:xfrm>
        <a:prstGeom prst="rect">
          <a:avLst/>
        </a:prstGeom>
      </xdr:spPr>
    </xdr:pic>
    <xdr:clientData/>
  </xdr:twoCellAnchor>
  <xdr:twoCellAnchor>
    <xdr:from>
      <xdr:col>5</xdr:col>
      <xdr:colOff>564660</xdr:colOff>
      <xdr:row>77</xdr:row>
      <xdr:rowOff>183046</xdr:rowOff>
    </xdr:from>
    <xdr:to>
      <xdr:col>6</xdr:col>
      <xdr:colOff>904874</xdr:colOff>
      <xdr:row>80</xdr:row>
      <xdr:rowOff>52704</xdr:rowOff>
    </xdr:to>
    <xdr:sp macro="" textlink="">
      <xdr:nvSpPr>
        <xdr:cNvPr id="49" name="Retângulo de cantos arredondados 48"/>
        <xdr:cNvSpPr/>
      </xdr:nvSpPr>
      <xdr:spPr>
        <a:xfrm>
          <a:off x="5365260" y="16670821"/>
          <a:ext cx="978389" cy="441158"/>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1168676</xdr:colOff>
      <xdr:row>100</xdr:row>
      <xdr:rowOff>35615</xdr:rowOff>
    </xdr:from>
    <xdr:to>
      <xdr:col>4</xdr:col>
      <xdr:colOff>768985</xdr:colOff>
      <xdr:row>105</xdr:row>
      <xdr:rowOff>163115</xdr:rowOff>
    </xdr:to>
    <xdr:pic>
      <xdr:nvPicPr>
        <xdr:cNvPr id="52" name="Imagem 51"/>
        <xdr:cNvPicPr>
          <a:picLocks noChangeAspect="1"/>
        </xdr:cNvPicPr>
      </xdr:nvPicPr>
      <xdr:blipFill>
        <a:blip xmlns:r="http://schemas.openxmlformats.org/officeDocument/2006/relationships" r:embed="rId5"/>
        <a:stretch>
          <a:fillRect/>
        </a:stretch>
      </xdr:blipFill>
      <xdr:spPr>
        <a:xfrm>
          <a:off x="2511701" y="19971440"/>
          <a:ext cx="2448284" cy="1080000"/>
        </a:xfrm>
        <a:prstGeom prst="rect">
          <a:avLst/>
        </a:prstGeom>
      </xdr:spPr>
    </xdr:pic>
    <xdr:clientData/>
  </xdr:twoCellAnchor>
  <xdr:twoCellAnchor editAs="oneCell">
    <xdr:from>
      <xdr:col>5</xdr:col>
      <xdr:colOff>726385</xdr:colOff>
      <xdr:row>100</xdr:row>
      <xdr:rowOff>52180</xdr:rowOff>
    </xdr:from>
    <xdr:to>
      <xdr:col>8</xdr:col>
      <xdr:colOff>197333</xdr:colOff>
      <xdr:row>105</xdr:row>
      <xdr:rowOff>179680</xdr:rowOff>
    </xdr:to>
    <xdr:pic>
      <xdr:nvPicPr>
        <xdr:cNvPr id="53" name="Imagem 52"/>
        <xdr:cNvPicPr>
          <a:picLocks noChangeAspect="1"/>
        </xdr:cNvPicPr>
      </xdr:nvPicPr>
      <xdr:blipFill>
        <a:blip xmlns:r="http://schemas.openxmlformats.org/officeDocument/2006/relationships" r:embed="rId6"/>
        <a:stretch>
          <a:fillRect/>
        </a:stretch>
      </xdr:blipFill>
      <xdr:spPr>
        <a:xfrm>
          <a:off x="5822260" y="19988005"/>
          <a:ext cx="2214148" cy="1080000"/>
        </a:xfrm>
        <a:prstGeom prst="rect">
          <a:avLst/>
        </a:prstGeom>
      </xdr:spPr>
    </xdr:pic>
    <xdr:clientData/>
  </xdr:twoCellAnchor>
  <xdr:twoCellAnchor editAs="oneCell">
    <xdr:from>
      <xdr:col>4</xdr:col>
      <xdr:colOff>114301</xdr:colOff>
      <xdr:row>114</xdr:row>
      <xdr:rowOff>57150</xdr:rowOff>
    </xdr:from>
    <xdr:to>
      <xdr:col>6</xdr:col>
      <xdr:colOff>723901</xdr:colOff>
      <xdr:row>119</xdr:row>
      <xdr:rowOff>39392</xdr:rowOff>
    </xdr:to>
    <xdr:pic>
      <xdr:nvPicPr>
        <xdr:cNvPr id="54" name="Imagem 53"/>
        <xdr:cNvPicPr>
          <a:picLocks noChangeAspect="1"/>
        </xdr:cNvPicPr>
      </xdr:nvPicPr>
      <xdr:blipFill>
        <a:blip xmlns:r="http://schemas.openxmlformats.org/officeDocument/2006/relationships" r:embed="rId7"/>
        <a:stretch>
          <a:fillRect/>
        </a:stretch>
      </xdr:blipFill>
      <xdr:spPr>
        <a:xfrm>
          <a:off x="4105276" y="24412575"/>
          <a:ext cx="2343150" cy="1125242"/>
        </a:xfrm>
        <a:prstGeom prst="rect">
          <a:avLst/>
        </a:prstGeom>
      </xdr:spPr>
    </xdr:pic>
    <xdr:clientData/>
  </xdr:twoCellAnchor>
  <xdr:twoCellAnchor editAs="oneCell">
    <xdr:from>
      <xdr:col>8</xdr:col>
      <xdr:colOff>295604</xdr:colOff>
      <xdr:row>139</xdr:row>
      <xdr:rowOff>124811</xdr:rowOff>
    </xdr:from>
    <xdr:to>
      <xdr:col>9</xdr:col>
      <xdr:colOff>611180</xdr:colOff>
      <xdr:row>145</xdr:row>
      <xdr:rowOff>61811</xdr:rowOff>
    </xdr:to>
    <xdr:pic>
      <xdr:nvPicPr>
        <xdr:cNvPr id="55" name="Imagem 54"/>
        <xdr:cNvPicPr>
          <a:picLocks noChangeAspect="1"/>
        </xdr:cNvPicPr>
      </xdr:nvPicPr>
      <xdr:blipFill>
        <a:blip xmlns:r="http://schemas.openxmlformats.org/officeDocument/2006/relationships" r:embed="rId8"/>
        <a:stretch>
          <a:fillRect/>
        </a:stretch>
      </xdr:blipFill>
      <xdr:spPr>
        <a:xfrm>
          <a:off x="8053552" y="26722552"/>
          <a:ext cx="1057869" cy="1080000"/>
        </a:xfrm>
        <a:prstGeom prst="rect">
          <a:avLst/>
        </a:prstGeom>
      </xdr:spPr>
    </xdr:pic>
    <xdr:clientData/>
  </xdr:twoCellAnchor>
  <xdr:twoCellAnchor editAs="oneCell">
    <xdr:from>
      <xdr:col>6</xdr:col>
      <xdr:colOff>198787</xdr:colOff>
      <xdr:row>130</xdr:row>
      <xdr:rowOff>66262</xdr:rowOff>
    </xdr:from>
    <xdr:to>
      <xdr:col>8</xdr:col>
      <xdr:colOff>603893</xdr:colOff>
      <xdr:row>136</xdr:row>
      <xdr:rowOff>3262</xdr:rowOff>
    </xdr:to>
    <xdr:pic>
      <xdr:nvPicPr>
        <xdr:cNvPr id="57" name="Imagem 56"/>
        <xdr:cNvPicPr>
          <a:picLocks noChangeAspect="1"/>
        </xdr:cNvPicPr>
      </xdr:nvPicPr>
      <xdr:blipFill>
        <a:blip xmlns:r="http://schemas.openxmlformats.org/officeDocument/2006/relationships" r:embed="rId9"/>
        <a:stretch>
          <a:fillRect/>
        </a:stretch>
      </xdr:blipFill>
      <xdr:spPr>
        <a:xfrm>
          <a:off x="6046309" y="35283914"/>
          <a:ext cx="2318389" cy="108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318294</xdr:colOff>
      <xdr:row>209</xdr:row>
      <xdr:rowOff>31750</xdr:rowOff>
    </xdr:from>
    <xdr:to>
      <xdr:col>9</xdr:col>
      <xdr:colOff>482600</xdr:colOff>
      <xdr:row>218</xdr:row>
      <xdr:rowOff>82550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318294</xdr:colOff>
      <xdr:row>225</xdr:row>
      <xdr:rowOff>31750</xdr:rowOff>
    </xdr:from>
    <xdr:to>
      <xdr:col>9</xdr:col>
      <xdr:colOff>482600</xdr:colOff>
      <xdr:row>234</xdr:row>
      <xdr:rowOff>82550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318294</xdr:colOff>
      <xdr:row>241</xdr:row>
      <xdr:rowOff>31750</xdr:rowOff>
    </xdr:from>
    <xdr:to>
      <xdr:col>9</xdr:col>
      <xdr:colOff>482600</xdr:colOff>
      <xdr:row>250</xdr:row>
      <xdr:rowOff>82550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318294</xdr:colOff>
      <xdr:row>257</xdr:row>
      <xdr:rowOff>31750</xdr:rowOff>
    </xdr:from>
    <xdr:to>
      <xdr:col>9</xdr:col>
      <xdr:colOff>482600</xdr:colOff>
      <xdr:row>266</xdr:row>
      <xdr:rowOff>82550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1371600</xdr:colOff>
      <xdr:row>13</xdr:row>
      <xdr:rowOff>101600</xdr:rowOff>
    </xdr:from>
    <xdr:to>
      <xdr:col>13</xdr:col>
      <xdr:colOff>368300</xdr:colOff>
      <xdr:row>22</xdr:row>
      <xdr:rowOff>76200</xdr:rowOff>
    </xdr:to>
    <xdr:cxnSp macro="">
      <xdr:nvCxnSpPr>
        <xdr:cNvPr id="3" name="Conector de seta reta 2"/>
        <xdr:cNvCxnSpPr/>
      </xdr:nvCxnSpPr>
      <xdr:spPr>
        <a:xfrm flipV="1">
          <a:off x="15135225" y="2587625"/>
          <a:ext cx="1711325" cy="1736725"/>
        </a:xfrm>
        <a:prstGeom prst="straightConnector1">
          <a:avLst/>
        </a:prstGeom>
        <a:ln>
          <a:tailEnd type="arrow"/>
        </a:ln>
      </xdr:spPr>
      <xdr:style>
        <a:lnRef idx="3">
          <a:schemeClr val="accent3"/>
        </a:lnRef>
        <a:fillRef idx="0">
          <a:schemeClr val="accent3"/>
        </a:fillRef>
        <a:effectRef idx="2">
          <a:schemeClr val="accent3"/>
        </a:effectRef>
        <a:fontRef idx="minor">
          <a:schemeClr val="tx1"/>
        </a:fontRef>
      </xdr:style>
    </xdr:cxnSp>
    <xdr:clientData/>
  </xdr:twoCellAnchor>
</xdr:wsDr>
</file>

<file path=xl/queryTables/queryTable1.xml><?xml version="1.0" encoding="utf-8"?>
<queryTable xmlns="http://schemas.openxmlformats.org/spreadsheetml/2006/main" name="Consulta de mysql" refreshOnLoad="1" connectionId="1" autoFormatId="16" applyNumberFormats="0" applyBorderFormats="0" applyFontFormats="0" applyPatternFormats="0" applyAlignmentFormats="0" applyWidthHeightFormats="0">
  <queryTableRefresh nextId="42">
    <queryTableFields count="39">
      <queryTableField id="1" name="idOrdemServico" tableColumnId="1"/>
      <queryTableField id="2" name="CodigoUsual" tableColumnId="2"/>
      <queryTableField id="3" name="TipoProblema" tableColumnId="3"/>
      <queryTableField id="4" name="Tecnico" tableColumnId="4"/>
      <queryTableField id="5" name="Eng" tableColumnId="5"/>
      <queryTableField id="6" name="ServCEP" tableColumnId="6"/>
      <queryTableField id="7" name="ServCidade" tableColumnId="7"/>
      <queryTableField id="8" name="ServCNPJ" tableColumnId="8"/>
      <queryTableField id="9" name="ServEmail" tableColumnId="9"/>
      <queryTableField id="10" name="ServEndereco" tableColumnId="10"/>
      <queryTableField id="11" name="ServFax" tableColumnId="11"/>
      <queryTableField id="12" name="ServRazaoSocial" tableColumnId="12"/>
      <queryTableField id="13" name="ServTelefone" tableColumnId="13"/>
      <queryTableField id="14" name="ServUF" tableColumnId="14"/>
      <queryTableField id="15" name="Situacao" tableColumnId="15"/>
      <queryTableField id="16" name="DataHoraExecutada" tableColumnId="16"/>
      <queryTableField id="17" name="DataART" tableColumnId="17"/>
      <queryTableField id="18" name="NumeroART" tableColumnId="18"/>
      <queryTableField id="19" name="DataCadastro" tableColumnId="19"/>
      <queryTableField id="20" name="DataEntregaEng" tableColumnId="20"/>
      <queryTableField id="21" name="DataEnvioCliente" tableColumnId="21"/>
      <queryTableField id="22" name="DataLaudoOk" tableColumnId="22"/>
      <queryTableField id="23" name="DataUltimaAlteracao" tableColumnId="23"/>
      <queryTableField id="24" name="DataEntregaEngenheiro" tableColumnId="24"/>
      <queryTableField id="25" name="DataRetornoEngenheiro" tableColumnId="25"/>
      <queryTableField id="26" name="SituacaoCobranca" tableColumnId="26"/>
      <queryTableField id="27" name="idCobranca" tableColumnId="27"/>
      <queryTableField id="28" name="LocalServico" tableColumnId="28"/>
      <queryTableField id="31" name="VerbaViagem" tableColumnId="29"/>
      <queryTableField id="32" name="DespesasViagem" tableColumnId="30"/>
      <queryTableField id="33" name="idOrdemServicoPagamento" tableColumnId="31"/>
      <queryTableField id="34" name="Valor" tableColumnId="32"/>
      <queryTableField id="35" name="TempoIntranet" tableColumnId="33"/>
      <queryTableField id="36" name="TempoExecucao" tableColumnId="34"/>
      <queryTableField id="37" name="TempoDeslocamento" tableColumnId="35"/>
      <queryTableField id="38" name="TipoEmpresa" tableColumnId="36"/>
      <queryTableField id="39" name="Contrato" tableColumnId="37"/>
      <queryTableField id="40" name="VigenciaInicial" tableColumnId="38"/>
      <queryTableField id="41" name="VigenciaFinal" tableColumnId="39"/>
    </queryTableFields>
  </queryTableRefresh>
</queryTable>
</file>

<file path=xl/tables/_rels/table2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IntraoralREspacial" displayName="IntraoralREspacial" ref="F142:G148" totalsRowShown="0" headerRowDxfId="1310" headerRowBorderDxfId="1309" tableBorderDxfId="1308" totalsRowBorderDxfId="1307">
  <autoFilter ref="F142:G148"/>
  <tableColumns count="2">
    <tableColumn id="1" name="Qtd" dataDxfId="1306"/>
    <tableColumn id="2" name="mm" dataDxfId="1305"/>
  </tableColumns>
  <tableStyleInfo name="TableStyleMedium9" showFirstColumn="0" showLastColumn="0" showRowStripes="1" showColumnStripes="0"/>
</table>
</file>

<file path=xl/tables/table2.xml><?xml version="1.0" encoding="utf-8"?>
<table xmlns="http://schemas.openxmlformats.org/spreadsheetml/2006/main" id="8" name="IntraoralRContraste" displayName="IntraoralRContraste" ref="F150:G154" totalsRowShown="0" headerRowDxfId="1304" headerRowBorderDxfId="1303" tableBorderDxfId="1302" totalsRowBorderDxfId="1301">
  <autoFilter ref="F150:G154"/>
  <tableColumns count="2">
    <tableColumn id="1" name="Qtd" dataDxfId="1300"/>
    <tableColumn id="2" name="mm" dataDxfId="1299"/>
  </tableColumns>
  <tableStyleInfo name="TableStyleMedium9" showFirstColumn="0" showLastColumn="0" showRowStripes="1" showColumnStripes="0"/>
</table>
</file>

<file path=xl/tables/table3.xml><?xml version="1.0" encoding="utf-8"?>
<table xmlns="http://schemas.openxmlformats.org/spreadsheetml/2006/main" id="9" name="TOR18FG_RContraste" displayName="TOR18FG_RContraste" ref="E81:F99" totalsRowShown="0">
  <autoFilter ref="E81:F99"/>
  <tableColumns count="2">
    <tableColumn id="1" name="discos" dataDxfId="1298"/>
    <tableColumn id="2" name="contraste" dataDxfId="1297"/>
  </tableColumns>
  <tableStyleInfo name="TableStyleMedium9" showFirstColumn="0" showLastColumn="0" showRowStripes="1" showColumnStripes="0"/>
</table>
</file>

<file path=xl/tables/table4.xml><?xml version="1.0" encoding="utf-8"?>
<table xmlns="http://schemas.openxmlformats.org/spreadsheetml/2006/main" id="10" name="TOR18FG_REspacial" displayName="TOR18FG_REspacial" ref="H81:I102" totalsRowShown="0" headerRowDxfId="1296">
  <autoFilter ref="H81:I102"/>
  <tableColumns count="2">
    <tableColumn id="1" name="grupo" dataDxfId="1295"/>
    <tableColumn id="2" name="pl/mm" dataDxfId="1294"/>
  </tableColumns>
  <tableStyleInfo name="TableStyleMedium9" showFirstColumn="0" showLastColumn="0" showRowStripes="1" showColumnStripes="0"/>
</table>
</file>

<file path=xl/tables/table5.xml><?xml version="1.0" encoding="utf-8"?>
<table xmlns="http://schemas.openxmlformats.org/spreadsheetml/2006/main" id="11" name="TORCDR_RBaixoContraste" displayName="TORCDR_RBaixoContraste" ref="F105:G122" totalsRowShown="0" headerRowDxfId="1293" dataDxfId="1292">
  <autoFilter ref="F105:G122"/>
  <tableColumns count="2">
    <tableColumn id="1" name="Discos 11mm diâmetro" dataDxfId="1291"/>
    <tableColumn id="2" name="B. Contraste" dataDxfId="1290"/>
  </tableColumns>
  <tableStyleInfo name="TableStyleMedium9" showFirstColumn="0" showLastColumn="0" showRowStripes="1" showColumnStripes="0"/>
</table>
</file>

<file path=xl/tables/table6.xml><?xml version="1.0" encoding="utf-8"?>
<table xmlns="http://schemas.openxmlformats.org/spreadsheetml/2006/main" id="12" name="TORCDR_RAltoContraste" displayName="TORCDR_RAltoContraste" ref="I107:J124" totalsRowShown="0" headerRowDxfId="1289" dataDxfId="1288">
  <autoFilter ref="I107:J124"/>
  <tableColumns count="2">
    <tableColumn id="1" name="Discos 0,5 mm diâmetro" dataDxfId="1287"/>
    <tableColumn id="2" name="A. Contraste" dataDxfId="1286"/>
  </tableColumns>
  <tableStyleInfo name="TableStyleMedium9" showFirstColumn="0" showLastColumn="0" showRowStripes="1" showColumnStripes="0"/>
</table>
</file>

<file path=xl/tables/table7.xml><?xml version="1.0" encoding="utf-8"?>
<table xmlns="http://schemas.openxmlformats.org/spreadsheetml/2006/main" id="13" name="TORCDR_REspacial" displayName="TORCDR_REspacial" ref="L109:M139" totalsRowShown="0" headerRowDxfId="1285" dataDxfId="1284">
  <autoFilter ref="L109:M139"/>
  <tableColumns count="2">
    <tableColumn id="1" name="grupo" dataDxfId="1283"/>
    <tableColumn id="2" name="pl/mm" dataDxfId="1282"/>
  </tableColumns>
  <tableStyleInfo name="TableStyleMedium9" showFirstColumn="0" showLastColumn="0" showRowStripes="1" showColumnStripes="0"/>
</table>
</file>

<file path=xl/tables/table8.xml><?xml version="1.0" encoding="utf-8"?>
<table xmlns="http://schemas.openxmlformats.org/spreadsheetml/2006/main" id="14" name="TORCDR_GrayScale" displayName="TORCDR_GrayScale" ref="F126:G136" totalsRowShown="0" headerRowDxfId="1281" dataDxfId="1280">
  <autoFilter ref="F126:G136"/>
  <tableColumns count="2">
    <tableColumn id="1" name="Disco 5,6 mm diâmetro" dataDxfId="1279"/>
    <tableColumn id="2" name="Contraste" dataDxfId="1278"/>
  </tableColumns>
  <tableStyleInfo name="TableStyleMedium9" showFirstColumn="0" showLastColumn="0" showRowStripes="1" showColumnStripes="0"/>
</table>
</file>

<file path=xl/tables/table9.xml><?xml version="1.0" encoding="utf-8"?>
<table xmlns="http://schemas.openxmlformats.org/spreadsheetml/2006/main" id="15" name="TampaDourada_PontoFocal" displayName="TampaDourada_PontoFocal" ref="A2:E15" totalsRowShown="0" headerRowDxfId="1277" dataDxfId="1276">
  <autoFilter ref="A2:E15"/>
  <tableColumns count="5">
    <tableColumn id="1" name="Grupo" dataDxfId="1275"/>
    <tableColumn id="2" name="pto focal nominal" dataDxfId="1274"/>
    <tableColumn id="3" name="lp/mm" dataDxfId="1273"/>
    <tableColumn id="4" name="diâmetro (mm)" dataDxfId="1272"/>
    <tableColumn id="5" name="pto focal verdadeiro" dataDxfId="1271"/>
  </tableColumns>
  <tableStyleInfo name="TableStyleMedium9" showFirstColumn="0" showLastColumn="0" showRowStripes="1" showColumnStripes="0"/>
</table>
</file>

<file path=xl/tables/table10.xml><?xml version="1.0" encoding="utf-8"?>
<table xmlns="http://schemas.openxmlformats.org/spreadsheetml/2006/main" id="16" name="Doppler1430_Flow" displayName="Doppler1430_Flow" ref="H31:I56" totalsRowShown="0" headerRowBorderDxfId="1270" tableBorderDxfId="1269" totalsRowBorderDxfId="1268">
  <autoFilter ref="H31:I56"/>
  <tableColumns count="2">
    <tableColumn id="1" name="Flow [ml/s]" dataDxfId="1267"/>
    <tableColumn id="2" name="Estimated Speed [cm/s]" dataDxfId="1266"/>
  </tableColumns>
  <tableStyleInfo name="TableStyleMedium9" showFirstColumn="0" showLastColumn="0" showRowStripes="1" showColumnStripes="0"/>
</table>
</file>

<file path=xl/tables/table11.xml><?xml version="1.0" encoding="utf-8"?>
<table xmlns="http://schemas.openxmlformats.org/spreadsheetml/2006/main" id="17" name="IN_ANVISA" displayName="IN_ANVISA" ref="G6:J16" totalsRowShown="0" headerRowDxfId="1265" dataDxfId="1264">
  <autoFilter ref="G6:J16"/>
  <sortState ref="G7:I15">
    <sortCondition ref="G6:G15"/>
  </sortState>
  <tableColumns count="4">
    <tableColumn id="1" name="Serviço" dataDxfId="1263"/>
    <tableColumn id="2" name="IN" dataDxfId="1262"/>
    <tableColumn id="3" name="Ano" dataDxfId="1261"/>
    <tableColumn id="4" name="Colunas1" dataDxfId="1260"/>
  </tableColumns>
  <tableStyleInfo name="TableStyleMedium9" showFirstColumn="0" showLastColumn="0" showRowStripes="1" showColumnStripes="0"/>
</table>
</file>

<file path=xl/tables/table12.xml><?xml version="1.0" encoding="utf-8"?>
<table xmlns="http://schemas.openxmlformats.org/spreadsheetml/2006/main" id="19" name="HVLmin_Convencional" displayName="HVLmin_Convencional" ref="L49:O58" totalsRowShown="0" headerRowDxfId="1259" dataDxfId="1258" tableBorderDxfId="1257">
  <autoFilter ref="L49:O58"/>
  <tableColumns count="4">
    <tableColumn id="1" name="kVp" dataDxfId="1256"/>
    <tableColumn id="2" name="mono" dataDxfId="1255"/>
    <tableColumn id="3" name="tri" dataDxfId="1254"/>
    <tableColumn id="4" name="AF" dataDxfId="1253"/>
  </tableColumns>
  <tableStyleInfo name="TableStyleMedium9" showFirstColumn="0" showLastColumn="0" showRowStripes="1" showColumnStripes="0"/>
</table>
</file>

<file path=xl/tables/table13.xml><?xml version="1.0" encoding="utf-8"?>
<table xmlns="http://schemas.openxmlformats.org/spreadsheetml/2006/main" id="21" name="CoreView_REspacial" displayName="CoreView_REspacial" ref="O109:P122" totalsRowShown="0" headerRowDxfId="1252">
  <autoFilter ref="O109:P122"/>
  <tableColumns count="2">
    <tableColumn id="1" name="grupo" dataDxfId="1251"/>
    <tableColumn id="2" name="pl/mm" dataDxfId="1250"/>
  </tableColumns>
  <tableStyleInfo name="TableStyleMedium9" showFirstColumn="0" showLastColumn="0" showRowStripes="1" showColumnStripes="0"/>
</table>
</file>

<file path=xl/tables/table14.xml><?xml version="1.0" encoding="utf-8"?>
<table xmlns="http://schemas.openxmlformats.org/spreadsheetml/2006/main" id="23" name="RM_LowContrast" displayName="RM_LowContrast" ref="V16:X19" totalsRowShown="0" headerRowDxfId="1249" dataDxfId="1248">
  <autoFilter ref="V16:X19"/>
  <tableColumns count="3">
    <tableColumn id="1" name="Nominal Field Strength" dataDxfId="1247"/>
    <tableColumn id="2" name="ACR T1 LCD Limit (total spokes)" dataDxfId="1246"/>
    <tableColumn id="3" name="ACR T2 LCD Limit (total spokes)" dataDxfId="1245"/>
  </tableColumns>
  <tableStyleInfo name="TableStyleMedium9" showFirstColumn="0" showLastColumn="0" showRowStripes="1" showColumnStripes="0"/>
</table>
</file>

<file path=xl/tables/table15.xml><?xml version="1.0" encoding="utf-8"?>
<table xmlns="http://schemas.openxmlformats.org/spreadsheetml/2006/main" id="22" name="Doc_Interesse" displayName="Doc_Interesse" ref="A5:C33" totalsRowShown="0">
  <autoFilter ref="A5:C33"/>
  <tableColumns count="3">
    <tableColumn id="1" name="Documento" dataDxfId="1244"/>
    <tableColumn id="2" name="Aplicação" dataDxfId="1243"/>
    <tableColumn id="3" name="Comentário" dataDxfId="1242"/>
  </tableColumns>
  <tableStyleInfo name="TableStyleMedium9" showFirstColumn="0" showLastColumn="0" showRowStripes="1" showColumnStripes="0"/>
</table>
</file>

<file path=xl/tables/table16.xml><?xml version="1.0" encoding="utf-8"?>
<table xmlns="http://schemas.openxmlformats.org/spreadsheetml/2006/main" id="18" name="FCrxCI" displayName="FCrxCI" ref="B5:C11" totalsRowShown="0" headerRowDxfId="1241" dataDxfId="1239" headerRowBorderDxfId="1240" tableBorderDxfId="1238">
  <tableColumns count="2">
    <tableColumn id="1" name="kVp" dataDxfId="1237"/>
    <tableColumn id="2" name="Fator Calibração" dataDxfId="1236"/>
  </tableColumns>
  <tableStyleInfo name="TableStyleMedium9" showFirstColumn="0" showLastColumn="0" showRowStripes="1" showColumnStripes="0"/>
</table>
</file>

<file path=xl/tables/table17.xml><?xml version="1.0" encoding="utf-8"?>
<table xmlns="http://schemas.openxmlformats.org/spreadsheetml/2006/main" id="20" name="Equipamentos" displayName="Equipamentos" ref="A22:B32" totalsRowShown="0" headerRowDxfId="1235" headerRowBorderDxfId="1234" tableBorderDxfId="1233" totalsRowBorderDxfId="1232">
  <autoFilter ref="A22:B32"/>
  <sortState ref="A23:B32">
    <sortCondition ref="A22:A32"/>
  </sortState>
  <tableColumns count="2">
    <tableColumn id="1" name="Equipamento" dataDxfId="1231"/>
    <tableColumn id="2" name="Sistema de radiografia" dataDxfId="1230"/>
  </tableColumns>
  <tableStyleInfo name="TableStyleMedium9" showFirstColumn="0" showLastColumn="0" showRowStripes="1" showColumnStripes="0"/>
</table>
</file>

<file path=xl/tables/table18.xml><?xml version="1.0" encoding="utf-8"?>
<table xmlns="http://schemas.openxmlformats.org/spreadsheetml/2006/main" id="2" name="GCxHVL" displayName="GCxHVL" ref="A161:J169" totalsRowShown="0" headerRowDxfId="638" dataDxfId="636" headerRowBorderDxfId="637" tableBorderDxfId="635" totalsRowBorderDxfId="634">
  <tableColumns count="10">
    <tableColumn id="1" name="PMMA thickness (mm)" dataDxfId="633"/>
    <tableColumn id="2" name="Equivalent breast thickness (mm)" dataDxfId="632"/>
    <tableColumn id="3" name="Fibroglandular proportion of equivalent breast (%)" dataDxfId="631"/>
    <tableColumn id="4" name="0,3" dataDxfId="630"/>
    <tableColumn id="5" name="0,35" dataDxfId="629"/>
    <tableColumn id="6" name="0,4" dataDxfId="628"/>
    <tableColumn id="7" name="0,45" dataDxfId="627"/>
    <tableColumn id="8" name="0,5" dataDxfId="626"/>
    <tableColumn id="9" name="0,55" dataDxfId="625"/>
    <tableColumn id="10" name="60" dataDxfId="624"/>
  </tableColumns>
  <tableStyleInfo name="TableStyleMedium9" showFirstColumn="0" showLastColumn="0" showRowStripes="1" showColumnStripes="0"/>
</table>
</file>

<file path=xl/tables/table19.xml><?xml version="1.0" encoding="utf-8"?>
<table xmlns="http://schemas.openxmlformats.org/spreadsheetml/2006/main" id="3" name="SxFiltro" displayName="SxFiltro" ref="A174:C179" totalsRowShown="0" headerRowDxfId="623" dataDxfId="621" headerRowBorderDxfId="622" tableBorderDxfId="620" totalsRowBorderDxfId="619">
  <autoFilter ref="A174:C179"/>
  <tableColumns count="3">
    <tableColumn id="1" name="Target–filter combination" dataDxfId="618"/>
    <tableColumn id="2" name="Filter thickness (μm)" dataDxfId="617"/>
    <tableColumn id="3" name="s factor" dataDxfId="616"/>
  </tableColumns>
  <tableStyleInfo name="TableStyleMedium9" showFirstColumn="0" showLastColumn="0" showRowStripes="1" showColumnStripes="0"/>
</table>
</file>

<file path=xl/tables/table20.xml><?xml version="1.0" encoding="utf-8"?>
<table xmlns="http://schemas.openxmlformats.org/spreadsheetml/2006/main" id="4" name="SparaWAl" displayName="SparaWAl" ref="A183:C191" totalsRowShown="0" headerRowDxfId="615" dataDxfId="613" headerRowBorderDxfId="614" tableBorderDxfId="612" totalsRowBorderDxfId="611">
  <autoFilter ref="A183:C191"/>
  <tableColumns count="3">
    <tableColumn id="1" name="PMMA thickness (mm)" dataDxfId="610"/>
    <tableColumn id="2" name="Equivalent breast thickness (mm)" dataDxfId="609"/>
    <tableColumn id="3" name="s factor" dataDxfId="608"/>
  </tableColumns>
  <tableStyleInfo name="TableStyleMedium9" showFirstColumn="0" showLastColumn="0" showRowStripes="1" showColumnStripes="0"/>
</table>
</file>

<file path=xl/tables/table21.xml><?xml version="1.0" encoding="utf-8"?>
<table xmlns="http://schemas.openxmlformats.org/spreadsheetml/2006/main" id="5" name="LimitesDGM" displayName="LimitesDGM" ref="A195:D202" totalsRowShown="0" headerRowDxfId="607" dataDxfId="605" headerRowBorderDxfId="606" tableBorderDxfId="604" totalsRowBorderDxfId="603">
  <autoFilter ref="A195:D202"/>
  <tableColumns count="4">
    <tableColumn id="1" name="Thickness of PMMA (mm)" dataDxfId="602"/>
    <tableColumn id="2" name="Thickness of equivalent breast (mm)" dataDxfId="601"/>
    <tableColumn id="3" name="Acceptable level for DG to equivalent breast (mGy)" dataDxfId="600"/>
    <tableColumn id="4" name="Achievable level for DG to equivalent breast (mGy)" dataDxfId="599"/>
  </tableColumns>
  <tableStyleInfo name="TableStyleMedium9" showFirstColumn="0" showLastColumn="0" showRowStripes="1" showColumnStripes="0"/>
</table>
</file>

<file path=xl/tables/table22.xml><?xml version="1.0" encoding="utf-8"?>
<table xmlns="http://schemas.openxmlformats.org/spreadsheetml/2006/main" id="6" name="IN54_DGM" displayName="IN54_DGM" ref="I182:L188" totalsRowShown="0" headerRowDxfId="598" dataDxfId="596" headerRowBorderDxfId="597" tableBorderDxfId="595" totalsRowBorderDxfId="594">
  <autoFilter ref="I182:L188"/>
  <tableColumns count="4">
    <tableColumn id="1" name="PMMA [mm]" dataDxfId="593"/>
    <tableColumn id="2" name="Mama eq [cm]" dataDxfId="592"/>
    <tableColumn id="3" name="Referência" dataDxfId="591"/>
    <tableColumn id="4" name="Tolerância (&lt;)" dataDxfId="590"/>
  </tableColumns>
  <tableStyleInfo name="TableStyleMedium9" showFirstColumn="0" showLastColumn="0" showRowStripes="1" showColumnStripes="0"/>
</table>
</file>

<file path=xl/tables/table23.xml><?xml version="1.0" encoding="utf-8"?>
<table xmlns="http://schemas.openxmlformats.org/spreadsheetml/2006/main" id="1" name="Tabela_Consulta_de_mysql" displayName="Tabela_Consulta_de_mysql" ref="A1:AM9352" tableType="queryTable" totalsRowShown="0">
  <autoFilter ref="A1:AM9352"/>
  <sortState ref="A2:AM9352">
    <sortCondition ref="A1:A19076"/>
  </sortState>
  <tableColumns count="39">
    <tableColumn id="1" uniqueName="1" name="Colunas1" queryTableFieldId="1"/>
    <tableColumn id="2" uniqueName="2" name="Colunas2" queryTableFieldId="2"/>
    <tableColumn id="3" uniqueName="3" name="Colunas3" queryTableFieldId="3"/>
    <tableColumn id="4" uniqueName="4" name="Colunas4" queryTableFieldId="4"/>
    <tableColumn id="5" uniqueName="5" name="Colunas5" queryTableFieldId="5"/>
    <tableColumn id="6" uniqueName="6" name="Colunas6" queryTableFieldId="6"/>
    <tableColumn id="7" uniqueName="7" name="Colunas7" queryTableFieldId="7"/>
    <tableColumn id="8" uniqueName="8" name="Colunas8" queryTableFieldId="8"/>
    <tableColumn id="9" uniqueName="9" name="Colunas9" queryTableFieldId="9"/>
    <tableColumn id="10" uniqueName="10" name="Colunas10" queryTableFieldId="10"/>
    <tableColumn id="11" uniqueName="11" name="Colunas11" queryTableFieldId="11"/>
    <tableColumn id="12" uniqueName="12" name="Colunas12" queryTableFieldId="12"/>
    <tableColumn id="13" uniqueName="13" name="Colunas13" queryTableFieldId="13"/>
    <tableColumn id="14" uniqueName="14" name="Colunas14" queryTableFieldId="14"/>
    <tableColumn id="15" uniqueName="15" name="Colunas15" queryTableFieldId="15"/>
    <tableColumn id="16" uniqueName="16" name="Colunas16" queryTableFieldId="16" dataDxfId="21"/>
    <tableColumn id="17" uniqueName="17" name="Colunas17" queryTableFieldId="17" dataDxfId="20"/>
    <tableColumn id="18" uniqueName="18" name="Colunas18" queryTableFieldId="18"/>
    <tableColumn id="19" uniqueName="19" name="Colunas19" queryTableFieldId="19" dataDxfId="19"/>
    <tableColumn id="20" uniqueName="20" name="Colunas20" queryTableFieldId="20" dataDxfId="18"/>
    <tableColumn id="21" uniqueName="21" name="Colunas21" queryTableFieldId="21" dataDxfId="17"/>
    <tableColumn id="22" uniqueName="22" name="Colunas22" queryTableFieldId="22" dataDxfId="16"/>
    <tableColumn id="23" uniqueName="23" name="Colunas23" queryTableFieldId="23" dataDxfId="15"/>
    <tableColumn id="24" uniqueName="24" name="Colunas24" queryTableFieldId="24" dataDxfId="14"/>
    <tableColumn id="25" uniqueName="25" name="Colunas25" queryTableFieldId="25" dataDxfId="13"/>
    <tableColumn id="26" uniqueName="26" name="Colunas26" queryTableFieldId="26"/>
    <tableColumn id="27" uniqueName="27" name="Colunas27" queryTableFieldId="27"/>
    <tableColumn id="28" uniqueName="28" name="Colunas28" queryTableFieldId="28" dataDxfId="12"/>
    <tableColumn id="29" uniqueName="29" name="Colunas29" queryTableFieldId="31" dataDxfId="11"/>
    <tableColumn id="30" uniqueName="30" name="Colunas30" queryTableFieldId="32" dataDxfId="10"/>
    <tableColumn id="31" uniqueName="31" name="Colunas31" queryTableFieldId="33" dataDxfId="9"/>
    <tableColumn id="32" uniqueName="32" name="Colunas32" queryTableFieldId="34" dataDxfId="8"/>
    <tableColumn id="33" uniqueName="33" name="Colunas33" queryTableFieldId="35" dataDxfId="7"/>
    <tableColumn id="34" uniqueName="34" name="Colunas34" queryTableFieldId="36" dataDxfId="6"/>
    <tableColumn id="35" uniqueName="35" name="Colunas35" queryTableFieldId="37" dataDxfId="5"/>
    <tableColumn id="36" uniqueName="36" name="Colunas36" queryTableFieldId="38" dataDxfId="4"/>
    <tableColumn id="37" uniqueName="37" name="Colunas37" queryTableFieldId="39" dataDxfId="3"/>
    <tableColumn id="38" uniqueName="38" name="Colunas38" queryTableFieldId="40" dataDxfId="2"/>
    <tableColumn id="39" uniqueName="39" name="Colunas39" queryTableFieldId="41" dataDxfId="1"/>
  </tableColumns>
  <tableStyleInfo name="TableStyleMedium9"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table" Target="../tables/table5.xml"/><Relationship Id="rId13" Type="http://schemas.openxmlformats.org/officeDocument/2006/relationships/table" Target="../tables/table10.xml"/><Relationship Id="rId3" Type="http://schemas.openxmlformats.org/officeDocument/2006/relationships/drawing" Target="../drawings/drawing2.xml"/><Relationship Id="rId7" Type="http://schemas.openxmlformats.org/officeDocument/2006/relationships/table" Target="../tables/table4.xml"/><Relationship Id="rId12" Type="http://schemas.openxmlformats.org/officeDocument/2006/relationships/table" Target="../tables/table9.xml"/><Relationship Id="rId17" Type="http://schemas.openxmlformats.org/officeDocument/2006/relationships/table" Target="../tables/table14.xml"/><Relationship Id="rId2" Type="http://schemas.openxmlformats.org/officeDocument/2006/relationships/printerSettings" Target="../printerSettings/printerSettings3.bin"/><Relationship Id="rId16" Type="http://schemas.openxmlformats.org/officeDocument/2006/relationships/table" Target="../tables/table13.xml"/><Relationship Id="rId1" Type="http://schemas.openxmlformats.org/officeDocument/2006/relationships/hyperlink" Target="https://www.confea.org.br/protocolos-para-execucao-de-testes-em-sistemas-de-radiologia-diagnostica-e-intervencionista" TargetMode="External"/><Relationship Id="rId6" Type="http://schemas.openxmlformats.org/officeDocument/2006/relationships/table" Target="../tables/table3.xml"/><Relationship Id="rId11" Type="http://schemas.openxmlformats.org/officeDocument/2006/relationships/table" Target="../tables/table8.xml"/><Relationship Id="rId5" Type="http://schemas.openxmlformats.org/officeDocument/2006/relationships/table" Target="../tables/table2.xml"/><Relationship Id="rId15" Type="http://schemas.openxmlformats.org/officeDocument/2006/relationships/table" Target="../tables/table12.xml"/><Relationship Id="rId10" Type="http://schemas.openxmlformats.org/officeDocument/2006/relationships/table" Target="../tables/table7.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printerSettings" Target="../printerSettings/printerSettings4.bin"/><Relationship Id="rId1" Type="http://schemas.openxmlformats.org/officeDocument/2006/relationships/hyperlink" Target="http://portalsinan.saude.gov.br/images/documentos/Legislacoes/Portaria_Consolidacao_5_28_SETEMBRO_2017.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veltcamp.blogspot.com/2011/06/dap-converter.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23.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V49"/>
  <sheetViews>
    <sheetView tabSelected="1" zoomScaleNormal="100" workbookViewId="0">
      <selection activeCell="J8" sqref="J8"/>
    </sheetView>
  </sheetViews>
  <sheetFormatPr defaultColWidth="8.5703125" defaultRowHeight="15" x14ac:dyDescent="0.25"/>
  <cols>
    <col min="1" max="1" width="26.85546875" style="299" customWidth="1"/>
    <col min="2" max="2" width="56" style="299" bestFit="1" customWidth="1"/>
    <col min="3" max="3" width="11.5703125" style="299" bestFit="1" customWidth="1"/>
    <col min="4" max="4" width="8.5703125" style="299"/>
    <col min="5" max="5" width="12" style="299" bestFit="1" customWidth="1"/>
    <col min="6" max="6" width="14.5703125" style="299" bestFit="1" customWidth="1"/>
    <col min="7" max="7" width="15.42578125" style="299" bestFit="1" customWidth="1"/>
    <col min="8" max="16384" width="8.5703125" style="299"/>
  </cols>
  <sheetData>
    <row r="1" spans="1:22" ht="36.75" thickBot="1" x14ac:dyDescent="0.3">
      <c r="A1" s="2348" t="str">
        <f>CONCATENATE("Controle de Qualidade - ", ($B$14))</f>
        <v xml:space="preserve">Controle de Qualidade - </v>
      </c>
      <c r="B1" s="2349"/>
      <c r="C1" s="2349"/>
      <c r="D1" s="2349"/>
      <c r="E1" s="2349"/>
      <c r="F1" s="2349"/>
      <c r="G1" s="2349"/>
      <c r="H1" s="2349"/>
      <c r="I1" s="2349"/>
      <c r="J1" s="2349"/>
      <c r="K1" s="2349"/>
      <c r="L1" s="2349"/>
      <c r="M1" s="2350"/>
      <c r="N1" s="565"/>
      <c r="O1" s="565"/>
      <c r="P1" s="565"/>
      <c r="Q1" s="565"/>
      <c r="R1" s="565"/>
      <c r="S1" s="565"/>
      <c r="T1" s="565"/>
      <c r="U1" s="565"/>
      <c r="V1" s="565"/>
    </row>
    <row r="2" spans="1:22" ht="19.5" thickBot="1" x14ac:dyDescent="0.3">
      <c r="A2" s="2351" t="s">
        <v>241</v>
      </c>
      <c r="B2" s="2352"/>
      <c r="C2" s="565"/>
      <c r="D2" s="565"/>
      <c r="E2" s="2365" t="s">
        <v>126</v>
      </c>
      <c r="F2" s="2366"/>
      <c r="G2" s="2367"/>
      <c r="H2" s="565"/>
      <c r="I2" s="565"/>
      <c r="J2" s="2356" t="s">
        <v>2823</v>
      </c>
      <c r="K2" s="2357"/>
      <c r="L2" s="2357"/>
      <c r="M2" s="2358"/>
      <c r="N2" s="565"/>
      <c r="O2" s="565"/>
      <c r="P2" s="565"/>
      <c r="Q2" s="565"/>
      <c r="R2" s="565"/>
      <c r="S2" s="565"/>
      <c r="T2" s="565"/>
      <c r="U2" s="565"/>
      <c r="V2" s="565"/>
    </row>
    <row r="3" spans="1:22" ht="15.75" thickBot="1" x14ac:dyDescent="0.3">
      <c r="A3" s="879" t="s">
        <v>242</v>
      </c>
      <c r="B3" s="803"/>
      <c r="C3" s="565"/>
      <c r="D3" s="565"/>
      <c r="E3" s="2353" t="s">
        <v>243</v>
      </c>
      <c r="F3" s="441" t="s">
        <v>119</v>
      </c>
      <c r="G3" s="51"/>
      <c r="H3" s="565"/>
      <c r="I3" s="565"/>
      <c r="J3" s="565"/>
      <c r="K3" s="565"/>
      <c r="L3" s="565"/>
      <c r="M3" s="565"/>
      <c r="N3" s="565"/>
      <c r="O3" s="565"/>
      <c r="P3" s="565"/>
      <c r="Q3" s="565"/>
      <c r="R3" s="565"/>
      <c r="S3" s="565"/>
      <c r="T3" s="565"/>
      <c r="U3" s="565"/>
      <c r="V3" s="565"/>
    </row>
    <row r="4" spans="1:22" x14ac:dyDescent="0.25">
      <c r="A4" s="878" t="s">
        <v>2335</v>
      </c>
      <c r="B4" s="804" t="e">
        <f>VLOOKUP($B$3,DB!$A$2:$AA$9352,12)</f>
        <v>#N/A</v>
      </c>
      <c r="C4" s="565"/>
      <c r="D4" s="565"/>
      <c r="E4" s="2346"/>
      <c r="F4" s="442" t="s">
        <v>120</v>
      </c>
      <c r="G4" s="883"/>
      <c r="H4" s="565"/>
      <c r="I4" s="565"/>
      <c r="J4" s="565"/>
      <c r="K4" s="1667"/>
      <c r="L4" s="1666"/>
      <c r="M4" s="565"/>
      <c r="N4" s="565"/>
      <c r="O4" s="565"/>
      <c r="P4" s="565"/>
      <c r="Q4" s="565"/>
      <c r="R4" s="565"/>
      <c r="S4" s="565"/>
      <c r="T4" s="565"/>
      <c r="U4" s="565"/>
      <c r="V4" s="565"/>
    </row>
    <row r="5" spans="1:22" x14ac:dyDescent="0.25">
      <c r="A5" s="876" t="s">
        <v>244</v>
      </c>
      <c r="B5" s="805" t="e">
        <f>IF(LEN(VLOOKUP($B$3,DB!$A$2:$AA$9352,8))=11,MID(VLOOKUP($B$3,DB!$A$2:$AA$9352,8),1,3)&amp;"."&amp;MID(VLOOKUP($B$3,DB!$A$2:$AA$9352,8),4,3)&amp;"."&amp;MID(VLOOKUP($B$3,DB!$A$2:$AA$9352,8),7,3)&amp;"-"&amp;MID(VLOOKUP($B$3,DB!$A$2:$AA$9352,8),10,2),MID(VLOOKUP($B$3,DB!$A$2:$AA$9352,8),1,2)&amp;"."&amp;MID(VLOOKUP($B$3,DB!$A$2:$AA$9352,8),3,3)&amp;"."&amp;MID(VLOOKUP($B$3,DB!$A$2:$AA$9352,8),6,3)&amp;"/"&amp;MID(VLOOKUP($B$3,DB!$A$2:$AA$9352,8),9,4)&amp;"-"&amp;MID(VLOOKUP($B$3,DB!$A$2:$AA$9352,8),13,2))</f>
        <v>#N/A</v>
      </c>
      <c r="C5" s="565"/>
      <c r="D5" s="565"/>
      <c r="E5" s="2346"/>
      <c r="F5" s="442" t="s">
        <v>121</v>
      </c>
      <c r="G5" s="883"/>
      <c r="H5" s="565"/>
      <c r="I5" s="565"/>
      <c r="J5" s="565"/>
      <c r="K5" s="565"/>
      <c r="L5" s="565"/>
      <c r="M5" s="565"/>
      <c r="N5" s="565"/>
      <c r="O5" s="565"/>
      <c r="P5" s="565"/>
      <c r="Q5" s="565"/>
      <c r="R5" s="565"/>
      <c r="S5" s="565"/>
      <c r="T5" s="565"/>
      <c r="U5" s="565"/>
      <c r="V5" s="565"/>
    </row>
    <row r="6" spans="1:22" x14ac:dyDescent="0.25">
      <c r="A6" s="876" t="s">
        <v>281</v>
      </c>
      <c r="B6" s="805" t="e">
        <f>IF(VLOOKUP($B$3,DB!$A$2:$AB$9352,28)="",B4,VLOOKUP($B$3,DB!$A$2:$AB$9352,28))</f>
        <v>#N/A</v>
      </c>
      <c r="C6" s="565"/>
      <c r="D6" s="565"/>
      <c r="E6" s="2346"/>
      <c r="F6" s="442" t="s">
        <v>246</v>
      </c>
      <c r="G6" s="883"/>
      <c r="H6" s="565"/>
      <c r="I6" s="565"/>
      <c r="J6" s="565"/>
      <c r="K6" s="565"/>
      <c r="L6" s="565"/>
      <c r="M6" s="565"/>
      <c r="N6" s="565"/>
      <c r="O6" s="565"/>
      <c r="P6" s="565"/>
      <c r="Q6" s="565"/>
      <c r="R6" s="565"/>
      <c r="S6" s="565"/>
      <c r="T6" s="565"/>
      <c r="U6" s="565"/>
      <c r="V6" s="565"/>
    </row>
    <row r="7" spans="1:22" x14ac:dyDescent="0.25">
      <c r="A7" s="876" t="s">
        <v>245</v>
      </c>
      <c r="B7" s="805" t="e">
        <f>IF(VLOOKUP($B$3,DB!$A$2:$AA$9352,10)="","",VLOOKUP($B$3,DB!$A$2:$AA$9352,10))</f>
        <v>#N/A</v>
      </c>
      <c r="C7" s="565"/>
      <c r="D7" s="565"/>
      <c r="E7" s="2346" t="s">
        <v>252</v>
      </c>
      <c r="F7" s="443" t="s">
        <v>119</v>
      </c>
      <c r="G7" s="883"/>
      <c r="H7" s="565" t="str">
        <f t="shared" ref="H7:H18" si="0">IF($B$14="Ultrassom","NA","")</f>
        <v/>
      </c>
      <c r="I7" s="565"/>
      <c r="J7" s="565"/>
      <c r="K7" s="565"/>
      <c r="L7" s="565"/>
      <c r="M7" s="565"/>
      <c r="N7" s="565"/>
      <c r="O7" s="565"/>
      <c r="P7" s="565"/>
      <c r="Q7" s="565"/>
      <c r="R7" s="565"/>
      <c r="S7" s="565"/>
      <c r="T7" s="565"/>
      <c r="U7" s="565"/>
      <c r="V7" s="565"/>
    </row>
    <row r="8" spans="1:22" x14ac:dyDescent="0.25">
      <c r="A8" s="876" t="s">
        <v>247</v>
      </c>
      <c r="B8" s="805" t="e">
        <f>VLOOKUP($B$3,DB!$A$2:$AA$9352,6)</f>
        <v>#N/A</v>
      </c>
      <c r="C8" s="565"/>
      <c r="D8" s="565"/>
      <c r="E8" s="2346"/>
      <c r="F8" s="443" t="s">
        <v>120</v>
      </c>
      <c r="G8" s="883"/>
      <c r="H8" s="565" t="str">
        <f t="shared" si="0"/>
        <v/>
      </c>
      <c r="I8" s="565"/>
      <c r="J8" s="565"/>
      <c r="K8" s="565"/>
      <c r="L8" s="565"/>
      <c r="M8" s="565"/>
      <c r="N8" s="565"/>
      <c r="O8" s="565"/>
      <c r="P8" s="565"/>
      <c r="Q8" s="565"/>
      <c r="R8" s="565"/>
      <c r="S8" s="565"/>
      <c r="T8" s="565"/>
      <c r="U8" s="565"/>
      <c r="V8" s="565"/>
    </row>
    <row r="9" spans="1:22" x14ac:dyDescent="0.25">
      <c r="A9" s="876" t="s">
        <v>249</v>
      </c>
      <c r="B9" s="805" t="e">
        <f>VLOOKUP($B$3,DB!$A$2:$AA$9352,7)</f>
        <v>#N/A</v>
      </c>
      <c r="C9" s="565"/>
      <c r="D9" s="565"/>
      <c r="E9" s="2346"/>
      <c r="F9" s="443" t="s">
        <v>121</v>
      </c>
      <c r="G9" s="883"/>
      <c r="H9" s="565" t="str">
        <f t="shared" si="0"/>
        <v/>
      </c>
      <c r="I9" s="565"/>
      <c r="J9" s="565"/>
      <c r="K9" s="565"/>
      <c r="L9" s="565"/>
      <c r="M9" s="565"/>
      <c r="N9" s="565"/>
      <c r="O9" s="565"/>
      <c r="P9" s="565"/>
      <c r="Q9" s="565"/>
      <c r="R9" s="565"/>
      <c r="S9" s="565"/>
      <c r="T9" s="565"/>
      <c r="U9" s="565"/>
      <c r="V9" s="565"/>
    </row>
    <row r="10" spans="1:22" x14ac:dyDescent="0.25">
      <c r="A10" s="876" t="s">
        <v>250</v>
      </c>
      <c r="B10" s="805" t="e">
        <f>VLOOKUP($B$3,DB!$A$2:$AA$9352,14)</f>
        <v>#N/A</v>
      </c>
      <c r="C10" s="565"/>
      <c r="D10" s="565"/>
      <c r="E10" s="2346"/>
      <c r="F10" s="443" t="s">
        <v>246</v>
      </c>
      <c r="G10" s="883"/>
      <c r="H10" s="565" t="str">
        <f t="shared" si="0"/>
        <v/>
      </c>
      <c r="I10" s="565"/>
      <c r="J10" s="565"/>
      <c r="K10" s="565"/>
      <c r="L10" s="565"/>
      <c r="M10" s="565"/>
      <c r="N10" s="565"/>
      <c r="O10" s="565"/>
      <c r="P10" s="565"/>
      <c r="Q10" s="565"/>
      <c r="R10" s="565"/>
      <c r="S10" s="565"/>
      <c r="T10" s="565"/>
      <c r="U10" s="565"/>
      <c r="V10" s="565"/>
    </row>
    <row r="11" spans="1:22" x14ac:dyDescent="0.25">
      <c r="A11" s="876" t="s">
        <v>932</v>
      </c>
      <c r="B11" s="806" t="e">
        <f>VLOOKUP($B$3,DB!$A$2:$AA$9352,4)</f>
        <v>#N/A</v>
      </c>
      <c r="C11" s="565"/>
      <c r="D11" s="565"/>
      <c r="E11" s="2346" t="s">
        <v>248</v>
      </c>
      <c r="F11" s="442" t="s">
        <v>119</v>
      </c>
      <c r="G11" s="883"/>
      <c r="H11" s="565" t="str">
        <f t="shared" si="0"/>
        <v/>
      </c>
      <c r="I11" s="565"/>
      <c r="J11" s="565"/>
      <c r="K11" s="565"/>
      <c r="L11" s="565"/>
      <c r="M11" s="565"/>
      <c r="N11" s="565"/>
      <c r="O11" s="565"/>
      <c r="P11" s="565"/>
      <c r="Q11" s="565"/>
      <c r="R11" s="565"/>
      <c r="S11" s="565"/>
      <c r="T11" s="565"/>
      <c r="U11" s="565"/>
      <c r="V11" s="565"/>
    </row>
    <row r="12" spans="1:22" x14ac:dyDescent="0.25">
      <c r="A12" s="876" t="s">
        <v>251</v>
      </c>
      <c r="B12" s="807" t="e">
        <f>VLOOKUP($B$3,DB!$A$2:$AA$9370,16)</f>
        <v>#N/A</v>
      </c>
      <c r="C12" s="565"/>
      <c r="D12" s="565"/>
      <c r="E12" s="2346"/>
      <c r="F12" s="442" t="s">
        <v>120</v>
      </c>
      <c r="G12" s="883"/>
      <c r="H12" s="565" t="str">
        <f t="shared" si="0"/>
        <v/>
      </c>
      <c r="I12" s="565"/>
      <c r="J12" s="565"/>
      <c r="K12" s="565"/>
      <c r="L12" s="565"/>
      <c r="M12" s="565"/>
      <c r="N12" s="565"/>
      <c r="O12" s="565"/>
      <c r="P12" s="565"/>
      <c r="Q12" s="565"/>
      <c r="R12" s="565"/>
      <c r="S12" s="565"/>
      <c r="T12" s="565"/>
      <c r="U12" s="565"/>
      <c r="V12" s="565"/>
    </row>
    <row r="13" spans="1:22" ht="15.75" thickBot="1" x14ac:dyDescent="0.3">
      <c r="A13" s="876" t="s">
        <v>1821</v>
      </c>
      <c r="B13" s="805" t="e">
        <f>VLOOKUP($B$3,DB!$A$2:$AA$9352,5)</f>
        <v>#N/A</v>
      </c>
      <c r="C13" s="565"/>
      <c r="D13" s="565"/>
      <c r="E13" s="2346"/>
      <c r="F13" s="442" t="s">
        <v>121</v>
      </c>
      <c r="G13" s="883"/>
      <c r="H13" s="565" t="str">
        <f t="shared" si="0"/>
        <v/>
      </c>
      <c r="I13" s="565"/>
      <c r="J13" s="565"/>
      <c r="K13" s="565"/>
      <c r="L13" s="565"/>
      <c r="M13" s="565"/>
      <c r="N13" s="565"/>
      <c r="O13" s="565"/>
      <c r="P13" s="565"/>
      <c r="Q13" s="565"/>
      <c r="R13" s="565"/>
      <c r="S13" s="565"/>
      <c r="T13" s="565"/>
      <c r="U13" s="565"/>
      <c r="V13" s="565"/>
    </row>
    <row r="14" spans="1:22" ht="15.75" thickBot="1" x14ac:dyDescent="0.3">
      <c r="A14" s="877" t="s">
        <v>274</v>
      </c>
      <c r="B14" s="809"/>
      <c r="C14" s="2319"/>
      <c r="D14" s="565"/>
      <c r="E14" s="2346"/>
      <c r="F14" s="442" t="s">
        <v>246</v>
      </c>
      <c r="G14" s="883"/>
      <c r="H14" s="565" t="str">
        <f t="shared" si="0"/>
        <v/>
      </c>
      <c r="I14" s="565"/>
      <c r="J14" s="565"/>
      <c r="K14" s="565"/>
      <c r="L14" s="565"/>
      <c r="M14" s="565"/>
      <c r="N14" s="565"/>
      <c r="O14" s="565"/>
      <c r="P14" s="565"/>
      <c r="Q14" s="565"/>
      <c r="R14" s="565"/>
      <c r="S14" s="565"/>
      <c r="T14" s="565"/>
      <c r="U14" s="565"/>
      <c r="V14" s="565"/>
    </row>
    <row r="15" spans="1:22" ht="15.75" thickBot="1" x14ac:dyDescent="0.3">
      <c r="A15" s="884" t="s">
        <v>1213</v>
      </c>
      <c r="B15" s="2318"/>
      <c r="C15" s="565"/>
      <c r="D15" s="565"/>
      <c r="E15" s="2346" t="s">
        <v>253</v>
      </c>
      <c r="F15" s="442" t="s">
        <v>119</v>
      </c>
      <c r="G15" s="883"/>
      <c r="H15" s="565" t="str">
        <f t="shared" si="0"/>
        <v/>
      </c>
      <c r="I15" s="565"/>
      <c r="J15" s="565"/>
      <c r="K15" s="565"/>
      <c r="L15" s="565"/>
      <c r="M15" s="565"/>
      <c r="N15" s="565"/>
      <c r="O15" s="565"/>
      <c r="P15" s="565"/>
      <c r="Q15" s="565"/>
      <c r="R15" s="565"/>
      <c r="S15" s="565"/>
      <c r="T15" s="565"/>
      <c r="U15" s="565"/>
      <c r="V15" s="565"/>
    </row>
    <row r="16" spans="1:22" ht="15.75" thickBot="1" x14ac:dyDescent="0.3">
      <c r="A16" s="885" t="s">
        <v>1214</v>
      </c>
      <c r="B16" s="915"/>
      <c r="C16" s="886" t="str">
        <f>IFERROR(IF(Tabelas!Y12="FALSO","ERRO DIGITAÇÃO",""),"")</f>
        <v/>
      </c>
      <c r="D16" s="565"/>
      <c r="E16" s="2346"/>
      <c r="F16" s="442" t="s">
        <v>120</v>
      </c>
      <c r="G16" s="883"/>
      <c r="H16" s="565" t="str">
        <f t="shared" si="0"/>
        <v/>
      </c>
      <c r="I16" s="565"/>
      <c r="J16" s="565"/>
      <c r="K16" s="565"/>
      <c r="L16" s="565"/>
      <c r="M16" s="565"/>
      <c r="N16" s="565"/>
      <c r="O16" s="565"/>
      <c r="P16" s="565"/>
      <c r="Q16" s="565"/>
      <c r="R16" s="565"/>
      <c r="S16" s="565"/>
      <c r="T16" s="565"/>
      <c r="U16" s="565"/>
      <c r="V16" s="565"/>
    </row>
    <row r="17" spans="1:22" x14ac:dyDescent="0.25">
      <c r="A17" s="2359" t="s">
        <v>1008</v>
      </c>
      <c r="B17" s="2361"/>
      <c r="C17" s="2363" t="str">
        <f>IF(B17&lt;&gt;"","Filtrar testes manualmente","")</f>
        <v/>
      </c>
      <c r="D17" s="2364"/>
      <c r="E17" s="2346"/>
      <c r="F17" s="442" t="s">
        <v>121</v>
      </c>
      <c r="G17" s="883"/>
      <c r="H17" s="565" t="str">
        <f t="shared" si="0"/>
        <v/>
      </c>
      <c r="I17" s="565"/>
      <c r="J17" s="565"/>
      <c r="K17" s="565"/>
      <c r="L17" s="565"/>
      <c r="M17" s="565"/>
      <c r="N17" s="565"/>
      <c r="O17" s="565"/>
      <c r="P17" s="565"/>
      <c r="Q17" s="565"/>
      <c r="R17" s="565"/>
      <c r="S17" s="565"/>
      <c r="T17" s="565"/>
      <c r="U17" s="565"/>
      <c r="V17" s="565"/>
    </row>
    <row r="18" spans="1:22" ht="15" customHeight="1" thickBot="1" x14ac:dyDescent="0.3">
      <c r="A18" s="2360"/>
      <c r="B18" s="2362"/>
      <c r="C18" s="2363"/>
      <c r="D18" s="2364"/>
      <c r="E18" s="2347"/>
      <c r="F18" s="445" t="s">
        <v>246</v>
      </c>
      <c r="G18" s="887"/>
      <c r="H18" s="565" t="str">
        <f t="shared" si="0"/>
        <v/>
      </c>
      <c r="I18" s="565"/>
      <c r="J18" s="565"/>
      <c r="K18" s="565"/>
      <c r="L18" s="565"/>
      <c r="M18" s="565"/>
      <c r="N18" s="565"/>
      <c r="O18" s="565"/>
      <c r="P18" s="565"/>
      <c r="Q18" s="565"/>
      <c r="R18" s="565"/>
      <c r="S18" s="565"/>
      <c r="T18" s="565"/>
      <c r="U18" s="565"/>
      <c r="V18" s="565"/>
    </row>
    <row r="19" spans="1:22" ht="15" customHeight="1" thickBot="1" x14ac:dyDescent="0.3">
      <c r="A19" s="690" t="s">
        <v>1822</v>
      </c>
      <c r="B19" s="1665" t="s">
        <v>2322</v>
      </c>
      <c r="C19" s="888"/>
      <c r="D19" s="565"/>
      <c r="E19" s="565"/>
      <c r="F19" s="565"/>
      <c r="G19" s="565"/>
      <c r="H19" s="565"/>
      <c r="I19" s="565"/>
      <c r="J19" s="565"/>
      <c r="K19" s="565"/>
      <c r="L19" s="565"/>
      <c r="M19" s="565"/>
      <c r="N19" s="565"/>
      <c r="O19" s="565"/>
      <c r="P19" s="565"/>
      <c r="Q19" s="565"/>
      <c r="R19" s="565"/>
      <c r="S19" s="565"/>
      <c r="T19" s="565"/>
      <c r="U19" s="565"/>
      <c r="V19" s="565"/>
    </row>
    <row r="20" spans="1:22" ht="15" customHeight="1" thickBot="1" x14ac:dyDescent="0.3">
      <c r="A20" s="1520" t="s">
        <v>1705</v>
      </c>
      <c r="B20" s="1670" t="s">
        <v>1730</v>
      </c>
      <c r="C20" s="888"/>
      <c r="D20" s="565"/>
      <c r="E20" s="2344" t="s">
        <v>1006</v>
      </c>
      <c r="F20" s="2345"/>
      <c r="G20" s="809"/>
      <c r="H20" s="565" t="str">
        <f>IF($B$14="Ultrassom","NA","")</f>
        <v/>
      </c>
      <c r="I20" s="565"/>
      <c r="J20" s="565"/>
      <c r="K20" s="565"/>
      <c r="L20" s="565"/>
      <c r="M20" s="565"/>
      <c r="N20" s="565"/>
      <c r="O20" s="565"/>
      <c r="P20" s="565"/>
      <c r="Q20" s="565"/>
      <c r="R20" s="565"/>
      <c r="S20" s="565"/>
      <c r="T20" s="565"/>
      <c r="U20" s="565"/>
      <c r="V20" s="565"/>
    </row>
    <row r="21" spans="1:22" ht="15" customHeight="1" thickBot="1" x14ac:dyDescent="0.3">
      <c r="A21" s="889" t="s">
        <v>2336</v>
      </c>
      <c r="B21" s="889" t="e">
        <f>VLOOKUP($B$3,DB!$A$2:$AA$9352,13)</f>
        <v>#N/A</v>
      </c>
      <c r="C21" s="888"/>
      <c r="D21" s="565"/>
      <c r="E21" s="565"/>
      <c r="F21" s="565"/>
      <c r="G21" s="889"/>
      <c r="H21" s="565"/>
      <c r="I21" s="565"/>
      <c r="J21" s="565"/>
      <c r="K21" s="565"/>
      <c r="L21" s="565"/>
      <c r="M21" s="565"/>
      <c r="N21" s="565"/>
      <c r="O21" s="565"/>
      <c r="P21" s="565"/>
      <c r="Q21" s="565"/>
      <c r="R21" s="565"/>
      <c r="S21" s="565"/>
      <c r="T21" s="565"/>
      <c r="U21" s="565"/>
      <c r="V21" s="565"/>
    </row>
    <row r="22" spans="1:22" ht="15" customHeight="1" x14ac:dyDescent="0.25">
      <c r="A22" s="565"/>
      <c r="B22" s="565"/>
      <c r="C22" s="2156" t="s">
        <v>2677</v>
      </c>
      <c r="D22" s="2157"/>
      <c r="E22" s="2158"/>
      <c r="F22" s="2154" t="s">
        <v>254</v>
      </c>
      <c r="G22" s="51"/>
      <c r="H22" s="565" t="str">
        <f>IF($B$14="Ultrassom","NA","")</f>
        <v/>
      </c>
      <c r="I22" s="565"/>
      <c r="J22" s="565"/>
      <c r="K22" s="565"/>
      <c r="L22" s="565"/>
      <c r="M22" s="565"/>
      <c r="N22" s="565"/>
      <c r="O22" s="565"/>
      <c r="P22" s="565"/>
      <c r="Q22" s="565"/>
      <c r="R22" s="565"/>
      <c r="S22" s="565"/>
      <c r="T22" s="565"/>
      <c r="U22" s="565"/>
      <c r="V22" s="565"/>
    </row>
    <row r="23" spans="1:22" x14ac:dyDescent="0.25">
      <c r="A23" s="565"/>
      <c r="B23" s="565"/>
      <c r="C23" s="2354" t="s">
        <v>2354</v>
      </c>
      <c r="D23" s="2355"/>
      <c r="E23" s="2160"/>
      <c r="F23" s="2155" t="s">
        <v>255</v>
      </c>
      <c r="G23" s="883"/>
      <c r="H23" s="565" t="str">
        <f>IF($B$14="Ultrassom","NA","")</f>
        <v/>
      </c>
      <c r="I23" s="565"/>
      <c r="J23" s="565"/>
      <c r="K23" s="565"/>
      <c r="L23" s="565"/>
      <c r="M23" s="565"/>
      <c r="N23" s="565"/>
      <c r="O23" s="565"/>
      <c r="P23" s="565"/>
      <c r="Q23" s="565"/>
      <c r="R23" s="565"/>
      <c r="S23" s="565"/>
      <c r="T23" s="565"/>
      <c r="U23" s="565"/>
      <c r="V23" s="565"/>
    </row>
    <row r="24" spans="1:22" x14ac:dyDescent="0.25">
      <c r="A24" s="565"/>
      <c r="B24" s="565"/>
      <c r="C24" s="2340" t="s">
        <v>2349</v>
      </c>
      <c r="D24" s="2341"/>
      <c r="E24" s="2159"/>
      <c r="F24" s="2155" t="s">
        <v>256</v>
      </c>
      <c r="G24" s="883"/>
      <c r="H24" s="565" t="str">
        <f>IF($B$14="Ultrassom","NA","")</f>
        <v/>
      </c>
      <c r="I24" s="565"/>
      <c r="J24" s="565"/>
      <c r="K24" s="565"/>
      <c r="L24" s="565"/>
      <c r="M24" s="565"/>
      <c r="N24" s="565"/>
      <c r="O24" s="565"/>
      <c r="P24" s="565"/>
      <c r="Q24" s="565"/>
      <c r="R24" s="565"/>
      <c r="S24" s="565"/>
      <c r="T24" s="565"/>
      <c r="U24" s="565"/>
      <c r="V24" s="565"/>
    </row>
    <row r="25" spans="1:22" ht="15.75" thickBot="1" x14ac:dyDescent="0.3">
      <c r="A25" s="565"/>
      <c r="B25" s="565"/>
      <c r="C25" s="2342" t="s">
        <v>2781</v>
      </c>
      <c r="D25" s="2343"/>
      <c r="E25" s="2159"/>
      <c r="F25" s="2161" t="s">
        <v>195</v>
      </c>
      <c r="G25" s="887"/>
      <c r="H25" s="565" t="str">
        <f>IF($B$14="Ultrassom","NA",IF(G25="---",IF(AVERAGE('medidas Unfors'!I:I)=1,"AF","Tri"),"Mono"))</f>
        <v>Mono</v>
      </c>
      <c r="I25" s="565"/>
      <c r="J25" s="565"/>
      <c r="K25" s="565"/>
      <c r="L25" s="565"/>
      <c r="M25" s="565"/>
      <c r="N25" s="565"/>
      <c r="O25" s="565"/>
      <c r="P25" s="565"/>
      <c r="Q25" s="565"/>
      <c r="R25" s="565"/>
      <c r="S25" s="565"/>
      <c r="T25" s="565"/>
      <c r="U25" s="565"/>
      <c r="V25" s="565"/>
    </row>
    <row r="26" spans="1:22" ht="15.75" thickBot="1" x14ac:dyDescent="0.3">
      <c r="A26" s="565"/>
      <c r="B26" s="565"/>
      <c r="C26" s="2338" t="s">
        <v>2328</v>
      </c>
      <c r="D26" s="2339"/>
      <c r="E26" s="2284"/>
      <c r="F26" s="2283" t="s">
        <v>669</v>
      </c>
      <c r="G26" s="51" t="s">
        <v>671</v>
      </c>
      <c r="H26" s="565" t="str">
        <f>IF($B$14="Ultrassom","NA","")</f>
        <v/>
      </c>
      <c r="I26" s="565"/>
      <c r="J26" s="565"/>
      <c r="K26" s="565"/>
      <c r="L26" s="565"/>
      <c r="M26" s="565"/>
      <c r="N26" s="565"/>
      <c r="O26" s="565"/>
      <c r="P26" s="565"/>
      <c r="Q26" s="565"/>
      <c r="R26" s="565"/>
      <c r="S26" s="565"/>
      <c r="T26" s="565"/>
      <c r="U26" s="565"/>
      <c r="V26" s="565"/>
    </row>
    <row r="27" spans="1:22" ht="15.75" thickBot="1" x14ac:dyDescent="0.3">
      <c r="A27" s="565"/>
      <c r="B27" s="565"/>
      <c r="C27" s="565"/>
      <c r="D27" s="565"/>
      <c r="E27" s="565"/>
      <c r="F27" s="890" t="s">
        <v>670</v>
      </c>
      <c r="G27" s="891" t="s">
        <v>671</v>
      </c>
      <c r="H27" s="565" t="str">
        <f>IF($B$14="Ultrassom","NA","")</f>
        <v/>
      </c>
      <c r="I27" s="565"/>
      <c r="J27" s="565"/>
      <c r="K27" s="565"/>
      <c r="L27" s="565"/>
      <c r="M27" s="565"/>
      <c r="N27" s="565"/>
      <c r="O27" s="565"/>
      <c r="P27" s="565"/>
      <c r="Q27" s="565"/>
      <c r="R27" s="565"/>
      <c r="S27" s="565"/>
      <c r="T27" s="565"/>
      <c r="U27" s="565"/>
      <c r="V27" s="565"/>
    </row>
    <row r="28" spans="1:22" ht="30" x14ac:dyDescent="0.25">
      <c r="A28" s="565"/>
      <c r="B28" s="565"/>
      <c r="C28" s="565"/>
      <c r="D28" s="565"/>
      <c r="E28" s="565"/>
      <c r="F28" s="631" t="s">
        <v>1012</v>
      </c>
      <c r="G28" s="632" t="s">
        <v>158</v>
      </c>
      <c r="H28" s="565" t="str">
        <f>IF($B$14="Ultrassom","NA","")</f>
        <v/>
      </c>
      <c r="I28" s="565"/>
      <c r="J28" s="565"/>
      <c r="K28" s="565"/>
      <c r="L28" s="565"/>
      <c r="M28" s="565"/>
      <c r="N28" s="565"/>
      <c r="O28" s="565"/>
      <c r="P28" s="565"/>
      <c r="Q28" s="565"/>
      <c r="R28" s="565"/>
      <c r="S28" s="565"/>
      <c r="T28" s="565"/>
      <c r="U28" s="565"/>
      <c r="V28" s="565"/>
    </row>
    <row r="29" spans="1:22" ht="15.75" thickBot="1" x14ac:dyDescent="0.3">
      <c r="A29" s="565"/>
      <c r="B29" s="565"/>
      <c r="C29" s="2169"/>
      <c r="D29" s="565"/>
      <c r="E29" s="565"/>
      <c r="F29" s="633" t="s">
        <v>1011</v>
      </c>
      <c r="G29" s="644" t="s">
        <v>2317</v>
      </c>
      <c r="H29" s="565" t="str">
        <f>IF($B$14="Ultrassom","NA","")</f>
        <v/>
      </c>
      <c r="I29" s="565"/>
      <c r="J29" s="565"/>
      <c r="K29" s="565"/>
      <c r="L29" s="565"/>
      <c r="M29" s="565"/>
      <c r="N29" s="565"/>
      <c r="O29" s="565"/>
      <c r="P29" s="565"/>
      <c r="Q29" s="565"/>
      <c r="R29" s="565"/>
      <c r="S29" s="565"/>
      <c r="T29" s="565"/>
      <c r="U29" s="565"/>
      <c r="V29" s="565"/>
    </row>
    <row r="30" spans="1:22" x14ac:dyDescent="0.25">
      <c r="A30" s="565"/>
      <c r="B30" s="565"/>
      <c r="C30" s="565"/>
      <c r="D30" s="565"/>
      <c r="E30" s="565"/>
      <c r="F30" s="565"/>
      <c r="G30" s="565"/>
      <c r="H30" s="565"/>
      <c r="I30" s="565"/>
      <c r="J30" s="565"/>
      <c r="K30" s="565"/>
      <c r="L30" s="565"/>
      <c r="M30" s="565"/>
      <c r="N30" s="565"/>
      <c r="O30" s="565"/>
      <c r="P30" s="565"/>
      <c r="Q30" s="565"/>
      <c r="R30" s="565"/>
      <c r="S30" s="565"/>
      <c r="T30" s="565"/>
      <c r="U30" s="565"/>
      <c r="V30" s="565"/>
    </row>
    <row r="31" spans="1:22" x14ac:dyDescent="0.25">
      <c r="A31" s="565"/>
      <c r="B31" s="565"/>
      <c r="C31" s="565"/>
      <c r="D31" s="565"/>
      <c r="E31" s="565"/>
      <c r="H31" s="565"/>
      <c r="I31" s="565"/>
      <c r="J31" s="565"/>
      <c r="K31" s="565"/>
      <c r="L31" s="565"/>
      <c r="M31" s="565"/>
      <c r="N31" s="565"/>
      <c r="O31" s="565"/>
      <c r="P31" s="565"/>
      <c r="Q31" s="565"/>
      <c r="R31" s="565"/>
      <c r="S31" s="565"/>
      <c r="T31" s="565"/>
      <c r="U31" s="565"/>
      <c r="V31" s="565"/>
    </row>
    <row r="32" spans="1:22" x14ac:dyDescent="0.25">
      <c r="A32" s="565"/>
      <c r="B32" s="565"/>
      <c r="C32" s="565"/>
      <c r="D32" s="565"/>
      <c r="E32" s="565"/>
      <c r="F32" s="565"/>
      <c r="G32" s="565"/>
      <c r="H32" s="565"/>
      <c r="I32" s="565"/>
      <c r="J32" s="565"/>
      <c r="K32" s="565"/>
      <c r="L32" s="565"/>
      <c r="M32" s="565"/>
      <c r="N32" s="565"/>
      <c r="O32" s="565"/>
      <c r="P32" s="565"/>
      <c r="Q32" s="565"/>
      <c r="R32" s="565"/>
      <c r="S32" s="565"/>
      <c r="T32" s="565"/>
      <c r="U32" s="565"/>
      <c r="V32" s="565"/>
    </row>
    <row r="33" spans="1:22" x14ac:dyDescent="0.25">
      <c r="A33" s="565"/>
      <c r="B33" s="565"/>
      <c r="C33" s="565"/>
      <c r="D33" s="565"/>
      <c r="E33" s="565"/>
      <c r="F33" s="565"/>
      <c r="G33" s="565"/>
      <c r="H33" s="565"/>
      <c r="I33" s="565"/>
      <c r="J33" s="565"/>
      <c r="K33" s="565"/>
      <c r="L33" s="565"/>
      <c r="M33" s="565"/>
      <c r="N33" s="565"/>
      <c r="O33" s="565"/>
      <c r="P33" s="565"/>
      <c r="Q33" s="565"/>
      <c r="R33" s="565"/>
      <c r="S33" s="565"/>
      <c r="T33" s="565"/>
      <c r="U33" s="565"/>
      <c r="V33" s="565"/>
    </row>
    <row r="34" spans="1:22" x14ac:dyDescent="0.25">
      <c r="A34" s="565"/>
      <c r="B34" s="565"/>
      <c r="C34" s="565"/>
      <c r="D34" s="565"/>
      <c r="E34" s="565"/>
      <c r="F34" s="565"/>
      <c r="G34" s="565"/>
      <c r="H34" s="565"/>
      <c r="I34" s="565"/>
      <c r="J34" s="565"/>
      <c r="K34" s="565"/>
      <c r="L34" s="565"/>
      <c r="M34" s="565"/>
      <c r="N34" s="565"/>
      <c r="O34" s="565"/>
      <c r="P34" s="565"/>
      <c r="Q34" s="565"/>
      <c r="R34" s="565"/>
      <c r="S34" s="565"/>
      <c r="T34" s="565"/>
      <c r="U34" s="565"/>
      <c r="V34" s="565"/>
    </row>
    <row r="35" spans="1:22" x14ac:dyDescent="0.25">
      <c r="A35" s="565"/>
      <c r="B35" s="565"/>
      <c r="C35" s="565"/>
      <c r="D35" s="565"/>
      <c r="E35" s="565"/>
      <c r="F35" s="565"/>
      <c r="G35" s="565"/>
      <c r="H35" s="565"/>
      <c r="I35" s="565"/>
      <c r="J35" s="565"/>
      <c r="K35" s="565"/>
      <c r="L35" s="565"/>
      <c r="M35" s="565"/>
      <c r="N35" s="565"/>
      <c r="O35" s="565"/>
      <c r="P35" s="565"/>
      <c r="Q35" s="565"/>
      <c r="R35" s="565"/>
      <c r="S35" s="565"/>
      <c r="T35" s="565"/>
      <c r="U35" s="565"/>
      <c r="V35" s="565"/>
    </row>
    <row r="36" spans="1:22" x14ac:dyDescent="0.25">
      <c r="A36" s="565"/>
      <c r="B36" s="565"/>
      <c r="C36" s="565"/>
      <c r="D36" s="565"/>
      <c r="E36" s="565"/>
      <c r="F36" s="565"/>
      <c r="G36" s="565"/>
      <c r="H36" s="565"/>
      <c r="I36" s="565"/>
      <c r="J36" s="565"/>
      <c r="K36" s="565"/>
      <c r="L36" s="565"/>
      <c r="M36" s="565"/>
      <c r="N36" s="565"/>
      <c r="O36" s="565"/>
      <c r="P36" s="565"/>
      <c r="Q36" s="565"/>
      <c r="R36" s="565"/>
      <c r="S36" s="565"/>
      <c r="T36" s="565"/>
      <c r="U36" s="565"/>
      <c r="V36" s="565"/>
    </row>
    <row r="37" spans="1:22" x14ac:dyDescent="0.25">
      <c r="A37" s="565"/>
      <c r="B37" s="565"/>
      <c r="C37" s="565"/>
      <c r="D37" s="565"/>
      <c r="E37" s="565"/>
      <c r="F37" s="565"/>
      <c r="G37" s="565"/>
      <c r="H37" s="565"/>
      <c r="I37" s="565"/>
      <c r="J37" s="565"/>
      <c r="K37" s="565"/>
      <c r="L37" s="565"/>
      <c r="M37" s="565"/>
      <c r="N37" s="565"/>
      <c r="O37" s="565"/>
      <c r="P37" s="565"/>
      <c r="Q37" s="565"/>
      <c r="R37" s="565"/>
      <c r="S37" s="565"/>
      <c r="T37" s="565"/>
      <c r="U37" s="565"/>
      <c r="V37" s="565"/>
    </row>
    <row r="49" spans="5:5" x14ac:dyDescent="0.25">
      <c r="E49" s="299" t="str">
        <f>IF(Cabeçalho!G23&lt;&gt;"",Cabeçalho!G23,"NI")</f>
        <v>NI</v>
      </c>
    </row>
  </sheetData>
  <sheetProtection selectLockedCells="1" autoFilter="0"/>
  <mergeCells count="16">
    <mergeCell ref="A1:M1"/>
    <mergeCell ref="A2:B2"/>
    <mergeCell ref="E3:E6"/>
    <mergeCell ref="E7:E10"/>
    <mergeCell ref="C23:D23"/>
    <mergeCell ref="E11:E14"/>
    <mergeCell ref="J2:M2"/>
    <mergeCell ref="A17:A18"/>
    <mergeCell ref="B17:B18"/>
    <mergeCell ref="C17:D18"/>
    <mergeCell ref="E2:G2"/>
    <mergeCell ref="C26:D26"/>
    <mergeCell ref="C24:D24"/>
    <mergeCell ref="C25:D25"/>
    <mergeCell ref="E20:F20"/>
    <mergeCell ref="E15:E18"/>
  </mergeCells>
  <dataValidations count="9">
    <dataValidation showInputMessage="1" showErrorMessage="1" sqref="B15"/>
    <dataValidation type="list" allowBlank="1" showInputMessage="1" showErrorMessage="1" sqref="G26:G27">
      <formula1>"Ok,Ruim"</formula1>
    </dataValidation>
    <dataValidation type="list" allowBlank="1" showInputMessage="1" showErrorMessage="1" sqref="G20">
      <formula1>"Filme,CR,DR"</formula1>
    </dataValidation>
    <dataValidation type="list" allowBlank="1" showInputMessage="1" showErrorMessage="1" sqref="G29">
      <formula1>"X2,Xi"</formula1>
    </dataValidation>
    <dataValidation allowBlank="1" showInputMessage="1" showErrorMessage="1" promptTitle="Revisita" prompt="&quot;Revisita&quot; ocorre após o conserto de uma Não Conformidade. É diferente da avaliação dos testes semestrais." sqref="B17:B18"/>
    <dataValidation type="textLength" operator="equal" showInputMessage="1" showErrorMessage="1" errorTitle="Erro de digitação" error="Favor digitar corretamente." promptTitle="Etiqueta QR code" sqref="B16">
      <formula1>10</formula1>
    </dataValidation>
    <dataValidation type="list" allowBlank="1" showInputMessage="1" showErrorMessage="1" sqref="B20">
      <formula1>"Disponível,Indisponível"</formula1>
    </dataValidation>
    <dataValidation type="list" allowBlank="1" showInputMessage="1" showErrorMessage="1" sqref="B19">
      <formula1>"Eng. Segurança do Trabalho,Físico"</formula1>
    </dataValidation>
    <dataValidation type="list" showInputMessage="1" showErrorMessage="1" sqref="C14">
      <formula1>",veterinário,"</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Tabelas2!$C$2:$C$4</xm:f>
          </x14:formula1>
          <xm:sqref>G25</xm:sqref>
        </x14:dataValidation>
        <x14:dataValidation type="list" allowBlank="1" showInputMessage="1" showErrorMessage="1">
          <x14:formula1>
            <xm:f>Tabelas2!$B$2:$B$4</xm:f>
          </x14:formula1>
          <xm:sqref>G24</xm:sqref>
        </x14:dataValidation>
        <x14:dataValidation type="list" allowBlank="1" showInputMessage="1" showErrorMessage="1">
          <x14:formula1>
            <xm:f>Tabelas2!$F$2:$F$3</xm:f>
          </x14:formula1>
          <xm:sqref>G28</xm:sqref>
        </x14:dataValidation>
        <x14:dataValidation type="list" showInputMessage="1" showErrorMessage="1">
          <x14:formula1>
            <xm:f>Tabelas2!$A$23:$A$32</xm:f>
          </x14:formula1>
          <xm:sqref>B14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65"/>
  <sheetViews>
    <sheetView workbookViewId="0">
      <selection activeCell="G29" sqref="G29"/>
    </sheetView>
  </sheetViews>
  <sheetFormatPr defaultColWidth="8.5703125" defaultRowHeight="15" x14ac:dyDescent="0.25"/>
  <cols>
    <col min="1" max="1" width="8.5703125" style="591"/>
    <col min="2" max="22" width="8.5703125" style="620"/>
    <col min="23" max="23" width="10.42578125" style="592" bestFit="1" customWidth="1"/>
    <col min="24" max="16384" width="8.5703125" style="620"/>
  </cols>
  <sheetData>
    <row r="1" spans="1:25" x14ac:dyDescent="0.25">
      <c r="A1" s="622"/>
      <c r="C1" s="623"/>
      <c r="E1" s="623"/>
      <c r="J1" s="624"/>
      <c r="O1" s="623"/>
      <c r="Q1" s="623"/>
      <c r="X1" s="624"/>
    </row>
    <row r="2" spans="1:25" x14ac:dyDescent="0.25">
      <c r="A2" s="622"/>
      <c r="C2" s="623"/>
      <c r="E2" s="623"/>
      <c r="J2" s="624"/>
      <c r="O2" s="623"/>
      <c r="Q2" s="623"/>
      <c r="X2" s="624"/>
    </row>
    <row r="3" spans="1:25" s="625" customFormat="1" x14ac:dyDescent="0.25">
      <c r="A3" s="630"/>
      <c r="C3" s="626"/>
      <c r="E3" s="626"/>
      <c r="J3" s="627"/>
      <c r="O3" s="626"/>
      <c r="Q3" s="626"/>
      <c r="W3" s="593"/>
      <c r="X3" s="627"/>
      <c r="Y3" s="620"/>
    </row>
    <row r="4" spans="1:25" s="625" customFormat="1" x14ac:dyDescent="0.25">
      <c r="A4" s="630"/>
      <c r="C4" s="626"/>
      <c r="E4" s="626"/>
      <c r="J4" s="627"/>
      <c r="O4" s="626"/>
      <c r="Q4" s="626"/>
      <c r="W4" s="593"/>
      <c r="X4" s="627"/>
      <c r="Y4" s="620"/>
    </row>
    <row r="5" spans="1:25" s="625" customFormat="1" x14ac:dyDescent="0.25">
      <c r="A5" s="630"/>
      <c r="C5" s="626"/>
      <c r="E5" s="626"/>
      <c r="J5" s="627"/>
      <c r="O5" s="626"/>
      <c r="Q5" s="626"/>
      <c r="W5" s="593"/>
      <c r="X5" s="627"/>
      <c r="Y5" s="620"/>
    </row>
    <row r="6" spans="1:25" s="625" customFormat="1" x14ac:dyDescent="0.25">
      <c r="A6" s="630"/>
      <c r="C6" s="626"/>
      <c r="E6" s="626"/>
      <c r="J6" s="627"/>
      <c r="O6" s="626"/>
      <c r="Q6" s="626"/>
      <c r="W6" s="593"/>
      <c r="X6" s="627"/>
      <c r="Y6" s="620"/>
    </row>
    <row r="7" spans="1:25" s="625" customFormat="1" x14ac:dyDescent="0.25">
      <c r="A7" s="630"/>
      <c r="C7" s="626"/>
      <c r="E7" s="626"/>
      <c r="J7" s="627"/>
      <c r="O7" s="626"/>
      <c r="Q7" s="626"/>
      <c r="W7" s="593"/>
      <c r="X7" s="627"/>
      <c r="Y7" s="620"/>
    </row>
    <row r="8" spans="1:25" x14ac:dyDescent="0.25">
      <c r="A8" s="622"/>
      <c r="C8" s="623"/>
      <c r="D8" s="624"/>
      <c r="E8" s="623"/>
      <c r="J8" s="624"/>
      <c r="O8" s="623"/>
      <c r="Q8" s="623"/>
      <c r="X8" s="624"/>
    </row>
    <row r="9" spans="1:25" x14ac:dyDescent="0.25">
      <c r="A9" s="622"/>
      <c r="C9" s="623"/>
      <c r="E9" s="623"/>
      <c r="J9" s="624"/>
      <c r="O9" s="623"/>
      <c r="Q9" s="623"/>
      <c r="X9" s="624"/>
    </row>
    <row r="10" spans="1:25" x14ac:dyDescent="0.25">
      <c r="A10" s="622"/>
      <c r="C10" s="623"/>
      <c r="E10" s="623"/>
      <c r="J10" s="624"/>
      <c r="O10" s="623"/>
      <c r="Q10" s="623"/>
      <c r="X10" s="624"/>
    </row>
    <row r="11" spans="1:25" x14ac:dyDescent="0.25">
      <c r="A11" s="622"/>
      <c r="C11" s="623"/>
      <c r="E11" s="623"/>
      <c r="J11" s="624"/>
      <c r="O11" s="623"/>
      <c r="Q11" s="623"/>
      <c r="X11" s="624"/>
    </row>
    <row r="12" spans="1:25" x14ac:dyDescent="0.25">
      <c r="A12" s="622"/>
      <c r="C12" s="623"/>
      <c r="E12" s="623"/>
      <c r="J12" s="624"/>
      <c r="O12" s="623"/>
      <c r="Q12" s="623"/>
      <c r="X12" s="624"/>
    </row>
    <row r="13" spans="1:25" s="625" customFormat="1" x14ac:dyDescent="0.25">
      <c r="A13" s="622"/>
      <c r="B13" s="622"/>
      <c r="C13" s="623"/>
      <c r="D13" s="622"/>
      <c r="E13" s="623"/>
      <c r="F13" s="622"/>
      <c r="G13" s="622"/>
      <c r="J13" s="627"/>
      <c r="O13" s="626"/>
      <c r="Q13" s="623"/>
      <c r="W13" s="593"/>
      <c r="X13" s="627"/>
      <c r="Y13" s="620"/>
    </row>
    <row r="14" spans="1:25" x14ac:dyDescent="0.25">
      <c r="A14" s="622"/>
      <c r="C14" s="623"/>
      <c r="E14" s="623"/>
      <c r="J14" s="624"/>
      <c r="O14" s="623"/>
      <c r="Q14" s="623"/>
      <c r="S14" s="623"/>
      <c r="X14" s="624"/>
    </row>
    <row r="15" spans="1:25" x14ac:dyDescent="0.25">
      <c r="A15" s="622"/>
      <c r="C15" s="623"/>
      <c r="E15" s="623"/>
      <c r="J15" s="624"/>
      <c r="O15" s="623"/>
      <c r="Q15" s="623"/>
      <c r="X15" s="624"/>
    </row>
    <row r="16" spans="1:25" x14ac:dyDescent="0.25">
      <c r="A16" s="622"/>
      <c r="C16" s="623"/>
      <c r="E16" s="623"/>
      <c r="J16" s="624"/>
      <c r="O16" s="623"/>
      <c r="Q16" s="623"/>
      <c r="X16" s="624"/>
    </row>
    <row r="17" spans="1:24" x14ac:dyDescent="0.25">
      <c r="A17" s="622"/>
      <c r="C17" s="623"/>
      <c r="E17" s="623"/>
      <c r="J17" s="624"/>
      <c r="O17" s="623"/>
      <c r="Q17" s="623"/>
      <c r="X17" s="624"/>
    </row>
    <row r="18" spans="1:24" x14ac:dyDescent="0.25">
      <c r="A18" s="622"/>
      <c r="C18" s="623"/>
      <c r="E18" s="623"/>
      <c r="J18" s="624"/>
      <c r="O18" s="623"/>
      <c r="Q18" s="623"/>
      <c r="X18" s="624"/>
    </row>
    <row r="19" spans="1:24" x14ac:dyDescent="0.25">
      <c r="A19" s="622"/>
      <c r="C19" s="623"/>
      <c r="E19" s="623"/>
      <c r="J19" s="624"/>
      <c r="O19" s="623"/>
      <c r="Q19" s="623"/>
      <c r="X19" s="624"/>
    </row>
    <row r="20" spans="1:24" x14ac:dyDescent="0.25">
      <c r="A20" s="622"/>
      <c r="C20" s="623"/>
      <c r="E20" s="623"/>
      <c r="J20" s="624"/>
      <c r="O20" s="623"/>
      <c r="Q20" s="623"/>
      <c r="X20" s="624"/>
    </row>
    <row r="21" spans="1:24" x14ac:dyDescent="0.25">
      <c r="A21" s="622"/>
      <c r="C21" s="623"/>
      <c r="E21" s="623"/>
      <c r="J21" s="624"/>
      <c r="O21" s="623"/>
      <c r="Q21" s="623"/>
      <c r="X21" s="624"/>
    </row>
    <row r="22" spans="1:24" x14ac:dyDescent="0.25">
      <c r="A22" s="622"/>
      <c r="C22" s="623"/>
      <c r="E22" s="623"/>
      <c r="J22" s="624"/>
      <c r="O22" s="623"/>
      <c r="Q22" s="623"/>
      <c r="X22" s="624"/>
    </row>
    <row r="23" spans="1:24" x14ac:dyDescent="0.25">
      <c r="A23" s="622"/>
      <c r="C23" s="623"/>
      <c r="E23" s="623"/>
      <c r="J23" s="624"/>
      <c r="O23" s="623"/>
      <c r="Q23" s="623"/>
      <c r="X23" s="624"/>
    </row>
    <row r="24" spans="1:24" x14ac:dyDescent="0.25">
      <c r="A24" s="622"/>
      <c r="C24" s="623"/>
      <c r="E24" s="623"/>
      <c r="J24" s="624"/>
      <c r="O24" s="623"/>
      <c r="Q24" s="623"/>
      <c r="X24" s="624"/>
    </row>
    <row r="25" spans="1:24" x14ac:dyDescent="0.25">
      <c r="A25" s="622"/>
      <c r="C25" s="623"/>
      <c r="E25" s="623"/>
      <c r="J25" s="624"/>
      <c r="O25" s="623"/>
      <c r="Q25" s="623"/>
      <c r="X25" s="624"/>
    </row>
    <row r="26" spans="1:24" x14ac:dyDescent="0.25">
      <c r="A26" s="622"/>
      <c r="C26" s="623"/>
      <c r="E26" s="623"/>
      <c r="J26" s="624"/>
      <c r="O26" s="623"/>
      <c r="Q26" s="623"/>
      <c r="X26" s="624"/>
    </row>
    <row r="27" spans="1:24" x14ac:dyDescent="0.25">
      <c r="A27" s="622"/>
      <c r="C27" s="623"/>
      <c r="E27" s="623"/>
      <c r="J27" s="624"/>
      <c r="O27" s="623"/>
      <c r="Q27" s="623"/>
      <c r="X27" s="624"/>
    </row>
    <row r="28" spans="1:24" x14ac:dyDescent="0.25">
      <c r="A28" s="622"/>
      <c r="C28" s="623"/>
      <c r="E28" s="623"/>
      <c r="O28" s="623"/>
      <c r="Q28" s="623"/>
      <c r="X28" s="624"/>
    </row>
    <row r="29" spans="1:24" x14ac:dyDescent="0.25">
      <c r="A29" s="622"/>
      <c r="C29" s="623"/>
      <c r="E29" s="623"/>
      <c r="O29" s="623"/>
      <c r="Q29" s="623"/>
      <c r="X29" s="624"/>
    </row>
    <row r="30" spans="1:24" x14ac:dyDescent="0.25">
      <c r="A30" s="622"/>
      <c r="C30" s="623"/>
      <c r="E30" s="623"/>
      <c r="O30" s="623"/>
      <c r="Q30" s="623"/>
      <c r="X30" s="624"/>
    </row>
    <row r="31" spans="1:24" x14ac:dyDescent="0.25">
      <c r="A31" s="622"/>
      <c r="C31" s="623"/>
      <c r="E31" s="623"/>
      <c r="O31" s="623"/>
      <c r="Q31" s="623"/>
      <c r="X31" s="624"/>
    </row>
    <row r="32" spans="1:24" x14ac:dyDescent="0.25">
      <c r="A32" s="622"/>
      <c r="C32" s="623"/>
      <c r="E32" s="623"/>
      <c r="O32" s="623"/>
      <c r="Q32" s="623"/>
      <c r="X32" s="624"/>
    </row>
    <row r="33" spans="1:24" x14ac:dyDescent="0.25">
      <c r="A33" s="622"/>
      <c r="C33" s="623"/>
      <c r="E33" s="623"/>
      <c r="O33" s="623"/>
      <c r="Q33" s="623"/>
      <c r="X33" s="624"/>
    </row>
    <row r="34" spans="1:24" x14ac:dyDescent="0.25">
      <c r="A34" s="622"/>
      <c r="C34" s="623"/>
      <c r="E34" s="623"/>
      <c r="O34" s="623"/>
      <c r="Q34" s="623"/>
      <c r="X34" s="624"/>
    </row>
    <row r="35" spans="1:24" x14ac:dyDescent="0.25">
      <c r="A35" s="622"/>
      <c r="C35" s="623"/>
      <c r="E35" s="623"/>
      <c r="O35" s="623"/>
      <c r="Q35" s="623"/>
      <c r="X35" s="624"/>
    </row>
    <row r="36" spans="1:24" x14ac:dyDescent="0.25">
      <c r="A36" s="622"/>
      <c r="C36" s="623"/>
      <c r="E36" s="623"/>
      <c r="O36" s="623"/>
      <c r="Q36" s="623"/>
      <c r="X36" s="624"/>
    </row>
    <row r="37" spans="1:24" x14ac:dyDescent="0.25">
      <c r="A37" s="622"/>
      <c r="C37" s="623"/>
      <c r="E37" s="623"/>
      <c r="O37" s="623"/>
      <c r="Q37" s="623"/>
      <c r="X37" s="624"/>
    </row>
    <row r="38" spans="1:24" x14ac:dyDescent="0.25">
      <c r="A38" s="622"/>
      <c r="C38" s="623"/>
      <c r="E38" s="623"/>
      <c r="O38" s="623"/>
      <c r="Q38" s="623"/>
      <c r="X38" s="624"/>
    </row>
    <row r="39" spans="1:24" x14ac:dyDescent="0.25">
      <c r="A39" s="622"/>
      <c r="C39" s="623"/>
      <c r="E39" s="623"/>
      <c r="O39" s="623"/>
      <c r="Q39" s="623"/>
      <c r="X39" s="624"/>
    </row>
    <row r="40" spans="1:24" x14ac:dyDescent="0.25">
      <c r="A40" s="622"/>
      <c r="C40" s="623"/>
      <c r="E40" s="623"/>
      <c r="O40" s="623"/>
      <c r="Q40" s="623"/>
      <c r="X40" s="624"/>
    </row>
    <row r="41" spans="1:24" x14ac:dyDescent="0.25">
      <c r="A41" s="622"/>
      <c r="C41" s="623"/>
      <c r="E41" s="623"/>
      <c r="O41" s="623"/>
      <c r="Q41" s="623"/>
      <c r="X41" s="624"/>
    </row>
    <row r="42" spans="1:24" x14ac:dyDescent="0.25">
      <c r="A42" s="622"/>
      <c r="C42" s="623"/>
      <c r="E42" s="623"/>
      <c r="O42" s="623"/>
      <c r="Q42" s="623"/>
      <c r="X42" s="624"/>
    </row>
    <row r="43" spans="1:24" x14ac:dyDescent="0.25">
      <c r="A43" s="622"/>
      <c r="C43" s="623"/>
      <c r="E43" s="623"/>
      <c r="O43" s="623"/>
      <c r="Q43" s="623"/>
      <c r="X43" s="624"/>
    </row>
    <row r="44" spans="1:24" x14ac:dyDescent="0.25">
      <c r="A44" s="622"/>
      <c r="C44" s="623"/>
      <c r="E44" s="623"/>
      <c r="O44" s="623"/>
      <c r="Q44" s="623"/>
      <c r="X44" s="624"/>
    </row>
    <row r="45" spans="1:24" x14ac:dyDescent="0.25">
      <c r="A45" s="622"/>
      <c r="C45" s="623"/>
      <c r="E45" s="623"/>
      <c r="O45" s="623"/>
      <c r="Q45" s="623"/>
      <c r="X45" s="624"/>
    </row>
    <row r="46" spans="1:24" x14ac:dyDescent="0.25">
      <c r="A46" s="622"/>
      <c r="C46" s="623"/>
      <c r="E46" s="623"/>
      <c r="O46" s="623"/>
      <c r="Q46" s="623"/>
      <c r="X46" s="624"/>
    </row>
    <row r="47" spans="1:24" x14ac:dyDescent="0.25">
      <c r="A47" s="622"/>
      <c r="C47" s="623"/>
      <c r="E47" s="623"/>
      <c r="O47" s="623"/>
      <c r="Q47" s="623"/>
      <c r="X47" s="624"/>
    </row>
    <row r="48" spans="1:24" x14ac:dyDescent="0.25">
      <c r="A48" s="622"/>
      <c r="C48" s="623"/>
      <c r="E48" s="623"/>
      <c r="O48" s="623"/>
      <c r="Q48" s="623"/>
      <c r="X48" s="624"/>
    </row>
    <row r="49" spans="1:24" x14ac:dyDescent="0.25">
      <c r="A49" s="622"/>
      <c r="C49" s="623"/>
      <c r="E49" s="623"/>
      <c r="O49" s="623"/>
      <c r="Q49" s="623"/>
      <c r="X49" s="624"/>
    </row>
    <row r="50" spans="1:24" x14ac:dyDescent="0.25">
      <c r="A50" s="622"/>
      <c r="C50" s="623"/>
      <c r="E50" s="623"/>
      <c r="O50" s="623"/>
      <c r="Q50" s="623"/>
      <c r="X50" s="624"/>
    </row>
    <row r="51" spans="1:24" x14ac:dyDescent="0.25">
      <c r="A51" s="622"/>
      <c r="C51" s="623"/>
      <c r="E51" s="623"/>
      <c r="O51" s="623"/>
      <c r="Q51" s="623"/>
      <c r="X51" s="624"/>
    </row>
    <row r="52" spans="1:24" x14ac:dyDescent="0.25">
      <c r="A52" s="622"/>
      <c r="C52" s="623"/>
      <c r="E52" s="623"/>
      <c r="O52" s="623"/>
      <c r="Q52" s="623"/>
      <c r="X52" s="624"/>
    </row>
    <row r="53" spans="1:24" x14ac:dyDescent="0.25">
      <c r="A53" s="622"/>
      <c r="C53" s="623"/>
      <c r="E53" s="623"/>
      <c r="O53" s="623"/>
      <c r="Q53" s="623"/>
      <c r="X53" s="624"/>
    </row>
    <row r="54" spans="1:24" x14ac:dyDescent="0.25">
      <c r="A54" s="622"/>
      <c r="C54" s="623"/>
      <c r="E54" s="623"/>
      <c r="O54" s="623"/>
      <c r="Q54" s="623"/>
      <c r="X54" s="624"/>
    </row>
    <row r="55" spans="1:24" x14ac:dyDescent="0.25">
      <c r="A55" s="622"/>
      <c r="C55" s="623"/>
      <c r="E55" s="623"/>
      <c r="O55" s="623"/>
      <c r="Q55" s="623"/>
      <c r="X55" s="624"/>
    </row>
    <row r="56" spans="1:24" x14ac:dyDescent="0.25">
      <c r="A56" s="622"/>
      <c r="C56" s="623"/>
      <c r="E56" s="623"/>
      <c r="O56" s="623"/>
      <c r="Q56" s="623"/>
      <c r="X56" s="624"/>
    </row>
    <row r="57" spans="1:24" x14ac:dyDescent="0.25">
      <c r="A57" s="622"/>
      <c r="C57" s="623"/>
      <c r="E57" s="623"/>
      <c r="O57" s="623"/>
      <c r="Q57" s="623"/>
      <c r="X57" s="624"/>
    </row>
    <row r="58" spans="1:24" x14ac:dyDescent="0.25">
      <c r="C58" s="623"/>
      <c r="E58" s="623"/>
      <c r="O58" s="623"/>
      <c r="Q58" s="623"/>
    </row>
    <row r="59" spans="1:24" x14ac:dyDescent="0.25">
      <c r="C59" s="623"/>
      <c r="E59" s="623"/>
      <c r="O59" s="623"/>
      <c r="Q59" s="623"/>
    </row>
    <row r="60" spans="1:24" x14ac:dyDescent="0.25">
      <c r="C60" s="623"/>
      <c r="E60" s="623"/>
      <c r="O60" s="623"/>
      <c r="Q60" s="623"/>
    </row>
    <row r="61" spans="1:24" x14ac:dyDescent="0.25">
      <c r="C61" s="623"/>
      <c r="E61" s="623"/>
      <c r="O61" s="623"/>
      <c r="Q61" s="623"/>
    </row>
    <row r="62" spans="1:24" x14ac:dyDescent="0.25">
      <c r="C62" s="623"/>
      <c r="E62" s="623"/>
      <c r="O62" s="623"/>
      <c r="Q62" s="623"/>
    </row>
    <row r="63" spans="1:24" x14ac:dyDescent="0.25">
      <c r="C63" s="623"/>
      <c r="E63" s="623"/>
      <c r="O63" s="623"/>
      <c r="Q63" s="623"/>
    </row>
    <row r="64" spans="1:24" x14ac:dyDescent="0.25">
      <c r="C64" s="623"/>
      <c r="E64" s="623"/>
      <c r="O64" s="623"/>
      <c r="Q64" s="623"/>
    </row>
    <row r="65" spans="3:17" x14ac:dyDescent="0.25">
      <c r="C65" s="623"/>
      <c r="E65" s="623"/>
      <c r="O65" s="623"/>
      <c r="Q65" s="623"/>
    </row>
  </sheetData>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36:D98"/>
  <sheetViews>
    <sheetView workbookViewId="0">
      <selection activeCell="G29" sqref="G29"/>
    </sheetView>
  </sheetViews>
  <sheetFormatPr defaultRowHeight="15" x14ac:dyDescent="0.25"/>
  <cols>
    <col min="4" max="4" width="9.140625" style="24"/>
  </cols>
  <sheetData>
    <row r="36" spans="1:1" x14ac:dyDescent="0.25">
      <c r="A36" s="25"/>
    </row>
    <row r="64" spans="1:1" x14ac:dyDescent="0.25">
      <c r="A64" s="25"/>
    </row>
    <row r="81" spans="1:1" x14ac:dyDescent="0.25">
      <c r="A81" s="25"/>
    </row>
    <row r="87" spans="1:1" x14ac:dyDescent="0.25">
      <c r="A87" s="25"/>
    </row>
    <row r="98" spans="1:1" x14ac:dyDescent="0.25">
      <c r="A98" s="25"/>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AC157"/>
  <sheetViews>
    <sheetView zoomScale="70" zoomScaleNormal="70" workbookViewId="0">
      <selection activeCell="V21" sqref="V21"/>
    </sheetView>
  </sheetViews>
  <sheetFormatPr defaultColWidth="9.140625" defaultRowHeight="15" x14ac:dyDescent="0.25"/>
  <cols>
    <col min="1" max="1" width="8.42578125" style="15" customWidth="1"/>
    <col min="2" max="2" width="17.5703125" style="15" customWidth="1"/>
    <col min="3" max="3" width="17.5703125" style="15" bestFit="1" customWidth="1"/>
    <col min="4" max="4" width="16" style="15" customWidth="1"/>
    <col min="5" max="5" width="19.85546875" style="15" customWidth="1"/>
    <col min="6" max="6" width="22.5703125" style="15" customWidth="1"/>
    <col min="7" max="7" width="15.5703125" style="15" customWidth="1"/>
    <col min="8" max="8" width="15.42578125" style="18" bestFit="1" customWidth="1"/>
    <col min="9" max="9" width="23.5703125" style="15" customWidth="1"/>
    <col min="10" max="10" width="15.5703125" style="18" customWidth="1"/>
    <col min="11" max="11" width="14.5703125" style="15" bestFit="1" customWidth="1"/>
    <col min="12" max="12" width="20.140625" style="18" customWidth="1"/>
    <col min="13" max="13" width="9.140625" style="15"/>
    <col min="14" max="14" width="9.140625" style="18"/>
    <col min="15" max="15" width="19.42578125" style="15" bestFit="1" customWidth="1"/>
    <col min="16" max="16" width="17.140625" style="18" customWidth="1"/>
    <col min="17" max="17" width="17.85546875" style="15" customWidth="1"/>
    <col min="18" max="18" width="9.140625" style="18"/>
    <col min="19" max="20" width="9.140625" style="830"/>
    <col min="22" max="22" width="29" style="15" customWidth="1"/>
    <col min="23" max="23" width="38.5703125" style="15" customWidth="1"/>
    <col min="24" max="24" width="39" style="15" customWidth="1"/>
    <col min="25" max="26" width="9.140625" style="15"/>
    <col min="27" max="27" width="11.5703125" style="15" bestFit="1" customWidth="1"/>
    <col min="28" max="16384" width="9.140625" style="15"/>
  </cols>
  <sheetData>
    <row r="1" spans="1:26" ht="15.75" thickBot="1" x14ac:dyDescent="0.3">
      <c r="A1" s="2392" t="s">
        <v>55</v>
      </c>
      <c r="B1" s="2392"/>
      <c r="C1" s="2392"/>
      <c r="D1" s="2392"/>
      <c r="E1" s="2392"/>
      <c r="H1" t="s">
        <v>135</v>
      </c>
      <c r="J1" t="s">
        <v>162</v>
      </c>
      <c r="L1" s="695" t="s">
        <v>763</v>
      </c>
      <c r="M1" s="695" t="s">
        <v>764</v>
      </c>
      <c r="N1" s="695" t="s">
        <v>32</v>
      </c>
      <c r="O1" s="696"/>
      <c r="R1" s="774"/>
      <c r="S1" s="838" t="s">
        <v>1168</v>
      </c>
      <c r="T1" s="838" t="s">
        <v>1211</v>
      </c>
      <c r="V1" s="2371" t="s">
        <v>1212</v>
      </c>
      <c r="W1" s="2372"/>
      <c r="X1" s="2372"/>
      <c r="Y1" s="2372"/>
      <c r="Z1" s="2373"/>
    </row>
    <row r="2" spans="1:26" ht="15.75" x14ac:dyDescent="0.25">
      <c r="A2" s="15" t="s">
        <v>37</v>
      </c>
      <c r="B2" s="15" t="s">
        <v>40</v>
      </c>
      <c r="C2" s="15" t="s">
        <v>38</v>
      </c>
      <c r="D2" s="15" t="s">
        <v>39</v>
      </c>
      <c r="E2" s="15" t="s">
        <v>41</v>
      </c>
      <c r="H2" t="s">
        <v>136</v>
      </c>
      <c r="J2"/>
      <c r="L2" s="266" t="s">
        <v>722</v>
      </c>
      <c r="M2" s="266">
        <v>1</v>
      </c>
      <c r="N2" s="562">
        <v>1.56</v>
      </c>
      <c r="O2" s="696"/>
      <c r="R2" s="774"/>
      <c r="S2" s="827" t="str">
        <f t="shared" ref="S2:S44" si="0">CHAR(T2)</f>
        <v>:</v>
      </c>
      <c r="T2" s="839" t="s">
        <v>1179</v>
      </c>
      <c r="V2" s="841" t="str">
        <f>UPPER(MID(Cabeçalho!$B$16,1,1))</f>
        <v/>
      </c>
      <c r="W2" s="826" t="e">
        <f>VLOOKUP(V2,$S$2:$T$44,2)</f>
        <v>#N/A</v>
      </c>
      <c r="X2" s="826">
        <v>2</v>
      </c>
      <c r="Y2" s="826" t="e">
        <f>W2*X2</f>
        <v>#N/A</v>
      </c>
      <c r="Z2" s="833" t="e">
        <f>Y2</f>
        <v>#N/A</v>
      </c>
    </row>
    <row r="3" spans="1:26" ht="15.75" x14ac:dyDescent="0.25">
      <c r="A3" s="15">
        <v>1</v>
      </c>
      <c r="B3" s="3">
        <v>2</v>
      </c>
      <c r="C3" s="2">
        <v>0.63</v>
      </c>
      <c r="D3" s="2">
        <v>6.69</v>
      </c>
      <c r="E3" s="15" t="s">
        <v>42</v>
      </c>
      <c r="H3" t="s">
        <v>137</v>
      </c>
      <c r="J3" t="s">
        <v>163</v>
      </c>
      <c r="L3" s="266"/>
      <c r="M3" s="266">
        <v>2</v>
      </c>
      <c r="N3" s="562">
        <v>1.1200000000000001</v>
      </c>
      <c r="O3" s="696"/>
      <c r="R3" s="774"/>
      <c r="S3" s="827" t="str">
        <f t="shared" si="0"/>
        <v>;</v>
      </c>
      <c r="T3" s="839" t="s">
        <v>1180</v>
      </c>
      <c r="V3" s="840" t="str">
        <f>UPPER(MID(Cabeçalho!$B$16,2,1))</f>
        <v/>
      </c>
      <c r="W3" s="828" t="e">
        <f t="shared" ref="W3:W10" si="1">VLOOKUP(V3,$S$2:$T$44,2)</f>
        <v>#N/A</v>
      </c>
      <c r="X3" s="828">
        <v>9</v>
      </c>
      <c r="Y3" s="828" t="e">
        <f t="shared" ref="Y3:Y9" si="2">W3*X3</f>
        <v>#N/A</v>
      </c>
      <c r="Z3" s="832" t="e">
        <f t="shared" ref="Z3:Z9" si="3">Y3</f>
        <v>#N/A</v>
      </c>
    </row>
    <row r="4" spans="1:26" ht="15.75" x14ac:dyDescent="0.25">
      <c r="A4" s="15">
        <v>2</v>
      </c>
      <c r="B4" s="3">
        <v>2</v>
      </c>
      <c r="C4" s="2">
        <v>0.7</v>
      </c>
      <c r="D4" s="2">
        <v>5.71</v>
      </c>
      <c r="E4" s="15" t="s">
        <v>42</v>
      </c>
      <c r="G4" s="935"/>
      <c r="L4" s="266"/>
      <c r="M4" s="266">
        <v>3</v>
      </c>
      <c r="N4" s="562">
        <v>0.89</v>
      </c>
      <c r="O4" s="696"/>
      <c r="R4" s="774"/>
      <c r="S4" s="827" t="str">
        <f t="shared" si="0"/>
        <v>?</v>
      </c>
      <c r="T4" s="839" t="s">
        <v>1183</v>
      </c>
      <c r="V4" s="840" t="str">
        <f>UPPER(MID(Cabeçalho!$B$16,3,1))</f>
        <v/>
      </c>
      <c r="W4" s="828" t="e">
        <f t="shared" si="1"/>
        <v>#N/A</v>
      </c>
      <c r="X4" s="828">
        <v>8</v>
      </c>
      <c r="Y4" s="828" t="e">
        <f t="shared" si="2"/>
        <v>#N/A</v>
      </c>
      <c r="Z4" s="832" t="e">
        <f t="shared" si="3"/>
        <v>#N/A</v>
      </c>
    </row>
    <row r="5" spans="1:26" ht="15.75" x14ac:dyDescent="0.25">
      <c r="A5" s="15">
        <v>3</v>
      </c>
      <c r="B5" s="3">
        <v>2</v>
      </c>
      <c r="C5" s="2">
        <v>0.79</v>
      </c>
      <c r="D5" s="2">
        <v>4.82</v>
      </c>
      <c r="E5" s="15" t="s">
        <v>42</v>
      </c>
      <c r="G5" s="935"/>
      <c r="L5" s="266"/>
      <c r="M5" s="266">
        <v>4</v>
      </c>
      <c r="N5" s="562">
        <v>0.75</v>
      </c>
      <c r="O5" s="696"/>
      <c r="S5" s="827" t="str">
        <f t="shared" si="0"/>
        <v>@</v>
      </c>
      <c r="T5" s="839" t="s">
        <v>1184</v>
      </c>
      <c r="V5" s="840" t="str">
        <f>UPPER(MID(Cabeçalho!$B$16,4,1))</f>
        <v/>
      </c>
      <c r="W5" s="828" t="e">
        <f t="shared" si="1"/>
        <v>#N/A</v>
      </c>
      <c r="X5" s="828">
        <v>7</v>
      </c>
      <c r="Y5" s="828" t="e">
        <f t="shared" si="2"/>
        <v>#N/A</v>
      </c>
      <c r="Z5" s="832" t="e">
        <f t="shared" si="3"/>
        <v>#N/A</v>
      </c>
    </row>
    <row r="6" spans="1:26" ht="15.75" x14ac:dyDescent="0.25">
      <c r="A6" s="15">
        <v>4</v>
      </c>
      <c r="B6" s="3">
        <v>2</v>
      </c>
      <c r="C6" s="2">
        <v>0.89</v>
      </c>
      <c r="D6" s="2">
        <v>4.7</v>
      </c>
      <c r="E6" s="15" t="s">
        <v>42</v>
      </c>
      <c r="G6" s="1307" t="s">
        <v>1608</v>
      </c>
      <c r="H6" s="1307" t="s">
        <v>1609</v>
      </c>
      <c r="I6" s="1307" t="s">
        <v>1611</v>
      </c>
      <c r="J6" s="1716" t="s">
        <v>1846</v>
      </c>
      <c r="L6" s="266"/>
      <c r="M6" s="266">
        <v>5</v>
      </c>
      <c r="N6" s="562">
        <v>0.54</v>
      </c>
      <c r="O6" s="696"/>
      <c r="S6" s="827" t="str">
        <f t="shared" si="0"/>
        <v>&lt;</v>
      </c>
      <c r="T6" s="839" t="s">
        <v>1162</v>
      </c>
      <c r="V6" s="840" t="str">
        <f>UPPER(MID(Cabeçalho!$B$16,5,1))</f>
        <v/>
      </c>
      <c r="W6" s="828" t="e">
        <f t="shared" si="1"/>
        <v>#N/A</v>
      </c>
      <c r="X6" s="828">
        <v>6</v>
      </c>
      <c r="Y6" s="828" t="e">
        <f t="shared" si="2"/>
        <v>#N/A</v>
      </c>
      <c r="Z6" s="832" t="e">
        <f t="shared" si="3"/>
        <v>#N/A</v>
      </c>
    </row>
    <row r="7" spans="1:26" ht="15.75" x14ac:dyDescent="0.25">
      <c r="A7" s="15">
        <v>5</v>
      </c>
      <c r="B7" s="3">
        <v>2</v>
      </c>
      <c r="C7" s="2">
        <v>1</v>
      </c>
      <c r="D7" s="2">
        <v>4</v>
      </c>
      <c r="E7" s="15" t="s">
        <v>42</v>
      </c>
      <c r="G7" s="152" t="s">
        <v>170</v>
      </c>
      <c r="H7" s="152">
        <v>94</v>
      </c>
      <c r="I7" s="152">
        <v>2021</v>
      </c>
      <c r="J7" s="152"/>
      <c r="L7" s="266"/>
      <c r="M7" s="266">
        <v>6</v>
      </c>
      <c r="N7" s="562">
        <v>0.4</v>
      </c>
      <c r="O7" s="696"/>
      <c r="S7" s="827" t="str">
        <f t="shared" si="0"/>
        <v>=</v>
      </c>
      <c r="T7" s="839" t="s">
        <v>1181</v>
      </c>
      <c r="V7" s="840" t="str">
        <f>UPPER(MID(Cabeçalho!$B$16,6,1))</f>
        <v/>
      </c>
      <c r="W7" s="828" t="e">
        <f t="shared" si="1"/>
        <v>#N/A</v>
      </c>
      <c r="X7" s="828">
        <v>5</v>
      </c>
      <c r="Y7" s="828" t="e">
        <f t="shared" si="2"/>
        <v>#N/A</v>
      </c>
      <c r="Z7" s="832" t="e">
        <f t="shared" si="3"/>
        <v>#N/A</v>
      </c>
    </row>
    <row r="8" spans="1:26" ht="15.75" x14ac:dyDescent="0.25">
      <c r="A8" s="15">
        <v>6</v>
      </c>
      <c r="B8" s="3">
        <v>1.8</v>
      </c>
      <c r="C8" s="2">
        <v>1.1200000000000001</v>
      </c>
      <c r="D8" s="2">
        <v>3.5</v>
      </c>
      <c r="E8" s="15" t="s">
        <v>43</v>
      </c>
      <c r="G8" s="152" t="s">
        <v>173</v>
      </c>
      <c r="H8" s="152">
        <v>91</v>
      </c>
      <c r="I8" s="152">
        <v>2021</v>
      </c>
      <c r="J8" s="152"/>
      <c r="L8" s="266" t="s">
        <v>736</v>
      </c>
      <c r="M8" s="266">
        <v>1</v>
      </c>
      <c r="N8" s="562">
        <v>0.54</v>
      </c>
      <c r="O8" s="696"/>
      <c r="S8" s="827" t="str">
        <f t="shared" si="0"/>
        <v>&gt;</v>
      </c>
      <c r="T8" s="839" t="s">
        <v>1182</v>
      </c>
      <c r="V8" s="840" t="str">
        <f>UPPER(MID(Cabeçalho!$B$16,7,1))</f>
        <v/>
      </c>
      <c r="W8" s="828" t="e">
        <f t="shared" si="1"/>
        <v>#N/A</v>
      </c>
      <c r="X8" s="828">
        <v>4</v>
      </c>
      <c r="Y8" s="828" t="e">
        <f t="shared" si="2"/>
        <v>#N/A</v>
      </c>
      <c r="Z8" s="832" t="e">
        <f t="shared" si="3"/>
        <v>#N/A</v>
      </c>
    </row>
    <row r="9" spans="1:26" ht="15.75" x14ac:dyDescent="0.25">
      <c r="A9" s="15">
        <v>7</v>
      </c>
      <c r="B9" s="3">
        <v>1.8</v>
      </c>
      <c r="C9" s="2">
        <v>1.26</v>
      </c>
      <c r="D9" s="2">
        <v>3.42</v>
      </c>
      <c r="E9" s="15" t="s">
        <v>43</v>
      </c>
      <c r="G9" s="152" t="s">
        <v>169</v>
      </c>
      <c r="H9" s="152">
        <v>95</v>
      </c>
      <c r="I9" s="152">
        <v>2021</v>
      </c>
      <c r="J9" s="152"/>
      <c r="L9" s="266"/>
      <c r="M9" s="266">
        <v>2</v>
      </c>
      <c r="N9" s="562">
        <v>0.4</v>
      </c>
      <c r="O9" s="696"/>
      <c r="S9" s="827" t="str">
        <f t="shared" si="0"/>
        <v>0</v>
      </c>
      <c r="T9" s="839" t="s">
        <v>1169</v>
      </c>
      <c r="V9" s="840" t="str">
        <f>UPPER(MID(Cabeçalho!$B$16,8,1))</f>
        <v/>
      </c>
      <c r="W9" s="828" t="e">
        <f t="shared" si="1"/>
        <v>#N/A</v>
      </c>
      <c r="X9" s="828">
        <v>3</v>
      </c>
      <c r="Y9" s="828" t="e">
        <f t="shared" si="2"/>
        <v>#N/A</v>
      </c>
      <c r="Z9" s="832" t="e">
        <f t="shared" si="3"/>
        <v>#N/A</v>
      </c>
    </row>
    <row r="10" spans="1:26" ht="15.75" x14ac:dyDescent="0.25">
      <c r="A10" s="15">
        <v>8</v>
      </c>
      <c r="B10" s="3">
        <v>1.5</v>
      </c>
      <c r="C10" s="2">
        <v>1.41</v>
      </c>
      <c r="D10" s="2">
        <v>2.86</v>
      </c>
      <c r="E10" s="15" t="s">
        <v>44</v>
      </c>
      <c r="G10" s="152" t="s">
        <v>92</v>
      </c>
      <c r="H10" s="152">
        <v>92</v>
      </c>
      <c r="I10" s="152">
        <v>2021</v>
      </c>
      <c r="J10" s="152"/>
      <c r="L10" s="266"/>
      <c r="M10" s="266">
        <v>3</v>
      </c>
      <c r="N10" s="562">
        <v>0.32</v>
      </c>
      <c r="O10" s="696"/>
      <c r="S10" s="827" t="str">
        <f t="shared" si="0"/>
        <v>1</v>
      </c>
      <c r="T10" s="839" t="s">
        <v>1170</v>
      </c>
      <c r="V10" s="842" t="str">
        <f>UPPER(MID(Cabeçalho!$B$16,9,1))</f>
        <v/>
      </c>
      <c r="W10" s="828" t="e">
        <f t="shared" si="1"/>
        <v>#N/A</v>
      </c>
      <c r="X10" s="828">
        <v>2</v>
      </c>
      <c r="Y10" s="828" t="e">
        <f>MOD(SUM(Y2:Y9),11)</f>
        <v>#N/A</v>
      </c>
      <c r="Z10" s="832" t="e">
        <f>W10*X10</f>
        <v>#N/A</v>
      </c>
    </row>
    <row r="11" spans="1:26" ht="15.75" x14ac:dyDescent="0.25">
      <c r="A11" s="15">
        <v>9</v>
      </c>
      <c r="B11" s="3">
        <v>1.3</v>
      </c>
      <c r="C11" s="2">
        <v>1.59</v>
      </c>
      <c r="D11" s="2">
        <v>2.25</v>
      </c>
      <c r="E11" s="15" t="s">
        <v>45</v>
      </c>
      <c r="G11" s="152" t="s">
        <v>171</v>
      </c>
      <c r="H11" s="152">
        <v>90</v>
      </c>
      <c r="I11" s="152">
        <v>2021</v>
      </c>
      <c r="J11" s="152"/>
      <c r="L11" s="266"/>
      <c r="M11" s="266">
        <v>4</v>
      </c>
      <c r="N11" s="562">
        <v>0.24</v>
      </c>
      <c r="O11" s="696"/>
      <c r="S11" s="827" t="str">
        <f t="shared" si="0"/>
        <v>2</v>
      </c>
      <c r="T11" s="839" t="s">
        <v>1171</v>
      </c>
      <c r="V11" s="843" t="str">
        <f>UPPER(MID(Cabeçalho!$B$16,10,1))</f>
        <v/>
      </c>
      <c r="W11" s="828" t="e">
        <f>VLOOKUP(V11,$S$2:$T$44,2)</f>
        <v>#N/A</v>
      </c>
      <c r="X11" s="828"/>
      <c r="Y11" s="120" t="e">
        <f>IF(Y10=0,5,IF(Y10=1,0,11-Y10))</f>
        <v>#N/A</v>
      </c>
      <c r="Z11" s="832" t="e">
        <f>MOD(SUM(Z2:Z10),11)</f>
        <v>#N/A</v>
      </c>
    </row>
    <row r="12" spans="1:26" ht="16.5" thickBot="1" x14ac:dyDescent="0.3">
      <c r="A12" s="15">
        <v>10</v>
      </c>
      <c r="B12" s="3">
        <v>1.3</v>
      </c>
      <c r="C12" s="2">
        <v>1.78</v>
      </c>
      <c r="D12" s="2">
        <v>2.46</v>
      </c>
      <c r="E12" s="15" t="s">
        <v>45</v>
      </c>
      <c r="G12" s="152" t="s">
        <v>481</v>
      </c>
      <c r="H12" s="152">
        <v>611</v>
      </c>
      <c r="I12" s="152">
        <v>2022</v>
      </c>
      <c r="J12" s="152"/>
      <c r="L12" s="266"/>
      <c r="M12" s="266">
        <v>5</v>
      </c>
      <c r="N12" s="562">
        <v>0.16</v>
      </c>
      <c r="O12" s="696"/>
      <c r="S12" s="827" t="str">
        <f t="shared" si="0"/>
        <v>3</v>
      </c>
      <c r="T12" s="839" t="s">
        <v>1172</v>
      </c>
      <c r="V12" s="824" t="s">
        <v>1215</v>
      </c>
      <c r="W12" s="825" t="str">
        <f>V2&amp;V3&amp;V4&amp;V5&amp;V6&amp;V7&amp;V8&amp;V9&amp;V10&amp;V11</f>
        <v/>
      </c>
      <c r="X12" s="825"/>
      <c r="Y12" s="825" t="e">
        <f>IF(AND(VALUE(V10)=VALUE(Y11),VALUE(V11)=VALUE(Z12)),"OK","FALSO")</f>
        <v>#VALUE!</v>
      </c>
      <c r="Z12" s="837" t="e">
        <f>IF(Z11=0,5,IF(Z11=1,0,11-Z11))</f>
        <v>#N/A</v>
      </c>
    </row>
    <row r="13" spans="1:26" ht="15.75" x14ac:dyDescent="0.25">
      <c r="A13" s="15">
        <v>11</v>
      </c>
      <c r="B13" s="3">
        <v>1</v>
      </c>
      <c r="C13" s="2">
        <v>2</v>
      </c>
      <c r="D13" s="2">
        <v>2</v>
      </c>
      <c r="E13" s="15" t="s">
        <v>46</v>
      </c>
      <c r="G13" s="1646" t="s">
        <v>1610</v>
      </c>
      <c r="H13" s="1646">
        <v>97</v>
      </c>
      <c r="I13" s="152">
        <v>2021</v>
      </c>
      <c r="J13" s="152"/>
      <c r="L13" s="266" t="s">
        <v>723</v>
      </c>
      <c r="M13" s="266">
        <v>1</v>
      </c>
      <c r="N13" s="562">
        <v>2</v>
      </c>
      <c r="O13" s="696"/>
      <c r="S13" s="827" t="str">
        <f t="shared" si="0"/>
        <v>4</v>
      </c>
      <c r="T13" s="839" t="s">
        <v>1173</v>
      </c>
      <c r="V13" s="830"/>
      <c r="W13" s="830"/>
      <c r="X13" s="830"/>
      <c r="Y13" s="830"/>
      <c r="Z13" s="830"/>
    </row>
    <row r="14" spans="1:26" ht="15.75" x14ac:dyDescent="0.25">
      <c r="A14" s="15">
        <v>12</v>
      </c>
      <c r="B14" s="3">
        <v>0.8</v>
      </c>
      <c r="C14" s="2">
        <v>2.2400000000000002</v>
      </c>
      <c r="D14" s="2">
        <v>1.65</v>
      </c>
      <c r="E14" s="15" t="s">
        <v>47</v>
      </c>
      <c r="G14" s="152" t="s">
        <v>174</v>
      </c>
      <c r="H14" s="152">
        <v>93</v>
      </c>
      <c r="I14" s="152">
        <v>2021</v>
      </c>
      <c r="J14" s="152"/>
      <c r="L14" s="266"/>
      <c r="M14" s="266">
        <v>2</v>
      </c>
      <c r="N14" s="562">
        <v>1</v>
      </c>
      <c r="O14" s="696"/>
      <c r="S14" s="827" t="str">
        <f t="shared" si="0"/>
        <v>5</v>
      </c>
      <c r="T14" s="839" t="s">
        <v>1174</v>
      </c>
      <c r="V14" s="1971" t="s">
        <v>2182</v>
      </c>
    </row>
    <row r="15" spans="1:26" ht="15.75" x14ac:dyDescent="0.25">
      <c r="A15" s="15">
        <v>13</v>
      </c>
      <c r="B15" s="3">
        <v>0.8</v>
      </c>
      <c r="C15" s="2">
        <v>2.52</v>
      </c>
      <c r="D15" s="2">
        <v>1.6</v>
      </c>
      <c r="E15" s="15" t="s">
        <v>47</v>
      </c>
      <c r="G15" s="152" t="s">
        <v>1491</v>
      </c>
      <c r="H15" s="152">
        <v>96</v>
      </c>
      <c r="I15" s="152">
        <v>2021</v>
      </c>
      <c r="J15" s="152"/>
      <c r="L15" s="266"/>
      <c r="M15" s="266">
        <v>3</v>
      </c>
      <c r="N15" s="562">
        <v>0.75</v>
      </c>
      <c r="O15" s="696"/>
      <c r="S15" s="827" t="str">
        <f t="shared" si="0"/>
        <v>6</v>
      </c>
      <c r="T15" s="839" t="s">
        <v>1175</v>
      </c>
      <c r="V15" s="2389" t="s">
        <v>2146</v>
      </c>
      <c r="W15" s="2390"/>
      <c r="X15" s="2391"/>
    </row>
    <row r="16" spans="1:26" ht="15.75" x14ac:dyDescent="0.25">
      <c r="G16" s="152" t="s">
        <v>1818</v>
      </c>
      <c r="H16" s="152"/>
      <c r="I16" s="152"/>
      <c r="J16" s="152"/>
      <c r="L16" s="266"/>
      <c r="M16" s="266">
        <v>4</v>
      </c>
      <c r="N16" s="562">
        <v>0.5</v>
      </c>
      <c r="O16" s="696"/>
      <c r="S16" s="827" t="str">
        <f t="shared" si="0"/>
        <v>7</v>
      </c>
      <c r="T16" s="839" t="s">
        <v>1176</v>
      </c>
      <c r="V16" s="115" t="s">
        <v>2143</v>
      </c>
      <c r="W16" s="1970" t="s">
        <v>2144</v>
      </c>
      <c r="X16" s="23" t="s">
        <v>2145</v>
      </c>
    </row>
    <row r="17" spans="1:29" ht="16.5" thickBot="1" x14ac:dyDescent="0.3">
      <c r="A17" s="696"/>
      <c r="B17" s="696"/>
      <c r="C17" s="696"/>
      <c r="D17" s="696"/>
      <c r="E17" s="696"/>
      <c r="F17" s="696"/>
      <c r="G17" s="1332"/>
      <c r="J17" s="696"/>
      <c r="K17" s="696"/>
      <c r="L17" s="266"/>
      <c r="M17" s="266">
        <v>5</v>
      </c>
      <c r="N17" s="562">
        <v>0.25</v>
      </c>
      <c r="O17" s="696"/>
      <c r="P17" s="774"/>
      <c r="Q17" s="774"/>
      <c r="S17" s="827" t="str">
        <f t="shared" si="0"/>
        <v>8</v>
      </c>
      <c r="T17" s="839" t="s">
        <v>1177</v>
      </c>
      <c r="V17" s="715">
        <v>0</v>
      </c>
      <c r="W17" s="628">
        <v>7</v>
      </c>
      <c r="X17" s="716">
        <v>7</v>
      </c>
    </row>
    <row r="18" spans="1:29" ht="15.75" x14ac:dyDescent="0.25">
      <c r="A18" s="696"/>
      <c r="B18" s="696"/>
      <c r="C18" s="696"/>
      <c r="D18" s="696"/>
      <c r="E18" s="696"/>
      <c r="F18" s="1944" t="s">
        <v>2065</v>
      </c>
      <c r="G18" s="1945" t="str">
        <f>"                Há parâmetro(s) em NÍVEL DE RESTRIÇÃO! Conforme RDC "&amp;VLOOKUP("RDC",IN_ANVISA[],2)&amp;"/"&amp;VLOOKUP("RDC",IN_ANVISA[],3)&amp;" da ANVISA, a utilização do equipamento deve ser suspensa até a sua adequação. "&amp;"Para atendimentos de urgência e emergência é permitido seu funcionamento temporário, mediante parecer do Responsável Técnico do Serviço de Radiologia e do Supervisor de Proteção Radiológica."</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H18" s="1945"/>
      <c r="I18" s="1945"/>
      <c r="J18" s="1946"/>
      <c r="K18" s="696"/>
      <c r="L18"/>
      <c r="M18"/>
      <c r="N18"/>
      <c r="S18" s="827" t="str">
        <f t="shared" si="0"/>
        <v>9</v>
      </c>
      <c r="T18" s="839" t="s">
        <v>1178</v>
      </c>
      <c r="V18" s="715">
        <v>1.5</v>
      </c>
      <c r="W18" s="628">
        <v>30</v>
      </c>
      <c r="X18" s="716">
        <v>25</v>
      </c>
    </row>
    <row r="19" spans="1:29" ht="15.75" x14ac:dyDescent="0.25">
      <c r="A19" s="696"/>
      <c r="B19" s="696"/>
      <c r="C19" s="696"/>
      <c r="D19" s="696"/>
      <c r="E19" s="696"/>
      <c r="F19" s="1948" t="s">
        <v>2066</v>
      </c>
      <c r="G19" s="1372" t="s">
        <v>366</v>
      </c>
      <c r="H19" s="1372"/>
      <c r="I19" s="1372"/>
      <c r="J19" s="1947"/>
      <c r="K19" s="696"/>
      <c r="L19" s="697" t="s">
        <v>765</v>
      </c>
      <c r="M19" s="695" t="s">
        <v>764</v>
      </c>
      <c r="N19" s="695" t="s">
        <v>32</v>
      </c>
      <c r="S19" s="827" t="str">
        <f t="shared" si="0"/>
        <v>A</v>
      </c>
      <c r="T19" s="839" t="s">
        <v>1185</v>
      </c>
      <c r="V19" s="717">
        <v>3</v>
      </c>
      <c r="W19" s="718">
        <v>37</v>
      </c>
      <c r="X19" s="719">
        <v>37</v>
      </c>
    </row>
    <row r="20" spans="1:29" ht="15.75" x14ac:dyDescent="0.25">
      <c r="A20" s="696"/>
      <c r="B20" s="696"/>
      <c r="C20" s="696"/>
      <c r="D20" s="696"/>
      <c r="E20" s="696"/>
      <c r="F20" s="1948" t="s">
        <v>2071</v>
      </c>
      <c r="G20" s="1372" t="str">
        <f>"               Verificar possíveis correções realizadas após o laudo de "&amp;TEXT(Cabeçalho!$B$17,"dd/mm/aa")&amp;" deste mesmo equipamento."</f>
        <v xml:space="preserve">               Verificar possíveis correções realizadas após o laudo de 00/01/00 deste mesmo equipamento.</v>
      </c>
      <c r="H20" s="1372"/>
      <c r="I20" s="1372"/>
      <c r="J20" s="1947"/>
      <c r="K20" s="696"/>
      <c r="L20" s="266" t="s">
        <v>722</v>
      </c>
      <c r="M20" s="266">
        <v>1</v>
      </c>
      <c r="N20" s="562">
        <v>1.4</v>
      </c>
      <c r="S20" s="827" t="str">
        <f t="shared" si="0"/>
        <v>B</v>
      </c>
      <c r="T20" s="839" t="s">
        <v>1186</v>
      </c>
    </row>
    <row r="21" spans="1:29" ht="15.75" x14ac:dyDescent="0.25">
      <c r="A21" s="696"/>
      <c r="B21" s="696"/>
      <c r="C21" s="696"/>
      <c r="D21" s="696"/>
      <c r="E21" s="696"/>
      <c r="F21" s="1948"/>
      <c r="G21" s="1372"/>
      <c r="H21" s="1372"/>
      <c r="I21" s="1372"/>
      <c r="J21" s="1947"/>
      <c r="K21" s="696"/>
      <c r="L21" s="266"/>
      <c r="M21" s="266">
        <v>2</v>
      </c>
      <c r="N21" s="562">
        <v>1.2</v>
      </c>
      <c r="S21" s="827" t="str">
        <f t="shared" si="0"/>
        <v>C</v>
      </c>
      <c r="T21" s="839" t="s">
        <v>1187</v>
      </c>
    </row>
    <row r="22" spans="1:29" ht="15.75" x14ac:dyDescent="0.25">
      <c r="A22" s="696"/>
      <c r="B22" s="696"/>
      <c r="C22" s="696"/>
      <c r="D22" s="696"/>
      <c r="E22" s="696"/>
      <c r="F22" s="1948"/>
      <c r="G22" s="1372"/>
      <c r="H22" s="1372"/>
      <c r="I22" s="1372"/>
      <c r="J22" s="1947"/>
      <c r="K22" s="696"/>
      <c r="L22" s="266"/>
      <c r="M22" s="266">
        <v>3</v>
      </c>
      <c r="N22" s="562">
        <v>0.8</v>
      </c>
      <c r="S22" s="827" t="str">
        <f t="shared" si="0"/>
        <v>D</v>
      </c>
      <c r="T22" s="839" t="s">
        <v>1188</v>
      </c>
    </row>
    <row r="23" spans="1:29" ht="15.75" x14ac:dyDescent="0.25">
      <c r="A23" s="696"/>
      <c r="B23" s="696"/>
      <c r="C23" s="696"/>
      <c r="D23" s="696"/>
      <c r="E23" s="696"/>
      <c r="F23" s="1948"/>
      <c r="G23" s="1937"/>
      <c r="H23" s="1372"/>
      <c r="I23" s="1372"/>
      <c r="J23" s="1947"/>
      <c r="K23" s="696"/>
      <c r="L23" s="266"/>
      <c r="M23" s="266">
        <v>4</v>
      </c>
      <c r="N23" s="562">
        <v>0.7</v>
      </c>
      <c r="S23" s="827" t="str">
        <f t="shared" si="0"/>
        <v>E</v>
      </c>
      <c r="T23" s="839" t="s">
        <v>1189</v>
      </c>
    </row>
    <row r="24" spans="1:29" ht="15.75" x14ac:dyDescent="0.25">
      <c r="A24" s="696"/>
      <c r="B24" s="696"/>
      <c r="C24" s="696"/>
      <c r="D24" s="696"/>
      <c r="E24" s="696"/>
      <c r="F24" s="1948" t="s">
        <v>2085</v>
      </c>
      <c r="G24" s="1937" t="s">
        <v>2064</v>
      </c>
      <c r="H24" s="1937"/>
      <c r="I24" s="1937"/>
      <c r="J24" s="832"/>
      <c r="K24" s="696"/>
      <c r="L24" s="266"/>
      <c r="M24" s="266">
        <v>5</v>
      </c>
      <c r="N24" s="562">
        <v>0.6</v>
      </c>
      <c r="S24" s="827" t="str">
        <f t="shared" si="0"/>
        <v>F</v>
      </c>
      <c r="T24" s="839" t="s">
        <v>1190</v>
      </c>
    </row>
    <row r="25" spans="1:29" ht="15.75" customHeight="1" x14ac:dyDescent="0.25">
      <c r="A25" s="696"/>
      <c r="B25" s="696"/>
      <c r="C25" s="696"/>
      <c r="D25" s="696"/>
      <c r="E25" s="696"/>
      <c r="F25" s="1948" t="s">
        <v>481</v>
      </c>
      <c r="G25" s="2395" t="str">
        <f>"               Este Laudo Técnico é parte do Programa de Garantia da Qualidade, conforme Resolução da Diretoria Colegiada - RDC "&amp;VLOOKUP("RDC",IN_ANVISA[],2)&amp;"/"&amp;VLOOKUP("RDC",IN_ANVISA[],3)&amp;" da ANVISA."</f>
        <v xml:space="preserve">               Este Laudo Técnico é parte do Programa de Garantia da Qualidade, conforme Resolução da Diretoria Colegiada - RDC 611/2022 da ANVISA.</v>
      </c>
      <c r="H25" s="2395"/>
      <c r="I25" s="2395"/>
      <c r="J25" s="2396"/>
      <c r="K25" s="696"/>
      <c r="L25" s="266"/>
      <c r="M25" s="266">
        <v>6</v>
      </c>
      <c r="N25" s="562">
        <v>0.4</v>
      </c>
      <c r="S25" s="827" t="str">
        <f t="shared" si="0"/>
        <v>G</v>
      </c>
      <c r="T25" s="839" t="s">
        <v>1191</v>
      </c>
    </row>
    <row r="26" spans="1:29" ht="15.75" x14ac:dyDescent="0.25">
      <c r="A26" s="696"/>
      <c r="B26" s="696"/>
      <c r="C26" s="696"/>
      <c r="D26" s="696"/>
      <c r="E26" s="696"/>
      <c r="F26" s="1948" t="s">
        <v>2060</v>
      </c>
      <c r="G26" s="2395" t="s">
        <v>734</v>
      </c>
      <c r="H26" s="2395"/>
      <c r="I26" s="2395"/>
      <c r="J26" s="2396"/>
      <c r="K26" s="696"/>
      <c r="L26" s="266" t="s">
        <v>736</v>
      </c>
      <c r="M26" s="266">
        <v>1</v>
      </c>
      <c r="N26" s="562">
        <v>0.45</v>
      </c>
      <c r="S26" s="827" t="str">
        <f t="shared" si="0"/>
        <v>H</v>
      </c>
      <c r="T26" s="839" t="s">
        <v>1192</v>
      </c>
    </row>
    <row r="27" spans="1:29" ht="15.75" x14ac:dyDescent="0.25">
      <c r="A27" s="696"/>
      <c r="B27" s="696"/>
      <c r="C27" s="696"/>
      <c r="D27" s="696"/>
      <c r="E27" s="696"/>
      <c r="F27" s="1948" t="s">
        <v>803</v>
      </c>
      <c r="G27" s="2384" t="s">
        <v>2061</v>
      </c>
      <c r="H27" s="2384"/>
      <c r="I27" s="2384"/>
      <c r="J27" s="2385"/>
      <c r="K27" s="696"/>
      <c r="L27" s="266"/>
      <c r="M27" s="266">
        <v>2</v>
      </c>
      <c r="N27" s="562">
        <v>0.35</v>
      </c>
      <c r="S27" s="827" t="str">
        <f t="shared" si="0"/>
        <v>I</v>
      </c>
      <c r="T27" s="839" t="s">
        <v>1193</v>
      </c>
    </row>
    <row r="28" spans="1:29" ht="16.5" thickBot="1" x14ac:dyDescent="0.3">
      <c r="F28" s="1949" t="s">
        <v>1858</v>
      </c>
      <c r="G28" s="2393" t="s">
        <v>1932</v>
      </c>
      <c r="H28" s="2393"/>
      <c r="I28" s="2393"/>
      <c r="J28" s="2394"/>
      <c r="L28" s="266"/>
      <c r="M28" s="266">
        <v>3</v>
      </c>
      <c r="N28" s="562">
        <v>0.3</v>
      </c>
      <c r="S28" s="827" t="str">
        <f t="shared" si="0"/>
        <v>J</v>
      </c>
      <c r="T28" s="839" t="s">
        <v>1194</v>
      </c>
    </row>
    <row r="29" spans="1:29" ht="15.75" x14ac:dyDescent="0.25">
      <c r="L29" s="266"/>
      <c r="M29" s="266">
        <v>4</v>
      </c>
      <c r="N29" s="562">
        <v>0.25</v>
      </c>
      <c r="S29" s="827" t="str">
        <f t="shared" si="0"/>
        <v>K</v>
      </c>
      <c r="T29" s="839" t="s">
        <v>1195</v>
      </c>
      <c r="AC29" s="830"/>
    </row>
    <row r="30" spans="1:29" ht="16.5" thickBot="1" x14ac:dyDescent="0.3">
      <c r="A30" s="2392" t="s">
        <v>66</v>
      </c>
      <c r="B30" s="2392"/>
      <c r="C30" s="2392"/>
      <c r="D30" s="2392"/>
      <c r="E30" s="2392"/>
      <c r="H30" s="2383" t="s">
        <v>1602</v>
      </c>
      <c r="I30" s="2383"/>
      <c r="L30" s="266"/>
      <c r="M30" s="266">
        <v>5</v>
      </c>
      <c r="N30" s="562">
        <v>0.18</v>
      </c>
      <c r="S30" s="827" t="str">
        <f t="shared" si="0"/>
        <v>L</v>
      </c>
      <c r="T30" s="839" t="s">
        <v>1196</v>
      </c>
    </row>
    <row r="31" spans="1:29" ht="15.75" x14ac:dyDescent="0.25">
      <c r="A31" s="1683"/>
      <c r="B31" s="1684" t="s">
        <v>67</v>
      </c>
      <c r="C31" s="1211" t="s">
        <v>68</v>
      </c>
      <c r="G31" s="18"/>
      <c r="H31" s="1320" t="s">
        <v>1603</v>
      </c>
      <c r="I31" s="1321" t="s">
        <v>1604</v>
      </c>
      <c r="L31" s="266" t="s">
        <v>723</v>
      </c>
      <c r="M31" s="266">
        <v>1</v>
      </c>
      <c r="N31" s="562">
        <v>2</v>
      </c>
      <c r="S31" s="827" t="str">
        <f t="shared" si="0"/>
        <v>M</v>
      </c>
      <c r="T31" s="839" t="s">
        <v>1197</v>
      </c>
    </row>
    <row r="32" spans="1:29" ht="15.75" x14ac:dyDescent="0.25">
      <c r="A32" s="1681">
        <v>9</v>
      </c>
      <c r="B32" s="1682">
        <v>1</v>
      </c>
      <c r="C32" s="832">
        <v>0.5</v>
      </c>
      <c r="H32" s="1318">
        <v>1</v>
      </c>
      <c r="I32" s="1319">
        <v>24</v>
      </c>
      <c r="L32" s="266"/>
      <c r="M32" s="266">
        <v>2</v>
      </c>
      <c r="N32" s="562">
        <v>1.5</v>
      </c>
      <c r="S32" s="827" t="str">
        <f t="shared" si="0"/>
        <v>N</v>
      </c>
      <c r="T32" s="839" t="s">
        <v>1198</v>
      </c>
    </row>
    <row r="33" spans="1:20" ht="15.75" x14ac:dyDescent="0.25">
      <c r="A33" s="1681">
        <v>8</v>
      </c>
      <c r="B33" s="1682">
        <v>2</v>
      </c>
      <c r="C33" s="832">
        <v>1.5</v>
      </c>
      <c r="G33" s="2"/>
      <c r="H33" s="1318">
        <v>1.5</v>
      </c>
      <c r="I33" s="1319">
        <v>31</v>
      </c>
      <c r="J33" s="2"/>
      <c r="K33" s="2"/>
      <c r="L33" s="266"/>
      <c r="M33" s="266">
        <v>3</v>
      </c>
      <c r="N33" s="562">
        <v>1</v>
      </c>
      <c r="R33" s="2"/>
      <c r="S33" s="827" t="str">
        <f t="shared" si="0"/>
        <v>O</v>
      </c>
      <c r="T33" s="839" t="s">
        <v>1199</v>
      </c>
    </row>
    <row r="34" spans="1:20" ht="15.75" x14ac:dyDescent="0.25">
      <c r="A34" s="1681">
        <v>7</v>
      </c>
      <c r="B34" s="1682">
        <v>3</v>
      </c>
      <c r="C34" s="832">
        <v>2.5</v>
      </c>
      <c r="G34" s="2"/>
      <c r="H34" s="1318">
        <v>2</v>
      </c>
      <c r="I34" s="1319">
        <v>39</v>
      </c>
      <c r="J34" s="2"/>
      <c r="K34" s="2"/>
      <c r="L34" s="266"/>
      <c r="M34" s="266">
        <v>4</v>
      </c>
      <c r="N34" s="562">
        <v>0.75</v>
      </c>
      <c r="R34" s="2"/>
      <c r="S34" s="827" t="str">
        <f t="shared" si="0"/>
        <v>P</v>
      </c>
      <c r="T34" s="839" t="s">
        <v>1200</v>
      </c>
    </row>
    <row r="35" spans="1:20" ht="15.75" x14ac:dyDescent="0.25">
      <c r="A35" s="1681">
        <v>6</v>
      </c>
      <c r="B35" s="1682">
        <v>4</v>
      </c>
      <c r="C35" s="832">
        <v>3.5</v>
      </c>
      <c r="G35" s="2"/>
      <c r="H35" s="1318">
        <v>2.5</v>
      </c>
      <c r="I35" s="1319">
        <v>47</v>
      </c>
      <c r="J35" s="2"/>
      <c r="L35" s="266"/>
      <c r="M35" s="266">
        <v>5</v>
      </c>
      <c r="N35" s="562">
        <v>0.5</v>
      </c>
      <c r="R35" s="2"/>
      <c r="S35" s="827" t="str">
        <f t="shared" si="0"/>
        <v>Q</v>
      </c>
      <c r="T35" s="839" t="s">
        <v>1201</v>
      </c>
    </row>
    <row r="36" spans="1:20" ht="15.75" x14ac:dyDescent="0.25">
      <c r="A36" s="1681">
        <v>5</v>
      </c>
      <c r="B36" s="1682">
        <v>5</v>
      </c>
      <c r="C36" s="832">
        <v>4.5</v>
      </c>
      <c r="G36" s="2"/>
      <c r="H36" s="1318">
        <v>3</v>
      </c>
      <c r="I36" s="1319">
        <v>54</v>
      </c>
      <c r="J36" s="2"/>
      <c r="K36" s="2"/>
      <c r="L36" s="2"/>
      <c r="M36" s="2"/>
      <c r="N36" s="2"/>
      <c r="R36" s="2"/>
      <c r="S36" s="827" t="str">
        <f t="shared" si="0"/>
        <v>R</v>
      </c>
      <c r="T36" s="839" t="s">
        <v>1202</v>
      </c>
    </row>
    <row r="37" spans="1:20" ht="15.75" x14ac:dyDescent="0.25">
      <c r="A37" s="1681">
        <v>4</v>
      </c>
      <c r="B37" s="1682">
        <v>6</v>
      </c>
      <c r="C37" s="832">
        <v>5.5</v>
      </c>
      <c r="G37" s="2"/>
      <c r="H37" s="1318">
        <v>3.5</v>
      </c>
      <c r="I37" s="1319">
        <v>62</v>
      </c>
      <c r="J37" s="2"/>
      <c r="K37" s="2"/>
      <c r="L37" s="2"/>
      <c r="M37" s="2"/>
      <c r="N37" s="2"/>
      <c r="R37" s="2"/>
      <c r="S37" s="827" t="str">
        <f t="shared" si="0"/>
        <v>S</v>
      </c>
      <c r="T37" s="839" t="s">
        <v>1203</v>
      </c>
    </row>
    <row r="38" spans="1:20" ht="15.75" x14ac:dyDescent="0.25">
      <c r="A38" s="1681">
        <v>3</v>
      </c>
      <c r="B38" s="1682">
        <v>7</v>
      </c>
      <c r="C38" s="832">
        <v>6.5</v>
      </c>
      <c r="G38" s="2"/>
      <c r="H38" s="1318">
        <v>4</v>
      </c>
      <c r="I38" s="1319">
        <v>70</v>
      </c>
      <c r="J38" s="2"/>
      <c r="K38" s="2"/>
      <c r="L38" s="2"/>
      <c r="M38" s="2"/>
      <c r="N38" s="2"/>
      <c r="R38" s="2"/>
      <c r="S38" s="827" t="str">
        <f t="shared" si="0"/>
        <v>T</v>
      </c>
      <c r="T38" s="839" t="s">
        <v>1204</v>
      </c>
    </row>
    <row r="39" spans="1:20" ht="15.75" x14ac:dyDescent="0.25">
      <c r="A39" s="1681">
        <v>2</v>
      </c>
      <c r="B39" s="1682">
        <v>8</v>
      </c>
      <c r="C39" s="832">
        <v>7.5</v>
      </c>
      <c r="G39" s="2"/>
      <c r="H39" s="1318">
        <v>4.5</v>
      </c>
      <c r="I39" s="1319">
        <v>77</v>
      </c>
      <c r="J39" s="2"/>
      <c r="K39" s="2"/>
      <c r="L39" s="2"/>
      <c r="M39" s="2"/>
      <c r="N39" s="2"/>
      <c r="R39" s="2"/>
      <c r="S39" s="827" t="str">
        <f t="shared" si="0"/>
        <v>U</v>
      </c>
      <c r="T39" s="839" t="s">
        <v>1205</v>
      </c>
    </row>
    <row r="40" spans="1:20" ht="16.5" thickBot="1" x14ac:dyDescent="0.3">
      <c r="A40" s="1685">
        <v>1</v>
      </c>
      <c r="B40" s="1686">
        <v>9</v>
      </c>
      <c r="C40" s="1687">
        <v>8.5</v>
      </c>
      <c r="G40" s="2"/>
      <c r="H40" s="1318">
        <v>5</v>
      </c>
      <c r="I40" s="1319">
        <v>85</v>
      </c>
      <c r="J40" s="2"/>
      <c r="K40" s="2"/>
      <c r="L40" s="2"/>
      <c r="M40" s="2"/>
      <c r="N40" s="2"/>
      <c r="R40" s="2"/>
      <c r="S40" s="827" t="str">
        <f t="shared" si="0"/>
        <v>V</v>
      </c>
      <c r="T40" s="839" t="s">
        <v>1206</v>
      </c>
    </row>
    <row r="41" spans="1:20" ht="15.75" x14ac:dyDescent="0.25">
      <c r="G41" s="2"/>
      <c r="H41" s="1318">
        <v>5.5</v>
      </c>
      <c r="I41" s="1319">
        <v>91</v>
      </c>
      <c r="J41" s="2"/>
      <c r="K41" s="2"/>
      <c r="L41" s="2"/>
      <c r="M41" s="2"/>
      <c r="N41" s="2"/>
      <c r="R41" s="2"/>
      <c r="S41" s="827" t="str">
        <f t="shared" si="0"/>
        <v>W</v>
      </c>
      <c r="T41" s="839" t="s">
        <v>1207</v>
      </c>
    </row>
    <row r="42" spans="1:20" ht="30.75" thickBot="1" x14ac:dyDescent="0.3">
      <c r="C42" s="13"/>
      <c r="D42" s="13"/>
      <c r="H42" s="1318">
        <v>6</v>
      </c>
      <c r="I42" s="1319">
        <v>97</v>
      </c>
      <c r="K42" s="1729" t="s">
        <v>1827</v>
      </c>
      <c r="L42" s="912" t="s">
        <v>1829</v>
      </c>
      <c r="R42" s="2"/>
      <c r="S42" s="827" t="str">
        <f t="shared" si="0"/>
        <v>X</v>
      </c>
      <c r="T42" s="839" t="s">
        <v>1208</v>
      </c>
    </row>
    <row r="43" spans="1:20" ht="15.75" x14ac:dyDescent="0.25">
      <c r="C43" s="18"/>
      <c r="D43" s="1683" t="s">
        <v>581</v>
      </c>
      <c r="E43" s="1684" t="s">
        <v>582</v>
      </c>
      <c r="F43" s="1211" t="s">
        <v>380</v>
      </c>
      <c r="H43" s="1318">
        <v>6.5</v>
      </c>
      <c r="I43" s="1319">
        <v>102</v>
      </c>
      <c r="K43" s="1680" t="s">
        <v>1830</v>
      </c>
      <c r="L43" s="1680">
        <v>1.167</v>
      </c>
      <c r="R43" s="2"/>
      <c r="S43" s="827" t="str">
        <f t="shared" si="0"/>
        <v>Y</v>
      </c>
      <c r="T43" s="839" t="s">
        <v>1209</v>
      </c>
    </row>
    <row r="44" spans="1:20" ht="15.75" x14ac:dyDescent="0.25">
      <c r="C44" s="2"/>
      <c r="D44" s="1703">
        <f>fluor!B545</f>
        <v>23</v>
      </c>
      <c r="E44" s="1704">
        <f>fluor!B548</f>
        <v>0</v>
      </c>
      <c r="F44" s="832" t="e">
        <f t="shared" ref="F44:F49" si="4">VLOOKUP(E44,$H$82:$I$102,2,FALSE)</f>
        <v>#N/A</v>
      </c>
      <c r="H44" s="1318">
        <v>7</v>
      </c>
      <c r="I44" s="1319">
        <v>108</v>
      </c>
      <c r="K44" s="1680" t="s">
        <v>1828</v>
      </c>
      <c r="L44" s="1680">
        <v>1.208</v>
      </c>
      <c r="R44" s="2"/>
      <c r="S44" s="827" t="str">
        <f t="shared" si="0"/>
        <v>Z</v>
      </c>
      <c r="T44" s="839" t="s">
        <v>1210</v>
      </c>
    </row>
    <row r="45" spans="1:20" x14ac:dyDescent="0.25">
      <c r="C45" s="2"/>
      <c r="D45" s="1703">
        <f>fluor!C545</f>
        <v>0</v>
      </c>
      <c r="E45" s="1704">
        <f>fluor!C548</f>
        <v>0</v>
      </c>
      <c r="F45" s="832" t="e">
        <f t="shared" si="4"/>
        <v>#N/A</v>
      </c>
      <c r="H45" s="1318">
        <v>7.5</v>
      </c>
      <c r="I45" s="1319">
        <v>114</v>
      </c>
      <c r="R45" s="2"/>
      <c r="S45" s="829"/>
      <c r="T45" s="829"/>
    </row>
    <row r="46" spans="1:20" x14ac:dyDescent="0.25">
      <c r="C46" s="2"/>
      <c r="D46" s="1703">
        <f>fluor!D545</f>
        <v>0</v>
      </c>
      <c r="E46" s="1704">
        <f>fluor!D548</f>
        <v>0</v>
      </c>
      <c r="F46" s="832" t="e">
        <f t="shared" si="4"/>
        <v>#N/A</v>
      </c>
      <c r="H46" s="1318">
        <v>8</v>
      </c>
      <c r="I46" s="1319">
        <v>120</v>
      </c>
      <c r="R46" s="2"/>
      <c r="S46" s="829"/>
      <c r="T46" s="829"/>
    </row>
    <row r="47" spans="1:20" ht="15.75" thickBot="1" x14ac:dyDescent="0.3">
      <c r="C47" s="2"/>
      <c r="D47" s="1703">
        <f>fluor!E545</f>
        <v>0</v>
      </c>
      <c r="E47" s="1704">
        <f>fluor!E548</f>
        <v>0</v>
      </c>
      <c r="F47" s="832" t="e">
        <f t="shared" si="4"/>
        <v>#N/A</v>
      </c>
      <c r="H47" s="1318">
        <v>8.5</v>
      </c>
      <c r="I47" s="1319">
        <v>125</v>
      </c>
      <c r="R47" s="2"/>
      <c r="S47" s="829"/>
      <c r="T47" s="829"/>
    </row>
    <row r="48" spans="1:20" ht="15.75" thickBot="1" x14ac:dyDescent="0.3">
      <c r="C48" s="2"/>
      <c r="D48" s="1703">
        <f>fluor!F545</f>
        <v>0</v>
      </c>
      <c r="E48" s="1704">
        <f>fluor!F548</f>
        <v>0</v>
      </c>
      <c r="F48" s="832" t="e">
        <f t="shared" si="4"/>
        <v>#N/A</v>
      </c>
      <c r="H48" s="1318">
        <v>9</v>
      </c>
      <c r="I48" s="1319">
        <v>131</v>
      </c>
      <c r="L48" s="2386" t="s">
        <v>1862</v>
      </c>
      <c r="M48" s="2387"/>
      <c r="N48" s="2387"/>
      <c r="O48" s="2388"/>
      <c r="R48" s="2"/>
      <c r="S48" s="829"/>
      <c r="T48" s="829"/>
    </row>
    <row r="49" spans="3:20" ht="15.75" thickBot="1" x14ac:dyDescent="0.3">
      <c r="C49" s="2"/>
      <c r="D49" s="1705">
        <f>fluor!G545</f>
        <v>0</v>
      </c>
      <c r="E49" s="1706">
        <f>fluor!G548</f>
        <v>0</v>
      </c>
      <c r="F49" s="1687" t="e">
        <f t="shared" si="4"/>
        <v>#N/A</v>
      </c>
      <c r="H49" s="1318">
        <v>9.5</v>
      </c>
      <c r="I49" s="1319">
        <v>137</v>
      </c>
      <c r="L49" s="1730" t="s">
        <v>0</v>
      </c>
      <c r="M49" s="1730" t="s">
        <v>207</v>
      </c>
      <c r="N49" s="1730" t="s">
        <v>208</v>
      </c>
      <c r="O49" s="1730" t="s">
        <v>379</v>
      </c>
      <c r="R49" s="2"/>
      <c r="S49" s="829"/>
      <c r="T49" s="829"/>
    </row>
    <row r="50" spans="3:20" x14ac:dyDescent="0.25">
      <c r="C50" s="2"/>
      <c r="D50" s="153" t="str">
        <f>fluor!B129</f>
        <v>cm</v>
      </c>
      <c r="H50" s="1318">
        <v>10</v>
      </c>
      <c r="I50" s="1319">
        <v>143</v>
      </c>
      <c r="L50" s="1229">
        <v>50</v>
      </c>
      <c r="M50" s="1229">
        <v>1.5</v>
      </c>
      <c r="N50" s="1229">
        <v>1.6</v>
      </c>
      <c r="O50" s="1229">
        <v>1.8</v>
      </c>
      <c r="R50" s="2"/>
      <c r="S50" s="829"/>
      <c r="T50" s="829"/>
    </row>
    <row r="51" spans="3:20" x14ac:dyDescent="0.25">
      <c r="C51" s="2"/>
      <c r="H51" s="1318">
        <v>10.5</v>
      </c>
      <c r="I51" s="1319">
        <v>148</v>
      </c>
      <c r="L51" s="1229">
        <v>60</v>
      </c>
      <c r="M51" s="1229">
        <v>1.8</v>
      </c>
      <c r="N51" s="1229">
        <v>2</v>
      </c>
      <c r="O51" s="1229">
        <v>2.2000000000000002</v>
      </c>
    </row>
    <row r="52" spans="3:20" x14ac:dyDescent="0.25">
      <c r="C52" s="2"/>
      <c r="E52" s="20" t="s">
        <v>72</v>
      </c>
      <c r="H52" s="1318">
        <v>11</v>
      </c>
      <c r="I52" s="1319">
        <v>154</v>
      </c>
      <c r="L52" s="1229">
        <v>70</v>
      </c>
      <c r="M52" s="1229">
        <v>2.1</v>
      </c>
      <c r="N52" s="1229">
        <v>2.2999999999999998</v>
      </c>
      <c r="O52" s="1229">
        <v>2.5</v>
      </c>
    </row>
    <row r="53" spans="3:20" x14ac:dyDescent="0.25">
      <c r="C53" s="2"/>
      <c r="H53" s="1318">
        <v>11.5</v>
      </c>
      <c r="I53" s="1319">
        <v>160</v>
      </c>
      <c r="L53" s="1229">
        <v>80</v>
      </c>
      <c r="M53" s="1229">
        <v>2.2999999999999998</v>
      </c>
      <c r="N53" s="1229">
        <v>2.6</v>
      </c>
      <c r="O53" s="1229">
        <v>2.9</v>
      </c>
    </row>
    <row r="54" spans="3:20" x14ac:dyDescent="0.25">
      <c r="C54" s="2"/>
      <c r="E54" s="20" t="s">
        <v>108</v>
      </c>
      <c r="H54" s="1318">
        <v>12</v>
      </c>
      <c r="I54" s="1319">
        <v>166</v>
      </c>
      <c r="L54" s="1229">
        <v>90</v>
      </c>
      <c r="M54" s="1229">
        <v>2.5</v>
      </c>
      <c r="N54" s="1229">
        <v>3</v>
      </c>
      <c r="O54" s="1229">
        <v>3.2</v>
      </c>
    </row>
    <row r="55" spans="3:20" x14ac:dyDescent="0.25">
      <c r="C55" s="2"/>
      <c r="H55" s="1318">
        <v>12.5</v>
      </c>
      <c r="I55" s="1319">
        <v>171</v>
      </c>
      <c r="L55" s="1229">
        <v>100</v>
      </c>
      <c r="M55" s="1229">
        <v>2.7</v>
      </c>
      <c r="N55" s="1229">
        <v>3.2</v>
      </c>
      <c r="O55" s="1229">
        <v>3.6</v>
      </c>
    </row>
    <row r="56" spans="3:20" x14ac:dyDescent="0.25">
      <c r="C56" s="2"/>
      <c r="H56" s="1322">
        <v>13</v>
      </c>
      <c r="I56" s="1323">
        <v>177</v>
      </c>
      <c r="L56" s="1229">
        <v>110</v>
      </c>
      <c r="M56" s="1229">
        <v>3</v>
      </c>
      <c r="N56" s="1229">
        <v>3.5</v>
      </c>
      <c r="O56" s="1229">
        <v>3.9</v>
      </c>
    </row>
    <row r="57" spans="3:20" x14ac:dyDescent="0.25">
      <c r="C57" s="2"/>
      <c r="L57" s="1229">
        <v>120</v>
      </c>
      <c r="M57" s="1229">
        <v>3.2</v>
      </c>
      <c r="N57" s="1229">
        <v>3.9</v>
      </c>
      <c r="O57" s="1229">
        <v>4.3</v>
      </c>
    </row>
    <row r="58" spans="3:20" x14ac:dyDescent="0.25">
      <c r="C58" s="2"/>
      <c r="L58" s="1229">
        <v>130</v>
      </c>
      <c r="M58" s="1229">
        <v>3.5</v>
      </c>
      <c r="N58" s="1229">
        <v>4.0999999999999996</v>
      </c>
      <c r="O58" s="1229">
        <v>4.7</v>
      </c>
    </row>
    <row r="59" spans="3:20" x14ac:dyDescent="0.25">
      <c r="C59" s="2"/>
    </row>
    <row r="60" spans="3:20" x14ac:dyDescent="0.25">
      <c r="C60" s="2"/>
    </row>
    <row r="61" spans="3:20" x14ac:dyDescent="0.25">
      <c r="C61" s="2"/>
    </row>
    <row r="62" spans="3:20" x14ac:dyDescent="0.25">
      <c r="C62" s="2"/>
    </row>
    <row r="63" spans="3:20" x14ac:dyDescent="0.25">
      <c r="C63" s="2"/>
    </row>
    <row r="64" spans="3:20" x14ac:dyDescent="0.25">
      <c r="C64" s="2"/>
    </row>
    <row r="66" spans="1:20" ht="15.75" thickBot="1" x14ac:dyDescent="0.3">
      <c r="A66" s="2378" t="s">
        <v>296</v>
      </c>
      <c r="B66" s="2379"/>
      <c r="C66" s="2380"/>
      <c r="D66" s="2378" t="s">
        <v>291</v>
      </c>
      <c r="E66" s="2379"/>
      <c r="F66" s="2379"/>
      <c r="G66" s="2378" t="s">
        <v>295</v>
      </c>
      <c r="H66" s="2379"/>
      <c r="I66" s="2380"/>
      <c r="J66" s="2378" t="s">
        <v>297</v>
      </c>
      <c r="K66" s="2379"/>
      <c r="L66" s="2380"/>
    </row>
    <row r="67" spans="1:20" x14ac:dyDescent="0.25">
      <c r="A67" s="115" t="s">
        <v>183</v>
      </c>
      <c r="B67" s="113" t="s">
        <v>39</v>
      </c>
      <c r="C67" s="23" t="s">
        <v>294</v>
      </c>
      <c r="D67" s="115" t="s">
        <v>292</v>
      </c>
      <c r="E67" s="113" t="s">
        <v>293</v>
      </c>
      <c r="F67" s="113" t="s">
        <v>294</v>
      </c>
      <c r="G67" s="115" t="s">
        <v>292</v>
      </c>
      <c r="H67" s="113" t="s">
        <v>39</v>
      </c>
      <c r="I67" s="23" t="s">
        <v>294</v>
      </c>
      <c r="J67" s="115" t="s">
        <v>292</v>
      </c>
      <c r="K67" s="113" t="s">
        <v>39</v>
      </c>
      <c r="L67" s="23" t="s">
        <v>294</v>
      </c>
      <c r="N67" s="2376" t="str">
        <f>tomografia!A45</f>
        <v>Abdômen em res normal</v>
      </c>
      <c r="O67" s="2377"/>
      <c r="P67" s="1211">
        <f>tomografia!C45</f>
        <v>1</v>
      </c>
    </row>
    <row r="68" spans="1:20" x14ac:dyDescent="0.25">
      <c r="A68" s="115">
        <v>1</v>
      </c>
      <c r="B68" s="113">
        <v>1.75</v>
      </c>
      <c r="C68" s="116">
        <f>ROUND(1/(2*B68)*10,1)</f>
        <v>2.9</v>
      </c>
      <c r="D68" s="115">
        <v>1</v>
      </c>
      <c r="E68" s="113">
        <v>1.6</v>
      </c>
      <c r="F68" s="54">
        <f t="shared" ref="F68:F73" si="5">ROUND(1/(2*E68)*10,1)</f>
        <v>3.1</v>
      </c>
      <c r="G68" s="115">
        <v>1</v>
      </c>
      <c r="H68" s="113">
        <v>3</v>
      </c>
      <c r="I68" s="116">
        <f>ROUND(1/(2*H68)*10,1)</f>
        <v>1.7</v>
      </c>
      <c r="J68" s="115">
        <v>1</v>
      </c>
      <c r="K68" s="113">
        <v>2</v>
      </c>
      <c r="L68" s="116">
        <f>ROUND(1/(2*K68)*10,1)</f>
        <v>2.5</v>
      </c>
      <c r="N68" s="2374" t="str">
        <f>tomografia!A46</f>
        <v>Cabeça em res normal</v>
      </c>
      <c r="O68" s="2375"/>
      <c r="P68" s="832">
        <f>tomografia!C46</f>
        <v>2</v>
      </c>
    </row>
    <row r="69" spans="1:20" ht="15.75" thickBot="1" x14ac:dyDescent="0.3">
      <c r="A69" s="115">
        <v>2</v>
      </c>
      <c r="B69" s="113">
        <v>1.5</v>
      </c>
      <c r="C69" s="116">
        <f t="shared" ref="C69:C75" si="6">ROUND(1/(2*B69)*10,1)</f>
        <v>3.3</v>
      </c>
      <c r="D69" s="115">
        <v>2</v>
      </c>
      <c r="E69" s="113">
        <v>1.3</v>
      </c>
      <c r="F69" s="54">
        <f t="shared" si="5"/>
        <v>3.8</v>
      </c>
      <c r="G69" s="115">
        <v>2</v>
      </c>
      <c r="H69" s="113">
        <v>2.5</v>
      </c>
      <c r="I69" s="116">
        <f t="shared" ref="I69:I74" si="7">ROUND(1/(2*H69)*10,1)</f>
        <v>2</v>
      </c>
      <c r="J69" s="115">
        <v>2</v>
      </c>
      <c r="K69" s="120">
        <v>1.66</v>
      </c>
      <c r="L69" s="116">
        <f t="shared" ref="L69:L74" si="8">ROUND(1/(2*K69)*10,1)</f>
        <v>3</v>
      </c>
      <c r="N69" s="2381" t="str">
        <f>tomografia!A47</f>
        <v>Tórax em alta resolução</v>
      </c>
      <c r="O69" s="2382"/>
      <c r="P69" s="1215">
        <f>tomografia!C47</f>
        <v>3</v>
      </c>
    </row>
    <row r="70" spans="1:20" x14ac:dyDescent="0.25">
      <c r="A70" s="115">
        <v>3</v>
      </c>
      <c r="B70" s="113">
        <v>1.25</v>
      </c>
      <c r="C70" s="116">
        <f t="shared" si="6"/>
        <v>4</v>
      </c>
      <c r="D70" s="115">
        <v>3</v>
      </c>
      <c r="E70" s="113">
        <v>1</v>
      </c>
      <c r="F70" s="54">
        <f t="shared" si="5"/>
        <v>5</v>
      </c>
      <c r="G70" s="115">
        <v>3</v>
      </c>
      <c r="H70" s="113">
        <v>2</v>
      </c>
      <c r="I70" s="116">
        <f t="shared" si="7"/>
        <v>2.5</v>
      </c>
      <c r="J70" s="115">
        <v>3</v>
      </c>
      <c r="K70" s="120">
        <v>1</v>
      </c>
      <c r="L70" s="116">
        <f t="shared" si="8"/>
        <v>5</v>
      </c>
    </row>
    <row r="71" spans="1:20" x14ac:dyDescent="0.25">
      <c r="A71" s="115">
        <v>4</v>
      </c>
      <c r="B71" s="113">
        <v>1</v>
      </c>
      <c r="C71" s="116">
        <f t="shared" si="6"/>
        <v>5</v>
      </c>
      <c r="D71" s="115">
        <v>4</v>
      </c>
      <c r="E71" s="113">
        <v>0.8</v>
      </c>
      <c r="F71" s="54">
        <f t="shared" si="5"/>
        <v>6.3</v>
      </c>
      <c r="G71" s="115">
        <v>4</v>
      </c>
      <c r="H71" s="113">
        <v>1.75</v>
      </c>
      <c r="I71" s="116">
        <f t="shared" si="7"/>
        <v>2.9</v>
      </c>
      <c r="J71" s="115">
        <v>4</v>
      </c>
      <c r="K71" s="120">
        <v>0.85</v>
      </c>
      <c r="L71" s="116">
        <f t="shared" si="8"/>
        <v>5.9</v>
      </c>
    </row>
    <row r="72" spans="1:20" x14ac:dyDescent="0.25">
      <c r="A72" s="115">
        <v>5</v>
      </c>
      <c r="B72" s="113">
        <v>0.75</v>
      </c>
      <c r="C72" s="116">
        <f t="shared" si="6"/>
        <v>6.7</v>
      </c>
      <c r="D72" s="115">
        <v>5</v>
      </c>
      <c r="E72" s="113">
        <v>0.6</v>
      </c>
      <c r="F72" s="119">
        <f t="shared" si="5"/>
        <v>8.3000000000000007</v>
      </c>
      <c r="G72" s="115">
        <v>5</v>
      </c>
      <c r="H72" s="113">
        <v>1.5</v>
      </c>
      <c r="I72" s="116">
        <f t="shared" si="7"/>
        <v>3.3</v>
      </c>
      <c r="J72" s="115">
        <v>5</v>
      </c>
      <c r="K72" s="113">
        <v>0.75</v>
      </c>
      <c r="L72" s="116">
        <f t="shared" si="8"/>
        <v>6.7</v>
      </c>
    </row>
    <row r="73" spans="1:20" x14ac:dyDescent="0.25">
      <c r="A73" s="115">
        <v>6</v>
      </c>
      <c r="B73" s="113">
        <v>0.6</v>
      </c>
      <c r="C73" s="116">
        <f t="shared" si="6"/>
        <v>8.3000000000000007</v>
      </c>
      <c r="D73" s="117">
        <v>6</v>
      </c>
      <c r="E73" s="118">
        <v>0.5</v>
      </c>
      <c r="F73" s="54">
        <f t="shared" si="5"/>
        <v>10</v>
      </c>
      <c r="G73" s="115">
        <v>6</v>
      </c>
      <c r="H73" s="113">
        <v>1.25</v>
      </c>
      <c r="I73" s="116">
        <f t="shared" si="7"/>
        <v>4</v>
      </c>
      <c r="J73" s="115">
        <v>6</v>
      </c>
      <c r="K73" s="120">
        <v>0.5</v>
      </c>
      <c r="L73" s="116">
        <f t="shared" si="8"/>
        <v>10</v>
      </c>
    </row>
    <row r="74" spans="1:20" x14ac:dyDescent="0.25">
      <c r="A74" s="117">
        <v>7</v>
      </c>
      <c r="B74" s="118">
        <v>0.5</v>
      </c>
      <c r="C74" s="116">
        <f t="shared" si="6"/>
        <v>10</v>
      </c>
      <c r="D74" s="35"/>
      <c r="E74" s="35"/>
      <c r="G74" s="117">
        <v>7</v>
      </c>
      <c r="H74" s="118">
        <v>1</v>
      </c>
      <c r="I74" s="116">
        <f t="shared" si="7"/>
        <v>5</v>
      </c>
      <c r="J74" s="117">
        <v>7</v>
      </c>
      <c r="K74" s="118">
        <v>0.4</v>
      </c>
      <c r="L74" s="116">
        <f t="shared" si="8"/>
        <v>12.5</v>
      </c>
    </row>
    <row r="75" spans="1:20" x14ac:dyDescent="0.25">
      <c r="A75" s="35">
        <v>8</v>
      </c>
      <c r="B75" s="35">
        <v>0.4</v>
      </c>
      <c r="C75" s="35">
        <f t="shared" si="6"/>
        <v>12.5</v>
      </c>
      <c r="D75" s="35"/>
      <c r="E75" s="35"/>
    </row>
    <row r="76" spans="1:20" s="145" customFormat="1" x14ac:dyDescent="0.25">
      <c r="B76" s="6">
        <f>VLOOKUP($P$67,$A$68:$C$75,3,FALSE)</f>
        <v>2.9</v>
      </c>
      <c r="E76" s="6">
        <f>VLOOKUP($P$67,D68:F73,3,FALSE)</f>
        <v>3.1</v>
      </c>
      <c r="H76" s="6">
        <f>VLOOKUP($P$67,G68:I74,3,FALSE)</f>
        <v>1.7</v>
      </c>
      <c r="K76" s="6">
        <f>VLOOKUP($P$67,J68:L74,3,FALSE)</f>
        <v>2.5</v>
      </c>
      <c r="S76" s="831"/>
      <c r="T76" s="831"/>
    </row>
    <row r="77" spans="1:20" x14ac:dyDescent="0.25">
      <c r="B77" s="6">
        <f>VLOOKUP($P$68,A68:C75,3,FALSE)</f>
        <v>3.3</v>
      </c>
      <c r="E77" s="6">
        <f>VLOOKUP($P$68,D68:F73,3,FALSE)</f>
        <v>3.8</v>
      </c>
      <c r="H77" s="6">
        <f>VLOOKUP($P$68,G68:I74,3,FALSE)</f>
        <v>2</v>
      </c>
      <c r="K77" s="6">
        <f>VLOOKUP($P$68,J68:L74,3,FALSE)</f>
        <v>3</v>
      </c>
    </row>
    <row r="78" spans="1:20" x14ac:dyDescent="0.25">
      <c r="A78" s="1212"/>
      <c r="B78" s="6">
        <f>VLOOKUP($P$69,$A$68:$C$75,3,FALSE)</f>
        <v>4</v>
      </c>
      <c r="C78" s="1212"/>
      <c r="D78" s="1212"/>
      <c r="E78" s="6">
        <f>VLOOKUP($P$69,D68:F73,3,FALSE)</f>
        <v>5</v>
      </c>
      <c r="F78" s="1212"/>
      <c r="G78" s="1212"/>
      <c r="H78" s="6">
        <f>VLOOKUP($P$69,G68:I74,3,FALSE)</f>
        <v>2.5</v>
      </c>
      <c r="I78" s="1212"/>
      <c r="J78" s="1212"/>
      <c r="K78" s="6">
        <f>VLOOKUP($P$69,J68:L74,3,FALSE)</f>
        <v>5</v>
      </c>
    </row>
    <row r="80" spans="1:20" x14ac:dyDescent="0.25">
      <c r="E80" s="13" t="s">
        <v>1298</v>
      </c>
      <c r="F80" s="13"/>
      <c r="G80" s="13"/>
      <c r="H80" s="13" t="s">
        <v>1299</v>
      </c>
      <c r="I80" s="13"/>
    </row>
    <row r="81" spans="5:9" x14ac:dyDescent="0.25">
      <c r="E81" s="19" t="s">
        <v>70</v>
      </c>
      <c r="F81" s="2" t="s">
        <v>71</v>
      </c>
      <c r="G81" s="905"/>
      <c r="H81" s="18" t="s">
        <v>69</v>
      </c>
      <c r="I81" s="18" t="s">
        <v>380</v>
      </c>
    </row>
    <row r="82" spans="5:9" x14ac:dyDescent="0.25">
      <c r="E82" s="15">
        <v>1</v>
      </c>
      <c r="F82" s="5">
        <v>0.16700000000000001</v>
      </c>
      <c r="G82" s="905"/>
      <c r="H82" s="15">
        <v>1</v>
      </c>
      <c r="I82" s="2">
        <v>0.5</v>
      </c>
    </row>
    <row r="83" spans="5:9" x14ac:dyDescent="0.25">
      <c r="E83" s="15">
        <v>2</v>
      </c>
      <c r="F83" s="5">
        <v>0.14799999999999999</v>
      </c>
      <c r="G83" s="905"/>
      <c r="H83" s="15">
        <v>2</v>
      </c>
      <c r="I83" s="2">
        <v>0.56000000000000005</v>
      </c>
    </row>
    <row r="84" spans="5:9" x14ac:dyDescent="0.25">
      <c r="E84" s="15">
        <v>3</v>
      </c>
      <c r="F84" s="5">
        <v>0.128</v>
      </c>
      <c r="G84" s="905"/>
      <c r="H84" s="15">
        <v>3</v>
      </c>
      <c r="I84" s="2">
        <v>0.63</v>
      </c>
    </row>
    <row r="85" spans="5:9" x14ac:dyDescent="0.25">
      <c r="E85" s="15">
        <v>4</v>
      </c>
      <c r="F85" s="5">
        <v>0.109</v>
      </c>
      <c r="G85" s="905"/>
      <c r="H85" s="15">
        <v>4</v>
      </c>
      <c r="I85" s="2">
        <v>0.71</v>
      </c>
    </row>
    <row r="86" spans="5:9" x14ac:dyDescent="0.25">
      <c r="E86" s="19">
        <v>5</v>
      </c>
      <c r="F86" s="5">
        <v>8.7999999999999995E-2</v>
      </c>
      <c r="G86" s="905"/>
      <c r="H86" s="15">
        <v>5</v>
      </c>
      <c r="I86" s="2">
        <v>0.8</v>
      </c>
    </row>
    <row r="87" spans="5:9" x14ac:dyDescent="0.25">
      <c r="E87" s="19">
        <v>6</v>
      </c>
      <c r="F87" s="5">
        <v>7.4999999999999997E-2</v>
      </c>
      <c r="G87" s="905"/>
      <c r="H87" s="15">
        <v>6</v>
      </c>
      <c r="I87" s="2">
        <v>0.9</v>
      </c>
    </row>
    <row r="88" spans="5:9" x14ac:dyDescent="0.25">
      <c r="E88" s="19">
        <v>7</v>
      </c>
      <c r="F88" s="5">
        <v>6.7000000000000004E-2</v>
      </c>
      <c r="G88" s="905"/>
      <c r="H88" s="15">
        <v>7</v>
      </c>
      <c r="I88" s="2">
        <v>1</v>
      </c>
    </row>
    <row r="89" spans="5:9" x14ac:dyDescent="0.25">
      <c r="E89" s="19">
        <v>8</v>
      </c>
      <c r="F89" s="5">
        <v>5.2999999999999999E-2</v>
      </c>
      <c r="G89" s="906"/>
      <c r="H89" s="15">
        <v>8</v>
      </c>
      <c r="I89" s="2">
        <v>1.1200000000000001</v>
      </c>
    </row>
    <row r="90" spans="5:9" x14ac:dyDescent="0.25">
      <c r="E90" s="19">
        <v>9</v>
      </c>
      <c r="F90" s="5">
        <v>4.4999999999999998E-2</v>
      </c>
      <c r="G90" s="906"/>
      <c r="H90" s="15">
        <v>9</v>
      </c>
      <c r="I90" s="2">
        <v>1.25</v>
      </c>
    </row>
    <row r="91" spans="5:9" x14ac:dyDescent="0.25">
      <c r="E91" s="19">
        <v>10</v>
      </c>
      <c r="F91" s="5">
        <v>3.9E-2</v>
      </c>
      <c r="G91" s="906"/>
      <c r="H91" s="15">
        <v>10</v>
      </c>
      <c r="I91" s="2">
        <v>1.4</v>
      </c>
    </row>
    <row r="92" spans="5:9" x14ac:dyDescent="0.25">
      <c r="E92" s="21">
        <v>11</v>
      </c>
      <c r="F92" s="22">
        <v>3.2000000000000001E-2</v>
      </c>
      <c r="G92" s="903" t="s">
        <v>72</v>
      </c>
      <c r="H92" s="15">
        <v>11</v>
      </c>
      <c r="I92" s="2">
        <v>1.6</v>
      </c>
    </row>
    <row r="93" spans="5:9" x14ac:dyDescent="0.25">
      <c r="E93" s="21">
        <v>12</v>
      </c>
      <c r="F93" s="22">
        <v>2.7E-2</v>
      </c>
      <c r="G93" s="903"/>
      <c r="H93" s="15">
        <v>12</v>
      </c>
      <c r="I93" s="2">
        <v>1.8</v>
      </c>
    </row>
    <row r="94" spans="5:9" x14ac:dyDescent="0.25">
      <c r="E94" s="19">
        <v>13</v>
      </c>
      <c r="F94" s="5">
        <v>2.1999999999999999E-2</v>
      </c>
      <c r="G94" s="906"/>
      <c r="H94" s="15">
        <v>13</v>
      </c>
      <c r="I94" s="2">
        <v>2</v>
      </c>
    </row>
    <row r="95" spans="5:9" x14ac:dyDescent="0.25">
      <c r="E95" s="19">
        <v>14</v>
      </c>
      <c r="F95" s="5">
        <v>1.7000000000000001E-2</v>
      </c>
      <c r="G95" s="906"/>
      <c r="H95" s="15">
        <v>14</v>
      </c>
      <c r="I95" s="2">
        <v>2.2400000000000002</v>
      </c>
    </row>
    <row r="96" spans="5:9" x14ac:dyDescent="0.25">
      <c r="E96" s="19">
        <v>15</v>
      </c>
      <c r="F96" s="5">
        <v>1.4999999999999999E-2</v>
      </c>
      <c r="G96" s="906"/>
      <c r="H96" s="15">
        <v>15</v>
      </c>
      <c r="I96" s="2">
        <v>2.5</v>
      </c>
    </row>
    <row r="97" spans="5:16" x14ac:dyDescent="0.25">
      <c r="E97" s="19">
        <v>16</v>
      </c>
      <c r="F97" s="5">
        <v>1.2999999999999999E-2</v>
      </c>
      <c r="G97" s="906"/>
      <c r="H97" s="15">
        <v>16</v>
      </c>
      <c r="I97" s="2">
        <v>2.8</v>
      </c>
    </row>
    <row r="98" spans="5:16" x14ac:dyDescent="0.25">
      <c r="E98" s="19">
        <v>17</v>
      </c>
      <c r="F98" s="5">
        <v>1.0999999999999999E-2</v>
      </c>
      <c r="G98" s="906"/>
      <c r="H98" s="15">
        <v>17</v>
      </c>
      <c r="I98" s="2">
        <v>3.15</v>
      </c>
    </row>
    <row r="99" spans="5:16" x14ac:dyDescent="0.25">
      <c r="E99" s="19">
        <v>18</v>
      </c>
      <c r="F99" s="5">
        <v>8.9999999999999993E-3</v>
      </c>
      <c r="G99" s="906"/>
      <c r="H99" s="15">
        <v>18</v>
      </c>
      <c r="I99" s="2">
        <v>3.55</v>
      </c>
    </row>
    <row r="100" spans="5:16" x14ac:dyDescent="0.25">
      <c r="E100" s="2"/>
      <c r="G100" s="906"/>
      <c r="H100" s="15">
        <v>19</v>
      </c>
      <c r="I100" s="2">
        <v>4</v>
      </c>
    </row>
    <row r="101" spans="5:16" x14ac:dyDescent="0.25">
      <c r="E101" s="2"/>
      <c r="G101" s="906"/>
      <c r="H101" s="15">
        <v>20</v>
      </c>
      <c r="I101" s="2">
        <v>4.5</v>
      </c>
    </row>
    <row r="102" spans="5:16" x14ac:dyDescent="0.25">
      <c r="E102" s="3"/>
      <c r="G102" s="906"/>
      <c r="H102" s="15">
        <v>21</v>
      </c>
      <c r="I102" s="2">
        <v>5</v>
      </c>
    </row>
    <row r="104" spans="5:16" x14ac:dyDescent="0.25">
      <c r="F104" s="904" t="s">
        <v>1296</v>
      </c>
      <c r="G104" s="906"/>
    </row>
    <row r="105" spans="5:16" x14ac:dyDescent="0.25">
      <c r="F105" s="15" t="s">
        <v>1290</v>
      </c>
      <c r="G105" s="15" t="s">
        <v>1289</v>
      </c>
    </row>
    <row r="106" spans="5:16" x14ac:dyDescent="0.25">
      <c r="F106" s="15">
        <v>1</v>
      </c>
      <c r="G106" s="15">
        <v>7.4999999999999997E-2</v>
      </c>
      <c r="I106" s="904" t="s">
        <v>1297</v>
      </c>
      <c r="J106" s="906"/>
    </row>
    <row r="107" spans="5:16" x14ac:dyDescent="0.25">
      <c r="F107" s="15">
        <v>2</v>
      </c>
      <c r="G107" s="15">
        <v>6.7000000000000004E-2</v>
      </c>
      <c r="I107" s="906" t="s">
        <v>1291</v>
      </c>
      <c r="J107" s="906" t="s">
        <v>1292</v>
      </c>
    </row>
    <row r="108" spans="5:16" x14ac:dyDescent="0.25">
      <c r="F108" s="15">
        <v>3</v>
      </c>
      <c r="G108" s="15">
        <v>5.2999999999999999E-2</v>
      </c>
      <c r="I108" s="906">
        <v>1</v>
      </c>
      <c r="J108" s="5">
        <v>0.95399999999999996</v>
      </c>
      <c r="L108" s="13" t="s">
        <v>1295</v>
      </c>
      <c r="M108" s="13"/>
      <c r="O108" s="13" t="s">
        <v>2009</v>
      </c>
      <c r="P108" s="13"/>
    </row>
    <row r="109" spans="5:16" x14ac:dyDescent="0.25">
      <c r="F109" s="906">
        <v>4</v>
      </c>
      <c r="G109" s="15">
        <v>4.4999999999999998E-2</v>
      </c>
      <c r="I109" s="906">
        <v>2</v>
      </c>
      <c r="J109" s="5">
        <v>0.82</v>
      </c>
      <c r="L109" s="906" t="s">
        <v>69</v>
      </c>
      <c r="M109" s="906" t="s">
        <v>380</v>
      </c>
      <c r="O109" s="152" t="s">
        <v>69</v>
      </c>
      <c r="P109" s="152" t="s">
        <v>380</v>
      </c>
    </row>
    <row r="110" spans="5:16" x14ac:dyDescent="0.25">
      <c r="F110" s="906">
        <v>5</v>
      </c>
      <c r="G110" s="15">
        <v>3.9E-2</v>
      </c>
      <c r="I110" s="906">
        <v>3</v>
      </c>
      <c r="J110" s="5">
        <v>0.72599999999999998</v>
      </c>
      <c r="L110" s="906">
        <v>1</v>
      </c>
      <c r="M110" s="905">
        <v>0.5</v>
      </c>
      <c r="O110" s="1926">
        <v>1</v>
      </c>
      <c r="P110" s="152">
        <v>8</v>
      </c>
    </row>
    <row r="111" spans="5:16" x14ac:dyDescent="0.25">
      <c r="F111" s="906">
        <v>6</v>
      </c>
      <c r="G111" s="15">
        <v>3.2000000000000001E-2</v>
      </c>
      <c r="I111" s="906">
        <v>4</v>
      </c>
      <c r="J111" s="5">
        <v>0.57299999999999995</v>
      </c>
      <c r="L111" s="18">
        <v>2</v>
      </c>
      <c r="M111" s="905">
        <v>0.56000000000000005</v>
      </c>
      <c r="O111" s="1926">
        <v>2</v>
      </c>
      <c r="P111" s="152">
        <v>9</v>
      </c>
    </row>
    <row r="112" spans="5:16" x14ac:dyDescent="0.25">
      <c r="F112" s="906">
        <v>7</v>
      </c>
      <c r="G112" s="15">
        <v>2.7E-2</v>
      </c>
      <c r="I112" s="906">
        <v>5</v>
      </c>
      <c r="J112" s="5">
        <v>0.496</v>
      </c>
      <c r="L112" s="18">
        <v>3</v>
      </c>
      <c r="M112" s="905">
        <v>0.63</v>
      </c>
      <c r="O112" s="1926">
        <v>3</v>
      </c>
      <c r="P112" s="152">
        <v>10</v>
      </c>
    </row>
    <row r="113" spans="6:16" x14ac:dyDescent="0.25">
      <c r="F113" s="906">
        <v>8</v>
      </c>
      <c r="G113" s="15">
        <v>2.1999999999999999E-2</v>
      </c>
      <c r="I113" s="906">
        <v>6</v>
      </c>
      <c r="J113" s="5">
        <v>0.36</v>
      </c>
      <c r="L113" s="18">
        <v>4</v>
      </c>
      <c r="M113" s="905">
        <v>0.71</v>
      </c>
      <c r="O113" s="1926">
        <v>4</v>
      </c>
      <c r="P113" s="152">
        <v>11</v>
      </c>
    </row>
    <row r="114" spans="6:16" x14ac:dyDescent="0.25">
      <c r="F114" s="906">
        <v>9</v>
      </c>
      <c r="G114" s="15">
        <v>1.7000000000000001E-2</v>
      </c>
      <c r="I114" s="906">
        <v>7</v>
      </c>
      <c r="J114" s="5">
        <v>0.30199999999999999</v>
      </c>
      <c r="L114" s="906">
        <v>5</v>
      </c>
      <c r="M114" s="905">
        <v>0.8</v>
      </c>
      <c r="O114" s="1926">
        <v>5</v>
      </c>
      <c r="P114" s="152">
        <v>12</v>
      </c>
    </row>
    <row r="115" spans="6:16" x14ac:dyDescent="0.25">
      <c r="F115" s="906">
        <v>10</v>
      </c>
      <c r="G115" s="15">
        <v>1.4999999999999999E-2</v>
      </c>
      <c r="I115" s="906">
        <v>8</v>
      </c>
      <c r="J115" s="5">
        <v>0.23799999999999999</v>
      </c>
      <c r="L115" s="906">
        <v>6</v>
      </c>
      <c r="M115" s="905">
        <v>0.9</v>
      </c>
      <c r="O115" s="1926">
        <v>6</v>
      </c>
      <c r="P115" s="152">
        <v>13</v>
      </c>
    </row>
    <row r="116" spans="6:16" x14ac:dyDescent="0.25">
      <c r="F116" s="906">
        <v>11</v>
      </c>
      <c r="G116" s="15">
        <v>1.2999999999999999E-2</v>
      </c>
      <c r="I116" s="906">
        <v>9</v>
      </c>
      <c r="J116" s="5">
        <v>0.20300000000000001</v>
      </c>
      <c r="L116" s="906">
        <v>7</v>
      </c>
      <c r="M116" s="905">
        <v>1</v>
      </c>
      <c r="O116" s="1926">
        <v>7</v>
      </c>
      <c r="P116" s="152">
        <v>14</v>
      </c>
    </row>
    <row r="117" spans="6:16" x14ac:dyDescent="0.25">
      <c r="F117" s="906">
        <v>12</v>
      </c>
      <c r="G117" s="15">
        <v>1.0999999999999999E-2</v>
      </c>
      <c r="I117" s="906">
        <v>10</v>
      </c>
      <c r="J117" s="5">
        <v>0.16700000000000001</v>
      </c>
      <c r="L117" s="906">
        <v>8</v>
      </c>
      <c r="M117" s="905">
        <v>1.1200000000000001</v>
      </c>
      <c r="O117" s="1926">
        <v>8</v>
      </c>
      <c r="P117" s="152">
        <v>15</v>
      </c>
    </row>
    <row r="118" spans="6:16" x14ac:dyDescent="0.25">
      <c r="F118" s="906">
        <v>13</v>
      </c>
      <c r="G118" s="15">
        <v>8.9999999999999993E-3</v>
      </c>
      <c r="I118" s="906">
        <v>11</v>
      </c>
      <c r="J118" s="5">
        <v>0.128</v>
      </c>
      <c r="L118" s="906">
        <v>9</v>
      </c>
      <c r="M118" s="905">
        <v>1.25</v>
      </c>
      <c r="O118" s="1926">
        <v>9</v>
      </c>
      <c r="P118" s="152">
        <v>16</v>
      </c>
    </row>
    <row r="119" spans="6:16" x14ac:dyDescent="0.25">
      <c r="F119" s="906">
        <v>14</v>
      </c>
      <c r="G119" s="15">
        <v>7.0000000000000001E-3</v>
      </c>
      <c r="I119" s="906">
        <v>12</v>
      </c>
      <c r="J119" s="5">
        <v>0.11700000000000001</v>
      </c>
      <c r="L119" s="906">
        <v>10</v>
      </c>
      <c r="M119" s="905">
        <v>1.4</v>
      </c>
      <c r="O119" s="1926">
        <v>10</v>
      </c>
      <c r="P119" s="152">
        <v>17</v>
      </c>
    </row>
    <row r="120" spans="6:16" x14ac:dyDescent="0.25">
      <c r="F120" s="906">
        <v>15</v>
      </c>
      <c r="G120" s="15">
        <v>5.0000000000000001E-3</v>
      </c>
      <c r="I120" s="906">
        <v>13</v>
      </c>
      <c r="J120" s="5">
        <v>8.7999999999999995E-2</v>
      </c>
      <c r="L120" s="906">
        <v>11</v>
      </c>
      <c r="M120" s="905">
        <v>1.6</v>
      </c>
      <c r="O120" s="1926">
        <v>11</v>
      </c>
      <c r="P120" s="152">
        <v>18</v>
      </c>
    </row>
    <row r="121" spans="6:16" x14ac:dyDescent="0.25">
      <c r="F121" s="906">
        <v>16</v>
      </c>
      <c r="G121" s="15">
        <v>3.0000000000000001E-3</v>
      </c>
      <c r="I121" s="906">
        <v>14</v>
      </c>
      <c r="J121" s="5">
        <v>6.7000000000000004E-2</v>
      </c>
      <c r="L121" s="906">
        <v>12</v>
      </c>
      <c r="M121" s="905">
        <v>1.8</v>
      </c>
      <c r="O121" s="1926">
        <v>12</v>
      </c>
      <c r="P121" s="152">
        <v>19</v>
      </c>
    </row>
    <row r="122" spans="6:16" x14ac:dyDescent="0.25">
      <c r="F122" s="15">
        <v>17</v>
      </c>
      <c r="G122" s="15">
        <v>2E-3</v>
      </c>
      <c r="I122" s="906">
        <v>15</v>
      </c>
      <c r="J122" s="5">
        <v>6.0999999999999999E-2</v>
      </c>
      <c r="L122" s="906">
        <v>13</v>
      </c>
      <c r="M122" s="905">
        <v>2</v>
      </c>
      <c r="O122" s="1926">
        <v>13</v>
      </c>
      <c r="P122" s="152">
        <v>20</v>
      </c>
    </row>
    <row r="123" spans="6:16" x14ac:dyDescent="0.25">
      <c r="I123" s="906">
        <v>16</v>
      </c>
      <c r="J123" s="5">
        <v>4.4999999999999998E-2</v>
      </c>
      <c r="L123" s="906">
        <v>14</v>
      </c>
      <c r="M123" s="905">
        <v>2.2400000000000002</v>
      </c>
    </row>
    <row r="124" spans="6:16" x14ac:dyDescent="0.25">
      <c r="I124" s="906">
        <v>17</v>
      </c>
      <c r="J124" s="5">
        <v>3.9E-2</v>
      </c>
      <c r="L124" s="906">
        <v>15</v>
      </c>
      <c r="M124" s="905">
        <v>2.5</v>
      </c>
    </row>
    <row r="125" spans="6:16" x14ac:dyDescent="0.25">
      <c r="F125" s="13" t="s">
        <v>1293</v>
      </c>
      <c r="G125" s="13"/>
      <c r="L125" s="906">
        <v>16</v>
      </c>
      <c r="M125" s="905">
        <v>2.8</v>
      </c>
    </row>
    <row r="126" spans="6:16" x14ac:dyDescent="0.25">
      <c r="F126" s="906" t="s">
        <v>1294</v>
      </c>
      <c r="G126" s="906" t="s">
        <v>812</v>
      </c>
      <c r="L126" s="906">
        <v>17</v>
      </c>
      <c r="M126" s="905">
        <v>3.15</v>
      </c>
    </row>
    <row r="127" spans="6:16" x14ac:dyDescent="0.25">
      <c r="F127" s="906">
        <v>1</v>
      </c>
      <c r="G127" s="905">
        <v>1</v>
      </c>
      <c r="L127" s="906">
        <v>18</v>
      </c>
      <c r="M127" s="905">
        <v>3.55</v>
      </c>
    </row>
    <row r="128" spans="6:16" x14ac:dyDescent="0.25">
      <c r="F128" s="906">
        <v>2</v>
      </c>
      <c r="G128" s="905">
        <v>0.91</v>
      </c>
      <c r="L128" s="906">
        <v>19</v>
      </c>
      <c r="M128" s="905">
        <v>4</v>
      </c>
    </row>
    <row r="129" spans="6:21" x14ac:dyDescent="0.25">
      <c r="F129" s="906">
        <v>3</v>
      </c>
      <c r="G129" s="905">
        <v>0.82</v>
      </c>
      <c r="L129" s="906">
        <v>20</v>
      </c>
      <c r="M129" s="905">
        <v>4.5</v>
      </c>
    </row>
    <row r="130" spans="6:21" x14ac:dyDescent="0.25">
      <c r="F130" s="906">
        <v>4</v>
      </c>
      <c r="G130" s="905">
        <v>0.73</v>
      </c>
      <c r="L130" s="906">
        <v>21</v>
      </c>
      <c r="M130" s="905">
        <v>5</v>
      </c>
    </row>
    <row r="131" spans="6:21" x14ac:dyDescent="0.25">
      <c r="F131" s="906">
        <v>5</v>
      </c>
      <c r="G131" s="905">
        <v>0.64</v>
      </c>
      <c r="L131" s="906">
        <v>22</v>
      </c>
      <c r="M131" s="905">
        <v>5.6</v>
      </c>
    </row>
    <row r="132" spans="6:21" x14ac:dyDescent="0.25">
      <c r="F132" s="906">
        <v>6</v>
      </c>
      <c r="G132" s="905">
        <v>0.5</v>
      </c>
      <c r="L132" s="906">
        <v>23</v>
      </c>
      <c r="M132" s="905">
        <v>6.3</v>
      </c>
    </row>
    <row r="133" spans="6:21" x14ac:dyDescent="0.25">
      <c r="F133" s="906">
        <v>7</v>
      </c>
      <c r="G133" s="905">
        <v>0.41</v>
      </c>
      <c r="L133" s="906">
        <v>24</v>
      </c>
      <c r="M133" s="905">
        <v>7.1</v>
      </c>
    </row>
    <row r="134" spans="6:21" x14ac:dyDescent="0.25">
      <c r="F134" s="906">
        <v>8</v>
      </c>
      <c r="G134" s="905">
        <v>0.3</v>
      </c>
      <c r="L134" s="906">
        <v>25</v>
      </c>
      <c r="M134" s="905">
        <v>8</v>
      </c>
    </row>
    <row r="135" spans="6:21" x14ac:dyDescent="0.25">
      <c r="F135" s="906">
        <v>9</v>
      </c>
      <c r="G135" s="905">
        <v>0.2</v>
      </c>
      <c r="L135" s="906">
        <v>26</v>
      </c>
      <c r="M135" s="905">
        <v>8.9</v>
      </c>
    </row>
    <row r="136" spans="6:21" x14ac:dyDescent="0.25">
      <c r="F136" s="906">
        <v>10</v>
      </c>
      <c r="G136" s="905">
        <v>0.11</v>
      </c>
      <c r="H136" s="18" t="s">
        <v>794</v>
      </c>
      <c r="L136" s="906">
        <v>27</v>
      </c>
      <c r="M136" s="905">
        <v>10</v>
      </c>
    </row>
    <row r="137" spans="6:21" x14ac:dyDescent="0.25">
      <c r="L137" s="906">
        <v>28</v>
      </c>
      <c r="M137" s="905">
        <v>11.1</v>
      </c>
    </row>
    <row r="138" spans="6:21" x14ac:dyDescent="0.25">
      <c r="L138" s="906">
        <v>29</v>
      </c>
      <c r="M138" s="905">
        <v>12.5</v>
      </c>
    </row>
    <row r="139" spans="6:21" x14ac:dyDescent="0.25">
      <c r="L139" s="906">
        <v>30</v>
      </c>
      <c r="M139" s="905">
        <v>14.3</v>
      </c>
    </row>
    <row r="140" spans="6:21" x14ac:dyDescent="0.25">
      <c r="F140" s="2370" t="s">
        <v>1125</v>
      </c>
      <c r="G140" s="2370"/>
    </row>
    <row r="141" spans="6:21" ht="15.75" x14ac:dyDescent="0.25">
      <c r="F141" s="2368" t="s">
        <v>485</v>
      </c>
      <c r="G141" s="2369"/>
      <c r="J141" s="932"/>
      <c r="K141" s="18"/>
    </row>
    <row r="142" spans="6:21" x14ac:dyDescent="0.25">
      <c r="F142" s="793" t="s">
        <v>1124</v>
      </c>
      <c r="G142" s="794" t="s">
        <v>32</v>
      </c>
      <c r="H142" s="15"/>
      <c r="I142" s="18"/>
      <c r="J142" s="15"/>
      <c r="K142" s="18"/>
      <c r="L142" s="15"/>
      <c r="M142" s="18"/>
      <c r="N142" s="830"/>
      <c r="O142" s="830"/>
      <c r="P142"/>
      <c r="R142" s="15"/>
      <c r="S142" s="15"/>
      <c r="T142" s="15"/>
      <c r="U142" s="15"/>
    </row>
    <row r="143" spans="6:21" x14ac:dyDescent="0.25">
      <c r="F143" s="934">
        <v>1</v>
      </c>
      <c r="G143" s="933">
        <v>2.5</v>
      </c>
      <c r="H143" s="15"/>
      <c r="I143" s="18"/>
      <c r="J143" s="15"/>
      <c r="K143" s="18"/>
      <c r="L143" s="15"/>
      <c r="M143" s="18"/>
      <c r="N143" s="830"/>
      <c r="O143" s="830"/>
      <c r="P143"/>
      <c r="R143" s="15"/>
      <c r="S143" s="15"/>
      <c r="T143" s="15"/>
      <c r="U143" s="15"/>
    </row>
    <row r="144" spans="6:21" x14ac:dyDescent="0.25">
      <c r="F144" s="934">
        <v>2</v>
      </c>
      <c r="G144" s="933">
        <v>2.8</v>
      </c>
      <c r="H144" s="15"/>
      <c r="I144" s="18"/>
      <c r="J144" s="15"/>
      <c r="K144" s="18"/>
      <c r="L144" s="15"/>
      <c r="M144" s="18"/>
      <c r="N144" s="830"/>
      <c r="O144" s="830"/>
      <c r="P144"/>
      <c r="R144" s="15"/>
      <c r="S144" s="15"/>
      <c r="T144" s="15"/>
      <c r="U144" s="15"/>
    </row>
    <row r="145" spans="6:21" x14ac:dyDescent="0.25">
      <c r="F145" s="934">
        <v>3</v>
      </c>
      <c r="G145" s="933">
        <v>3.1</v>
      </c>
      <c r="H145" s="15"/>
      <c r="I145" s="18"/>
      <c r="J145" s="15"/>
      <c r="K145" s="18"/>
      <c r="L145" s="15"/>
      <c r="M145" s="18"/>
      <c r="N145" s="830"/>
      <c r="O145" s="830"/>
      <c r="P145"/>
      <c r="R145" s="15"/>
      <c r="S145" s="15"/>
      <c r="T145" s="15"/>
      <c r="U145" s="15"/>
    </row>
    <row r="146" spans="6:21" x14ac:dyDescent="0.25">
      <c r="F146" s="934">
        <v>4</v>
      </c>
      <c r="G146" s="933">
        <v>5</v>
      </c>
      <c r="H146" s="15"/>
      <c r="I146" s="18"/>
      <c r="J146" s="15"/>
      <c r="K146" s="18"/>
      <c r="L146" s="15"/>
      <c r="M146" s="18"/>
      <c r="N146" s="830"/>
      <c r="O146" s="830"/>
      <c r="P146"/>
      <c r="R146" s="15"/>
      <c r="S146" s="15"/>
      <c r="T146" s="15"/>
      <c r="U146" s="15"/>
    </row>
    <row r="147" spans="6:21" x14ac:dyDescent="0.25">
      <c r="F147" s="934">
        <v>5</v>
      </c>
      <c r="G147" s="933">
        <v>5.8</v>
      </c>
      <c r="H147" s="15"/>
      <c r="I147" s="18"/>
      <c r="J147" s="15"/>
      <c r="K147" s="18"/>
      <c r="L147" s="15"/>
      <c r="M147" s="18"/>
      <c r="N147" s="15"/>
      <c r="O147" s="18"/>
      <c r="P147" s="830"/>
      <c r="Q147" s="830"/>
      <c r="R147"/>
      <c r="S147" s="15"/>
      <c r="T147" s="15"/>
      <c r="U147" s="15"/>
    </row>
    <row r="148" spans="6:21" x14ac:dyDescent="0.25">
      <c r="F148" s="795">
        <v>6</v>
      </c>
      <c r="G148" s="796">
        <v>6.3</v>
      </c>
      <c r="H148" s="15"/>
      <c r="I148" s="18"/>
      <c r="J148" s="15"/>
      <c r="K148" s="18"/>
      <c r="L148" s="15"/>
      <c r="M148" s="18"/>
      <c r="N148" s="15"/>
      <c r="O148" s="18"/>
      <c r="P148" s="830"/>
      <c r="Q148" s="830"/>
      <c r="R148"/>
      <c r="S148" s="15"/>
      <c r="T148" s="15"/>
      <c r="U148" s="15"/>
    </row>
    <row r="149" spans="6:21" ht="15.75" x14ac:dyDescent="0.25">
      <c r="F149" s="2368" t="s">
        <v>1324</v>
      </c>
      <c r="G149" s="2369"/>
    </row>
    <row r="150" spans="6:21" x14ac:dyDescent="0.25">
      <c r="F150" s="793" t="s">
        <v>1124</v>
      </c>
      <c r="G150" s="794" t="s">
        <v>32</v>
      </c>
    </row>
    <row r="151" spans="6:21" x14ac:dyDescent="0.25">
      <c r="F151" s="934">
        <v>1</v>
      </c>
      <c r="G151" s="933">
        <v>2.5</v>
      </c>
    </row>
    <row r="152" spans="6:21" x14ac:dyDescent="0.25">
      <c r="F152" s="934">
        <v>2</v>
      </c>
      <c r="G152" s="933">
        <v>2</v>
      </c>
    </row>
    <row r="153" spans="6:21" x14ac:dyDescent="0.25">
      <c r="F153" s="773">
        <v>3</v>
      </c>
      <c r="G153" s="772">
        <v>1.5</v>
      </c>
      <c r="H153" s="935"/>
    </row>
    <row r="154" spans="6:21" x14ac:dyDescent="0.25">
      <c r="F154" s="795">
        <v>4</v>
      </c>
      <c r="G154" s="796">
        <v>1</v>
      </c>
    </row>
    <row r="157" spans="6:21" x14ac:dyDescent="0.25">
      <c r="F157" s="774"/>
      <c r="G157" s="774"/>
    </row>
  </sheetData>
  <sortState ref="N2:O44">
    <sortCondition ref="N2"/>
  </sortState>
  <mergeCells count="20">
    <mergeCell ref="A30:E30"/>
    <mergeCell ref="A66:C66"/>
    <mergeCell ref="D66:F66"/>
    <mergeCell ref="G66:I66"/>
    <mergeCell ref="A1:E1"/>
    <mergeCell ref="G28:J28"/>
    <mergeCell ref="G25:J25"/>
    <mergeCell ref="G26:J26"/>
    <mergeCell ref="F149:G149"/>
    <mergeCell ref="F141:G141"/>
    <mergeCell ref="F140:G140"/>
    <mergeCell ref="V1:Z1"/>
    <mergeCell ref="N68:O68"/>
    <mergeCell ref="N67:O67"/>
    <mergeCell ref="J66:L66"/>
    <mergeCell ref="N69:O69"/>
    <mergeCell ref="H30:I30"/>
    <mergeCell ref="G27:J27"/>
    <mergeCell ref="L48:O48"/>
    <mergeCell ref="V15:X15"/>
  </mergeCells>
  <hyperlinks>
    <hyperlink ref="F28" r:id="rId1"/>
  </hyperlinks>
  <pageMargins left="0.511811024" right="0.511811024" top="0.78740157499999996" bottom="0.78740157499999996" header="0.31496062000000002" footer="0.31496062000000002"/>
  <pageSetup paperSize="9" orientation="portrait" r:id="rId2"/>
  <drawing r:id="rId3"/>
  <tableParts count="14">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3"/>
  <sheetViews>
    <sheetView zoomScaleNormal="100" workbookViewId="0">
      <selection activeCell="V21" sqref="V21"/>
    </sheetView>
  </sheetViews>
  <sheetFormatPr defaultRowHeight="15" x14ac:dyDescent="0.25"/>
  <cols>
    <col min="1" max="1" width="120.140625" style="1567" bestFit="1" customWidth="1"/>
    <col min="2" max="2" width="18.140625" style="1567" customWidth="1"/>
    <col min="3" max="3" width="14.28515625" style="1941" customWidth="1"/>
    <col min="4" max="16384" width="9.140625" style="1567"/>
  </cols>
  <sheetData>
    <row r="2" spans="1:3" ht="18.75" x14ac:dyDescent="0.25">
      <c r="A2" s="1933" t="s">
        <v>2029</v>
      </c>
    </row>
    <row r="5" spans="1:3" s="1942" customFormat="1" x14ac:dyDescent="0.25">
      <c r="A5" s="1942" t="s">
        <v>2028</v>
      </c>
      <c r="B5" s="1942" t="s">
        <v>1760</v>
      </c>
      <c r="C5" s="1943" t="s">
        <v>2033</v>
      </c>
    </row>
    <row r="6" spans="1:3" x14ac:dyDescent="0.25">
      <c r="A6" s="1567" t="s">
        <v>2030</v>
      </c>
    </row>
    <row r="7" spans="1:3" ht="16.5" customHeight="1" x14ac:dyDescent="0.25">
      <c r="A7" s="1567" t="s">
        <v>2031</v>
      </c>
      <c r="B7" s="1567" t="s">
        <v>2032</v>
      </c>
      <c r="C7" s="1941" t="s">
        <v>2034</v>
      </c>
    </row>
    <row r="8" spans="1:3" x14ac:dyDescent="0.25">
      <c r="A8" s="1567" t="s">
        <v>2035</v>
      </c>
    </row>
    <row r="9" spans="1:3" x14ac:dyDescent="0.25">
      <c r="A9" s="1567" t="s">
        <v>2036</v>
      </c>
    </row>
    <row r="10" spans="1:3" x14ac:dyDescent="0.25">
      <c r="A10" s="1567" t="s">
        <v>2037</v>
      </c>
    </row>
    <row r="11" spans="1:3" x14ac:dyDescent="0.25">
      <c r="A11" s="1567" t="s">
        <v>2038</v>
      </c>
    </row>
    <row r="12" spans="1:3" x14ac:dyDescent="0.25">
      <c r="A12" s="1567" t="s">
        <v>2039</v>
      </c>
    </row>
    <row r="13" spans="1:3" x14ac:dyDescent="0.25">
      <c r="A13" s="1567" t="s">
        <v>2040</v>
      </c>
      <c r="B13" s="1567" t="s">
        <v>112</v>
      </c>
    </row>
    <row r="14" spans="1:3" x14ac:dyDescent="0.25">
      <c r="A14" s="1567" t="s">
        <v>2041</v>
      </c>
    </row>
    <row r="15" spans="1:3" x14ac:dyDescent="0.25">
      <c r="A15" s="1567" t="s">
        <v>2042</v>
      </c>
      <c r="B15" s="1567" t="s">
        <v>112</v>
      </c>
    </row>
    <row r="16" spans="1:3" x14ac:dyDescent="0.25">
      <c r="A16" s="1567" t="s">
        <v>2043</v>
      </c>
    </row>
    <row r="17" spans="1:3" x14ac:dyDescent="0.25">
      <c r="A17" s="1567" t="s">
        <v>2044</v>
      </c>
      <c r="B17" s="1567" t="s">
        <v>2032</v>
      </c>
      <c r="C17" s="1941" t="s">
        <v>2045</v>
      </c>
    </row>
    <row r="18" spans="1:3" x14ac:dyDescent="0.25">
      <c r="A18" s="1567" t="s">
        <v>2046</v>
      </c>
      <c r="B18" s="1567" t="s">
        <v>2032</v>
      </c>
      <c r="C18" s="1941" t="s">
        <v>2048</v>
      </c>
    </row>
    <row r="19" spans="1:3" x14ac:dyDescent="0.25">
      <c r="A19" s="1567" t="s">
        <v>2047</v>
      </c>
      <c r="B19" s="1567" t="s">
        <v>2032</v>
      </c>
      <c r="C19" s="1941" t="s">
        <v>2049</v>
      </c>
    </row>
    <row r="20" spans="1:3" x14ac:dyDescent="0.25">
      <c r="A20" s="1567" t="s">
        <v>2050</v>
      </c>
    </row>
    <row r="21" spans="1:3" x14ac:dyDescent="0.25">
      <c r="A21" s="1567" t="s">
        <v>2051</v>
      </c>
    </row>
    <row r="22" spans="1:3" x14ac:dyDescent="0.25">
      <c r="A22" s="1567" t="s">
        <v>2052</v>
      </c>
    </row>
    <row r="23" spans="1:3" x14ac:dyDescent="0.25">
      <c r="A23" s="1567" t="s">
        <v>2053</v>
      </c>
    </row>
    <row r="24" spans="1:3" x14ac:dyDescent="0.25">
      <c r="A24" s="1567" t="s">
        <v>2054</v>
      </c>
    </row>
    <row r="25" spans="1:3" x14ac:dyDescent="0.25">
      <c r="A25" s="1567" t="s">
        <v>2055</v>
      </c>
    </row>
    <row r="26" spans="1:3" x14ac:dyDescent="0.25">
      <c r="A26" s="1567" t="s">
        <v>2056</v>
      </c>
    </row>
    <row r="27" spans="1:3" x14ac:dyDescent="0.25">
      <c r="A27" s="1567" t="s">
        <v>2059</v>
      </c>
      <c r="C27" t="s">
        <v>2058</v>
      </c>
    </row>
    <row r="28" spans="1:3" x14ac:dyDescent="0.25">
      <c r="A28" s="1950" t="s">
        <v>2070</v>
      </c>
      <c r="B28" s="1567" t="s">
        <v>2057</v>
      </c>
      <c r="C28" s="620" t="s">
        <v>2068</v>
      </c>
    </row>
    <row r="29" spans="1:3" x14ac:dyDescent="0.25">
      <c r="A29" s="1942" t="s">
        <v>2078</v>
      </c>
      <c r="B29" s="1567" t="s">
        <v>2079</v>
      </c>
    </row>
    <row r="30" spans="1:3" x14ac:dyDescent="0.25">
      <c r="A30" s="1567" t="s">
        <v>2080</v>
      </c>
      <c r="B30" s="1567" t="s">
        <v>2079</v>
      </c>
    </row>
    <row r="31" spans="1:3" x14ac:dyDescent="0.25">
      <c r="A31" s="1567" t="s">
        <v>416</v>
      </c>
      <c r="B31" s="1567" t="s">
        <v>2032</v>
      </c>
    </row>
    <row r="32" spans="1:3" x14ac:dyDescent="0.25">
      <c r="A32" s="1567" t="s">
        <v>2087</v>
      </c>
      <c r="B32" s="1567" t="s">
        <v>112</v>
      </c>
    </row>
    <row r="33" spans="1:2" x14ac:dyDescent="0.25">
      <c r="A33" s="1567" t="s">
        <v>2090</v>
      </c>
      <c r="B33" s="1567" t="s">
        <v>635</v>
      </c>
    </row>
  </sheetData>
  <hyperlinks>
    <hyperlink ref="A28" r:id="rId1" display="http://portalsinan.saude.gov.br/images/documentos/Legislacoes/Portaria_Consolidacao_5_28_SETEMBRO_2017.pdf"/>
  </hyperlinks>
  <pageMargins left="0.511811024" right="0.511811024" top="0.78740157499999996" bottom="0.78740157499999996" header="0.31496062000000002" footer="0.31496062000000002"/>
  <pageSetup paperSize="9" orientation="portrait" verticalDpi="0"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5"/>
  <sheetViews>
    <sheetView workbookViewId="0">
      <selection activeCell="V21" sqref="V21"/>
    </sheetView>
  </sheetViews>
  <sheetFormatPr defaultRowHeight="15" x14ac:dyDescent="0.25"/>
  <cols>
    <col min="1" max="1" width="30.5703125" style="228" bestFit="1" customWidth="1"/>
    <col min="2" max="2" width="10" style="228" customWidth="1"/>
    <col min="3" max="3" width="21" style="228" bestFit="1" customWidth="1"/>
    <col min="4" max="4" width="9.140625" style="228"/>
    <col min="5" max="5" width="15.42578125" style="228" customWidth="1"/>
    <col min="6" max="6" width="9.85546875" style="228" bestFit="1" customWidth="1"/>
    <col min="7" max="16384" width="9.140625" style="228"/>
  </cols>
  <sheetData>
    <row r="1" spans="1:7" ht="15.75" thickBot="1" x14ac:dyDescent="0.3"/>
    <row r="2" spans="1:7" ht="18" thickBot="1" x14ac:dyDescent="0.3">
      <c r="A2" s="1711" t="s">
        <v>97</v>
      </c>
      <c r="B2" s="1710">
        <v>3.77</v>
      </c>
      <c r="C2" s="1712" t="s">
        <v>1841</v>
      </c>
      <c r="E2" s="152"/>
      <c r="F2" s="152"/>
      <c r="G2" s="152"/>
    </row>
    <row r="3" spans="1:7" ht="15.75" thickBot="1" x14ac:dyDescent="0.3"/>
    <row r="4" spans="1:7" x14ac:dyDescent="0.25">
      <c r="A4" s="2397" t="s">
        <v>1831</v>
      </c>
      <c r="B4" s="1702" t="s">
        <v>1838</v>
      </c>
      <c r="C4" s="1701" t="s">
        <v>1839</v>
      </c>
    </row>
    <row r="5" spans="1:7" x14ac:dyDescent="0.25">
      <c r="A5" s="2398"/>
      <c r="B5" s="1708" t="s">
        <v>0</v>
      </c>
      <c r="C5" s="1709" t="s">
        <v>1840</v>
      </c>
    </row>
    <row r="6" spans="1:7" x14ac:dyDescent="0.25">
      <c r="A6" s="973" t="s">
        <v>1832</v>
      </c>
      <c r="B6" s="1692">
        <v>30</v>
      </c>
      <c r="C6" s="848">
        <v>4.2389999999999999</v>
      </c>
    </row>
    <row r="7" spans="1:7" x14ac:dyDescent="0.25">
      <c r="A7" s="973" t="s">
        <v>1833</v>
      </c>
      <c r="B7" s="1692">
        <v>40</v>
      </c>
      <c r="C7" s="848">
        <v>2.2480000000000002</v>
      </c>
    </row>
    <row r="8" spans="1:7" x14ac:dyDescent="0.25">
      <c r="A8" s="973" t="s">
        <v>1834</v>
      </c>
      <c r="B8" s="1692">
        <v>60</v>
      </c>
      <c r="C8" s="848">
        <v>1.4</v>
      </c>
    </row>
    <row r="9" spans="1:7" x14ac:dyDescent="0.25">
      <c r="A9" s="973" t="s">
        <v>1835</v>
      </c>
      <c r="B9" s="1692">
        <v>80</v>
      </c>
      <c r="C9" s="848">
        <v>1.173</v>
      </c>
    </row>
    <row r="10" spans="1:7" x14ac:dyDescent="0.25">
      <c r="A10" s="973" t="s">
        <v>1836</v>
      </c>
      <c r="B10" s="1692">
        <v>100</v>
      </c>
      <c r="C10" s="848">
        <v>1.0660000000000001</v>
      </c>
    </row>
    <row r="11" spans="1:7" ht="15.75" thickBot="1" x14ac:dyDescent="0.3">
      <c r="A11" s="1693" t="s">
        <v>1837</v>
      </c>
      <c r="B11" s="1707">
        <v>120</v>
      </c>
      <c r="C11" s="848">
        <v>1.032</v>
      </c>
    </row>
    <row r="13" spans="1:7" ht="15.75" thickBot="1" x14ac:dyDescent="0.3"/>
    <row r="14" spans="1:7" ht="15" customHeight="1" x14ac:dyDescent="0.25">
      <c r="A14" s="2399" t="s">
        <v>1845</v>
      </c>
      <c r="B14" s="2401" t="s">
        <v>1843</v>
      </c>
      <c r="C14" s="2401"/>
      <c r="D14" s="2401"/>
      <c r="E14" s="2402"/>
    </row>
    <row r="15" spans="1:7" x14ac:dyDescent="0.25">
      <c r="A15" s="2400"/>
      <c r="B15" s="2403"/>
      <c r="C15" s="2403"/>
      <c r="D15" s="2403"/>
      <c r="E15" s="2404"/>
    </row>
    <row r="16" spans="1:7" x14ac:dyDescent="0.25">
      <c r="A16" s="1713" t="s">
        <v>0</v>
      </c>
      <c r="B16" s="1694" t="s">
        <v>1857</v>
      </c>
      <c r="C16" s="1694" t="s">
        <v>16</v>
      </c>
      <c r="D16" s="1694" t="s">
        <v>1842</v>
      </c>
      <c r="E16" s="1714" t="s">
        <v>1844</v>
      </c>
    </row>
    <row r="17" spans="1:5" x14ac:dyDescent="0.25">
      <c r="A17" s="1045">
        <v>25</v>
      </c>
      <c r="B17" s="1688">
        <v>0.96299999999999997</v>
      </c>
      <c r="C17" s="1688">
        <v>0.996</v>
      </c>
      <c r="D17" s="1688">
        <v>1.087</v>
      </c>
      <c r="E17" s="1689">
        <f t="shared" ref="E17:E22" si="0">$E$23</f>
        <v>1.083</v>
      </c>
    </row>
    <row r="18" spans="1:5" x14ac:dyDescent="0.25">
      <c r="A18" s="1045">
        <v>28</v>
      </c>
      <c r="B18" s="1688">
        <v>0.97399999999999998</v>
      </c>
      <c r="C18" s="1688">
        <v>0.99</v>
      </c>
      <c r="D18" s="1688">
        <v>1.1379999999999999</v>
      </c>
      <c r="E18" s="1689">
        <f t="shared" si="0"/>
        <v>1.083</v>
      </c>
    </row>
    <row r="19" spans="1:5" x14ac:dyDescent="0.25">
      <c r="A19" s="1045">
        <v>30</v>
      </c>
      <c r="B19" s="1688">
        <v>0.97799999999999998</v>
      </c>
      <c r="C19" s="1688">
        <v>0.98099999999999998</v>
      </c>
      <c r="D19" s="1688">
        <v>1.1339999999999999</v>
      </c>
      <c r="E19" s="1689">
        <f t="shared" si="0"/>
        <v>1.083</v>
      </c>
    </row>
    <row r="20" spans="1:5" x14ac:dyDescent="0.25">
      <c r="A20" s="1045">
        <v>50</v>
      </c>
      <c r="B20" s="1688">
        <v>1.02</v>
      </c>
      <c r="C20" s="1688">
        <v>0.998</v>
      </c>
      <c r="D20" s="1688">
        <v>1.0329999999999999</v>
      </c>
      <c r="E20" s="1689">
        <f t="shared" si="0"/>
        <v>1.083</v>
      </c>
    </row>
    <row r="21" spans="1:5" x14ac:dyDescent="0.25">
      <c r="A21" s="1045">
        <v>70</v>
      </c>
      <c r="B21" s="1688">
        <v>1.006</v>
      </c>
      <c r="C21" s="1688">
        <v>0.99399999999999999</v>
      </c>
      <c r="D21" s="1688">
        <v>1.0629999999999999</v>
      </c>
      <c r="E21" s="1689">
        <f t="shared" si="0"/>
        <v>1.083</v>
      </c>
    </row>
    <row r="22" spans="1:5" x14ac:dyDescent="0.25">
      <c r="A22" s="1045">
        <v>90</v>
      </c>
      <c r="B22" s="1688">
        <v>1.0109999999999999</v>
      </c>
      <c r="C22" s="1688">
        <v>0.99199999999999999</v>
      </c>
      <c r="D22" s="1688">
        <v>1.1000000000000001</v>
      </c>
      <c r="E22" s="1689">
        <f t="shared" si="0"/>
        <v>1.083</v>
      </c>
    </row>
    <row r="23" spans="1:5" x14ac:dyDescent="0.25">
      <c r="A23" s="1045">
        <v>100</v>
      </c>
      <c r="B23" s="1688">
        <f>B22</f>
        <v>1.0109999999999999</v>
      </c>
      <c r="C23" s="1688">
        <f>C22</f>
        <v>0.99199999999999999</v>
      </c>
      <c r="D23" s="1688">
        <f>$D$22</f>
        <v>1.1000000000000001</v>
      </c>
      <c r="E23" s="1689">
        <v>1.083</v>
      </c>
    </row>
    <row r="24" spans="1:5" x14ac:dyDescent="0.25">
      <c r="A24" s="1045">
        <v>120</v>
      </c>
      <c r="B24" s="1688">
        <v>1.018</v>
      </c>
      <c r="C24" s="1688">
        <v>1.0069999999999999</v>
      </c>
      <c r="D24" s="1688">
        <f>$D$22</f>
        <v>1.1000000000000001</v>
      </c>
      <c r="E24" s="1689">
        <v>1.075</v>
      </c>
    </row>
    <row r="25" spans="1:5" ht="15.75" thickBot="1" x14ac:dyDescent="0.3">
      <c r="A25" s="1046">
        <v>150</v>
      </c>
      <c r="B25" s="1690">
        <f>B24</f>
        <v>1.018</v>
      </c>
      <c r="C25" s="1690">
        <f>C24</f>
        <v>1.0069999999999999</v>
      </c>
      <c r="D25" s="1690">
        <f>$D$22</f>
        <v>1.1000000000000001</v>
      </c>
      <c r="E25" s="1691">
        <v>1.0780000000000001</v>
      </c>
    </row>
  </sheetData>
  <sheetProtection sheet="1" objects="1" scenarios="1"/>
  <mergeCells count="3">
    <mergeCell ref="A4:A5"/>
    <mergeCell ref="A14:A15"/>
    <mergeCell ref="B14:E15"/>
  </mergeCells>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W40"/>
  <sheetViews>
    <sheetView topLeftCell="A7" zoomScale="70" zoomScaleNormal="70" workbookViewId="0">
      <selection activeCell="V21" sqref="V21"/>
    </sheetView>
  </sheetViews>
  <sheetFormatPr defaultRowHeight="15" x14ac:dyDescent="0.25"/>
  <cols>
    <col min="1" max="1" width="27.42578125" style="228" bestFit="1" customWidth="1"/>
    <col min="2" max="2" width="22.85546875" style="228" customWidth="1"/>
    <col min="3" max="3" width="14.7109375" style="228" customWidth="1"/>
    <col min="4" max="4" width="57.140625" style="228" customWidth="1"/>
    <col min="5" max="5" width="8.140625" style="228" customWidth="1"/>
    <col min="6" max="6" width="34.42578125" style="228" customWidth="1"/>
    <col min="7" max="7" width="31.5703125" style="228" customWidth="1"/>
    <col min="8" max="8" width="14" style="228" customWidth="1"/>
    <col min="9" max="9" width="23.85546875" style="228" customWidth="1"/>
    <col min="10" max="10" width="10.85546875" style="228" customWidth="1"/>
    <col min="11" max="11" width="25.85546875" style="228" customWidth="1"/>
    <col min="12" max="12" width="24.140625" style="228" customWidth="1"/>
    <col min="13" max="13" width="9.140625" style="228"/>
    <col min="14" max="14" width="42.42578125" style="228" customWidth="1"/>
    <col min="15" max="15" width="9.140625" style="228"/>
    <col min="16" max="16" width="16.42578125" style="228" customWidth="1"/>
    <col min="17" max="17" width="9.140625" style="228"/>
    <col min="18" max="18" width="23.42578125" style="228" customWidth="1"/>
    <col min="19" max="19" width="17.5703125" style="228" customWidth="1"/>
    <col min="20" max="20" width="21.42578125" style="228" bestFit="1" customWidth="1"/>
    <col min="21" max="22" width="26.5703125" style="228" bestFit="1" customWidth="1"/>
    <col min="23" max="16384" width="9.140625" style="228"/>
  </cols>
  <sheetData>
    <row r="1" spans="1:23" ht="14.45" customHeight="1" x14ac:dyDescent="0.25">
      <c r="B1" s="700" t="s">
        <v>258</v>
      </c>
      <c r="C1" s="700" t="s">
        <v>259</v>
      </c>
      <c r="D1" s="700" t="s">
        <v>260</v>
      </c>
      <c r="E1" s="700" t="s">
        <v>261</v>
      </c>
      <c r="F1" s="700" t="s">
        <v>262</v>
      </c>
      <c r="G1" s="700" t="s">
        <v>263</v>
      </c>
      <c r="H1" s="700" t="s">
        <v>264</v>
      </c>
      <c r="I1" s="700" t="s">
        <v>309</v>
      </c>
      <c r="J1" s="700" t="s">
        <v>298</v>
      </c>
      <c r="K1" s="700" t="s">
        <v>445</v>
      </c>
      <c r="N1" s="2405" t="s">
        <v>760</v>
      </c>
      <c r="O1" s="2401"/>
      <c r="P1" s="2402"/>
      <c r="R1" s="2409" t="s">
        <v>1016</v>
      </c>
      <c r="S1" s="2409"/>
      <c r="T1" s="2409"/>
      <c r="U1" s="2409"/>
      <c r="V1" s="637"/>
      <c r="W1" s="1695"/>
    </row>
    <row r="2" spans="1:23" ht="14.45" customHeight="1" thickBot="1" x14ac:dyDescent="0.3">
      <c r="B2" s="228" t="s">
        <v>265</v>
      </c>
      <c r="C2" s="228">
        <v>60</v>
      </c>
      <c r="D2" s="228" t="s">
        <v>266</v>
      </c>
      <c r="E2" s="228" t="s">
        <v>267</v>
      </c>
      <c r="F2" s="228" t="s">
        <v>158</v>
      </c>
      <c r="G2" s="228" t="s">
        <v>441</v>
      </c>
      <c r="H2" s="228" t="s">
        <v>268</v>
      </c>
      <c r="I2" s="228" t="s">
        <v>308</v>
      </c>
      <c r="J2" s="228" t="s">
        <v>159</v>
      </c>
      <c r="K2" s="228" t="s">
        <v>446</v>
      </c>
      <c r="N2" s="2406"/>
      <c r="O2" s="2407"/>
      <c r="P2" s="2408"/>
      <c r="R2" s="2410"/>
      <c r="S2" s="2410"/>
      <c r="T2" s="2410"/>
      <c r="U2" s="2410"/>
      <c r="V2" s="637"/>
      <c r="W2" s="1695"/>
    </row>
    <row r="3" spans="1:23" x14ac:dyDescent="0.25">
      <c r="B3" s="228" t="s">
        <v>257</v>
      </c>
      <c r="C3" s="228">
        <v>120</v>
      </c>
      <c r="D3" s="228" t="s">
        <v>269</v>
      </c>
      <c r="E3" s="228" t="s">
        <v>270</v>
      </c>
      <c r="F3" s="228" t="s">
        <v>159</v>
      </c>
      <c r="G3" s="228" t="s">
        <v>442</v>
      </c>
      <c r="H3" s="228" t="s">
        <v>271</v>
      </c>
      <c r="I3" s="228" t="s">
        <v>310</v>
      </c>
      <c r="J3" s="228" t="s">
        <v>311</v>
      </c>
      <c r="K3" s="228" t="s">
        <v>447</v>
      </c>
      <c r="N3" s="1696" t="s">
        <v>406</v>
      </c>
      <c r="O3" s="1697" t="s">
        <v>758</v>
      </c>
      <c r="P3" s="711" t="s">
        <v>759</v>
      </c>
      <c r="R3" s="640" t="s">
        <v>119</v>
      </c>
      <c r="S3" s="641" t="s">
        <v>1014</v>
      </c>
      <c r="T3" s="641" t="s">
        <v>282</v>
      </c>
      <c r="U3" s="642" t="s">
        <v>518</v>
      </c>
    </row>
    <row r="4" spans="1:23" ht="135.75" thickBot="1" x14ac:dyDescent="0.3">
      <c r="B4" s="228" t="s">
        <v>1103</v>
      </c>
      <c r="C4" s="228" t="s">
        <v>196</v>
      </c>
      <c r="D4" s="228" t="s">
        <v>142</v>
      </c>
      <c r="E4" s="228" t="s">
        <v>668</v>
      </c>
      <c r="G4" s="228" t="s">
        <v>443</v>
      </c>
      <c r="J4" s="228" t="s">
        <v>312</v>
      </c>
      <c r="K4" s="228" t="s">
        <v>290</v>
      </c>
      <c r="N4" s="712" t="s">
        <v>233</v>
      </c>
      <c r="O4" s="713">
        <v>750</v>
      </c>
      <c r="P4" s="714">
        <v>168</v>
      </c>
      <c r="R4" s="1782" t="str">
        <f>VLOOKUP(Cabeçalho!$G$29,$R$5:$U$9,COLUMN()-16)</f>
        <v>Medidor de tensão, tempo, dose e camada semirredutora marca RaySafe, modelo X2 8251010-6, série 257741, sensor modelo 8252010-6, série 260722, certificado de calibração em anexo.</v>
      </c>
      <c r="S4" s="643" t="str">
        <f>LOOKUP(Certificado,$R$5:$R$9,S5:S9)</f>
        <v>Medidor de tensão, tempo, dose e camada semirredutora marca RaySafe, modelo X2 8251010-6, série 257741, sensor modelo 8252010-6, série 260722, certificado de calibração em anexo.</v>
      </c>
      <c r="T4" s="643" t="str">
        <f>LOOKUP(Certificado,$R$5:$R$9,T5:T9)</f>
        <v>Câmara de ionização marca Fluke Biomedical, modelo 451P-DE-SI-RYR, série 2826, certificado de calibração em anexo.</v>
      </c>
      <c r="U4" s="643" t="str">
        <f>LOOKUP(Certificado,$R$5:$R$9,U5:U9)</f>
        <v>Medidor de tensão, tempo, dose e camada semirredutora marca RaySafe, modelo X2 8252030-3, série 257015, certificados de calibração em anexo.</v>
      </c>
    </row>
    <row r="5" spans="1:23" ht="56.25" x14ac:dyDescent="0.25">
      <c r="D5" s="228" t="s">
        <v>272</v>
      </c>
      <c r="G5" s="228" t="s">
        <v>444</v>
      </c>
      <c r="J5" s="228" t="s">
        <v>313</v>
      </c>
      <c r="K5" s="228" t="s">
        <v>142</v>
      </c>
      <c r="N5" s="715" t="s">
        <v>752</v>
      </c>
      <c r="O5" s="628">
        <v>750</v>
      </c>
      <c r="P5" s="716">
        <v>168</v>
      </c>
      <c r="R5" s="638" t="s">
        <v>937</v>
      </c>
      <c r="S5" s="639"/>
      <c r="T5" s="639" t="s">
        <v>2315</v>
      </c>
      <c r="U5" s="639"/>
    </row>
    <row r="6" spans="1:23" ht="45" x14ac:dyDescent="0.25">
      <c r="D6" s="228" t="s">
        <v>273</v>
      </c>
      <c r="G6" s="228" t="s">
        <v>265</v>
      </c>
      <c r="J6" s="228" t="s">
        <v>1335</v>
      </c>
      <c r="N6" s="715" t="s">
        <v>642</v>
      </c>
      <c r="O6" s="628">
        <v>2000</v>
      </c>
      <c r="P6" s="716">
        <v>168</v>
      </c>
      <c r="R6" s="1698" t="s">
        <v>1013</v>
      </c>
      <c r="S6" s="636"/>
      <c r="T6" s="636" t="s">
        <v>314</v>
      </c>
      <c r="U6" s="636"/>
    </row>
    <row r="7" spans="1:23" ht="101.25" x14ac:dyDescent="0.25">
      <c r="D7" s="228" t="s">
        <v>275</v>
      </c>
      <c r="G7" s="228" t="s">
        <v>279</v>
      </c>
      <c r="N7" s="715" t="s">
        <v>170</v>
      </c>
      <c r="O7" s="628">
        <v>200</v>
      </c>
      <c r="P7" s="716">
        <v>168</v>
      </c>
      <c r="R7" s="1698" t="s">
        <v>2317</v>
      </c>
      <c r="S7" s="636" t="str">
        <f>"Medidor de tensão, tempo, dose e camada semirredutora marca RaySafe, modelo X2 8251010-6, série 257741, sensor modelo 8252010-6, série "&amp;IF(Cabeçalho!$B$14="Tomografia computadorizada",257015,IF(Cabeçalho!$B$14="Mamografia",253464,260722))&amp;", certificado de calibração em anexo."</f>
        <v>Medidor de tensão, tempo, dose e camada semirredutora marca RaySafe, modelo X2 8251010-6, série 257741, sensor modelo 8252010-6, série 260722, certificado de calibração em anexo.</v>
      </c>
      <c r="T7" s="636" t="str">
        <f>T5</f>
        <v>Câmara de ionização marca Fluke Biomedical, modelo 451P-DE-SI-RYR, série 2826, certificado de calibração em anexo.</v>
      </c>
      <c r="U7" s="636" t="s">
        <v>2321</v>
      </c>
    </row>
    <row r="8" spans="1:23" ht="90" x14ac:dyDescent="0.25">
      <c r="D8" s="228" t="s">
        <v>276</v>
      </c>
      <c r="G8" s="228" t="s">
        <v>280</v>
      </c>
      <c r="N8" s="715" t="s">
        <v>173</v>
      </c>
      <c r="O8" s="628">
        <v>750</v>
      </c>
      <c r="P8" s="716">
        <v>168</v>
      </c>
      <c r="R8" s="1698" t="s">
        <v>2318</v>
      </c>
      <c r="S8" s="636" t="s">
        <v>2319</v>
      </c>
      <c r="T8" s="636" t="str">
        <f>T5</f>
        <v>Câmara de ionização marca Fluke Biomedical, modelo 451P-DE-SI-RYR, série 2826, certificado de calibração em anexo.</v>
      </c>
      <c r="U8" s="636" t="s">
        <v>2320</v>
      </c>
    </row>
    <row r="9" spans="1:23" x14ac:dyDescent="0.25">
      <c r="D9" s="228" t="s">
        <v>290</v>
      </c>
      <c r="N9" s="715" t="s">
        <v>234</v>
      </c>
      <c r="O9" s="628">
        <v>750</v>
      </c>
      <c r="P9" s="716">
        <v>168</v>
      </c>
      <c r="R9" s="1470"/>
      <c r="S9" s="636"/>
      <c r="T9" s="636"/>
      <c r="U9" s="636"/>
    </row>
    <row r="10" spans="1:23" x14ac:dyDescent="0.25">
      <c r="G10" s="228" t="s">
        <v>288</v>
      </c>
      <c r="N10" s="715" t="s">
        <v>169</v>
      </c>
      <c r="O10" s="628">
        <v>30</v>
      </c>
      <c r="P10" s="716">
        <v>168</v>
      </c>
    </row>
    <row r="11" spans="1:23" x14ac:dyDescent="0.25">
      <c r="G11" s="228" t="s">
        <v>289</v>
      </c>
      <c r="N11" s="715" t="s">
        <v>235</v>
      </c>
      <c r="O11" s="628">
        <v>750</v>
      </c>
      <c r="P11" s="716">
        <v>168</v>
      </c>
      <c r="R11" s="1375" t="s">
        <v>1597</v>
      </c>
      <c r="S11" s="1718"/>
    </row>
    <row r="12" spans="1:23" x14ac:dyDescent="0.25">
      <c r="A12" s="1699" t="s">
        <v>278</v>
      </c>
      <c r="B12" s="700" t="s">
        <v>324</v>
      </c>
      <c r="C12" s="1697" t="s">
        <v>1015</v>
      </c>
      <c r="D12" s="1699" t="s">
        <v>457</v>
      </c>
      <c r="F12" s="1699" t="s">
        <v>458</v>
      </c>
      <c r="G12" s="1717" t="s">
        <v>322</v>
      </c>
      <c r="N12" s="715" t="s">
        <v>92</v>
      </c>
      <c r="O12" s="628">
        <v>2000</v>
      </c>
      <c r="P12" s="716">
        <v>168</v>
      </c>
      <c r="R12" s="701" t="s">
        <v>1605</v>
      </c>
      <c r="S12" s="1466" t="s">
        <v>1623</v>
      </c>
    </row>
    <row r="13" spans="1:23" x14ac:dyDescent="0.25">
      <c r="A13" s="228" t="s">
        <v>232</v>
      </c>
      <c r="B13" s="228" t="s">
        <v>318</v>
      </c>
      <c r="C13" s="634" t="s">
        <v>3</v>
      </c>
      <c r="D13" s="152" t="s">
        <v>12</v>
      </c>
      <c r="F13" s="152" t="s">
        <v>451</v>
      </c>
      <c r="G13" s="1717" t="s">
        <v>323</v>
      </c>
      <c r="N13" s="715" t="s">
        <v>172</v>
      </c>
      <c r="O13" s="628">
        <v>750</v>
      </c>
      <c r="P13" s="716">
        <v>168</v>
      </c>
      <c r="R13" s="701" t="s">
        <v>1606</v>
      </c>
      <c r="S13" s="1466" t="s">
        <v>1624</v>
      </c>
    </row>
    <row r="14" spans="1:23" x14ac:dyDescent="0.25">
      <c r="A14" s="228" t="s">
        <v>233</v>
      </c>
      <c r="B14" s="228" t="s">
        <v>326</v>
      </c>
      <c r="C14" s="628" t="s">
        <v>199</v>
      </c>
      <c r="D14" s="152" t="s">
        <v>236</v>
      </c>
      <c r="F14" s="152" t="s">
        <v>459</v>
      </c>
      <c r="G14" s="1717" t="s">
        <v>265</v>
      </c>
      <c r="N14" s="715" t="s">
        <v>754</v>
      </c>
      <c r="O14" s="628">
        <v>1500</v>
      </c>
      <c r="P14" s="716">
        <v>168</v>
      </c>
      <c r="R14" s="700" t="s">
        <v>2238</v>
      </c>
      <c r="S14" s="228" t="s">
        <v>2239</v>
      </c>
    </row>
    <row r="15" spans="1:23" x14ac:dyDescent="0.25">
      <c r="A15" s="228" t="s">
        <v>234</v>
      </c>
      <c r="B15" s="228" t="s">
        <v>325</v>
      </c>
      <c r="F15" s="152"/>
      <c r="N15" s="715" t="s">
        <v>755</v>
      </c>
      <c r="O15" s="628">
        <v>160</v>
      </c>
      <c r="P15" s="716">
        <v>168</v>
      </c>
      <c r="R15" s="1375" t="s">
        <v>626</v>
      </c>
    </row>
    <row r="16" spans="1:23" x14ac:dyDescent="0.25">
      <c r="A16" s="228" t="s">
        <v>235</v>
      </c>
      <c r="D16" s="1699"/>
      <c r="N16" s="715" t="s">
        <v>753</v>
      </c>
      <c r="O16" s="628">
        <v>160</v>
      </c>
      <c r="P16" s="716">
        <v>168</v>
      </c>
      <c r="R16" s="1700" t="s">
        <v>2316</v>
      </c>
    </row>
    <row r="17" spans="1:21" x14ac:dyDescent="0.25">
      <c r="A17" s="228" t="s">
        <v>172</v>
      </c>
      <c r="D17" s="152"/>
      <c r="N17" s="715" t="s">
        <v>756</v>
      </c>
      <c r="O17" s="628">
        <v>5000</v>
      </c>
      <c r="P17" s="716">
        <v>168</v>
      </c>
      <c r="R17" s="1700" t="s">
        <v>627</v>
      </c>
    </row>
    <row r="18" spans="1:21" x14ac:dyDescent="0.25">
      <c r="D18" s="152"/>
      <c r="N18" s="715" t="s">
        <v>757</v>
      </c>
      <c r="O18" s="628">
        <v>200</v>
      </c>
      <c r="P18" s="716">
        <v>168</v>
      </c>
    </row>
    <row r="19" spans="1:21" x14ac:dyDescent="0.25">
      <c r="D19" s="152"/>
      <c r="N19" s="717" t="s">
        <v>257</v>
      </c>
      <c r="O19" s="718">
        <v>160</v>
      </c>
      <c r="P19" s="719">
        <v>168</v>
      </c>
    </row>
    <row r="20" spans="1:21" x14ac:dyDescent="0.25">
      <c r="E20" s="152"/>
      <c r="G20" s="1699" t="s">
        <v>506</v>
      </c>
      <c r="I20" s="228" t="s">
        <v>2384</v>
      </c>
    </row>
    <row r="21" spans="1:21" ht="45.75" customHeight="1" x14ac:dyDescent="0.25">
      <c r="E21" s="152"/>
      <c r="G21" s="1239" t="s">
        <v>462</v>
      </c>
      <c r="I21" s="228" t="s">
        <v>2385</v>
      </c>
      <c r="J21" s="228" t="s">
        <v>2318</v>
      </c>
      <c r="K21" s="228" t="s">
        <v>2317</v>
      </c>
      <c r="N21" s="268" t="s">
        <v>775</v>
      </c>
      <c r="R21" s="228" t="s">
        <v>1992</v>
      </c>
      <c r="S21" s="228" t="s">
        <v>258</v>
      </c>
      <c r="T21" s="228" t="s">
        <v>259</v>
      </c>
      <c r="U21" s="228" t="s">
        <v>1993</v>
      </c>
    </row>
    <row r="22" spans="1:21" x14ac:dyDescent="0.25">
      <c r="A22" s="1722" t="s">
        <v>406</v>
      </c>
      <c r="B22" s="1723" t="s">
        <v>1847</v>
      </c>
      <c r="E22" s="152"/>
      <c r="G22" s="1239" t="s">
        <v>465</v>
      </c>
      <c r="I22" t="s">
        <v>0</v>
      </c>
      <c r="J22" t="s">
        <v>2388</v>
      </c>
      <c r="K22" t="s">
        <v>2393</v>
      </c>
      <c r="N22" s="267" t="s">
        <v>767</v>
      </c>
      <c r="R22" s="228" t="s">
        <v>169</v>
      </c>
      <c r="S22" s="228" t="s">
        <v>265</v>
      </c>
      <c r="T22" s="228">
        <v>60</v>
      </c>
      <c r="U22" s="228" t="s">
        <v>785</v>
      </c>
    </row>
    <row r="23" spans="1:21" x14ac:dyDescent="0.25">
      <c r="A23" s="1719" t="s">
        <v>642</v>
      </c>
      <c r="B23" s="1720" t="s">
        <v>642</v>
      </c>
      <c r="E23" s="152"/>
      <c r="F23" s="152"/>
      <c r="G23" s="1239" t="s">
        <v>466</v>
      </c>
      <c r="I23" t="s">
        <v>2386</v>
      </c>
      <c r="J23" t="s">
        <v>2389</v>
      </c>
      <c r="K23" t="s">
        <v>2389</v>
      </c>
      <c r="N23" s="267" t="s">
        <v>768</v>
      </c>
      <c r="R23" s="228" t="s">
        <v>170</v>
      </c>
      <c r="S23" s="228" t="s">
        <v>257</v>
      </c>
      <c r="T23" s="228">
        <v>120</v>
      </c>
      <c r="U23" s="228" t="s">
        <v>1994</v>
      </c>
    </row>
    <row r="24" spans="1:21" x14ac:dyDescent="0.25">
      <c r="A24" s="1719" t="s">
        <v>170</v>
      </c>
      <c r="B24" s="1720" t="s">
        <v>1852</v>
      </c>
      <c r="E24" s="152"/>
      <c r="F24" s="152"/>
      <c r="G24" s="1239" t="s">
        <v>468</v>
      </c>
      <c r="I24" t="s">
        <v>199</v>
      </c>
      <c r="J24" t="s">
        <v>2390</v>
      </c>
      <c r="K24" s="684" t="s">
        <v>2394</v>
      </c>
      <c r="N24" s="267" t="s">
        <v>769</v>
      </c>
      <c r="R24" s="228" t="s">
        <v>171</v>
      </c>
      <c r="S24" s="228" t="s">
        <v>1103</v>
      </c>
      <c r="T24" s="228" t="s">
        <v>196</v>
      </c>
      <c r="U24" s="228" t="s">
        <v>1995</v>
      </c>
    </row>
    <row r="25" spans="1:21" x14ac:dyDescent="0.25">
      <c r="A25" s="1719" t="s">
        <v>173</v>
      </c>
      <c r="B25" s="1720" t="s">
        <v>1850</v>
      </c>
      <c r="E25" s="152"/>
      <c r="F25" s="152"/>
      <c r="G25" s="1239" t="s">
        <v>469</v>
      </c>
      <c r="I25" t="s">
        <v>199</v>
      </c>
      <c r="J25" t="s">
        <v>2391</v>
      </c>
      <c r="K25" s="684" t="s">
        <v>2394</v>
      </c>
      <c r="N25" s="267" t="s">
        <v>770</v>
      </c>
      <c r="R25" s="228" t="s">
        <v>172</v>
      </c>
    </row>
    <row r="26" spans="1:21" x14ac:dyDescent="0.25">
      <c r="A26" s="1719" t="s">
        <v>169</v>
      </c>
      <c r="B26" s="1720" t="s">
        <v>1853</v>
      </c>
      <c r="E26" s="152"/>
      <c r="F26" s="152"/>
      <c r="G26" s="1239" t="s">
        <v>1229</v>
      </c>
      <c r="I26" s="620" t="s">
        <v>2387</v>
      </c>
      <c r="J26" t="s">
        <v>2392</v>
      </c>
      <c r="K26" t="s">
        <v>2393</v>
      </c>
      <c r="N26" s="267" t="s">
        <v>771</v>
      </c>
      <c r="R26" s="228" t="s">
        <v>173</v>
      </c>
    </row>
    <row r="27" spans="1:21" x14ac:dyDescent="0.25">
      <c r="A27" s="1719" t="s">
        <v>92</v>
      </c>
      <c r="B27" s="1720" t="s">
        <v>1848</v>
      </c>
      <c r="E27" s="152"/>
      <c r="F27" s="152"/>
      <c r="G27" s="1239" t="s">
        <v>467</v>
      </c>
      <c r="N27" s="267" t="s">
        <v>772</v>
      </c>
      <c r="R27" s="228" t="s">
        <v>92</v>
      </c>
    </row>
    <row r="28" spans="1:21" x14ac:dyDescent="0.25">
      <c r="A28" s="1719" t="s">
        <v>172</v>
      </c>
      <c r="B28" s="1720" t="s">
        <v>1850</v>
      </c>
      <c r="E28" s="152"/>
      <c r="F28" s="152"/>
      <c r="N28" s="267" t="s">
        <v>773</v>
      </c>
      <c r="R28" s="228" t="s">
        <v>174</v>
      </c>
    </row>
    <row r="29" spans="1:21" x14ac:dyDescent="0.25">
      <c r="A29" s="1719" t="s">
        <v>171</v>
      </c>
      <c r="B29" s="1720" t="s">
        <v>1851</v>
      </c>
      <c r="E29" s="152"/>
      <c r="F29" s="152"/>
      <c r="N29" s="267" t="s">
        <v>774</v>
      </c>
      <c r="R29" s="228" t="s">
        <v>1996</v>
      </c>
    </row>
    <row r="30" spans="1:21" x14ac:dyDescent="0.25">
      <c r="A30" s="1719" t="s">
        <v>1610</v>
      </c>
      <c r="B30" s="1721" t="s">
        <v>1855</v>
      </c>
      <c r="E30" s="152"/>
      <c r="F30" s="152"/>
    </row>
    <row r="31" spans="1:21" x14ac:dyDescent="0.25">
      <c r="A31" s="1719" t="s">
        <v>174</v>
      </c>
      <c r="B31" s="1720" t="s">
        <v>1849</v>
      </c>
      <c r="E31" s="152"/>
      <c r="F31" s="152"/>
    </row>
    <row r="32" spans="1:21" x14ac:dyDescent="0.25">
      <c r="A32" s="1724" t="s">
        <v>1491</v>
      </c>
      <c r="B32" s="1725" t="s">
        <v>1854</v>
      </c>
    </row>
    <row r="37" spans="4:4" x14ac:dyDescent="0.25">
      <c r="D37" s="228" t="s">
        <v>272</v>
      </c>
    </row>
    <row r="38" spans="4:4" x14ac:dyDescent="0.25">
      <c r="D38" s="228" t="s">
        <v>2486</v>
      </c>
    </row>
    <row r="39" spans="4:4" x14ac:dyDescent="0.25">
      <c r="D39" s="228" t="s">
        <v>2468</v>
      </c>
    </row>
    <row r="40" spans="4:4" x14ac:dyDescent="0.25">
      <c r="D40" s="228" t="s">
        <v>2434</v>
      </c>
    </row>
  </sheetData>
  <sheetProtection selectLockedCells="1" selectUnlockedCells="1"/>
  <sortState ref="R5:U9">
    <sortCondition ref="R5"/>
  </sortState>
  <mergeCells count="2">
    <mergeCell ref="N1:P2"/>
    <mergeCell ref="R1:U2"/>
  </mergeCells>
  <pageMargins left="0.511811024" right="0.511811024" top="0.78740157499999996" bottom="0.78740157499999996" header="0.31496062000000002" footer="0.31496062000000002"/>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dimension ref="A1:BC260"/>
  <sheetViews>
    <sheetView zoomScaleNormal="100" workbookViewId="0">
      <selection activeCell="V21" sqref="V21"/>
    </sheetView>
  </sheetViews>
  <sheetFormatPr defaultColWidth="8.5703125" defaultRowHeight="15" zeroHeight="1" x14ac:dyDescent="0.25"/>
  <cols>
    <col min="1" max="1" width="22.42578125" style="820" customWidth="1"/>
    <col min="2" max="2" width="17" style="820" customWidth="1"/>
    <col min="3" max="3" width="15.5703125" style="820" customWidth="1"/>
    <col min="4" max="4" width="9.85546875" style="820" customWidth="1"/>
    <col min="5" max="5" width="10.85546875" style="820" customWidth="1"/>
    <col min="6" max="6" width="16.42578125" style="820" bestFit="1" customWidth="1"/>
    <col min="7" max="7" width="14.5703125" style="820" bestFit="1" customWidth="1"/>
    <col min="8" max="8" width="9.42578125" style="820" bestFit="1" customWidth="1"/>
    <col min="9" max="9" width="8.5703125" style="820" bestFit="1" customWidth="1"/>
    <col min="10" max="10" width="20.140625" style="820" bestFit="1" customWidth="1"/>
    <col min="11" max="11" width="9.5703125" style="820" bestFit="1" customWidth="1"/>
    <col min="12" max="12" width="8.5703125" style="820" bestFit="1" customWidth="1"/>
    <col min="13" max="13" width="14.5703125" style="820" bestFit="1" customWidth="1"/>
    <col min="14" max="14" width="16.42578125" style="820" bestFit="1" customWidth="1"/>
    <col min="15" max="16" width="8.5703125" style="820" bestFit="1" customWidth="1"/>
    <col min="17" max="17" width="9.42578125" style="820" bestFit="1" customWidth="1"/>
    <col min="18" max="18" width="16.42578125" style="820" bestFit="1" customWidth="1"/>
    <col min="19" max="19" width="14.5703125" style="820" bestFit="1" customWidth="1"/>
    <col min="20" max="20" width="16.42578125" style="820" bestFit="1" customWidth="1"/>
    <col min="21" max="21" width="8.5703125" style="820" bestFit="1" customWidth="1"/>
    <col min="22" max="22" width="16.42578125" style="820" bestFit="1" customWidth="1"/>
    <col min="23" max="23" width="8.5703125" style="820" bestFit="1" customWidth="1"/>
    <col min="24" max="24" width="16.42578125" style="820" bestFit="1" customWidth="1"/>
    <col min="25" max="25" width="16.85546875" style="820" bestFit="1" customWidth="1"/>
    <col min="26" max="26" width="16.42578125" style="820" bestFit="1" customWidth="1"/>
    <col min="27" max="29" width="8.5703125" style="820" bestFit="1" customWidth="1"/>
    <col min="30" max="30" width="16.42578125" style="820" bestFit="1" customWidth="1"/>
    <col min="31" max="31" width="16.85546875" style="820" bestFit="1" customWidth="1"/>
    <col min="32" max="32" width="8.42578125" style="820" bestFit="1" customWidth="1"/>
    <col min="33" max="35" width="8.5703125" style="820" bestFit="1" customWidth="1"/>
    <col min="36" max="36" width="8.5703125" style="820" customWidth="1"/>
    <col min="37" max="37" width="14.5703125" style="820" bestFit="1" customWidth="1"/>
    <col min="38" max="38" width="7.5703125" style="820" bestFit="1" customWidth="1"/>
    <col min="39" max="40" width="8.5703125" style="820" bestFit="1" customWidth="1"/>
    <col min="41" max="42" width="8.5703125" style="820" customWidth="1"/>
    <col min="43" max="16384" width="8.5703125" style="820"/>
  </cols>
  <sheetData>
    <row r="1" spans="1:53" s="291" customFormat="1" ht="15.75" thickBot="1" x14ac:dyDescent="0.3">
      <c r="A1" s="1328" t="s">
        <v>1475</v>
      </c>
      <c r="B1" s="1328" t="str">
        <f>"IN "&amp;VLOOKUP("Raios X convencional",IN_ANVISA[],2)</f>
        <v>IN 90</v>
      </c>
    </row>
    <row r="2" spans="1:53" s="291" customFormat="1" ht="15.75" thickBot="1" x14ac:dyDescent="0.3">
      <c r="A2" s="2420" t="s">
        <v>1277</v>
      </c>
      <c r="B2" s="2421"/>
      <c r="C2" s="2421"/>
      <c r="D2" s="2421"/>
      <c r="E2" s="2421"/>
      <c r="F2" s="2421"/>
      <c r="G2" s="2422"/>
      <c r="H2" s="305"/>
      <c r="I2" s="305"/>
      <c r="J2" s="305"/>
      <c r="K2" s="305"/>
      <c r="L2" s="305"/>
      <c r="M2" s="305"/>
      <c r="N2" s="305"/>
      <c r="O2" s="305"/>
      <c r="P2" s="305"/>
      <c r="Q2" s="305"/>
      <c r="R2" s="305"/>
      <c r="S2" s="305"/>
      <c r="T2" s="305"/>
      <c r="U2" s="305"/>
      <c r="V2" s="305"/>
      <c r="W2" s="305"/>
      <c r="X2" s="305"/>
      <c r="Y2" s="305"/>
      <c r="Z2" s="305"/>
      <c r="AA2" s="305"/>
      <c r="AB2" s="305"/>
      <c r="AC2" s="305"/>
      <c r="AD2" s="305"/>
      <c r="AE2" s="305"/>
      <c r="AF2" s="305"/>
      <c r="AG2" s="305"/>
      <c r="AH2" s="305"/>
      <c r="AI2" s="305"/>
      <c r="AJ2" s="305"/>
      <c r="AK2" s="305"/>
      <c r="AL2" s="305"/>
      <c r="AM2" s="305"/>
      <c r="AN2" s="305"/>
      <c r="AO2" s="305"/>
      <c r="AP2" s="305"/>
      <c r="AQ2" s="305"/>
      <c r="AR2" s="305"/>
      <c r="AS2" s="305"/>
      <c r="AT2" s="305"/>
      <c r="AU2" s="305"/>
      <c r="AV2" s="305"/>
      <c r="AW2" s="305"/>
    </row>
    <row r="3" spans="1:53" s="291" customFormat="1" ht="15.75" thickBot="1" x14ac:dyDescent="0.3">
      <c r="A3" s="2439" t="s">
        <v>1049</v>
      </c>
      <c r="B3" s="2439"/>
      <c r="C3" s="2439"/>
      <c r="D3" s="2439"/>
      <c r="E3" s="2439"/>
      <c r="F3" s="957"/>
      <c r="G3" s="305"/>
      <c r="H3" s="305"/>
      <c r="I3" s="305"/>
      <c r="J3" s="305"/>
      <c r="K3" s="305"/>
      <c r="L3" s="305"/>
      <c r="M3" s="305"/>
      <c r="N3" s="305"/>
      <c r="O3" s="305"/>
      <c r="P3" s="305"/>
      <c r="Q3" s="305"/>
      <c r="R3" s="305"/>
      <c r="S3" s="305"/>
      <c r="T3" s="305"/>
      <c r="U3" s="305"/>
      <c r="V3" s="305"/>
      <c r="W3" s="305"/>
      <c r="X3" s="305"/>
      <c r="Y3" s="305"/>
      <c r="Z3" s="305"/>
      <c r="AA3" s="305"/>
      <c r="AB3" s="305"/>
      <c r="AC3" s="305"/>
      <c r="AD3" s="305"/>
      <c r="AE3" s="305"/>
      <c r="AF3" s="305"/>
      <c r="AG3" s="305"/>
      <c r="AH3" s="305"/>
      <c r="AI3" s="305"/>
      <c r="AJ3" s="305"/>
      <c r="AK3" s="305"/>
      <c r="AL3" s="305"/>
      <c r="AM3" s="305"/>
      <c r="AN3" s="305"/>
      <c r="AO3" s="305"/>
      <c r="AP3" s="305"/>
      <c r="AQ3" s="305"/>
      <c r="AR3" s="305"/>
      <c r="AS3" s="305"/>
      <c r="AT3" s="305"/>
      <c r="AU3" s="305"/>
      <c r="AV3" s="305"/>
      <c r="AW3" s="305"/>
    </row>
    <row r="4" spans="1:53" s="291" customFormat="1" x14ac:dyDescent="0.25">
      <c r="A4" s="2438" t="s">
        <v>133</v>
      </c>
      <c r="B4" s="2438"/>
      <c r="C4" s="2438"/>
      <c r="D4" s="2438"/>
      <c r="E4" s="2438"/>
      <c r="F4" s="2051"/>
      <c r="G4" s="305"/>
      <c r="H4" s="766" t="s">
        <v>934</v>
      </c>
      <c r="I4" s="51" t="s">
        <v>273</v>
      </c>
      <c r="J4" s="305"/>
      <c r="K4" s="305"/>
      <c r="L4" s="305"/>
      <c r="M4" s="305"/>
      <c r="N4" s="305"/>
      <c r="O4" s="305"/>
      <c r="P4" s="305"/>
      <c r="Q4" s="305"/>
      <c r="R4" s="305"/>
      <c r="S4" s="305"/>
      <c r="T4" s="305"/>
      <c r="U4" s="305"/>
      <c r="V4" s="305"/>
      <c r="W4" s="305"/>
      <c r="X4" s="305"/>
      <c r="Y4" s="305"/>
      <c r="Z4" s="305"/>
      <c r="AA4" s="305"/>
      <c r="AB4" s="305"/>
      <c r="AC4" s="305"/>
      <c r="AD4" s="305"/>
      <c r="AE4" s="305"/>
      <c r="AF4" s="305"/>
      <c r="AG4" s="305"/>
      <c r="AH4" s="305"/>
      <c r="AI4" s="305"/>
      <c r="AJ4" s="305"/>
      <c r="AK4" s="305"/>
      <c r="AL4" s="305"/>
      <c r="AM4" s="305"/>
      <c r="AN4" s="305"/>
      <c r="AO4" s="305"/>
      <c r="AP4" s="305"/>
      <c r="AQ4" s="305"/>
      <c r="AR4" s="305"/>
      <c r="AS4" s="305"/>
      <c r="AT4" s="305"/>
      <c r="AU4" s="305"/>
      <c r="AV4" s="305"/>
      <c r="AW4" s="305"/>
    </row>
    <row r="5" spans="1:53" s="291" customFormat="1" x14ac:dyDescent="0.25">
      <c r="A5" s="2438" t="s">
        <v>132</v>
      </c>
      <c r="B5" s="2438"/>
      <c r="C5" s="2438"/>
      <c r="D5" s="2438"/>
      <c r="E5" s="2438"/>
      <c r="F5" s="2051"/>
      <c r="G5" s="305"/>
      <c r="H5" s="305"/>
      <c r="I5" s="305"/>
      <c r="J5" s="305"/>
      <c r="K5" s="305"/>
      <c r="L5" s="305"/>
      <c r="M5" s="305"/>
      <c r="N5" s="305"/>
      <c r="O5" s="305"/>
      <c r="P5" s="305"/>
      <c r="Q5" s="305"/>
      <c r="R5" s="305"/>
      <c r="S5" s="305"/>
      <c r="T5" s="305"/>
      <c r="U5" s="305"/>
      <c r="V5" s="305"/>
      <c r="W5" s="305"/>
      <c r="X5" s="305"/>
      <c r="Y5" s="305"/>
      <c r="Z5" s="305"/>
      <c r="AA5" s="305"/>
      <c r="AB5" s="305"/>
      <c r="AC5" s="305"/>
      <c r="AD5" s="305"/>
      <c r="AE5" s="305"/>
      <c r="AF5" s="305"/>
      <c r="AG5" s="305"/>
      <c r="AH5" s="305"/>
      <c r="AI5" s="305"/>
      <c r="AJ5" s="305"/>
      <c r="AK5" s="305"/>
      <c r="AL5" s="305"/>
      <c r="AM5" s="305"/>
      <c r="AN5" s="305"/>
      <c r="AO5" s="305"/>
      <c r="AP5" s="305"/>
      <c r="AQ5" s="305"/>
      <c r="AR5" s="305"/>
      <c r="AS5" s="305"/>
      <c r="AT5" s="305"/>
      <c r="AU5" s="305"/>
      <c r="AV5" s="305"/>
      <c r="AW5" s="305"/>
    </row>
    <row r="6" spans="1:53" s="291" customFormat="1" x14ac:dyDescent="0.25">
      <c r="A6" s="2438" t="s">
        <v>1278</v>
      </c>
      <c r="B6" s="2438"/>
      <c r="C6" s="2438"/>
      <c r="D6" s="2438"/>
      <c r="E6" s="2438"/>
      <c r="F6" s="2051"/>
      <c r="G6" s="305"/>
      <c r="H6" s="305"/>
      <c r="I6" s="305"/>
      <c r="J6" s="305"/>
      <c r="K6" s="305"/>
      <c r="L6" s="305"/>
      <c r="M6" s="305"/>
      <c r="N6" s="305"/>
      <c r="O6" s="305"/>
      <c r="P6" s="305"/>
      <c r="Q6" s="305"/>
      <c r="R6" s="305"/>
      <c r="S6" s="305"/>
      <c r="T6" s="305"/>
      <c r="U6" s="305"/>
      <c r="V6" s="305"/>
      <c r="W6" s="305"/>
      <c r="X6" s="305"/>
      <c r="Y6" s="305"/>
      <c r="Z6" s="305"/>
      <c r="AA6" s="305"/>
      <c r="AB6" s="305"/>
      <c r="AC6" s="305"/>
      <c r="AD6" s="305"/>
      <c r="AE6" s="305"/>
      <c r="AF6" s="305"/>
      <c r="AG6" s="305"/>
      <c r="AH6" s="305"/>
      <c r="AI6" s="305"/>
      <c r="AJ6" s="305"/>
      <c r="AK6" s="305"/>
      <c r="AL6" s="305"/>
      <c r="AM6" s="305"/>
      <c r="AN6" s="305"/>
      <c r="AO6" s="305"/>
      <c r="AP6" s="305"/>
      <c r="AQ6" s="305"/>
      <c r="AR6" s="305"/>
      <c r="AS6" s="305"/>
      <c r="AT6" s="305"/>
      <c r="AU6" s="305"/>
      <c r="AV6" s="305"/>
      <c r="AW6" s="305"/>
    </row>
    <row r="7" spans="1:53" s="291" customFormat="1" x14ac:dyDescent="0.25">
      <c r="A7" s="2438" t="s">
        <v>1033</v>
      </c>
      <c r="B7" s="2438"/>
      <c r="C7" s="2438"/>
      <c r="D7" s="2438"/>
      <c r="E7" s="2438"/>
      <c r="F7" s="2051"/>
      <c r="G7" s="305"/>
      <c r="H7" s="305"/>
      <c r="I7" s="305"/>
      <c r="J7" s="305"/>
      <c r="K7" s="305"/>
      <c r="L7" s="305"/>
      <c r="M7" s="305"/>
      <c r="N7" s="305"/>
      <c r="O7" s="305"/>
      <c r="P7" s="305"/>
      <c r="Q7" s="305"/>
      <c r="R7" s="305"/>
      <c r="S7" s="305"/>
      <c r="T7" s="305"/>
      <c r="U7" s="305"/>
      <c r="V7" s="305"/>
      <c r="W7" s="305"/>
      <c r="X7" s="305"/>
      <c r="Y7" s="305"/>
      <c r="Z7" s="305"/>
      <c r="AA7" s="305"/>
      <c r="AB7" s="305"/>
      <c r="AC7" s="305"/>
      <c r="AD7" s="305"/>
      <c r="AE7" s="305"/>
      <c r="AF7" s="305"/>
      <c r="AG7" s="305"/>
      <c r="AH7" s="305"/>
      <c r="AI7" s="305"/>
      <c r="AJ7" s="305"/>
      <c r="AK7" s="305"/>
      <c r="AL7" s="305"/>
      <c r="AM7" s="305"/>
      <c r="AN7" s="305"/>
      <c r="AO7" s="305"/>
      <c r="AP7" s="305"/>
      <c r="AQ7" s="305"/>
      <c r="AR7" s="305"/>
      <c r="AS7" s="305"/>
      <c r="AT7" s="305"/>
      <c r="AU7" s="305"/>
      <c r="AV7" s="305"/>
      <c r="AW7" s="305"/>
    </row>
    <row r="8" spans="1:53" s="291" customFormat="1" x14ac:dyDescent="0.25">
      <c r="A8" s="2438" t="s">
        <v>2485</v>
      </c>
      <c r="B8" s="2438"/>
      <c r="C8" s="2438"/>
      <c r="D8" s="2438"/>
      <c r="E8" s="2438"/>
      <c r="F8" s="2074" t="s">
        <v>142</v>
      </c>
      <c r="G8" s="820"/>
      <c r="H8" s="820"/>
      <c r="I8" s="820"/>
      <c r="J8" s="820"/>
      <c r="K8" s="820"/>
      <c r="L8" s="820"/>
      <c r="M8" s="820"/>
      <c r="N8" s="820"/>
      <c r="O8" s="820"/>
      <c r="P8" s="820"/>
      <c r="Q8" s="820"/>
      <c r="R8" s="820"/>
      <c r="S8" s="820"/>
      <c r="T8" s="820"/>
      <c r="U8" s="820"/>
      <c r="V8" s="820"/>
      <c r="W8" s="820"/>
      <c r="X8" s="820"/>
      <c r="Y8" s="820"/>
      <c r="Z8" s="820"/>
      <c r="AA8" s="820"/>
      <c r="AB8" s="820"/>
      <c r="AC8" s="820"/>
      <c r="AD8" s="820"/>
      <c r="AE8" s="820"/>
      <c r="AF8" s="820"/>
      <c r="AG8" s="820"/>
      <c r="AH8" s="820"/>
      <c r="AI8" s="820"/>
      <c r="AJ8" s="820"/>
      <c r="AK8" s="820"/>
      <c r="AL8" s="820"/>
      <c r="AM8" s="820"/>
      <c r="AN8" s="820"/>
      <c r="AO8" s="820"/>
      <c r="AP8" s="820"/>
      <c r="AQ8" s="820"/>
      <c r="AR8" s="820"/>
      <c r="AS8" s="820"/>
      <c r="AT8" s="820"/>
      <c r="AU8" s="820"/>
      <c r="AV8" s="820"/>
      <c r="AW8" s="820"/>
    </row>
    <row r="9" spans="1:53" s="291" customFormat="1" ht="15.75" thickBot="1" x14ac:dyDescent="0.3">
      <c r="A9" s="305"/>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5"/>
      <c r="AM9" s="305"/>
      <c r="AN9" s="305"/>
      <c r="AO9" s="305"/>
      <c r="AP9" s="305"/>
      <c r="AQ9" s="305"/>
      <c r="AR9" s="305"/>
      <c r="AS9" s="305"/>
      <c r="AT9" s="305"/>
      <c r="AU9" s="305"/>
      <c r="AV9" s="305"/>
      <c r="AW9" s="305"/>
    </row>
    <row r="10" spans="1:53" s="291" customFormat="1" ht="15.75" thickBot="1" x14ac:dyDescent="0.3">
      <c r="A10" s="2432" t="s">
        <v>1104</v>
      </c>
      <c r="B10" s="2433"/>
      <c r="C10" s="2433"/>
      <c r="D10" s="2433"/>
      <c r="E10" s="2433"/>
      <c r="F10" s="2433"/>
      <c r="G10" s="2433"/>
      <c r="H10" s="2433"/>
      <c r="I10" s="2433"/>
      <c r="J10" s="2433"/>
      <c r="K10" s="2433"/>
      <c r="L10" s="2433"/>
      <c r="M10" s="2433"/>
      <c r="N10" s="2433"/>
      <c r="O10" s="2433"/>
      <c r="P10" s="2433"/>
      <c r="Q10" s="2433"/>
      <c r="R10" s="2433"/>
      <c r="S10" s="2433"/>
      <c r="T10" s="2433"/>
      <c r="U10" s="2433"/>
      <c r="V10" s="2433"/>
      <c r="W10" s="2433"/>
      <c r="X10" s="2433"/>
      <c r="Y10" s="2433"/>
      <c r="Z10" s="2433"/>
      <c r="AA10" s="2433"/>
      <c r="AB10" s="2433"/>
      <c r="AC10" s="2433"/>
      <c r="AD10" s="2433"/>
      <c r="AE10" s="2433"/>
      <c r="AF10" s="2433"/>
      <c r="AG10" s="2433"/>
      <c r="AH10" s="2433"/>
      <c r="AI10" s="2433"/>
      <c r="AJ10" s="2433"/>
      <c r="AK10" s="2433"/>
      <c r="AL10" s="2433"/>
      <c r="AM10" s="2433"/>
      <c r="AN10" s="2433"/>
      <c r="AO10" s="2434"/>
      <c r="AP10" s="305"/>
      <c r="AQ10" s="305"/>
      <c r="AR10" s="305"/>
      <c r="AS10" s="305"/>
      <c r="AT10" s="305"/>
      <c r="AU10" s="305"/>
      <c r="AV10" s="305"/>
      <c r="AW10" s="305"/>
    </row>
    <row r="11" spans="1:53" s="291" customFormat="1" x14ac:dyDescent="0.25">
      <c r="A11" s="1117" t="s">
        <v>673</v>
      </c>
      <c r="B11" s="1118"/>
      <c r="C11" s="1119" t="s">
        <v>13</v>
      </c>
      <c r="D11" s="305"/>
      <c r="E11" s="305"/>
      <c r="F11" s="305"/>
      <c r="G11" s="1120" t="s">
        <v>52</v>
      </c>
      <c r="H11" s="556"/>
      <c r="I11" s="1119" t="str">
        <f>C11</f>
        <v>mA</v>
      </c>
      <c r="J11" s="305"/>
      <c r="K11" s="305"/>
      <c r="L11" s="305"/>
      <c r="M11" s="1120" t="s">
        <v>52</v>
      </c>
      <c r="N11" s="556"/>
      <c r="O11" s="1119" t="str">
        <f>I11</f>
        <v>mA</v>
      </c>
      <c r="P11" s="305"/>
      <c r="Q11" s="305"/>
      <c r="R11" s="305"/>
      <c r="S11" s="1120" t="s">
        <v>52</v>
      </c>
      <c r="T11" s="556"/>
      <c r="U11" s="1119" t="str">
        <f>O11</f>
        <v>mA</v>
      </c>
      <c r="V11" s="305"/>
      <c r="W11" s="305"/>
      <c r="X11" s="305"/>
      <c r="Y11" s="1120" t="s">
        <v>52</v>
      </c>
      <c r="Z11" s="556"/>
      <c r="AA11" s="1119" t="str">
        <f>U11</f>
        <v>mA</v>
      </c>
      <c r="AB11" s="305"/>
      <c r="AC11" s="305"/>
      <c r="AD11" s="305"/>
      <c r="AE11" s="1120" t="s">
        <v>52</v>
      </c>
      <c r="AF11" s="556"/>
      <c r="AG11" s="1119" t="str">
        <f>AA11</f>
        <v>mA</v>
      </c>
      <c r="AH11" s="305"/>
      <c r="AI11" s="305"/>
      <c r="AJ11" s="305"/>
      <c r="AK11" s="1120" t="s">
        <v>52</v>
      </c>
      <c r="AL11" s="556"/>
      <c r="AM11" s="1119" t="str">
        <f>AG11</f>
        <v>mA</v>
      </c>
      <c r="AN11" s="305"/>
      <c r="AO11" s="305"/>
      <c r="AP11" s="305"/>
      <c r="AQ11" s="305"/>
      <c r="AR11" s="305"/>
      <c r="AS11" s="305"/>
      <c r="AT11" s="305"/>
      <c r="AU11" s="305"/>
      <c r="AV11" s="305"/>
      <c r="AW11" s="305"/>
      <c r="AX11" s="305"/>
      <c r="AY11" s="305"/>
      <c r="AZ11" s="305"/>
      <c r="BA11" s="305"/>
    </row>
    <row r="12" spans="1:53" s="291" customFormat="1" ht="15.75" thickBot="1" x14ac:dyDescent="0.3">
      <c r="A12" s="447" t="s">
        <v>20</v>
      </c>
      <c r="B12" s="95"/>
      <c r="C12" s="448" t="s">
        <v>1223</v>
      </c>
      <c r="D12" s="304"/>
      <c r="E12" s="305"/>
      <c r="F12" s="305"/>
      <c r="G12" s="449" t="s">
        <v>20</v>
      </c>
      <c r="H12" s="94"/>
      <c r="I12" s="448" t="s">
        <v>1223</v>
      </c>
      <c r="J12" s="304"/>
      <c r="K12" s="305"/>
      <c r="L12" s="305"/>
      <c r="M12" s="449" t="s">
        <v>20</v>
      </c>
      <c r="N12" s="94"/>
      <c r="O12" s="448" t="s">
        <v>1223</v>
      </c>
      <c r="P12" s="304"/>
      <c r="Q12" s="305"/>
      <c r="R12" s="305"/>
      <c r="S12" s="449" t="s">
        <v>20</v>
      </c>
      <c r="T12" s="94"/>
      <c r="U12" s="448" t="s">
        <v>1223</v>
      </c>
      <c r="V12" s="304"/>
      <c r="W12" s="305"/>
      <c r="X12" s="305"/>
      <c r="Y12" s="449" t="s">
        <v>20</v>
      </c>
      <c r="Z12" s="94"/>
      <c r="AA12" s="448" t="s">
        <v>1223</v>
      </c>
      <c r="AB12" s="304"/>
      <c r="AC12" s="305"/>
      <c r="AD12" s="305"/>
      <c r="AE12" s="449" t="s">
        <v>20</v>
      </c>
      <c r="AF12" s="94"/>
      <c r="AG12" s="448" t="s">
        <v>1223</v>
      </c>
      <c r="AH12" s="304"/>
      <c r="AI12" s="305"/>
      <c r="AJ12" s="305"/>
      <c r="AK12" s="449" t="s">
        <v>20</v>
      </c>
      <c r="AL12" s="94"/>
      <c r="AM12" s="448" t="s">
        <v>1223</v>
      </c>
      <c r="AN12" s="304"/>
      <c r="AO12" s="305"/>
      <c r="AP12" s="305"/>
      <c r="AQ12" s="305"/>
      <c r="AR12" s="305"/>
      <c r="AS12" s="305"/>
      <c r="AT12" s="305"/>
      <c r="AU12" s="305"/>
      <c r="AV12" s="305"/>
      <c r="AW12" s="305"/>
      <c r="AX12" s="305"/>
      <c r="AY12" s="305"/>
      <c r="AZ12" s="305"/>
      <c r="BA12" s="305"/>
    </row>
    <row r="13" spans="1:53" s="291" customFormat="1" ht="15.75" thickBot="1" x14ac:dyDescent="0.3">
      <c r="A13" s="450" t="s">
        <v>17</v>
      </c>
      <c r="B13" s="451" t="s">
        <v>5</v>
      </c>
      <c r="C13" s="2435" t="s">
        <v>50</v>
      </c>
      <c r="D13" s="2435"/>
      <c r="E13" s="452" t="s">
        <v>22</v>
      </c>
      <c r="F13" s="453"/>
      <c r="G13" s="405" t="s">
        <v>17</v>
      </c>
      <c r="H13" s="406" t="s">
        <v>5</v>
      </c>
      <c r="I13" s="2431" t="s">
        <v>50</v>
      </c>
      <c r="J13" s="2431"/>
      <c r="K13" s="404" t="s">
        <v>22</v>
      </c>
      <c r="L13" s="454"/>
      <c r="M13" s="405" t="s">
        <v>17</v>
      </c>
      <c r="N13" s="406" t="s">
        <v>5</v>
      </c>
      <c r="O13" s="2431" t="s">
        <v>50</v>
      </c>
      <c r="P13" s="2431"/>
      <c r="Q13" s="404" t="s">
        <v>22</v>
      </c>
      <c r="R13" s="454"/>
      <c r="S13" s="405" t="s">
        <v>17</v>
      </c>
      <c r="T13" s="406" t="s">
        <v>5</v>
      </c>
      <c r="U13" s="2431" t="s">
        <v>50</v>
      </c>
      <c r="V13" s="2431"/>
      <c r="W13" s="404" t="s">
        <v>22</v>
      </c>
      <c r="X13" s="454"/>
      <c r="Y13" s="405" t="s">
        <v>17</v>
      </c>
      <c r="Z13" s="406" t="s">
        <v>5</v>
      </c>
      <c r="AA13" s="2431" t="s">
        <v>50</v>
      </c>
      <c r="AB13" s="2431"/>
      <c r="AC13" s="404" t="s">
        <v>22</v>
      </c>
      <c r="AD13" s="305"/>
      <c r="AE13" s="405" t="s">
        <v>17</v>
      </c>
      <c r="AF13" s="406" t="s">
        <v>5</v>
      </c>
      <c r="AG13" s="2431" t="s">
        <v>50</v>
      </c>
      <c r="AH13" s="2431"/>
      <c r="AI13" s="404" t="s">
        <v>22</v>
      </c>
      <c r="AJ13" s="454"/>
      <c r="AK13" s="405" t="s">
        <v>17</v>
      </c>
      <c r="AL13" s="406" t="s">
        <v>5</v>
      </c>
      <c r="AM13" s="2431" t="s">
        <v>50</v>
      </c>
      <c r="AN13" s="2431"/>
      <c r="AO13" s="404" t="s">
        <v>22</v>
      </c>
      <c r="AP13" s="454"/>
      <c r="AQ13" s="305"/>
      <c r="AR13" s="305"/>
      <c r="AS13" s="305"/>
      <c r="AT13" s="305"/>
      <c r="AU13" s="305"/>
      <c r="AV13" s="305"/>
      <c r="AW13" s="305"/>
    </row>
    <row r="14" spans="1:53" s="291" customFormat="1" x14ac:dyDescent="0.25">
      <c r="A14" s="174"/>
      <c r="B14" s="175"/>
      <c r="C14" s="455" t="str">
        <f ca="1">IFERROR(IF(Cabeçalho!$G$28="Unfors",INDIRECT(ADDRESS(B14,1,1,1,"medidas Unfors"),1),INDIRECT(ADDRESS(B14,1,1,1,"medidas Fluke"),1)),"")</f>
        <v/>
      </c>
      <c r="D14" s="456" t="str">
        <f ca="1">IFERROR(IF(Cabeçalho!$G$28="Unfors",INDIRECT(ADDRESS(B14,2,1,1,"medidas Unfors"),1),"kVp médio"),"")</f>
        <v/>
      </c>
      <c r="E14" s="457" t="str">
        <f ca="1">IFERROR(CONCATENATE(ROUND((C14/A14-1)*100,1)," %"),"")</f>
        <v/>
      </c>
      <c r="F14" s="305"/>
      <c r="G14" s="174"/>
      <c r="H14" s="180"/>
      <c r="I14" s="455" t="str">
        <f ca="1">IFERROR(IF(Cabeçalho!$G$28="Unfors",INDIRECT(ADDRESS(H14,1,1,1,"medidas Unfors"),1),INDIRECT(ADDRESS(H14,1,1,1,"medidas Fluke"),1)),"")</f>
        <v/>
      </c>
      <c r="J14" s="456" t="str">
        <f ca="1">IFERROR(IF(Cabeçalho!$G$28="Unfors",INDIRECT(ADDRESS(H14,2,1,1,"medidas Unfors"),1),"kVp médio"),"")</f>
        <v/>
      </c>
      <c r="K14" s="457" t="str">
        <f t="shared" ref="K14:K21" ca="1" si="0">IFERROR(CONCATENATE(ROUND((I14/G14-1)*100,1)," %"),"")</f>
        <v/>
      </c>
      <c r="L14" s="305"/>
      <c r="M14" s="174"/>
      <c r="N14" s="180"/>
      <c r="O14" s="455" t="str">
        <f ca="1">IFERROR(IF(Cabeçalho!$G$28="Unfors",INDIRECT(ADDRESS(N14,1,1,1,"medidas Unfors"),1),INDIRECT(ADDRESS(N14,1,1,1,"medidas Fluke"),1)),"")</f>
        <v/>
      </c>
      <c r="P14" s="456" t="str">
        <f ca="1">IFERROR(IF(Cabeçalho!$G$28="Unfors",INDIRECT(ADDRESS(N14,2,1,1,"medidas Unfors"),1),"kVp médio"),"")</f>
        <v/>
      </c>
      <c r="Q14" s="457" t="str">
        <f t="shared" ref="Q14:Q21" ca="1" si="1">IFERROR(CONCATENATE(ROUND((O14/M14-1)*100,1)," %"),"")</f>
        <v/>
      </c>
      <c r="R14" s="305"/>
      <c r="S14" s="174"/>
      <c r="T14" s="180"/>
      <c r="U14" s="455" t="str">
        <f ca="1">IFERROR(IF(Cabeçalho!$G$28="Unfors",INDIRECT(ADDRESS(T14,1,1,1,"medidas Unfors"),1),INDIRECT(ADDRESS(T14,1,1,1,"medidas Fluke"),1)),"")</f>
        <v/>
      </c>
      <c r="V14" s="456" t="str">
        <f ca="1">IFERROR(IF(Cabeçalho!$G$28="Unfors",INDIRECT(ADDRESS(T14,2,1,1,"medidas Unfors"),1),"kVp médio"),"")</f>
        <v/>
      </c>
      <c r="W14" s="457" t="str">
        <f t="shared" ref="W14:W21" ca="1" si="2">IFERROR(CONCATENATE(ROUND((U14/S14-1)*100,1)," %"),"")</f>
        <v/>
      </c>
      <c r="X14" s="305"/>
      <c r="Y14" s="174"/>
      <c r="Z14" s="180"/>
      <c r="AA14" s="455" t="str">
        <f ca="1">IFERROR(IF(Cabeçalho!$G$28="Unfors",INDIRECT(ADDRESS(Z14,1,1,1,"medidas Unfors"),1),INDIRECT(ADDRESS(Z14,1,1,1,"medidas Fluke"),1)),"")</f>
        <v/>
      </c>
      <c r="AB14" s="456" t="str">
        <f ca="1">IFERROR(IF(Cabeçalho!$G$28="Unfors",INDIRECT(ADDRESS(Z14,2,1,1,"medidas Unfors"),1),"kVp médio"),"")</f>
        <v/>
      </c>
      <c r="AC14" s="457" t="str">
        <f t="shared" ref="AC14:AC21" ca="1" si="3">IFERROR(CONCATENATE(ROUND((AA14/Y14-1)*100,1)," %"),"")</f>
        <v/>
      </c>
      <c r="AD14" s="305"/>
      <c r="AE14" s="181"/>
      <c r="AF14" s="180"/>
      <c r="AG14" s="455" t="str">
        <f ca="1">IFERROR(IF(Cabeçalho!$G$28="Unfors",INDIRECT(ADDRESS(AF14,1,1,1,"medidas Unfors"),1),INDIRECT(ADDRESS(AF14,1,1,1,"medidas Fluke"),1)),"")</f>
        <v/>
      </c>
      <c r="AH14" s="456" t="str">
        <f ca="1">IFERROR(IF(Cabeçalho!$G$28="Unfors",INDIRECT(ADDRESS(AF14,2,1,1,"medidas Unfors"),1),"kVp médio"),"")</f>
        <v/>
      </c>
      <c r="AI14" s="457" t="str">
        <f t="shared" ref="AI14:AI21" ca="1" si="4">IFERROR(CONCATENATE(ROUND((AG14/AE14-1)*100,1)," %"),"")</f>
        <v/>
      </c>
      <c r="AJ14" s="458"/>
      <c r="AK14" s="181"/>
      <c r="AL14" s="180"/>
      <c r="AM14" s="455" t="str">
        <f ca="1">IFERROR(IF(Cabeçalho!$G$28="Unfors",INDIRECT(ADDRESS(AL14,1,1,1,"medidas Unfors"),1),INDIRECT(ADDRESS(AL14,1,1,1,"medidas Fluke"),1)),"")</f>
        <v/>
      </c>
      <c r="AN14" s="456" t="str">
        <f ca="1">IFERROR(IF(Cabeçalho!$G$28="Unfors",INDIRECT(ADDRESS(AL14,2,1,1,"medidas Unfors"),1),"kVp médio"),"")</f>
        <v/>
      </c>
      <c r="AO14" s="457" t="str">
        <f t="shared" ref="AO14:AO21" ca="1" si="5">IFERROR(CONCATENATE(ROUND((AM14/AK14-1)*100,1)," %"),"")</f>
        <v/>
      </c>
      <c r="AP14" s="458"/>
      <c r="AQ14" s="305"/>
      <c r="AR14" s="305"/>
      <c r="AS14" s="305"/>
      <c r="AT14" s="305"/>
      <c r="AU14" s="305"/>
      <c r="AV14" s="305"/>
      <c r="AW14" s="305"/>
    </row>
    <row r="15" spans="1:53" s="291" customFormat="1" x14ac:dyDescent="0.25">
      <c r="A15" s="179"/>
      <c r="B15" s="1058"/>
      <c r="C15" s="459" t="str">
        <f ca="1">IFERROR(IF(Cabeçalho!$G$28="Unfors",INDIRECT(ADDRESS(B15,1,1,1,"medidas Unfors"),1),INDIRECT(ADDRESS(B15,1,1,1,"medidas Fluke"),1)),"")</f>
        <v/>
      </c>
      <c r="D15" s="460" t="str">
        <f ca="1">IFERROR(IF(Cabeçalho!$G$28="Unfors",INDIRECT(ADDRESS(B15,2,1,1,"medidas Unfors"),1),"kVp médio"),"")</f>
        <v/>
      </c>
      <c r="E15" s="461" t="str">
        <f t="shared" ref="E15:E21" ca="1" si="6">IFERROR(CONCATENATE(ROUND((C15/A15-1)*100,1)," %"),"")</f>
        <v/>
      </c>
      <c r="F15" s="305"/>
      <c r="G15" s="179"/>
      <c r="H15" s="182"/>
      <c r="I15" s="459" t="str">
        <f ca="1">IFERROR(IF(Cabeçalho!$G$28="Unfors",INDIRECT(ADDRESS(H15,1,1,1,"medidas Unfors"),1),INDIRECT(ADDRESS(H15,1,1,1,"medidas Fluke"),1)),"")</f>
        <v/>
      </c>
      <c r="J15" s="460" t="str">
        <f ca="1">IFERROR(IF(Cabeçalho!$G$28="Unfors",INDIRECT(ADDRESS(H15,2,1,1,"medidas Unfors"),1),"kVp médio"),"")</f>
        <v/>
      </c>
      <c r="K15" s="461" t="str">
        <f t="shared" ca="1" si="0"/>
        <v/>
      </c>
      <c r="L15" s="305"/>
      <c r="M15" s="179"/>
      <c r="N15" s="182"/>
      <c r="O15" s="459" t="str">
        <f ca="1">IFERROR(IF(Cabeçalho!$G$28="Unfors",INDIRECT(ADDRESS(N15,1,1,1,"medidas Unfors"),1),INDIRECT(ADDRESS(N15,1,1,1,"medidas Fluke"),1)),"")</f>
        <v/>
      </c>
      <c r="P15" s="460" t="str">
        <f ca="1">IFERROR(IF(Cabeçalho!$G$28="Unfors",INDIRECT(ADDRESS(N15,2,1,1,"medidas Unfors"),1),"kVp médio"),"")</f>
        <v/>
      </c>
      <c r="Q15" s="461" t="str">
        <f t="shared" ca="1" si="1"/>
        <v/>
      </c>
      <c r="R15" s="305"/>
      <c r="S15" s="179"/>
      <c r="T15" s="182"/>
      <c r="U15" s="459" t="str">
        <f ca="1">IFERROR(IF(Cabeçalho!$G$28="Unfors",INDIRECT(ADDRESS(T15,1,1,1,"medidas Unfors"),1),INDIRECT(ADDRESS(T15,1,1,1,"medidas Fluke"),1)),"")</f>
        <v/>
      </c>
      <c r="V15" s="460" t="str">
        <f ca="1">IFERROR(IF(Cabeçalho!$G$28="Unfors",INDIRECT(ADDRESS(T15,2,1,1,"medidas Unfors"),1),"kVp médio"),"")</f>
        <v/>
      </c>
      <c r="W15" s="461" t="str">
        <f t="shared" ca="1" si="2"/>
        <v/>
      </c>
      <c r="X15" s="305"/>
      <c r="Y15" s="179"/>
      <c r="Z15" s="182"/>
      <c r="AA15" s="459" t="str">
        <f ca="1">IFERROR(IF(Cabeçalho!$G$28="Unfors",INDIRECT(ADDRESS(Z15,1,1,1,"medidas Unfors"),1),INDIRECT(ADDRESS(Z15,1,1,1,"medidas Fluke"),1)),"")</f>
        <v/>
      </c>
      <c r="AB15" s="460" t="str">
        <f ca="1">IFERROR(IF(Cabeçalho!$G$28="Unfors",INDIRECT(ADDRESS(Z15,2,1,1,"medidas Unfors"),1),"kVp médio"),"")</f>
        <v/>
      </c>
      <c r="AC15" s="461" t="str">
        <f t="shared" ca="1" si="3"/>
        <v/>
      </c>
      <c r="AD15" s="305"/>
      <c r="AE15" s="179"/>
      <c r="AF15" s="182"/>
      <c r="AG15" s="459" t="str">
        <f ca="1">IFERROR(IF(Cabeçalho!$G$28="Unfors",INDIRECT(ADDRESS(AF15,1,1,1,"medidas Unfors"),1),INDIRECT(ADDRESS(AF15,1,1,1,"medidas Fluke"),1)),"")</f>
        <v/>
      </c>
      <c r="AH15" s="460" t="str">
        <f ca="1">IFERROR(IF(Cabeçalho!$G$28="Unfors",INDIRECT(ADDRESS(AF15,2,1,1,"medidas Unfors"),1),"kVp médio"),"")</f>
        <v/>
      </c>
      <c r="AI15" s="461" t="str">
        <f t="shared" ca="1" si="4"/>
        <v/>
      </c>
      <c r="AJ15" s="458"/>
      <c r="AK15" s="179"/>
      <c r="AL15" s="182"/>
      <c r="AM15" s="459" t="str">
        <f ca="1">IFERROR(IF(Cabeçalho!$G$28="Unfors",INDIRECT(ADDRESS(AL15,1,1,1,"medidas Unfors"),1),INDIRECT(ADDRESS(AL15,1,1,1,"medidas Fluke"),1)),"")</f>
        <v/>
      </c>
      <c r="AN15" s="460" t="str">
        <f ca="1">IFERROR(IF(Cabeçalho!$G$28="Unfors",INDIRECT(ADDRESS(AL15,2,1,1,"medidas Unfors"),1),"kVp médio"),"")</f>
        <v/>
      </c>
      <c r="AO15" s="461" t="str">
        <f t="shared" ca="1" si="5"/>
        <v/>
      </c>
      <c r="AP15" s="458"/>
      <c r="AQ15" s="305"/>
      <c r="AR15" s="305"/>
      <c r="AS15" s="305"/>
      <c r="AT15" s="305"/>
      <c r="AU15" s="305"/>
      <c r="AV15" s="305"/>
      <c r="AW15" s="305"/>
    </row>
    <row r="16" spans="1:53" s="291" customFormat="1" x14ac:dyDescent="0.25">
      <c r="A16" s="179"/>
      <c r="B16" s="1058"/>
      <c r="C16" s="459" t="str">
        <f ca="1">IFERROR(IF(Cabeçalho!$G$28="Unfors",INDIRECT(ADDRESS(B16,1,1,1,"medidas Unfors"),1),INDIRECT(ADDRESS(B16,1,1,1,"medidas Fluke"),1)),"")</f>
        <v/>
      </c>
      <c r="D16" s="460" t="str">
        <f ca="1">IFERROR(IF(Cabeçalho!$G$28="Unfors",INDIRECT(ADDRESS(B16,2,1,1,"medidas Unfors"),1),"kVp médio"),"")</f>
        <v/>
      </c>
      <c r="E16" s="461" t="str">
        <f t="shared" ca="1" si="6"/>
        <v/>
      </c>
      <c r="F16" s="305"/>
      <c r="G16" s="179"/>
      <c r="H16" s="182"/>
      <c r="I16" s="459" t="str">
        <f ca="1">IFERROR(IF(Cabeçalho!$G$28="Unfors",INDIRECT(ADDRESS(H16,1,1,1,"medidas Unfors"),1),INDIRECT(ADDRESS(H16,1,1,1,"medidas Fluke"),1)),"")</f>
        <v/>
      </c>
      <c r="J16" s="460" t="str">
        <f ca="1">IFERROR(IF(Cabeçalho!$G$28="Unfors",INDIRECT(ADDRESS(H16,2,1,1,"medidas Unfors"),1),"kVp médio"),"")</f>
        <v/>
      </c>
      <c r="K16" s="461" t="str">
        <f t="shared" ca="1" si="0"/>
        <v/>
      </c>
      <c r="L16" s="305"/>
      <c r="M16" s="179"/>
      <c r="N16" s="182"/>
      <c r="O16" s="459" t="str">
        <f ca="1">IFERROR(IF(Cabeçalho!$G$28="Unfors",INDIRECT(ADDRESS(N16,1,1,1,"medidas Unfors"),1),INDIRECT(ADDRESS(N16,1,1,1,"medidas Fluke"),1)),"")</f>
        <v/>
      </c>
      <c r="P16" s="460" t="str">
        <f ca="1">IFERROR(IF(Cabeçalho!$G$28="Unfors",INDIRECT(ADDRESS(N16,2,1,1,"medidas Unfors"),1),"kVp médio"),"")</f>
        <v/>
      </c>
      <c r="Q16" s="461" t="str">
        <f t="shared" ca="1" si="1"/>
        <v/>
      </c>
      <c r="R16" s="305"/>
      <c r="S16" s="179"/>
      <c r="T16" s="182"/>
      <c r="U16" s="459" t="str">
        <f ca="1">IFERROR(IF(Cabeçalho!$G$28="Unfors",INDIRECT(ADDRESS(T16,1,1,1,"medidas Unfors"),1),INDIRECT(ADDRESS(T16,1,1,1,"medidas Fluke"),1)),"")</f>
        <v/>
      </c>
      <c r="V16" s="460" t="str">
        <f ca="1">IFERROR(IF(Cabeçalho!$G$28="Unfors",INDIRECT(ADDRESS(T16,2,1,1,"medidas Unfors"),1),"kVp médio"),"")</f>
        <v/>
      </c>
      <c r="W16" s="461" t="str">
        <f t="shared" ca="1" si="2"/>
        <v/>
      </c>
      <c r="X16" s="305"/>
      <c r="Y16" s="179"/>
      <c r="Z16" s="182"/>
      <c r="AA16" s="459" t="str">
        <f ca="1">IFERROR(IF(Cabeçalho!$G$28="Unfors",INDIRECT(ADDRESS(Z16,1,1,1,"medidas Unfors"),1),INDIRECT(ADDRESS(Z16,1,1,1,"medidas Fluke"),1)),"")</f>
        <v/>
      </c>
      <c r="AB16" s="460" t="str">
        <f ca="1">IFERROR(IF(Cabeçalho!$G$28="Unfors",INDIRECT(ADDRESS(Z16,2,1,1,"medidas Unfors"),1),"kVp médio"),"")</f>
        <v/>
      </c>
      <c r="AC16" s="461" t="str">
        <f t="shared" ca="1" si="3"/>
        <v/>
      </c>
      <c r="AD16" s="305"/>
      <c r="AE16" s="179"/>
      <c r="AF16" s="182"/>
      <c r="AG16" s="459" t="str">
        <f ca="1">IFERROR(IF(Cabeçalho!$G$28="Unfors",INDIRECT(ADDRESS(AF16,1,1,1,"medidas Unfors"),1),INDIRECT(ADDRESS(AF16,1,1,1,"medidas Fluke"),1)),"")</f>
        <v/>
      </c>
      <c r="AH16" s="460" t="str">
        <f ca="1">IFERROR(IF(Cabeçalho!$G$28="Unfors",INDIRECT(ADDRESS(AF16,2,1,1,"medidas Unfors"),1),"kVp médio"),"")</f>
        <v/>
      </c>
      <c r="AI16" s="461" t="str">
        <f t="shared" ca="1" si="4"/>
        <v/>
      </c>
      <c r="AJ16" s="458"/>
      <c r="AK16" s="179"/>
      <c r="AL16" s="182"/>
      <c r="AM16" s="459" t="str">
        <f ca="1">IFERROR(IF(Cabeçalho!$G$28="Unfors",INDIRECT(ADDRESS(AL16,1,1,1,"medidas Unfors"),1),INDIRECT(ADDRESS(AL16,1,1,1,"medidas Fluke"),1)),"")</f>
        <v/>
      </c>
      <c r="AN16" s="460" t="str">
        <f ca="1">IFERROR(IF(Cabeçalho!$G$28="Unfors",INDIRECT(ADDRESS(AL16,2,1,1,"medidas Unfors"),1),"kVp médio"),"")</f>
        <v/>
      </c>
      <c r="AO16" s="461" t="str">
        <f t="shared" ca="1" si="5"/>
        <v/>
      </c>
      <c r="AP16" s="458"/>
      <c r="AQ16" s="305"/>
      <c r="AR16" s="305"/>
      <c r="AS16" s="305"/>
      <c r="AT16" s="305"/>
      <c r="AU16" s="305"/>
      <c r="AV16" s="305"/>
      <c r="AW16" s="305"/>
    </row>
    <row r="17" spans="1:49" s="291" customFormat="1" x14ac:dyDescent="0.25">
      <c r="A17" s="179"/>
      <c r="B17" s="1058"/>
      <c r="C17" s="459" t="str">
        <f ca="1">IFERROR(IF(Cabeçalho!$G$28="Unfors",INDIRECT(ADDRESS(B17,1,1,1,"medidas Unfors"),1),INDIRECT(ADDRESS(B17,1,1,1,"medidas Fluke"),1)),"")</f>
        <v/>
      </c>
      <c r="D17" s="460" t="str">
        <f ca="1">IFERROR(IF(Cabeçalho!$G$28="Unfors",INDIRECT(ADDRESS(B17,2,1,1,"medidas Unfors"),1),"kVp médio"),"")</f>
        <v/>
      </c>
      <c r="E17" s="461" t="str">
        <f t="shared" ca="1" si="6"/>
        <v/>
      </c>
      <c r="F17" s="305"/>
      <c r="G17" s="179"/>
      <c r="H17" s="182"/>
      <c r="I17" s="459" t="str">
        <f ca="1">IFERROR(IF(Cabeçalho!$G$28="Unfors",INDIRECT(ADDRESS(H17,1,1,1,"medidas Unfors"),1),INDIRECT(ADDRESS(H17,1,1,1,"medidas Fluke"),1)),"")</f>
        <v/>
      </c>
      <c r="J17" s="460" t="str">
        <f ca="1">IFERROR(IF(Cabeçalho!$G$28="Unfors",INDIRECT(ADDRESS(H17,2,1,1,"medidas Unfors"),1),"kVp médio"),"")</f>
        <v/>
      </c>
      <c r="K17" s="461" t="str">
        <f t="shared" ca="1" si="0"/>
        <v/>
      </c>
      <c r="L17" s="305"/>
      <c r="M17" s="179"/>
      <c r="N17" s="182"/>
      <c r="O17" s="459" t="str">
        <f ca="1">IFERROR(IF(Cabeçalho!$G$28="Unfors",INDIRECT(ADDRESS(N17,1,1,1,"medidas Unfors"),1),INDIRECT(ADDRESS(N17,1,1,1,"medidas Fluke"),1)),"")</f>
        <v/>
      </c>
      <c r="P17" s="460" t="str">
        <f ca="1">IFERROR(IF(Cabeçalho!$G$28="Unfors",INDIRECT(ADDRESS(N17,2,1,1,"medidas Unfors"),1),"kVp médio"),"")</f>
        <v/>
      </c>
      <c r="Q17" s="461" t="str">
        <f t="shared" ca="1" si="1"/>
        <v/>
      </c>
      <c r="R17" s="305"/>
      <c r="S17" s="179"/>
      <c r="T17" s="182"/>
      <c r="U17" s="459" t="str">
        <f ca="1">IFERROR(IF(Cabeçalho!$G$28="Unfors",INDIRECT(ADDRESS(T17,1,1,1,"medidas Unfors"),1),INDIRECT(ADDRESS(T17,1,1,1,"medidas Fluke"),1)),"")</f>
        <v/>
      </c>
      <c r="V17" s="460" t="str">
        <f ca="1">IFERROR(IF(Cabeçalho!$G$28="Unfors",INDIRECT(ADDRESS(T17,2,1,1,"medidas Unfors"),1),"kVp médio"),"")</f>
        <v/>
      </c>
      <c r="W17" s="461" t="str">
        <f t="shared" ca="1" si="2"/>
        <v/>
      </c>
      <c r="X17" s="305"/>
      <c r="Y17" s="179"/>
      <c r="Z17" s="182"/>
      <c r="AA17" s="459" t="str">
        <f ca="1">IFERROR(IF(Cabeçalho!$G$28="Unfors",INDIRECT(ADDRESS(Z17,1,1,1,"medidas Unfors"),1),INDIRECT(ADDRESS(Z17,1,1,1,"medidas Fluke"),1)),"")</f>
        <v/>
      </c>
      <c r="AB17" s="460" t="str">
        <f ca="1">IFERROR(IF(Cabeçalho!$G$28="Unfors",INDIRECT(ADDRESS(Z17,2,1,1,"medidas Unfors"),1),"kVp médio"),"")</f>
        <v/>
      </c>
      <c r="AC17" s="461" t="str">
        <f t="shared" ca="1" si="3"/>
        <v/>
      </c>
      <c r="AD17" s="305"/>
      <c r="AE17" s="179"/>
      <c r="AF17" s="182"/>
      <c r="AG17" s="459" t="str">
        <f ca="1">IFERROR(IF(Cabeçalho!$G$28="Unfors",INDIRECT(ADDRESS(AF17,1,1,1,"medidas Unfors"),1),INDIRECT(ADDRESS(AF17,1,1,1,"medidas Fluke"),1)),"")</f>
        <v/>
      </c>
      <c r="AH17" s="460" t="str">
        <f ca="1">IFERROR(IF(Cabeçalho!$G$28="Unfors",INDIRECT(ADDRESS(AF17,2,1,1,"medidas Unfors"),1),"kVp médio"),"")</f>
        <v/>
      </c>
      <c r="AI17" s="461" t="str">
        <f t="shared" ca="1" si="4"/>
        <v/>
      </c>
      <c r="AJ17" s="458"/>
      <c r="AK17" s="179"/>
      <c r="AL17" s="182"/>
      <c r="AM17" s="459" t="str">
        <f ca="1">IFERROR(IF(Cabeçalho!$G$28="Unfors",INDIRECT(ADDRESS(AL17,1,1,1,"medidas Unfors"),1),INDIRECT(ADDRESS(AL17,1,1,1,"medidas Fluke"),1)),"")</f>
        <v/>
      </c>
      <c r="AN17" s="460" t="str">
        <f ca="1">IFERROR(IF(Cabeçalho!$G$28="Unfors",INDIRECT(ADDRESS(AL17,2,1,1,"medidas Unfors"),1),"kVp médio"),"")</f>
        <v/>
      </c>
      <c r="AO17" s="461" t="str">
        <f t="shared" ca="1" si="5"/>
        <v/>
      </c>
      <c r="AP17" s="458"/>
      <c r="AQ17" s="305"/>
      <c r="AR17" s="305"/>
      <c r="AS17" s="305"/>
      <c r="AT17" s="305"/>
      <c r="AU17" s="305"/>
      <c r="AV17" s="305"/>
      <c r="AW17" s="305"/>
    </row>
    <row r="18" spans="1:49" s="291" customFormat="1" x14ac:dyDescent="0.25">
      <c r="A18" s="179"/>
      <c r="B18" s="1058"/>
      <c r="C18" s="459" t="str">
        <f ca="1">IFERROR(IF(Cabeçalho!$G$28="Unfors",INDIRECT(ADDRESS(B18,1,1,1,"medidas Unfors"),1),INDIRECT(ADDRESS(B18,1,1,1,"medidas Fluke"),1)),"")</f>
        <v/>
      </c>
      <c r="D18" s="460" t="str">
        <f ca="1">IFERROR(IF(Cabeçalho!$G$28="Unfors",INDIRECT(ADDRESS(B18,2,1,1,"medidas Unfors"),1),"kVp médio"),"")</f>
        <v/>
      </c>
      <c r="E18" s="461" t="str">
        <f t="shared" ca="1" si="6"/>
        <v/>
      </c>
      <c r="F18" s="305"/>
      <c r="G18" s="179"/>
      <c r="H18" s="182"/>
      <c r="I18" s="459" t="str">
        <f ca="1">IFERROR(IF(Cabeçalho!$G$28="Unfors",INDIRECT(ADDRESS(H18,1,1,1,"medidas Unfors"),1),INDIRECT(ADDRESS(H18,1,1,1,"medidas Fluke"),1)),"")</f>
        <v/>
      </c>
      <c r="J18" s="460" t="str">
        <f ca="1">IFERROR(IF(Cabeçalho!$G$28="Unfors",INDIRECT(ADDRESS(H18,2,1,1,"medidas Unfors"),1),"kVp médio"),"")</f>
        <v/>
      </c>
      <c r="K18" s="461" t="str">
        <f t="shared" ca="1" si="0"/>
        <v/>
      </c>
      <c r="L18" s="305"/>
      <c r="M18" s="179"/>
      <c r="N18" s="182"/>
      <c r="O18" s="459" t="str">
        <f ca="1">IFERROR(IF(Cabeçalho!$G$28="Unfors",INDIRECT(ADDRESS(N18,1,1,1,"medidas Unfors"),1),INDIRECT(ADDRESS(N18,1,1,1,"medidas Fluke"),1)),"")</f>
        <v/>
      </c>
      <c r="P18" s="460" t="str">
        <f ca="1">IFERROR(IF(Cabeçalho!$G$28="Unfors",INDIRECT(ADDRESS(N18,2,1,1,"medidas Unfors"),1),"kVp médio"),"")</f>
        <v/>
      </c>
      <c r="Q18" s="461" t="str">
        <f t="shared" ca="1" si="1"/>
        <v/>
      </c>
      <c r="R18" s="305"/>
      <c r="S18" s="179"/>
      <c r="T18" s="182"/>
      <c r="U18" s="459" t="str">
        <f ca="1">IFERROR(IF(Cabeçalho!$G$28="Unfors",INDIRECT(ADDRESS(T18,1,1,1,"medidas Unfors"),1),INDIRECT(ADDRESS(T18,1,1,1,"medidas Fluke"),1)),"")</f>
        <v/>
      </c>
      <c r="V18" s="460" t="str">
        <f ca="1">IFERROR(IF(Cabeçalho!$G$28="Unfors",INDIRECT(ADDRESS(T18,2,1,1,"medidas Unfors"),1),"kVp médio"),"")</f>
        <v/>
      </c>
      <c r="W18" s="461" t="str">
        <f t="shared" ca="1" si="2"/>
        <v/>
      </c>
      <c r="X18" s="305"/>
      <c r="Y18" s="179"/>
      <c r="Z18" s="182"/>
      <c r="AA18" s="459" t="str">
        <f ca="1">IFERROR(IF(Cabeçalho!$G$28="Unfors",INDIRECT(ADDRESS(Z18,1,1,1,"medidas Unfors"),1),INDIRECT(ADDRESS(Z18,1,1,1,"medidas Fluke"),1)),"")</f>
        <v/>
      </c>
      <c r="AB18" s="460" t="str">
        <f ca="1">IFERROR(IF(Cabeçalho!$G$28="Unfors",INDIRECT(ADDRESS(Z18,2,1,1,"medidas Unfors"),1),"kVp médio"),"")</f>
        <v/>
      </c>
      <c r="AC18" s="461" t="str">
        <f t="shared" ca="1" si="3"/>
        <v/>
      </c>
      <c r="AD18" s="305"/>
      <c r="AE18" s="179"/>
      <c r="AF18" s="182"/>
      <c r="AG18" s="459" t="str">
        <f ca="1">IFERROR(IF(Cabeçalho!$G$28="Unfors",INDIRECT(ADDRESS(AF18,1,1,1,"medidas Unfors"),1),INDIRECT(ADDRESS(AF18,1,1,1,"medidas Fluke"),1)),"")</f>
        <v/>
      </c>
      <c r="AH18" s="460" t="str">
        <f ca="1">IFERROR(IF(Cabeçalho!$G$28="Unfors",INDIRECT(ADDRESS(AF18,2,1,1,"medidas Unfors"),1),"kVp médio"),"")</f>
        <v/>
      </c>
      <c r="AI18" s="461" t="str">
        <f t="shared" ca="1" si="4"/>
        <v/>
      </c>
      <c r="AJ18" s="458"/>
      <c r="AK18" s="179"/>
      <c r="AL18" s="182"/>
      <c r="AM18" s="459" t="str">
        <f ca="1">IFERROR(IF(Cabeçalho!$G$28="Unfors",INDIRECT(ADDRESS(AL18,1,1,1,"medidas Unfors"),1),INDIRECT(ADDRESS(AL18,1,1,1,"medidas Fluke"),1)),"")</f>
        <v/>
      </c>
      <c r="AN18" s="460" t="str">
        <f ca="1">IFERROR(IF(Cabeçalho!$G$28="Unfors",INDIRECT(ADDRESS(AL18,2,1,1,"medidas Unfors"),1),"kVp médio"),"")</f>
        <v/>
      </c>
      <c r="AO18" s="461" t="str">
        <f t="shared" ca="1" si="5"/>
        <v/>
      </c>
      <c r="AP18" s="458"/>
      <c r="AQ18" s="305"/>
      <c r="AR18" s="305"/>
      <c r="AS18" s="305"/>
      <c r="AT18" s="305"/>
      <c r="AU18" s="305"/>
      <c r="AV18" s="305"/>
      <c r="AW18" s="305"/>
    </row>
    <row r="19" spans="1:49" s="291" customFormat="1" x14ac:dyDescent="0.25">
      <c r="A19" s="179"/>
      <c r="B19" s="1058"/>
      <c r="C19" s="459" t="str">
        <f ca="1">IFERROR(IF(Cabeçalho!$G$28="Unfors",INDIRECT(ADDRESS(B19,1,1,1,"medidas Unfors"),1),INDIRECT(ADDRESS(B19,1,1,1,"medidas Fluke"),1)),"")</f>
        <v/>
      </c>
      <c r="D19" s="460" t="str">
        <f ca="1">IFERROR(IF(Cabeçalho!$G$28="Unfors",INDIRECT(ADDRESS(B19,2,1,1,"medidas Unfors"),1),"kVp médio"),"")</f>
        <v/>
      </c>
      <c r="E19" s="461" t="str">
        <f t="shared" ca="1" si="6"/>
        <v/>
      </c>
      <c r="F19" s="305"/>
      <c r="G19" s="179"/>
      <c r="H19" s="182"/>
      <c r="I19" s="459" t="str">
        <f ca="1">IFERROR(IF(Cabeçalho!$G$28="Unfors",INDIRECT(ADDRESS(H19,1,1,1,"medidas Unfors"),1),INDIRECT(ADDRESS(H19,1,1,1,"medidas Fluke"),1)),"")</f>
        <v/>
      </c>
      <c r="J19" s="460" t="str">
        <f ca="1">IFERROR(IF(Cabeçalho!$G$28="Unfors",INDIRECT(ADDRESS(H19,2,1,1,"medidas Unfors"),1),"kVp médio"),"")</f>
        <v/>
      </c>
      <c r="K19" s="461" t="str">
        <f t="shared" ca="1" si="0"/>
        <v/>
      </c>
      <c r="L19" s="305"/>
      <c r="M19" s="179"/>
      <c r="N19" s="182"/>
      <c r="O19" s="459" t="str">
        <f ca="1">IFERROR(IF(Cabeçalho!$G$28="Unfors",INDIRECT(ADDRESS(N19,1,1,1,"medidas Unfors"),1),INDIRECT(ADDRESS(N19,1,1,1,"medidas Fluke"),1)),"")</f>
        <v/>
      </c>
      <c r="P19" s="460" t="str">
        <f ca="1">IFERROR(IF(Cabeçalho!$G$28="Unfors",INDIRECT(ADDRESS(N19,2,1,1,"medidas Unfors"),1),"kVp médio"),"")</f>
        <v/>
      </c>
      <c r="Q19" s="461" t="str">
        <f t="shared" ca="1" si="1"/>
        <v/>
      </c>
      <c r="R19" s="305"/>
      <c r="S19" s="179"/>
      <c r="T19" s="182"/>
      <c r="U19" s="459" t="str">
        <f ca="1">IFERROR(IF(Cabeçalho!$G$28="Unfors",INDIRECT(ADDRESS(T19,1,1,1,"medidas Unfors"),1),INDIRECT(ADDRESS(T19,1,1,1,"medidas Fluke"),1)),"")</f>
        <v/>
      </c>
      <c r="V19" s="460" t="str">
        <f ca="1">IFERROR(IF(Cabeçalho!$G$28="Unfors",INDIRECT(ADDRESS(T19,2,1,1,"medidas Unfors"),1),"kVp médio"),"")</f>
        <v/>
      </c>
      <c r="W19" s="461" t="str">
        <f t="shared" ca="1" si="2"/>
        <v/>
      </c>
      <c r="X19" s="305"/>
      <c r="Y19" s="179"/>
      <c r="Z19" s="182"/>
      <c r="AA19" s="459" t="str">
        <f ca="1">IFERROR(IF(Cabeçalho!$G$28="Unfors",INDIRECT(ADDRESS(Z19,1,1,1,"medidas Unfors"),1),INDIRECT(ADDRESS(Z19,1,1,1,"medidas Fluke"),1)),"")</f>
        <v/>
      </c>
      <c r="AB19" s="460" t="str">
        <f ca="1">IFERROR(IF(Cabeçalho!$G$28="Unfors",INDIRECT(ADDRESS(Z19,2,1,1,"medidas Unfors"),1),"kVp médio"),"")</f>
        <v/>
      </c>
      <c r="AC19" s="461" t="str">
        <f t="shared" ca="1" si="3"/>
        <v/>
      </c>
      <c r="AD19" s="305"/>
      <c r="AE19" s="179"/>
      <c r="AF19" s="182"/>
      <c r="AG19" s="459" t="str">
        <f ca="1">IFERROR(IF(Cabeçalho!$G$28="Unfors",INDIRECT(ADDRESS(AF19,1,1,1,"medidas Unfors"),1),INDIRECT(ADDRESS(AF19,1,1,1,"medidas Fluke"),1)),"")</f>
        <v/>
      </c>
      <c r="AH19" s="460" t="str">
        <f ca="1">IFERROR(IF(Cabeçalho!$G$28="Unfors",INDIRECT(ADDRESS(AF19,2,1,1,"medidas Unfors"),1),"kVp médio"),"")</f>
        <v/>
      </c>
      <c r="AI19" s="461" t="str">
        <f t="shared" ca="1" si="4"/>
        <v/>
      </c>
      <c r="AJ19" s="458"/>
      <c r="AK19" s="179"/>
      <c r="AL19" s="182"/>
      <c r="AM19" s="459" t="str">
        <f ca="1">IFERROR(IF(Cabeçalho!$G$28="Unfors",INDIRECT(ADDRESS(AL19,1,1,1,"medidas Unfors"),1),INDIRECT(ADDRESS(AL19,1,1,1,"medidas Fluke"),1)),"")</f>
        <v/>
      </c>
      <c r="AN19" s="460" t="str">
        <f ca="1">IFERROR(IF(Cabeçalho!$G$28="Unfors",INDIRECT(ADDRESS(AL19,2,1,1,"medidas Unfors"),1),"kVp médio"),"")</f>
        <v/>
      </c>
      <c r="AO19" s="461" t="str">
        <f t="shared" ca="1" si="5"/>
        <v/>
      </c>
      <c r="AP19" s="458"/>
      <c r="AQ19" s="305"/>
      <c r="AR19" s="305"/>
      <c r="AS19" s="305"/>
      <c r="AT19" s="305"/>
      <c r="AU19" s="305"/>
      <c r="AV19" s="305"/>
      <c r="AW19" s="305"/>
    </row>
    <row r="20" spans="1:49" s="291" customFormat="1" x14ac:dyDescent="0.25">
      <c r="A20" s="179"/>
      <c r="B20" s="176"/>
      <c r="C20" s="459" t="str">
        <f ca="1">IFERROR(IF(Cabeçalho!$G$28="Unfors",INDIRECT(ADDRESS(B20,1,1,1,"medidas Unfors"),1),INDIRECT(ADDRESS(B20,1,1,1,"medidas Fluke"),1)),"")</f>
        <v/>
      </c>
      <c r="D20" s="460" t="str">
        <f ca="1">IFERROR(IF(Cabeçalho!$G$28="Unfors",INDIRECT(ADDRESS(B20,2,1,1,"medidas Unfors"),1),"kVp médio"),"")</f>
        <v/>
      </c>
      <c r="E20" s="461" t="str">
        <f t="shared" ca="1" si="6"/>
        <v/>
      </c>
      <c r="F20" s="305"/>
      <c r="G20" s="179"/>
      <c r="H20" s="182"/>
      <c r="I20" s="459" t="str">
        <f ca="1">IFERROR(IF(Cabeçalho!$G$28="Unfors",INDIRECT(ADDRESS(H20,1,1,1,"medidas Unfors"),1),INDIRECT(ADDRESS(H20,1,1,1,"medidas Fluke"),1)),"")</f>
        <v/>
      </c>
      <c r="J20" s="460" t="str">
        <f ca="1">IFERROR(IF(Cabeçalho!$G$28="Unfors",INDIRECT(ADDRESS(H20,2,1,1,"medidas Unfors"),1),"kVp médio"),"")</f>
        <v/>
      </c>
      <c r="K20" s="461" t="str">
        <f t="shared" ca="1" si="0"/>
        <v/>
      </c>
      <c r="L20" s="305"/>
      <c r="M20" s="179"/>
      <c r="N20" s="182"/>
      <c r="O20" s="459" t="str">
        <f ca="1">IFERROR(IF(Cabeçalho!$G$28="Unfors",INDIRECT(ADDRESS(N20,1,1,1,"medidas Unfors"),1),INDIRECT(ADDRESS(N20,1,1,1,"medidas Fluke"),1)),"")</f>
        <v/>
      </c>
      <c r="P20" s="460" t="str">
        <f ca="1">IFERROR(IF(Cabeçalho!$G$28="Unfors",INDIRECT(ADDRESS(N20,2,1,1,"medidas Unfors"),1),"kVp médio"),"")</f>
        <v/>
      </c>
      <c r="Q20" s="461" t="str">
        <f t="shared" ca="1" si="1"/>
        <v/>
      </c>
      <c r="R20" s="305"/>
      <c r="S20" s="179"/>
      <c r="T20" s="182"/>
      <c r="U20" s="459" t="str">
        <f ca="1">IFERROR(IF(Cabeçalho!$G$28="Unfors",INDIRECT(ADDRESS(T20,1,1,1,"medidas Unfors"),1),INDIRECT(ADDRESS(T20,1,1,1,"medidas Fluke"),1)),"")</f>
        <v/>
      </c>
      <c r="V20" s="460" t="str">
        <f ca="1">IFERROR(IF(Cabeçalho!$G$28="Unfors",INDIRECT(ADDRESS(T20,2,1,1,"medidas Unfors"),1),"kVp médio"),"")</f>
        <v/>
      </c>
      <c r="W20" s="461" t="str">
        <f t="shared" ca="1" si="2"/>
        <v/>
      </c>
      <c r="X20" s="305"/>
      <c r="Y20" s="179"/>
      <c r="Z20" s="182"/>
      <c r="AA20" s="459" t="str">
        <f ca="1">IFERROR(IF(Cabeçalho!$G$28="Unfors",INDIRECT(ADDRESS(Z20,1,1,1,"medidas Unfors"),1),INDIRECT(ADDRESS(Z20,1,1,1,"medidas Fluke"),1)),"")</f>
        <v/>
      </c>
      <c r="AB20" s="460" t="str">
        <f ca="1">IFERROR(IF(Cabeçalho!$G$28="Unfors",INDIRECT(ADDRESS(Z20,2,1,1,"medidas Unfors"),1),"kVp médio"),"")</f>
        <v/>
      </c>
      <c r="AC20" s="461" t="str">
        <f t="shared" ca="1" si="3"/>
        <v/>
      </c>
      <c r="AD20" s="305"/>
      <c r="AE20" s="179"/>
      <c r="AF20" s="182"/>
      <c r="AG20" s="459" t="str">
        <f ca="1">IFERROR(IF(Cabeçalho!$G$28="Unfors",INDIRECT(ADDRESS(AF20,1,1,1,"medidas Unfors"),1),INDIRECT(ADDRESS(AF20,1,1,1,"medidas Fluke"),1)),"")</f>
        <v/>
      </c>
      <c r="AH20" s="460" t="str">
        <f ca="1">IFERROR(IF(Cabeçalho!$G$28="Unfors",INDIRECT(ADDRESS(AF20,2,1,1,"medidas Unfors"),1),"kVp médio"),"")</f>
        <v/>
      </c>
      <c r="AI20" s="461" t="str">
        <f t="shared" ca="1" si="4"/>
        <v/>
      </c>
      <c r="AJ20" s="458"/>
      <c r="AK20" s="179"/>
      <c r="AL20" s="182"/>
      <c r="AM20" s="459" t="str">
        <f ca="1">IFERROR(IF(Cabeçalho!$G$28="Unfors",INDIRECT(ADDRESS(AL20,1,1,1,"medidas Unfors"),1),INDIRECT(ADDRESS(AL20,1,1,1,"medidas Fluke"),1)),"")</f>
        <v/>
      </c>
      <c r="AN20" s="460" t="str">
        <f ca="1">IFERROR(IF(Cabeçalho!$G$28="Unfors",INDIRECT(ADDRESS(AL20,2,1,1,"medidas Unfors"),1),"kVp médio"),"")</f>
        <v/>
      </c>
      <c r="AO20" s="461" t="str">
        <f t="shared" ca="1" si="5"/>
        <v/>
      </c>
      <c r="AP20" s="458"/>
      <c r="AQ20" s="305"/>
      <c r="AR20" s="305"/>
      <c r="AS20" s="305"/>
      <c r="AT20" s="305"/>
      <c r="AU20" s="305"/>
      <c r="AV20" s="305"/>
      <c r="AW20" s="305"/>
    </row>
    <row r="21" spans="1:49" s="291" customFormat="1" ht="15.75" thickBot="1" x14ac:dyDescent="0.3">
      <c r="A21" s="177"/>
      <c r="B21" s="59"/>
      <c r="C21" s="462" t="str">
        <f ca="1">IFERROR(IF(Cabeçalho!$G$28="Unfors",INDIRECT(ADDRESS(B21,1,1,1,"medidas Unfors"),1),INDIRECT(ADDRESS(B21,1,1,1,"medidas Fluke"),1)),"")</f>
        <v/>
      </c>
      <c r="D21" s="463" t="str">
        <f ca="1">IFERROR(IF(Cabeçalho!$G$28="Unfors",INDIRECT(ADDRESS(B21,2,1,1,"medidas Unfors"),1),"kVp médio"),"")</f>
        <v/>
      </c>
      <c r="E21" s="464" t="str">
        <f t="shared" ca="1" si="6"/>
        <v/>
      </c>
      <c r="F21" s="305"/>
      <c r="G21" s="177"/>
      <c r="H21" s="178"/>
      <c r="I21" s="462" t="str">
        <f ca="1">IFERROR(IF(Cabeçalho!$G$28="Unfors",INDIRECT(ADDRESS(H21,1,1,1,"medidas Unfors"),1),INDIRECT(ADDRESS(H21,1,1,1,"medidas Fluke"),1)),"")</f>
        <v/>
      </c>
      <c r="J21" s="463" t="str">
        <f ca="1">IFERROR(IF(Cabeçalho!$G$28="Unfors",INDIRECT(ADDRESS(H21,2,1,1,"medidas Unfors"),1),"kVp médio"),"")</f>
        <v/>
      </c>
      <c r="K21" s="464" t="str">
        <f t="shared" ca="1" si="0"/>
        <v/>
      </c>
      <c r="L21" s="305"/>
      <c r="M21" s="177"/>
      <c r="N21" s="178"/>
      <c r="O21" s="462" t="str">
        <f ca="1">IFERROR(IF(Cabeçalho!$G$28="Unfors",INDIRECT(ADDRESS(N21,1,1,1,"medidas Unfors"),1),INDIRECT(ADDRESS(N21,1,1,1,"medidas Fluke"),1)),"")</f>
        <v/>
      </c>
      <c r="P21" s="463" t="str">
        <f ca="1">IFERROR(IF(Cabeçalho!$G$28="Unfors",INDIRECT(ADDRESS(N21,2,1,1,"medidas Unfors"),1),"kVp médio"),"")</f>
        <v/>
      </c>
      <c r="Q21" s="464" t="str">
        <f t="shared" ca="1" si="1"/>
        <v/>
      </c>
      <c r="R21" s="305"/>
      <c r="S21" s="177"/>
      <c r="T21" s="178"/>
      <c r="U21" s="462" t="str">
        <f ca="1">IFERROR(IF(Cabeçalho!$G$28="Unfors",INDIRECT(ADDRESS(T21,1,1,1,"medidas Unfors"),1),INDIRECT(ADDRESS(T21,1,1,1,"medidas Fluke"),1)),"")</f>
        <v/>
      </c>
      <c r="V21" s="463" t="str">
        <f ca="1">IFERROR(IF(Cabeçalho!$G$28="Unfors",INDIRECT(ADDRESS(T21,2,1,1,"medidas Unfors"),1),"kVp médio"),"")</f>
        <v/>
      </c>
      <c r="W21" s="464" t="str">
        <f t="shared" ca="1" si="2"/>
        <v/>
      </c>
      <c r="X21" s="305"/>
      <c r="Y21" s="177"/>
      <c r="Z21" s="178"/>
      <c r="AA21" s="462" t="str">
        <f ca="1">IFERROR(IF(Cabeçalho!$G$28="Unfors",INDIRECT(ADDRESS(Z21,1,1,1,"medidas Unfors"),1),INDIRECT(ADDRESS(Z21,1,1,1,"medidas Fluke"),1)),"")</f>
        <v/>
      </c>
      <c r="AB21" s="463" t="str">
        <f ca="1">IFERROR(IF(Cabeçalho!$G$28="Unfors",INDIRECT(ADDRESS(Z21,2,1,1,"medidas Unfors"),1),"kVp médio"),"")</f>
        <v/>
      </c>
      <c r="AC21" s="464" t="str">
        <f t="shared" ca="1" si="3"/>
        <v/>
      </c>
      <c r="AD21" s="305"/>
      <c r="AE21" s="177"/>
      <c r="AF21" s="178"/>
      <c r="AG21" s="462" t="str">
        <f ca="1">IFERROR(IF(Cabeçalho!$G$28="Unfors",INDIRECT(ADDRESS(AF21,1,1,1,"medidas Unfors"),1),INDIRECT(ADDRESS(AF21,1,1,1,"medidas Fluke"),1)),"")</f>
        <v/>
      </c>
      <c r="AH21" s="463" t="str">
        <f ca="1">IFERROR(IF(Cabeçalho!$G$28="Unfors",INDIRECT(ADDRESS(AF21,2,1,1,"medidas Unfors"),1),"kVp médio"),"")</f>
        <v/>
      </c>
      <c r="AI21" s="464" t="str">
        <f t="shared" ca="1" si="4"/>
        <v/>
      </c>
      <c r="AJ21" s="458"/>
      <c r="AK21" s="177"/>
      <c r="AL21" s="178"/>
      <c r="AM21" s="462" t="str">
        <f ca="1">IFERROR(IF(Cabeçalho!$G$28="Unfors",INDIRECT(ADDRESS(AL21,1,1,1,"medidas Unfors"),1),INDIRECT(ADDRESS(AL21,1,1,1,"medidas Fluke"),1)),"")</f>
        <v/>
      </c>
      <c r="AN21" s="463" t="str">
        <f ca="1">IFERROR(IF(Cabeçalho!$G$28="Unfors",INDIRECT(ADDRESS(AL21,2,1,1,"medidas Unfors"),1),"kVp médio"),"")</f>
        <v/>
      </c>
      <c r="AO21" s="464" t="str">
        <f t="shared" ca="1" si="5"/>
        <v/>
      </c>
      <c r="AP21" s="458"/>
      <c r="AQ21" s="305"/>
      <c r="AR21" s="305"/>
      <c r="AS21" s="305"/>
      <c r="AT21" s="305"/>
      <c r="AU21" s="305"/>
      <c r="AV21" s="305"/>
      <c r="AW21" s="305"/>
    </row>
    <row r="22" spans="1:49" s="291" customFormat="1" ht="15.75" thickBot="1" x14ac:dyDescent="0.3">
      <c r="A22" s="305" t="s">
        <v>660</v>
      </c>
      <c r="B22" s="2100">
        <v>0.1</v>
      </c>
      <c r="C22" s="305"/>
      <c r="D22" s="305"/>
      <c r="E22" s="2099">
        <f ca="1">MAX(E14:E21)</f>
        <v>0</v>
      </c>
      <c r="F22" s="305" t="str">
        <f ca="1">IF(E22&gt;=$B$23,"Restrição",IF(E22&gt;=$B$22,"Não","Sim"))</f>
        <v>Sim</v>
      </c>
      <c r="G22" s="305"/>
      <c r="H22" s="305"/>
      <c r="I22" s="305"/>
      <c r="J22" s="305"/>
      <c r="K22" s="2099">
        <f ca="1">MAX(K14:K21)</f>
        <v>0</v>
      </c>
      <c r="L22" s="820" t="str">
        <f ca="1">IF(K22&gt;=$B$23,"Restrição",IF(K22&gt;=$B$22,"Não","Sim"))</f>
        <v>Sim</v>
      </c>
      <c r="M22" s="305"/>
      <c r="N22" s="305"/>
      <c r="O22" s="305"/>
      <c r="P22" s="305"/>
      <c r="Q22" s="2099">
        <f ca="1">MAX(Q14:Q21)</f>
        <v>0</v>
      </c>
      <c r="R22" s="820" t="str">
        <f ca="1">IF(Q22&gt;=$B$23,"Restrição",IF(Q22&gt;=$B$22,"Não","Sim"))</f>
        <v>Sim</v>
      </c>
      <c r="S22" s="305"/>
      <c r="T22" s="305"/>
      <c r="U22" s="305"/>
      <c r="V22" s="305"/>
      <c r="W22" s="2099">
        <f ca="1">MAX(W14:W21)</f>
        <v>0</v>
      </c>
      <c r="X22" s="820" t="str">
        <f ca="1">IF(W22&gt;=$B$23,"Restrição",IF(W22&gt;=$B$22,"Não","Sim"))</f>
        <v>Sim</v>
      </c>
      <c r="Y22" s="305"/>
      <c r="Z22" s="305"/>
      <c r="AA22" s="305"/>
      <c r="AB22" s="305"/>
      <c r="AC22" s="2099">
        <f ca="1">MAX(AC14:AC21)</f>
        <v>0</v>
      </c>
      <c r="AD22" s="820" t="str">
        <f ca="1">IF(AC22&gt;=$B$23,"Restrição",IF(AC22&gt;=$B$22,"Não","Sim"))</f>
        <v>Sim</v>
      </c>
      <c r="AE22" s="305"/>
      <c r="AF22" s="305"/>
      <c r="AG22" s="305"/>
      <c r="AH22" s="305"/>
      <c r="AI22" s="2099">
        <f ca="1">MAX(AI14:AI21)</f>
        <v>0</v>
      </c>
      <c r="AJ22" s="820" t="str">
        <f ca="1">IF(AI22&gt;=$B$23,"Restrição",IF(AI22&gt;=$B$22,"Não","Sim"))</f>
        <v>Sim</v>
      </c>
      <c r="AK22" s="305"/>
      <c r="AL22" s="305"/>
      <c r="AM22" s="305"/>
      <c r="AN22" s="305"/>
      <c r="AO22" s="2099">
        <f ca="1">MAX(AO14:AO21)</f>
        <v>0</v>
      </c>
      <c r="AP22" s="820" t="str">
        <f ca="1">IF(AO22&gt;=$B$23,"Restrição",IF(AO22&gt;=$B$22,"Não","Sim"))</f>
        <v>Sim</v>
      </c>
      <c r="AQ22" s="305"/>
      <c r="AR22" s="305"/>
      <c r="AS22" s="305"/>
      <c r="AT22" s="305"/>
      <c r="AU22" s="305"/>
      <c r="AV22" s="305"/>
      <c r="AW22" s="305"/>
    </row>
    <row r="23" spans="1:49" s="291" customFormat="1" ht="15.75" thickBot="1" x14ac:dyDescent="0.3">
      <c r="A23" s="305" t="s">
        <v>658</v>
      </c>
      <c r="B23" s="2100">
        <v>0.3</v>
      </c>
      <c r="C23" s="305"/>
      <c r="D23" s="305"/>
      <c r="E23" s="2101">
        <f ca="1">MAX(E22,K22,Q22,W22,AC22,AI22,AO22)</f>
        <v>0</v>
      </c>
      <c r="F23" s="2102" t="str">
        <f ca="1">IF(E23&gt;=$B$23,"Restrição",IF(E23&gt;=$B$22,"Não conforme","Conforme"))</f>
        <v>Conforme</v>
      </c>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c r="AG23" s="305"/>
      <c r="AH23" s="305"/>
      <c r="AI23" s="305"/>
      <c r="AJ23" s="305"/>
      <c r="AK23" s="305"/>
      <c r="AL23" s="305"/>
      <c r="AM23" s="305"/>
      <c r="AN23" s="305"/>
      <c r="AO23" s="305"/>
      <c r="AP23" s="305"/>
      <c r="AQ23" s="305"/>
      <c r="AR23" s="305"/>
      <c r="AS23" s="305"/>
      <c r="AT23" s="305"/>
      <c r="AU23" s="305"/>
      <c r="AV23" s="305"/>
      <c r="AW23" s="305"/>
    </row>
    <row r="24" spans="1:49" s="291" customFormat="1" ht="15.75" thickBot="1" x14ac:dyDescent="0.3">
      <c r="A24" s="2432" t="s">
        <v>1105</v>
      </c>
      <c r="B24" s="2433"/>
      <c r="C24" s="2433"/>
      <c r="D24" s="2433"/>
      <c r="E24" s="2433"/>
      <c r="F24" s="2433"/>
      <c r="G24" s="2433"/>
      <c r="H24" s="2433"/>
      <c r="I24" s="2433"/>
      <c r="J24" s="2433"/>
      <c r="K24" s="2433"/>
      <c r="L24" s="2433"/>
      <c r="M24" s="2433"/>
      <c r="N24" s="2433"/>
      <c r="O24" s="2433"/>
      <c r="P24" s="2433"/>
      <c r="Q24" s="2433"/>
      <c r="R24" s="2433"/>
      <c r="S24" s="2433"/>
      <c r="T24" s="2433"/>
      <c r="U24" s="2433"/>
      <c r="V24" s="2433"/>
      <c r="W24" s="2433"/>
      <c r="X24" s="2433"/>
      <c r="Y24" s="2433"/>
      <c r="Z24" s="2433"/>
      <c r="AA24" s="2433"/>
      <c r="AB24" s="2433"/>
      <c r="AC24" s="2433"/>
      <c r="AD24" s="2433"/>
      <c r="AE24" s="2433"/>
      <c r="AF24" s="2433"/>
      <c r="AG24" s="2433"/>
      <c r="AH24" s="2433"/>
      <c r="AI24" s="2433"/>
      <c r="AJ24" s="2433"/>
      <c r="AK24" s="2433"/>
      <c r="AL24" s="2433"/>
      <c r="AM24" s="2433"/>
      <c r="AN24" s="2434"/>
      <c r="AO24" s="305"/>
      <c r="AP24" s="305"/>
      <c r="AQ24" s="305"/>
      <c r="AR24" s="305"/>
      <c r="AS24" s="305"/>
      <c r="AT24" s="305"/>
      <c r="AU24" s="305"/>
      <c r="AV24" s="305"/>
      <c r="AW24" s="305"/>
    </row>
    <row r="25" spans="1:49" s="291" customFormat="1" ht="23.25" thickBot="1" x14ac:dyDescent="0.5">
      <c r="A25" s="1121" t="s">
        <v>195</v>
      </c>
      <c r="B25" s="1122">
        <f>Cabeçalho!$G$25</f>
        <v>0</v>
      </c>
      <c r="C25" s="2419" t="str">
        <f ca="1">IF(COUNTIF('LAUDO convencional'!C147:J147,"Não")&gt;0,"Conferir D.F.D. ± 2 cm","")</f>
        <v/>
      </c>
      <c r="D25" s="2419"/>
      <c r="E25" s="2419"/>
      <c r="G25" s="403" t="s">
        <v>660</v>
      </c>
      <c r="H25" s="403" t="s">
        <v>563</v>
      </c>
      <c r="I25" s="403" t="s">
        <v>658</v>
      </c>
      <c r="J25" s="465"/>
      <c r="K25" s="465"/>
      <c r="L25" s="465"/>
      <c r="M25" s="465"/>
      <c r="N25" s="465"/>
      <c r="O25" s="465"/>
      <c r="P25" s="465"/>
      <c r="Q25" s="465"/>
      <c r="R25" s="465"/>
      <c r="S25" s="465"/>
      <c r="T25" s="465"/>
      <c r="U25" s="465"/>
      <c r="V25" s="465"/>
      <c r="W25" s="305"/>
      <c r="X25" s="305"/>
      <c r="Y25" s="305"/>
      <c r="Z25" s="305"/>
      <c r="AA25" s="305"/>
      <c r="AB25" s="305"/>
      <c r="AC25" s="305"/>
      <c r="AD25" s="305"/>
      <c r="AE25" s="466"/>
      <c r="AF25" s="305"/>
      <c r="AG25" s="305"/>
      <c r="AH25" s="305"/>
      <c r="AI25" s="305"/>
      <c r="AJ25" s="305"/>
      <c r="AK25" s="305"/>
      <c r="AL25" s="305"/>
      <c r="AM25" s="305"/>
      <c r="AN25" s="305"/>
      <c r="AO25" s="305"/>
      <c r="AP25" s="305"/>
      <c r="AQ25" s="305"/>
      <c r="AR25" s="305"/>
      <c r="AS25" s="305"/>
      <c r="AT25" s="305"/>
      <c r="AU25" s="305"/>
      <c r="AV25" s="305"/>
      <c r="AW25" s="305"/>
    </row>
    <row r="26" spans="1:49" s="291" customFormat="1" ht="15.75" thickBot="1" x14ac:dyDescent="0.3">
      <c r="A26" s="454"/>
      <c r="B26" s="467"/>
      <c r="C26" s="468"/>
      <c r="D26" s="468"/>
      <c r="E26" s="468"/>
      <c r="F26" s="465" t="s">
        <v>204</v>
      </c>
      <c r="G26" s="454">
        <v>30</v>
      </c>
      <c r="H26" s="469">
        <f>AVERAGE(G26,I26)</f>
        <v>25</v>
      </c>
      <c r="I26" s="454">
        <v>20</v>
      </c>
      <c r="J26" s="465"/>
      <c r="K26" s="465"/>
      <c r="L26" s="465"/>
      <c r="M26" s="465"/>
      <c r="N26" s="465"/>
      <c r="O26" s="465"/>
      <c r="P26" s="465"/>
      <c r="Q26" s="465"/>
      <c r="R26" s="465"/>
      <c r="S26" s="465"/>
      <c r="T26" s="465"/>
      <c r="U26" s="465"/>
      <c r="V26" s="465"/>
      <c r="W26" s="305"/>
      <c r="X26" s="305"/>
      <c r="Y26" s="305"/>
      <c r="Z26" s="305"/>
      <c r="AA26" s="305"/>
      <c r="AB26" s="305"/>
      <c r="AC26" s="305"/>
      <c r="AD26" s="305"/>
      <c r="AE26" s="466"/>
      <c r="AF26" s="305"/>
      <c r="AG26" s="305"/>
      <c r="AH26" s="305"/>
      <c r="AI26" s="305"/>
      <c r="AJ26" s="305"/>
      <c r="AK26" s="305"/>
      <c r="AL26" s="305"/>
      <c r="AM26" s="305"/>
      <c r="AN26" s="305"/>
      <c r="AO26" s="305"/>
      <c r="AP26" s="305"/>
      <c r="AQ26" s="305"/>
      <c r="AR26" s="305"/>
      <c r="AS26" s="305"/>
      <c r="AT26" s="305"/>
      <c r="AU26" s="305"/>
      <c r="AV26" s="305"/>
      <c r="AW26" s="305"/>
    </row>
    <row r="27" spans="1:49" s="291" customFormat="1" ht="15.75" thickBot="1" x14ac:dyDescent="0.3">
      <c r="A27" s="405" t="s">
        <v>18</v>
      </c>
      <c r="B27" s="143">
        <v>80</v>
      </c>
      <c r="C27" s="2436" t="s">
        <v>19</v>
      </c>
      <c r="D27" s="2437"/>
      <c r="E27" s="470"/>
      <c r="F27" s="465" t="s">
        <v>205</v>
      </c>
      <c r="G27" s="454">
        <v>65</v>
      </c>
      <c r="H27" s="469">
        <f>AVERAGE(G27,I27)</f>
        <v>72.5</v>
      </c>
      <c r="I27" s="454">
        <v>80</v>
      </c>
      <c r="J27" s="465"/>
      <c r="K27" s="465"/>
      <c r="L27" s="465"/>
      <c r="M27" s="465"/>
      <c r="N27" s="465"/>
      <c r="O27" s="465"/>
      <c r="P27" s="465"/>
      <c r="Q27" s="465"/>
      <c r="R27" s="465"/>
      <c r="S27" s="465"/>
      <c r="T27" s="465"/>
      <c r="U27" s="465"/>
      <c r="V27" s="465"/>
      <c r="W27" s="305"/>
      <c r="X27" s="305"/>
      <c r="Y27" s="305"/>
      <c r="Z27" s="305"/>
      <c r="AA27" s="305"/>
      <c r="AB27" s="305"/>
      <c r="AC27" s="305"/>
      <c r="AD27" s="305"/>
      <c r="AE27" s="466"/>
      <c r="AF27" s="305"/>
      <c r="AG27" s="305"/>
      <c r="AH27" s="305"/>
      <c r="AI27" s="305"/>
      <c r="AJ27" s="305"/>
      <c r="AK27" s="305"/>
      <c r="AL27" s="305"/>
      <c r="AM27" s="305"/>
      <c r="AN27" s="305"/>
      <c r="AO27" s="305"/>
      <c r="AP27" s="305"/>
      <c r="AQ27" s="305"/>
      <c r="AR27" s="305"/>
      <c r="AS27" s="305"/>
      <c r="AT27" s="305"/>
      <c r="AU27" s="305"/>
      <c r="AV27" s="305"/>
      <c r="AW27" s="305"/>
    </row>
    <row r="28" spans="1:49" s="291" customFormat="1" x14ac:dyDescent="0.25">
      <c r="A28" s="471" t="s">
        <v>667</v>
      </c>
      <c r="B28" s="208">
        <f>B11</f>
        <v>0</v>
      </c>
      <c r="C28" s="472" t="str">
        <f>C11</f>
        <v>mA</v>
      </c>
      <c r="D28" s="473"/>
      <c r="E28" s="305"/>
      <c r="G28" s="471" t="s">
        <v>667</v>
      </c>
      <c r="H28" s="208">
        <f>H11</f>
        <v>0</v>
      </c>
      <c r="I28" s="472" t="str">
        <f>I11</f>
        <v>mA</v>
      </c>
      <c r="J28" s="473"/>
      <c r="M28" s="471" t="s">
        <v>667</v>
      </c>
      <c r="N28" s="208">
        <f>N11</f>
        <v>0</v>
      </c>
      <c r="O28" s="472" t="str">
        <f>O11</f>
        <v>mA</v>
      </c>
      <c r="P28" s="473"/>
      <c r="S28" s="471" t="s">
        <v>667</v>
      </c>
      <c r="T28" s="208">
        <f>T11</f>
        <v>0</v>
      </c>
      <c r="U28" s="472" t="str">
        <f>U11</f>
        <v>mA</v>
      </c>
      <c r="V28" s="473"/>
      <c r="Y28" s="471" t="s">
        <v>667</v>
      </c>
      <c r="Z28" s="208">
        <f>Z11</f>
        <v>0</v>
      </c>
      <c r="AA28" s="472" t="str">
        <f>AA11</f>
        <v>mA</v>
      </c>
      <c r="AB28" s="473"/>
      <c r="AD28" s="453"/>
      <c r="AE28" s="471" t="s">
        <v>667</v>
      </c>
      <c r="AF28" s="208"/>
      <c r="AG28" s="472" t="str">
        <f>AG11</f>
        <v>mA</v>
      </c>
      <c r="AH28" s="473"/>
      <c r="AI28" s="305"/>
      <c r="AJ28" s="305"/>
      <c r="AK28" s="471" t="s">
        <v>667</v>
      </c>
      <c r="AL28" s="208"/>
      <c r="AM28" s="472" t="str">
        <f>AM11</f>
        <v>mA</v>
      </c>
      <c r="AN28" s="473"/>
      <c r="AO28" s="305"/>
      <c r="AP28" s="305"/>
      <c r="AQ28" s="305"/>
      <c r="AR28" s="305"/>
      <c r="AS28" s="305"/>
      <c r="AT28" s="305"/>
      <c r="AU28" s="305"/>
      <c r="AV28" s="305"/>
      <c r="AW28" s="305"/>
    </row>
    <row r="29" spans="1:49" s="291" customFormat="1" x14ac:dyDescent="0.25">
      <c r="A29" s="474" t="s">
        <v>20</v>
      </c>
      <c r="B29" s="209"/>
      <c r="C29" s="475" t="s">
        <v>21</v>
      </c>
      <c r="D29" s="476"/>
      <c r="E29" s="305"/>
      <c r="G29" s="474" t="s">
        <v>20</v>
      </c>
      <c r="H29" s="209"/>
      <c r="I29" s="475" t="s">
        <v>21</v>
      </c>
      <c r="J29" s="476"/>
      <c r="M29" s="474" t="s">
        <v>20</v>
      </c>
      <c r="N29" s="209"/>
      <c r="O29" s="475" t="s">
        <v>21</v>
      </c>
      <c r="P29" s="476"/>
      <c r="S29" s="474" t="s">
        <v>20</v>
      </c>
      <c r="T29" s="209"/>
      <c r="U29" s="475" t="s">
        <v>21</v>
      </c>
      <c r="V29" s="476"/>
      <c r="Y29" s="474" t="s">
        <v>20</v>
      </c>
      <c r="Z29" s="209"/>
      <c r="AA29" s="475" t="s">
        <v>21</v>
      </c>
      <c r="AB29" s="476"/>
      <c r="AD29" s="304"/>
      <c r="AE29" s="474" t="s">
        <v>20</v>
      </c>
      <c r="AF29" s="209">
        <f>AF12</f>
        <v>0</v>
      </c>
      <c r="AG29" s="475" t="s">
        <v>21</v>
      </c>
      <c r="AH29" s="476"/>
      <c r="AI29" s="305"/>
      <c r="AJ29" s="305"/>
      <c r="AK29" s="474" t="s">
        <v>20</v>
      </c>
      <c r="AL29" s="209">
        <f>AL12</f>
        <v>0</v>
      </c>
      <c r="AM29" s="475" t="s">
        <v>21</v>
      </c>
      <c r="AN29" s="476"/>
      <c r="AO29" s="305"/>
      <c r="AP29" s="305"/>
      <c r="AQ29" s="305"/>
      <c r="AR29" s="305"/>
      <c r="AS29" s="305"/>
      <c r="AT29" s="305"/>
      <c r="AU29" s="305"/>
      <c r="AV29" s="305"/>
      <c r="AW29" s="305"/>
    </row>
    <row r="30" spans="1:49" s="291" customFormat="1" x14ac:dyDescent="0.25">
      <c r="A30" s="474" t="s">
        <v>5</v>
      </c>
      <c r="B30" s="209"/>
      <c r="C30" s="477"/>
      <c r="D30" s="476"/>
      <c r="E30" s="305"/>
      <c r="G30" s="474" t="s">
        <v>5</v>
      </c>
      <c r="H30" s="209"/>
      <c r="I30" s="477"/>
      <c r="J30" s="476"/>
      <c r="M30" s="474" t="s">
        <v>5</v>
      </c>
      <c r="N30" s="209"/>
      <c r="O30" s="477"/>
      <c r="P30" s="476"/>
      <c r="S30" s="474" t="s">
        <v>5</v>
      </c>
      <c r="T30" s="209"/>
      <c r="U30" s="477"/>
      <c r="V30" s="476"/>
      <c r="Y30" s="474" t="s">
        <v>5</v>
      </c>
      <c r="Z30" s="209"/>
      <c r="AA30" s="477"/>
      <c r="AB30" s="476"/>
      <c r="AD30" s="454"/>
      <c r="AE30" s="474" t="s">
        <v>5</v>
      </c>
      <c r="AF30" s="209"/>
      <c r="AG30" s="477"/>
      <c r="AH30" s="476"/>
      <c r="AI30" s="305"/>
      <c r="AJ30" s="305"/>
      <c r="AK30" s="474" t="s">
        <v>5</v>
      </c>
      <c r="AL30" s="209"/>
      <c r="AM30" s="477"/>
      <c r="AN30" s="476"/>
      <c r="AO30" s="305"/>
      <c r="AP30" s="305"/>
      <c r="AQ30" s="305"/>
      <c r="AR30" s="305"/>
      <c r="AS30" s="305"/>
      <c r="AT30" s="305"/>
      <c r="AU30" s="305"/>
      <c r="AV30" s="305"/>
      <c r="AW30" s="305"/>
    </row>
    <row r="31" spans="1:49" s="291" customFormat="1" ht="15.75" thickBot="1" x14ac:dyDescent="0.3">
      <c r="A31" s="478" t="s">
        <v>53</v>
      </c>
      <c r="B31" s="210"/>
      <c r="C31" s="479" t="s">
        <v>12</v>
      </c>
      <c r="D31" s="476"/>
      <c r="E31" s="466"/>
      <c r="G31" s="478" t="s">
        <v>53</v>
      </c>
      <c r="H31" s="210">
        <f>B31</f>
        <v>0</v>
      </c>
      <c r="I31" s="479" t="s">
        <v>12</v>
      </c>
      <c r="J31" s="476"/>
      <c r="M31" s="478" t="s">
        <v>53</v>
      </c>
      <c r="N31" s="210">
        <f>H31</f>
        <v>0</v>
      </c>
      <c r="O31" s="479" t="s">
        <v>12</v>
      </c>
      <c r="P31" s="476"/>
      <c r="S31" s="478" t="s">
        <v>53</v>
      </c>
      <c r="T31" s="210">
        <f>N31</f>
        <v>0</v>
      </c>
      <c r="U31" s="479" t="s">
        <v>12</v>
      </c>
      <c r="V31" s="476"/>
      <c r="Y31" s="478" t="s">
        <v>53</v>
      </c>
      <c r="Z31" s="210">
        <f>T31</f>
        <v>0</v>
      </c>
      <c r="AA31" s="479" t="s">
        <v>12</v>
      </c>
      <c r="AB31" s="476"/>
      <c r="AD31" s="454"/>
      <c r="AE31" s="478" t="s">
        <v>53</v>
      </c>
      <c r="AF31" s="210">
        <f>Z31</f>
        <v>0</v>
      </c>
      <c r="AG31" s="479" t="s">
        <v>12</v>
      </c>
      <c r="AH31" s="476"/>
      <c r="AI31" s="305"/>
      <c r="AJ31" s="305"/>
      <c r="AK31" s="478" t="s">
        <v>53</v>
      </c>
      <c r="AL31" s="210">
        <f>AF31</f>
        <v>0</v>
      </c>
      <c r="AM31" s="479" t="s">
        <v>12</v>
      </c>
      <c r="AN31" s="476"/>
      <c r="AO31" s="305"/>
      <c r="AP31" s="305"/>
      <c r="AQ31" s="305"/>
      <c r="AR31" s="305"/>
      <c r="AS31" s="305"/>
      <c r="AT31" s="305"/>
      <c r="AU31" s="305"/>
      <c r="AV31" s="305"/>
      <c r="AW31" s="305"/>
    </row>
    <row r="32" spans="1:49" s="291" customFormat="1" x14ac:dyDescent="0.25">
      <c r="A32" s="480"/>
      <c r="B32" s="481" t="str">
        <f ca="1">IFERROR(IF(Cabeçalho!$G$28="Unfors",INDIRECT(ADDRESS(B30,1,1,1,"medidas Unfors"),1),INDIRECT(ADDRESS(B30,1,1,1,"medidas Fluke"),1)),"")</f>
        <v/>
      </c>
      <c r="C32" s="482" t="s">
        <v>0</v>
      </c>
      <c r="D32" s="476"/>
      <c r="E32" s="305"/>
      <c r="G32" s="480"/>
      <c r="H32" s="481" t="str">
        <f ca="1">IFERROR(IF(Cabeçalho!$G$28="Unfors",INDIRECT(ADDRESS(H30,1,1,1,"medidas Unfors"),1),INDIRECT(ADDRESS(H30,1,1,1,"medidas Fluke"),1)),"")</f>
        <v/>
      </c>
      <c r="I32" s="482" t="s">
        <v>0</v>
      </c>
      <c r="J32" s="476"/>
      <c r="M32" s="480"/>
      <c r="N32" s="481" t="str">
        <f ca="1">IFERROR(IF(Cabeçalho!$G$28="Unfors",INDIRECT(ADDRESS(N30,1,1,1,"medidas Unfors"),1),INDIRECT(ADDRESS(N30,1,1,1,"medidas Fluke"),1)),"")</f>
        <v/>
      </c>
      <c r="O32" s="482" t="s">
        <v>0</v>
      </c>
      <c r="P32" s="476"/>
      <c r="S32" s="480"/>
      <c r="T32" s="481" t="str">
        <f ca="1">IFERROR(IF(Cabeçalho!$G$28="Unfors",INDIRECT(ADDRESS(T30,1,1,1,"medidas Unfors"),1),INDIRECT(ADDRESS(T30,1,1,1,"medidas Fluke"),1)),"")</f>
        <v/>
      </c>
      <c r="U32" s="482" t="s">
        <v>0</v>
      </c>
      <c r="V32" s="476"/>
      <c r="Y32" s="480"/>
      <c r="Z32" s="481" t="str">
        <f ca="1">IFERROR(IF(Cabeçalho!$G$28="Unfors",INDIRECT(ADDRESS(Z30,1,1,1,"medidas Unfors"),1),INDIRECT(ADDRESS(Z30,1,1,1,"medidas Fluke"),1)),"")</f>
        <v/>
      </c>
      <c r="AA32" s="482" t="s">
        <v>0</v>
      </c>
      <c r="AB32" s="476"/>
      <c r="AD32" s="305"/>
      <c r="AE32" s="480"/>
      <c r="AF32" s="481" t="str">
        <f ca="1">IFERROR(IF(Cabeçalho!$G$28="Unfors",INDIRECT(ADDRESS(AF30,1,1,1,"medidas Unfors"),1),INDIRECT(ADDRESS(AF30,1,1,1,"medidas Fluke"),1)),"")</f>
        <v/>
      </c>
      <c r="AG32" s="482" t="s">
        <v>0</v>
      </c>
      <c r="AH32" s="476"/>
      <c r="AI32" s="305"/>
      <c r="AJ32" s="305"/>
      <c r="AK32" s="480"/>
      <c r="AL32" s="481" t="str">
        <f ca="1">IFERROR(IF(Cabeçalho!$G$28="Unfors",INDIRECT(ADDRESS(AL30,1,1,1,"medidas Unfors"),1),INDIRECT(ADDRESS(AL30,1,1,1,"medidas Fluke"),1)),"")</f>
        <v/>
      </c>
      <c r="AM32" s="482" t="s">
        <v>0</v>
      </c>
      <c r="AN32" s="476"/>
      <c r="AO32" s="305"/>
      <c r="AP32" s="305"/>
      <c r="AQ32" s="305"/>
      <c r="AR32" s="305"/>
      <c r="AS32" s="305"/>
      <c r="AT32" s="305"/>
      <c r="AU32" s="305"/>
      <c r="AV32" s="305"/>
      <c r="AW32" s="305"/>
    </row>
    <row r="33" spans="1:49" s="291" customFormat="1" x14ac:dyDescent="0.25">
      <c r="A33" s="480"/>
      <c r="B33" s="481" t="str">
        <f ca="1">IFERROR(IF(Cabeçalho!$G$28="Unfors",INDIRECT(ADDRESS(B30,5,1,1,"medidas Unfors"),1),INDIRECT(ADDRESS(B30,5,1,1,"medidas Fluke"),1)/1000),"")</f>
        <v/>
      </c>
      <c r="C33" s="483" t="s">
        <v>2</v>
      </c>
      <c r="D33" s="476"/>
      <c r="E33" s="305"/>
      <c r="G33" s="480"/>
      <c r="H33" s="481" t="str">
        <f ca="1">IFERROR(IF(Cabeçalho!$G$28="Unfors",INDIRECT(ADDRESS(H30,5,1,1,"medidas Unfors"),1),INDIRECT(ADDRESS(H30,5,1,1,"medidas Fluke"),1)/1000),"")</f>
        <v/>
      </c>
      <c r="I33" s="483" t="s">
        <v>2</v>
      </c>
      <c r="J33" s="476"/>
      <c r="M33" s="480"/>
      <c r="N33" s="481" t="str">
        <f ca="1">IFERROR(IF(Cabeçalho!$G$28="Unfors",INDIRECT(ADDRESS(N30,5,1,1,"medidas Unfors"),1),INDIRECT(ADDRESS(N30,5,1,1,"medidas Fluke"),1)/1000),"")</f>
        <v/>
      </c>
      <c r="O33" s="483" t="s">
        <v>2</v>
      </c>
      <c r="P33" s="476"/>
      <c r="S33" s="480"/>
      <c r="T33" s="481" t="str">
        <f ca="1">IFERROR(IF(Cabeçalho!$G$28="Unfors",INDIRECT(ADDRESS(T30,5,1,1,"medidas Unfors"),1),INDIRECT(ADDRESS(T30,5,1,1,"medidas Fluke"),1)/1000),"")</f>
        <v/>
      </c>
      <c r="U33" s="483" t="s">
        <v>2</v>
      </c>
      <c r="V33" s="476"/>
      <c r="Y33" s="480"/>
      <c r="Z33" s="481" t="str">
        <f ca="1">IFERROR(IF(Cabeçalho!$G$28="Unfors",INDIRECT(ADDRESS(Z30,5,1,1,"medidas Unfors"),1),INDIRECT(ADDRESS(Z30,5,1,1,"medidas Fluke"),1)/1000),"")</f>
        <v/>
      </c>
      <c r="AA33" s="483" t="s">
        <v>2</v>
      </c>
      <c r="AB33" s="476"/>
      <c r="AD33" s="305"/>
      <c r="AE33" s="480"/>
      <c r="AF33" s="481" t="str">
        <f ca="1">IFERROR(IF(Cabeçalho!$G$28="Unfors",INDIRECT(ADDRESS(AF30,5,1,1,"medidas Unfors"),1),INDIRECT(ADDRESS(AF30,5,1,1,"medidas Fluke"),1)/1000),"")</f>
        <v/>
      </c>
      <c r="AG33" s="483" t="s">
        <v>2</v>
      </c>
      <c r="AH33" s="476"/>
      <c r="AI33" s="305"/>
      <c r="AJ33" s="305"/>
      <c r="AK33" s="480"/>
      <c r="AL33" s="481" t="str">
        <f ca="1">IFERROR(IF(Cabeçalho!$G$28="Unfors",INDIRECT(ADDRESS(AL30,5,1,1,"medidas Unfors"),1),INDIRECT(ADDRESS(AL30,5,1,1,"medidas Fluke"),1)/1000),"")</f>
        <v/>
      </c>
      <c r="AM33" s="483" t="s">
        <v>2</v>
      </c>
      <c r="AN33" s="476"/>
      <c r="AO33" s="305"/>
      <c r="AP33" s="305"/>
      <c r="AQ33" s="305"/>
      <c r="AR33" s="305"/>
      <c r="AS33" s="305"/>
      <c r="AT33" s="305"/>
      <c r="AU33" s="305"/>
      <c r="AV33" s="305"/>
      <c r="AW33" s="305"/>
    </row>
    <row r="34" spans="1:49" s="291" customFormat="1" x14ac:dyDescent="0.25">
      <c r="A34" s="480"/>
      <c r="B34" s="477" t="str">
        <f ca="1">IFERROR(IF(Cabeçalho!$G$28="Unfors",INDIRECT(ADDRESS(B30,7,1,1,"medidas Unfors"),1),INDIRECT(ADDRESS(B30,6,1,1,"medidas Fluke"),1)/1000),"")</f>
        <v/>
      </c>
      <c r="C34" s="482" t="s">
        <v>3</v>
      </c>
      <c r="D34" s="476"/>
      <c r="E34" s="305"/>
      <c r="G34" s="480"/>
      <c r="H34" s="477" t="str">
        <f ca="1">IFERROR(IF(Cabeçalho!$G$28="Unfors",INDIRECT(ADDRESS(H30,7,1,1,"medidas Unfors"),1),INDIRECT(ADDRESS(H30,6,1,1,"medidas Fluke"),1)/1000),"")</f>
        <v/>
      </c>
      <c r="I34" s="482" t="s">
        <v>3</v>
      </c>
      <c r="J34" s="476"/>
      <c r="M34" s="480"/>
      <c r="N34" s="477" t="str">
        <f ca="1">IFERROR(IF(Cabeçalho!$G$28="Unfors",INDIRECT(ADDRESS(N30,7,1,1,"medidas Unfors"),1),INDIRECT(ADDRESS(N30,6,1,1,"medidas Fluke"),1)/1000),"")</f>
        <v/>
      </c>
      <c r="O34" s="482" t="s">
        <v>3</v>
      </c>
      <c r="P34" s="476"/>
      <c r="S34" s="480"/>
      <c r="T34" s="477" t="str">
        <f ca="1">IFERROR(IF(Cabeçalho!$G$28="Unfors",INDIRECT(ADDRESS(T30,7,1,1,"medidas Unfors"),1),INDIRECT(ADDRESS(T30,6,1,1,"medidas Fluke"),1)/1000),"")</f>
        <v/>
      </c>
      <c r="U34" s="482" t="s">
        <v>3</v>
      </c>
      <c r="V34" s="476"/>
      <c r="Y34" s="480"/>
      <c r="Z34" s="477" t="str">
        <f ca="1">IFERROR(IF(Cabeçalho!$G$28="Unfors",INDIRECT(ADDRESS(Z30,7,1,1,"medidas Unfors"),1),INDIRECT(ADDRESS(Z30,6,1,1,"medidas Fluke"),1)/1000),"")</f>
        <v/>
      </c>
      <c r="AA34" s="482" t="s">
        <v>3</v>
      </c>
      <c r="AB34" s="476"/>
      <c r="AD34" s="305"/>
      <c r="AE34" s="480"/>
      <c r="AF34" s="477" t="str">
        <f ca="1">IFERROR(IF(Cabeçalho!$G$28="Unfors",INDIRECT(ADDRESS(AF30,7,1,1,"medidas Unfors"),1),INDIRECT(ADDRESS(AF30,6,1,1,"medidas Fluke"),1)/1000),"")</f>
        <v/>
      </c>
      <c r="AG34" s="482" t="s">
        <v>3</v>
      </c>
      <c r="AH34" s="476"/>
      <c r="AI34" s="305"/>
      <c r="AJ34" s="305"/>
      <c r="AK34" s="480"/>
      <c r="AL34" s="477" t="str">
        <f ca="1">IFERROR(IF(Cabeçalho!$G$28="Unfors",INDIRECT(ADDRESS(AL30,7,1,1,"medidas Unfors"),1),INDIRECT(ADDRESS(AL30,6,1,1,"medidas Fluke"),1)/1000),"")</f>
        <v/>
      </c>
      <c r="AM34" s="482" t="s">
        <v>3</v>
      </c>
      <c r="AN34" s="476"/>
      <c r="AO34" s="305"/>
      <c r="AP34" s="305"/>
      <c r="AQ34" s="305"/>
      <c r="AR34" s="305"/>
      <c r="AS34" s="305"/>
      <c r="AT34" s="305"/>
      <c r="AU34" s="305"/>
      <c r="AV34" s="305"/>
      <c r="AW34" s="305"/>
    </row>
    <row r="35" spans="1:49" s="291" customFormat="1" x14ac:dyDescent="0.25">
      <c r="A35" s="480"/>
      <c r="B35" s="481" t="str">
        <f ca="1">IFERROR(ROUND(IF(Cabeçalho!$G$28="Unfors",INDIRECT(ADDRESS(B30,17,1,1,"medidas Unfors"),1),INDIRECT(ADDRESS(B30,8,1,1,"medidas Fluke"),1)),1),"")</f>
        <v/>
      </c>
      <c r="C35" s="482" t="s">
        <v>8</v>
      </c>
      <c r="D35" s="476"/>
      <c r="E35" s="305"/>
      <c r="G35" s="480"/>
      <c r="H35" s="481" t="str">
        <f ca="1">IFERROR(ROUND(IF(Cabeçalho!$G$28="Unfors",INDIRECT(ADDRESS(H30,17,1,1,"medidas Unfors"),1),INDIRECT(ADDRESS(H30,8,1,1,"medidas Fluke"),1)),1),"")</f>
        <v/>
      </c>
      <c r="I35" s="482" t="s">
        <v>8</v>
      </c>
      <c r="J35" s="476"/>
      <c r="M35" s="480"/>
      <c r="N35" s="481" t="str">
        <f ca="1">IFERROR(ROUND(IF(Cabeçalho!$G$28="Unfors",INDIRECT(ADDRESS(N30,17,1,1,"medidas Unfors"),1),INDIRECT(ADDRESS(N30,8,1,1,"medidas Fluke"),1)),1),"")</f>
        <v/>
      </c>
      <c r="O35" s="482" t="s">
        <v>8</v>
      </c>
      <c r="P35" s="476"/>
      <c r="S35" s="480"/>
      <c r="T35" s="481" t="str">
        <f ca="1">IFERROR(ROUND(IF(Cabeçalho!$G$28="Unfors",INDIRECT(ADDRESS(T30,17,1,1,"medidas Unfors"),1),INDIRECT(ADDRESS(T30,8,1,1,"medidas Fluke"),1)),1),"")</f>
        <v/>
      </c>
      <c r="U35" s="482" t="s">
        <v>8</v>
      </c>
      <c r="V35" s="476"/>
      <c r="Y35" s="480"/>
      <c r="Z35" s="481" t="str">
        <f ca="1">IFERROR(ROUND(IF(Cabeçalho!$G$28="Unfors",INDIRECT(ADDRESS(Z30,17,1,1,"medidas Unfors"),1),INDIRECT(ADDRESS(Z30,8,1,1,"medidas Fluke"),1)),1),"")</f>
        <v/>
      </c>
      <c r="AA35" s="482" t="s">
        <v>8</v>
      </c>
      <c r="AB35" s="476"/>
      <c r="AD35" s="305"/>
      <c r="AE35" s="480"/>
      <c r="AF35" s="481" t="str">
        <f ca="1">IFERROR(ROUND(IF(Cabeçalho!$G$28="Unfors",INDIRECT(ADDRESS(AF30,17,1,1,"medidas Unfors"),1),INDIRECT(ADDRESS(AF30,8,1,1,"medidas Fluke"),1)),1),"")</f>
        <v/>
      </c>
      <c r="AG35" s="482" t="s">
        <v>8</v>
      </c>
      <c r="AH35" s="476"/>
      <c r="AI35" s="305"/>
      <c r="AJ35" s="305"/>
      <c r="AK35" s="480"/>
      <c r="AL35" s="481" t="str">
        <f ca="1">IFERROR(ROUND(IF(Cabeçalho!$G$28="Unfors",INDIRECT(ADDRESS(AL30,17,1,1,"medidas Unfors"),1),INDIRECT(ADDRESS(AL30,8,1,1,"medidas Fluke"),1)),1),"")</f>
        <v/>
      </c>
      <c r="AM35" s="482" t="s">
        <v>8</v>
      </c>
      <c r="AN35" s="476"/>
      <c r="AO35" s="305"/>
      <c r="AP35" s="305"/>
      <c r="AQ35" s="305"/>
      <c r="AR35" s="305"/>
      <c r="AS35" s="305"/>
      <c r="AT35" s="305"/>
      <c r="AU35" s="305"/>
      <c r="AV35" s="305"/>
      <c r="AW35" s="305"/>
    </row>
    <row r="36" spans="1:49" s="291" customFormat="1" ht="17.25" x14ac:dyDescent="0.25">
      <c r="A36" s="484" t="s">
        <v>29</v>
      </c>
      <c r="B36" s="481" t="str">
        <f ca="1">IFERROR(B33*1000/IF(C28="mAs",B28/B34,B28)*($B$27/B32)^2*(B31/100)^2,"")</f>
        <v/>
      </c>
      <c r="C36" s="485" t="s">
        <v>376</v>
      </c>
      <c r="D36" s="486"/>
      <c r="E36" s="487"/>
      <c r="G36" s="484" t="s">
        <v>29</v>
      </c>
      <c r="H36" s="481" t="str">
        <f ca="1">IFERROR(H33*1000/IF(I28="mAs",H28/H34,H28)*($B$27/H32)^2*(H31/100)^2,"")</f>
        <v/>
      </c>
      <c r="I36" s="485" t="s">
        <v>376</v>
      </c>
      <c r="J36" s="486"/>
      <c r="M36" s="484" t="s">
        <v>29</v>
      </c>
      <c r="N36" s="481" t="str">
        <f ca="1">IFERROR(N33*1000/IF(O28="mAs",N28/N34,N28)*($B$27/N32)^2*(N31/100)^2,"")</f>
        <v/>
      </c>
      <c r="O36" s="485" t="s">
        <v>376</v>
      </c>
      <c r="P36" s="486"/>
      <c r="S36" s="484" t="s">
        <v>29</v>
      </c>
      <c r="T36" s="481" t="str">
        <f ca="1">IFERROR(T33*1000/IF(U28="mAs",T28/T34,T28)*($B$27/T32)^2*(T31/100)^2,"")</f>
        <v/>
      </c>
      <c r="U36" s="485" t="s">
        <v>376</v>
      </c>
      <c r="V36" s="486"/>
      <c r="Y36" s="484" t="s">
        <v>29</v>
      </c>
      <c r="Z36" s="481" t="str">
        <f ca="1">IFERROR(Z33*1000/IF(AA28="mAs",Z28/Z34,Z28)*($B$27/Z32)^2*(Z31/100)^2,"")</f>
        <v/>
      </c>
      <c r="AA36" s="485" t="s">
        <v>376</v>
      </c>
      <c r="AB36" s="486"/>
      <c r="AD36" s="465"/>
      <c r="AE36" s="484" t="s">
        <v>29</v>
      </c>
      <c r="AF36" s="481" t="str">
        <f ca="1">IFERROR(AF33*1000/IF(AG28="mAs",AF28/AF34,AF28)*($B$27/AF32)^2*(AF31/100)^2,"")</f>
        <v/>
      </c>
      <c r="AG36" s="485" t="s">
        <v>376</v>
      </c>
      <c r="AH36" s="486"/>
      <c r="AI36" s="305"/>
      <c r="AJ36" s="305"/>
      <c r="AK36" s="484" t="s">
        <v>29</v>
      </c>
      <c r="AL36" s="481" t="str">
        <f ca="1">IFERROR(AL33*1000/IF(AM28="mAs",AL28/AL34,AL28)*($B$27/AL32)^2*(AL31/100)^2,"")</f>
        <v/>
      </c>
      <c r="AM36" s="485" t="s">
        <v>376</v>
      </c>
      <c r="AN36" s="486"/>
      <c r="AO36" s="305"/>
      <c r="AP36" s="305"/>
      <c r="AQ36" s="305"/>
      <c r="AR36" s="305"/>
      <c r="AS36" s="305"/>
      <c r="AT36" s="305"/>
      <c r="AU36" s="305"/>
      <c r="AV36" s="305"/>
      <c r="AW36" s="305"/>
    </row>
    <row r="37" spans="1:49" s="291" customFormat="1" x14ac:dyDescent="0.25">
      <c r="A37" s="480"/>
      <c r="B37" s="488"/>
      <c r="C37" s="488"/>
      <c r="D37" s="489"/>
      <c r="E37" s="446"/>
      <c r="G37" s="490"/>
      <c r="H37" s="488"/>
      <c r="I37" s="488"/>
      <c r="J37" s="489"/>
      <c r="M37" s="490"/>
      <c r="N37" s="488"/>
      <c r="O37" s="488"/>
      <c r="P37" s="489"/>
      <c r="S37" s="490"/>
      <c r="T37" s="488"/>
      <c r="U37" s="488"/>
      <c r="V37" s="489"/>
      <c r="Y37" s="490"/>
      <c r="Z37" s="488"/>
      <c r="AA37" s="488"/>
      <c r="AB37" s="489"/>
      <c r="AD37" s="305"/>
      <c r="AE37" s="490"/>
      <c r="AF37" s="488"/>
      <c r="AG37" s="488"/>
      <c r="AH37" s="489"/>
      <c r="AI37" s="305"/>
      <c r="AJ37" s="305"/>
      <c r="AK37" s="490"/>
      <c r="AL37" s="488"/>
      <c r="AM37" s="488"/>
      <c r="AN37" s="489"/>
      <c r="AO37" s="305"/>
      <c r="AP37" s="305"/>
      <c r="AQ37" s="305"/>
      <c r="AR37" s="305"/>
      <c r="AS37" s="305"/>
      <c r="AT37" s="305"/>
      <c r="AU37" s="305"/>
      <c r="AV37" s="305"/>
      <c r="AW37" s="305"/>
    </row>
    <row r="38" spans="1:49" s="291" customFormat="1" x14ac:dyDescent="0.25">
      <c r="A38" s="491" t="s">
        <v>377</v>
      </c>
      <c r="B38" s="492" t="str">
        <f ca="1">IF(B36="","",IF(OR(B36&lt;20,B36&gt;80),"Restrição",IF(OR(B36&lt;30,B36&gt;65),"Não","Sim")))</f>
        <v/>
      </c>
      <c r="C38" s="433"/>
      <c r="D38" s="489" t="str">
        <f ca="1">IF(B38&lt;&gt;"Sim",IF(B36="","",IF(B36/$I$26&lt;(1-$D$43),"Baixo",IF(B36/$I$27&gt;(1+$D$43),"Alto","Aceitável"))),"")</f>
        <v/>
      </c>
      <c r="G38" s="493" t="s">
        <v>377</v>
      </c>
      <c r="H38" s="492" t="str">
        <f ca="1">IF(H36="","",IF(OR(H36&lt;20,H36&gt;80),"Restrição",IF(OR(H36&lt;30,H36&gt;65),"Não","Sim")))</f>
        <v/>
      </c>
      <c r="I38" s="433"/>
      <c r="J38" s="489" t="str">
        <f ca="1">IF(H38&lt;&gt;"Sim",IF(H36="","",IF(H36/$I$26&lt;(1-$D$43),"Baixo",IF(H36/$I$27&gt;(1+$D$43),"Alto","Aceitável"))),"")</f>
        <v/>
      </c>
      <c r="M38" s="493" t="s">
        <v>377</v>
      </c>
      <c r="N38" s="492" t="str">
        <f ca="1">IF(N36="","",IF(OR(N36&lt;20,N36&gt;80),"Restrição",IF(OR(N36&lt;30,N36&gt;65),"Não","Sim")))</f>
        <v/>
      </c>
      <c r="O38" s="433"/>
      <c r="P38" s="489" t="str">
        <f ca="1">IF(N38&lt;&gt;"Sim",IF(N36="","",IF(N36/$I$26&lt;(1-$D$43),"Baixo",IF(N36/$I$27&gt;(1+$D$43),"Alto","Aceitável"))),"")</f>
        <v/>
      </c>
      <c r="S38" s="493" t="s">
        <v>377</v>
      </c>
      <c r="T38" s="492" t="str">
        <f ca="1">IF(T36="","",IF(OR(T36&lt;20,T36&gt;80),"Restrição",IF(OR(T36&lt;30,T36&gt;65),"Não","Sim")))</f>
        <v/>
      </c>
      <c r="U38" s="433"/>
      <c r="V38" s="489" t="str">
        <f ca="1">IF(T38&lt;&gt;"Sim",IF(T36="","",IF(T36/$I$26&lt;(1-$D$43),"Baixo",IF(T36/$I$27&gt;(1+$D$43),"Alto","Aceitável"))),"")</f>
        <v/>
      </c>
      <c r="Y38" s="493" t="s">
        <v>377</v>
      </c>
      <c r="Z38" s="492" t="str">
        <f ca="1">IF(Z36="","",IF(OR(Z36&lt;20,Z36&gt;80),"Restrição",IF(OR(Z36&lt;30,Z36&gt;65),"Não","Sim")))</f>
        <v/>
      </c>
      <c r="AA38" s="433"/>
      <c r="AB38" s="489" t="str">
        <f ca="1">IF(Z38&lt;&gt;"Sim",IF(Z36="","",IF(Z36/$I$26&lt;(1-$D$43),"Baixo",IF(Z36/$I$27&gt;(1+$D$43),"Alto","Aceitável"))),"")</f>
        <v/>
      </c>
      <c r="AD38" s="305"/>
      <c r="AE38" s="493" t="s">
        <v>377</v>
      </c>
      <c r="AF38" s="492" t="str">
        <f ca="1">IF(AF36="","",IF(OR(AF36&lt;20,AF36&gt;80),"Restrição",IF(OR(AF36&lt;30,AF36&gt;65),"Não","Sim")))</f>
        <v/>
      </c>
      <c r="AG38" s="433"/>
      <c r="AH38" s="489" t="str">
        <f ca="1">IF(AF38&lt;&gt;"Sim",IF(AF36="","",IF(AF36/$I$26&lt;(1-$D$43),"Baixo",IF(AF36/$I$27&gt;(1+$D$43),"Alto","Aceitável"))),"")</f>
        <v/>
      </c>
      <c r="AI38" s="305"/>
      <c r="AJ38" s="305"/>
      <c r="AK38" s="493" t="s">
        <v>377</v>
      </c>
      <c r="AL38" s="492" t="str">
        <f ca="1">IF(AL36="","",IF(OR(AL36&lt;20,AL36&gt;80),"Restrição",IF(OR(AL36&lt;30,AL36&gt;65),"Não","Sim")))</f>
        <v/>
      </c>
      <c r="AM38" s="433"/>
      <c r="AN38" s="489" t="str">
        <f ca="1">IF(AL38&lt;&gt;"Sim",IF(AL36="","",IF(AL36/$I$26&lt;(1-$D$43),"Baixo",IF(AL36/$I$27&gt;(1+$D$43),"Alto","Aceitável"))),"")</f>
        <v/>
      </c>
      <c r="AO38" s="305"/>
      <c r="AP38" s="305"/>
      <c r="AQ38" s="305"/>
      <c r="AR38" s="305"/>
      <c r="AS38" s="305"/>
      <c r="AT38" s="305"/>
      <c r="AU38" s="305"/>
      <c r="AV38" s="305"/>
      <c r="AW38" s="305"/>
    </row>
    <row r="39" spans="1:49" s="291" customFormat="1" x14ac:dyDescent="0.25">
      <c r="A39" s="491" t="s">
        <v>378</v>
      </c>
      <c r="B39" s="492" t="str">
        <f ca="1">IFERROR(IF(B35/$D$42&lt;0.8,"Restrição",IF(B35/$D$42&lt;1,"Não","Sim")),"")</f>
        <v/>
      </c>
      <c r="C39" s="433"/>
      <c r="D39" s="489" t="str">
        <f ca="1">IF(B35="","",IFERROR(IF(B38&lt;&gt;"Sim",IF(B35&gt;5,"Alta",""),""),""))</f>
        <v/>
      </c>
      <c r="G39" s="493" t="s">
        <v>378</v>
      </c>
      <c r="H39" s="492" t="str">
        <f ca="1">IFERROR(IF(H35/$D$42&lt;0.8,"Restrição",IF(H35/$D$42&lt;1,"Não","Sim")),"")</f>
        <v/>
      </c>
      <c r="I39" s="433"/>
      <c r="J39" s="489" t="str">
        <f ca="1">IF(H35="","",IFERROR(IF(H38&lt;&gt;"Sim",IF(H35&gt;5,"Alta",""),""),""))</f>
        <v/>
      </c>
      <c r="M39" s="493" t="s">
        <v>378</v>
      </c>
      <c r="N39" s="492" t="str">
        <f ca="1">IFERROR(IF(N35/$D$42&lt;0.8,"Restrição",IF(N35/$D$42&lt;1,"Não","Sim")),"")</f>
        <v/>
      </c>
      <c r="O39" s="433"/>
      <c r="P39" s="489" t="str">
        <f ca="1">IF(N35="","",IFERROR(IF(N38&lt;&gt;"Sim",IF(N35&gt;5,"Alta",""),""),""))</f>
        <v/>
      </c>
      <c r="S39" s="493" t="s">
        <v>378</v>
      </c>
      <c r="T39" s="492" t="str">
        <f ca="1">IFERROR(IF(T35/$D$42&lt;0.8,"Restrição",IF(T35/$D$42&lt;1,"Não","Sim")),"")</f>
        <v/>
      </c>
      <c r="U39" s="433"/>
      <c r="V39" s="489" t="str">
        <f ca="1">IF(T35="","",IFERROR(IF(T38&lt;&gt;"Sim",IF(T35&gt;5,"Alta",""),""),""))</f>
        <v/>
      </c>
      <c r="Y39" s="493" t="s">
        <v>378</v>
      </c>
      <c r="Z39" s="492" t="str">
        <f ca="1">IFERROR(IF(Z35/$D$42&lt;0.8,"Restrição",IF(Z35/$D$42&lt;1,"Não","Sim")),"")</f>
        <v/>
      </c>
      <c r="AA39" s="433"/>
      <c r="AB39" s="489" t="str">
        <f ca="1">IF(Z35="","",IFERROR(IF(Z38&lt;&gt;"Sim",IF(Z35&gt;5,"Alta",""),""),""))</f>
        <v/>
      </c>
      <c r="AD39" s="305"/>
      <c r="AE39" s="493" t="s">
        <v>378</v>
      </c>
      <c r="AF39" s="492" t="str">
        <f ca="1">IFERROR(IF(AF35/$D$42&lt;0.8,"Restrição",IF(AF35/$D$42&lt;1,"Não","Sim")),"")</f>
        <v/>
      </c>
      <c r="AG39" s="433"/>
      <c r="AH39" s="489" t="str">
        <f ca="1">IF(AF35="","",IFERROR(IF(AF38&lt;&gt;"Sim",IF(AF35&gt;5,"Alta",""),""),""))</f>
        <v/>
      </c>
      <c r="AI39" s="305"/>
      <c r="AJ39" s="305"/>
      <c r="AK39" s="493" t="s">
        <v>378</v>
      </c>
      <c r="AL39" s="492" t="str">
        <f ca="1">IFERROR(IF(AL35/$D$42&lt;0.8,"Restrição",IF(AL35/$D$42&lt;1,"Não","Sim")),"")</f>
        <v/>
      </c>
      <c r="AM39" s="433"/>
      <c r="AN39" s="489" t="str">
        <f ca="1">IF(AL35="","",IFERROR(IF(AL38&lt;&gt;"Sim",IF(AL35&gt;5,"Alta",""),""),""))</f>
        <v/>
      </c>
      <c r="AO39" s="305"/>
      <c r="AP39" s="305"/>
      <c r="AQ39" s="305"/>
      <c r="AR39" s="305"/>
      <c r="AS39" s="305"/>
      <c r="AT39" s="305"/>
      <c r="AU39" s="305"/>
      <c r="AV39" s="305"/>
      <c r="AW39" s="305"/>
    </row>
    <row r="40" spans="1:49" s="291" customFormat="1" ht="17.25" x14ac:dyDescent="0.25">
      <c r="A40" s="494" t="s">
        <v>197</v>
      </c>
      <c r="B40" s="495" t="str">
        <f>IFERROR(IF($B$25=120,(7.72*EXP(-0.405*B35))*1000/60, IF($B$25="---",(0.18135+33.12558*EXP(-B35/1.49995))*1000/60,"NA")),"")</f>
        <v>NA</v>
      </c>
      <c r="C40" s="485" t="s">
        <v>376</v>
      </c>
      <c r="D40" s="496"/>
      <c r="G40" s="497" t="s">
        <v>197</v>
      </c>
      <c r="H40" s="495" t="str">
        <f>IFERROR(IF($B$25=120,(7.72*EXP(-0.405*H35))*1000/60, IF($B$25="---",(0.18135+33.12558*EXP(-H35/1.49995))*1000/60,"NA")),"")</f>
        <v>NA</v>
      </c>
      <c r="I40" s="485" t="s">
        <v>376</v>
      </c>
      <c r="J40" s="496"/>
      <c r="M40" s="497" t="s">
        <v>197</v>
      </c>
      <c r="N40" s="495" t="str">
        <f>IFERROR(IF($B$25=120,(7.72*EXP(-0.405*N35))*1000/60, IF($B$25="---",(0.18135+33.12558*EXP(-N35/1.49995))*1000/60,"NA")),"")</f>
        <v>NA</v>
      </c>
      <c r="O40" s="485" t="s">
        <v>376</v>
      </c>
      <c r="P40" s="496"/>
      <c r="S40" s="497" t="s">
        <v>197</v>
      </c>
      <c r="T40" s="495" t="str">
        <f>IFERROR(IF($B$25=120,(7.72*EXP(-0.405*T35))*1000/60, IF($B$25="---",(0.18135+33.12558*EXP(-T35/1.49995))*1000/60,"NA")),"")</f>
        <v>NA</v>
      </c>
      <c r="U40" s="485" t="s">
        <v>376</v>
      </c>
      <c r="V40" s="496"/>
      <c r="Y40" s="497" t="s">
        <v>197</v>
      </c>
      <c r="Z40" s="495" t="str">
        <f>IFERROR(IF($B$25=120,(7.72*EXP(-0.405*Z35))*1000/60, IF($B$25="---",(0.18135+33.12558*EXP(-Z35/1.49995))*1000/60,"NA")),"")</f>
        <v>NA</v>
      </c>
      <c r="AA40" s="485" t="s">
        <v>376</v>
      </c>
      <c r="AB40" s="496"/>
      <c r="AD40" s="498"/>
      <c r="AE40" s="497" t="s">
        <v>197</v>
      </c>
      <c r="AF40" s="495" t="str">
        <f>IFERROR(IF($B$25=120,(7.72*EXP(-0.405*AF35))*1000/60, IF($B$25="---",(0.18135+33.12558*EXP(-AF35/1.49995))*1000/60,"NA")),"")</f>
        <v>NA</v>
      </c>
      <c r="AG40" s="485" t="s">
        <v>376</v>
      </c>
      <c r="AH40" s="496"/>
      <c r="AI40" s="305"/>
      <c r="AJ40" s="305"/>
      <c r="AK40" s="497" t="s">
        <v>197</v>
      </c>
      <c r="AL40" s="495" t="str">
        <f>IFERROR(IF($B$25=120,(7.72*EXP(-0.405*AL35))*1000/60, IF($B$25="---",(0.18135+33.12558*EXP(-AL35/1.49995))*1000/60,"NA")),"")</f>
        <v>NA</v>
      </c>
      <c r="AM40" s="485" t="s">
        <v>376</v>
      </c>
      <c r="AN40" s="496"/>
      <c r="AO40" s="305"/>
      <c r="AP40" s="305"/>
      <c r="AQ40" s="305"/>
      <c r="AR40" s="305"/>
      <c r="AS40" s="305"/>
      <c r="AT40" s="305"/>
      <c r="AU40" s="305"/>
      <c r="AV40" s="305"/>
      <c r="AW40" s="305"/>
    </row>
    <row r="41" spans="1:49" s="291" customFormat="1" ht="15.75" thickBot="1" x14ac:dyDescent="0.3">
      <c r="A41" s="499" t="s">
        <v>27</v>
      </c>
      <c r="B41" s="500" t="str">
        <f ca="1">IFERROR(B36*B28/B40,"")</f>
        <v/>
      </c>
      <c r="C41" s="501" t="s">
        <v>13</v>
      </c>
      <c r="D41" s="502" t="str">
        <f ca="1">IFERROR(IF(B38&lt;&gt;"Sim",IF(B41/IF(C28="mAs",B28/B34,B28)&gt;(1+$D$43),"Maior",IF(B41/IF(C28="mAs",B28/B34,B28)&lt;(1-$D$43),"Menor","Ok")),""),"")</f>
        <v/>
      </c>
      <c r="G41" s="499" t="s">
        <v>27</v>
      </c>
      <c r="H41" s="500" t="str">
        <f ca="1">IFERROR(H36*H28/H40,"")</f>
        <v/>
      </c>
      <c r="I41" s="501" t="s">
        <v>13</v>
      </c>
      <c r="J41" s="502" t="str">
        <f ca="1">IFERROR(IF(H38&lt;&gt;"Sim",IF(H41/IF(I28="mAs",H28/H34,H28)&gt;(1+$D$43),"Maior",IF(H41/IF(I28="mAs",H28/H34,H28)&lt;(1-$D$43),"Menor","Ok")),""),"")</f>
        <v/>
      </c>
      <c r="M41" s="499" t="s">
        <v>27</v>
      </c>
      <c r="N41" s="500" t="str">
        <f ca="1">IFERROR(N36*N28/N40,"")</f>
        <v/>
      </c>
      <c r="O41" s="501" t="s">
        <v>13</v>
      </c>
      <c r="P41" s="502" t="str">
        <f ca="1">IFERROR(IF(N38&lt;&gt;"Sim",IF(N41/IF(O28="mAs",N28/N34,N28)&gt;(1+$D$43),"Maior",IF(N41/IF(O28="mAs",N28/N34,N28)&lt;(1-$D$43),"Menor","Ok")),""),"")</f>
        <v/>
      </c>
      <c r="S41" s="499" t="s">
        <v>27</v>
      </c>
      <c r="T41" s="500" t="str">
        <f ca="1">IFERROR(T36*T28/T40,"")</f>
        <v/>
      </c>
      <c r="U41" s="501" t="s">
        <v>13</v>
      </c>
      <c r="V41" s="502" t="str">
        <f ca="1">IFERROR(IF(T38&lt;&gt;"Sim",IF(T41/IF(U28="mAs",T28/T34,T28)&gt;(1+$D$43),"Maior",IF(T41/IF(U28="mAs",T28/T34,T28)&lt;(1-$D$43),"Menor","Ok")),""),"")</f>
        <v/>
      </c>
      <c r="Y41" s="499" t="s">
        <v>27</v>
      </c>
      <c r="Z41" s="500" t="str">
        <f ca="1">IFERROR(Z36*Z28/Z40,"")</f>
        <v/>
      </c>
      <c r="AA41" s="501" t="s">
        <v>13</v>
      </c>
      <c r="AB41" s="502" t="str">
        <f ca="1">IFERROR(IF(Z38&lt;&gt;"Sim",IF(Z41/IF(AA28="mAs",Z28/Z34,Z28)&gt;(1+$D$43),"Maior",IF(Z41/IF(AA28="mAs",Z28/Z34,Z28)&lt;(1-$D$43),"Menor","Ok")),""),"")</f>
        <v/>
      </c>
      <c r="AD41" s="305"/>
      <c r="AE41" s="499" t="s">
        <v>27</v>
      </c>
      <c r="AF41" s="500" t="str">
        <f ca="1">IFERROR(AF36*AF28/AF40,"")</f>
        <v/>
      </c>
      <c r="AG41" s="501" t="s">
        <v>13</v>
      </c>
      <c r="AH41" s="502" t="str">
        <f ca="1">IFERROR(IF(AF38&lt;&gt;"Sim",IF(AF41/IF(AG28="mAs",AF28/AF34,AF28)&gt;(1+$D$43),"Maior",IF(AF41/IF(AG28="mAs",AF28/AF34,AF28)&lt;(1-$D$43),"Menor","Ok")),""),"")</f>
        <v/>
      </c>
      <c r="AI41" s="305"/>
      <c r="AJ41" s="305"/>
      <c r="AK41" s="499" t="s">
        <v>27</v>
      </c>
      <c r="AL41" s="500" t="str">
        <f ca="1">IFERROR(AL36*AL28/AL40,"")</f>
        <v/>
      </c>
      <c r="AM41" s="501" t="s">
        <v>13</v>
      </c>
      <c r="AN41" s="502" t="str">
        <f ca="1">IFERROR(IF(AL38&lt;&gt;"Sim",IF(AL41/IF(AM28="mAs",AL28/AL34,AL28)&gt;(1+$D$43),"Maior",IF(AL41/IF(AM28="mAs",AL28/AL34,AL28)&lt;(1-$D$43),"Menor","Ok")),""),"")</f>
        <v/>
      </c>
      <c r="AO41" s="305"/>
      <c r="AP41" s="305"/>
      <c r="AQ41" s="305"/>
      <c r="AR41" s="305"/>
      <c r="AS41" s="305"/>
      <c r="AT41" s="305"/>
      <c r="AU41" s="305"/>
      <c r="AV41" s="305"/>
      <c r="AW41" s="305"/>
    </row>
    <row r="42" spans="1:49" s="305" customFormat="1" x14ac:dyDescent="0.25">
      <c r="A42" s="305" t="s">
        <v>657</v>
      </c>
      <c r="B42" s="305" t="str">
        <f ca="1">IF(COUNTIF(D39:AN39,"Alta")&gt;0,"Alta","Aceitável")</f>
        <v>Aceitável</v>
      </c>
      <c r="C42" s="1423" t="s">
        <v>154</v>
      </c>
      <c r="D42" s="517">
        <f>VLOOKUP(B27,HVLmin_Convencional[],IF(Cabeçalho!$H$25="Mono",2,IF(Cabeçalho!$H$25="Tri",3,4)))</f>
        <v>2.2999999999999998</v>
      </c>
      <c r="E42" s="446"/>
    </row>
    <row r="43" spans="1:49" s="305" customFormat="1" x14ac:dyDescent="0.25">
      <c r="A43" s="305" t="s">
        <v>661</v>
      </c>
      <c r="B43" s="305" t="str">
        <f ca="1">IF(COUNTIF(D38:AN38,"Alto")&gt;0,"Alto",IF(COUNTIF(D38:AN38,"Baixo")&gt;0,"Baixo","Aceitável"))</f>
        <v>Aceitável</v>
      </c>
      <c r="C43" s="889" t="s">
        <v>662</v>
      </c>
      <c r="D43" s="1731">
        <v>0.2</v>
      </c>
      <c r="E43" s="446"/>
    </row>
    <row r="44" spans="1:49" s="305" customFormat="1" x14ac:dyDescent="0.25">
      <c r="A44" s="305" t="s">
        <v>663</v>
      </c>
      <c r="B44" s="305" t="str">
        <f ca="1">IF(COUNTIF(D41:AN41,"Maior")&gt;0,"&lt; avaliada",IF(COUNTIF(D41:AN41,"Menor")&gt;0,"&gt; avaliada","Aceitável"))</f>
        <v>Aceitável</v>
      </c>
    </row>
    <row r="45" spans="1:49" s="305" customFormat="1" ht="15.75" thickBot="1" x14ac:dyDescent="0.3"/>
    <row r="46" spans="1:49" s="291" customFormat="1" ht="15.75" thickBot="1" x14ac:dyDescent="0.3">
      <c r="A46" s="2432" t="s">
        <v>1106</v>
      </c>
      <c r="B46" s="2433"/>
      <c r="C46" s="2433"/>
      <c r="D46" s="2433"/>
      <c r="E46" s="2433"/>
      <c r="F46" s="2433"/>
      <c r="G46" s="2433"/>
      <c r="H46" s="2433"/>
      <c r="I46" s="2433"/>
      <c r="J46" s="2433"/>
      <c r="K46" s="2433"/>
      <c r="L46" s="2433"/>
      <c r="M46" s="2433"/>
      <c r="N46" s="2433"/>
      <c r="O46" s="2433"/>
      <c r="P46" s="2433"/>
      <c r="Q46" s="2434"/>
      <c r="R46" s="305"/>
      <c r="W46" s="305"/>
      <c r="X46" s="305"/>
      <c r="Y46" s="305"/>
      <c r="Z46" s="305"/>
      <c r="AA46" s="305"/>
      <c r="AB46" s="305"/>
      <c r="AC46" s="305"/>
      <c r="AD46" s="305"/>
      <c r="AE46" s="305"/>
      <c r="AF46" s="305"/>
      <c r="AG46" s="305"/>
      <c r="AH46" s="305"/>
      <c r="AI46" s="305"/>
      <c r="AJ46" s="305"/>
      <c r="AK46" s="305"/>
      <c r="AL46" s="305"/>
      <c r="AM46" s="305"/>
      <c r="AN46" s="305"/>
      <c r="AO46" s="305"/>
      <c r="AP46" s="305"/>
      <c r="AQ46" s="305"/>
      <c r="AR46" s="305"/>
      <c r="AS46" s="305"/>
      <c r="AT46" s="305"/>
      <c r="AU46" s="305"/>
      <c r="AV46" s="305"/>
      <c r="AW46" s="305"/>
    </row>
    <row r="47" spans="1:49" s="291" customFormat="1" ht="15.75" thickBot="1" x14ac:dyDescent="0.3">
      <c r="A47" s="1385" t="str">
        <f>IF(B29="Único","Foco Único","Foco Fino")</f>
        <v>Foco Fino</v>
      </c>
      <c r="B47" s="305"/>
      <c r="C47" s="305"/>
      <c r="D47" s="305"/>
      <c r="E47" s="305"/>
      <c r="F47" s="305"/>
      <c r="G47" s="305"/>
      <c r="H47" s="305"/>
      <c r="I47" s="305"/>
      <c r="J47" s="1386" t="s">
        <v>284</v>
      </c>
      <c r="K47" s="503"/>
      <c r="L47" s="305"/>
      <c r="M47" s="305"/>
      <c r="N47" s="305"/>
      <c r="O47" s="305"/>
      <c r="P47" s="305"/>
      <c r="Q47" s="305"/>
      <c r="R47" s="305"/>
      <c r="W47" s="305"/>
      <c r="X47" s="305"/>
      <c r="Y47" s="305"/>
      <c r="Z47" s="305"/>
      <c r="AA47" s="305"/>
      <c r="AB47" s="305"/>
      <c r="AC47" s="305"/>
      <c r="AD47" s="305"/>
      <c r="AE47" s="305"/>
      <c r="AF47" s="305"/>
      <c r="AG47" s="305"/>
      <c r="AH47" s="305"/>
      <c r="AI47" s="305"/>
      <c r="AJ47" s="305"/>
      <c r="AK47" s="305"/>
      <c r="AL47" s="305"/>
      <c r="AM47" s="305"/>
      <c r="AN47" s="305"/>
      <c r="AO47" s="305"/>
      <c r="AP47" s="305"/>
      <c r="AQ47" s="305"/>
      <c r="AR47" s="305"/>
      <c r="AS47" s="305"/>
      <c r="AT47" s="305"/>
      <c r="AU47" s="305"/>
      <c r="AV47" s="305"/>
      <c r="AW47" s="305"/>
    </row>
    <row r="48" spans="1:49" s="291" customFormat="1" ht="15.75" thickBot="1" x14ac:dyDescent="0.3">
      <c r="A48" s="207" t="s">
        <v>2809</v>
      </c>
      <c r="B48" s="454" t="s">
        <v>5</v>
      </c>
      <c r="C48" s="307" t="s">
        <v>3</v>
      </c>
      <c r="D48" s="454" t="s">
        <v>22</v>
      </c>
      <c r="E48" s="305"/>
      <c r="F48" s="307" t="s">
        <v>0</v>
      </c>
      <c r="G48" s="307" t="s">
        <v>2</v>
      </c>
      <c r="H48" s="307" t="s">
        <v>51</v>
      </c>
      <c r="I48" s="305"/>
      <c r="J48" s="454" t="str">
        <f>A48</f>
        <v>t selecionado</v>
      </c>
      <c r="K48" s="454" t="s">
        <v>5</v>
      </c>
      <c r="L48" s="307" t="s">
        <v>3</v>
      </c>
      <c r="M48" s="454" t="s">
        <v>22</v>
      </c>
      <c r="N48" s="305"/>
      <c r="O48" s="307" t="s">
        <v>0</v>
      </c>
      <c r="P48" s="307" t="s">
        <v>2</v>
      </c>
      <c r="Q48" s="307" t="s">
        <v>51</v>
      </c>
      <c r="R48" s="305"/>
      <c r="W48" s="305"/>
      <c r="X48" s="305"/>
      <c r="Y48" s="305"/>
      <c r="Z48" s="305"/>
      <c r="AA48" s="305"/>
      <c r="AB48" s="305"/>
      <c r="AC48" s="305"/>
      <c r="AD48" s="305"/>
      <c r="AE48" s="305"/>
      <c r="AF48" s="305"/>
      <c r="AG48" s="305"/>
      <c r="AH48" s="305"/>
      <c r="AI48" s="305"/>
      <c r="AJ48" s="305"/>
      <c r="AK48" s="305"/>
      <c r="AL48" s="305"/>
      <c r="AM48" s="305"/>
      <c r="AN48" s="305"/>
      <c r="AO48" s="305"/>
      <c r="AP48" s="305"/>
      <c r="AQ48" s="305"/>
      <c r="AR48" s="305"/>
      <c r="AS48" s="305"/>
      <c r="AT48" s="305"/>
      <c r="AU48" s="305"/>
      <c r="AV48" s="305"/>
      <c r="AW48" s="305"/>
    </row>
    <row r="49" spans="1:49" s="291" customFormat="1" x14ac:dyDescent="0.25">
      <c r="A49" s="181"/>
      <c r="B49" s="180"/>
      <c r="C49" s="504" t="str">
        <f ca="1">IFERROR(IF(Cabeçalho!$G$28="Unfors",INDIRECT(ADDRESS(B49,7,1,1,"medidas Unfors"),1),INDIRECT(ADDRESS(B49,6,1,1,"medidas Fluke"),1)/1000),"")</f>
        <v/>
      </c>
      <c r="D49" s="505" t="str">
        <f t="shared" ref="D49:D55" ca="1" si="7">IFERROR(CONCATENATE(ROUND((C49/A49-1)*100,1)," %"),"")</f>
        <v/>
      </c>
      <c r="E49" s="305" t="str">
        <f t="shared" ref="E49:E55" ca="1" si="8">IFERROR(IF(ROUND((C49/A49-1)*100,1)&gt;10,"Ruim",""),"")</f>
        <v/>
      </c>
      <c r="F49" s="466" t="str">
        <f ca="1">IFERROR(IF(Cabeçalho!$G$28="Unfors",INDIRECT(ADDRESS(B49,1,1,1,"medidas Unfors"),1),INDIRECT(ADDRESS(B49,1,1,1,"medidas Fluke"),1)),"")</f>
        <v/>
      </c>
      <c r="G49" s="306" t="str">
        <f ca="1">IFERROR(IF(Cabeçalho!$G$28="Unfors",INDIRECT(ADDRESS(B49,5,1,1,"medidas Unfors"),1),INDIRECT(ADDRESS(B49,5,1,1,"medidas Fluke"),1)/1000),"")</f>
        <v/>
      </c>
      <c r="H49" s="306" t="str">
        <f ca="1">IFERROR(IF(Cabeçalho!$G$28="Unfors",(INDIRECT(ADDRESS(B49,3,1,1,"medidas Unfors"),1))/A49,(INDIRECT(ADDRESS(B49,4,1,1,"medidas Fluke"),1))/A49/1000),"")</f>
        <v/>
      </c>
      <c r="I49" s="305"/>
      <c r="J49" s="181"/>
      <c r="K49" s="146"/>
      <c r="L49" s="504" t="str">
        <f ca="1">IFERROR(IF(Cabeçalho!$G$28="Unfors",INDIRECT(ADDRESS(K49,7,1,1,"medidas Unfors"),1),INDIRECT(ADDRESS(K49,6,1,1,"medidas Fluke"),1)/1000),"")</f>
        <v/>
      </c>
      <c r="M49" s="505" t="str">
        <f t="shared" ref="M49:M55" ca="1" si="9">IFERROR(CONCATENATE(ROUND((L49/J49-1)*100,1)," %"),"")</f>
        <v/>
      </c>
      <c r="N49" s="305"/>
      <c r="O49" s="466" t="str">
        <f ca="1">IFERROR(IF(Cabeçalho!$G$28="Unfors",INDIRECT(ADDRESS(K49,1,1,1,"medidas Unfors"),1),INDIRECT(ADDRESS(K49,1,1,1,"medidas Fluke"),1)),"")</f>
        <v/>
      </c>
      <c r="P49" s="306" t="str">
        <f ca="1">IFERROR(IF(Cabeçalho!$G$28="Unfors",INDIRECT(ADDRESS(K49,5,1,1,"medidas Unfors"),1),INDIRECT(ADDRESS(K49,5,1,1,"medidas Fluke"),1)/1000),"")</f>
        <v/>
      </c>
      <c r="Q49" s="306" t="str">
        <f ca="1">IFERROR(IF(Cabeçalho!$G$28="Unfors",(INDIRECT(ADDRESS(K49,3,1,1,"medidas Unfors"),1))/J49,(INDIRECT(ADDRESS(K49,4,1,1,"medidas Fluke"),1))/J49/1000),"")</f>
        <v/>
      </c>
      <c r="R49" s="305"/>
      <c r="W49" s="305"/>
      <c r="X49" s="305"/>
      <c r="Y49" s="305"/>
      <c r="Z49" s="305"/>
      <c r="AA49" s="305"/>
      <c r="AB49" s="305"/>
      <c r="AC49" s="305"/>
      <c r="AD49" s="305"/>
      <c r="AE49" s="305"/>
      <c r="AF49" s="305"/>
      <c r="AG49" s="305"/>
      <c r="AH49" s="305"/>
      <c r="AI49" s="305"/>
      <c r="AJ49" s="305"/>
      <c r="AK49" s="305"/>
      <c r="AL49" s="305"/>
      <c r="AM49" s="305"/>
      <c r="AN49" s="305"/>
      <c r="AO49" s="305"/>
      <c r="AP49" s="305"/>
      <c r="AQ49" s="305"/>
      <c r="AR49" s="305"/>
      <c r="AS49" s="305"/>
      <c r="AT49" s="305"/>
      <c r="AU49" s="305"/>
      <c r="AV49" s="305"/>
      <c r="AW49" s="305"/>
    </row>
    <row r="50" spans="1:49" s="291" customFormat="1" x14ac:dyDescent="0.25">
      <c r="A50" s="179"/>
      <c r="B50" s="182"/>
      <c r="C50" s="506" t="str">
        <f ca="1">IFERROR(IF(Cabeçalho!$G$28="Unfors",INDIRECT(ADDRESS(B50,7,1,1,"medidas Unfors"),1),INDIRECT(ADDRESS(B50,6,1,1,"medidas Fluke"),1)/1000),"")</f>
        <v/>
      </c>
      <c r="D50" s="507" t="str">
        <f t="shared" ca="1" si="7"/>
        <v/>
      </c>
      <c r="E50" s="305" t="str">
        <f t="shared" ca="1" si="8"/>
        <v/>
      </c>
      <c r="F50" s="466" t="str">
        <f ca="1">IFERROR(IF(Cabeçalho!$G$28="Unfors",INDIRECT(ADDRESS(B50,1,1,1,"medidas Unfors"),1),INDIRECT(ADDRESS(B50,1,1,1,"medidas Fluke"),1)),"")</f>
        <v/>
      </c>
      <c r="G50" s="306" t="str">
        <f ca="1">IFERROR(IF(Cabeçalho!$G$28="Unfors",INDIRECT(ADDRESS(B50,5,1,1,"medidas Unfors"),1),INDIRECT(ADDRESS(B50,5,1,1,"medidas Fluke"),1)/1000),"")</f>
        <v/>
      </c>
      <c r="H50" s="306" t="str">
        <f ca="1">IFERROR(IF(Cabeçalho!$G$28="Unfors",(INDIRECT(ADDRESS(B50,3,1,1,"medidas Unfors"),1))/A50,(INDIRECT(ADDRESS(B50,4,1,1,"medidas Fluke"),1))/A50/1000),"")</f>
        <v/>
      </c>
      <c r="I50" s="305"/>
      <c r="J50" s="179"/>
      <c r="K50" s="1058"/>
      <c r="L50" s="506" t="str">
        <f ca="1">IFERROR(IF(Cabeçalho!$G$28="Unfors",INDIRECT(ADDRESS(K50,7,1,1,"medidas Unfors"),1),INDIRECT(ADDRESS(K50,6,1,1,"medidas Fluke"),1)/1000),"")</f>
        <v/>
      </c>
      <c r="M50" s="507" t="str">
        <f t="shared" ca="1" si="9"/>
        <v/>
      </c>
      <c r="N50" s="305"/>
      <c r="O50" s="466" t="str">
        <f ca="1">IFERROR(IF(Cabeçalho!$G$28="Unfors",INDIRECT(ADDRESS(K50,1,1,1,"medidas Unfors"),1),INDIRECT(ADDRESS(K50,1,1,1,"medidas Fluke"),1)),"")</f>
        <v/>
      </c>
      <c r="P50" s="306" t="str">
        <f ca="1">IFERROR(IF(Cabeçalho!$G$28="Unfors",INDIRECT(ADDRESS(K50,5,1,1,"medidas Unfors"),1),INDIRECT(ADDRESS(K50,5,1,1,"medidas Fluke"),1)/1000),"")</f>
        <v/>
      </c>
      <c r="Q50" s="306" t="str">
        <f ca="1">IFERROR(IF(Cabeçalho!$G$28="Unfors",(INDIRECT(ADDRESS(K50,3,1,1,"medidas Unfors"),1))/J50,(INDIRECT(ADDRESS(K50,4,1,1,"medidas Fluke"),1))/J50/1000),"")</f>
        <v/>
      </c>
      <c r="R50" s="305"/>
      <c r="W50" s="305"/>
      <c r="X50" s="305"/>
      <c r="Y50" s="305"/>
      <c r="Z50" s="305"/>
      <c r="AA50" s="305"/>
      <c r="AB50" s="305"/>
      <c r="AC50" s="305"/>
      <c r="AD50" s="305"/>
      <c r="AE50" s="305"/>
      <c r="AF50" s="305"/>
      <c r="AG50" s="305"/>
      <c r="AH50" s="305"/>
      <c r="AI50" s="305"/>
      <c r="AJ50" s="305"/>
      <c r="AK50" s="305"/>
      <c r="AL50" s="305"/>
      <c r="AM50" s="305"/>
      <c r="AN50" s="305"/>
      <c r="AO50" s="305"/>
      <c r="AP50" s="305"/>
      <c r="AQ50" s="305"/>
      <c r="AR50" s="305"/>
      <c r="AS50" s="305"/>
      <c r="AT50" s="305"/>
      <c r="AU50" s="305"/>
      <c r="AV50" s="305"/>
      <c r="AW50" s="305"/>
    </row>
    <row r="51" spans="1:49" s="291" customFormat="1" x14ac:dyDescent="0.25">
      <c r="A51" s="179"/>
      <c r="B51" s="182"/>
      <c r="C51" s="506" t="str">
        <f ca="1">IFERROR(IF(Cabeçalho!$G$28="Unfors",INDIRECT(ADDRESS(B51,7,1,1,"medidas Unfors"),1),INDIRECT(ADDRESS(B51,6,1,1,"medidas Fluke"),1)/1000),"")</f>
        <v/>
      </c>
      <c r="D51" s="507" t="str">
        <f t="shared" ca="1" si="7"/>
        <v/>
      </c>
      <c r="E51" s="305" t="str">
        <f t="shared" ca="1" si="8"/>
        <v/>
      </c>
      <c r="F51" s="466" t="str">
        <f ca="1">IFERROR(IF(Cabeçalho!$G$28="Unfors",INDIRECT(ADDRESS(B51,1,1,1,"medidas Unfors"),1),INDIRECT(ADDRESS(B51,1,1,1,"medidas Fluke"),1)),"")</f>
        <v/>
      </c>
      <c r="G51" s="306" t="str">
        <f ca="1">IFERROR(IF(Cabeçalho!$G$28="Unfors",INDIRECT(ADDRESS(B51,5,1,1,"medidas Unfors"),1),INDIRECT(ADDRESS(B51,5,1,1,"medidas Fluke"),1)/1000),"")</f>
        <v/>
      </c>
      <c r="H51" s="306" t="str">
        <f ca="1">IFERROR(IF(Cabeçalho!$G$28="Unfors",(INDIRECT(ADDRESS(B51,3,1,1,"medidas Unfors"),1))/A51,(INDIRECT(ADDRESS(B51,4,1,1,"medidas Fluke"),1))/A51/1000),"")</f>
        <v/>
      </c>
      <c r="I51" s="305"/>
      <c r="J51" s="179"/>
      <c r="K51" s="1058"/>
      <c r="L51" s="506" t="str">
        <f ca="1">IFERROR(IF(Cabeçalho!$G$28="Unfors",INDIRECT(ADDRESS(K51,7,1,1,"medidas Unfors"),1),INDIRECT(ADDRESS(K51,6,1,1,"medidas Fluke"),1)/1000),"")</f>
        <v/>
      </c>
      <c r="M51" s="507" t="str">
        <f t="shared" ca="1" si="9"/>
        <v/>
      </c>
      <c r="N51" s="305"/>
      <c r="O51" s="466" t="str">
        <f ca="1">IFERROR(IF(Cabeçalho!$G$28="Unfors",INDIRECT(ADDRESS(K51,1,1,1,"medidas Unfors"),1),INDIRECT(ADDRESS(K51,1,1,1,"medidas Fluke"),1)),"")</f>
        <v/>
      </c>
      <c r="P51" s="306" t="str">
        <f ca="1">IFERROR(IF(Cabeçalho!$G$28="Unfors",INDIRECT(ADDRESS(K51,5,1,1,"medidas Unfors"),1),INDIRECT(ADDRESS(K51,5,1,1,"medidas Fluke"),1)/1000),"")</f>
        <v/>
      </c>
      <c r="Q51" s="306" t="str">
        <f ca="1">IFERROR(IF(Cabeçalho!$G$28="Unfors",(INDIRECT(ADDRESS(K51,3,1,1,"medidas Unfors"),1))/J51,(INDIRECT(ADDRESS(K51,4,1,1,"medidas Fluke"),1))/J51/1000),"")</f>
        <v/>
      </c>
      <c r="R51" s="305"/>
      <c r="W51" s="305"/>
      <c r="X51" s="305"/>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row>
    <row r="52" spans="1:49" s="291" customFormat="1" x14ac:dyDescent="0.25">
      <c r="A52" s="179"/>
      <c r="B52" s="182"/>
      <c r="C52" s="506" t="str">
        <f ca="1">IFERROR(IF(Cabeçalho!$G$28="Unfors",INDIRECT(ADDRESS(B52,7,1,1,"medidas Unfors"),1),INDIRECT(ADDRESS(B52,6,1,1,"medidas Fluke"),1)/1000),"")</f>
        <v/>
      </c>
      <c r="D52" s="507" t="str">
        <f t="shared" ca="1" si="7"/>
        <v/>
      </c>
      <c r="E52" s="305" t="str">
        <f t="shared" ca="1" si="8"/>
        <v/>
      </c>
      <c r="F52" s="466" t="str">
        <f ca="1">IFERROR(IF(Cabeçalho!$G$28="Unfors",INDIRECT(ADDRESS(B52,1,1,1,"medidas Unfors"),1),INDIRECT(ADDRESS(B52,1,1,1,"medidas Fluke"),1)),"")</f>
        <v/>
      </c>
      <c r="G52" s="306" t="str">
        <f ca="1">IFERROR(IF(Cabeçalho!$G$28="Unfors",INDIRECT(ADDRESS(B52,5,1,1,"medidas Unfors"),1),INDIRECT(ADDRESS(B52,5,1,1,"medidas Fluke"),1)/1000),"")</f>
        <v/>
      </c>
      <c r="H52" s="306" t="str">
        <f ca="1">IFERROR(IF(Cabeçalho!$G$28="Unfors",(INDIRECT(ADDRESS(B52,3,1,1,"medidas Unfors"),1))/A52,(INDIRECT(ADDRESS(B52,4,1,1,"medidas Fluke"),1))/A52/1000),"")</f>
        <v/>
      </c>
      <c r="I52" s="305"/>
      <c r="J52" s="179"/>
      <c r="K52" s="1058"/>
      <c r="L52" s="506" t="str">
        <f ca="1">IFERROR(IF(Cabeçalho!$G$28="Unfors",INDIRECT(ADDRESS(K52,7,1,1,"medidas Unfors"),1),INDIRECT(ADDRESS(K52,6,1,1,"medidas Fluke"),1)/1000),"")</f>
        <v/>
      </c>
      <c r="M52" s="507" t="str">
        <f t="shared" ca="1" si="9"/>
        <v/>
      </c>
      <c r="N52" s="305"/>
      <c r="O52" s="466" t="str">
        <f ca="1">IFERROR(IF(Cabeçalho!$G$28="Unfors",INDIRECT(ADDRESS(K52,1,1,1,"medidas Unfors"),1),INDIRECT(ADDRESS(K52,1,1,1,"medidas Fluke"),1)),"")</f>
        <v/>
      </c>
      <c r="P52" s="306" t="str">
        <f ca="1">IFERROR(IF(Cabeçalho!$G$28="Unfors",INDIRECT(ADDRESS(K52,5,1,1,"medidas Unfors"),1),INDIRECT(ADDRESS(K52,5,1,1,"medidas Fluke"),1)/1000),"")</f>
        <v/>
      </c>
      <c r="Q52" s="306" t="str">
        <f ca="1">IFERROR(IF(Cabeçalho!$G$28="Unfors",(INDIRECT(ADDRESS(K52,3,1,1,"medidas Unfors"),1))/J52,(INDIRECT(ADDRESS(K52,4,1,1,"medidas Fluke"),1))/J52/1000),"")</f>
        <v/>
      </c>
      <c r="R52" s="305"/>
      <c r="W52" s="305"/>
      <c r="X52" s="305"/>
      <c r="Y52" s="305"/>
      <c r="Z52" s="305"/>
      <c r="AA52" s="305"/>
      <c r="AB52" s="305"/>
      <c r="AC52" s="305"/>
      <c r="AD52" s="305"/>
      <c r="AE52" s="305"/>
      <c r="AF52" s="305"/>
      <c r="AG52" s="305"/>
      <c r="AH52" s="305"/>
      <c r="AI52" s="305"/>
      <c r="AJ52" s="305"/>
      <c r="AK52" s="305"/>
      <c r="AL52" s="305"/>
      <c r="AM52" s="305"/>
      <c r="AN52" s="305"/>
      <c r="AO52" s="305"/>
      <c r="AP52" s="305"/>
      <c r="AQ52" s="305"/>
      <c r="AR52" s="305"/>
      <c r="AS52" s="305"/>
      <c r="AT52" s="305"/>
      <c r="AU52" s="305"/>
      <c r="AV52" s="305"/>
      <c r="AW52" s="305"/>
    </row>
    <row r="53" spans="1:49" s="291" customFormat="1" x14ac:dyDescent="0.25">
      <c r="A53" s="179"/>
      <c r="B53" s="150"/>
      <c r="C53" s="506" t="str">
        <f ca="1">IFERROR(IF(Cabeçalho!$G$28="Unfors",INDIRECT(ADDRESS(B53,7,1,1,"medidas Unfors"),1),INDIRECT(ADDRESS(B53,6,1,1,"medidas Fluke"),1)/1000),"")</f>
        <v/>
      </c>
      <c r="D53" s="507" t="str">
        <f t="shared" ca="1" si="7"/>
        <v/>
      </c>
      <c r="E53" s="305" t="str">
        <f t="shared" ca="1" si="8"/>
        <v/>
      </c>
      <c r="F53" s="466" t="str">
        <f ca="1">IFERROR(IF(Cabeçalho!$G$28="Unfors",INDIRECT(ADDRESS(B53,1,1,1,"medidas Unfors"),1),INDIRECT(ADDRESS(B53,1,1,1,"medidas Fluke"),1)),"")</f>
        <v/>
      </c>
      <c r="G53" s="306" t="str">
        <f ca="1">IFERROR(IF(Cabeçalho!$G$28="Unfors",INDIRECT(ADDRESS(B53,5,1,1,"medidas Unfors"),1),INDIRECT(ADDRESS(B53,5,1,1,"medidas Fluke"),1)/1000),"")</f>
        <v/>
      </c>
      <c r="H53" s="306" t="str">
        <f ca="1">IFERROR(IF(Cabeçalho!$G$28="Unfors",(INDIRECT(ADDRESS(B53,3,1,1,"medidas Unfors"),1))/A53,(INDIRECT(ADDRESS(B53,4,1,1,"medidas Fluke"),1))/A53/1000),"")</f>
        <v/>
      </c>
      <c r="I53" s="305"/>
      <c r="J53" s="179"/>
      <c r="K53" s="1058"/>
      <c r="L53" s="506" t="str">
        <f ca="1">IFERROR(IF(Cabeçalho!$G$28="Unfors",INDIRECT(ADDRESS(K53,7,1,1,"medidas Unfors"),1),INDIRECT(ADDRESS(K53,6,1,1,"medidas Fluke"),1)/1000),"")</f>
        <v/>
      </c>
      <c r="M53" s="507" t="str">
        <f t="shared" ca="1" si="9"/>
        <v/>
      </c>
      <c r="N53" s="305"/>
      <c r="O53" s="466" t="str">
        <f ca="1">IFERROR(IF(Cabeçalho!$G$28="Unfors",INDIRECT(ADDRESS(K53,1,1,1,"medidas Unfors"),1),INDIRECT(ADDRESS(K53,1,1,1,"medidas Fluke"),1)),"")</f>
        <v/>
      </c>
      <c r="P53" s="306" t="str">
        <f ca="1">IFERROR(IF(Cabeçalho!$G$28="Unfors",INDIRECT(ADDRESS(K53,5,1,1,"medidas Unfors"),1),INDIRECT(ADDRESS(K53,5,1,1,"medidas Fluke"),1)/1000),"")</f>
        <v/>
      </c>
      <c r="Q53" s="306" t="str">
        <f ca="1">IFERROR(IF(Cabeçalho!$G$28="Unfors",(INDIRECT(ADDRESS(K53,3,1,1,"medidas Unfors"),1))/J53,(INDIRECT(ADDRESS(K53,4,1,1,"medidas Fluke"),1))/J53/1000),"")</f>
        <v/>
      </c>
      <c r="R53" s="305"/>
      <c r="W53" s="305"/>
      <c r="X53" s="305"/>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row>
    <row r="54" spans="1:49" s="291" customFormat="1" x14ac:dyDescent="0.25">
      <c r="A54" s="179"/>
      <c r="B54" s="150"/>
      <c r="C54" s="506" t="str">
        <f ca="1">IFERROR(IF(Cabeçalho!$G$28="Unfors",INDIRECT(ADDRESS(B54,7,1,1,"medidas Unfors"),1),INDIRECT(ADDRESS(B54,6,1,1,"medidas Fluke"),1)/1000),"")</f>
        <v/>
      </c>
      <c r="D54" s="507" t="str">
        <f t="shared" ca="1" si="7"/>
        <v/>
      </c>
      <c r="E54" s="305" t="str">
        <f t="shared" ca="1" si="8"/>
        <v/>
      </c>
      <c r="F54" s="466" t="str">
        <f ca="1">IFERROR(IF(Cabeçalho!$G$28="Unfors",INDIRECT(ADDRESS(B54,1,1,1,"medidas Unfors"),1),INDIRECT(ADDRESS(B54,1,1,1,"medidas Fluke"),1)),"")</f>
        <v/>
      </c>
      <c r="G54" s="306" t="str">
        <f ca="1">IFERROR(IF(Cabeçalho!$G$28="Unfors",INDIRECT(ADDRESS(B54,5,1,1,"medidas Unfors"),1),INDIRECT(ADDRESS(B54,5,1,1,"medidas Fluke"),1)/1000),"")</f>
        <v/>
      </c>
      <c r="H54" s="306" t="str">
        <f ca="1">IFERROR(IF(Cabeçalho!$G$28="Unfors",(INDIRECT(ADDRESS(B54,3,1,1,"medidas Unfors"),1))/A54,(INDIRECT(ADDRESS(B54,4,1,1,"medidas Fluke"),1))/A54/1000),"")</f>
        <v/>
      </c>
      <c r="I54" s="305"/>
      <c r="J54" s="179"/>
      <c r="K54" s="176"/>
      <c r="L54" s="506" t="str">
        <f ca="1">IFERROR(IF(Cabeçalho!$G$28="Unfors",INDIRECT(ADDRESS(K54,7,1,1,"medidas Unfors"),1),INDIRECT(ADDRESS(K54,6,1,1,"medidas Fluke"),1)/1000),"")</f>
        <v/>
      </c>
      <c r="M54" s="507" t="str">
        <f t="shared" ca="1" si="9"/>
        <v/>
      </c>
      <c r="N54" s="305"/>
      <c r="O54" s="466" t="str">
        <f ca="1">IFERROR(IF(Cabeçalho!$G$28="Unfors",INDIRECT(ADDRESS(K54,1,1,1,"medidas Unfors"),1),INDIRECT(ADDRESS(K54,1,1,1,"medidas Fluke"),1)),"")</f>
        <v/>
      </c>
      <c r="P54" s="306" t="str">
        <f ca="1">IFERROR(IF(Cabeçalho!$G$28="Unfors",INDIRECT(ADDRESS(K54,5,1,1,"medidas Unfors"),1),INDIRECT(ADDRESS(K54,5,1,1,"medidas Fluke"),1)/1000),"")</f>
        <v/>
      </c>
      <c r="Q54" s="306" t="str">
        <f ca="1">IFERROR(IF(Cabeçalho!$G$28="Unfors",(INDIRECT(ADDRESS(K54,3,1,1,"medidas Unfors"),1))/J54,(INDIRECT(ADDRESS(K54,4,1,1,"medidas Fluke"),1))/J54/1000),"")</f>
        <v/>
      </c>
      <c r="R54" s="305"/>
      <c r="W54" s="305"/>
      <c r="X54" s="305"/>
      <c r="Y54" s="305"/>
      <c r="Z54" s="305"/>
      <c r="AA54" s="305"/>
      <c r="AB54" s="305"/>
      <c r="AC54" s="305"/>
      <c r="AD54" s="305"/>
      <c r="AE54" s="305"/>
      <c r="AF54" s="305"/>
      <c r="AG54" s="305"/>
      <c r="AH54" s="305"/>
      <c r="AI54" s="305"/>
      <c r="AJ54" s="305"/>
      <c r="AK54" s="305"/>
      <c r="AL54" s="305"/>
      <c r="AM54" s="305"/>
      <c r="AN54" s="305"/>
      <c r="AO54" s="305"/>
      <c r="AP54" s="305"/>
      <c r="AQ54" s="305"/>
      <c r="AR54" s="305"/>
      <c r="AS54" s="305"/>
      <c r="AT54" s="305"/>
      <c r="AU54" s="305"/>
      <c r="AV54" s="305"/>
      <c r="AW54" s="305"/>
    </row>
    <row r="55" spans="1:49" s="291" customFormat="1" ht="15.75" thickBot="1" x14ac:dyDescent="0.3">
      <c r="A55" s="177"/>
      <c r="B55" s="167"/>
      <c r="C55" s="508" t="str">
        <f ca="1">IFERROR(IF(Cabeçalho!$G$28="Unfors",INDIRECT(ADDRESS(B55,7,1,1,"medidas Unfors"),1),INDIRECT(ADDRESS(B55,6,1,1,"medidas Fluke"),1)/1000),"")</f>
        <v/>
      </c>
      <c r="D55" s="509" t="str">
        <f t="shared" ca="1" si="7"/>
        <v/>
      </c>
      <c r="E55" s="305" t="str">
        <f t="shared" ca="1" si="8"/>
        <v/>
      </c>
      <c r="F55" s="466" t="str">
        <f ca="1">IFERROR(IF(Cabeçalho!$G$28="Unfors",INDIRECT(ADDRESS(B55,1,1,1,"medidas Unfors"),1),INDIRECT(ADDRESS(B55,1,1,1,"medidas Fluke"),1)),"")</f>
        <v/>
      </c>
      <c r="G55" s="306" t="str">
        <f ca="1">IFERROR(IF(Cabeçalho!$G$28="Unfors",INDIRECT(ADDRESS(B55,5,1,1,"medidas Unfors"),1),INDIRECT(ADDRESS(B55,5,1,1,"medidas Fluke"),1)/1000),"")</f>
        <v/>
      </c>
      <c r="H55" s="306" t="str">
        <f ca="1">IFERROR(IF(Cabeçalho!$G$28="Unfors",(INDIRECT(ADDRESS(B55,3,1,1,"medidas Unfors"),1))/A55,(INDIRECT(ADDRESS(B55,4,1,1,"medidas Fluke"),1))/A55/1000),"")</f>
        <v/>
      </c>
      <c r="I55" s="305"/>
      <c r="J55" s="177"/>
      <c r="K55" s="59"/>
      <c r="L55" s="508" t="str">
        <f ca="1">IFERROR(IF(Cabeçalho!$G$28="Unfors",INDIRECT(ADDRESS(K55,7,1,1,"medidas Unfors"),1),INDIRECT(ADDRESS(K55,6,1,1,"medidas Fluke"),1)/1000),"")</f>
        <v/>
      </c>
      <c r="M55" s="509" t="str">
        <f t="shared" ca="1" si="9"/>
        <v/>
      </c>
      <c r="N55" s="305"/>
      <c r="O55" s="466" t="str">
        <f ca="1">IFERROR(IF(Cabeçalho!$G$28="Unfors",INDIRECT(ADDRESS(K55,1,1,1,"medidas Unfors"),1),INDIRECT(ADDRESS(K55,1,1,1,"medidas Fluke"),1)),"")</f>
        <v/>
      </c>
      <c r="P55" s="306" t="str">
        <f ca="1">IFERROR(IF(Cabeçalho!$G$28="Unfors",INDIRECT(ADDRESS(K55,5,1,1,"medidas Unfors"),1),INDIRECT(ADDRESS(K55,5,1,1,"medidas Fluke"),1)/1000),"")</f>
        <v/>
      </c>
      <c r="Q55" s="306" t="str">
        <f ca="1">IFERROR(IF(Cabeçalho!$G$28="Unfors",(INDIRECT(ADDRESS(K55,3,1,1,"medidas Unfors"),1))/J55,(INDIRECT(ADDRESS(K55,4,1,1,"medidas Fluke"),1))/J55/1000),"")</f>
        <v/>
      </c>
      <c r="R55" s="305"/>
      <c r="W55" s="305"/>
      <c r="X55" s="305"/>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row>
    <row r="56" spans="1:49" s="305" customFormat="1" ht="15.75" thickBot="1" x14ac:dyDescent="0.3">
      <c r="A56" s="510"/>
      <c r="B56" s="510"/>
      <c r="C56" s="511"/>
      <c r="D56" s="512"/>
      <c r="F56" s="466"/>
      <c r="G56" s="306"/>
      <c r="H56" s="306"/>
      <c r="J56" s="510"/>
      <c r="K56" s="510"/>
      <c r="L56" s="511"/>
      <c r="M56" s="512"/>
      <c r="O56" s="466"/>
      <c r="P56" s="306"/>
      <c r="Q56" s="306"/>
    </row>
    <row r="57" spans="1:49" s="305" customFormat="1" x14ac:dyDescent="0.25">
      <c r="A57" s="513" t="str">
        <f>C11</f>
        <v>mA</v>
      </c>
      <c r="B57" s="513" t="s">
        <v>370</v>
      </c>
      <c r="C57" s="514" t="s">
        <v>8</v>
      </c>
      <c r="D57" s="880" t="s">
        <v>865</v>
      </c>
      <c r="E57" s="2423" t="s">
        <v>49</v>
      </c>
      <c r="F57" s="2424"/>
      <c r="G57" s="515" t="e">
        <f ca="1">((LARGE(H49:H55,1)-SMALL(H49:H55,1))/((LARGE(H49:H55,1)+SMALL(H49:H55,1)))*100)</f>
        <v>#NUM!</v>
      </c>
      <c r="H57" s="516" t="s">
        <v>10</v>
      </c>
      <c r="J57" s="510"/>
      <c r="K57" s="510"/>
      <c r="L57" s="511"/>
      <c r="M57" s="512"/>
      <c r="O57" s="466"/>
      <c r="P57" s="306"/>
      <c r="Q57" s="306"/>
    </row>
    <row r="58" spans="1:49" s="305" customFormat="1" x14ac:dyDescent="0.25">
      <c r="A58" s="446" t="str">
        <f>IF(B28=0,"",B28)</f>
        <v/>
      </c>
      <c r="B58" s="446" t="str">
        <f ca="1">B36</f>
        <v/>
      </c>
      <c r="C58" s="446" t="str">
        <f ca="1">B35</f>
        <v/>
      </c>
      <c r="D58" s="881">
        <f>B29</f>
        <v>0</v>
      </c>
      <c r="E58" s="2450" t="s">
        <v>54</v>
      </c>
      <c r="F58" s="2451"/>
      <c r="G58" s="517" t="e">
        <f ca="1">((LARGE(Q49:Q55,1)-SMALL(Q49:Q55,1))/((LARGE(Q49:Q55,1)+SMALL(Q49:Q55,1)))*100)</f>
        <v>#NUM!</v>
      </c>
      <c r="H58" s="518" t="s">
        <v>10</v>
      </c>
      <c r="J58" s="510"/>
      <c r="K58" s="510"/>
      <c r="L58" s="511"/>
      <c r="M58" s="512"/>
      <c r="O58" s="466"/>
      <c r="P58" s="306"/>
      <c r="Q58" s="306"/>
    </row>
    <row r="59" spans="1:49" s="305" customFormat="1" ht="15.75" thickBot="1" x14ac:dyDescent="0.3">
      <c r="A59" s="446" t="str">
        <f>IF(H28=0,"",H28)</f>
        <v/>
      </c>
      <c r="B59" s="446" t="str">
        <f ca="1">H36</f>
        <v/>
      </c>
      <c r="C59" s="446" t="str">
        <f ca="1">H35</f>
        <v/>
      </c>
      <c r="D59" s="881">
        <f>H29</f>
        <v>0</v>
      </c>
      <c r="E59" s="2452" t="s">
        <v>302</v>
      </c>
      <c r="F59" s="2453"/>
      <c r="G59" s="519" t="str">
        <f ca="1">IF(COUNT(B58:B64)&lt;2,"",((LARGE(B58:B64,1)-SMALL(B58:B64,1))/((LARGE(B58:B64,1)+SMALL(B58:B64,1)))*100))</f>
        <v/>
      </c>
      <c r="H59" s="520" t="s">
        <v>10</v>
      </c>
      <c r="J59" s="510"/>
      <c r="K59" s="510"/>
      <c r="L59" s="511"/>
      <c r="M59" s="512"/>
      <c r="O59" s="466"/>
      <c r="P59" s="306"/>
      <c r="Q59" s="306"/>
    </row>
    <row r="60" spans="1:49" s="305" customFormat="1" x14ac:dyDescent="0.25">
      <c r="A60" s="305" t="str">
        <f>IF(N28=0,"",N28)</f>
        <v/>
      </c>
      <c r="B60" s="305" t="str">
        <f ca="1">N36</f>
        <v/>
      </c>
      <c r="C60" s="305" t="str">
        <f ca="1">N35</f>
        <v/>
      </c>
      <c r="D60" s="548">
        <f>N29</f>
        <v>0</v>
      </c>
      <c r="E60" s="521"/>
      <c r="F60" s="521"/>
      <c r="H60" s="521"/>
      <c r="J60" s="510"/>
      <c r="K60" s="510"/>
      <c r="L60" s="511"/>
      <c r="M60" s="512"/>
      <c r="O60" s="466"/>
      <c r="P60" s="306"/>
      <c r="Q60" s="306"/>
    </row>
    <row r="61" spans="1:49" s="305" customFormat="1" x14ac:dyDescent="0.25">
      <c r="A61" s="305" t="str">
        <f>IF(T28=0,"",T28)</f>
        <v/>
      </c>
      <c r="B61" s="305" t="str">
        <f ca="1">T36</f>
        <v/>
      </c>
      <c r="C61" s="305" t="str">
        <f ca="1">T35</f>
        <v/>
      </c>
      <c r="D61" s="548">
        <f>T29</f>
        <v>0</v>
      </c>
      <c r="E61" s="522" t="s">
        <v>664</v>
      </c>
      <c r="F61" s="521"/>
      <c r="G61" s="305" t="str">
        <f ca="1">IF(A48&lt;&gt;"t selecionado","Ok",IF(OR(COUNTIF(E49:E55,"Ruim")&gt;0,'LAUDO convencional'!L121&gt;0),"Ruim","Ok"))</f>
        <v>Ok</v>
      </c>
      <c r="J61" s="510"/>
      <c r="K61" s="510"/>
      <c r="L61" s="511"/>
      <c r="M61" s="512"/>
      <c r="O61" s="466"/>
      <c r="P61" s="306"/>
      <c r="Q61" s="306"/>
    </row>
    <row r="62" spans="1:49" s="305" customFormat="1" x14ac:dyDescent="0.25">
      <c r="A62" s="305" t="str">
        <f>IF(Z28=0,"",Z28)</f>
        <v/>
      </c>
      <c r="B62" s="305" t="str">
        <f ca="1">Z36</f>
        <v/>
      </c>
      <c r="C62" s="305" t="str">
        <f ca="1">Z35</f>
        <v/>
      </c>
      <c r="D62" s="548">
        <f>Z29</f>
        <v>0</v>
      </c>
      <c r="E62" s="522" t="s">
        <v>14</v>
      </c>
      <c r="F62" s="521"/>
      <c r="G62" s="305" t="str">
        <f ca="1">IF(B44&lt;&gt;"Aceitável","Ruim","Ok")</f>
        <v>Ok</v>
      </c>
      <c r="J62" s="510"/>
      <c r="K62" s="510"/>
      <c r="L62" s="511"/>
      <c r="M62" s="512"/>
      <c r="O62" s="466"/>
      <c r="P62" s="306"/>
      <c r="Q62" s="306"/>
    </row>
    <row r="63" spans="1:49" s="305" customFormat="1" x14ac:dyDescent="0.25">
      <c r="A63" s="305" t="str">
        <f>IF(AF28=0,"",AF28)</f>
        <v/>
      </c>
      <c r="B63" s="305" t="str">
        <f ca="1">AF36</f>
        <v/>
      </c>
      <c r="C63" s="305" t="str">
        <f ca="1">AF35</f>
        <v/>
      </c>
      <c r="D63" s="548">
        <f>AF29</f>
        <v>0</v>
      </c>
      <c r="E63" s="522" t="s">
        <v>665</v>
      </c>
      <c r="F63" s="521"/>
      <c r="G63" s="305" t="str">
        <f ca="1">IF(OR(IFERROR((LARGE(F49:F55,1)-SMALL(F49:F55,1))/AVERAGE(F49:F55),0)&gt;0.1,IFERROR((LARGE(O49:O55,1)-SMALL(O49:O55,1))/AVERAGE(O49:O55),0)&gt;0.1),"Ruim","Ok")</f>
        <v>Ok</v>
      </c>
      <c r="J63" s="510"/>
      <c r="K63" s="510"/>
      <c r="L63" s="511"/>
      <c r="M63" s="512"/>
      <c r="O63" s="466"/>
    </row>
    <row r="64" spans="1:49" s="305" customFormat="1" x14ac:dyDescent="0.25">
      <c r="A64" s="305" t="str">
        <f>IF(AL28=0,"",AL28)</f>
        <v/>
      </c>
      <c r="B64" s="305" t="str">
        <f ca="1">AL36</f>
        <v/>
      </c>
      <c r="C64" s="305" t="str">
        <f ca="1">AL35</f>
        <v/>
      </c>
      <c r="D64" s="548">
        <f>AL29</f>
        <v>0</v>
      </c>
      <c r="E64" s="522" t="s">
        <v>666</v>
      </c>
      <c r="F64" s="523"/>
      <c r="G64" s="305" t="str">
        <f ca="1">IF(OR(IFERROR((LARGE(G49:G55,1)-SMALL(G49:G55,1))/AVERAGE(G49:G55),0)&gt;0.2,IFERROR((LARGE(P49:P55,1)-SMALL(P49:P55,1))/AVERAGE(P49:P55),0)&gt;0.2),"Ruim","Ok")</f>
        <v>Ok</v>
      </c>
      <c r="J64" s="510"/>
      <c r="K64" s="510"/>
      <c r="L64" s="511"/>
      <c r="M64" s="512"/>
      <c r="O64" s="466"/>
    </row>
    <row r="65" spans="1:49" s="305" customFormat="1" x14ac:dyDescent="0.25">
      <c r="A65" s="510"/>
      <c r="B65" s="510"/>
      <c r="C65" s="511"/>
      <c r="D65" s="512"/>
      <c r="F65" s="466"/>
      <c r="G65" s="306"/>
      <c r="H65" s="306"/>
      <c r="J65" s="510"/>
      <c r="K65" s="510"/>
      <c r="L65" s="511"/>
      <c r="M65" s="512"/>
      <c r="O65" s="466"/>
      <c r="P65" s="306"/>
      <c r="Q65" s="306"/>
    </row>
    <row r="66" spans="1:49" s="305" customFormat="1" ht="15.75" thickBot="1" x14ac:dyDescent="0.3">
      <c r="A66" s="510"/>
      <c r="B66" s="510"/>
      <c r="C66" s="511"/>
      <c r="D66" s="512"/>
      <c r="F66" s="466"/>
      <c r="G66" s="306"/>
      <c r="H66" s="306"/>
      <c r="J66" s="510"/>
      <c r="K66" s="510"/>
      <c r="L66" s="511"/>
      <c r="M66" s="512"/>
      <c r="O66" s="466"/>
      <c r="P66" s="306"/>
      <c r="Q66" s="306"/>
    </row>
    <row r="67" spans="1:49" s="291" customFormat="1" ht="15.75" thickBot="1" x14ac:dyDescent="0.3">
      <c r="A67" s="2420" t="s">
        <v>6</v>
      </c>
      <c r="B67" s="2421"/>
      <c r="C67" s="2421"/>
      <c r="D67" s="2422"/>
      <c r="E67" s="305"/>
      <c r="F67" s="305"/>
      <c r="G67" s="305"/>
      <c r="H67" s="305"/>
      <c r="I67" s="305"/>
      <c r="J67" s="305"/>
      <c r="K67" s="305"/>
      <c r="L67" s="305"/>
      <c r="M67" s="305"/>
      <c r="N67" s="305"/>
      <c r="O67" s="305"/>
      <c r="P67" s="305"/>
      <c r="Q67" s="305"/>
      <c r="R67" s="305"/>
      <c r="S67" s="305"/>
      <c r="T67" s="305"/>
      <c r="U67" s="305"/>
      <c r="V67" s="305"/>
      <c r="W67" s="305"/>
      <c r="X67" s="305"/>
      <c r="Y67" s="305"/>
      <c r="Z67" s="305"/>
      <c r="AA67" s="305"/>
      <c r="AB67" s="305"/>
      <c r="AC67" s="305"/>
      <c r="AD67" s="305"/>
      <c r="AE67" s="305"/>
      <c r="AF67" s="305"/>
      <c r="AG67" s="305"/>
      <c r="AH67" s="305"/>
      <c r="AI67" s="305"/>
      <c r="AJ67" s="305"/>
      <c r="AK67" s="305"/>
      <c r="AL67" s="305"/>
      <c r="AM67" s="305"/>
      <c r="AN67" s="305"/>
      <c r="AO67" s="305"/>
      <c r="AP67" s="305"/>
      <c r="AQ67" s="305"/>
      <c r="AR67" s="305"/>
      <c r="AS67" s="305"/>
      <c r="AT67" s="305"/>
      <c r="AU67" s="305"/>
      <c r="AV67" s="305"/>
      <c r="AW67" s="305"/>
    </row>
    <row r="68" spans="1:49" s="291" customFormat="1" ht="15.75" thickBot="1" x14ac:dyDescent="0.3">
      <c r="A68" s="404" t="s">
        <v>5</v>
      </c>
      <c r="B68" s="403" t="s">
        <v>0</v>
      </c>
      <c r="C68" s="403" t="s">
        <v>2</v>
      </c>
      <c r="D68" s="403" t="s">
        <v>3</v>
      </c>
      <c r="E68" s="307"/>
      <c r="F68" s="307"/>
      <c r="G68" s="307"/>
      <c r="H68" s="307"/>
      <c r="I68" s="305"/>
      <c r="J68" s="305"/>
      <c r="K68" s="305"/>
      <c r="L68" s="305"/>
      <c r="M68" s="305"/>
      <c r="N68" s="305"/>
      <c r="O68" s="305"/>
      <c r="P68" s="305"/>
      <c r="Q68" s="305"/>
      <c r="R68" s="305"/>
      <c r="S68" s="305"/>
      <c r="T68" s="305"/>
      <c r="U68" s="305"/>
      <c r="V68" s="305"/>
      <c r="W68" s="305"/>
      <c r="X68" s="305"/>
      <c r="Y68" s="305"/>
      <c r="Z68" s="305"/>
      <c r="AA68" s="305"/>
      <c r="AB68" s="305"/>
      <c r="AC68" s="305"/>
      <c r="AD68" s="305"/>
      <c r="AE68" s="305"/>
      <c r="AF68" s="305"/>
      <c r="AG68" s="305"/>
      <c r="AH68" s="305"/>
      <c r="AI68" s="305"/>
      <c r="AJ68" s="305"/>
      <c r="AK68" s="305"/>
      <c r="AL68" s="305"/>
      <c r="AM68" s="305"/>
      <c r="AN68" s="305"/>
      <c r="AO68" s="305"/>
      <c r="AP68" s="305"/>
      <c r="AQ68" s="305"/>
      <c r="AR68" s="305"/>
      <c r="AS68" s="305"/>
      <c r="AT68" s="305"/>
      <c r="AU68" s="305"/>
      <c r="AV68" s="305"/>
      <c r="AW68" s="305"/>
    </row>
    <row r="69" spans="1:49" s="291" customFormat="1" x14ac:dyDescent="0.25">
      <c r="A69" s="184"/>
      <c r="B69" s="524" t="str">
        <f ca="1">IFERROR(IF(Cabeçalho!$G$28="Unfors",INDIRECT(ADDRESS(A69,1,1,1,"medidas Unfors"),1),INDIRECT(ADDRESS(A69,1,1,1,"medidas Fluke"),1)),"")</f>
        <v/>
      </c>
      <c r="C69" s="525" t="str">
        <f ca="1">IFERROR(IF(Cabeçalho!$G$28="Unfors",INDIRECT(ADDRESS(A69,5,1,1,"medidas Unfors"),1),INDIRECT(ADDRESS(A69,5,1,1,"medidas Fluke"),1)/1000),"")</f>
        <v/>
      </c>
      <c r="D69" s="526" t="str">
        <f ca="1">IFERROR(IF(Cabeçalho!$G$28="Unfors",INDIRECT(ADDRESS(A69,7,1,1,"medidas Unfors"),1),INDIRECT(ADDRESS(A69,6,1,1,"medidas Fluke"),1)/1000),"")</f>
        <v/>
      </c>
      <c r="E69" s="466"/>
      <c r="F69" s="307"/>
      <c r="G69" s="307"/>
      <c r="H69" s="307"/>
      <c r="I69" s="305"/>
      <c r="J69" s="305"/>
      <c r="K69" s="305"/>
      <c r="L69" s="305"/>
      <c r="M69" s="305"/>
      <c r="N69" s="305"/>
      <c r="O69" s="305"/>
      <c r="P69" s="305"/>
      <c r="Q69" s="305"/>
      <c r="R69" s="305"/>
      <c r="S69" s="305"/>
      <c r="T69" s="305"/>
      <c r="U69" s="305"/>
      <c r="V69" s="305"/>
      <c r="W69" s="305"/>
      <c r="X69" s="305"/>
      <c r="Y69" s="305"/>
      <c r="Z69" s="305"/>
      <c r="AA69" s="305"/>
      <c r="AB69" s="305"/>
      <c r="AC69" s="305"/>
      <c r="AD69" s="305"/>
      <c r="AE69" s="305"/>
      <c r="AF69" s="305"/>
      <c r="AG69" s="305"/>
      <c r="AH69" s="305"/>
      <c r="AI69" s="305"/>
      <c r="AJ69" s="305"/>
      <c r="AK69" s="305"/>
      <c r="AL69" s="305"/>
      <c r="AM69" s="305"/>
      <c r="AN69" s="305"/>
      <c r="AO69" s="305"/>
      <c r="AP69" s="305"/>
      <c r="AQ69" s="305"/>
      <c r="AR69" s="305"/>
      <c r="AS69" s="305"/>
      <c r="AT69" s="305"/>
      <c r="AU69" s="305"/>
      <c r="AV69" s="305"/>
      <c r="AW69" s="305"/>
    </row>
    <row r="70" spans="1:49" s="291" customFormat="1" x14ac:dyDescent="0.25">
      <c r="A70" s="183"/>
      <c r="B70" s="527" t="str">
        <f ca="1">IFERROR(IF(Cabeçalho!$G$28="Unfors",INDIRECT(ADDRESS(A70,1,1,1,"medidas Unfors"),1),INDIRECT(ADDRESS(A70,1,1,1,"medidas Fluke"),1)),"")</f>
        <v/>
      </c>
      <c r="C70" s="528" t="str">
        <f ca="1">IFERROR(IF(Cabeçalho!$G$28="Unfors",INDIRECT(ADDRESS(A70,5,1,1,"medidas Unfors"),1),INDIRECT(ADDRESS(A70,5,1,1,"medidas Fluke"),1)/1000),"")</f>
        <v/>
      </c>
      <c r="D70" s="529" t="str">
        <f ca="1">IFERROR(IF(Cabeçalho!$G$28="Unfors",INDIRECT(ADDRESS(A70,7,1,1,"medidas Unfors"),1),INDIRECT(ADDRESS(A70,6,1,1,"medidas Fluke"),1)/1000),"")</f>
        <v/>
      </c>
      <c r="E70" s="466"/>
      <c r="F70" s="305"/>
      <c r="G70" s="305"/>
      <c r="H70" s="305"/>
      <c r="I70" s="305"/>
      <c r="J70" s="305"/>
      <c r="K70" s="305"/>
      <c r="L70" s="305"/>
      <c r="M70" s="305"/>
      <c r="N70" s="305"/>
      <c r="O70" s="305"/>
      <c r="P70" s="305"/>
      <c r="Q70" s="305"/>
      <c r="R70" s="305"/>
      <c r="S70" s="305"/>
      <c r="T70" s="305"/>
      <c r="U70" s="305"/>
      <c r="V70" s="305"/>
      <c r="W70" s="305"/>
      <c r="X70" s="305"/>
      <c r="Y70" s="305"/>
      <c r="Z70" s="305"/>
      <c r="AA70" s="305"/>
      <c r="AB70" s="305"/>
      <c r="AC70" s="305"/>
      <c r="AD70" s="305"/>
      <c r="AE70" s="305"/>
      <c r="AF70" s="305"/>
      <c r="AG70" s="305"/>
      <c r="AH70" s="305"/>
      <c r="AI70" s="305"/>
      <c r="AJ70" s="305"/>
      <c r="AK70" s="305"/>
      <c r="AL70" s="305"/>
      <c r="AM70" s="305"/>
      <c r="AN70" s="305"/>
      <c r="AO70" s="305"/>
      <c r="AP70" s="305"/>
      <c r="AQ70" s="305"/>
      <c r="AR70" s="305"/>
      <c r="AS70" s="305"/>
      <c r="AT70" s="305"/>
      <c r="AU70" s="305"/>
      <c r="AV70" s="305"/>
      <c r="AW70" s="305"/>
    </row>
    <row r="71" spans="1:49" s="291" customFormat="1" x14ac:dyDescent="0.25">
      <c r="A71" s="183"/>
      <c r="B71" s="527" t="str">
        <f ca="1">IFERROR(IF(Cabeçalho!$G$28="Unfors",INDIRECT(ADDRESS(A71,1,1,1,"medidas Unfors"),1),INDIRECT(ADDRESS(A71,1,1,1,"medidas Fluke"),1)),"")</f>
        <v/>
      </c>
      <c r="C71" s="528" t="str">
        <f ca="1">IFERROR(IF(Cabeçalho!$G$28="Unfors",INDIRECT(ADDRESS(A71,5,1,1,"medidas Unfors"),1),INDIRECT(ADDRESS(A71,5,1,1,"medidas Fluke"),1)/1000),"")</f>
        <v/>
      </c>
      <c r="D71" s="529" t="str">
        <f ca="1">IFERROR(IF(Cabeçalho!$G$28="Unfors",INDIRECT(ADDRESS(A71,7,1,1,"medidas Unfors"),1),INDIRECT(ADDRESS(A71,6,1,1,"medidas Fluke"),1)/1000),"")</f>
        <v/>
      </c>
      <c r="E71" s="466"/>
      <c r="F71" s="305"/>
      <c r="G71" s="305"/>
      <c r="H71" s="305"/>
      <c r="I71" s="305"/>
      <c r="J71" s="305"/>
      <c r="K71" s="305"/>
      <c r="L71" s="305"/>
      <c r="M71" s="305"/>
      <c r="N71" s="305"/>
      <c r="O71" s="305"/>
      <c r="P71" s="305"/>
      <c r="Q71" s="305"/>
      <c r="R71" s="305"/>
      <c r="S71" s="305"/>
      <c r="T71" s="305"/>
      <c r="U71" s="305"/>
      <c r="V71" s="305"/>
      <c r="W71" s="305"/>
      <c r="X71" s="305"/>
      <c r="Y71" s="305"/>
      <c r="Z71" s="305"/>
      <c r="AA71" s="305"/>
      <c r="AB71" s="305"/>
      <c r="AC71" s="305"/>
      <c r="AD71" s="305"/>
      <c r="AE71" s="305"/>
      <c r="AF71" s="305"/>
      <c r="AG71" s="305"/>
      <c r="AH71" s="305"/>
      <c r="AI71" s="305"/>
      <c r="AJ71" s="305"/>
      <c r="AK71" s="305"/>
      <c r="AL71" s="305"/>
      <c r="AM71" s="305"/>
      <c r="AN71" s="305"/>
      <c r="AO71" s="305"/>
      <c r="AP71" s="305"/>
      <c r="AQ71" s="305"/>
      <c r="AR71" s="305"/>
      <c r="AS71" s="305"/>
      <c r="AT71" s="305"/>
      <c r="AU71" s="305"/>
      <c r="AV71" s="305"/>
      <c r="AW71" s="305"/>
    </row>
    <row r="72" spans="1:49" s="291" customFormat="1" x14ac:dyDescent="0.25">
      <c r="A72" s="183"/>
      <c r="B72" s="527" t="str">
        <f ca="1">IFERROR(IF(Cabeçalho!$G$28="Unfors",INDIRECT(ADDRESS(A72,1,1,1,"medidas Unfors"),1),INDIRECT(ADDRESS(A72,1,1,1,"medidas Fluke"),1)),"")</f>
        <v/>
      </c>
      <c r="C72" s="528" t="str">
        <f ca="1">IFERROR(IF(Cabeçalho!$G$28="Unfors",INDIRECT(ADDRESS(A72,5,1,1,"medidas Unfors"),1),INDIRECT(ADDRESS(A72,5,1,1,"medidas Fluke"),1)/1000),"")</f>
        <v/>
      </c>
      <c r="D72" s="529" t="str">
        <f ca="1">IFERROR(IF(Cabeçalho!$G$28="Unfors",INDIRECT(ADDRESS(A72,7,1,1,"medidas Unfors"),1),INDIRECT(ADDRESS(A72,6,1,1,"medidas Fluke"),1)/1000),"")</f>
        <v/>
      </c>
      <c r="E72" s="466"/>
      <c r="F72" s="305"/>
      <c r="G72" s="305"/>
      <c r="H72" s="305"/>
      <c r="I72" s="305"/>
      <c r="J72" s="305"/>
      <c r="K72" s="305"/>
      <c r="L72" s="305"/>
      <c r="M72" s="305"/>
      <c r="N72" s="305"/>
      <c r="O72" s="305"/>
      <c r="P72" s="305"/>
      <c r="Q72" s="305"/>
      <c r="R72" s="305"/>
      <c r="S72" s="305"/>
      <c r="T72" s="305"/>
      <c r="U72" s="305"/>
      <c r="V72" s="305"/>
      <c r="W72" s="305"/>
      <c r="X72" s="305"/>
      <c r="Y72" s="305"/>
      <c r="Z72" s="305"/>
      <c r="AA72" s="305"/>
      <c r="AB72" s="305"/>
      <c r="AC72" s="305"/>
      <c r="AD72" s="305"/>
      <c r="AE72" s="305"/>
      <c r="AF72" s="305"/>
      <c r="AG72" s="305"/>
      <c r="AH72" s="305"/>
      <c r="AI72" s="305"/>
      <c r="AJ72" s="305"/>
      <c r="AK72" s="305"/>
      <c r="AL72" s="305"/>
      <c r="AM72" s="305"/>
      <c r="AN72" s="305"/>
      <c r="AO72" s="305"/>
      <c r="AP72" s="305"/>
      <c r="AQ72" s="305"/>
      <c r="AR72" s="305"/>
      <c r="AS72" s="305"/>
      <c r="AT72" s="305"/>
      <c r="AU72" s="305"/>
      <c r="AV72" s="305"/>
      <c r="AW72" s="305"/>
    </row>
    <row r="73" spans="1:49" s="291" customFormat="1" ht="15.75" thickBot="1" x14ac:dyDescent="0.3">
      <c r="A73" s="185"/>
      <c r="B73" s="530" t="str">
        <f ca="1">IFERROR(IF(Cabeçalho!$G$28="Unfors",INDIRECT(ADDRESS(A73,1,1,1,"medidas Unfors"),1),INDIRECT(ADDRESS(A73,1,1,1,"medidas Fluke"),1)),"")</f>
        <v/>
      </c>
      <c r="C73" s="531" t="str">
        <f ca="1">IFERROR(IF(Cabeçalho!$G$28="Unfors",INDIRECT(ADDRESS(A73,5,1,1,"medidas Unfors"),1),INDIRECT(ADDRESS(A73,5,1,1,"medidas Fluke"),1)/1000),"")</f>
        <v/>
      </c>
      <c r="D73" s="532" t="str">
        <f ca="1">IFERROR(IF(Cabeçalho!$G$28="Unfors",INDIRECT(ADDRESS(A73,7,1,1,"medidas Unfors"),1),INDIRECT(ADDRESS(A73,6,1,1,"medidas Fluke"),1)/1000),"")</f>
        <v/>
      </c>
      <c r="E73" s="466"/>
      <c r="F73" s="305"/>
      <c r="G73" s="305"/>
      <c r="H73" s="305"/>
      <c r="I73" s="305"/>
      <c r="J73" s="305"/>
      <c r="K73" s="305"/>
      <c r="L73" s="305"/>
      <c r="M73" s="305"/>
      <c r="N73" s="305"/>
      <c r="O73" s="305"/>
      <c r="P73" s="305"/>
      <c r="Q73" s="305"/>
      <c r="R73" s="305"/>
      <c r="S73" s="305"/>
      <c r="T73" s="305"/>
      <c r="U73" s="305"/>
      <c r="V73" s="305"/>
      <c r="W73" s="305"/>
      <c r="X73" s="305"/>
      <c r="Y73" s="305"/>
      <c r="Z73" s="305"/>
      <c r="AA73" s="305"/>
      <c r="AB73" s="305"/>
      <c r="AC73" s="305"/>
      <c r="AD73" s="305"/>
      <c r="AE73" s="305"/>
      <c r="AF73" s="305"/>
      <c r="AG73" s="305"/>
      <c r="AH73" s="305"/>
      <c r="AI73" s="305"/>
      <c r="AJ73" s="305"/>
      <c r="AK73" s="305"/>
      <c r="AL73" s="305"/>
      <c r="AM73" s="305"/>
      <c r="AN73" s="305"/>
      <c r="AO73" s="305"/>
      <c r="AP73" s="305"/>
      <c r="AQ73" s="305"/>
      <c r="AR73" s="305"/>
      <c r="AS73" s="305"/>
      <c r="AT73" s="305"/>
      <c r="AU73" s="305"/>
      <c r="AV73" s="305"/>
      <c r="AW73" s="305"/>
    </row>
    <row r="74" spans="1:49" s="291" customFormat="1" ht="15.75" thickBot="1" x14ac:dyDescent="0.3">
      <c r="A74" s="533" t="s">
        <v>6</v>
      </c>
      <c r="B74" s="330" t="e">
        <f ca="1">(LARGE(B69:B73,1)-SMALL(B69:B73,1))/AVERAGE(B69:B73)*100</f>
        <v>#NUM!</v>
      </c>
      <c r="C74" s="330" t="e">
        <f ca="1">(LARGE(C69:C73,1)-SMALL(C69:C73,1))/AVERAGE(C69:C73)*100</f>
        <v>#NUM!</v>
      </c>
      <c r="D74" s="534" t="e">
        <f ca="1">(LARGE(D69:D73,1)-SMALL(D69:D73,1))/AVERAGE(D69:D73)*100</f>
        <v>#NUM!</v>
      </c>
      <c r="E74" s="535" t="s">
        <v>10</v>
      </c>
      <c r="F74" s="305"/>
      <c r="G74" s="305"/>
      <c r="H74" s="305"/>
      <c r="I74" s="305"/>
      <c r="J74" s="305"/>
      <c r="K74" s="305"/>
      <c r="L74" s="305"/>
      <c r="M74" s="305"/>
      <c r="N74" s="305"/>
      <c r="O74" s="305"/>
      <c r="P74" s="305"/>
      <c r="Q74" s="305"/>
      <c r="R74" s="305"/>
      <c r="S74" s="305"/>
      <c r="T74" s="305"/>
      <c r="U74" s="305"/>
      <c r="V74" s="305"/>
      <c r="W74" s="305"/>
      <c r="X74" s="305"/>
      <c r="Y74" s="305"/>
      <c r="Z74" s="305"/>
      <c r="AA74" s="305"/>
      <c r="AB74" s="305"/>
      <c r="AC74" s="305"/>
      <c r="AD74" s="305"/>
      <c r="AE74" s="305"/>
      <c r="AF74" s="305"/>
      <c r="AG74" s="305"/>
      <c r="AH74" s="305"/>
      <c r="AI74" s="305"/>
      <c r="AJ74" s="305"/>
      <c r="AK74" s="305"/>
      <c r="AL74" s="305"/>
      <c r="AM74" s="305"/>
      <c r="AN74" s="305"/>
      <c r="AO74" s="305"/>
      <c r="AP74" s="305"/>
      <c r="AQ74" s="305"/>
      <c r="AR74" s="305"/>
      <c r="AS74" s="305"/>
      <c r="AT74" s="305"/>
      <c r="AU74" s="305"/>
      <c r="AV74" s="305"/>
      <c r="AW74" s="305"/>
    </row>
    <row r="75" spans="1:49" s="305" customFormat="1" x14ac:dyDescent="0.25"/>
    <row r="76" spans="1:49" s="305" customFormat="1" ht="15.75" thickBot="1" x14ac:dyDescent="0.3">
      <c r="B76" s="510"/>
      <c r="C76" s="517"/>
      <c r="D76" s="537"/>
      <c r="F76" s="517"/>
      <c r="G76" s="537"/>
      <c r="I76" s="517"/>
      <c r="J76" s="537"/>
      <c r="M76" s="517"/>
      <c r="N76" s="537"/>
      <c r="P76" s="517"/>
      <c r="Q76" s="537"/>
      <c r="S76" s="517"/>
      <c r="T76" s="537"/>
    </row>
    <row r="77" spans="1:49" s="305" customFormat="1" ht="15.75" thickBot="1" x14ac:dyDescent="0.3">
      <c r="A77" s="2420" t="s">
        <v>1034</v>
      </c>
      <c r="B77" s="2421"/>
      <c r="C77" s="2421"/>
      <c r="D77" s="2421"/>
      <c r="E77" s="2421"/>
      <c r="F77" s="2421"/>
      <c r="G77" s="2421"/>
      <c r="H77" s="2422"/>
      <c r="I77" s="517"/>
      <c r="J77" s="537"/>
      <c r="M77" s="517"/>
      <c r="N77" s="537"/>
      <c r="P77" s="517"/>
      <c r="Q77" s="537"/>
      <c r="S77" s="517"/>
      <c r="T77" s="537"/>
    </row>
    <row r="78" spans="1:49" x14ac:dyDescent="0.25">
      <c r="A78" s="917"/>
      <c r="B78" s="918"/>
      <c r="C78" s="918"/>
      <c r="D78" s="918"/>
      <c r="E78" s="918"/>
      <c r="F78" s="918"/>
      <c r="G78" s="918"/>
      <c r="H78" s="918"/>
      <c r="I78" s="517"/>
      <c r="J78" s="896"/>
      <c r="M78" s="517"/>
      <c r="N78" s="896"/>
      <c r="P78" s="517"/>
      <c r="Q78" s="896"/>
      <c r="S78" s="517"/>
      <c r="T78" s="896"/>
    </row>
    <row r="79" spans="1:49" x14ac:dyDescent="0.25">
      <c r="A79" s="820" t="s">
        <v>1863</v>
      </c>
      <c r="C79" s="1058" t="str">
        <f>IF(Cabeçalho!G20="DR","S","N")</f>
        <v>N</v>
      </c>
      <c r="D79" s="918"/>
      <c r="E79" s="918"/>
      <c r="F79" s="918"/>
      <c r="G79" s="1816" t="s">
        <v>1913</v>
      </c>
      <c r="H79" s="834">
        <v>100</v>
      </c>
      <c r="I79" s="1817" t="s">
        <v>12</v>
      </c>
      <c r="J79" s="896"/>
      <c r="M79" s="517"/>
      <c r="N79" s="896"/>
      <c r="P79" s="517"/>
      <c r="Q79" s="896"/>
      <c r="S79" s="517"/>
      <c r="T79" s="896"/>
    </row>
    <row r="80" spans="1:49" x14ac:dyDescent="0.25">
      <c r="A80" s="919" t="s">
        <v>1279</v>
      </c>
      <c r="B80" s="898"/>
      <c r="C80" s="918"/>
      <c r="D80" s="918"/>
      <c r="E80" s="918"/>
      <c r="F80" s="918"/>
      <c r="G80" s="1816" t="s">
        <v>1914</v>
      </c>
      <c r="H80" s="834">
        <v>100</v>
      </c>
      <c r="I80" s="1817" t="s">
        <v>12</v>
      </c>
      <c r="J80" s="896"/>
      <c r="M80" s="517"/>
      <c r="N80" s="896"/>
      <c r="P80" s="517"/>
      <c r="Q80" s="896"/>
      <c r="S80" s="517"/>
      <c r="T80" s="896"/>
    </row>
    <row r="81" spans="1:49" x14ac:dyDescent="0.25">
      <c r="A81" s="1110" t="s">
        <v>199</v>
      </c>
      <c r="B81" s="1110">
        <v>1</v>
      </c>
      <c r="C81" s="1110">
        <v>10</v>
      </c>
      <c r="D81" s="1110">
        <v>50</v>
      </c>
      <c r="E81" s="1058"/>
      <c r="F81" s="918"/>
      <c r="G81" s="918"/>
      <c r="H81" s="918"/>
      <c r="I81" s="517"/>
      <c r="J81" s="896"/>
      <c r="M81" s="517"/>
      <c r="N81" s="896"/>
      <c r="P81" s="517"/>
      <c r="Q81" s="896"/>
      <c r="S81" s="517"/>
      <c r="T81" s="896"/>
    </row>
    <row r="82" spans="1:49" s="305" customFormat="1" x14ac:dyDescent="0.25">
      <c r="A82" s="615" t="s">
        <v>78</v>
      </c>
      <c r="B82" s="538" t="e">
        <f ca="1">IF(Cabeçalho!$G$28="Unfors",INDIRECT(ADDRESS(B83,3,1,1,"medidas Unfors"),1),INDIRECT(ADDRESS(B83,4,1,1,"medidas Fluke"),1)/1000)</f>
        <v>#VALUE!</v>
      </c>
      <c r="C82" s="538" t="e">
        <f ca="1">IF(Cabeçalho!$G$28="Unfors",INDIRECT(ADDRESS(C83,3,1,1,"medidas Unfors"),1),INDIRECT(ADDRESS(C83,4,1,1,"medidas Fluke"),1)/1000)</f>
        <v>#VALUE!</v>
      </c>
      <c r="D82" s="538" t="e">
        <f ca="1">IF(Cabeçalho!$G$28="Unfors",INDIRECT(ADDRESS(D83,3,1,1,"medidas Unfors"),1),INDIRECT(ADDRESS(D83,4,1,1,"medidas Fluke"),1)/1000)</f>
        <v>#VALUE!</v>
      </c>
      <c r="E82" s="538" t="e">
        <f ca="1">IF(Cabeçalho!$G$28="Unfors",INDIRECT(ADDRESS(E83,3,1,1,"medidas Unfors"),1),INDIRECT(ADDRESS(E83,4,1,1,"medidas Fluke"),1)/1000)</f>
        <v>#VALUE!</v>
      </c>
      <c r="F82" s="305" t="s">
        <v>1</v>
      </c>
      <c r="J82" s="537"/>
      <c r="M82" s="517"/>
      <c r="N82" s="537"/>
      <c r="P82" s="517"/>
      <c r="Q82" s="537"/>
      <c r="S82" s="517"/>
      <c r="T82" s="537"/>
    </row>
    <row r="83" spans="1:49" s="305" customFormat="1" x14ac:dyDescent="0.25">
      <c r="A83" s="588" t="s">
        <v>5</v>
      </c>
      <c r="B83" s="1058"/>
      <c r="C83" s="1058"/>
      <c r="D83" s="1058"/>
      <c r="E83" s="1058"/>
      <c r="G83" s="517"/>
      <c r="J83" s="537"/>
      <c r="M83" s="517"/>
      <c r="N83" s="537"/>
      <c r="P83" s="517"/>
      <c r="Q83" s="537"/>
      <c r="S83" s="517"/>
      <c r="T83" s="537"/>
    </row>
    <row r="84" spans="1:49" s="305" customFormat="1" x14ac:dyDescent="0.25">
      <c r="A84" s="615" t="s">
        <v>1280</v>
      </c>
      <c r="B84" s="1058"/>
      <c r="C84" s="1058"/>
      <c r="D84" s="1058"/>
      <c r="E84" s="1058"/>
      <c r="F84" s="305" t="s">
        <v>1</v>
      </c>
      <c r="G84" s="517"/>
      <c r="J84" s="537"/>
      <c r="M84" s="517"/>
      <c r="N84" s="537"/>
      <c r="P84" s="517"/>
      <c r="Q84" s="537"/>
      <c r="S84" s="517"/>
      <c r="T84" s="537"/>
    </row>
    <row r="85" spans="1:49" x14ac:dyDescent="0.25">
      <c r="A85" s="615" t="s">
        <v>1915</v>
      </c>
      <c r="B85" s="538" t="e">
        <f ca="1">B82*($H$80/$H$79)^2</f>
        <v>#VALUE!</v>
      </c>
      <c r="C85" s="538" t="e">
        <f t="shared" ref="C85:E85" ca="1" si="10">C82*($H$80/$H$79)^2</f>
        <v>#VALUE!</v>
      </c>
      <c r="D85" s="538" t="e">
        <f t="shared" ca="1" si="10"/>
        <v>#VALUE!</v>
      </c>
      <c r="E85" s="538" t="e">
        <f t="shared" ca="1" si="10"/>
        <v>#VALUE!</v>
      </c>
      <c r="G85" s="517"/>
      <c r="J85" s="1785"/>
      <c r="M85" s="517"/>
      <c r="N85" s="1785"/>
      <c r="P85" s="517"/>
      <c r="Q85" s="1785"/>
      <c r="S85" s="517"/>
      <c r="T85" s="1785"/>
    </row>
    <row r="86" spans="1:49" s="305" customFormat="1" x14ac:dyDescent="0.25">
      <c r="A86" s="615" t="s">
        <v>381</v>
      </c>
      <c r="B86" s="336" t="str">
        <f ca="1">IFERROR((ABS(B85/B84-1)*100),"")</f>
        <v/>
      </c>
      <c r="C86" s="336" t="str">
        <f ca="1">IFERROR((ABS(C85/C84-1)*100),"")</f>
        <v/>
      </c>
      <c r="D86" s="336" t="str">
        <f ca="1">IFERROR((ABS(D85/D84-1)*100),"")</f>
        <v/>
      </c>
      <c r="E86" s="336" t="str">
        <f ca="1">IFERROR((ABS(E85/E84-1)*100),"")</f>
        <v/>
      </c>
      <c r="F86" s="537" t="s">
        <v>10</v>
      </c>
      <c r="G86" s="517" t="e">
        <f ca="1">ROUND(LARGE(B86:E86,1),1)</f>
        <v>#NUM!</v>
      </c>
      <c r="H86" s="305" t="s">
        <v>10</v>
      </c>
      <c r="I86" s="546" t="str">
        <f>IF(C79="N","NA",IFERROR(IF(G86&gt;40,"Restrição",IF(G86&gt;20,"Não","Sim")),"NA"))</f>
        <v>NA</v>
      </c>
      <c r="J86" s="537"/>
      <c r="M86" s="517"/>
      <c r="N86" s="537"/>
      <c r="P86" s="517"/>
      <c r="Q86" s="537"/>
      <c r="S86" s="517"/>
      <c r="T86" s="537"/>
    </row>
    <row r="87" spans="1:49" s="305" customFormat="1" x14ac:dyDescent="0.25"/>
    <row r="88" spans="1:49" s="305" customFormat="1" ht="15.75" thickBot="1" x14ac:dyDescent="0.3"/>
    <row r="89" spans="1:49" s="291" customFormat="1" ht="15.75" thickBot="1" x14ac:dyDescent="0.3">
      <c r="A89" s="2420" t="s">
        <v>371</v>
      </c>
      <c r="B89" s="2421"/>
      <c r="C89" s="2421"/>
      <c r="D89" s="2421"/>
      <c r="E89" s="2421"/>
      <c r="F89" s="2421"/>
      <c r="G89" s="2421"/>
      <c r="H89" s="2421"/>
      <c r="I89" s="2422"/>
      <c r="J89" s="305"/>
      <c r="T89" s="305"/>
      <c r="U89" s="305"/>
      <c r="V89" s="305"/>
      <c r="W89" s="305"/>
      <c r="X89" s="305"/>
      <c r="Y89" s="305"/>
      <c r="Z89" s="305"/>
      <c r="AA89" s="305"/>
      <c r="AB89" s="305"/>
      <c r="AC89" s="305"/>
      <c r="AD89" s="305"/>
      <c r="AE89" s="305"/>
      <c r="AF89" s="305"/>
      <c r="AG89" s="305"/>
      <c r="AH89" s="305"/>
      <c r="AI89" s="305"/>
      <c r="AJ89" s="305"/>
      <c r="AK89" s="305"/>
      <c r="AL89" s="305"/>
      <c r="AM89" s="305"/>
      <c r="AN89" s="305"/>
      <c r="AO89" s="305"/>
      <c r="AP89" s="305"/>
      <c r="AQ89" s="305"/>
      <c r="AR89" s="305"/>
      <c r="AS89" s="305"/>
      <c r="AT89" s="305"/>
      <c r="AU89" s="305"/>
      <c r="AV89" s="305"/>
      <c r="AW89" s="305"/>
    </row>
    <row r="90" spans="1:49" x14ac:dyDescent="0.25">
      <c r="A90" s="1113" t="s">
        <v>1387</v>
      </c>
    </row>
    <row r="91" spans="1:49" x14ac:dyDescent="0.25">
      <c r="A91" s="1402" t="s">
        <v>1311</v>
      </c>
      <c r="B91" s="2425" t="s">
        <v>375</v>
      </c>
      <c r="C91" s="2425"/>
      <c r="D91" s="2425"/>
      <c r="E91" s="2425"/>
      <c r="F91" s="2425"/>
      <c r="G91" s="1422" t="s">
        <v>374</v>
      </c>
      <c r="H91" s="1402" t="s">
        <v>373</v>
      </c>
      <c r="I91" s="1402" t="s">
        <v>372</v>
      </c>
      <c r="J91" s="1402" t="s">
        <v>1393</v>
      </c>
    </row>
    <row r="92" spans="1:49" x14ac:dyDescent="0.25">
      <c r="A92" s="615" t="s">
        <v>1315</v>
      </c>
      <c r="B92" s="1732"/>
      <c r="C92" s="1732"/>
      <c r="D92" s="1732"/>
      <c r="E92" s="1732"/>
      <c r="F92" s="1733"/>
      <c r="G92" s="1115"/>
      <c r="H92" s="1732"/>
      <c r="I92" s="1732"/>
      <c r="J92" s="615" t="s">
        <v>240</v>
      </c>
    </row>
    <row r="93" spans="1:49" x14ac:dyDescent="0.25">
      <c r="A93" s="1111" t="s">
        <v>5</v>
      </c>
      <c r="B93" s="1058"/>
      <c r="C93" s="1058"/>
      <c r="D93" s="1058"/>
      <c r="E93" s="1058"/>
      <c r="F93" s="1114"/>
      <c r="G93" s="1115"/>
      <c r="H93" s="1058"/>
      <c r="I93" s="1058"/>
      <c r="J93" s="615" t="s">
        <v>240</v>
      </c>
    </row>
    <row r="94" spans="1:49" x14ac:dyDescent="0.25">
      <c r="A94" s="1108" t="s">
        <v>1</v>
      </c>
      <c r="B94" s="538" t="str">
        <f ca="1">IFERROR(IF(Cabeçalho!$G$28="Unfors",INDIRECT(ADDRESS(B93,3,1,1,"medidas Unfors"),1),INDIRECT(ADDRESS(B93,4,1,1,"medidas Fluke"),1)/1000),"")</f>
        <v/>
      </c>
      <c r="C94" s="538" t="str">
        <f ca="1">IFERROR(IF(Cabeçalho!$G$28="Unfors",INDIRECT(ADDRESS(C93,3,1,1,"medidas Unfors"),1),INDIRECT(ADDRESS(C93,4,1,1,"medidas Fluke"),1)/1000),"")</f>
        <v/>
      </c>
      <c r="D94" s="538" t="str">
        <f ca="1">IFERROR(IF(Cabeçalho!$G$28="Unfors",INDIRECT(ADDRESS(D93,3,1,1,"medidas Unfors"),1),INDIRECT(ADDRESS(D93,4,1,1,"medidas Fluke"),1)/1000),"")</f>
        <v/>
      </c>
      <c r="E94" s="538" t="str">
        <f ca="1">IFERROR(IF(Cabeçalho!$G$28="Unfors",INDIRECT(ADDRESS(E93,3,1,1,"medidas Unfors"),1),INDIRECT(ADDRESS(E93,4,1,1,"medidas Fluke"),1)/1000),"")</f>
        <v/>
      </c>
      <c r="F94" s="1116" t="str">
        <f ca="1">IFERROR(IF(Cabeçalho!$G$28="Unfors",INDIRECT(ADDRESS(F93,3,1,1,"medidas Unfors"),1),INDIRECT(ADDRESS(F93,4,1,1,"medidas Fluke"),1)/1000),"")</f>
        <v/>
      </c>
      <c r="G94" s="1422" t="str">
        <f ca="1">IFERROR(IF(Cabeçalho!$G$28="Unfors",INDIRECT(ADDRESS(G93,3,1,1,"medidas Unfors"),1),INDIRECT(ADDRESS(G93,4,1,1,"medidas Fluke"),1)/1000),"")</f>
        <v/>
      </c>
      <c r="H94" s="538" t="str">
        <f ca="1">IFERROR(IF(Cabeçalho!$G$28="Unfors",INDIRECT(ADDRESS(H93,3,1,1,"medidas Unfors"),1),INDIRECT(ADDRESS(H93,4,1,1,"medidas Fluke"),1)/1000),"")</f>
        <v/>
      </c>
      <c r="I94" s="538" t="str">
        <f ca="1">IFERROR(IF(Cabeçalho!$G$28="Unfors",INDIRECT(ADDRESS(I93,3,1,1,"medidas Unfors"),1),INDIRECT(ADDRESS(I93,4,1,1,"medidas Fluke"),1)/1000),"")</f>
        <v/>
      </c>
      <c r="J94" s="538" t="e">
        <f ca="1">AVERAGE(B94:F94)</f>
        <v>#DIV/0!</v>
      </c>
    </row>
    <row r="95" spans="1:49" x14ac:dyDescent="0.25">
      <c r="A95" s="1108" t="s">
        <v>3</v>
      </c>
      <c r="B95" s="538" t="str">
        <f ca="1">IFERROR(IF(Cabeçalho!$G$28="Unfors",INDIRECT(ADDRESS(B93,7,1,1,"medidas Unfors"),1),INDIRECT(ADDRESS(B93,6,1,1,"medidas Fluke"),1)/1000),"")</f>
        <v/>
      </c>
      <c r="C95" s="538" t="str">
        <f ca="1">IFERROR(IF(Cabeçalho!$G$28="Unfors",INDIRECT(ADDRESS(C93,7,1,1,"medidas Unfors"),1),INDIRECT(ADDRESS(C93,6,1,1,"medidas Fluke"),1)/1000),"")</f>
        <v/>
      </c>
      <c r="D95" s="538" t="str">
        <f ca="1">IFERROR(IF(Cabeçalho!$G$28="Unfors",INDIRECT(ADDRESS(D93,7,1,1,"medidas Unfors"),1),INDIRECT(ADDRESS(D93,6,1,1,"medidas Fluke"),1)/1000),"")</f>
        <v/>
      </c>
      <c r="E95" s="538" t="str">
        <f ca="1">IFERROR(IF(Cabeçalho!$G$28="Unfors",INDIRECT(ADDRESS(E93,7,1,1,"medidas Unfors"),1),INDIRECT(ADDRESS(E93,6,1,1,"medidas Fluke"),1)/1000),"")</f>
        <v/>
      </c>
      <c r="F95" s="1116" t="str">
        <f ca="1">IFERROR(IF(Cabeçalho!$G$28="Unfors",INDIRECT(ADDRESS(F93,7,1,1,"medidas Unfors"),1),INDIRECT(ADDRESS(F93,6,1,1,"medidas Fluke"),1)/1000),"")</f>
        <v/>
      </c>
      <c r="G95" s="1422" t="str">
        <f ca="1">IFERROR(IF(Cabeçalho!$G$28="Unfors",INDIRECT(ADDRESS(G93,7,1,1,"medidas Unfors"),1),INDIRECT(ADDRESS(G93,6,1,1,"medidas Fluke"),1)/1000),"")</f>
        <v/>
      </c>
      <c r="H95" s="538" t="str">
        <f ca="1">IFERROR(IF(Cabeçalho!$G$28="Unfors",INDIRECT(ADDRESS(H93,7,1,1,"medidas Unfors"),1),INDIRECT(ADDRESS(H93,6,1,1,"medidas Fluke"),1)/1000),"")</f>
        <v/>
      </c>
      <c r="I95" s="538" t="str">
        <f ca="1">IFERROR(IF(Cabeçalho!$G$28="Unfors",INDIRECT(ADDRESS(I93,7,1,1,"medidas Unfors"),1),INDIRECT(ADDRESS(I93,6,1,1,"medidas Fluke"),1)/1000),"")</f>
        <v/>
      </c>
      <c r="J95" s="538" t="e">
        <f ca="1">AVERAGE(B95:F95)</f>
        <v>#DIV/0!</v>
      </c>
    </row>
    <row r="96" spans="1:49" x14ac:dyDescent="0.25"/>
    <row r="97" spans="1:10" x14ac:dyDescent="0.25">
      <c r="A97" s="820" t="s">
        <v>1388</v>
      </c>
      <c r="B97" s="517" t="e">
        <f ca="1">(LARGE(B94:F94,1)-SMALL(B94:F94,1))/AVERAGE(B94:F94)*100</f>
        <v>#NUM!</v>
      </c>
      <c r="C97" s="1109" t="s">
        <v>10</v>
      </c>
    </row>
    <row r="98" spans="1:10" x14ac:dyDescent="0.25">
      <c r="A98" s="305" t="s">
        <v>1390</v>
      </c>
      <c r="B98" s="323" t="e">
        <f ca="1">(LARGE(G94:J94,1)-SMALL(G94:J94,1))/(LARGE(G94:J94,1)+SMALL(G94:J94,1))*100</f>
        <v>#DIV/0!</v>
      </c>
      <c r="C98" s="536" t="s">
        <v>10</v>
      </c>
    </row>
    <row r="99" spans="1:10" x14ac:dyDescent="0.25">
      <c r="B99" s="446"/>
      <c r="C99" s="446"/>
    </row>
    <row r="100" spans="1:10" x14ac:dyDescent="0.25">
      <c r="A100" s="1113" t="s">
        <v>1392</v>
      </c>
    </row>
    <row r="101" spans="1:10" x14ac:dyDescent="0.25">
      <c r="A101" s="1402" t="s">
        <v>1311</v>
      </c>
      <c r="B101" s="2425" t="s">
        <v>375</v>
      </c>
      <c r="C101" s="2425"/>
      <c r="D101" s="2425"/>
      <c r="E101" s="2425"/>
      <c r="F101" s="2425"/>
      <c r="G101" s="1422" t="s">
        <v>374</v>
      </c>
      <c r="H101" s="1402" t="s">
        <v>373</v>
      </c>
      <c r="I101" s="1402" t="s">
        <v>372</v>
      </c>
      <c r="J101" s="1402" t="s">
        <v>1393</v>
      </c>
    </row>
    <row r="102" spans="1:10" x14ac:dyDescent="0.25">
      <c r="A102" s="615" t="s">
        <v>1315</v>
      </c>
      <c r="B102" s="1732"/>
      <c r="C102" s="1732"/>
      <c r="D102" s="1732"/>
      <c r="E102" s="1732"/>
      <c r="F102" s="1733"/>
      <c r="G102" s="1115"/>
      <c r="H102" s="1058"/>
      <c r="I102" s="1058"/>
      <c r="J102" s="615" t="s">
        <v>240</v>
      </c>
    </row>
    <row r="103" spans="1:10" x14ac:dyDescent="0.25">
      <c r="A103" s="1111" t="s">
        <v>5</v>
      </c>
      <c r="B103" s="1058"/>
      <c r="C103" s="1058"/>
      <c r="D103" s="1058"/>
      <c r="E103" s="1058"/>
      <c r="F103" s="1114"/>
      <c r="G103" s="1115"/>
      <c r="H103" s="1058"/>
      <c r="I103" s="1058"/>
      <c r="J103" s="615" t="s">
        <v>240</v>
      </c>
    </row>
    <row r="104" spans="1:10" x14ac:dyDescent="0.25">
      <c r="A104" s="1108" t="s">
        <v>1</v>
      </c>
      <c r="B104" s="538" t="str">
        <f ca="1">IFERROR(IF(Cabeçalho!$G$28="Unfors",INDIRECT(ADDRESS(B103,3,1,1,"medidas Unfors"),1),INDIRECT(ADDRESS(B103,4,1,1,"medidas Fluke"),1)/1000),"")</f>
        <v/>
      </c>
      <c r="C104" s="538" t="str">
        <f ca="1">IFERROR(IF(Cabeçalho!$G$28="Unfors",INDIRECT(ADDRESS(C103,3,1,1,"medidas Unfors"),1),INDIRECT(ADDRESS(C103,4,1,1,"medidas Fluke"),1)/1000),"")</f>
        <v/>
      </c>
      <c r="D104" s="538" t="str">
        <f ca="1">IFERROR(IF(Cabeçalho!$G$28="Unfors",INDIRECT(ADDRESS(D103,3,1,1,"medidas Unfors"),1),INDIRECT(ADDRESS(D103,4,1,1,"medidas Fluke"),1)/1000),"")</f>
        <v/>
      </c>
      <c r="E104" s="538" t="str">
        <f ca="1">IFERROR(IF(Cabeçalho!$G$28="Unfors",INDIRECT(ADDRESS(E103,3,1,1,"medidas Unfors"),1),INDIRECT(ADDRESS(E103,4,1,1,"medidas Fluke"),1)/1000),"")</f>
        <v/>
      </c>
      <c r="F104" s="1116" t="str">
        <f ca="1">IFERROR(IF(Cabeçalho!$G$28="Unfors",INDIRECT(ADDRESS(F103,3,1,1,"medidas Unfors"),1),INDIRECT(ADDRESS(F103,4,1,1,"medidas Fluke"),1)/1000),"")</f>
        <v/>
      </c>
      <c r="G104" s="1422" t="str">
        <f ca="1">IFERROR(IF(Cabeçalho!$G$28="Unfors",INDIRECT(ADDRESS(G103,3,1,1,"medidas Unfors"),1),INDIRECT(ADDRESS(G103,4,1,1,"medidas Fluke"),1)/1000),"")</f>
        <v/>
      </c>
      <c r="H104" s="538" t="str">
        <f ca="1">IFERROR(IF(Cabeçalho!$G$28="Unfors",INDIRECT(ADDRESS(H103,3,1,1,"medidas Unfors"),1),INDIRECT(ADDRESS(H103,4,1,1,"medidas Fluke"),1)/1000),"")</f>
        <v/>
      </c>
      <c r="I104" s="538" t="str">
        <f ca="1">IFERROR(IF(Cabeçalho!$G$28="Unfors",INDIRECT(ADDRESS(I103,3,1,1,"medidas Unfors"),1),INDIRECT(ADDRESS(I103,4,1,1,"medidas Fluke"),1)/1000),"")</f>
        <v/>
      </c>
      <c r="J104" s="538" t="e">
        <f ca="1">AVERAGE(B104:F104)</f>
        <v>#DIV/0!</v>
      </c>
    </row>
    <row r="105" spans="1:10" x14ac:dyDescent="0.25">
      <c r="A105" s="1108" t="s">
        <v>3</v>
      </c>
      <c r="B105" s="538" t="str">
        <f ca="1">IFERROR(IF(Cabeçalho!$G$28="Unfors",INDIRECT(ADDRESS(B103,7,1,1,"medidas Unfors"),1),INDIRECT(ADDRESS(B103,6,1,1,"medidas Fluke"),1)/1000),"")</f>
        <v/>
      </c>
      <c r="C105" s="538" t="str">
        <f ca="1">IFERROR(IF(Cabeçalho!$G$28="Unfors",INDIRECT(ADDRESS(C103,7,1,1,"medidas Unfors"),1),INDIRECT(ADDRESS(C103,6,1,1,"medidas Fluke"),1)/1000),"")</f>
        <v/>
      </c>
      <c r="D105" s="538" t="str">
        <f ca="1">IFERROR(IF(Cabeçalho!$G$28="Unfors",INDIRECT(ADDRESS(D103,7,1,1,"medidas Unfors"),1),INDIRECT(ADDRESS(D103,6,1,1,"medidas Fluke"),1)/1000),"")</f>
        <v/>
      </c>
      <c r="E105" s="538" t="str">
        <f ca="1">IFERROR(IF(Cabeçalho!$G$28="Unfors",INDIRECT(ADDRESS(E103,7,1,1,"medidas Unfors"),1),INDIRECT(ADDRESS(E103,6,1,1,"medidas Fluke"),1)/1000),"")</f>
        <v/>
      </c>
      <c r="F105" s="1116" t="str">
        <f ca="1">IFERROR(IF(Cabeçalho!$G$28="Unfors",INDIRECT(ADDRESS(F103,7,1,1,"medidas Unfors"),1),INDIRECT(ADDRESS(F103,6,1,1,"medidas Fluke"),1)/1000),"")</f>
        <v/>
      </c>
      <c r="G105" s="1422" t="str">
        <f ca="1">IFERROR(IF(Cabeçalho!$G$28="Unfors",INDIRECT(ADDRESS(G103,7,1,1,"medidas Unfors"),1),INDIRECT(ADDRESS(G103,6,1,1,"medidas Fluke"),1)/1000),"")</f>
        <v/>
      </c>
      <c r="H105" s="538" t="str">
        <f ca="1">IFERROR(IF(Cabeçalho!$G$28="Unfors",INDIRECT(ADDRESS(H103,7,1,1,"medidas Unfors"),1),INDIRECT(ADDRESS(H103,6,1,1,"medidas Fluke"),1)/1000),"")</f>
        <v/>
      </c>
      <c r="I105" s="538" t="str">
        <f ca="1">IFERROR(IF(Cabeçalho!$G$28="Unfors",INDIRECT(ADDRESS(I103,7,1,1,"medidas Unfors"),1),INDIRECT(ADDRESS(I103,6,1,1,"medidas Fluke"),1)/1000),"")</f>
        <v/>
      </c>
      <c r="J105" s="538" t="e">
        <f ca="1">AVERAGE(B105:F105)</f>
        <v>#DIV/0!</v>
      </c>
    </row>
    <row r="106" spans="1:10" x14ac:dyDescent="0.25"/>
    <row r="107" spans="1:10" x14ac:dyDescent="0.25">
      <c r="A107" s="820" t="s">
        <v>1389</v>
      </c>
      <c r="B107" s="323" t="e">
        <f ca="1">(LARGE(B104:F104,1)-SMALL(B104:F104,1))/AVERAGE(B104:F104)*100</f>
        <v>#NUM!</v>
      </c>
      <c r="C107" s="1109" t="s">
        <v>10</v>
      </c>
    </row>
    <row r="108" spans="1:10" x14ac:dyDescent="0.25">
      <c r="A108" s="305" t="s">
        <v>1391</v>
      </c>
      <c r="B108" s="323" t="e">
        <f ca="1">(LARGE(G104:J104,1)-SMALL(G104:J104,1))/(LARGE(G104:J104,1)+SMALL(G104:J104,1))*100</f>
        <v>#DIV/0!</v>
      </c>
      <c r="C108" s="536" t="s">
        <v>10</v>
      </c>
    </row>
    <row r="109" spans="1:10" x14ac:dyDescent="0.25"/>
    <row r="110" spans="1:10" s="305" customFormat="1" ht="15.75" thickBot="1" x14ac:dyDescent="0.3"/>
    <row r="111" spans="1:10" s="305" customFormat="1" ht="15.75" thickBot="1" x14ac:dyDescent="0.3">
      <c r="A111" s="2420" t="s">
        <v>1117</v>
      </c>
      <c r="B111" s="2421"/>
      <c r="C111" s="2421"/>
      <c r="D111" s="2421"/>
      <c r="E111" s="2422"/>
    </row>
    <row r="112" spans="1:10" s="305" customFormat="1" x14ac:dyDescent="0.25">
      <c r="A112" s="2443" t="s">
        <v>1118</v>
      </c>
      <c r="B112" s="2443"/>
      <c r="C112" s="2443"/>
      <c r="D112" s="2443"/>
      <c r="E112" s="2443"/>
    </row>
    <row r="113" spans="1:55" s="305" customFormat="1" x14ac:dyDescent="0.25"/>
    <row r="114" spans="1:55" s="305" customFormat="1" ht="15.75" thickBot="1" x14ac:dyDescent="0.3"/>
    <row r="115" spans="1:55" s="291" customFormat="1" ht="15.75" thickBot="1" x14ac:dyDescent="0.3">
      <c r="A115" s="2420" t="s">
        <v>1864</v>
      </c>
      <c r="B115" s="2421"/>
      <c r="C115" s="2421"/>
      <c r="D115" s="2421"/>
      <c r="E115" s="2421"/>
      <c r="F115" s="2421"/>
      <c r="G115" s="2421"/>
      <c r="H115" s="2422"/>
      <c r="I115" s="307"/>
      <c r="J115" s="307"/>
      <c r="K115" s="307"/>
      <c r="L115" s="307"/>
      <c r="M115" s="307"/>
      <c r="N115" s="307"/>
      <c r="O115" s="307"/>
      <c r="P115" s="305"/>
      <c r="Q115" s="305"/>
      <c r="R115" s="305"/>
      <c r="S115" s="305"/>
      <c r="T115" s="305"/>
      <c r="U115" s="305"/>
      <c r="V115" s="305"/>
      <c r="W115" s="305"/>
      <c r="X115" s="305"/>
      <c r="Y115" s="305"/>
      <c r="Z115" s="305"/>
      <c r="AA115" s="305"/>
      <c r="AB115" s="305"/>
      <c r="AC115" s="305"/>
      <c r="AD115" s="305"/>
      <c r="AE115" s="305"/>
      <c r="AF115" s="305"/>
      <c r="AG115" s="305"/>
      <c r="AH115" s="305"/>
      <c r="AI115" s="305"/>
      <c r="AJ115" s="305"/>
      <c r="AK115" s="305"/>
      <c r="AL115" s="305"/>
      <c r="AM115" s="305"/>
      <c r="AN115" s="305"/>
      <c r="AO115" s="305"/>
      <c r="AP115" s="305"/>
      <c r="AQ115" s="305"/>
      <c r="AR115" s="305"/>
      <c r="AS115" s="305"/>
      <c r="AT115" s="305"/>
      <c r="AU115" s="305"/>
      <c r="AV115" s="305"/>
      <c r="AW115" s="305"/>
      <c r="AX115" s="305"/>
      <c r="AY115" s="305"/>
      <c r="AZ115" s="305"/>
      <c r="BA115" s="305"/>
      <c r="BB115" s="305"/>
      <c r="BC115" s="305"/>
    </row>
    <row r="116" spans="1:55" s="291" customFormat="1" ht="15.75" thickBot="1" x14ac:dyDescent="0.3">
      <c r="A116" s="690" t="s">
        <v>161</v>
      </c>
      <c r="B116" s="1123" t="s">
        <v>441</v>
      </c>
      <c r="C116" s="1124"/>
      <c r="D116" s="305"/>
      <c r="E116" s="305"/>
      <c r="F116" s="305"/>
      <c r="G116" s="305"/>
      <c r="H116" s="305"/>
      <c r="I116" s="307"/>
      <c r="J116" s="444"/>
      <c r="K116" s="444"/>
      <c r="L116" s="307"/>
      <c r="M116" s="307"/>
      <c r="N116" s="307"/>
      <c r="O116" s="307"/>
      <c r="P116" s="305"/>
      <c r="Q116" s="305"/>
      <c r="R116" s="305"/>
      <c r="S116" s="305"/>
      <c r="T116" s="305"/>
      <c r="U116" s="305"/>
      <c r="V116" s="305"/>
      <c r="W116" s="305"/>
      <c r="X116" s="305"/>
      <c r="Y116" s="305"/>
      <c r="Z116" s="305"/>
      <c r="AA116" s="305"/>
      <c r="AB116" s="305"/>
      <c r="AC116" s="305"/>
      <c r="AD116" s="305"/>
      <c r="AE116" s="305"/>
      <c r="AF116" s="305"/>
      <c r="AG116" s="305"/>
      <c r="AH116" s="305"/>
      <c r="AI116" s="305"/>
      <c r="AJ116" s="305"/>
      <c r="AK116" s="305"/>
      <c r="AL116" s="305"/>
      <c r="AM116" s="305"/>
      <c r="AN116" s="305"/>
      <c r="AO116" s="305"/>
      <c r="AP116" s="305"/>
      <c r="AQ116" s="305"/>
      <c r="AR116" s="305"/>
      <c r="AS116" s="305"/>
      <c r="AT116" s="305"/>
      <c r="AU116" s="305"/>
      <c r="AV116" s="305"/>
      <c r="AW116" s="305"/>
      <c r="AX116" s="305"/>
      <c r="AY116" s="305"/>
      <c r="AZ116" s="305"/>
      <c r="BA116" s="305"/>
      <c r="BB116" s="305"/>
      <c r="BC116" s="305"/>
    </row>
    <row r="117" spans="1:55" s="291" customFormat="1" x14ac:dyDescent="0.25">
      <c r="A117" s="690" t="s">
        <v>1035</v>
      </c>
      <c r="B117" s="62"/>
      <c r="C117" s="691" t="s">
        <v>12</v>
      </c>
      <c r="D117" s="305"/>
      <c r="E117" s="305"/>
      <c r="F117" s="305"/>
      <c r="G117" s="305"/>
      <c r="H117" s="305"/>
      <c r="I117" s="307"/>
      <c r="J117" s="444"/>
      <c r="K117" s="444"/>
      <c r="L117" s="306"/>
      <c r="M117" s="307"/>
      <c r="N117" s="307"/>
      <c r="O117" s="305"/>
      <c r="P117" s="305"/>
      <c r="Q117" s="305"/>
      <c r="R117" s="305"/>
      <c r="S117" s="305"/>
      <c r="T117" s="305"/>
      <c r="U117" s="305"/>
      <c r="V117" s="305"/>
      <c r="W117" s="305"/>
      <c r="X117" s="305"/>
      <c r="Y117" s="305"/>
      <c r="Z117" s="305"/>
      <c r="AA117" s="305"/>
      <c r="AB117" s="305"/>
      <c r="AC117" s="305"/>
      <c r="AD117" s="305"/>
      <c r="AE117" s="305"/>
      <c r="AF117" s="305"/>
      <c r="AG117" s="305"/>
      <c r="AH117" s="305"/>
      <c r="AI117" s="305"/>
      <c r="AJ117" s="305"/>
      <c r="AK117" s="305"/>
      <c r="AL117" s="305"/>
      <c r="AM117" s="305"/>
      <c r="AN117" s="305"/>
      <c r="AO117" s="305"/>
      <c r="AP117" s="305"/>
      <c r="AQ117" s="305"/>
      <c r="AR117" s="305"/>
      <c r="AS117" s="305"/>
      <c r="AT117" s="305"/>
      <c r="AU117" s="305"/>
      <c r="AV117" s="305"/>
      <c r="AW117" s="305"/>
      <c r="AX117" s="305"/>
      <c r="AY117" s="305"/>
      <c r="AZ117" s="305"/>
      <c r="BA117" s="305"/>
      <c r="BB117" s="305"/>
      <c r="BC117" s="305"/>
    </row>
    <row r="118" spans="1:55" s="291" customFormat="1" x14ac:dyDescent="0.25">
      <c r="A118" s="690" t="s">
        <v>1036</v>
      </c>
      <c r="B118" s="183"/>
      <c r="C118" s="691" t="s">
        <v>12</v>
      </c>
      <c r="D118" s="2428" t="s">
        <v>36</v>
      </c>
      <c r="E118" s="2428"/>
      <c r="F118" s="2428"/>
      <c r="G118" s="539" t="e">
        <f>B118/B117*100</f>
        <v>#DIV/0!</v>
      </c>
      <c r="H118" s="537" t="s">
        <v>10</v>
      </c>
      <c r="I118" s="307"/>
      <c r="J118" s="444"/>
      <c r="K118" s="444"/>
      <c r="L118" s="306"/>
      <c r="M118" s="307"/>
      <c r="N118" s="307"/>
      <c r="O118" s="305"/>
      <c r="P118" s="305"/>
      <c r="Q118" s="305"/>
      <c r="R118" s="305"/>
      <c r="S118" s="305"/>
      <c r="T118" s="305"/>
      <c r="U118" s="305"/>
      <c r="V118" s="305"/>
      <c r="W118" s="305"/>
      <c r="X118" s="305"/>
      <c r="Y118" s="305"/>
      <c r="Z118" s="305"/>
      <c r="AA118" s="305"/>
      <c r="AB118" s="305"/>
      <c r="AC118" s="305"/>
      <c r="AD118" s="305"/>
      <c r="AE118" s="305"/>
      <c r="AF118" s="305"/>
      <c r="AG118" s="305"/>
      <c r="AH118" s="305"/>
      <c r="AI118" s="305"/>
      <c r="AJ118" s="305"/>
      <c r="AK118" s="305"/>
      <c r="AL118" s="305"/>
      <c r="AM118" s="305"/>
      <c r="AN118" s="305"/>
      <c r="AO118" s="305"/>
      <c r="AP118" s="305"/>
      <c r="AQ118" s="305"/>
      <c r="AR118" s="305"/>
      <c r="AS118" s="305"/>
      <c r="AT118" s="305"/>
      <c r="AU118" s="305"/>
      <c r="AV118" s="305"/>
      <c r="AW118" s="305"/>
      <c r="AX118" s="305"/>
      <c r="AY118" s="305"/>
      <c r="AZ118" s="305"/>
      <c r="BA118" s="305"/>
      <c r="BB118" s="305"/>
      <c r="BC118" s="305"/>
    </row>
    <row r="119" spans="1:55" s="291" customFormat="1" ht="18" thickBot="1" x14ac:dyDescent="0.3">
      <c r="A119" s="688" t="s">
        <v>31</v>
      </c>
      <c r="B119" s="70"/>
      <c r="C119" s="692" t="s">
        <v>32</v>
      </c>
      <c r="D119" s="2449" t="s">
        <v>34</v>
      </c>
      <c r="E119" s="2449"/>
      <c r="F119" s="2449"/>
      <c r="G119" s="517" t="e">
        <f>180/PI()*ATAN(B119/B117/10)</f>
        <v>#DIV/0!</v>
      </c>
      <c r="H119" s="540" t="s">
        <v>35</v>
      </c>
      <c r="I119" s="307"/>
      <c r="J119" s="466"/>
      <c r="K119" s="306"/>
      <c r="L119" s="306"/>
      <c r="M119" s="307"/>
      <c r="N119" s="307"/>
      <c r="O119" s="305"/>
      <c r="P119" s="305"/>
      <c r="Q119" s="305"/>
      <c r="R119" s="305"/>
      <c r="S119" s="305"/>
      <c r="T119" s="305"/>
      <c r="U119" s="305"/>
      <c r="V119" s="305"/>
      <c r="W119" s="305"/>
      <c r="X119" s="305"/>
      <c r="Y119" s="305"/>
      <c r="Z119" s="305"/>
      <c r="AA119" s="305"/>
      <c r="AB119" s="305"/>
      <c r="AC119" s="305"/>
      <c r="AD119" s="305"/>
      <c r="AE119" s="305"/>
      <c r="AF119" s="305"/>
      <c r="AG119" s="305"/>
      <c r="AH119" s="305"/>
      <c r="AI119" s="305"/>
      <c r="AJ119" s="305"/>
      <c r="AK119" s="305"/>
      <c r="AL119" s="305"/>
      <c r="AM119" s="305"/>
      <c r="AN119" s="305"/>
      <c r="AO119" s="305"/>
      <c r="AP119" s="305"/>
      <c r="AQ119" s="305"/>
      <c r="AR119" s="305"/>
      <c r="AS119" s="305"/>
      <c r="AT119" s="305"/>
      <c r="AU119" s="305"/>
      <c r="AV119" s="305"/>
      <c r="AW119" s="305"/>
      <c r="AX119" s="305"/>
      <c r="AY119" s="305"/>
      <c r="AZ119" s="305"/>
      <c r="BA119" s="305"/>
      <c r="BB119" s="305"/>
      <c r="BC119" s="305"/>
    </row>
    <row r="120" spans="1:55" s="291" customFormat="1" x14ac:dyDescent="0.25">
      <c r="A120" s="305"/>
      <c r="B120" s="305"/>
      <c r="C120" s="305"/>
      <c r="D120" s="305"/>
      <c r="E120" s="305"/>
      <c r="F120" s="305"/>
      <c r="G120" s="305"/>
      <c r="H120" s="305"/>
      <c r="I120" s="307"/>
      <c r="J120" s="466"/>
      <c r="K120" s="306"/>
      <c r="L120" s="306"/>
      <c r="M120" s="307"/>
      <c r="N120" s="307"/>
      <c r="O120" s="305"/>
      <c r="P120" s="305"/>
      <c r="Q120" s="305"/>
      <c r="R120" s="305"/>
      <c r="S120" s="305"/>
      <c r="T120" s="305"/>
      <c r="U120" s="305"/>
      <c r="V120" s="305"/>
      <c r="W120" s="305"/>
      <c r="X120" s="305"/>
      <c r="Y120" s="305"/>
      <c r="Z120" s="305"/>
      <c r="AA120" s="305"/>
      <c r="AB120" s="305"/>
      <c r="AC120" s="305"/>
      <c r="AD120" s="305"/>
      <c r="AE120" s="305"/>
      <c r="AF120" s="305"/>
      <c r="AG120" s="305"/>
      <c r="AH120" s="305"/>
      <c r="AI120" s="305"/>
      <c r="AJ120" s="305"/>
      <c r="AK120" s="305"/>
      <c r="AL120" s="305"/>
      <c r="AM120" s="305"/>
      <c r="AN120" s="305"/>
      <c r="AO120" s="305"/>
      <c r="AP120" s="305"/>
      <c r="AQ120" s="305"/>
      <c r="AR120" s="305"/>
      <c r="AS120" s="305"/>
      <c r="AT120" s="305"/>
      <c r="AU120" s="305"/>
      <c r="AV120" s="305"/>
      <c r="AW120" s="305"/>
      <c r="AX120" s="305"/>
      <c r="AY120" s="305"/>
      <c r="AZ120" s="305"/>
      <c r="BA120" s="305"/>
      <c r="BB120" s="305"/>
      <c r="BC120" s="305"/>
    </row>
    <row r="121" spans="1:55" s="291" customFormat="1" ht="15.75" thickBot="1" x14ac:dyDescent="0.3">
      <c r="A121" s="305"/>
      <c r="B121" s="305"/>
      <c r="C121" s="305"/>
      <c r="D121" s="305"/>
      <c r="E121" s="305"/>
      <c r="F121" s="305"/>
      <c r="G121" s="305"/>
      <c r="H121" s="305"/>
      <c r="I121" s="307"/>
      <c r="J121" s="306">
        <f>20*2^(-20/2.7)</f>
        <v>0.11780892034401468</v>
      </c>
      <c r="K121" s="306"/>
      <c r="L121" s="306"/>
      <c r="M121" s="307"/>
      <c r="N121" s="307"/>
      <c r="O121" s="305"/>
      <c r="P121" s="305"/>
      <c r="Q121" s="305"/>
      <c r="R121" s="305"/>
      <c r="S121" s="305"/>
      <c r="T121" s="305"/>
      <c r="U121" s="305"/>
      <c r="V121" s="305"/>
      <c r="W121" s="305"/>
      <c r="X121" s="305"/>
      <c r="Y121" s="305"/>
      <c r="Z121" s="305"/>
      <c r="AA121" s="305"/>
      <c r="AB121" s="305"/>
      <c r="AC121" s="305"/>
      <c r="AD121" s="305"/>
      <c r="AE121" s="305"/>
      <c r="AF121" s="305"/>
      <c r="AG121" s="305"/>
      <c r="AH121" s="305"/>
      <c r="AI121" s="305"/>
      <c r="AJ121" s="305"/>
      <c r="AK121" s="305"/>
      <c r="AL121" s="305"/>
      <c r="AM121" s="305"/>
      <c r="AN121" s="305"/>
      <c r="AO121" s="305"/>
      <c r="AP121" s="305"/>
      <c r="AQ121" s="305"/>
      <c r="AR121" s="305"/>
      <c r="AS121" s="305"/>
      <c r="AT121" s="305"/>
      <c r="AU121" s="305"/>
      <c r="AV121" s="305"/>
      <c r="AW121" s="305"/>
      <c r="AX121" s="305"/>
      <c r="AY121" s="305"/>
      <c r="AZ121" s="305"/>
      <c r="BA121" s="305"/>
      <c r="BB121" s="305"/>
      <c r="BC121" s="305"/>
    </row>
    <row r="122" spans="1:55" s="291" customFormat="1" ht="15.75" thickBot="1" x14ac:dyDescent="0.3">
      <c r="A122" s="2420" t="s">
        <v>1037</v>
      </c>
      <c r="B122" s="2421"/>
      <c r="C122" s="2421"/>
      <c r="D122" s="2421"/>
      <c r="E122" s="2421"/>
      <c r="F122" s="2421"/>
      <c r="G122" s="2421"/>
      <c r="H122" s="2422"/>
      <c r="I122" s="307"/>
      <c r="J122" s="466"/>
      <c r="K122" s="306"/>
      <c r="L122" s="306"/>
      <c r="M122" s="307"/>
      <c r="N122" s="307"/>
      <c r="O122" s="305"/>
      <c r="P122" s="305"/>
      <c r="Q122" s="305"/>
      <c r="R122" s="305"/>
      <c r="S122" s="305"/>
      <c r="T122" s="305"/>
      <c r="U122" s="305"/>
      <c r="V122" s="305"/>
      <c r="W122" s="305"/>
      <c r="X122" s="305"/>
      <c r="Y122" s="305"/>
      <c r="Z122" s="305"/>
      <c r="AA122" s="305"/>
      <c r="AB122" s="305"/>
      <c r="AC122" s="305"/>
      <c r="AD122" s="305"/>
      <c r="AE122" s="305"/>
      <c r="AF122" s="305"/>
      <c r="AG122" s="305"/>
      <c r="AH122" s="305"/>
      <c r="AI122" s="305"/>
      <c r="AJ122" s="305"/>
      <c r="AK122" s="305"/>
      <c r="AL122" s="305"/>
      <c r="AM122" s="305"/>
      <c r="AN122" s="305"/>
      <c r="AO122" s="305"/>
      <c r="AP122" s="305"/>
      <c r="AQ122" s="305"/>
      <c r="AR122" s="305"/>
      <c r="AS122" s="305"/>
      <c r="AT122" s="305"/>
      <c r="AU122" s="305"/>
      <c r="AV122" s="305"/>
      <c r="AW122" s="305"/>
      <c r="AX122" s="305"/>
      <c r="AY122" s="305"/>
      <c r="AZ122" s="305"/>
      <c r="BA122" s="305"/>
      <c r="BB122" s="305"/>
      <c r="BC122" s="305"/>
    </row>
    <row r="123" spans="1:55" x14ac:dyDescent="0.25">
      <c r="A123" s="918"/>
      <c r="B123" s="918"/>
      <c r="C123" s="918"/>
      <c r="D123" s="918"/>
      <c r="E123" s="918"/>
      <c r="F123" s="918"/>
      <c r="G123" s="918"/>
      <c r="H123" s="918"/>
      <c r="I123" s="307"/>
      <c r="J123" s="466"/>
      <c r="K123" s="306"/>
      <c r="L123" s="306"/>
      <c r="M123" s="307"/>
      <c r="N123" s="307"/>
    </row>
    <row r="124" spans="1:55" x14ac:dyDescent="0.25">
      <c r="A124" s="896" t="s">
        <v>1284</v>
      </c>
      <c r="B124" s="918"/>
      <c r="C124" s="918"/>
      <c r="D124" s="918"/>
      <c r="E124" s="918"/>
      <c r="F124" s="454" t="s">
        <v>1000</v>
      </c>
      <c r="G124" s="617" t="str">
        <f>IF(Cabeçalho!G20&lt;&gt;"DR","NA",IFERROR(LARGE(D130:D135,1),"NPA"))</f>
        <v>NA</v>
      </c>
      <c r="H124" s="918"/>
      <c r="I124" s="307"/>
      <c r="J124" s="466"/>
      <c r="K124" s="306"/>
      <c r="L124" s="306"/>
      <c r="M124" s="307"/>
      <c r="N124" s="307"/>
    </row>
    <row r="125" spans="1:55" x14ac:dyDescent="0.25">
      <c r="A125" s="922" t="s">
        <v>1285</v>
      </c>
      <c r="B125" s="834"/>
      <c r="C125" s="918"/>
      <c r="D125" s="918"/>
      <c r="E125" s="918"/>
      <c r="F125" s="1098" t="str">
        <f>B1</f>
        <v>IN 90</v>
      </c>
      <c r="G125" s="1099" t="str">
        <f>IF(Cabeçalho!G20&lt;&gt;"DR","NA",IF(G124="NPA","NPA",IF(G124&lt;=2%,"Sim",IF(G124&gt;4%,"Restrição","Não"))))</f>
        <v>NA</v>
      </c>
      <c r="H125" s="918"/>
      <c r="I125" s="307"/>
      <c r="J125" s="466"/>
      <c r="K125" s="306"/>
      <c r="L125" s="306"/>
      <c r="M125" s="307"/>
      <c r="N125" s="307"/>
    </row>
    <row r="126" spans="1:55" x14ac:dyDescent="0.25">
      <c r="A126" s="922" t="s">
        <v>1286</v>
      </c>
      <c r="B126" s="834"/>
      <c r="C126" s="918"/>
      <c r="D126" s="918"/>
      <c r="E126" s="918"/>
      <c r="F126" s="918"/>
      <c r="G126" s="918"/>
      <c r="H126" s="918"/>
      <c r="I126" s="307"/>
      <c r="J126" s="466"/>
      <c r="K126" s="306"/>
      <c r="L126" s="306"/>
      <c r="M126" s="307"/>
      <c r="N126" s="307"/>
    </row>
    <row r="127" spans="1:55" x14ac:dyDescent="0.25">
      <c r="A127" s="918"/>
      <c r="B127" s="918"/>
      <c r="C127" s="918"/>
      <c r="D127" s="918"/>
      <c r="E127" s="918"/>
      <c r="F127" s="918"/>
      <c r="G127" s="918"/>
      <c r="H127" s="918"/>
      <c r="I127" s="307"/>
      <c r="J127" s="466"/>
      <c r="K127" s="306"/>
      <c r="L127" s="306"/>
      <c r="M127" s="307"/>
      <c r="N127" s="307"/>
    </row>
    <row r="128" spans="1:55" x14ac:dyDescent="0.25">
      <c r="A128" s="2444" t="s">
        <v>1281</v>
      </c>
      <c r="B128" s="2445"/>
      <c r="C128" s="2445"/>
      <c r="D128" s="2445"/>
      <c r="E128" s="2446"/>
      <c r="F128" s="918"/>
      <c r="G128" s="918"/>
      <c r="H128" s="918"/>
      <c r="I128" s="307"/>
      <c r="J128" s="466"/>
      <c r="K128" s="306"/>
      <c r="L128" s="306"/>
      <c r="M128" s="307"/>
      <c r="N128" s="307"/>
    </row>
    <row r="129" spans="1:55" s="291" customFormat="1" ht="51" customHeight="1" x14ac:dyDescent="0.25">
      <c r="A129" s="920" t="s">
        <v>998</v>
      </c>
      <c r="B129" s="921" t="s">
        <v>1282</v>
      </c>
      <c r="C129" s="921" t="s">
        <v>1283</v>
      </c>
      <c r="D129" s="2447" t="s">
        <v>999</v>
      </c>
      <c r="E129" s="2448"/>
      <c r="F129" s="820"/>
      <c r="G129" s="820"/>
      <c r="H129" s="820"/>
      <c r="I129" s="307"/>
      <c r="J129" s="466"/>
      <c r="K129" s="306"/>
      <c r="L129" s="306"/>
      <c r="M129" s="307"/>
      <c r="N129" s="307"/>
      <c r="O129" s="305"/>
      <c r="P129" s="305"/>
      <c r="Q129" s="305"/>
      <c r="R129" s="305"/>
      <c r="S129" s="305"/>
      <c r="T129" s="305"/>
      <c r="U129" s="305"/>
      <c r="V129" s="305"/>
      <c r="W129" s="305"/>
      <c r="X129" s="305"/>
      <c r="Y129" s="305"/>
      <c r="Z129" s="305"/>
      <c r="AA129" s="305"/>
      <c r="AB129" s="305"/>
      <c r="AC129" s="305"/>
      <c r="AD129" s="305"/>
      <c r="AE129" s="305"/>
      <c r="AF129" s="305"/>
      <c r="AG129" s="305"/>
      <c r="AH129" s="305"/>
      <c r="AI129" s="305"/>
      <c r="AJ129" s="305"/>
      <c r="AK129" s="305"/>
      <c r="AL129" s="305"/>
      <c r="AM129" s="305"/>
      <c r="AN129" s="305"/>
      <c r="AO129" s="305"/>
      <c r="AP129" s="305"/>
      <c r="AQ129" s="305"/>
      <c r="AR129" s="305"/>
      <c r="AS129" s="305"/>
      <c r="AT129" s="305"/>
      <c r="AU129" s="305"/>
      <c r="AV129" s="305"/>
      <c r="AW129" s="305"/>
      <c r="AX129" s="305"/>
      <c r="AY129" s="305"/>
      <c r="AZ129" s="305"/>
      <c r="BA129" s="305"/>
      <c r="BB129" s="305"/>
      <c r="BC129" s="305"/>
    </row>
    <row r="130" spans="1:55" s="291" customFormat="1" x14ac:dyDescent="0.25">
      <c r="A130" s="616" t="s">
        <v>993</v>
      </c>
      <c r="B130" s="176"/>
      <c r="C130" s="898">
        <v>150</v>
      </c>
      <c r="D130" s="2426" t="str">
        <f t="shared" ref="D130:D135" si="11">IF(B130&lt;&gt;0,ROUND(ABS(B130/C130-1),3),"")</f>
        <v/>
      </c>
      <c r="E130" s="2427"/>
      <c r="F130" s="820"/>
      <c r="G130" s="820"/>
      <c r="H130" s="820"/>
      <c r="I130" s="307"/>
      <c r="J130" s="466"/>
      <c r="K130" s="306"/>
      <c r="L130" s="306"/>
      <c r="M130" s="307"/>
      <c r="N130" s="307"/>
      <c r="O130" s="305"/>
      <c r="P130" s="305"/>
      <c r="Q130" s="305"/>
      <c r="R130" s="305"/>
      <c r="S130" s="305"/>
      <c r="T130" s="305"/>
      <c r="U130" s="305"/>
      <c r="V130" s="305"/>
      <c r="W130" s="305"/>
      <c r="X130" s="305"/>
      <c r="Y130" s="305"/>
      <c r="Z130" s="305"/>
      <c r="AA130" s="305"/>
      <c r="AB130" s="305"/>
      <c r="AC130" s="305"/>
      <c r="AD130" s="305"/>
      <c r="AE130" s="305"/>
      <c r="AF130" s="305"/>
      <c r="AG130" s="305"/>
      <c r="AH130" s="305"/>
      <c r="AI130" s="305"/>
      <c r="AJ130" s="305"/>
      <c r="AK130" s="305"/>
      <c r="AL130" s="305"/>
      <c r="AM130" s="305"/>
      <c r="AN130" s="305"/>
      <c r="AO130" s="305"/>
      <c r="AP130" s="305"/>
      <c r="AQ130" s="305"/>
      <c r="AR130" s="305"/>
      <c r="AS130" s="305"/>
      <c r="AT130" s="305"/>
      <c r="AU130" s="305"/>
      <c r="AV130" s="305"/>
      <c r="AW130" s="305"/>
      <c r="AX130" s="305"/>
      <c r="AY130" s="305"/>
      <c r="AZ130" s="305"/>
      <c r="BA130" s="305"/>
      <c r="BB130" s="305"/>
      <c r="BC130" s="305"/>
    </row>
    <row r="131" spans="1:55" s="291" customFormat="1" x14ac:dyDescent="0.25">
      <c r="A131" s="616" t="s">
        <v>992</v>
      </c>
      <c r="B131" s="176"/>
      <c r="C131" s="898">
        <v>150</v>
      </c>
      <c r="D131" s="2426" t="str">
        <f t="shared" si="11"/>
        <v/>
      </c>
      <c r="E131" s="2427"/>
      <c r="F131" s="820"/>
      <c r="G131" s="820"/>
      <c r="H131" s="820"/>
      <c r="I131" s="307"/>
      <c r="J131" s="466"/>
      <c r="K131" s="306"/>
      <c r="L131" s="306"/>
      <c r="M131" s="307"/>
      <c r="N131" s="307"/>
      <c r="O131" s="305"/>
      <c r="P131" s="305"/>
      <c r="Q131" s="305"/>
      <c r="R131" s="305"/>
      <c r="S131" s="305"/>
      <c r="T131" s="305"/>
      <c r="U131" s="305"/>
      <c r="V131" s="305"/>
      <c r="W131" s="305"/>
      <c r="X131" s="305"/>
      <c r="Y131" s="305"/>
      <c r="Z131" s="305"/>
      <c r="AA131" s="305"/>
      <c r="AB131" s="305"/>
      <c r="AC131" s="305"/>
      <c r="AD131" s="305"/>
      <c r="AE131" s="305"/>
      <c r="AF131" s="305"/>
      <c r="AG131" s="305"/>
      <c r="AH131" s="305"/>
      <c r="AI131" s="305"/>
      <c r="AJ131" s="305"/>
      <c r="AK131" s="305"/>
      <c r="AL131" s="305"/>
      <c r="AM131" s="305"/>
      <c r="AN131" s="305"/>
      <c r="AO131" s="305"/>
      <c r="AP131" s="305"/>
      <c r="AQ131" s="305"/>
      <c r="AR131" s="305"/>
      <c r="AS131" s="305"/>
      <c r="AT131" s="305"/>
      <c r="AU131" s="305"/>
      <c r="AV131" s="305"/>
      <c r="AW131" s="305"/>
      <c r="AX131" s="305"/>
      <c r="AY131" s="305"/>
      <c r="AZ131" s="305"/>
      <c r="BA131" s="305"/>
      <c r="BB131" s="305"/>
      <c r="BC131" s="305"/>
    </row>
    <row r="132" spans="1:55" s="291" customFormat="1" x14ac:dyDescent="0.25">
      <c r="A132" s="616" t="s">
        <v>994</v>
      </c>
      <c r="B132" s="176"/>
      <c r="C132" s="898">
        <f>B125</f>
        <v>0</v>
      </c>
      <c r="D132" s="2426" t="str">
        <f t="shared" si="11"/>
        <v/>
      </c>
      <c r="E132" s="2427"/>
      <c r="F132" s="820"/>
      <c r="G132" s="820"/>
      <c r="H132" s="820"/>
      <c r="I132" s="307"/>
      <c r="J132" s="466"/>
      <c r="K132" s="306"/>
      <c r="L132" s="306"/>
      <c r="M132" s="307"/>
      <c r="N132" s="307"/>
      <c r="O132" s="305"/>
      <c r="P132" s="305"/>
      <c r="Q132" s="305"/>
      <c r="R132" s="305"/>
      <c r="S132" s="305"/>
      <c r="T132" s="305"/>
      <c r="U132" s="305"/>
      <c r="V132" s="305"/>
      <c r="W132" s="305"/>
      <c r="X132" s="305"/>
      <c r="Y132" s="305"/>
      <c r="Z132" s="305"/>
      <c r="AA132" s="305"/>
      <c r="AB132" s="305"/>
      <c r="AC132" s="305"/>
      <c r="AD132" s="305"/>
      <c r="AE132" s="305"/>
      <c r="AF132" s="305"/>
      <c r="AG132" s="305"/>
      <c r="AH132" s="305"/>
      <c r="AI132" s="305"/>
      <c r="AJ132" s="305"/>
      <c r="AK132" s="305"/>
      <c r="AL132" s="305"/>
      <c r="AM132" s="305"/>
      <c r="AN132" s="305"/>
      <c r="AO132" s="305"/>
      <c r="AP132" s="305"/>
      <c r="AQ132" s="305"/>
      <c r="AR132" s="305"/>
      <c r="AS132" s="305"/>
      <c r="AT132" s="305"/>
      <c r="AU132" s="305"/>
      <c r="AV132" s="305"/>
      <c r="AW132" s="305"/>
      <c r="AX132" s="305"/>
      <c r="AY132" s="305"/>
      <c r="AZ132" s="305"/>
      <c r="BA132" s="305"/>
      <c r="BB132" s="305"/>
      <c r="BC132" s="305"/>
    </row>
    <row r="133" spans="1:55" s="291" customFormat="1" x14ac:dyDescent="0.25">
      <c r="A133" s="616" t="s">
        <v>995</v>
      </c>
      <c r="B133" s="176"/>
      <c r="C133" s="898">
        <f>B125</f>
        <v>0</v>
      </c>
      <c r="D133" s="2426" t="str">
        <f t="shared" si="11"/>
        <v/>
      </c>
      <c r="E133" s="2427"/>
      <c r="F133" s="820"/>
      <c r="G133" s="820"/>
      <c r="H133" s="820"/>
      <c r="I133" s="307"/>
      <c r="J133" s="466"/>
      <c r="K133" s="306"/>
      <c r="L133" s="306"/>
      <c r="M133" s="307"/>
      <c r="N133" s="307"/>
      <c r="O133" s="305"/>
      <c r="P133" s="305"/>
      <c r="Q133" s="305"/>
      <c r="R133" s="305"/>
      <c r="S133" s="305"/>
      <c r="T133" s="305"/>
      <c r="U133" s="305"/>
      <c r="V133" s="305"/>
      <c r="W133" s="305"/>
      <c r="X133" s="305"/>
      <c r="Y133" s="305"/>
      <c r="Z133" s="305"/>
      <c r="AA133" s="305"/>
      <c r="AB133" s="305"/>
      <c r="AC133" s="305"/>
      <c r="AD133" s="305"/>
      <c r="AE133" s="305"/>
      <c r="AF133" s="305"/>
      <c r="AG133" s="305"/>
      <c r="AH133" s="305"/>
      <c r="AI133" s="305"/>
      <c r="AJ133" s="305"/>
      <c r="AK133" s="305"/>
      <c r="AL133" s="305"/>
      <c r="AM133" s="305"/>
      <c r="AN133" s="305"/>
      <c r="AO133" s="305"/>
      <c r="AP133" s="305"/>
      <c r="AQ133" s="305"/>
      <c r="AR133" s="305"/>
      <c r="AS133" s="305"/>
      <c r="AT133" s="305"/>
      <c r="AU133" s="305"/>
      <c r="AV133" s="305"/>
      <c r="AW133" s="305"/>
      <c r="AX133" s="305"/>
      <c r="AY133" s="305"/>
      <c r="AZ133" s="305"/>
      <c r="BA133" s="305"/>
      <c r="BB133" s="305"/>
      <c r="BC133" s="305"/>
    </row>
    <row r="134" spans="1:55" s="291" customFormat="1" x14ac:dyDescent="0.25">
      <c r="A134" s="616" t="s">
        <v>996</v>
      </c>
      <c r="B134" s="176"/>
      <c r="C134" s="898">
        <f>B126</f>
        <v>0</v>
      </c>
      <c r="D134" s="2426" t="str">
        <f t="shared" si="11"/>
        <v/>
      </c>
      <c r="E134" s="2427"/>
      <c r="F134" s="305"/>
      <c r="G134" s="305"/>
      <c r="H134" s="305"/>
      <c r="I134" s="307"/>
      <c r="J134" s="466"/>
      <c r="K134" s="306"/>
      <c r="L134" s="306"/>
      <c r="M134" s="307"/>
      <c r="N134" s="307"/>
      <c r="O134" s="305"/>
      <c r="P134" s="305"/>
      <c r="Q134" s="305"/>
      <c r="R134" s="305"/>
      <c r="S134" s="305"/>
      <c r="T134" s="305"/>
      <c r="U134" s="305"/>
      <c r="V134" s="305"/>
      <c r="W134" s="305"/>
      <c r="X134" s="305"/>
      <c r="Y134" s="305"/>
      <c r="Z134" s="305"/>
      <c r="AA134" s="305"/>
      <c r="AB134" s="305"/>
      <c r="AC134" s="305"/>
      <c r="AD134" s="305"/>
      <c r="AE134" s="305"/>
      <c r="AF134" s="305"/>
      <c r="AG134" s="305"/>
      <c r="AH134" s="305"/>
      <c r="AI134" s="305"/>
      <c r="AJ134" s="305"/>
      <c r="AK134" s="305"/>
      <c r="AL134" s="305"/>
      <c r="AM134" s="305"/>
      <c r="AN134" s="305"/>
      <c r="AO134" s="305"/>
      <c r="AP134" s="305"/>
      <c r="AQ134" s="305"/>
      <c r="AR134" s="305"/>
      <c r="AS134" s="305"/>
      <c r="AT134" s="305"/>
      <c r="AU134" s="305"/>
      <c r="AV134" s="305"/>
      <c r="AW134" s="305"/>
      <c r="AX134" s="305"/>
      <c r="AY134" s="305"/>
      <c r="AZ134" s="305"/>
      <c r="BA134" s="305"/>
      <c r="BB134" s="305"/>
      <c r="BC134" s="305"/>
    </row>
    <row r="135" spans="1:55" s="291" customFormat="1" x14ac:dyDescent="0.25">
      <c r="A135" s="616" t="s">
        <v>997</v>
      </c>
      <c r="B135" s="176"/>
      <c r="C135" s="898">
        <f>B126</f>
        <v>0</v>
      </c>
      <c r="D135" s="2426" t="str">
        <f t="shared" si="11"/>
        <v/>
      </c>
      <c r="E135" s="2427"/>
      <c r="F135" s="305"/>
      <c r="G135" s="305"/>
      <c r="H135" s="305"/>
      <c r="I135" s="307"/>
      <c r="J135" s="466"/>
      <c r="K135" s="306"/>
      <c r="L135" s="306"/>
      <c r="M135" s="307"/>
      <c r="N135" s="307"/>
      <c r="O135" s="305"/>
      <c r="P135" s="305"/>
      <c r="Q135" s="305"/>
      <c r="R135" s="305"/>
      <c r="S135" s="305"/>
      <c r="T135" s="305"/>
      <c r="U135" s="305"/>
      <c r="V135" s="305"/>
      <c r="W135" s="305"/>
      <c r="X135" s="305"/>
      <c r="Y135" s="305"/>
      <c r="Z135" s="305"/>
      <c r="AA135" s="305"/>
      <c r="AB135" s="305"/>
      <c r="AC135" s="305"/>
      <c r="AD135" s="305"/>
      <c r="AE135" s="305"/>
      <c r="AF135" s="305"/>
      <c r="AG135" s="305"/>
      <c r="AH135" s="305"/>
      <c r="AI135" s="305"/>
      <c r="AJ135" s="305"/>
      <c r="AK135" s="305"/>
      <c r="AL135" s="305"/>
      <c r="AM135" s="305"/>
      <c r="AN135" s="305"/>
      <c r="AO135" s="305"/>
      <c r="AP135" s="305"/>
      <c r="AQ135" s="305"/>
      <c r="AR135" s="305"/>
      <c r="AS135" s="305"/>
      <c r="AT135" s="305"/>
      <c r="AU135" s="305"/>
      <c r="AV135" s="305"/>
      <c r="AW135" s="305"/>
      <c r="AX135" s="305"/>
      <c r="AY135" s="305"/>
      <c r="AZ135" s="305"/>
      <c r="BA135" s="305"/>
      <c r="BB135" s="305"/>
      <c r="BC135" s="305"/>
    </row>
    <row r="136" spans="1:55" s="291" customFormat="1" x14ac:dyDescent="0.25">
      <c r="A136" s="305"/>
      <c r="B136" s="305"/>
      <c r="C136" s="305"/>
      <c r="D136" s="305"/>
      <c r="E136" s="305"/>
      <c r="F136" s="305"/>
      <c r="G136" s="305"/>
      <c r="H136" s="305"/>
      <c r="I136" s="307"/>
      <c r="J136" s="466"/>
      <c r="K136" s="306"/>
      <c r="L136" s="306"/>
      <c r="M136" s="307"/>
      <c r="N136" s="307"/>
      <c r="O136" s="305"/>
      <c r="P136" s="305"/>
      <c r="Q136" s="305"/>
      <c r="R136" s="305"/>
      <c r="S136" s="305"/>
      <c r="T136" s="305"/>
      <c r="U136" s="305"/>
      <c r="V136" s="305"/>
      <c r="W136" s="305"/>
      <c r="X136" s="305"/>
      <c r="Y136" s="305"/>
      <c r="Z136" s="305"/>
      <c r="AA136" s="305"/>
      <c r="AB136" s="305"/>
      <c r="AC136" s="305"/>
      <c r="AD136" s="305"/>
      <c r="AE136" s="305"/>
      <c r="AF136" s="305"/>
      <c r="AG136" s="305"/>
      <c r="AH136" s="305"/>
      <c r="AI136" s="305"/>
      <c r="AJ136" s="305"/>
      <c r="AK136" s="305"/>
      <c r="AL136" s="305"/>
      <c r="AM136" s="305"/>
      <c r="AN136" s="305"/>
      <c r="AO136" s="305"/>
      <c r="AP136" s="305"/>
      <c r="AQ136" s="305"/>
      <c r="AR136" s="305"/>
      <c r="AS136" s="305"/>
      <c r="AT136" s="305"/>
      <c r="AU136" s="305"/>
      <c r="AV136" s="305"/>
      <c r="AW136" s="305"/>
      <c r="AX136" s="305"/>
      <c r="AY136" s="305"/>
      <c r="AZ136" s="305"/>
      <c r="BA136" s="305"/>
      <c r="BB136" s="305"/>
      <c r="BC136" s="305"/>
    </row>
    <row r="137" spans="1:55" s="291" customFormat="1" ht="15.75" thickBot="1" x14ac:dyDescent="0.3">
      <c r="A137" s="465"/>
      <c r="B137" s="307"/>
      <c r="C137" s="548"/>
      <c r="D137" s="548"/>
      <c r="E137" s="305"/>
      <c r="F137" s="305"/>
      <c r="G137" s="305"/>
      <c r="H137" s="305"/>
      <c r="I137" s="307"/>
      <c r="J137" s="466"/>
      <c r="K137" s="306"/>
      <c r="L137" s="306"/>
      <c r="M137" s="307"/>
      <c r="N137" s="307"/>
      <c r="O137" s="305"/>
      <c r="P137" s="305"/>
      <c r="Q137" s="305"/>
      <c r="R137" s="305"/>
      <c r="S137" s="305"/>
      <c r="T137" s="305"/>
      <c r="U137" s="305"/>
      <c r="V137" s="305"/>
      <c r="W137" s="305"/>
      <c r="X137" s="305"/>
      <c r="Y137" s="305"/>
      <c r="Z137" s="305"/>
      <c r="AA137" s="305"/>
      <c r="AB137" s="305"/>
      <c r="AC137" s="305"/>
      <c r="AD137" s="305"/>
      <c r="AE137" s="305"/>
      <c r="AF137" s="305"/>
      <c r="AG137" s="305"/>
      <c r="AH137" s="305"/>
      <c r="AI137" s="305"/>
      <c r="AJ137" s="305"/>
      <c r="AK137" s="305"/>
      <c r="AL137" s="305"/>
      <c r="AM137" s="305"/>
      <c r="AN137" s="305"/>
      <c r="AO137" s="305"/>
      <c r="AP137" s="305"/>
      <c r="AQ137" s="305"/>
      <c r="AR137" s="305"/>
      <c r="AS137" s="305"/>
      <c r="AT137" s="305"/>
      <c r="AU137" s="305"/>
      <c r="AV137" s="305"/>
      <c r="AW137" s="305"/>
      <c r="AX137" s="305"/>
      <c r="AY137" s="305"/>
      <c r="AZ137" s="305"/>
      <c r="BA137" s="305"/>
      <c r="BB137" s="305"/>
      <c r="BC137" s="305"/>
    </row>
    <row r="138" spans="1:55" s="291" customFormat="1" ht="15.75" thickBot="1" x14ac:dyDescent="0.3">
      <c r="A138" s="2420" t="s">
        <v>73</v>
      </c>
      <c r="B138" s="2422"/>
      <c r="C138" s="1962">
        <v>0.2</v>
      </c>
      <c r="D138" s="889"/>
      <c r="E138" s="889"/>
      <c r="F138" s="889" t="s">
        <v>2096</v>
      </c>
      <c r="G138" s="889"/>
      <c r="H138" s="889"/>
      <c r="I138" s="889"/>
      <c r="J138" s="1731">
        <f>ABS(1-J139/M139)</f>
        <v>0.10000000000000009</v>
      </c>
      <c r="K138" s="1731">
        <f>ABS(1-K139/L139)</f>
        <v>0.1428571428571429</v>
      </c>
      <c r="L138" s="1731">
        <f>ABS(1-L139/K139)</f>
        <v>0.16666666666666674</v>
      </c>
      <c r="M138" s="1731">
        <f>ABS(1-M139/J139)</f>
        <v>9.0909090909090939E-2</v>
      </c>
      <c r="N138" s="820"/>
      <c r="O138" s="305"/>
      <c r="P138" s="305"/>
      <c r="Q138" s="305"/>
      <c r="R138" s="305"/>
      <c r="S138" s="305"/>
      <c r="T138" s="305"/>
      <c r="U138" s="305"/>
      <c r="V138" s="305"/>
      <c r="W138" s="305"/>
      <c r="X138" s="305"/>
      <c r="Y138" s="305"/>
      <c r="Z138" s="305"/>
      <c r="AA138" s="305"/>
      <c r="AB138" s="305"/>
      <c r="AC138" s="305"/>
      <c r="AD138" s="305"/>
      <c r="AE138" s="305"/>
      <c r="AF138" s="305"/>
      <c r="AG138" s="305"/>
      <c r="AH138" s="305"/>
      <c r="AI138" s="305"/>
      <c r="AJ138" s="305"/>
      <c r="AK138" s="305"/>
      <c r="AL138" s="305"/>
      <c r="AM138" s="305"/>
      <c r="AN138" s="305"/>
      <c r="AO138" s="305"/>
      <c r="AP138" s="305"/>
      <c r="AQ138" s="305"/>
      <c r="AR138" s="305"/>
      <c r="AS138" s="305"/>
      <c r="AT138" s="305"/>
      <c r="AU138" s="305"/>
      <c r="AV138" s="305"/>
      <c r="AW138" s="305"/>
      <c r="AX138" s="305"/>
      <c r="AY138" s="305"/>
      <c r="AZ138" s="305"/>
      <c r="BA138" s="305"/>
      <c r="BB138" s="305"/>
      <c r="BC138" s="305"/>
    </row>
    <row r="139" spans="1:55" s="291" customFormat="1" x14ac:dyDescent="0.25">
      <c r="A139" s="549" t="s">
        <v>74</v>
      </c>
      <c r="B139" s="556"/>
      <c r="C139" s="1964" t="str">
        <f>IF(OR(J138&gt;$C$138,K138&gt;$C$138,L138&gt;$C$138,M138&gt;$C$138),"Não uniforme","Uniforme")</f>
        <v>Uniforme</v>
      </c>
      <c r="D139" s="1958">
        <v>16</v>
      </c>
      <c r="E139" s="1958">
        <v>11</v>
      </c>
      <c r="F139" s="1958">
        <v>5</v>
      </c>
      <c r="G139" s="1958">
        <v>12</v>
      </c>
      <c r="H139" s="1958">
        <v>15</v>
      </c>
      <c r="I139" s="889"/>
      <c r="J139" s="1963">
        <f>ABS(D139-$F$139)</f>
        <v>11</v>
      </c>
      <c r="K139" s="1963">
        <f>ABS(E139-$F$139)</f>
        <v>6</v>
      </c>
      <c r="L139" s="1963">
        <f>ABS(G139-$F$139)</f>
        <v>7</v>
      </c>
      <c r="M139" s="1963">
        <f>ABS(H139-$F$139)</f>
        <v>10</v>
      </c>
      <c r="N139" s="820"/>
      <c r="O139" s="305"/>
      <c r="P139" s="305"/>
      <c r="Q139" s="305"/>
      <c r="R139" s="305"/>
      <c r="S139" s="305"/>
      <c r="T139" s="305"/>
      <c r="U139" s="305"/>
      <c r="V139" s="305"/>
      <c r="W139" s="305"/>
      <c r="X139" s="305"/>
      <c r="Y139" s="305"/>
      <c r="Z139" s="305"/>
      <c r="AA139" s="305"/>
      <c r="AB139" s="305"/>
      <c r="AC139" s="305"/>
      <c r="AD139" s="305"/>
      <c r="AE139" s="305"/>
      <c r="AF139" s="305"/>
      <c r="AG139" s="305"/>
      <c r="AH139" s="305"/>
      <c r="AI139" s="305"/>
      <c r="AJ139" s="305"/>
      <c r="AK139" s="305"/>
      <c r="AL139" s="305"/>
      <c r="AM139" s="305"/>
      <c r="AN139" s="305"/>
      <c r="AO139" s="305"/>
      <c r="AP139" s="305"/>
      <c r="AQ139" s="305"/>
      <c r="AR139" s="305"/>
      <c r="AS139" s="305"/>
      <c r="AT139" s="305"/>
      <c r="AU139" s="305"/>
      <c r="AV139" s="305"/>
      <c r="AW139" s="305"/>
      <c r="AX139" s="305"/>
      <c r="AY139" s="305"/>
      <c r="AZ139" s="305"/>
      <c r="BA139" s="305"/>
      <c r="BB139" s="305"/>
      <c r="BC139" s="305"/>
    </row>
    <row r="140" spans="1:55" s="291" customFormat="1" ht="15.75" thickBot="1" x14ac:dyDescent="0.3">
      <c r="A140" s="550" t="s">
        <v>75</v>
      </c>
      <c r="B140" s="557"/>
      <c r="C140" s="1964" t="str">
        <f>IF(OR(J141&gt;$C$138,K141&gt;$C$138,L141&gt;$C$138,M141&gt;$C$138),"Não uniforme","Uniforme")</f>
        <v>Uniforme</v>
      </c>
      <c r="D140" s="1958">
        <v>16</v>
      </c>
      <c r="E140" s="1958">
        <v>11</v>
      </c>
      <c r="F140" s="1958">
        <v>5</v>
      </c>
      <c r="G140" s="1958">
        <v>12</v>
      </c>
      <c r="H140" s="1958">
        <v>15</v>
      </c>
      <c r="I140" s="889"/>
      <c r="J140" s="1963">
        <f>ABS(D140-$F$140)</f>
        <v>11</v>
      </c>
      <c r="K140" s="1963">
        <f>ABS(E140-$F$140)</f>
        <v>6</v>
      </c>
      <c r="L140" s="1963">
        <f>ABS(G140-$F$140)</f>
        <v>7</v>
      </c>
      <c r="M140" s="1963">
        <f>ABS(H140-$F$140)</f>
        <v>10</v>
      </c>
      <c r="N140" s="820"/>
      <c r="O140" s="305"/>
      <c r="P140" s="305"/>
      <c r="Q140" s="305"/>
      <c r="R140" s="305"/>
      <c r="S140" s="305"/>
      <c r="T140" s="305"/>
      <c r="U140" s="305"/>
      <c r="V140" s="305"/>
      <c r="W140" s="305"/>
      <c r="X140" s="305"/>
      <c r="Y140" s="305"/>
      <c r="Z140" s="305"/>
      <c r="AA140" s="305"/>
      <c r="AB140" s="305"/>
      <c r="AC140" s="305"/>
      <c r="AD140" s="305"/>
      <c r="AE140" s="305"/>
      <c r="AF140" s="305"/>
      <c r="AG140" s="305"/>
      <c r="AH140" s="305"/>
      <c r="AI140" s="305"/>
      <c r="AJ140" s="305"/>
      <c r="AK140" s="305"/>
      <c r="AL140" s="305"/>
      <c r="AM140" s="305"/>
      <c r="AN140" s="305"/>
      <c r="AO140" s="305"/>
      <c r="AP140" s="305"/>
      <c r="AQ140" s="305"/>
      <c r="AR140" s="305"/>
      <c r="AS140" s="305"/>
      <c r="AT140" s="305"/>
      <c r="AU140" s="305"/>
      <c r="AV140" s="305"/>
      <c r="AW140" s="305"/>
      <c r="AX140" s="305"/>
      <c r="AY140" s="305"/>
      <c r="AZ140" s="305"/>
      <c r="BA140" s="305"/>
      <c r="BB140" s="305"/>
      <c r="BC140" s="305"/>
    </row>
    <row r="141" spans="1:55" s="291" customFormat="1" x14ac:dyDescent="0.25">
      <c r="A141" s="820"/>
      <c r="B141" s="820"/>
      <c r="C141" s="820"/>
      <c r="D141" s="820"/>
      <c r="E141" s="820"/>
      <c r="F141" s="820"/>
      <c r="G141" s="820"/>
      <c r="H141" s="820"/>
      <c r="I141" s="1401"/>
      <c r="J141" s="1731">
        <f>ABS(1-J140/M140)</f>
        <v>0.10000000000000009</v>
      </c>
      <c r="K141" s="1731">
        <f>ABS(1-K140/L140)</f>
        <v>0.1428571428571429</v>
      </c>
      <c r="L141" s="1731">
        <f>ABS(1-L140/K140)</f>
        <v>0.16666666666666674</v>
      </c>
      <c r="M141" s="1731">
        <f>ABS(1-M140/J140)</f>
        <v>9.0909090909090939E-2</v>
      </c>
      <c r="N141" s="820"/>
      <c r="O141" s="820"/>
      <c r="P141" s="820"/>
      <c r="Q141" s="820"/>
      <c r="R141" s="820"/>
      <c r="S141" s="820"/>
      <c r="T141" s="820"/>
      <c r="U141" s="820"/>
      <c r="V141" s="820"/>
      <c r="W141" s="820"/>
      <c r="X141" s="820"/>
      <c r="Y141" s="820"/>
      <c r="Z141" s="820"/>
      <c r="AA141" s="820"/>
      <c r="AB141" s="820"/>
      <c r="AC141" s="820"/>
      <c r="AD141" s="820"/>
      <c r="AE141" s="820"/>
      <c r="AF141" s="820"/>
      <c r="AG141" s="820"/>
      <c r="AH141" s="820"/>
      <c r="AI141" s="820"/>
      <c r="AJ141" s="820"/>
      <c r="AK141" s="820"/>
      <c r="AL141" s="820"/>
      <c r="AM141" s="820"/>
      <c r="AN141" s="820"/>
      <c r="AO141" s="820"/>
      <c r="AP141" s="820"/>
      <c r="AQ141" s="820"/>
      <c r="AR141" s="820"/>
      <c r="AS141" s="820"/>
      <c r="AT141" s="820"/>
      <c r="AU141" s="820"/>
      <c r="AV141" s="820"/>
      <c r="AW141" s="820"/>
      <c r="AX141" s="820"/>
      <c r="AY141" s="820"/>
      <c r="AZ141" s="820"/>
      <c r="BA141" s="820"/>
      <c r="BB141" s="820"/>
      <c r="BC141" s="820"/>
    </row>
    <row r="142" spans="1:55" s="291" customFormat="1" x14ac:dyDescent="0.25">
      <c r="A142" s="820"/>
      <c r="B142" s="820"/>
      <c r="C142" s="820"/>
      <c r="D142" s="820"/>
      <c r="E142" s="820"/>
      <c r="F142" s="820"/>
      <c r="G142" s="820"/>
      <c r="H142" s="820"/>
      <c r="I142" s="1401"/>
      <c r="J142" s="466"/>
      <c r="K142" s="306"/>
      <c r="L142" s="1401"/>
      <c r="M142" s="1401"/>
      <c r="N142" s="820"/>
      <c r="O142" s="820"/>
      <c r="P142" s="820"/>
      <c r="Q142" s="820"/>
      <c r="R142" s="820"/>
      <c r="S142" s="820"/>
      <c r="T142" s="820"/>
      <c r="U142" s="820"/>
      <c r="V142" s="820"/>
      <c r="W142" s="820"/>
      <c r="X142" s="820"/>
      <c r="Y142" s="820"/>
      <c r="Z142" s="820"/>
      <c r="AA142" s="820"/>
      <c r="AB142" s="820"/>
      <c r="AC142" s="820"/>
      <c r="AD142" s="820"/>
      <c r="AE142" s="820"/>
      <c r="AF142" s="820"/>
      <c r="AG142" s="820"/>
      <c r="AH142" s="820"/>
      <c r="AI142" s="820"/>
      <c r="AJ142" s="820"/>
      <c r="AK142" s="820"/>
      <c r="AL142" s="820"/>
      <c r="AM142" s="820"/>
      <c r="AN142" s="820"/>
      <c r="AO142" s="820"/>
      <c r="AP142" s="820"/>
      <c r="AQ142" s="820"/>
      <c r="AR142" s="820"/>
      <c r="AS142" s="820"/>
      <c r="AT142" s="820"/>
      <c r="AU142" s="820"/>
      <c r="AV142" s="820"/>
      <c r="AW142" s="820"/>
      <c r="AX142" s="820"/>
      <c r="AY142" s="820"/>
      <c r="AZ142" s="820"/>
      <c r="BA142" s="820"/>
      <c r="BB142" s="820"/>
      <c r="BC142" s="820"/>
    </row>
    <row r="143" spans="1:55" s="291" customFormat="1" ht="15.75" thickBot="1" x14ac:dyDescent="0.3">
      <c r="A143" s="465"/>
      <c r="B143" s="551"/>
      <c r="C143" s="551"/>
      <c r="D143" s="305"/>
      <c r="E143" s="305"/>
      <c r="F143" s="305"/>
      <c r="G143" s="305"/>
      <c r="H143" s="305"/>
      <c r="I143" s="307"/>
      <c r="J143" s="466"/>
      <c r="K143" s="306"/>
      <c r="L143" s="306"/>
      <c r="M143" s="307"/>
      <c r="N143" s="307"/>
      <c r="O143" s="305"/>
      <c r="P143" s="305"/>
      <c r="Q143" s="305"/>
      <c r="R143" s="305"/>
      <c r="S143" s="305"/>
      <c r="T143" s="305"/>
      <c r="U143" s="305"/>
      <c r="V143" s="305"/>
      <c r="W143" s="305"/>
      <c r="X143" s="305"/>
      <c r="Y143" s="305"/>
      <c r="Z143" s="305"/>
      <c r="AA143" s="305"/>
      <c r="AB143" s="305"/>
      <c r="AC143" s="305"/>
      <c r="AD143" s="305"/>
      <c r="AE143" s="305"/>
      <c r="AF143" s="305"/>
      <c r="AG143" s="305"/>
      <c r="AH143" s="305"/>
      <c r="AI143" s="305"/>
      <c r="AJ143" s="305"/>
      <c r="AK143" s="305"/>
      <c r="AL143" s="305"/>
      <c r="AM143" s="305"/>
      <c r="AN143" s="305"/>
      <c r="AO143" s="305"/>
      <c r="AP143" s="305"/>
      <c r="AQ143" s="305"/>
      <c r="AR143" s="305"/>
      <c r="AS143" s="305"/>
      <c r="AT143" s="305"/>
      <c r="AU143" s="305"/>
      <c r="AV143" s="305"/>
      <c r="AW143" s="305"/>
      <c r="AX143" s="305"/>
      <c r="AY143" s="305"/>
      <c r="AZ143" s="305"/>
      <c r="BA143" s="305"/>
      <c r="BB143" s="305"/>
      <c r="BC143" s="305"/>
    </row>
    <row r="144" spans="1:55" s="291" customFormat="1" ht="15.75" thickBot="1" x14ac:dyDescent="0.3">
      <c r="A144" s="2420" t="s">
        <v>1038</v>
      </c>
      <c r="B144" s="2421"/>
      <c r="C144" s="2421"/>
      <c r="D144" s="2421"/>
      <c r="E144" s="2421"/>
      <c r="F144" s="2422"/>
      <c r="G144" s="305"/>
      <c r="H144" s="305"/>
      <c r="I144" s="307"/>
      <c r="J144" s="466"/>
      <c r="K144" s="306"/>
      <c r="L144" s="306"/>
      <c r="M144" s="307"/>
      <c r="N144" s="307"/>
      <c r="O144" s="305"/>
      <c r="P144" s="305"/>
      <c r="Q144" s="305"/>
      <c r="R144" s="305"/>
      <c r="S144" s="305"/>
      <c r="T144" s="305"/>
      <c r="U144" s="305"/>
      <c r="V144" s="305"/>
      <c r="W144" s="305"/>
      <c r="X144" s="305"/>
      <c r="Y144" s="305"/>
      <c r="Z144" s="305"/>
      <c r="AA144" s="305"/>
      <c r="AB144" s="305"/>
      <c r="AC144" s="305"/>
      <c r="AD144" s="305"/>
      <c r="AE144" s="305"/>
      <c r="AF144" s="305"/>
      <c r="AG144" s="305"/>
      <c r="AH144" s="305"/>
      <c r="AI144" s="305"/>
      <c r="AJ144" s="305"/>
      <c r="AK144" s="305"/>
      <c r="AL144" s="305"/>
      <c r="AM144" s="305"/>
      <c r="AN144" s="305"/>
      <c r="AO144" s="305"/>
      <c r="AP144" s="305"/>
      <c r="AQ144" s="305"/>
      <c r="AR144" s="305"/>
      <c r="AS144" s="305"/>
      <c r="AT144" s="305"/>
      <c r="AU144" s="305"/>
      <c r="AV144" s="305"/>
      <c r="AW144" s="305"/>
      <c r="AX144" s="305"/>
      <c r="AY144" s="305"/>
      <c r="AZ144" s="305"/>
      <c r="BA144" s="305"/>
      <c r="BB144" s="305"/>
      <c r="BC144" s="305"/>
    </row>
    <row r="145" spans="1:55" s="291" customFormat="1" x14ac:dyDescent="0.25">
      <c r="A145" s="820"/>
      <c r="B145" s="820"/>
      <c r="C145" s="820"/>
      <c r="D145" s="820"/>
      <c r="E145" s="820"/>
      <c r="F145" s="820"/>
      <c r="G145" s="820"/>
      <c r="H145" s="820"/>
      <c r="I145" s="1112"/>
      <c r="J145" s="466"/>
      <c r="K145" s="306"/>
      <c r="L145" s="306"/>
      <c r="M145" s="1112"/>
      <c r="N145" s="1112"/>
      <c r="O145" s="820"/>
      <c r="P145" s="820"/>
      <c r="Q145" s="820"/>
      <c r="R145" s="820"/>
      <c r="S145" s="820"/>
      <c r="T145" s="820"/>
      <c r="U145" s="820"/>
      <c r="V145" s="820"/>
      <c r="W145" s="820"/>
      <c r="X145" s="820"/>
      <c r="Y145" s="820"/>
      <c r="Z145" s="820"/>
      <c r="AA145" s="820"/>
      <c r="AB145" s="820"/>
      <c r="AC145" s="820"/>
      <c r="AD145" s="820"/>
      <c r="AE145" s="820"/>
      <c r="AF145" s="820"/>
      <c r="AG145" s="820"/>
      <c r="AH145" s="820"/>
      <c r="AI145" s="820"/>
      <c r="AJ145" s="820"/>
      <c r="AK145" s="820"/>
      <c r="AL145" s="820"/>
      <c r="AM145" s="820"/>
      <c r="AN145" s="820"/>
      <c r="AO145" s="820"/>
      <c r="AP145" s="820"/>
      <c r="AQ145" s="820"/>
      <c r="AR145" s="820"/>
      <c r="AS145" s="820"/>
      <c r="AT145" s="820"/>
      <c r="AU145" s="820"/>
      <c r="AV145" s="820"/>
      <c r="AW145" s="820"/>
      <c r="AX145" s="820"/>
      <c r="AY145" s="820"/>
      <c r="AZ145" s="820"/>
      <c r="BA145" s="820"/>
      <c r="BB145" s="820"/>
      <c r="BC145" s="820"/>
    </row>
    <row r="146" spans="1:55" s="291" customFormat="1" x14ac:dyDescent="0.25">
      <c r="A146" s="889"/>
      <c r="B146" s="2425" t="s">
        <v>1394</v>
      </c>
      <c r="C146" s="2425"/>
      <c r="D146" s="2425" t="s">
        <v>1395</v>
      </c>
      <c r="E146" s="2425"/>
      <c r="F146" s="820"/>
      <c r="G146" s="820"/>
      <c r="H146" s="820"/>
      <c r="I146" s="1112"/>
      <c r="J146" s="466"/>
      <c r="K146" s="306"/>
      <c r="L146" s="306"/>
      <c r="M146" s="1112"/>
      <c r="N146" s="1112"/>
      <c r="O146" s="820"/>
      <c r="P146" s="820"/>
      <c r="Q146" s="820"/>
      <c r="R146" s="820"/>
      <c r="S146" s="820"/>
      <c r="T146" s="820"/>
      <c r="U146" s="820"/>
      <c r="V146" s="820"/>
      <c r="W146" s="820"/>
      <c r="X146" s="820"/>
      <c r="Y146" s="820"/>
      <c r="Z146" s="820"/>
      <c r="AA146" s="820"/>
      <c r="AB146" s="820"/>
      <c r="AC146" s="820"/>
      <c r="AD146" s="820"/>
      <c r="AE146" s="820"/>
      <c r="AF146" s="820"/>
      <c r="AG146" s="820"/>
      <c r="AH146" s="820"/>
      <c r="AI146" s="820"/>
      <c r="AJ146" s="820"/>
      <c r="AK146" s="820"/>
      <c r="AL146" s="820"/>
      <c r="AM146" s="820"/>
      <c r="AN146" s="820"/>
      <c r="AO146" s="820"/>
      <c r="AP146" s="820"/>
      <c r="AQ146" s="820"/>
      <c r="AR146" s="820"/>
      <c r="AS146" s="820"/>
      <c r="AT146" s="820"/>
      <c r="AU146" s="820"/>
      <c r="AV146" s="820"/>
      <c r="AW146" s="820"/>
      <c r="AX146" s="820"/>
      <c r="AY146" s="820"/>
      <c r="AZ146" s="820"/>
      <c r="BA146" s="820"/>
      <c r="BB146" s="820"/>
      <c r="BC146" s="820"/>
    </row>
    <row r="147" spans="1:55" s="291" customFormat="1" x14ac:dyDescent="0.25">
      <c r="A147" s="1042" t="s">
        <v>541</v>
      </c>
      <c r="B147" s="400"/>
      <c r="C147" s="1125" t="s">
        <v>546</v>
      </c>
      <c r="D147" s="400"/>
      <c r="E147" s="1125" t="s">
        <v>546</v>
      </c>
      <c r="F147" s="305"/>
      <c r="G147" s="305"/>
      <c r="H147" s="305"/>
      <c r="I147" s="307"/>
      <c r="J147" s="466"/>
      <c r="K147" s="306"/>
      <c r="L147" s="306"/>
      <c r="M147" s="307"/>
      <c r="N147" s="307"/>
      <c r="O147" s="305"/>
      <c r="P147" s="305"/>
      <c r="Q147" s="305"/>
      <c r="R147" s="305"/>
      <c r="S147" s="305"/>
      <c r="T147" s="305"/>
      <c r="U147" s="305"/>
      <c r="V147" s="305"/>
      <c r="W147" s="305"/>
      <c r="X147" s="305"/>
      <c r="Y147" s="305"/>
      <c r="Z147" s="305"/>
      <c r="AA147" s="305"/>
      <c r="AB147" s="305"/>
      <c r="AC147" s="305"/>
      <c r="AD147" s="305"/>
      <c r="AE147" s="305"/>
      <c r="AF147" s="305"/>
      <c r="AG147" s="305"/>
      <c r="AH147" s="305"/>
      <c r="AI147" s="305"/>
      <c r="AJ147" s="305"/>
      <c r="AK147" s="305"/>
      <c r="AL147" s="305"/>
      <c r="AM147" s="305"/>
      <c r="AN147" s="305"/>
      <c r="AO147" s="305"/>
      <c r="AP147" s="305"/>
      <c r="AQ147" s="305"/>
      <c r="AR147" s="305"/>
      <c r="AS147" s="305"/>
      <c r="AT147" s="305"/>
      <c r="AU147" s="305"/>
      <c r="AV147" s="305"/>
      <c r="AW147" s="305"/>
      <c r="AX147" s="305"/>
      <c r="AY147" s="305"/>
      <c r="AZ147" s="305"/>
      <c r="BA147" s="305"/>
      <c r="BB147" s="305"/>
      <c r="BC147" s="305"/>
    </row>
    <row r="148" spans="1:55" s="291" customFormat="1" x14ac:dyDescent="0.25">
      <c r="A148" s="1042" t="s">
        <v>542</v>
      </c>
      <c r="B148" s="400"/>
      <c r="C148" s="1125" t="e">
        <f>ABS(B148/$B$147-1)</f>
        <v>#DIV/0!</v>
      </c>
      <c r="D148" s="400"/>
      <c r="E148" s="1125" t="e">
        <f>ABS(D148/$D$147-1)</f>
        <v>#DIV/0!</v>
      </c>
      <c r="F148" s="305"/>
      <c r="G148" s="305"/>
      <c r="H148" s="305"/>
      <c r="I148" s="307"/>
      <c r="J148" s="466"/>
      <c r="K148" s="306"/>
      <c r="L148" s="306"/>
      <c r="M148" s="307"/>
      <c r="N148" s="307"/>
      <c r="O148" s="305"/>
      <c r="P148" s="305"/>
      <c r="Q148" s="305"/>
      <c r="R148" s="305"/>
      <c r="S148" s="305"/>
      <c r="T148" s="305"/>
      <c r="U148" s="305"/>
      <c r="V148" s="305"/>
      <c r="W148" s="305"/>
      <c r="X148" s="305"/>
      <c r="Y148" s="305"/>
      <c r="Z148" s="305"/>
      <c r="AA148" s="305"/>
      <c r="AB148" s="305"/>
      <c r="AC148" s="305"/>
      <c r="AD148" s="305"/>
      <c r="AE148" s="305"/>
      <c r="AF148" s="305"/>
      <c r="AG148" s="305"/>
      <c r="AH148" s="305"/>
      <c r="AI148" s="305"/>
      <c r="AJ148" s="305"/>
      <c r="AK148" s="305"/>
      <c r="AL148" s="305"/>
      <c r="AM148" s="305"/>
      <c r="AN148" s="305"/>
      <c r="AO148" s="305"/>
      <c r="AP148" s="305"/>
      <c r="AQ148" s="305"/>
      <c r="AR148" s="305"/>
      <c r="AS148" s="305"/>
      <c r="AT148" s="305"/>
      <c r="AU148" s="305"/>
      <c r="AV148" s="305"/>
      <c r="AW148" s="305"/>
      <c r="AX148" s="305"/>
      <c r="AY148" s="305"/>
      <c r="AZ148" s="305"/>
      <c r="BA148" s="305"/>
      <c r="BB148" s="305"/>
      <c r="BC148" s="305"/>
    </row>
    <row r="149" spans="1:55" s="291" customFormat="1" x14ac:dyDescent="0.25">
      <c r="A149" s="1042" t="s">
        <v>543</v>
      </c>
      <c r="B149" s="400"/>
      <c r="C149" s="1125" t="e">
        <f>ABS(B149/$B$147-1)</f>
        <v>#DIV/0!</v>
      </c>
      <c r="D149" s="400"/>
      <c r="E149" s="1125" t="e">
        <f>ABS(D149/$D$147-1)</f>
        <v>#DIV/0!</v>
      </c>
      <c r="F149" s="305"/>
      <c r="G149" s="305"/>
      <c r="H149" s="305"/>
      <c r="I149" s="307"/>
      <c r="J149" s="466"/>
      <c r="K149" s="306"/>
      <c r="L149" s="306"/>
      <c r="M149" s="307"/>
      <c r="N149" s="307"/>
      <c r="O149" s="305"/>
      <c r="P149" s="305"/>
      <c r="Q149" s="305"/>
      <c r="R149" s="305"/>
      <c r="S149" s="305"/>
      <c r="T149" s="305"/>
      <c r="U149" s="305"/>
      <c r="V149" s="305"/>
      <c r="W149" s="305"/>
      <c r="X149" s="305"/>
      <c r="Y149" s="305"/>
      <c r="Z149" s="305"/>
      <c r="AA149" s="305"/>
      <c r="AB149" s="305"/>
      <c r="AC149" s="305"/>
      <c r="AD149" s="305"/>
      <c r="AE149" s="305"/>
      <c r="AF149" s="305"/>
      <c r="AG149" s="305"/>
      <c r="AH149" s="305"/>
      <c r="AI149" s="305"/>
      <c r="AJ149" s="305"/>
      <c r="AK149" s="305"/>
      <c r="AL149" s="305"/>
      <c r="AM149" s="305"/>
      <c r="AN149" s="305"/>
      <c r="AO149" s="305"/>
      <c r="AP149" s="305"/>
      <c r="AQ149" s="305"/>
      <c r="AR149" s="305"/>
      <c r="AS149" s="305"/>
      <c r="AT149" s="305"/>
      <c r="AU149" s="305"/>
      <c r="AV149" s="305"/>
      <c r="AW149" s="305"/>
      <c r="AX149" s="305"/>
      <c r="AY149" s="305"/>
      <c r="AZ149" s="305"/>
      <c r="BA149" s="305"/>
      <c r="BB149" s="305"/>
      <c r="BC149" s="305"/>
    </row>
    <row r="150" spans="1:55" s="291" customFormat="1" x14ac:dyDescent="0.25">
      <c r="A150" s="1042" t="s">
        <v>544</v>
      </c>
      <c r="B150" s="400"/>
      <c r="C150" s="1125" t="e">
        <f>ABS(B150/$B$147-1)</f>
        <v>#DIV/0!</v>
      </c>
      <c r="D150" s="400"/>
      <c r="E150" s="1125" t="e">
        <f>ABS(D150/$D$147-1)</f>
        <v>#DIV/0!</v>
      </c>
      <c r="F150" s="305"/>
      <c r="G150" s="305"/>
      <c r="H150" s="305"/>
      <c r="I150" s="307"/>
      <c r="J150" s="466"/>
      <c r="K150" s="306"/>
      <c r="L150" s="306"/>
      <c r="M150" s="307"/>
      <c r="N150" s="307"/>
      <c r="O150" s="305"/>
      <c r="P150" s="305"/>
      <c r="Q150" s="305"/>
      <c r="R150" s="305"/>
      <c r="S150" s="305"/>
      <c r="T150" s="305"/>
      <c r="U150" s="305"/>
      <c r="V150" s="305"/>
      <c r="W150" s="305"/>
      <c r="X150" s="305"/>
      <c r="Y150" s="305"/>
      <c r="Z150" s="305"/>
      <c r="AA150" s="305"/>
      <c r="AB150" s="305"/>
      <c r="AC150" s="305"/>
      <c r="AD150" s="305"/>
      <c r="AE150" s="305"/>
      <c r="AF150" s="305"/>
      <c r="AG150" s="305"/>
      <c r="AH150" s="305"/>
      <c r="AI150" s="305"/>
      <c r="AJ150" s="305"/>
      <c r="AK150" s="305"/>
      <c r="AL150" s="305"/>
      <c r="AM150" s="305"/>
      <c r="AN150" s="305"/>
      <c r="AO150" s="305"/>
      <c r="AP150" s="305"/>
      <c r="AQ150" s="305"/>
      <c r="AR150" s="305"/>
      <c r="AS150" s="305"/>
      <c r="AT150" s="305"/>
      <c r="AU150" s="305"/>
      <c r="AV150" s="305"/>
      <c r="AW150" s="305"/>
      <c r="AX150" s="305"/>
      <c r="AY150" s="305"/>
      <c r="AZ150" s="305"/>
      <c r="BA150" s="305"/>
      <c r="BB150" s="305"/>
      <c r="BC150" s="305"/>
    </row>
    <row r="151" spans="1:55" s="291" customFormat="1" x14ac:dyDescent="0.25">
      <c r="A151" s="1042" t="s">
        <v>545</v>
      </c>
      <c r="B151" s="400"/>
      <c r="C151" s="1125" t="e">
        <f>ABS(B151/$B$147-1)</f>
        <v>#DIV/0!</v>
      </c>
      <c r="D151" s="400"/>
      <c r="E151" s="1125" t="e">
        <f>ABS(D151/$D$147-1)</f>
        <v>#DIV/0!</v>
      </c>
      <c r="F151" s="305"/>
      <c r="G151" s="305"/>
      <c r="H151" s="305"/>
      <c r="I151" s="307"/>
      <c r="J151" s="466"/>
      <c r="K151" s="306"/>
      <c r="L151" s="306"/>
      <c r="M151" s="307"/>
      <c r="N151" s="307"/>
      <c r="O151" s="305"/>
      <c r="P151" s="305"/>
      <c r="Q151" s="305"/>
      <c r="R151" s="305"/>
      <c r="S151" s="305"/>
      <c r="T151" s="305"/>
      <c r="U151" s="305"/>
      <c r="V151" s="305"/>
      <c r="W151" s="305"/>
      <c r="X151" s="305"/>
      <c r="Y151" s="305"/>
      <c r="Z151" s="305"/>
      <c r="AA151" s="305"/>
      <c r="AB151" s="305"/>
      <c r="AC151" s="305"/>
      <c r="AD151" s="305"/>
      <c r="AE151" s="305"/>
      <c r="AF151" s="305"/>
      <c r="AG151" s="305"/>
      <c r="AH151" s="305"/>
      <c r="AI151" s="305"/>
      <c r="AJ151" s="305"/>
      <c r="AK151" s="305"/>
      <c r="AL151" s="305"/>
      <c r="AM151" s="305"/>
      <c r="AN151" s="305"/>
      <c r="AO151" s="305"/>
      <c r="AP151" s="305"/>
      <c r="AQ151" s="305"/>
      <c r="AR151" s="305"/>
      <c r="AS151" s="305"/>
      <c r="AT151" s="305"/>
      <c r="AU151" s="305"/>
      <c r="AV151" s="305"/>
      <c r="AW151" s="305"/>
      <c r="AX151" s="305"/>
      <c r="AY151" s="305"/>
      <c r="AZ151" s="305"/>
      <c r="BA151" s="305"/>
      <c r="BB151" s="305"/>
      <c r="BC151" s="305"/>
    </row>
    <row r="152" spans="1:55" s="291" customFormat="1" x14ac:dyDescent="0.25">
      <c r="A152" s="1042" t="s">
        <v>1122</v>
      </c>
      <c r="B152" s="1042" t="e">
        <f>ROUND(LARGE(C148:C151,1)*100,1)&amp;" %"</f>
        <v>#DIV/0!</v>
      </c>
      <c r="C152" s="1126" t="e">
        <f>LARGE(C148:C151,1)</f>
        <v>#DIV/0!</v>
      </c>
      <c r="D152" s="1042" t="e">
        <f>ROUND(LARGE(E148:E151,1)*100,1)&amp;" %"</f>
        <v>#DIV/0!</v>
      </c>
      <c r="E152" s="1126" t="e">
        <f>LARGE(E148:E151,1)</f>
        <v>#DIV/0!</v>
      </c>
      <c r="F152" s="305"/>
      <c r="G152" s="305"/>
      <c r="H152" s="305"/>
      <c r="I152" s="307"/>
      <c r="J152" s="466"/>
      <c r="K152" s="306"/>
      <c r="L152" s="306"/>
      <c r="M152" s="307"/>
      <c r="N152" s="307"/>
      <c r="O152" s="305"/>
      <c r="P152" s="305"/>
      <c r="Q152" s="305"/>
      <c r="R152" s="305"/>
      <c r="S152" s="305"/>
      <c r="T152" s="305"/>
      <c r="U152" s="305"/>
      <c r="V152" s="305"/>
      <c r="W152" s="305"/>
      <c r="X152" s="305"/>
      <c r="Y152" s="305"/>
      <c r="Z152" s="305"/>
      <c r="AA152" s="305"/>
      <c r="AB152" s="305"/>
      <c r="AC152" s="305"/>
      <c r="AD152" s="305"/>
      <c r="AE152" s="305"/>
      <c r="AF152" s="305"/>
      <c r="AG152" s="305"/>
      <c r="AH152" s="305"/>
      <c r="AI152" s="305"/>
      <c r="AJ152" s="305"/>
      <c r="AK152" s="305"/>
      <c r="AL152" s="305"/>
      <c r="AM152" s="305"/>
      <c r="AN152" s="305"/>
      <c r="AO152" s="305"/>
      <c r="AP152" s="305"/>
      <c r="AQ152" s="305"/>
      <c r="AR152" s="305"/>
      <c r="AS152" s="305"/>
      <c r="AT152" s="305"/>
      <c r="AU152" s="305"/>
      <c r="AV152" s="305"/>
      <c r="AW152" s="305"/>
      <c r="AX152" s="305"/>
      <c r="AY152" s="305"/>
      <c r="AZ152" s="305"/>
      <c r="BA152" s="305"/>
      <c r="BB152" s="305"/>
      <c r="BC152" s="305"/>
    </row>
    <row r="153" spans="1:55" s="291" customFormat="1" x14ac:dyDescent="0.25">
      <c r="A153" s="1042" t="str">
        <f>$B$1</f>
        <v>IN 90</v>
      </c>
      <c r="B153" s="1127" t="str">
        <f>IF(Cabeçalho!$G$20&lt;&gt;"DR","NA",IFERROR(IF(C152&gt;0.2,"Restrição",IF(C152&gt;0.1,"Não","Sim")),"NPA"))</f>
        <v>NA</v>
      </c>
      <c r="C153" s="889"/>
      <c r="D153" s="1127" t="str">
        <f>IF(Cabeçalho!$G$20&lt;&gt;"DR","NA",IFERROR(IF(E152&gt;0.2,"Restrição",IF(E152&gt;0.1,"Não","Sim")),"NPA"))</f>
        <v>NA</v>
      </c>
      <c r="E153" s="889"/>
      <c r="F153" s="305"/>
      <c r="G153" s="305"/>
      <c r="H153" s="305"/>
      <c r="I153" s="307"/>
      <c r="J153" s="466"/>
      <c r="K153" s="306"/>
      <c r="L153" s="306"/>
      <c r="M153" s="307"/>
      <c r="N153" s="307"/>
      <c r="O153" s="305"/>
      <c r="P153" s="305"/>
      <c r="Q153" s="305"/>
      <c r="R153" s="305"/>
      <c r="S153" s="305"/>
      <c r="T153" s="305"/>
      <c r="U153" s="305"/>
      <c r="V153" s="305"/>
      <c r="W153" s="305"/>
      <c r="X153" s="305"/>
      <c r="Y153" s="305"/>
      <c r="Z153" s="305"/>
      <c r="AA153" s="305"/>
      <c r="AB153" s="305"/>
      <c r="AC153" s="305"/>
      <c r="AD153" s="305"/>
      <c r="AE153" s="305"/>
      <c r="AF153" s="305"/>
      <c r="AG153" s="305"/>
      <c r="AH153" s="305"/>
      <c r="AI153" s="305"/>
      <c r="AJ153" s="305"/>
      <c r="AK153" s="305"/>
      <c r="AL153" s="305"/>
      <c r="AM153" s="305"/>
      <c r="AN153" s="305"/>
      <c r="AO153" s="305"/>
      <c r="AP153" s="305"/>
      <c r="AQ153" s="305"/>
      <c r="AR153" s="305"/>
      <c r="AS153" s="305"/>
      <c r="AT153" s="305"/>
      <c r="AU153" s="305"/>
      <c r="AV153" s="305"/>
      <c r="AW153" s="305"/>
      <c r="AX153" s="305"/>
      <c r="AY153" s="305"/>
      <c r="AZ153" s="305"/>
      <c r="BA153" s="305"/>
      <c r="BB153" s="305"/>
      <c r="BC153" s="305"/>
    </row>
    <row r="154" spans="1:55" s="291" customFormat="1" ht="15.75" thickBot="1" x14ac:dyDescent="0.3">
      <c r="A154" s="1228"/>
      <c r="B154" s="1229"/>
      <c r="C154" s="889"/>
      <c r="D154" s="1229"/>
      <c r="E154" s="889"/>
      <c r="F154" s="820"/>
      <c r="G154" s="820"/>
      <c r="H154" s="820"/>
      <c r="I154" s="1226"/>
      <c r="J154" s="466"/>
      <c r="K154" s="306"/>
      <c r="L154" s="306"/>
      <c r="M154" s="1226"/>
      <c r="N154" s="1226"/>
      <c r="O154" s="820"/>
      <c r="P154" s="820"/>
      <c r="Q154" s="820"/>
      <c r="R154" s="820"/>
      <c r="S154" s="820"/>
      <c r="T154" s="820"/>
      <c r="U154" s="820"/>
      <c r="V154" s="820"/>
      <c r="W154" s="820"/>
      <c r="X154" s="820"/>
      <c r="Y154" s="820"/>
      <c r="Z154" s="820"/>
      <c r="AA154" s="820"/>
      <c r="AB154" s="820"/>
      <c r="AC154" s="820"/>
      <c r="AD154" s="820"/>
      <c r="AE154" s="820"/>
      <c r="AF154" s="820"/>
      <c r="AG154" s="820"/>
      <c r="AH154" s="820"/>
      <c r="AI154" s="820"/>
      <c r="AJ154" s="820"/>
      <c r="AK154" s="820"/>
      <c r="AL154" s="820"/>
      <c r="AM154" s="820"/>
      <c r="AN154" s="820"/>
      <c r="AO154" s="820"/>
      <c r="AP154" s="820"/>
      <c r="AQ154" s="820"/>
      <c r="AR154" s="820"/>
      <c r="AS154" s="820"/>
      <c r="AT154" s="820"/>
      <c r="AU154" s="820"/>
      <c r="AV154" s="820"/>
      <c r="AW154" s="820"/>
      <c r="AX154" s="820"/>
      <c r="AY154" s="820"/>
      <c r="AZ154" s="820"/>
      <c r="BA154" s="820"/>
      <c r="BB154" s="820"/>
      <c r="BC154" s="820"/>
    </row>
    <row r="155" spans="1:55" s="291" customFormat="1" ht="15.75" thickBot="1" x14ac:dyDescent="0.3">
      <c r="A155" s="1639" t="s">
        <v>1483</v>
      </c>
      <c r="B155" s="1230" t="s">
        <v>1484</v>
      </c>
      <c r="C155" s="889"/>
      <c r="D155" s="1229"/>
      <c r="E155" s="889"/>
      <c r="F155" s="400" t="s">
        <v>272</v>
      </c>
      <c r="G155" s="820"/>
      <c r="H155" s="820"/>
      <c r="I155" s="1226"/>
      <c r="J155" s="466"/>
      <c r="K155" s="306"/>
      <c r="L155" s="306"/>
      <c r="M155" s="1226"/>
      <c r="N155" s="1226"/>
      <c r="O155" s="820"/>
      <c r="P155" s="820"/>
      <c r="Q155" s="820"/>
      <c r="R155" s="820"/>
      <c r="S155" s="820"/>
      <c r="T155" s="820"/>
      <c r="U155" s="820"/>
      <c r="V155" s="820"/>
      <c r="W155" s="820"/>
      <c r="X155" s="820"/>
      <c r="Y155" s="820"/>
      <c r="Z155" s="820"/>
      <c r="AA155" s="820"/>
      <c r="AB155" s="820"/>
      <c r="AC155" s="820"/>
      <c r="AD155" s="820"/>
      <c r="AE155" s="820"/>
      <c r="AF155" s="820"/>
      <c r="AG155" s="820"/>
      <c r="AH155" s="820"/>
      <c r="AI155" s="820"/>
      <c r="AJ155" s="820"/>
      <c r="AK155" s="820"/>
      <c r="AL155" s="820"/>
      <c r="AM155" s="820"/>
      <c r="AN155" s="820"/>
      <c r="AO155" s="820"/>
      <c r="AP155" s="820"/>
      <c r="AQ155" s="820"/>
      <c r="AR155" s="820"/>
      <c r="AS155" s="820"/>
      <c r="AT155" s="820"/>
      <c r="AU155" s="820"/>
      <c r="AV155" s="820"/>
      <c r="AW155" s="820"/>
      <c r="AX155" s="820"/>
      <c r="AY155" s="820"/>
      <c r="AZ155" s="820"/>
      <c r="BA155" s="820"/>
      <c r="BB155" s="820"/>
      <c r="BC155" s="820"/>
    </row>
    <row r="156" spans="1:55" s="291" customFormat="1" ht="15.75" thickBot="1" x14ac:dyDescent="0.3">
      <c r="A156" s="820"/>
      <c r="B156" s="820"/>
      <c r="C156" s="820"/>
      <c r="D156" s="820"/>
      <c r="E156" s="820"/>
      <c r="F156" s="820"/>
      <c r="G156" s="820"/>
      <c r="H156" s="820"/>
      <c r="I156" s="1112"/>
      <c r="J156" s="466"/>
      <c r="K156" s="306"/>
      <c r="L156" s="306"/>
      <c r="M156" s="1112"/>
      <c r="N156" s="1112"/>
      <c r="O156" s="820"/>
      <c r="P156" s="820"/>
      <c r="Q156" s="820"/>
      <c r="R156" s="820"/>
      <c r="S156" s="820"/>
      <c r="T156" s="820"/>
      <c r="U156" s="820"/>
      <c r="V156" s="820"/>
      <c r="W156" s="820"/>
      <c r="X156" s="820"/>
      <c r="Y156" s="820"/>
      <c r="Z156" s="820"/>
      <c r="AA156" s="820"/>
      <c r="AB156" s="820"/>
      <c r="AC156" s="820"/>
      <c r="AD156" s="820"/>
      <c r="AE156" s="820"/>
      <c r="AF156" s="820"/>
      <c r="AG156" s="820"/>
      <c r="AH156" s="820"/>
      <c r="AI156" s="820"/>
      <c r="AJ156" s="820"/>
      <c r="AK156" s="820"/>
      <c r="AL156" s="820"/>
      <c r="AM156" s="820"/>
      <c r="AN156" s="820"/>
      <c r="AO156" s="820"/>
      <c r="AP156" s="820"/>
      <c r="AQ156" s="820"/>
      <c r="AR156" s="820"/>
      <c r="AS156" s="820"/>
      <c r="AT156" s="820"/>
      <c r="AU156" s="820"/>
      <c r="AV156" s="820"/>
      <c r="AW156" s="820"/>
      <c r="AX156" s="820"/>
      <c r="AY156" s="820"/>
      <c r="AZ156" s="820"/>
      <c r="BA156" s="820"/>
      <c r="BB156" s="820"/>
      <c r="BC156" s="820"/>
    </row>
    <row r="157" spans="1:55" s="351" customFormat="1" ht="15.75" thickBot="1" x14ac:dyDescent="0.3">
      <c r="A157" s="2420" t="s">
        <v>1304</v>
      </c>
      <c r="B157" s="2421"/>
      <c r="C157" s="2421"/>
      <c r="D157" s="2421"/>
      <c r="E157" s="2421"/>
      <c r="F157" s="2421"/>
      <c r="G157" s="2421"/>
      <c r="H157" s="2421"/>
      <c r="I157" s="2421"/>
      <c r="J157" s="2421"/>
      <c r="K157" s="2421"/>
      <c r="L157" s="2421"/>
      <c r="M157" s="2422"/>
      <c r="N157" s="417"/>
    </row>
    <row r="158" spans="1:55" ht="15.75" thickBot="1" x14ac:dyDescent="0.3">
      <c r="A158" s="918"/>
      <c r="B158" s="918"/>
      <c r="C158" s="918"/>
      <c r="D158" s="918"/>
      <c r="E158" s="918"/>
      <c r="I158" s="307"/>
      <c r="J158" s="466"/>
      <c r="K158" s="306"/>
      <c r="L158" s="306"/>
      <c r="M158" s="307"/>
      <c r="N158" s="307"/>
    </row>
    <row r="159" spans="1:55" s="291" customFormat="1" x14ac:dyDescent="0.25">
      <c r="A159" s="2440" t="s">
        <v>1047</v>
      </c>
      <c r="B159" s="2441"/>
      <c r="C159" s="2441"/>
      <c r="D159" s="2441"/>
      <c r="E159" s="2442"/>
      <c r="F159" s="305"/>
      <c r="I159" s="307"/>
      <c r="J159" s="466"/>
      <c r="K159" s="306"/>
      <c r="L159" s="306"/>
      <c r="M159" s="307"/>
      <c r="N159" s="307"/>
      <c r="O159" s="305"/>
      <c r="P159" s="305"/>
      <c r="Q159" s="305"/>
      <c r="R159" s="305"/>
      <c r="S159" s="305"/>
      <c r="T159" s="305"/>
      <c r="U159" s="305"/>
      <c r="V159" s="305"/>
      <c r="W159" s="305"/>
      <c r="X159" s="305"/>
      <c r="Y159" s="305"/>
      <c r="Z159" s="305"/>
      <c r="AA159" s="305"/>
      <c r="AB159" s="305"/>
      <c r="AC159" s="305"/>
      <c r="AD159" s="305"/>
      <c r="AE159" s="305"/>
      <c r="AF159" s="305"/>
      <c r="AG159" s="305"/>
      <c r="AH159" s="305"/>
      <c r="AI159" s="305"/>
      <c r="AJ159" s="305"/>
      <c r="AK159" s="305"/>
      <c r="AL159" s="305"/>
      <c r="AM159" s="305"/>
      <c r="AN159" s="305"/>
      <c r="AO159" s="305"/>
      <c r="AP159" s="305"/>
      <c r="AQ159" s="305"/>
      <c r="AR159" s="305"/>
      <c r="AS159" s="305"/>
      <c r="AT159" s="305"/>
      <c r="AU159" s="305"/>
      <c r="AV159" s="305"/>
      <c r="AW159" s="305"/>
      <c r="AX159" s="305"/>
      <c r="AY159" s="305"/>
      <c r="AZ159" s="305"/>
      <c r="BA159" s="305"/>
      <c r="BB159" s="305"/>
      <c r="BC159" s="305"/>
    </row>
    <row r="160" spans="1:55" s="291" customFormat="1" x14ac:dyDescent="0.25">
      <c r="A160" s="761"/>
      <c r="B160" s="693"/>
      <c r="C160" s="693"/>
      <c r="D160" s="542"/>
      <c r="E160" s="1388"/>
      <c r="F160" s="305"/>
      <c r="I160" s="307"/>
      <c r="J160" s="466"/>
      <c r="K160" s="306"/>
      <c r="L160" s="306"/>
      <c r="M160" s="307"/>
      <c r="N160" s="307"/>
      <c r="O160" s="305"/>
      <c r="P160" s="305"/>
      <c r="Q160" s="305"/>
      <c r="R160" s="305"/>
      <c r="S160" s="305"/>
      <c r="T160" s="305"/>
      <c r="U160" s="305"/>
      <c r="V160" s="305"/>
      <c r="W160" s="305"/>
      <c r="X160" s="305"/>
      <c r="Y160" s="305"/>
      <c r="Z160" s="305"/>
      <c r="AA160" s="305"/>
      <c r="AB160" s="305"/>
      <c r="AC160" s="305"/>
      <c r="AD160" s="305"/>
      <c r="AE160" s="305"/>
      <c r="AF160" s="305"/>
      <c r="AG160" s="305"/>
      <c r="AH160" s="305"/>
      <c r="AI160" s="305"/>
      <c r="AJ160" s="305"/>
      <c r="AK160" s="305"/>
      <c r="AL160" s="305"/>
      <c r="AM160" s="305"/>
      <c r="AN160" s="305"/>
      <c r="AO160" s="305"/>
      <c r="AP160" s="305"/>
      <c r="AQ160" s="305"/>
      <c r="AR160" s="305"/>
      <c r="AS160" s="305"/>
      <c r="AT160" s="305"/>
      <c r="AU160" s="305"/>
      <c r="AV160" s="305"/>
      <c r="AW160" s="305"/>
      <c r="AX160" s="305"/>
      <c r="AY160" s="305"/>
      <c r="AZ160" s="305"/>
      <c r="BA160" s="305"/>
      <c r="BB160" s="305"/>
      <c r="BC160" s="305"/>
    </row>
    <row r="161" spans="1:55" s="291" customFormat="1" x14ac:dyDescent="0.25">
      <c r="A161" s="543"/>
      <c r="B161" s="541" t="s">
        <v>583</v>
      </c>
      <c r="C161" s="693"/>
      <c r="D161" s="542"/>
      <c r="E161" s="1388"/>
      <c r="F161" s="305"/>
      <c r="G161" s="305"/>
      <c r="H161" s="305"/>
      <c r="I161" s="307"/>
      <c r="J161" s="466"/>
      <c r="K161" s="306"/>
      <c r="L161" s="306"/>
      <c r="M161" s="307"/>
      <c r="N161" s="307"/>
      <c r="O161" s="305"/>
      <c r="P161" s="305"/>
      <c r="Q161" s="305"/>
      <c r="R161" s="305"/>
      <c r="S161" s="305"/>
      <c r="T161" s="305"/>
      <c r="U161" s="305"/>
      <c r="V161" s="305"/>
      <c r="W161" s="305"/>
      <c r="X161" s="305"/>
      <c r="Y161" s="305"/>
      <c r="Z161" s="305"/>
      <c r="AA161" s="305"/>
      <c r="AB161" s="305"/>
      <c r="AC161" s="305"/>
      <c r="AD161" s="305"/>
      <c r="AE161" s="305"/>
      <c r="AF161" s="305"/>
      <c r="AG161" s="305"/>
      <c r="AH161" s="305"/>
      <c r="AI161" s="305"/>
      <c r="AJ161" s="305"/>
      <c r="AK161" s="305"/>
      <c r="AL161" s="305"/>
      <c r="AM161" s="305"/>
      <c r="AN161" s="305"/>
      <c r="AO161" s="305"/>
      <c r="AP161" s="305"/>
      <c r="AQ161" s="305"/>
      <c r="AR161" s="305"/>
      <c r="AS161" s="305"/>
      <c r="AT161" s="305"/>
      <c r="AU161" s="305"/>
      <c r="AV161" s="305"/>
      <c r="AW161" s="305"/>
      <c r="AX161" s="305"/>
      <c r="AY161" s="305"/>
      <c r="AZ161" s="305"/>
      <c r="BA161" s="305"/>
      <c r="BB161" s="305"/>
      <c r="BC161" s="305"/>
    </row>
    <row r="162" spans="1:55" s="291" customFormat="1" ht="15.75" thickBot="1" x14ac:dyDescent="0.3">
      <c r="A162" s="543" t="s">
        <v>1039</v>
      </c>
      <c r="B162" s="59"/>
      <c r="C162" s="544" t="e">
        <f>VLOOKUP(B162,Tabelas!$A$3:$B$15,2)</f>
        <v>#N/A</v>
      </c>
      <c r="D162" s="545" t="s">
        <v>1048</v>
      </c>
      <c r="E162" s="496"/>
      <c r="F162" s="305"/>
      <c r="G162" s="305"/>
      <c r="H162" s="305"/>
      <c r="I162" s="307"/>
      <c r="J162" s="466"/>
      <c r="K162" s="306"/>
      <c r="L162" s="306"/>
      <c r="M162" s="307"/>
      <c r="N162" s="307"/>
      <c r="O162" s="305"/>
      <c r="P162" s="305"/>
      <c r="Q162" s="305"/>
      <c r="R162" s="305"/>
      <c r="S162" s="305"/>
      <c r="T162" s="305"/>
      <c r="U162" s="305"/>
      <c r="V162" s="305"/>
      <c r="W162" s="305"/>
      <c r="X162" s="305"/>
      <c r="Y162" s="305"/>
      <c r="Z162" s="305"/>
      <c r="AA162" s="305"/>
      <c r="AB162" s="305"/>
      <c r="AC162" s="305"/>
      <c r="AD162" s="305"/>
      <c r="AE162" s="305"/>
      <c r="AF162" s="305"/>
      <c r="AG162" s="305"/>
      <c r="AH162" s="305"/>
      <c r="AI162" s="305"/>
      <c r="AJ162" s="305"/>
      <c r="AK162" s="305"/>
      <c r="AL162" s="305"/>
      <c r="AM162" s="305"/>
      <c r="AN162" s="305"/>
      <c r="AO162" s="305"/>
      <c r="AP162" s="305"/>
      <c r="AQ162" s="305"/>
      <c r="AR162" s="305"/>
      <c r="AS162" s="305"/>
      <c r="AT162" s="305"/>
      <c r="AU162" s="305"/>
      <c r="AV162" s="305"/>
      <c r="AW162" s="305"/>
      <c r="AX162" s="305"/>
      <c r="AY162" s="305"/>
      <c r="AZ162" s="305"/>
      <c r="BA162" s="305"/>
      <c r="BB162" s="305"/>
      <c r="BC162" s="305"/>
    </row>
    <row r="163" spans="1:55" s="291" customFormat="1" ht="15.75" thickBot="1" x14ac:dyDescent="0.3">
      <c r="A163" s="547" t="s">
        <v>23</v>
      </c>
      <c r="B163" s="59"/>
      <c r="C163" s="1389" t="e">
        <f>VLOOKUP(B163,Tabelas!$A$3:$B$15,2)</f>
        <v>#N/A</v>
      </c>
      <c r="D163" s="1390" t="s">
        <v>1048</v>
      </c>
      <c r="E163" s="1391"/>
      <c r="F163" s="305"/>
      <c r="G163" s="305"/>
      <c r="H163" s="305"/>
      <c r="I163" s="307"/>
      <c r="J163" s="466"/>
      <c r="K163" s="306"/>
      <c r="L163" s="306"/>
      <c r="M163" s="307"/>
      <c r="N163" s="307"/>
      <c r="O163" s="305"/>
      <c r="P163" s="305"/>
      <c r="Q163" s="305"/>
      <c r="R163" s="305"/>
      <c r="S163" s="305"/>
      <c r="T163" s="305"/>
      <c r="U163" s="305"/>
      <c r="V163" s="305"/>
      <c r="W163" s="305"/>
      <c r="X163" s="305"/>
      <c r="Y163" s="305"/>
      <c r="Z163" s="305"/>
      <c r="AA163" s="305"/>
      <c r="AB163" s="305"/>
      <c r="AC163" s="305"/>
      <c r="AD163" s="305"/>
      <c r="AE163" s="305"/>
      <c r="AF163" s="305"/>
      <c r="AG163" s="305"/>
      <c r="AH163" s="305"/>
      <c r="AI163" s="305"/>
      <c r="AJ163" s="305"/>
      <c r="AK163" s="305"/>
      <c r="AL163" s="305"/>
      <c r="AM163" s="305"/>
      <c r="AN163" s="305"/>
      <c r="AO163" s="305"/>
      <c r="AP163" s="305"/>
      <c r="AQ163" s="305"/>
      <c r="AR163" s="305"/>
      <c r="AS163" s="305"/>
      <c r="AT163" s="305"/>
      <c r="AU163" s="305"/>
      <c r="AV163" s="305"/>
      <c r="AW163" s="305"/>
      <c r="AX163" s="305"/>
      <c r="AY163" s="305"/>
      <c r="AZ163" s="305"/>
      <c r="BA163" s="305"/>
      <c r="BB163" s="305"/>
      <c r="BC163" s="305"/>
    </row>
    <row r="164" spans="1:55" s="291" customFormat="1" x14ac:dyDescent="0.25">
      <c r="A164" s="305"/>
      <c r="B164" s="305"/>
      <c r="C164" s="305"/>
      <c r="D164" s="305"/>
      <c r="E164" s="305"/>
      <c r="F164" s="305"/>
      <c r="G164" s="305"/>
      <c r="H164" s="305"/>
      <c r="I164" s="307"/>
      <c r="J164" s="466"/>
      <c r="K164" s="306"/>
      <c r="L164" s="306"/>
      <c r="M164" s="307"/>
      <c r="N164" s="307"/>
      <c r="O164" s="305"/>
      <c r="P164" s="305"/>
      <c r="Q164" s="305"/>
      <c r="R164" s="305"/>
      <c r="S164" s="305"/>
      <c r="T164" s="305"/>
      <c r="U164" s="305"/>
      <c r="V164" s="305"/>
      <c r="W164" s="305"/>
      <c r="X164" s="305"/>
      <c r="Y164" s="305"/>
      <c r="Z164" s="305"/>
      <c r="AA164" s="305"/>
      <c r="AB164" s="305"/>
      <c r="AC164" s="305"/>
      <c r="AD164" s="305"/>
      <c r="AE164" s="305"/>
      <c r="AF164" s="305"/>
      <c r="AG164" s="305"/>
      <c r="AH164" s="305"/>
      <c r="AI164" s="305"/>
      <c r="AJ164" s="305"/>
      <c r="AK164" s="305"/>
      <c r="AL164" s="305"/>
      <c r="AM164" s="305"/>
      <c r="AN164" s="305"/>
      <c r="AO164" s="305"/>
      <c r="AP164" s="305"/>
      <c r="AQ164" s="305"/>
      <c r="AR164" s="305"/>
      <c r="AS164" s="305"/>
      <c r="AT164" s="305"/>
      <c r="AU164" s="305"/>
      <c r="AV164" s="305"/>
      <c r="AW164" s="305"/>
      <c r="AX164" s="305"/>
      <c r="AY164" s="305"/>
      <c r="AZ164" s="305"/>
      <c r="BA164" s="305"/>
      <c r="BB164" s="305"/>
      <c r="BC164" s="305"/>
    </row>
    <row r="165" spans="1:55" x14ac:dyDescent="0.25">
      <c r="A165" s="465" t="s">
        <v>307</v>
      </c>
      <c r="B165" s="176" t="s">
        <v>1303</v>
      </c>
      <c r="C165" s="918"/>
      <c r="D165" s="1392" t="str">
        <f>IF($A$167="CR","","No laudo, para sistemas "&amp;A167&amp;", só aparecerá um resultado por foco (o pior).")</f>
        <v>No laudo, para sistemas 0, só aparecerá um resultado por foco (o pior).</v>
      </c>
      <c r="E165" s="918"/>
      <c r="I165" s="307"/>
      <c r="J165" s="466"/>
      <c r="K165" s="306"/>
      <c r="L165" s="306"/>
      <c r="M165" s="307"/>
      <c r="N165" s="307"/>
    </row>
    <row r="166" spans="1:55" x14ac:dyDescent="0.25">
      <c r="A166" s="918"/>
      <c r="B166" s="918"/>
      <c r="C166" s="918"/>
      <c r="D166" s="918"/>
      <c r="E166" s="918"/>
      <c r="I166" s="307"/>
      <c r="J166" s="466"/>
      <c r="K166" s="306"/>
      <c r="N166" s="307"/>
    </row>
    <row r="167" spans="1:55" ht="15.75" customHeight="1" x14ac:dyDescent="0.25">
      <c r="A167" s="922">
        <f>Cabeçalho!G20</f>
        <v>0</v>
      </c>
      <c r="B167" s="1411" t="s">
        <v>1305</v>
      </c>
      <c r="C167" s="1411" t="s">
        <v>1305</v>
      </c>
      <c r="D167" s="1411" t="s">
        <v>1305</v>
      </c>
      <c r="E167" s="1411" t="s">
        <v>1305</v>
      </c>
      <c r="F167" s="1411" t="s">
        <v>1305</v>
      </c>
      <c r="G167" s="1411" t="s">
        <v>1305</v>
      </c>
      <c r="H167" s="1411" t="s">
        <v>1305</v>
      </c>
      <c r="I167" s="1411" t="s">
        <v>1305</v>
      </c>
      <c r="J167" s="1411" t="s">
        <v>1305</v>
      </c>
      <c r="K167" s="1523" t="s">
        <v>1305</v>
      </c>
      <c r="L167" s="2413" t="s">
        <v>1259</v>
      </c>
      <c r="M167" s="2414"/>
      <c r="N167" s="1219"/>
    </row>
    <row r="168" spans="1:55" x14ac:dyDescent="0.25">
      <c r="A168" s="1220" t="s">
        <v>1482</v>
      </c>
      <c r="B168" s="1058"/>
      <c r="C168" s="1387">
        <f>B168</f>
        <v>0</v>
      </c>
      <c r="D168" s="1058"/>
      <c r="E168" s="1387">
        <f>D168</f>
        <v>0</v>
      </c>
      <c r="F168" s="1058"/>
      <c r="G168" s="1387">
        <f>F168</f>
        <v>0</v>
      </c>
      <c r="H168" s="1058"/>
      <c r="I168" s="1387">
        <f>H168</f>
        <v>0</v>
      </c>
      <c r="J168" s="1058"/>
      <c r="K168" s="1531">
        <f>J168</f>
        <v>0</v>
      </c>
      <c r="L168" s="2415"/>
      <c r="M168" s="2416"/>
      <c r="N168" s="1219"/>
    </row>
    <row r="169" spans="1:55" x14ac:dyDescent="0.25">
      <c r="A169" s="908" t="s">
        <v>16</v>
      </c>
      <c r="B169" s="1058"/>
      <c r="C169" s="907"/>
      <c r="D169" s="1058"/>
      <c r="E169" s="1058"/>
      <c r="F169" s="1058"/>
      <c r="G169" s="1058"/>
      <c r="H169" s="1058"/>
      <c r="I169" s="1058"/>
      <c r="J169" s="1058"/>
      <c r="K169" s="150"/>
      <c r="L169" s="2415"/>
      <c r="M169" s="2416"/>
      <c r="N169" s="1219"/>
    </row>
    <row r="170" spans="1:55" ht="15.75" thickBot="1" x14ac:dyDescent="0.3">
      <c r="A170" s="1393" t="s">
        <v>199</v>
      </c>
      <c r="B170" s="776"/>
      <c r="C170" s="776"/>
      <c r="D170" s="776"/>
      <c r="E170" s="776"/>
      <c r="F170" s="776"/>
      <c r="G170" s="776"/>
      <c r="H170" s="776"/>
      <c r="I170" s="776"/>
      <c r="J170" s="776"/>
      <c r="K170" s="1532"/>
      <c r="L170" s="2417"/>
      <c r="M170" s="2418"/>
      <c r="N170" s="1219"/>
    </row>
    <row r="171" spans="1:55" ht="15.75" thickBot="1" x14ac:dyDescent="0.3">
      <c r="A171" s="1395" t="s">
        <v>1300</v>
      </c>
      <c r="B171" s="1396"/>
      <c r="C171" s="1396"/>
      <c r="D171" s="1396"/>
      <c r="E171" s="1396"/>
      <c r="F171" s="1396"/>
      <c r="G171" s="1396"/>
      <c r="H171" s="1396"/>
      <c r="I171" s="1396"/>
      <c r="J171" s="1396"/>
      <c r="K171" s="1533"/>
      <c r="L171" s="1537" t="str">
        <f>B167</f>
        <v>FG</v>
      </c>
      <c r="M171" s="1537" t="s">
        <v>1305</v>
      </c>
      <c r="N171" s="1219"/>
    </row>
    <row r="172" spans="1:55" ht="15.75" thickBot="1" x14ac:dyDescent="0.3">
      <c r="A172" s="1530" t="s">
        <v>1302</v>
      </c>
      <c r="B172" s="1529" t="str">
        <f>IFERROR(IF($B$165="TOR_CDR",ROUND(VLOOKUP(B171,TORCDR_REspacial[],2,FALSE),3),"NPA"),"")</f>
        <v/>
      </c>
      <c r="C172" s="1394" t="str">
        <f>IFERROR(IF($B$165="TOR_CDR",ROUND(VLOOKUP(C171,TORCDR_REspacial[],2,FALSE),3),"NPA"),"")</f>
        <v/>
      </c>
      <c r="D172" s="1394" t="str">
        <f>IFERROR(IF($B$165="TOR_CDR",ROUND(VLOOKUP(D171,TORCDR_REspacial[],2,FALSE),3),"NPA"),"")</f>
        <v/>
      </c>
      <c r="E172" s="1394" t="str">
        <f>IFERROR(IF($B$165="TOR_CDR",ROUND(VLOOKUP(E171,TORCDR_REspacial[],2,FALSE),3),"NPA"),"")</f>
        <v/>
      </c>
      <c r="F172" s="1394" t="str">
        <f>IFERROR(IF($B$165="TOR_CDR",ROUND(VLOOKUP(F171,TORCDR_REspacial[],2,FALSE),3),"NPA"),"")</f>
        <v/>
      </c>
      <c r="G172" s="1394" t="str">
        <f>IFERROR(IF($B$165="TOR_CDR",ROUND(VLOOKUP(G171,TORCDR_REspacial[],2,FALSE),3),"NPA"),"")</f>
        <v/>
      </c>
      <c r="H172" s="1394" t="str">
        <f>IFERROR(IF($B$165="TOR_CDR",ROUND(VLOOKUP(H171,TORCDR_REspacial[],2,FALSE),3),"NPA"),"")</f>
        <v/>
      </c>
      <c r="I172" s="1394" t="str">
        <f>IFERROR(IF($B$165="TOR_CDR",ROUND(VLOOKUP(I171,TORCDR_REspacial[],2,FALSE),3),"NPA"),"")</f>
        <v/>
      </c>
      <c r="J172" s="1528" t="str">
        <f>IFERROR(IF($B$165="TOR_CDR",ROUND(VLOOKUP(J171,TORCDR_REspacial[],2,FALSE),3),"NPA"),"")</f>
        <v/>
      </c>
      <c r="K172" s="1534" t="str">
        <f>IFERROR(IF($B$165="TOR_CDR",ROUND(VLOOKUP(K171,TORCDR_REspacial[],2,FALSE),3),"NPA"),"")</f>
        <v/>
      </c>
      <c r="L172" s="1536" t="e">
        <f>IF(MIN(B172,D172,F172,H172,J172)=0,ERROR.TYPE(1),MIN(B172,D172,F172,H172,J172))</f>
        <v>#N/A</v>
      </c>
      <c r="M172" s="1536" t="e">
        <f>IF(MIN(C172,E172,G172,I172,K172)=0,ERROR.TYPE(1),MIN(C172,E172,G172,I172,K172))</f>
        <v>#N/A</v>
      </c>
      <c r="N172" s="1219"/>
    </row>
    <row r="173" spans="1:55" ht="15.75" thickBot="1" x14ac:dyDescent="0.3">
      <c r="A173" s="1395" t="s">
        <v>902</v>
      </c>
      <c r="B173" s="1396"/>
      <c r="C173" s="1396"/>
      <c r="D173" s="1396"/>
      <c r="E173" s="1396"/>
      <c r="F173" s="1396"/>
      <c r="G173" s="1396"/>
      <c r="H173" s="1396"/>
      <c r="I173" s="1396"/>
      <c r="J173" s="1396"/>
      <c r="K173" s="1533"/>
      <c r="L173" s="1521" t="e">
        <f>HLOOKUP(L172,B172:K173,2)</f>
        <v>#N/A</v>
      </c>
      <c r="M173" s="1521" t="e">
        <f>HLOOKUP(M172,B172:K173,2)</f>
        <v>#N/A</v>
      </c>
      <c r="N173" s="1401"/>
    </row>
    <row r="174" spans="1:55" x14ac:dyDescent="0.25">
      <c r="A174" s="335" t="str">
        <f>B1</f>
        <v>IN 90</v>
      </c>
      <c r="B174" s="922" t="str">
        <f>IF(B172&lt;B173,"Não","Sim")</f>
        <v>Sim</v>
      </c>
      <c r="C174" s="922" t="str">
        <f t="shared" ref="C174:K174" si="12">IF(C172&lt;C173,"Não","Sim")</f>
        <v>Sim</v>
      </c>
      <c r="D174" s="922" t="str">
        <f t="shared" si="12"/>
        <v>Sim</v>
      </c>
      <c r="E174" s="922" t="str">
        <f t="shared" si="12"/>
        <v>Sim</v>
      </c>
      <c r="F174" s="922" t="str">
        <f t="shared" si="12"/>
        <v>Sim</v>
      </c>
      <c r="G174" s="922" t="str">
        <f t="shared" si="12"/>
        <v>Sim</v>
      </c>
      <c r="H174" s="922" t="str">
        <f t="shared" si="12"/>
        <v>Sim</v>
      </c>
      <c r="I174" s="922" t="str">
        <f t="shared" si="12"/>
        <v>Sim</v>
      </c>
      <c r="J174" s="922" t="str">
        <f t="shared" si="12"/>
        <v>Sim</v>
      </c>
      <c r="K174" s="1535" t="str">
        <f t="shared" si="12"/>
        <v>Sim</v>
      </c>
      <c r="L174" s="1267" t="s">
        <v>142</v>
      </c>
      <c r="M174" s="1267" t="s">
        <v>142</v>
      </c>
      <c r="N174" s="1219"/>
    </row>
    <row r="175" spans="1:55" ht="15.75" thickBot="1" x14ac:dyDescent="0.3">
      <c r="I175" s="1382"/>
      <c r="J175" s="466"/>
      <c r="K175" s="306"/>
      <c r="L175" s="306"/>
      <c r="M175" s="1382"/>
      <c r="N175" s="1382"/>
    </row>
    <row r="176" spans="1:55" s="291" customFormat="1" ht="15.75" x14ac:dyDescent="0.25">
      <c r="A176" s="922">
        <f>A167</f>
        <v>0</v>
      </c>
      <c r="B176" s="1411" t="s">
        <v>1305</v>
      </c>
      <c r="C176" s="1411" t="s">
        <v>1305</v>
      </c>
      <c r="D176" s="1411" t="s">
        <v>1305</v>
      </c>
      <c r="E176" s="1411" t="s">
        <v>1305</v>
      </c>
      <c r="F176" s="1411" t="s">
        <v>1305</v>
      </c>
      <c r="G176" s="1411" t="s">
        <v>1305</v>
      </c>
      <c r="H176" s="1411" t="s">
        <v>1305</v>
      </c>
      <c r="I176" s="1411" t="s">
        <v>1305</v>
      </c>
      <c r="J176" s="1411" t="s">
        <v>1305</v>
      </c>
      <c r="K176" s="1411" t="s">
        <v>1305</v>
      </c>
      <c r="L176" s="2429" t="s">
        <v>1259</v>
      </c>
      <c r="M176" s="2430"/>
      <c r="N176" s="307"/>
      <c r="O176" s="305"/>
      <c r="P176" s="305"/>
      <c r="Q176" s="305"/>
      <c r="R176" s="305"/>
      <c r="S176" s="305"/>
      <c r="T176" s="305"/>
      <c r="U176" s="305"/>
      <c r="V176" s="305"/>
      <c r="W176" s="305"/>
      <c r="X176" s="305"/>
      <c r="Y176" s="305"/>
      <c r="Z176" s="305"/>
      <c r="AA176" s="305"/>
      <c r="AB176" s="305"/>
      <c r="AC176" s="305"/>
      <c r="AD176" s="305"/>
      <c r="AE176" s="305"/>
      <c r="AF176" s="305"/>
      <c r="AG176" s="305"/>
      <c r="AH176" s="305"/>
      <c r="AI176" s="305"/>
      <c r="AJ176" s="305"/>
      <c r="AK176" s="305"/>
      <c r="AL176" s="305"/>
      <c r="AM176" s="305"/>
      <c r="AN176" s="305"/>
      <c r="AO176" s="305"/>
      <c r="AP176" s="305"/>
      <c r="AQ176" s="305"/>
      <c r="AR176" s="305"/>
      <c r="AS176" s="305"/>
      <c r="AT176" s="305"/>
      <c r="AU176" s="305"/>
      <c r="AV176" s="305"/>
      <c r="AW176" s="305"/>
      <c r="AX176" s="305"/>
      <c r="AY176" s="305"/>
      <c r="AZ176" s="305"/>
      <c r="BA176" s="305"/>
      <c r="BB176" s="305"/>
      <c r="BC176" s="305"/>
    </row>
    <row r="177" spans="1:55" s="291" customFormat="1" x14ac:dyDescent="0.25">
      <c r="A177" s="1383" t="s">
        <v>1482</v>
      </c>
      <c r="B177" s="1058">
        <f t="shared" ref="B177:K177" si="13">B168</f>
        <v>0</v>
      </c>
      <c r="C177" s="1387">
        <f t="shared" si="13"/>
        <v>0</v>
      </c>
      <c r="D177" s="1058">
        <f t="shared" si="13"/>
        <v>0</v>
      </c>
      <c r="E177" s="1387">
        <f t="shared" si="13"/>
        <v>0</v>
      </c>
      <c r="F177" s="1058">
        <f t="shared" si="13"/>
        <v>0</v>
      </c>
      <c r="G177" s="1387">
        <f t="shared" si="13"/>
        <v>0</v>
      </c>
      <c r="H177" s="1058">
        <f t="shared" si="13"/>
        <v>0</v>
      </c>
      <c r="I177" s="1387">
        <f t="shared" si="13"/>
        <v>0</v>
      </c>
      <c r="J177" s="1058">
        <f t="shared" si="13"/>
        <v>0</v>
      </c>
      <c r="K177" s="1387">
        <f t="shared" si="13"/>
        <v>0</v>
      </c>
      <c r="L177" s="1221" t="str">
        <f>B176</f>
        <v>FG</v>
      </c>
      <c r="M177" s="1222" t="s">
        <v>1305</v>
      </c>
      <c r="N177" s="307"/>
      <c r="O177" s="305"/>
      <c r="P177" s="305"/>
      <c r="Q177" s="305"/>
      <c r="R177" s="305"/>
      <c r="S177" s="305"/>
      <c r="T177" s="305"/>
      <c r="U177" s="305"/>
      <c r="V177" s="305"/>
      <c r="W177" s="305"/>
      <c r="X177" s="305"/>
      <c r="Y177" s="305"/>
      <c r="Z177" s="305"/>
      <c r="AA177" s="305"/>
      <c r="AB177" s="305"/>
      <c r="AC177" s="305"/>
      <c r="AD177" s="305"/>
      <c r="AE177" s="305"/>
      <c r="AF177" s="305"/>
      <c r="AG177" s="305"/>
      <c r="AH177" s="305"/>
      <c r="AI177" s="305"/>
      <c r="AJ177" s="305"/>
      <c r="AK177" s="305"/>
      <c r="AL177" s="305"/>
      <c r="AM177" s="305"/>
      <c r="AN177" s="305"/>
      <c r="AO177" s="305"/>
      <c r="AP177" s="305"/>
      <c r="AQ177" s="305"/>
      <c r="AR177" s="305"/>
      <c r="AS177" s="305"/>
      <c r="AT177" s="305"/>
      <c r="AU177" s="305"/>
      <c r="AV177" s="305"/>
      <c r="AW177" s="305"/>
      <c r="AX177" s="305"/>
      <c r="AY177" s="305"/>
      <c r="AZ177" s="305"/>
      <c r="BA177" s="305"/>
      <c r="BB177" s="305"/>
      <c r="BC177" s="305"/>
    </row>
    <row r="178" spans="1:55" s="291" customFormat="1" x14ac:dyDescent="0.25">
      <c r="A178" s="1383" t="s">
        <v>16</v>
      </c>
      <c r="B178" s="1058"/>
      <c r="C178" s="1058">
        <f t="shared" ref="C178:E178" si="14">C169</f>
        <v>0</v>
      </c>
      <c r="D178" s="1058"/>
      <c r="E178" s="1058">
        <f t="shared" si="14"/>
        <v>0</v>
      </c>
      <c r="F178" s="1058"/>
      <c r="G178" s="1058">
        <f t="shared" ref="G178:K178" si="15">G169</f>
        <v>0</v>
      </c>
      <c r="H178" s="1058"/>
      <c r="I178" s="1058"/>
      <c r="J178" s="1058"/>
      <c r="K178" s="1058">
        <f t="shared" si="15"/>
        <v>0</v>
      </c>
      <c r="L178" s="1223" t="str">
        <f>IF(MIN(B181,D181,F181,H181,J181)=0,"NPA",MIN(B181,D181,F181,H181,J181))</f>
        <v>NPA</v>
      </c>
      <c r="M178" s="1232" t="str">
        <f>IF(MIN(C181,E181,G181,I181,K181)=0,"NPA",MIN(C181,E181,G181,I181,K181))</f>
        <v>NPA</v>
      </c>
      <c r="N178" s="307"/>
      <c r="O178" s="305"/>
      <c r="P178" s="305"/>
      <c r="Q178" s="305"/>
      <c r="R178" s="305"/>
      <c r="S178" s="305"/>
      <c r="T178" s="305"/>
      <c r="U178" s="305"/>
      <c r="V178" s="305"/>
      <c r="W178" s="305"/>
      <c r="X178" s="305"/>
      <c r="Y178" s="305"/>
      <c r="Z178" s="305"/>
      <c r="AA178" s="305"/>
      <c r="AB178" s="305"/>
      <c r="AC178" s="305"/>
      <c r="AD178" s="305"/>
      <c r="AE178" s="305"/>
      <c r="AF178" s="305"/>
      <c r="AG178" s="305"/>
      <c r="AH178" s="305"/>
      <c r="AI178" s="305"/>
      <c r="AJ178" s="305"/>
      <c r="AK178" s="305"/>
      <c r="AL178" s="305"/>
      <c r="AM178" s="305"/>
      <c r="AN178" s="305"/>
      <c r="AO178" s="305"/>
      <c r="AP178" s="305"/>
      <c r="AQ178" s="305"/>
      <c r="AR178" s="305"/>
      <c r="AS178" s="305"/>
      <c r="AT178" s="305"/>
      <c r="AU178" s="305"/>
      <c r="AV178" s="305"/>
      <c r="AW178" s="305"/>
      <c r="AX178" s="305"/>
      <c r="AY178" s="305"/>
      <c r="AZ178" s="305"/>
      <c r="BA178" s="305"/>
      <c r="BB178" s="305"/>
      <c r="BC178" s="305"/>
    </row>
    <row r="179" spans="1:55" s="291" customFormat="1" ht="15.75" thickBot="1" x14ac:dyDescent="0.3">
      <c r="A179" s="1393" t="s">
        <v>199</v>
      </c>
      <c r="B179" s="776">
        <f t="shared" ref="B179:G179" si="16">B170</f>
        <v>0</v>
      </c>
      <c r="C179" s="776">
        <f t="shared" si="16"/>
        <v>0</v>
      </c>
      <c r="D179" s="776">
        <f t="shared" si="16"/>
        <v>0</v>
      </c>
      <c r="E179" s="776">
        <f t="shared" si="16"/>
        <v>0</v>
      </c>
      <c r="F179" s="776">
        <f t="shared" si="16"/>
        <v>0</v>
      </c>
      <c r="G179" s="776">
        <f t="shared" si="16"/>
        <v>0</v>
      </c>
      <c r="H179" s="776"/>
      <c r="I179" s="776">
        <f t="shared" ref="I179:K179" si="17">I170</f>
        <v>0</v>
      </c>
      <c r="J179" s="776"/>
      <c r="K179" s="776">
        <f t="shared" si="17"/>
        <v>0</v>
      </c>
      <c r="L179" s="1224" t="e">
        <f>IF(L178="NPA",ERROR.TYPE(1),IF(L178&lt;1.5,"Restrição",IF(L178&lt;2.5,"Não","Sim")))</f>
        <v>#N/A</v>
      </c>
      <c r="M179" s="1225" t="e">
        <f>IF(M178="NPA",ERROR.TYPE(1),IF(M178&lt;1.5,"Restrição",IF(M178&lt;2.5,"Não","Sim")))</f>
        <v>#N/A</v>
      </c>
      <c r="O179" s="305"/>
      <c r="P179" s="305"/>
      <c r="Q179" s="305"/>
      <c r="R179" s="305"/>
      <c r="S179" s="305"/>
      <c r="T179" s="305"/>
      <c r="U179" s="305"/>
      <c r="V179" s="305"/>
      <c r="W179" s="305"/>
      <c r="X179" s="305"/>
      <c r="Y179" s="305"/>
      <c r="Z179" s="305"/>
      <c r="AA179" s="305"/>
      <c r="AB179" s="305"/>
      <c r="AC179" s="305"/>
      <c r="AD179" s="305"/>
      <c r="AE179" s="305"/>
      <c r="AF179" s="305"/>
      <c r="AG179" s="305"/>
      <c r="AH179" s="305"/>
      <c r="AI179" s="305"/>
      <c r="AJ179" s="305"/>
      <c r="AK179" s="305"/>
      <c r="AL179" s="305"/>
      <c r="AM179" s="305"/>
      <c r="AN179" s="305"/>
      <c r="AO179" s="305"/>
      <c r="AP179" s="305"/>
      <c r="AQ179" s="305"/>
      <c r="AR179" s="305"/>
      <c r="AS179" s="305"/>
      <c r="AT179" s="305"/>
      <c r="AU179" s="305"/>
      <c r="AV179" s="305"/>
      <c r="AW179" s="305"/>
      <c r="AX179" s="305"/>
      <c r="AY179" s="305"/>
      <c r="AZ179" s="305"/>
      <c r="BA179" s="305"/>
      <c r="BB179" s="305"/>
      <c r="BC179" s="305"/>
    </row>
    <row r="180" spans="1:55" ht="15.75" thickBot="1" x14ac:dyDescent="0.3">
      <c r="A180" s="1395" t="s">
        <v>1301</v>
      </c>
      <c r="B180" s="1396"/>
      <c r="C180" s="1396"/>
      <c r="D180" s="1396"/>
      <c r="E180" s="1396"/>
      <c r="F180" s="1396"/>
      <c r="G180" s="1396"/>
      <c r="H180" s="1396"/>
      <c r="I180" s="1396"/>
      <c r="J180" s="1396"/>
      <c r="K180" s="1397"/>
      <c r="N180" s="1219"/>
    </row>
    <row r="181" spans="1:55" x14ac:dyDescent="0.25">
      <c r="A181" s="1384" t="s">
        <v>1481</v>
      </c>
      <c r="B181" s="1398" t="str">
        <f>IFERROR(ROUND(IF($B$165="TOR_CDR",VLOOKUP(B180,TORCDR_REspacial[],2,FALSE),VLOOKUP(B180,TampaDourada_PontoFocal[],3,FALSE)),2),"")</f>
        <v/>
      </c>
      <c r="C181" s="1398" t="str">
        <f>IFERROR(ROUND(IF($B$165="TOR_CDR",VLOOKUP(C180,TORCDR_REspacial[],2,FALSE),VLOOKUP(C180,TampaDourada_PontoFocal[],3,FALSE)),2),"")</f>
        <v/>
      </c>
      <c r="D181" s="1398" t="str">
        <f>IFERROR(ROUND(IF($B$165="TOR_CDR",VLOOKUP(D180,TORCDR_REspacial[],2,FALSE),VLOOKUP(D180,TampaDourada_PontoFocal[],3,FALSE)),2),"")</f>
        <v/>
      </c>
      <c r="E181" s="1398" t="str">
        <f>IFERROR(ROUND(IF($B$165="TOR_CDR",VLOOKUP(E180,TORCDR_REspacial[],2,FALSE),VLOOKUP(E180,TampaDourada_PontoFocal[],3,FALSE)),2),"")</f>
        <v/>
      </c>
      <c r="F181" s="1398" t="str">
        <f>IFERROR(ROUND(IF($B$165="TOR_CDR",VLOOKUP(F180,TORCDR_REspacial[],2,FALSE),VLOOKUP(F180,TampaDourada_PontoFocal[],3,FALSE)),2),"")</f>
        <v/>
      </c>
      <c r="G181" s="1398" t="str">
        <f>IFERROR(ROUND(IF($B$165="TOR_CDR",VLOOKUP(G180,TORCDR_REspacial[],2,FALSE),VLOOKUP(G180,TampaDourada_PontoFocal[],3,FALSE)),2),"")</f>
        <v/>
      </c>
      <c r="H181" s="1398" t="str">
        <f>IFERROR(ROUND(IF($B$165="TOR_CDR",VLOOKUP(H180,TORCDR_REspacial[],2,FALSE),VLOOKUP(H180,TampaDourada_PontoFocal[],3,FALSE)),2),"")</f>
        <v/>
      </c>
      <c r="I181" s="1398" t="str">
        <f>IFERROR(ROUND(IF($B$165="TOR_CDR",VLOOKUP(I180,TORCDR_REspacial[],2,FALSE),VLOOKUP(I180,TampaDourada_PontoFocal[],3,FALSE)),2),"")</f>
        <v/>
      </c>
      <c r="J181" s="1398" t="str">
        <f>IFERROR(ROUND(IF($B$165="TOR_CDR",VLOOKUP(J180,TORCDR_REspacial[],2,FALSE),VLOOKUP(J180,TampaDourada_PontoFocal[],3,FALSE)),2),"")</f>
        <v/>
      </c>
      <c r="K181" s="1398" t="str">
        <f>IFERROR(ROUND(IF($B$165="TOR_CDR",VLOOKUP(K180,TORCDR_REspacial[],2,FALSE),VLOOKUP(K180,TampaDourada_PontoFocal[],3,FALSE)),2),"")</f>
        <v/>
      </c>
      <c r="N181" s="1219"/>
    </row>
    <row r="182" spans="1:55" x14ac:dyDescent="0.25">
      <c r="A182" s="335" t="str">
        <f>B1</f>
        <v>IN 90</v>
      </c>
      <c r="B182" s="615" t="str">
        <f>IF(B181="","NPA",IF(B181&lt;1.5,"Restrição",IF(B181&lt;2.5,"Não","Sim")))</f>
        <v>NPA</v>
      </c>
      <c r="C182" s="615" t="str">
        <f t="shared" ref="C182:K182" si="18">IF(C181="","NPA",IF(C181&lt;1.5,"Restrição",IF(C181&lt;2.5,"Não","Sim")))</f>
        <v>NPA</v>
      </c>
      <c r="D182" s="615" t="str">
        <f t="shared" si="18"/>
        <v>NPA</v>
      </c>
      <c r="E182" s="615" t="str">
        <f t="shared" si="18"/>
        <v>NPA</v>
      </c>
      <c r="F182" s="615" t="str">
        <f t="shared" si="18"/>
        <v>NPA</v>
      </c>
      <c r="G182" s="615" t="str">
        <f t="shared" si="18"/>
        <v>NPA</v>
      </c>
      <c r="H182" s="615" t="str">
        <f t="shared" si="18"/>
        <v>NPA</v>
      </c>
      <c r="I182" s="615" t="str">
        <f t="shared" si="18"/>
        <v>NPA</v>
      </c>
      <c r="J182" s="615" t="str">
        <f t="shared" si="18"/>
        <v>NPA</v>
      </c>
      <c r="K182" s="615" t="str">
        <f t="shared" si="18"/>
        <v>NPA</v>
      </c>
      <c r="N182" s="1219"/>
    </row>
    <row r="183" spans="1:55" ht="15.75" thickBot="1" x14ac:dyDescent="0.3"/>
    <row r="184" spans="1:55" ht="15.75" thickBot="1" x14ac:dyDescent="0.3">
      <c r="A184" s="2411" t="s">
        <v>1703</v>
      </c>
      <c r="B184" s="2412"/>
      <c r="C184" s="1527" t="s">
        <v>272</v>
      </c>
    </row>
    <row r="185" spans="1:55" x14ac:dyDescent="0.25">
      <c r="A185" s="889"/>
      <c r="B185" s="1098" t="str">
        <f>A182</f>
        <v>IN 90</v>
      </c>
      <c r="C185" s="889" t="str">
        <f>C184</f>
        <v>Sim</v>
      </c>
    </row>
    <row r="186" spans="1:55" x14ac:dyDescent="0.25"/>
    <row r="187" spans="1:55" x14ac:dyDescent="0.25"/>
    <row r="188" spans="1:55" x14ac:dyDescent="0.25"/>
    <row r="189" spans="1:55" x14ac:dyDescent="0.25"/>
    <row r="190" spans="1:55" x14ac:dyDescent="0.25"/>
    <row r="191" spans="1:55" x14ac:dyDescent="0.25"/>
    <row r="192" spans="1:55" x14ac:dyDescent="0.25"/>
    <row r="193" spans="1:7" x14ac:dyDescent="0.25"/>
    <row r="194" spans="1:7" x14ac:dyDescent="0.25">
      <c r="C194" s="1401"/>
      <c r="D194" s="466"/>
      <c r="E194" s="306"/>
      <c r="F194" s="306"/>
      <c r="G194" s="1401"/>
    </row>
    <row r="195" spans="1:7" x14ac:dyDescent="0.25">
      <c r="A195" s="510"/>
      <c r="B195" s="446"/>
      <c r="C195" s="446"/>
    </row>
    <row r="196" spans="1:7" x14ac:dyDescent="0.25">
      <c r="A196" s="510"/>
      <c r="B196" s="446"/>
      <c r="C196" s="446"/>
    </row>
    <row r="197" spans="1:7" x14ac:dyDescent="0.25">
      <c r="C197" s="778"/>
    </row>
    <row r="198" spans="1:7" x14ac:dyDescent="0.25">
      <c r="C198" s="778"/>
    </row>
    <row r="199" spans="1:7" x14ac:dyDescent="0.25">
      <c r="C199" s="778"/>
    </row>
    <row r="200" spans="1:7" x14ac:dyDescent="0.25">
      <c r="C200" s="778"/>
    </row>
    <row r="201" spans="1:7" x14ac:dyDescent="0.25">
      <c r="C201" s="778"/>
    </row>
    <row r="202" spans="1:7" x14ac:dyDescent="0.25">
      <c r="C202" s="778"/>
    </row>
    <row r="203" spans="1:7" x14ac:dyDescent="0.25">
      <c r="C203" s="778"/>
    </row>
    <row r="204" spans="1:7" x14ac:dyDescent="0.25">
      <c r="C204" s="778"/>
    </row>
    <row r="205" spans="1:7" x14ac:dyDescent="0.25">
      <c r="C205" s="778"/>
      <c r="D205" s="446"/>
      <c r="E205" s="446"/>
      <c r="F205" s="446"/>
      <c r="G205" s="446"/>
    </row>
    <row r="206" spans="1:7" x14ac:dyDescent="0.25">
      <c r="C206" s="446"/>
      <c r="F206" s="446"/>
      <c r="G206" s="446"/>
    </row>
    <row r="207" spans="1:7" x14ac:dyDescent="0.25">
      <c r="C207" s="446"/>
      <c r="D207" s="446"/>
      <c r="E207" s="446"/>
      <c r="F207" s="446"/>
      <c r="G207" s="446"/>
    </row>
    <row r="208" spans="1:7" x14ac:dyDescent="0.25">
      <c r="C208" s="446"/>
      <c r="D208" s="446"/>
      <c r="E208" s="446"/>
      <c r="F208" s="446"/>
      <c r="G208" s="446"/>
    </row>
    <row r="209" spans="1:7" x14ac:dyDescent="0.25">
      <c r="C209" s="446"/>
      <c r="D209" s="446"/>
      <c r="E209" s="446"/>
      <c r="F209" s="446"/>
      <c r="G209" s="446"/>
    </row>
    <row r="210" spans="1:7" x14ac:dyDescent="0.25">
      <c r="C210" s="446"/>
      <c r="D210" s="446"/>
      <c r="E210" s="446"/>
      <c r="F210" s="446"/>
      <c r="G210" s="446"/>
    </row>
    <row r="211" spans="1:7" x14ac:dyDescent="0.25">
      <c r="A211" s="510"/>
      <c r="B211" s="446"/>
      <c r="C211" s="446"/>
      <c r="D211" s="446"/>
      <c r="E211" s="446"/>
      <c r="F211" s="446"/>
      <c r="G211" s="446"/>
    </row>
    <row r="212" spans="1:7" x14ac:dyDescent="0.25">
      <c r="A212" s="510"/>
      <c r="B212" s="446"/>
      <c r="C212" s="446"/>
      <c r="D212" s="446"/>
      <c r="E212" s="446"/>
      <c r="F212" s="446"/>
      <c r="G212" s="446"/>
    </row>
    <row r="213" spans="1:7" x14ac:dyDescent="0.25">
      <c r="A213" s="510"/>
      <c r="B213" s="446"/>
      <c r="C213" s="446"/>
      <c r="D213" s="446"/>
      <c r="E213" s="446"/>
      <c r="F213" s="446"/>
      <c r="G213" s="446"/>
    </row>
    <row r="214" spans="1:7" x14ac:dyDescent="0.25">
      <c r="A214" s="446"/>
      <c r="B214" s="446"/>
      <c r="C214" s="446"/>
      <c r="D214" s="446"/>
      <c r="E214" s="446"/>
      <c r="F214" s="446"/>
      <c r="G214" s="446"/>
    </row>
    <row r="215" spans="1:7" x14ac:dyDescent="0.25">
      <c r="A215" s="446"/>
      <c r="B215" s="446"/>
      <c r="C215" s="446"/>
      <c r="D215" s="446"/>
      <c r="E215" s="446"/>
      <c r="F215" s="446"/>
      <c r="G215" s="446"/>
    </row>
    <row r="216" spans="1:7" x14ac:dyDescent="0.25">
      <c r="A216" s="446"/>
      <c r="B216" s="446"/>
      <c r="C216" s="446"/>
      <c r="D216" s="446"/>
      <c r="E216" s="446"/>
      <c r="F216" s="446"/>
      <c r="G216" s="446"/>
    </row>
    <row r="217" spans="1:7" x14ac:dyDescent="0.25">
      <c r="A217" s="446"/>
      <c r="B217" s="446"/>
      <c r="C217" s="446"/>
      <c r="D217" s="446"/>
      <c r="E217" s="446"/>
      <c r="F217" s="446"/>
      <c r="G217" s="446"/>
    </row>
    <row r="218" spans="1:7" x14ac:dyDescent="0.25">
      <c r="A218" s="446"/>
      <c r="B218" s="446"/>
      <c r="C218" s="446"/>
      <c r="D218" s="446"/>
      <c r="E218" s="446"/>
      <c r="F218" s="446"/>
      <c r="G218" s="446"/>
    </row>
    <row r="219" spans="1:7" x14ac:dyDescent="0.25">
      <c r="A219" s="446"/>
      <c r="B219" s="446"/>
      <c r="C219" s="446"/>
      <c r="D219" s="446"/>
      <c r="E219" s="446"/>
      <c r="F219" s="446"/>
      <c r="G219" s="446"/>
    </row>
    <row r="220" spans="1:7" x14ac:dyDescent="0.25">
      <c r="A220" s="446"/>
      <c r="B220" s="446"/>
      <c r="C220" s="446"/>
      <c r="D220" s="446"/>
      <c r="E220" s="446"/>
      <c r="F220" s="446"/>
      <c r="G220" s="446"/>
    </row>
    <row r="221" spans="1:7" x14ac:dyDescent="0.25">
      <c r="A221" s="446"/>
      <c r="B221" s="446"/>
      <c r="C221" s="446"/>
      <c r="D221" s="446"/>
      <c r="E221" s="446"/>
      <c r="F221" s="446"/>
      <c r="G221" s="446"/>
    </row>
    <row r="222" spans="1:7" x14ac:dyDescent="0.25">
      <c r="A222" s="510"/>
      <c r="B222" s="446"/>
      <c r="C222" s="446"/>
      <c r="D222" s="446"/>
      <c r="E222" s="446"/>
      <c r="F222" s="446"/>
      <c r="G222" s="446"/>
    </row>
    <row r="223" spans="1:7" x14ac:dyDescent="0.25">
      <c r="A223" s="510"/>
      <c r="B223" s="446"/>
      <c r="C223" s="446"/>
      <c r="D223" s="446"/>
      <c r="E223" s="446"/>
      <c r="F223" s="446"/>
      <c r="G223" s="446"/>
    </row>
    <row r="224" spans="1:7" x14ac:dyDescent="0.25">
      <c r="A224" s="510"/>
      <c r="B224" s="446"/>
      <c r="C224" s="446"/>
      <c r="D224" s="446"/>
      <c r="E224" s="446"/>
      <c r="F224" s="446"/>
      <c r="G224" s="446"/>
    </row>
    <row r="225" spans="1:7" x14ac:dyDescent="0.25">
      <c r="A225" s="446"/>
      <c r="B225" s="446"/>
      <c r="C225" s="446"/>
      <c r="D225" s="446"/>
      <c r="E225" s="446"/>
      <c r="F225" s="446"/>
      <c r="G225" s="446"/>
    </row>
    <row r="226" spans="1:7" x14ac:dyDescent="0.25">
      <c r="A226" s="446"/>
      <c r="B226" s="446"/>
      <c r="C226" s="446"/>
      <c r="D226" s="446"/>
      <c r="E226" s="446"/>
      <c r="F226" s="446"/>
      <c r="G226" s="446"/>
    </row>
    <row r="227" spans="1:7" x14ac:dyDescent="0.25">
      <c r="A227" s="446"/>
      <c r="B227" s="446"/>
      <c r="C227" s="446"/>
      <c r="D227" s="446"/>
      <c r="E227" s="446"/>
      <c r="F227" s="446"/>
      <c r="G227" s="446"/>
    </row>
    <row r="228" spans="1:7" x14ac:dyDescent="0.25">
      <c r="A228" s="446"/>
      <c r="B228" s="446"/>
      <c r="C228" s="446"/>
      <c r="D228" s="446"/>
      <c r="E228" s="446"/>
      <c r="F228" s="446"/>
      <c r="G228" s="446"/>
    </row>
    <row r="229" spans="1:7" x14ac:dyDescent="0.25">
      <c r="A229" s="446"/>
      <c r="B229" s="446"/>
      <c r="C229" s="446"/>
      <c r="D229" s="446"/>
      <c r="E229" s="446"/>
      <c r="F229" s="446"/>
      <c r="G229" s="446"/>
    </row>
    <row r="230" spans="1:7" x14ac:dyDescent="0.25">
      <c r="A230" s="446"/>
      <c r="B230" s="446"/>
      <c r="C230" s="446"/>
      <c r="D230" s="446"/>
      <c r="E230" s="446"/>
      <c r="F230" s="446"/>
      <c r="G230" s="446"/>
    </row>
    <row r="231" spans="1:7" x14ac:dyDescent="0.25">
      <c r="A231" s="446"/>
      <c r="B231" s="446"/>
      <c r="C231" s="446"/>
      <c r="D231" s="446"/>
      <c r="E231" s="446"/>
      <c r="F231" s="446"/>
      <c r="G231" s="446"/>
    </row>
    <row r="232" spans="1:7" x14ac:dyDescent="0.25">
      <c r="A232" s="446"/>
      <c r="B232" s="446"/>
      <c r="C232" s="446"/>
      <c r="D232" s="446"/>
      <c r="E232" s="446"/>
      <c r="F232" s="446"/>
      <c r="G232" s="446"/>
    </row>
    <row r="233" spans="1:7" x14ac:dyDescent="0.25">
      <c r="A233" s="446"/>
      <c r="B233" s="446"/>
      <c r="C233" s="446"/>
      <c r="D233" s="446"/>
      <c r="E233" s="446"/>
      <c r="F233" s="446"/>
      <c r="G233" s="446"/>
    </row>
    <row r="234" spans="1:7" x14ac:dyDescent="0.25">
      <c r="A234" s="446"/>
      <c r="B234" s="446"/>
      <c r="C234" s="446"/>
      <c r="D234" s="446"/>
      <c r="E234" s="446"/>
      <c r="F234" s="446"/>
      <c r="G234" s="446"/>
    </row>
    <row r="235" spans="1:7" x14ac:dyDescent="0.25">
      <c r="A235" s="446"/>
      <c r="B235" s="446"/>
      <c r="C235" s="446"/>
      <c r="D235" s="446"/>
      <c r="E235" s="446"/>
      <c r="F235" s="446"/>
      <c r="G235" s="446"/>
    </row>
    <row r="236" spans="1:7" x14ac:dyDescent="0.25">
      <c r="A236" s="446"/>
      <c r="B236" s="446"/>
      <c r="C236" s="446"/>
      <c r="D236" s="446"/>
      <c r="E236" s="446"/>
      <c r="F236" s="446"/>
      <c r="G236" s="446"/>
    </row>
    <row r="237" spans="1:7" x14ac:dyDescent="0.25"/>
    <row r="238" spans="1:7" x14ac:dyDescent="0.25"/>
    <row r="239" spans="1:7" hidden="1" x14ac:dyDescent="0.25"/>
    <row r="240" spans="1: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x14ac:dyDescent="0.25"/>
  </sheetData>
  <sheetProtection selectLockedCells="1" autoFilter="0"/>
  <mergeCells count="50">
    <mergeCell ref="A8:E8"/>
    <mergeCell ref="A144:F144"/>
    <mergeCell ref="A159:E159"/>
    <mergeCell ref="A157:M157"/>
    <mergeCell ref="B101:F101"/>
    <mergeCell ref="D131:E131"/>
    <mergeCell ref="D130:E130"/>
    <mergeCell ref="A111:E111"/>
    <mergeCell ref="A112:E112"/>
    <mergeCell ref="A128:E128"/>
    <mergeCell ref="D129:E129"/>
    <mergeCell ref="D119:F119"/>
    <mergeCell ref="A10:AO10"/>
    <mergeCell ref="E58:F58"/>
    <mergeCell ref="E59:F59"/>
    <mergeCell ref="A67:D67"/>
    <mergeCell ref="A2:G2"/>
    <mergeCell ref="A6:E6"/>
    <mergeCell ref="A4:E4"/>
    <mergeCell ref="A5:E5"/>
    <mergeCell ref="A7:E7"/>
    <mergeCell ref="A3:E3"/>
    <mergeCell ref="A89:I89"/>
    <mergeCell ref="O13:P13"/>
    <mergeCell ref="AM13:AN13"/>
    <mergeCell ref="U13:V13"/>
    <mergeCell ref="AA13:AB13"/>
    <mergeCell ref="AG13:AH13"/>
    <mergeCell ref="A24:AN24"/>
    <mergeCell ref="A46:Q46"/>
    <mergeCell ref="A77:H77"/>
    <mergeCell ref="I13:J13"/>
    <mergeCell ref="C13:D13"/>
    <mergeCell ref="C27:D27"/>
    <mergeCell ref="A184:B184"/>
    <mergeCell ref="L167:M170"/>
    <mergeCell ref="C25:E25"/>
    <mergeCell ref="A122:H122"/>
    <mergeCell ref="E57:F57"/>
    <mergeCell ref="B146:C146"/>
    <mergeCell ref="D146:E146"/>
    <mergeCell ref="D134:E134"/>
    <mergeCell ref="D118:F118"/>
    <mergeCell ref="A115:H115"/>
    <mergeCell ref="A138:B138"/>
    <mergeCell ref="L176:M176"/>
    <mergeCell ref="D135:E135"/>
    <mergeCell ref="D133:E133"/>
    <mergeCell ref="D132:E132"/>
    <mergeCell ref="B91:F91"/>
  </mergeCells>
  <conditionalFormatting sqref="D58:D64">
    <cfRule type="cellIs" dxfId="1229" priority="1" operator="equal">
      <formula>0</formula>
    </cfRule>
  </conditionalFormatting>
  <dataValidations count="6">
    <dataValidation type="list" allowBlank="1" showInputMessage="1" showErrorMessage="1" sqref="A48">
      <formula1>"t selecionado,mAs selecionado"</formula1>
    </dataValidation>
    <dataValidation type="list" allowBlank="1" showInputMessage="1" showErrorMessage="1" sqref="C11 I11 AG11 O11 U11 AA11 AM11">
      <formula1>"mA,mAs"</formula1>
    </dataValidation>
    <dataValidation type="list" allowBlank="1" showInputMessage="1" showErrorMessage="1" sqref="A47">
      <formula1>"Foco Fino, Foco Único"</formula1>
    </dataValidation>
    <dataValidation type="list" allowBlank="1" showInputMessage="1" showErrorMessage="1" sqref="B165">
      <formula1>"TOR_CDR,Tampa dourada"</formula1>
    </dataValidation>
    <dataValidation type="list" allowBlank="1" showInputMessage="1" showErrorMessage="1" sqref="C184 I4 F155 F7">
      <formula1>"Sim,Não"</formula1>
    </dataValidation>
    <dataValidation type="list" allowBlank="1" showInputMessage="1" showErrorMessage="1" sqref="C79">
      <formula1>"S,N"</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Tabelas2!$D$4:$D$6</xm:f>
          </x14:formula1>
          <xm:sqref>F6</xm:sqref>
        </x14:dataValidation>
        <x14:dataValidation type="list" allowBlank="1" showInputMessage="1" showErrorMessage="1">
          <x14:formula1>
            <xm:f>Tabelas2!$G$2:$G$4</xm:f>
          </x14:formula1>
          <xm:sqref>C116</xm:sqref>
        </x14:dataValidation>
        <x14:dataValidation type="list" allowBlank="1" showInputMessage="1" showErrorMessage="1">
          <x14:formula1>
            <xm:f>Tabelas2!$E$2:$E$4</xm:f>
          </x14:formula1>
          <xm:sqref>B12 H12 N12 T12 Z12 AF12 AL12 B29 N29 T29 Z29 H29 AF29 AL29</xm:sqref>
        </x14:dataValidation>
        <x14:dataValidation type="list" allowBlank="1" showInputMessage="1" showErrorMessage="1">
          <x14:formula1>
            <xm:f>Tabelas2!$D$5:$D$6</xm:f>
          </x14:formula1>
          <xm:sqref>F3:F5</xm:sqref>
        </x14:dataValidation>
        <x14:dataValidation type="list" allowBlank="1" showInputMessage="1" showErrorMessage="1">
          <x14:formula1>
            <xm:f>Tabelas2!$G$2:$G$5</xm:f>
          </x14:formula1>
          <xm:sqref>B116</xm:sqref>
        </x14:dataValidation>
        <x14:dataValidation type="list" allowBlank="1" showInputMessage="1" showErrorMessage="1">
          <x14:formula1>
            <xm:f>Tabelas2!$K$2:$K$5</xm:f>
          </x14:formula1>
          <xm:sqref>B139:B140</xm:sqref>
        </x14:dataValidation>
        <x14:dataValidation type="list" allowBlank="1" showInputMessage="1" showErrorMessage="1">
          <x14:formula1>
            <xm:f>Tabelas2!$D$37:$D$40</xm:f>
          </x14:formula1>
          <xm:sqref>F8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6"/>
  <dimension ref="A1:Q386"/>
  <sheetViews>
    <sheetView view="pageBreakPreview" zoomScaleNormal="100" zoomScaleSheetLayoutView="100" workbookViewId="0">
      <pane ySplit="1" topLeftCell="A221" activePane="bottomLeft" state="frozen"/>
      <selection activeCell="V21" sqref="V21"/>
      <selection pane="bottomLeft" activeCell="V21" sqref="V21"/>
    </sheetView>
  </sheetViews>
  <sheetFormatPr defaultColWidth="9.140625" defaultRowHeight="15" customHeight="1" x14ac:dyDescent="0.25"/>
  <cols>
    <col min="1" max="10" width="9.140625" style="2071" customWidth="1"/>
    <col min="11" max="11" width="11" style="2071" bestFit="1" customWidth="1"/>
    <col min="12" max="12" width="10.140625" style="2071" bestFit="1" customWidth="1"/>
    <col min="13" max="16384" width="9.140625" style="2071"/>
  </cols>
  <sheetData>
    <row r="1" spans="1:12" s="2073" customFormat="1" ht="15" customHeight="1" x14ac:dyDescent="0.25">
      <c r="A1" s="2479" t="e">
        <f>Cabeçalho!B6</f>
        <v>#N/A</v>
      </c>
      <c r="B1" s="2479"/>
      <c r="C1" s="2479"/>
      <c r="D1" s="2479"/>
      <c r="E1" s="2480" t="e">
        <f>IF(Cabeçalho!$B$15="",CONCATENATE(LOOKUP(Cabeçalho!$B$14,Tabelas2!$A$23:$A$32,Tabelas2!$B$23:$B$32&amp;" "&amp;Cabeçalho!C14),IF(Cabeçalho!$B$16&lt;&gt;0," - ",""),UPPER(Cabeçalho!$B$16)),CONCATENATE(LOOKUP(Cabeçalho!$B$14,Tabelas2!$A$23:$A$32,Tabelas2!$B$23:$B$32)," - ",Cabeçalho!$B$15," - ",UPPER(Cabeçalho!$B$16)))</f>
        <v>#N/A</v>
      </c>
      <c r="F1" s="2480"/>
      <c r="G1" s="2480"/>
      <c r="H1" s="2480"/>
      <c r="I1" s="278" t="s">
        <v>112</v>
      </c>
      <c r="J1" s="278" t="e">
        <f>IF(Cabeçalho!B12="","",Cabeçalho!B12)</f>
        <v>#N/A</v>
      </c>
      <c r="K1" s="279" t="s">
        <v>648</v>
      </c>
    </row>
    <row r="3" spans="1:12" ht="15" customHeight="1" x14ac:dyDescent="0.25">
      <c r="A3" s="2483" t="s">
        <v>113</v>
      </c>
      <c r="B3" s="2483"/>
      <c r="C3" s="2483"/>
      <c r="D3" s="2483"/>
      <c r="E3" s="2483"/>
      <c r="F3" s="2483"/>
      <c r="G3" s="2483"/>
      <c r="H3" s="2483"/>
      <c r="I3" s="2483"/>
      <c r="J3" s="2483"/>
    </row>
    <row r="4" spans="1:12" ht="15" customHeight="1" x14ac:dyDescent="0.25">
      <c r="L4" s="2075"/>
    </row>
    <row r="5" spans="1:12" ht="15" customHeight="1" x14ac:dyDescent="0.25">
      <c r="A5" s="2483" t="s">
        <v>114</v>
      </c>
      <c r="B5" s="2483"/>
      <c r="C5" s="2483"/>
      <c r="D5" s="2483"/>
      <c r="E5" s="2483"/>
      <c r="F5" s="2483"/>
      <c r="G5" s="2483"/>
      <c r="H5" s="2483"/>
      <c r="I5" s="2483"/>
      <c r="J5" s="2483"/>
    </row>
    <row r="9" spans="1:12" ht="15" customHeight="1" x14ac:dyDescent="0.25">
      <c r="C9" s="2484" t="e">
        <f>Cabeçalho!B6</f>
        <v>#N/A</v>
      </c>
      <c r="D9" s="2484"/>
      <c r="E9" s="2484"/>
      <c r="F9" s="2484"/>
      <c r="G9" s="2484"/>
      <c r="H9" s="2484"/>
      <c r="I9" s="2484"/>
      <c r="J9" s="2484"/>
    </row>
    <row r="10" spans="1:12" ht="15" customHeight="1" x14ac:dyDescent="0.25">
      <c r="C10" s="2484"/>
      <c r="D10" s="2484"/>
      <c r="E10" s="2484"/>
      <c r="F10" s="2484"/>
      <c r="G10" s="2484"/>
      <c r="H10" s="2484"/>
      <c r="I10" s="2484"/>
      <c r="J10" s="2484"/>
    </row>
    <row r="11" spans="1:12" ht="15" customHeight="1" x14ac:dyDescent="0.25">
      <c r="B11" s="281"/>
      <c r="C11" s="281"/>
      <c r="D11" s="281"/>
      <c r="E11" s="281"/>
      <c r="F11" s="281"/>
      <c r="G11" s="281"/>
    </row>
    <row r="12" spans="1:12" ht="15" customHeight="1" x14ac:dyDescent="0.25">
      <c r="C12" s="2478" t="e">
        <f>Cabeçalho!B7</f>
        <v>#N/A</v>
      </c>
      <c r="D12" s="2478"/>
      <c r="E12" s="2478"/>
      <c r="F12" s="2478"/>
      <c r="G12" s="2478"/>
      <c r="H12" s="2478"/>
      <c r="I12" s="2478"/>
      <c r="J12" s="2478"/>
    </row>
    <row r="13" spans="1:12" ht="15" customHeight="1" x14ac:dyDescent="0.25">
      <c r="B13" s="281"/>
      <c r="C13" s="2478"/>
      <c r="D13" s="2478"/>
      <c r="E13" s="2478"/>
      <c r="F13" s="2478"/>
      <c r="G13" s="2478"/>
      <c r="H13" s="2478"/>
      <c r="I13" s="2478"/>
      <c r="J13" s="2478"/>
    </row>
    <row r="14" spans="1:12" ht="15" customHeight="1" x14ac:dyDescent="0.25">
      <c r="B14" s="281"/>
      <c r="C14" s="281"/>
      <c r="D14" s="281"/>
      <c r="E14" s="281"/>
      <c r="F14" s="281"/>
      <c r="G14" s="281"/>
    </row>
    <row r="15" spans="1:12" ht="15" customHeight="1" x14ac:dyDescent="0.25">
      <c r="C15" s="280" t="e">
        <f>Cabeçalho!B8</f>
        <v>#N/A</v>
      </c>
      <c r="E15" s="281" t="e">
        <f>CONCATENATE(Cabeçalho!B9,", ",Cabeçalho!B10)</f>
        <v>#N/A</v>
      </c>
      <c r="F15" s="281"/>
      <c r="G15" s="281"/>
    </row>
    <row r="17" spans="1:11" ht="30" customHeight="1" x14ac:dyDescent="0.25">
      <c r="A17" s="2071" t="s">
        <v>115</v>
      </c>
      <c r="C17" s="2486" t="e">
        <f>Cabeçalho!B4</f>
        <v>#N/A</v>
      </c>
      <c r="D17" s="2486"/>
      <c r="E17" s="2486"/>
      <c r="F17" s="2486"/>
      <c r="G17" s="2486"/>
      <c r="H17" s="2486"/>
      <c r="I17" s="2486"/>
      <c r="J17" s="2486"/>
    </row>
    <row r="18" spans="1:11" ht="15" customHeight="1" x14ac:dyDescent="0.25">
      <c r="C18" s="280" t="e">
        <f>Cabeçalho!B5</f>
        <v>#N/A</v>
      </c>
    </row>
    <row r="19" spans="1:11" ht="15" customHeight="1" x14ac:dyDescent="0.25">
      <c r="C19" s="280"/>
    </row>
    <row r="20" spans="1:11" ht="15" customHeight="1" x14ac:dyDescent="0.25">
      <c r="A20" s="2071" t="s">
        <v>2337</v>
      </c>
      <c r="C20" s="280"/>
      <c r="F20" s="281"/>
    </row>
    <row r="21" spans="1:11" ht="15" customHeight="1" x14ac:dyDescent="0.25">
      <c r="C21" s="280"/>
      <c r="F21" s="281"/>
    </row>
    <row r="22" spans="1:11" ht="15" customHeight="1" x14ac:dyDescent="0.25">
      <c r="C22" s="280"/>
      <c r="F22" s="281"/>
    </row>
    <row r="23" spans="1:11" ht="15" customHeight="1" x14ac:dyDescent="0.25">
      <c r="C23" s="280"/>
      <c r="F23" s="281"/>
    </row>
    <row r="24" spans="1:11" ht="15" customHeight="1" x14ac:dyDescent="0.25">
      <c r="A24" s="2467" t="s">
        <v>2338</v>
      </c>
      <c r="B24" s="2467"/>
      <c r="C24" s="2467"/>
      <c r="D24" s="2467" t="s">
        <v>2339</v>
      </c>
      <c r="E24" s="2467"/>
      <c r="F24" s="2467"/>
      <c r="G24" s="2467" t="s">
        <v>2340</v>
      </c>
      <c r="H24" s="2467"/>
      <c r="I24" s="2467"/>
      <c r="J24" s="2467"/>
    </row>
    <row r="25" spans="1:11" ht="15" customHeight="1" x14ac:dyDescent="0.25">
      <c r="C25" s="281"/>
    </row>
    <row r="26" spans="1:11" ht="15" customHeight="1" x14ac:dyDescent="0.25">
      <c r="C26" s="282"/>
    </row>
    <row r="27" spans="1:11" ht="15" customHeight="1" x14ac:dyDescent="0.25">
      <c r="A27" s="281" t="s">
        <v>116</v>
      </c>
    </row>
    <row r="28" spans="1:11" ht="15" customHeight="1" x14ac:dyDescent="0.25">
      <c r="A28" s="2469" t="str">
        <f>IntroRDC</f>
        <v xml:space="preserve">               Este Laudo Técnico é parte do Programa de Garantia da Qualidade, conforme Resolução da Diretoria Colegiada - RDC 611/2022 da ANVISA.</v>
      </c>
      <c r="B28" s="2469"/>
      <c r="C28" s="2469"/>
      <c r="D28" s="2469"/>
      <c r="E28" s="2469"/>
      <c r="F28" s="2469"/>
      <c r="G28" s="2469"/>
      <c r="H28" s="2469"/>
      <c r="I28" s="2469"/>
      <c r="J28" s="2469"/>
      <c r="K28" s="2071" t="str">
        <f>IF(Cabeçalho!C14="veterinário","x"," ")</f>
        <v xml:space="preserve"> </v>
      </c>
    </row>
    <row r="29" spans="1:11" ht="15" customHeight="1" x14ac:dyDescent="0.25">
      <c r="A29" s="2469"/>
      <c r="B29" s="2469"/>
      <c r="C29" s="2469"/>
      <c r="D29" s="2469"/>
      <c r="E29" s="2469"/>
      <c r="F29" s="2469"/>
      <c r="G29" s="2469"/>
      <c r="H29" s="2469"/>
      <c r="I29" s="2469"/>
      <c r="J29" s="2469"/>
      <c r="K29" s="2071" t="str">
        <f>K28</f>
        <v xml:space="preserve"> </v>
      </c>
    </row>
    <row r="30" spans="1:11" ht="15" customHeight="1" x14ac:dyDescent="0.25">
      <c r="A30" s="2469" t="str">
        <f>IntroProtocolo</f>
        <v xml:space="preserve">               A metodologia utilizada atende aos "Protocolos para Execução de Testes em Sistemas de Radiologia Diagnóstica e Intervencionista" do CONFEA.</v>
      </c>
      <c r="B30" s="2469"/>
      <c r="C30" s="2469"/>
      <c r="D30" s="2469"/>
      <c r="E30" s="2469"/>
      <c r="F30" s="2469"/>
      <c r="G30" s="2469"/>
      <c r="H30" s="2469"/>
      <c r="I30" s="2469"/>
      <c r="J30" s="2469"/>
    </row>
    <row r="31" spans="1:11" ht="15" customHeight="1" x14ac:dyDescent="0.25">
      <c r="A31" s="2469"/>
      <c r="B31" s="2469"/>
      <c r="C31" s="2469"/>
      <c r="D31" s="2469"/>
      <c r="E31" s="2469"/>
      <c r="F31" s="2469"/>
      <c r="G31" s="2469"/>
      <c r="H31" s="2469"/>
      <c r="I31" s="2469"/>
      <c r="J31" s="2469"/>
    </row>
    <row r="32" spans="1:11" ht="15" customHeight="1" x14ac:dyDescent="0.25">
      <c r="A32" s="2469" t="str">
        <f>IntroNR32</f>
        <v xml:space="preserve">               Serve para comprovação e/ou como subsídio para atendimento da Norma Regulamentadora NR-32 do MTb.</v>
      </c>
      <c r="B32" s="2469"/>
      <c r="C32" s="2469"/>
      <c r="D32" s="2469"/>
      <c r="E32" s="2469"/>
      <c r="F32" s="2469"/>
      <c r="G32" s="2469"/>
      <c r="H32" s="2469"/>
      <c r="I32" s="2469"/>
      <c r="J32" s="2469"/>
    </row>
    <row r="33" spans="1:11" ht="15" customHeight="1" x14ac:dyDescent="0.25">
      <c r="A33" s="2469"/>
      <c r="B33" s="2469"/>
      <c r="C33" s="2469"/>
      <c r="D33" s="2469"/>
      <c r="E33" s="2469"/>
      <c r="F33" s="2469"/>
      <c r="G33" s="2469"/>
      <c r="H33" s="2469"/>
      <c r="I33" s="2469"/>
      <c r="J33" s="2469"/>
    </row>
    <row r="35" spans="1:11" ht="15" customHeight="1" x14ac:dyDescent="0.25">
      <c r="A35" s="281" t="s">
        <v>117</v>
      </c>
    </row>
    <row r="36" spans="1:11" ht="15" customHeight="1" x14ac:dyDescent="0.25">
      <c r="A36" s="2469" t="str">
        <f>"                 Verificar parâmetros técnicos e condições de desempenho do equipamento de raios X e a conformidade do mesmo com a Instrução Normativa "&amp;VLOOKUP("Raios X convencional",IN_ANVISA[],2)&amp;"/"&amp;VLOOKUP("Raios X convencional",IN_ANVISA[],3)&amp;" da ANVISA e a Norma Regulamentadora NR-32 do MTb."</f>
        <v xml:space="preserve">                 Verificar parâmetros técnicos e condições de desempenho do equipamento de raios X e a conformidade do mesmo com a Instrução Normativa 90/2021 da ANVISA e a Norma Regulamentadora NR-32 do MTb.</v>
      </c>
      <c r="B36" s="2469"/>
      <c r="C36" s="2469"/>
      <c r="D36" s="2469"/>
      <c r="E36" s="2469"/>
      <c r="F36" s="2469"/>
      <c r="G36" s="2469"/>
      <c r="H36" s="2469"/>
      <c r="I36" s="2469"/>
      <c r="J36" s="2469"/>
    </row>
    <row r="37" spans="1:11" ht="15" customHeight="1" x14ac:dyDescent="0.25">
      <c r="A37" s="2469"/>
      <c r="B37" s="2469"/>
      <c r="C37" s="2469"/>
      <c r="D37" s="2469"/>
      <c r="E37" s="2469"/>
      <c r="F37" s="2469"/>
      <c r="G37" s="2469"/>
      <c r="H37" s="2469"/>
      <c r="I37" s="2469"/>
      <c r="J37" s="2469"/>
    </row>
    <row r="38" spans="1:11" ht="15" customHeight="1" x14ac:dyDescent="0.25">
      <c r="A38" s="2469"/>
      <c r="B38" s="2469"/>
      <c r="C38" s="2469"/>
      <c r="D38" s="2469"/>
      <c r="E38" s="2469"/>
      <c r="F38" s="2469"/>
      <c r="G38" s="2469"/>
      <c r="H38" s="2469"/>
      <c r="I38" s="2469"/>
      <c r="J38" s="2469"/>
    </row>
    <row r="39" spans="1:11" ht="15" customHeight="1" x14ac:dyDescent="0.25">
      <c r="A39" s="2469" t="str">
        <f>OBJETIVO</f>
        <v xml:space="preserve">                Fornecer elementos para aceitação ou rejeição do equipamento, bem como para corrigir eventuais desvios, falhas e anomalias.</v>
      </c>
      <c r="B39" s="2469"/>
      <c r="C39" s="2469"/>
      <c r="D39" s="2469"/>
      <c r="E39" s="2469"/>
      <c r="F39" s="2469"/>
      <c r="G39" s="2469"/>
      <c r="H39" s="2469"/>
      <c r="I39" s="2469"/>
      <c r="J39" s="2469"/>
    </row>
    <row r="40" spans="1:11" ht="15" customHeight="1" x14ac:dyDescent="0.25">
      <c r="A40" s="2469"/>
      <c r="B40" s="2469"/>
      <c r="C40" s="2469"/>
      <c r="D40" s="2469"/>
      <c r="E40" s="2469"/>
      <c r="F40" s="2469"/>
      <c r="G40" s="2469"/>
      <c r="H40" s="2469"/>
      <c r="I40" s="2469"/>
      <c r="J40" s="2469"/>
    </row>
    <row r="41" spans="1:11" ht="15" customHeight="1" x14ac:dyDescent="0.25">
      <c r="A41" s="2469" t="str">
        <f>ObjetivoCorreções</f>
        <v xml:space="preserve">               Verificar possíveis correções realizadas após o laudo de 00/01/00 deste mesmo equipamento.</v>
      </c>
      <c r="B41" s="2469"/>
      <c r="C41" s="2469"/>
      <c r="D41" s="2469"/>
      <c r="E41" s="2469"/>
      <c r="F41" s="2469"/>
      <c r="G41" s="2469"/>
      <c r="H41" s="2469"/>
      <c r="I41" s="2469"/>
      <c r="J41" s="2469"/>
      <c r="K41" s="2071" t="str">
        <f>IF(Cabeçalho!$B$17="","x","")</f>
        <v>x</v>
      </c>
    </row>
    <row r="42" spans="1:11" ht="15" customHeight="1" x14ac:dyDescent="0.25">
      <c r="A42" s="2469"/>
      <c r="B42" s="2469"/>
      <c r="C42" s="2469"/>
      <c r="D42" s="2469"/>
      <c r="E42" s="2469"/>
      <c r="F42" s="2469"/>
      <c r="G42" s="2469"/>
      <c r="H42" s="2469"/>
      <c r="I42" s="2469"/>
      <c r="J42" s="2469"/>
      <c r="K42" s="2071" t="str">
        <f>K41</f>
        <v>x</v>
      </c>
    </row>
    <row r="43" spans="1:11" ht="15" customHeight="1" x14ac:dyDescent="0.25">
      <c r="A43" s="2068"/>
      <c r="B43" s="2068"/>
      <c r="C43" s="2068"/>
      <c r="D43" s="2068"/>
      <c r="E43" s="2068"/>
      <c r="F43" s="2068"/>
      <c r="G43" s="2068"/>
      <c r="H43" s="2068"/>
      <c r="I43" s="2068"/>
      <c r="J43" s="2068"/>
    </row>
    <row r="44" spans="1:11" ht="15" customHeight="1" x14ac:dyDescent="0.25">
      <c r="A44" s="281" t="s">
        <v>118</v>
      </c>
    </row>
    <row r="45" spans="1:11" ht="15" customHeight="1" x14ac:dyDescent="0.25">
      <c r="A45" s="2465" t="s">
        <v>119</v>
      </c>
      <c r="B45" s="2465"/>
      <c r="C45" s="2465"/>
      <c r="D45" s="2465" t="s">
        <v>120</v>
      </c>
      <c r="E45" s="2465"/>
      <c r="F45" s="2465"/>
      <c r="G45" s="2465" t="s">
        <v>121</v>
      </c>
      <c r="H45" s="2465"/>
      <c r="I45" s="2465" t="s">
        <v>475</v>
      </c>
      <c r="J45" s="2465"/>
    </row>
    <row r="46" spans="1:11" ht="15" customHeight="1" x14ac:dyDescent="0.25">
      <c r="A46" s="2482" t="str">
        <f>IF(Cabeçalho!G3="","*",Cabeçalho!G3)</f>
        <v>*</v>
      </c>
      <c r="B46" s="2482"/>
      <c r="C46" s="2482"/>
      <c r="D46" s="2472" t="str">
        <f>IF(Cabeçalho!G4="","*",Cabeçalho!G4)</f>
        <v>*</v>
      </c>
      <c r="E46" s="2472"/>
      <c r="F46" s="2472"/>
      <c r="G46" s="2472" t="str">
        <f>IF(Cabeçalho!G5="","*",Cabeçalho!G5)</f>
        <v>*</v>
      </c>
      <c r="H46" s="2472"/>
      <c r="I46" s="2472" t="str">
        <f>IF(Cabeçalho!G6="","*",Cabeçalho!G6)</f>
        <v>*</v>
      </c>
      <c r="J46" s="2472"/>
    </row>
    <row r="47" spans="1:11" ht="15" customHeight="1" x14ac:dyDescent="0.25">
      <c r="A47" s="2482"/>
      <c r="B47" s="2482"/>
      <c r="C47" s="2482"/>
      <c r="D47" s="2472"/>
      <c r="E47" s="2472"/>
      <c r="F47" s="2472"/>
      <c r="G47" s="2472"/>
      <c r="H47" s="2472"/>
      <c r="I47" s="2472"/>
      <c r="J47" s="2472"/>
    </row>
    <row r="48" spans="1:11" ht="15" customHeight="1" x14ac:dyDescent="0.25">
      <c r="A48" s="284" t="s">
        <v>835</v>
      </c>
    </row>
    <row r="49" spans="1:11" ht="15" customHeight="1" x14ac:dyDescent="0.25">
      <c r="A49" s="2475" t="s">
        <v>124</v>
      </c>
      <c r="B49" s="2475"/>
      <c r="C49" s="2475"/>
      <c r="D49" s="2475"/>
      <c r="E49" s="2473" t="str">
        <f>CONCATENATE("Raios X diagnóstico ",Cabeçalho!G33)</f>
        <v xml:space="preserve">Raios X diagnóstico </v>
      </c>
      <c r="F49" s="2473"/>
      <c r="G49" s="2473"/>
      <c r="H49" s="2473"/>
      <c r="I49" s="2473"/>
      <c r="J49" s="2473"/>
    </row>
    <row r="50" spans="1:11" ht="15" customHeight="1" x14ac:dyDescent="0.25">
      <c r="A50" s="2473" t="s">
        <v>367</v>
      </c>
      <c r="B50" s="2473"/>
      <c r="C50" s="2473"/>
      <c r="D50" s="2473"/>
      <c r="E50" s="2475" t="str">
        <f>"Retificado em alta frequência"</f>
        <v>Retificado em alta frequência</v>
      </c>
      <c r="F50" s="2475"/>
      <c r="G50" s="2475"/>
      <c r="H50" s="2475"/>
      <c r="I50" s="2475"/>
      <c r="J50" s="2475"/>
    </row>
    <row r="51" spans="1:11" ht="15" customHeight="1" x14ac:dyDescent="0.25">
      <c r="A51" s="2072" t="s">
        <v>1856</v>
      </c>
      <c r="B51" s="2072"/>
      <c r="C51" s="2072"/>
      <c r="D51" s="2072"/>
      <c r="E51" s="2272" t="str">
        <f>IF(Cabeçalho!G20&lt;&gt;"",Cabeçalho!G20,"NI")</f>
        <v>NI</v>
      </c>
      <c r="F51" s="2272"/>
      <c r="G51" s="2272"/>
      <c r="H51" s="2272"/>
      <c r="I51" s="2272"/>
      <c r="J51" s="2272"/>
    </row>
    <row r="52" spans="1:11" ht="15" customHeight="1" x14ac:dyDescent="0.25">
      <c r="A52" s="2473" t="s">
        <v>2349</v>
      </c>
      <c r="B52" s="2473"/>
      <c r="C52" s="2473"/>
      <c r="D52" s="2473"/>
      <c r="E52" s="2272" t="str">
        <f>IF(Cabeçalho!E24&lt;&gt;"",Cabeçalho!E24,"NI")</f>
        <v>NI</v>
      </c>
      <c r="F52" s="2215"/>
      <c r="G52" s="2215"/>
      <c r="H52" s="2215"/>
      <c r="I52" s="2215"/>
      <c r="J52" s="2215"/>
    </row>
    <row r="53" spans="1:11" ht="15" customHeight="1" x14ac:dyDescent="0.25">
      <c r="A53" s="2473" t="s">
        <v>2350</v>
      </c>
      <c r="B53" s="2473"/>
      <c r="C53" s="2473"/>
      <c r="D53" s="2473"/>
      <c r="E53" s="2272" t="str">
        <f>IF(Cabeçalho!G22&lt;&gt;"",Cabeçalho!G22,"NI")</f>
        <v>NI</v>
      </c>
      <c r="F53" s="2272"/>
      <c r="G53" s="2272"/>
      <c r="H53" s="2272"/>
      <c r="I53" s="2272"/>
      <c r="J53" s="2272"/>
    </row>
    <row r="54" spans="1:11" ht="15" customHeight="1" x14ac:dyDescent="0.25">
      <c r="A54" s="2473" t="s">
        <v>2351</v>
      </c>
      <c r="B54" s="2473"/>
      <c r="C54" s="2473"/>
      <c r="D54" s="2473"/>
      <c r="E54" s="2272" t="str">
        <f>IF(Cabeçalho!G23&lt;&gt;"",Cabeçalho!G23,"NI")</f>
        <v>NI</v>
      </c>
      <c r="F54" s="2272"/>
      <c r="G54" s="2272"/>
      <c r="H54" s="2272"/>
      <c r="I54" s="2272"/>
      <c r="J54" s="2272"/>
    </row>
    <row r="55" spans="1:11" ht="15" customHeight="1" x14ac:dyDescent="0.25">
      <c r="A55" s="2071" t="s">
        <v>2352</v>
      </c>
      <c r="E55" s="2272" t="str">
        <f>IF(Cabeçalho!E25&lt;&gt;"",Cabeçalho!E25,"NI")</f>
        <v>NI</v>
      </c>
      <c r="F55" s="2272"/>
      <c r="G55" s="2272"/>
      <c r="H55" s="2272"/>
      <c r="I55" s="2272"/>
      <c r="J55" s="2272"/>
    </row>
    <row r="56" spans="1:11" ht="15" customHeight="1" x14ac:dyDescent="0.25">
      <c r="A56" s="2473" t="s">
        <v>2353</v>
      </c>
      <c r="B56" s="2473"/>
      <c r="C56" s="2473"/>
      <c r="D56" s="2473"/>
      <c r="E56" s="2474" t="str">
        <f>IF(Cabeçalho!E22&lt;&gt;"",Cabeçalho!E22,"NI")</f>
        <v>NI</v>
      </c>
      <c r="F56" s="2474"/>
      <c r="G56" s="2474"/>
      <c r="H56" s="2474"/>
      <c r="I56" s="2272"/>
      <c r="J56" s="2272"/>
    </row>
    <row r="57" spans="1:11" s="2118" customFormat="1" ht="15" customHeight="1" x14ac:dyDescent="0.25">
      <c r="A57" s="2473" t="s">
        <v>2354</v>
      </c>
      <c r="B57" s="2473"/>
      <c r="C57" s="2473"/>
      <c r="D57" s="2473"/>
      <c r="E57" s="2474" t="str">
        <f>IF(Cabeçalho!E23&lt;&gt;"",Cabeçalho!E23,"NI")</f>
        <v>NI</v>
      </c>
      <c r="F57" s="2474"/>
      <c r="G57" s="2474"/>
      <c r="H57" s="2474"/>
      <c r="I57" s="2272"/>
      <c r="J57" s="2272"/>
    </row>
    <row r="58" spans="1:11" ht="15" customHeight="1" x14ac:dyDescent="0.25">
      <c r="A58" s="2473" t="s">
        <v>2355</v>
      </c>
      <c r="B58" s="2473"/>
      <c r="C58" s="2473"/>
      <c r="D58" s="2473"/>
      <c r="E58" s="2075" t="str">
        <f>IF(Cabeçalho!B15&lt;&gt;"",Cabeçalho!B15,"NI")</f>
        <v>NI</v>
      </c>
      <c r="F58" s="2272"/>
      <c r="G58" s="2485"/>
      <c r="H58" s="2475"/>
      <c r="I58" s="2272"/>
      <c r="J58" s="2272"/>
    </row>
    <row r="59" spans="1:11" s="2272" customFormat="1" ht="15" customHeight="1" x14ac:dyDescent="0.25">
      <c r="A59" s="2473" t="s">
        <v>2328</v>
      </c>
      <c r="B59" s="2473"/>
      <c r="C59" s="2473"/>
      <c r="D59" s="2473"/>
      <c r="E59" s="2075" t="str">
        <f>IF(Cabeçalho!E26&lt;&gt;"",Cabeçalho!E26,"NI")</f>
        <v>NI</v>
      </c>
      <c r="G59" s="2075"/>
    </row>
    <row r="60" spans="1:11" ht="15" customHeight="1" x14ac:dyDescent="0.25">
      <c r="A60" s="2162" t="s">
        <v>2678</v>
      </c>
      <c r="E60" s="2072"/>
      <c r="F60" s="2072"/>
      <c r="G60" s="2072"/>
      <c r="H60" s="2072"/>
      <c r="I60" s="2072"/>
    </row>
    <row r="61" spans="1:11" ht="15" customHeight="1" x14ac:dyDescent="0.25">
      <c r="E61" s="2072"/>
      <c r="F61" s="2072"/>
      <c r="G61" s="2072"/>
      <c r="H61" s="2072"/>
      <c r="I61" s="2072"/>
      <c r="K61" s="2071" t="s">
        <v>649</v>
      </c>
    </row>
    <row r="62" spans="1:11" ht="15" customHeight="1" x14ac:dyDescent="0.25">
      <c r="E62" s="2072"/>
      <c r="F62" s="2072"/>
      <c r="G62" s="2072"/>
      <c r="H62" s="2072"/>
      <c r="I62" s="2072"/>
      <c r="K62" s="2071" t="s">
        <v>649</v>
      </c>
    </row>
    <row r="63" spans="1:11" ht="15" customHeight="1" x14ac:dyDescent="0.25">
      <c r="A63" s="281" t="s">
        <v>125</v>
      </c>
    </row>
    <row r="64" spans="1:11" ht="15" customHeight="1" x14ac:dyDescent="0.25">
      <c r="A64" s="2465" t="s">
        <v>129</v>
      </c>
      <c r="B64" s="2465"/>
      <c r="C64" s="2465"/>
      <c r="D64" s="2465"/>
      <c r="E64" s="2465"/>
      <c r="F64" s="2070" t="s">
        <v>368</v>
      </c>
      <c r="G64" s="2465" t="s">
        <v>369</v>
      </c>
      <c r="H64" s="2465"/>
      <c r="I64" s="2465"/>
    </row>
    <row r="65" spans="1:12" ht="15" customHeight="1" x14ac:dyDescent="0.25">
      <c r="A65" s="2471" t="s">
        <v>127</v>
      </c>
      <c r="B65" s="2471"/>
      <c r="C65" s="2471"/>
      <c r="D65" s="2471"/>
      <c r="E65" s="2471"/>
      <c r="F65" s="2015" t="str">
        <f>convencional!B1</f>
        <v>IN 90</v>
      </c>
      <c r="G65" s="2472">
        <f>convencional!F4</f>
        <v>0</v>
      </c>
      <c r="H65" s="2472"/>
      <c r="I65" s="2472"/>
      <c r="K65" s="2071" t="str">
        <f>IF(convencional!$I$4="Sim","x","")</f>
        <v/>
      </c>
    </row>
    <row r="66" spans="1:12" ht="15" customHeight="1" x14ac:dyDescent="0.25">
      <c r="A66" s="2471" t="s">
        <v>128</v>
      </c>
      <c r="B66" s="2471"/>
      <c r="C66" s="2471"/>
      <c r="D66" s="2471"/>
      <c r="E66" s="2471"/>
      <c r="F66" s="2015" t="str">
        <f>F65</f>
        <v>IN 90</v>
      </c>
      <c r="G66" s="2470">
        <f>convencional!F5</f>
        <v>0</v>
      </c>
      <c r="H66" s="2470"/>
      <c r="I66" s="2470"/>
      <c r="K66" s="2071" t="str">
        <f>IF(convencional!$I$4="Sim","x","")</f>
        <v/>
      </c>
    </row>
    <row r="67" spans="1:12" ht="15" customHeight="1" x14ac:dyDescent="0.25">
      <c r="A67" s="2471" t="s">
        <v>239</v>
      </c>
      <c r="B67" s="2471"/>
      <c r="C67" s="2471"/>
      <c r="D67" s="2471"/>
      <c r="E67" s="2471"/>
      <c r="F67" s="2015" t="str">
        <f>F66&amp;" / NR-32"</f>
        <v>IN 90 / NR-32</v>
      </c>
      <c r="G67" s="2455" t="str">
        <f>IF(convencional!B116=0,"NPA",convencional!B116)</f>
        <v>Em condições de funcionamento</v>
      </c>
      <c r="H67" s="2455"/>
      <c r="I67" s="2455"/>
    </row>
    <row r="68" spans="1:12" ht="15" customHeight="1" x14ac:dyDescent="0.25">
      <c r="A68" s="2471" t="s">
        <v>411</v>
      </c>
      <c r="B68" s="2471"/>
      <c r="C68" s="2471"/>
      <c r="D68" s="2471"/>
      <c r="E68" s="2471"/>
      <c r="F68" s="2015" t="str">
        <f>F66&amp;" / NR-32"</f>
        <v>IN 90 / NR-32</v>
      </c>
      <c r="G68" s="2472" t="str">
        <f>IF(Cabeçalho!$G$24="fixo","NA",IF(convencional!F6="sim","≥ 2 m","&lt; 2 m"))</f>
        <v>&lt; 2 m</v>
      </c>
      <c r="H68" s="2472"/>
      <c r="I68" s="2472"/>
    </row>
    <row r="69" spans="1:12" ht="15" customHeight="1" x14ac:dyDescent="0.25">
      <c r="A69" s="2481" t="s">
        <v>2247</v>
      </c>
      <c r="B69" s="2481"/>
      <c r="C69" s="2481"/>
      <c r="D69" s="2481"/>
      <c r="E69" s="2481"/>
      <c r="F69" s="2481"/>
      <c r="G69" s="2481"/>
      <c r="H69" s="2481"/>
      <c r="I69" s="2481"/>
    </row>
    <row r="71" spans="1:12" ht="15" customHeight="1" x14ac:dyDescent="0.25">
      <c r="A71" s="281" t="s">
        <v>138</v>
      </c>
    </row>
    <row r="72" spans="1:12" ht="15" customHeight="1" x14ac:dyDescent="0.25">
      <c r="A72" s="281" t="s">
        <v>164</v>
      </c>
      <c r="K72" s="2071" t="str">
        <f>IF(convencional!$I$4="Sim","x","")</f>
        <v/>
      </c>
      <c r="L72" s="2016">
        <f ca="1">COUNTIF(B80:I116,"=não")+COUNTIF(B80:I116,"=restrição")</f>
        <v>0</v>
      </c>
    </row>
    <row r="73" spans="1:12" ht="30" customHeight="1" x14ac:dyDescent="0.25">
      <c r="A73" s="2071" t="s">
        <v>2356</v>
      </c>
      <c r="C73" s="2468" t="s">
        <v>2357</v>
      </c>
      <c r="D73" s="2468"/>
      <c r="E73" s="2468"/>
      <c r="F73" s="2468"/>
      <c r="G73" s="2468"/>
      <c r="H73" s="2468"/>
      <c r="I73" s="2468"/>
      <c r="J73" s="2468"/>
      <c r="L73" s="2016"/>
    </row>
    <row r="74" spans="1:12" ht="15" customHeight="1" x14ac:dyDescent="0.25">
      <c r="A74" s="2071" t="s">
        <v>2358</v>
      </c>
      <c r="C74" s="2071" t="s">
        <v>2359</v>
      </c>
      <c r="L74" s="2016"/>
    </row>
    <row r="75" spans="1:12" ht="15" customHeight="1" x14ac:dyDescent="0.25">
      <c r="A75" s="281"/>
      <c r="L75" s="2016"/>
    </row>
    <row r="76" spans="1:12" ht="15" customHeight="1" x14ac:dyDescent="0.25">
      <c r="A76" s="2076" t="str">
        <f>IF(convencional!B11="",CONCATENATE("Foco ",convencional!B12),CONCATENATE(convencional!B11," ",convencional!C11," - Foco ",convencional!B12))</f>
        <v xml:space="preserve">Foco </v>
      </c>
      <c r="B76" s="2076"/>
      <c r="C76" s="2076"/>
      <c r="K76" s="2071" t="str">
        <f>IF(convencional!$I$4="Sim","x",IF(A76="Foco ","x",""))</f>
        <v>x</v>
      </c>
    </row>
    <row r="77" spans="1:12" ht="15" customHeight="1" x14ac:dyDescent="0.25">
      <c r="A77" s="2077" t="s">
        <v>201</v>
      </c>
      <c r="B77" s="2078" t="str">
        <f>IF(convencional!A14=0,"",convencional!A14)</f>
        <v/>
      </c>
      <c r="C77" s="2078" t="str">
        <f>IF(convencional!A15=0,"",convencional!A15)</f>
        <v/>
      </c>
      <c r="D77" s="2078" t="str">
        <f>IF(convencional!A16=0,"",convencional!A16)</f>
        <v/>
      </c>
      <c r="E77" s="2078" t="str">
        <f>IF(convencional!A17=0,"",convencional!A17)</f>
        <v/>
      </c>
      <c r="F77" s="2078" t="str">
        <f>IF(convencional!A18=0,"",convencional!A18)</f>
        <v/>
      </c>
      <c r="G77" s="2078" t="str">
        <f>IF(convencional!A19=0,"",convencional!A19)</f>
        <v/>
      </c>
      <c r="H77" s="2078" t="str">
        <f>IF(convencional!A20=0,"",convencional!A20)</f>
        <v/>
      </c>
      <c r="I77" s="2078" t="str">
        <f>IF(convencional!A21=0,"",convencional!A21)</f>
        <v/>
      </c>
      <c r="K77" s="2071" t="str">
        <f>K76</f>
        <v>x</v>
      </c>
    </row>
    <row r="78" spans="1:12" ht="15" customHeight="1" x14ac:dyDescent="0.25">
      <c r="A78" s="2077" t="s">
        <v>202</v>
      </c>
      <c r="B78" s="1133" t="str">
        <f ca="1">IFERROR(convencional!C14,"")</f>
        <v/>
      </c>
      <c r="C78" s="1133" t="str">
        <f ca="1">IFERROR(convencional!C15,"")</f>
        <v/>
      </c>
      <c r="D78" s="1133" t="str">
        <f ca="1">IFERROR(convencional!C16,"")</f>
        <v/>
      </c>
      <c r="E78" s="1133" t="str">
        <f ca="1">IFERROR(convencional!C17,"")</f>
        <v/>
      </c>
      <c r="F78" s="1133" t="str">
        <f ca="1">IFERROR(convencional!C18,"")</f>
        <v/>
      </c>
      <c r="G78" s="1133" t="str">
        <f ca="1">IFERROR(convencional!C19,"")</f>
        <v/>
      </c>
      <c r="H78" s="1133" t="str">
        <f ca="1">IFERROR(convencional!C20,"")</f>
        <v/>
      </c>
      <c r="I78" s="1133" t="str">
        <f ca="1">IFERROR(convencional!C21,"")</f>
        <v/>
      </c>
      <c r="K78" s="2071" t="str">
        <f>K77</f>
        <v>x</v>
      </c>
    </row>
    <row r="79" spans="1:12" s="2228" customFormat="1" ht="15" customHeight="1" x14ac:dyDescent="0.25">
      <c r="A79" s="2077" t="s">
        <v>2777</v>
      </c>
      <c r="B79" s="1133" t="str">
        <f ca="1">convencional!$E$14</f>
        <v/>
      </c>
      <c r="C79" s="1133" t="str">
        <f ca="1">convencional!$E$15</f>
        <v/>
      </c>
      <c r="D79" s="1133" t="str">
        <f ca="1">convencional!$E$16</f>
        <v/>
      </c>
      <c r="E79" s="1133" t="str">
        <f ca="1">convencional!$E$17</f>
        <v/>
      </c>
      <c r="F79" s="1133" t="str">
        <f ca="1">convencional!$E$18</f>
        <v/>
      </c>
      <c r="G79" s="1133" t="str">
        <f ca="1">convencional!$E$19</f>
        <v/>
      </c>
      <c r="H79" s="1133" t="str">
        <f ca="1">convencional!$E$20</f>
        <v/>
      </c>
      <c r="I79" s="1133" t="str">
        <f ca="1">convencional!E$21</f>
        <v/>
      </c>
      <c r="K79" s="2228" t="str">
        <f>K77</f>
        <v>x</v>
      </c>
    </row>
    <row r="80" spans="1:12" ht="15" customHeight="1" x14ac:dyDescent="0.25">
      <c r="A80" s="2077" t="str">
        <f>F65</f>
        <v>IN 90</v>
      </c>
      <c r="B80" s="1136" t="str">
        <f t="shared" ref="B80:I80" ca="1" si="0">IFERROR(IF(ABS(B78/B77-1)&lt;=0.1,"Sim",IF(ABS(B78/B77-1)&lt;0.2,"Não","Restrição")),"")</f>
        <v/>
      </c>
      <c r="C80" s="1136" t="str">
        <f t="shared" ca="1" si="0"/>
        <v/>
      </c>
      <c r="D80" s="1136" t="str">
        <f t="shared" ca="1" si="0"/>
        <v/>
      </c>
      <c r="E80" s="1136" t="str">
        <f t="shared" ca="1" si="0"/>
        <v/>
      </c>
      <c r="F80" s="1136" t="str">
        <f t="shared" ca="1" si="0"/>
        <v/>
      </c>
      <c r="G80" s="1136" t="str">
        <f t="shared" ca="1" si="0"/>
        <v/>
      </c>
      <c r="H80" s="1136" t="str">
        <f t="shared" ca="1" si="0"/>
        <v/>
      </c>
      <c r="I80" s="1136" t="str">
        <f t="shared" ca="1" si="0"/>
        <v/>
      </c>
      <c r="K80" s="2071" t="str">
        <f>K78</f>
        <v>x</v>
      </c>
      <c r="L80" s="2105" t="str">
        <f ca="1">IF(OR(COUNTIF(B80:G80,"Restrição")&gt;0,COUNTIF(B80:G80,"Não")&gt;0),"Não Conforme","Conforme")</f>
        <v>Conforme</v>
      </c>
    </row>
    <row r="81" spans="1:13" ht="15" customHeight="1" x14ac:dyDescent="0.25">
      <c r="A81" s="281"/>
      <c r="C81" s="2073"/>
      <c r="I81" s="2018"/>
      <c r="K81" s="2071" t="str">
        <f>K82</f>
        <v>x</v>
      </c>
    </row>
    <row r="82" spans="1:13" ht="15" customHeight="1" x14ac:dyDescent="0.25">
      <c r="A82" s="2076" t="str">
        <f>IF(convencional!H11="",CONCATENATE("Foco ",convencional!H12),CONCATENATE(convencional!H11," ",convencional!I11," - Foco ",convencional!H12))</f>
        <v xml:space="preserve">Foco </v>
      </c>
      <c r="B82" s="2076"/>
      <c r="C82" s="2076"/>
      <c r="I82" s="2018"/>
      <c r="K82" s="2071" t="str">
        <f>IF(convencional!$I$4="Sim","x",IF(A82="Foco ","x",""))</f>
        <v>x</v>
      </c>
    </row>
    <row r="83" spans="1:13" ht="15" customHeight="1" x14ac:dyDescent="0.25">
      <c r="A83" s="2077" t="s">
        <v>201</v>
      </c>
      <c r="B83" s="2078" t="str">
        <f>IF(convencional!G14=0,"",convencional!G14)</f>
        <v/>
      </c>
      <c r="C83" s="2078" t="str">
        <f>IF(convencional!G15=0,"",convencional!G15)</f>
        <v/>
      </c>
      <c r="D83" s="2078" t="str">
        <f>IF(convencional!G16=0,"",convencional!G16)</f>
        <v/>
      </c>
      <c r="E83" s="2078" t="str">
        <f>IF(convencional!G17=0,"",convencional!G17)</f>
        <v/>
      </c>
      <c r="F83" s="2078" t="str">
        <f>IF(convencional!G18=0,"",convencional!G18)</f>
        <v/>
      </c>
      <c r="G83" s="2078" t="str">
        <f>IF(convencional!G19=0,"",convencional!G19)</f>
        <v/>
      </c>
      <c r="H83" s="2078" t="str">
        <f>IF(convencional!G20=0,"",convencional!G20)</f>
        <v/>
      </c>
      <c r="I83" s="2078" t="str">
        <f>IF(convencional!G21=0,"",convencional!G21)</f>
        <v/>
      </c>
      <c r="K83" s="2071" t="str">
        <f>K82</f>
        <v>x</v>
      </c>
      <c r="M83" s="2078"/>
    </row>
    <row r="84" spans="1:13" ht="15" customHeight="1" x14ac:dyDescent="0.25">
      <c r="A84" s="2077" t="s">
        <v>202</v>
      </c>
      <c r="B84" s="1133" t="str">
        <f ca="1">IFERROR(convencional!I14,"")</f>
        <v/>
      </c>
      <c r="C84" s="1133" t="str">
        <f ca="1">IFERROR(convencional!I15,"")</f>
        <v/>
      </c>
      <c r="D84" s="1133" t="str">
        <f ca="1">IFERROR(convencional!I16,"")</f>
        <v/>
      </c>
      <c r="E84" s="1133" t="str">
        <f ca="1">IFERROR(convencional!I17,"")</f>
        <v/>
      </c>
      <c r="F84" s="1133" t="str">
        <f ca="1">IFERROR(convencional!I18,"")</f>
        <v/>
      </c>
      <c r="G84" s="1133" t="str">
        <f ca="1">IFERROR(convencional!I19,"")</f>
        <v/>
      </c>
      <c r="H84" s="1133" t="str">
        <f ca="1">IFERROR(convencional!I20,"")</f>
        <v/>
      </c>
      <c r="I84" s="1133" t="str">
        <f ca="1">IFERROR(convencional!I21,"")</f>
        <v/>
      </c>
      <c r="K84" s="2071" t="str">
        <f>K83</f>
        <v>x</v>
      </c>
      <c r="M84" s="2078"/>
    </row>
    <row r="85" spans="1:13" s="2228" customFormat="1" ht="15" customHeight="1" x14ac:dyDescent="0.25">
      <c r="A85" s="2077" t="s">
        <v>2777</v>
      </c>
      <c r="B85" s="1133" t="str">
        <f ca="1">convencional!$K$14</f>
        <v/>
      </c>
      <c r="C85" s="1133" t="str">
        <f ca="1">convencional!$K$15</f>
        <v/>
      </c>
      <c r="D85" s="1133" t="str">
        <f ca="1">convencional!$K$16</f>
        <v/>
      </c>
      <c r="E85" s="1133" t="str">
        <f ca="1">convencional!$K$17</f>
        <v/>
      </c>
      <c r="F85" s="1133" t="str">
        <f ca="1">convencional!$K$18</f>
        <v/>
      </c>
      <c r="G85" s="1133" t="str">
        <f ca="1">convencional!$K$19</f>
        <v/>
      </c>
      <c r="H85" s="1133" t="str">
        <f ca="1">convencional!$K$20</f>
        <v/>
      </c>
      <c r="I85" s="1133" t="str">
        <f ca="1">convencional!$K$21</f>
        <v/>
      </c>
      <c r="K85" s="2228" t="str">
        <f>K84</f>
        <v>x</v>
      </c>
      <c r="M85" s="2078"/>
    </row>
    <row r="86" spans="1:13" ht="15" customHeight="1" x14ac:dyDescent="0.25">
      <c r="A86" s="2077" t="str">
        <f>A80</f>
        <v>IN 90</v>
      </c>
      <c r="B86" s="1136" t="str">
        <f t="shared" ref="B86:I86" ca="1" si="1">IFERROR(IF(ABS(B84/B83-1)&lt;=0.1,"Sim",IF(ABS(B84/B83-1)&lt;0.2,"Não","Restrição")),"")</f>
        <v/>
      </c>
      <c r="C86" s="1136" t="str">
        <f t="shared" ca="1" si="1"/>
        <v/>
      </c>
      <c r="D86" s="1136" t="str">
        <f t="shared" ca="1" si="1"/>
        <v/>
      </c>
      <c r="E86" s="1136" t="str">
        <f t="shared" ca="1" si="1"/>
        <v/>
      </c>
      <c r="F86" s="1136" t="str">
        <f t="shared" ca="1" si="1"/>
        <v/>
      </c>
      <c r="G86" s="1136" t="str">
        <f t="shared" ca="1" si="1"/>
        <v/>
      </c>
      <c r="H86" s="1136" t="str">
        <f t="shared" ca="1" si="1"/>
        <v/>
      </c>
      <c r="I86" s="1136" t="str">
        <f t="shared" ca="1" si="1"/>
        <v/>
      </c>
      <c r="K86" s="2071" t="str">
        <f>K84</f>
        <v>x</v>
      </c>
      <c r="L86" s="2105" t="str">
        <f ca="1">IF(OR(COUNTIF(B86:G86,"Restrição")&gt;0,COUNTIF(B86:G86,"Não")&gt;0),"Não Conforme","Conforme")</f>
        <v>Conforme</v>
      </c>
      <c r="M86" s="2078"/>
    </row>
    <row r="87" spans="1:13" ht="15" customHeight="1" x14ac:dyDescent="0.25">
      <c r="A87" s="281"/>
      <c r="C87" s="2073"/>
      <c r="I87" s="2018"/>
      <c r="K87" s="2105" t="str">
        <f>K86</f>
        <v>x</v>
      </c>
      <c r="M87" s="2078"/>
    </row>
    <row r="88" spans="1:13" ht="15" customHeight="1" x14ac:dyDescent="0.25">
      <c r="A88" s="2076" t="str">
        <f>IF(convencional!N11="",CONCATENATE("Foco ",convencional!N12),CONCATENATE(convencional!N11," ",convencional!O11," - Foco ",convencional!N12))</f>
        <v xml:space="preserve">Foco </v>
      </c>
      <c r="B88" s="2076"/>
      <c r="C88" s="2076"/>
      <c r="I88" s="2018"/>
      <c r="K88" s="2105" t="str">
        <f t="shared" ref="K88:K89" si="2">K87</f>
        <v>x</v>
      </c>
      <c r="M88" s="2078"/>
    </row>
    <row r="89" spans="1:13" ht="15" customHeight="1" x14ac:dyDescent="0.25">
      <c r="A89" s="2077" t="s">
        <v>201</v>
      </c>
      <c r="B89" s="2078" t="str">
        <f>IF(convencional!M14=0,"",convencional!M14)</f>
        <v/>
      </c>
      <c r="C89" s="2078" t="str">
        <f>IF(convencional!M15=0,"",convencional!M15)</f>
        <v/>
      </c>
      <c r="D89" s="2078" t="str">
        <f>IF(convencional!M16=0,"",convencional!M16)</f>
        <v/>
      </c>
      <c r="E89" s="2078" t="str">
        <f>IF(convencional!M17=0,"",convencional!M17)</f>
        <v/>
      </c>
      <c r="F89" s="2078" t="str">
        <f>IF(convencional!M18=0,"",convencional!M18)</f>
        <v/>
      </c>
      <c r="G89" s="2078" t="str">
        <f>IF(convencional!M19=0,"",convencional!M19)</f>
        <v/>
      </c>
      <c r="H89" s="2078" t="str">
        <f>IF(convencional!M20=0,"",convencional!M20)</f>
        <v/>
      </c>
      <c r="I89" s="2078" t="str">
        <f>IF(convencional!M21=0,"",convencional!M21)</f>
        <v/>
      </c>
      <c r="K89" s="2105" t="str">
        <f t="shared" si="2"/>
        <v>x</v>
      </c>
      <c r="M89" s="2078"/>
    </row>
    <row r="90" spans="1:13" ht="15" customHeight="1" x14ac:dyDescent="0.25">
      <c r="A90" s="2077" t="s">
        <v>202</v>
      </c>
      <c r="B90" s="1133" t="str">
        <f ca="1">IFERROR(convencional!O14,"")</f>
        <v/>
      </c>
      <c r="C90" s="1133" t="str">
        <f ca="1">IFERROR(convencional!O15,"")</f>
        <v/>
      </c>
      <c r="D90" s="1133" t="str">
        <f ca="1">IFERROR(convencional!O16,"")</f>
        <v/>
      </c>
      <c r="E90" s="1133" t="str">
        <f ca="1">IFERROR(convencional!O17,"")</f>
        <v/>
      </c>
      <c r="F90" s="1133" t="str">
        <f ca="1">IFERROR(convencional!O18,"")</f>
        <v/>
      </c>
      <c r="G90" s="1133" t="str">
        <f ca="1">IFERROR(convencional!O19,"")</f>
        <v/>
      </c>
      <c r="H90" s="1133" t="str">
        <f ca="1">IFERROR(convencional!O20,"")</f>
        <v/>
      </c>
      <c r="I90" s="1133" t="str">
        <f ca="1">IFERROR(convencional!O21,"")</f>
        <v/>
      </c>
      <c r="K90" s="2105" t="str">
        <f>K89</f>
        <v>x</v>
      </c>
      <c r="M90" s="2078"/>
    </row>
    <row r="91" spans="1:13" s="2228" customFormat="1" ht="15" customHeight="1" x14ac:dyDescent="0.25">
      <c r="A91" s="2077" t="s">
        <v>2777</v>
      </c>
      <c r="B91" s="1133" t="str">
        <f ca="1">convencional!$Q$14</f>
        <v/>
      </c>
      <c r="C91" s="1133" t="str">
        <f ca="1">convencional!$Q$15</f>
        <v/>
      </c>
      <c r="D91" s="1133" t="str">
        <f ca="1">convencional!$Q$16</f>
        <v/>
      </c>
      <c r="E91" s="1133" t="str">
        <f ca="1">convencional!$Q$17</f>
        <v/>
      </c>
      <c r="F91" s="1133" t="str">
        <f ca="1">convencional!$Q$18</f>
        <v/>
      </c>
      <c r="G91" s="1133" t="str">
        <f ca="1">convencional!$Q$19</f>
        <v/>
      </c>
      <c r="H91" s="1133" t="str">
        <f ca="1">convencional!$Q$20</f>
        <v/>
      </c>
      <c r="I91" s="1133" t="str">
        <f ca="1">convencional!$Q$21</f>
        <v/>
      </c>
      <c r="K91" s="2228" t="str">
        <f>K92</f>
        <v>x</v>
      </c>
      <c r="M91" s="2078"/>
    </row>
    <row r="92" spans="1:13" ht="15" customHeight="1" x14ac:dyDescent="0.25">
      <c r="A92" s="2077" t="str">
        <f>A86</f>
        <v>IN 90</v>
      </c>
      <c r="B92" s="1136" t="str">
        <f t="shared" ref="B92:I92" ca="1" si="3">IFERROR(IF(ABS(B90/B89-1)&lt;=0.1,"Sim",IF(ABS(B90/B89-1)&lt;0.2,"Não","Restrição")),"")</f>
        <v/>
      </c>
      <c r="C92" s="1136" t="str">
        <f t="shared" ca="1" si="3"/>
        <v/>
      </c>
      <c r="D92" s="1136" t="str">
        <f t="shared" ca="1" si="3"/>
        <v/>
      </c>
      <c r="E92" s="1136" t="str">
        <f t="shared" ca="1" si="3"/>
        <v/>
      </c>
      <c r="F92" s="1136" t="str">
        <f t="shared" ca="1" si="3"/>
        <v/>
      </c>
      <c r="G92" s="1136" t="str">
        <f t="shared" ca="1" si="3"/>
        <v/>
      </c>
      <c r="H92" s="1136" t="str">
        <f t="shared" ca="1" si="3"/>
        <v/>
      </c>
      <c r="I92" s="1136" t="str">
        <f t="shared" ca="1" si="3"/>
        <v/>
      </c>
      <c r="K92" s="2105" t="str">
        <f>K90</f>
        <v>x</v>
      </c>
      <c r="L92" s="2105" t="str">
        <f ca="1">IF(OR(COUNTIF(B92:G92,"Restrição")&gt;0,COUNTIF(B92:G92,"Não")&gt;0),"Não Conforme","Conforme")</f>
        <v>Conforme</v>
      </c>
      <c r="M92" s="2078"/>
    </row>
    <row r="93" spans="1:13" ht="15" customHeight="1" x14ac:dyDescent="0.25">
      <c r="A93" s="281"/>
      <c r="C93" s="2073"/>
      <c r="I93" s="2018"/>
      <c r="K93" s="2071" t="str">
        <f>K94</f>
        <v>x</v>
      </c>
    </row>
    <row r="94" spans="1:13" ht="15" customHeight="1" x14ac:dyDescent="0.25">
      <c r="A94" s="2079" t="str">
        <f>IF(convencional!T11="",CONCATENATE("Foco ",convencional!T12),CONCATENATE(convencional!T11," ",convencional!U11," - Foco ",convencional!T12))</f>
        <v xml:space="preserve">Foco </v>
      </c>
      <c r="B94" s="2079"/>
      <c r="C94" s="2079"/>
      <c r="I94" s="2018"/>
      <c r="K94" s="2071" t="str">
        <f>IF(convencional!$I$4="Sim","x",IF(A94="Foco ","x",""))</f>
        <v>x</v>
      </c>
    </row>
    <row r="95" spans="1:13" ht="15" customHeight="1" x14ac:dyDescent="0.25">
      <c r="A95" s="2077" t="s">
        <v>201</v>
      </c>
      <c r="B95" s="2078" t="str">
        <f>IF(convencional!S14=0,"",convencional!S14)</f>
        <v/>
      </c>
      <c r="C95" s="2078" t="str">
        <f>IF(convencional!S15=0,"",convencional!S15)</f>
        <v/>
      </c>
      <c r="D95" s="2078" t="str">
        <f>IF(convencional!S16=0,"",convencional!S16)</f>
        <v/>
      </c>
      <c r="E95" s="2078" t="str">
        <f>IF(convencional!S17=0,"",convencional!S17)</f>
        <v/>
      </c>
      <c r="F95" s="2078" t="str">
        <f>IF(convencional!S18=0,"",convencional!S18)</f>
        <v/>
      </c>
      <c r="G95" s="2078" t="str">
        <f>IF(convencional!S19=0,"",convencional!S19)</f>
        <v/>
      </c>
      <c r="H95" s="2078" t="str">
        <f>IF(convencional!S20=0,"",convencional!S20)</f>
        <v/>
      </c>
      <c r="I95" s="2078" t="str">
        <f>IF(convencional!S21=0,"",convencional!S21)</f>
        <v/>
      </c>
      <c r="K95" s="2071" t="str">
        <f>K94</f>
        <v>x</v>
      </c>
    </row>
    <row r="96" spans="1:13" ht="15" customHeight="1" x14ac:dyDescent="0.25">
      <c r="A96" s="2077" t="s">
        <v>202</v>
      </c>
      <c r="B96" s="1133" t="str">
        <f ca="1">IFERROR(convencional!U14,"")</f>
        <v/>
      </c>
      <c r="C96" s="1133" t="str">
        <f ca="1">IFERROR(convencional!U15,"")</f>
        <v/>
      </c>
      <c r="D96" s="1133" t="str">
        <f ca="1">IFERROR(convencional!U16,"")</f>
        <v/>
      </c>
      <c r="E96" s="1133" t="str">
        <f ca="1">IFERROR(convencional!U17,"")</f>
        <v/>
      </c>
      <c r="F96" s="1133" t="str">
        <f ca="1">IFERROR(convencional!U18,"")</f>
        <v/>
      </c>
      <c r="G96" s="1133" t="str">
        <f ca="1">IFERROR(convencional!U19,"")</f>
        <v/>
      </c>
      <c r="H96" s="1133" t="str">
        <f ca="1">IFERROR(convencional!U20,"")</f>
        <v/>
      </c>
      <c r="I96" s="1133" t="str">
        <f ca="1">IFERROR(convencional!U21,"")</f>
        <v/>
      </c>
      <c r="K96" s="2071" t="str">
        <f>K95</f>
        <v>x</v>
      </c>
    </row>
    <row r="97" spans="1:12" s="2228" customFormat="1" ht="15" customHeight="1" x14ac:dyDescent="0.25">
      <c r="A97" s="2077" t="s">
        <v>2777</v>
      </c>
      <c r="B97" s="1133" t="str">
        <f ca="1">convencional!$W$14</f>
        <v/>
      </c>
      <c r="C97" s="1133" t="str">
        <f ca="1">convencional!$W$15</f>
        <v/>
      </c>
      <c r="D97" s="1133" t="str">
        <f ca="1">convencional!$W$16</f>
        <v/>
      </c>
      <c r="E97" s="1133" t="str">
        <f ca="1">convencional!$W$17</f>
        <v/>
      </c>
      <c r="F97" s="1133" t="str">
        <f ca="1">convencional!$W$18</f>
        <v/>
      </c>
      <c r="G97" s="1133" t="str">
        <f ca="1">convencional!$W$19</f>
        <v/>
      </c>
      <c r="H97" s="1133" t="str">
        <f ca="1">convencional!$W$20</f>
        <v/>
      </c>
      <c r="I97" s="1133" t="str">
        <f ca="1">convencional!$W$21</f>
        <v/>
      </c>
      <c r="K97" s="2228" t="str">
        <f>K95</f>
        <v>x</v>
      </c>
    </row>
    <row r="98" spans="1:12" ht="15" customHeight="1" x14ac:dyDescent="0.25">
      <c r="A98" s="2077" t="str">
        <f>A92</f>
        <v>IN 90</v>
      </c>
      <c r="B98" s="1136" t="str">
        <f t="shared" ref="B98:I98" ca="1" si="4">IFERROR(IF(ABS(B96/B95-1)&lt;=0.1,"Sim",IF(ABS(B96/B95-1)&lt;0.2,"Não","Restrição")),"")</f>
        <v/>
      </c>
      <c r="C98" s="1136" t="str">
        <f t="shared" ca="1" si="4"/>
        <v/>
      </c>
      <c r="D98" s="1136" t="str">
        <f t="shared" ca="1" si="4"/>
        <v/>
      </c>
      <c r="E98" s="1136" t="str">
        <f t="shared" ca="1" si="4"/>
        <v/>
      </c>
      <c r="F98" s="1136" t="str">
        <f t="shared" ca="1" si="4"/>
        <v/>
      </c>
      <c r="G98" s="1136" t="str">
        <f t="shared" ca="1" si="4"/>
        <v/>
      </c>
      <c r="H98" s="1136" t="str">
        <f t="shared" ca="1" si="4"/>
        <v/>
      </c>
      <c r="I98" s="1136" t="str">
        <f t="shared" ca="1" si="4"/>
        <v/>
      </c>
      <c r="K98" s="2071" t="str">
        <f>K96</f>
        <v>x</v>
      </c>
      <c r="L98" s="2105" t="str">
        <f ca="1">IF(OR(COUNTIF(B98:G98,"Restrição")&gt;0,COUNTIF(B98:G98,"Não")&gt;0),"Não Conforme","Conforme")</f>
        <v>Conforme</v>
      </c>
    </row>
    <row r="99" spans="1:12" ht="15" customHeight="1" x14ac:dyDescent="0.25">
      <c r="A99" s="281"/>
      <c r="C99" s="2073"/>
      <c r="I99" s="2018"/>
      <c r="K99" s="2071" t="str">
        <f>K100</f>
        <v>x</v>
      </c>
    </row>
    <row r="100" spans="1:12" ht="15" customHeight="1" x14ac:dyDescent="0.25">
      <c r="A100" s="2076" t="str">
        <f>IF(convencional!Z11="",CONCATENATE("Foco ",convencional!Z12),CONCATENATE(convencional!Z11," ",convencional!AA11," - Foco ",convencional!Z12))</f>
        <v xml:space="preserve">Foco </v>
      </c>
      <c r="B100" s="2076"/>
      <c r="C100" s="2076"/>
      <c r="I100" s="2018"/>
      <c r="K100" s="2071" t="str">
        <f>IF(convencional!$I$4="Sim","x",IF(A100="Foco ","x",""))</f>
        <v>x</v>
      </c>
    </row>
    <row r="101" spans="1:12" ht="15" customHeight="1" x14ac:dyDescent="0.25">
      <c r="A101" s="2077" t="s">
        <v>201</v>
      </c>
      <c r="B101" s="2078" t="str">
        <f>IF(convencional!Y14=0,"",convencional!Y14)</f>
        <v/>
      </c>
      <c r="C101" s="2078" t="str">
        <f>IF(convencional!Y15=0,"",convencional!Y15)</f>
        <v/>
      </c>
      <c r="D101" s="2078" t="str">
        <f>IF(convencional!Y16=0,"",convencional!Y16)</f>
        <v/>
      </c>
      <c r="E101" s="2078" t="str">
        <f>IF(convencional!Y17=0,"",convencional!Y17)</f>
        <v/>
      </c>
      <c r="F101" s="2078" t="str">
        <f>IF(convencional!Y18=0,"",convencional!Y18)</f>
        <v/>
      </c>
      <c r="G101" s="2078" t="str">
        <f>IF(convencional!Y19=0,"",convencional!Y19)</f>
        <v/>
      </c>
      <c r="H101" s="2078" t="str">
        <f>IF(convencional!Y20=0,"",convencional!Y20)</f>
        <v/>
      </c>
      <c r="I101" s="2078" t="str">
        <f>IF(convencional!Y21=0,"",convencional!Y21)</f>
        <v/>
      </c>
      <c r="K101" s="2071" t="str">
        <f>K100</f>
        <v>x</v>
      </c>
    </row>
    <row r="102" spans="1:12" ht="15" customHeight="1" x14ac:dyDescent="0.25">
      <c r="A102" s="2077" t="s">
        <v>202</v>
      </c>
      <c r="B102" s="1133" t="str">
        <f ca="1">IFERROR(convencional!AA14,"")</f>
        <v/>
      </c>
      <c r="C102" s="1133" t="str">
        <f ca="1">IFERROR(convencional!AA15,"")</f>
        <v/>
      </c>
      <c r="D102" s="1133" t="str">
        <f ca="1">IFERROR(convencional!AA16,"")</f>
        <v/>
      </c>
      <c r="E102" s="1133" t="str">
        <f ca="1">IFERROR(convencional!AA17,"")</f>
        <v/>
      </c>
      <c r="F102" s="1133" t="str">
        <f ca="1">IFERROR(convencional!AA18,"")</f>
        <v/>
      </c>
      <c r="G102" s="1133" t="str">
        <f ca="1">IFERROR(convencional!AA19,"")</f>
        <v/>
      </c>
      <c r="H102" s="1133" t="str">
        <f ca="1">IFERROR(convencional!AA20,"")</f>
        <v/>
      </c>
      <c r="I102" s="1133" t="str">
        <f ca="1">IFERROR(convencional!AA21,"")</f>
        <v/>
      </c>
      <c r="K102" s="2071" t="str">
        <f>K101</f>
        <v>x</v>
      </c>
    </row>
    <row r="103" spans="1:12" s="2228" customFormat="1" ht="15" customHeight="1" x14ac:dyDescent="0.25">
      <c r="A103" s="2077" t="s">
        <v>2777</v>
      </c>
      <c r="B103" s="1133" t="str">
        <f ca="1">convencional!$AC$14</f>
        <v/>
      </c>
      <c r="C103" s="1133" t="str">
        <f ca="1">convencional!$AC$15</f>
        <v/>
      </c>
      <c r="D103" s="1133" t="str">
        <f ca="1">convencional!$AC$16</f>
        <v/>
      </c>
      <c r="E103" s="1133" t="str">
        <f ca="1">convencional!$AC$17</f>
        <v/>
      </c>
      <c r="F103" s="1133" t="str">
        <f ca="1">convencional!$AC$18</f>
        <v/>
      </c>
      <c r="G103" s="1133" t="str">
        <f ca="1">convencional!$AC$19</f>
        <v/>
      </c>
      <c r="H103" s="1133" t="str">
        <f ca="1">convencional!$AC$20</f>
        <v/>
      </c>
      <c r="I103" s="1133" t="str">
        <f ca="1">convencional!$AC$21</f>
        <v/>
      </c>
      <c r="K103" s="2228" t="str">
        <f>K101</f>
        <v>x</v>
      </c>
    </row>
    <row r="104" spans="1:12" ht="15" customHeight="1" x14ac:dyDescent="0.25">
      <c r="A104" s="2077" t="str">
        <f>A98</f>
        <v>IN 90</v>
      </c>
      <c r="B104" s="1136" t="str">
        <f t="shared" ref="B104:I104" ca="1" si="5">IFERROR(IF(ABS(B102/B101-1)&lt;=0.1,"Sim",IF(ABS(B102/B101-1)&lt;0.2,"Não","Restrição")),"")</f>
        <v/>
      </c>
      <c r="C104" s="1136" t="str">
        <f t="shared" ca="1" si="5"/>
        <v/>
      </c>
      <c r="D104" s="1136" t="str">
        <f t="shared" ca="1" si="5"/>
        <v/>
      </c>
      <c r="E104" s="1136" t="str">
        <f t="shared" ca="1" si="5"/>
        <v/>
      </c>
      <c r="F104" s="1136" t="str">
        <f t="shared" ca="1" si="5"/>
        <v/>
      </c>
      <c r="G104" s="1136" t="str">
        <f t="shared" ca="1" si="5"/>
        <v/>
      </c>
      <c r="H104" s="1136" t="str">
        <f t="shared" ca="1" si="5"/>
        <v/>
      </c>
      <c r="I104" s="1136" t="str">
        <f t="shared" ca="1" si="5"/>
        <v/>
      </c>
      <c r="K104" s="2071" t="str">
        <f>K102</f>
        <v>x</v>
      </c>
      <c r="L104" s="2105" t="str">
        <f ca="1">IF(OR(COUNTIF(B104:G104,"Restrição")&gt;0,COUNTIF(B104:G104,"Não")&gt;0),"Não Conforme","Conforme")</f>
        <v>Conforme</v>
      </c>
    </row>
    <row r="105" spans="1:12" ht="15" customHeight="1" x14ac:dyDescent="0.25">
      <c r="A105" s="281"/>
      <c r="C105" s="2073"/>
      <c r="I105" s="2018"/>
      <c r="K105" s="2071" t="str">
        <f>K106</f>
        <v>x</v>
      </c>
    </row>
    <row r="106" spans="1:12" ht="15" customHeight="1" x14ac:dyDescent="0.25">
      <c r="A106" s="2076" t="str">
        <f>IF(convencional!AF11="",CONCATENATE("Foco ",convencional!AF12),CONCATENATE(convencional!AF11," ",convencional!AG11," - Foco ",convencional!AF12))</f>
        <v xml:space="preserve">Foco </v>
      </c>
      <c r="B106" s="2076"/>
      <c r="C106" s="2076"/>
      <c r="I106" s="2018"/>
      <c r="K106" s="2071" t="str">
        <f>IF(convencional!$I$4="Sim","x",IF(A106="Foco ","x",""))</f>
        <v>x</v>
      </c>
    </row>
    <row r="107" spans="1:12" ht="15" customHeight="1" x14ac:dyDescent="0.25">
      <c r="A107" s="2077" t="s">
        <v>201</v>
      </c>
      <c r="B107" s="2078" t="str">
        <f>IF(convencional!AE14=0,"",convencional!AE14)</f>
        <v/>
      </c>
      <c r="C107" s="2078" t="str">
        <f>IF(convencional!AE15=0,"",convencional!AE15)</f>
        <v/>
      </c>
      <c r="D107" s="2078" t="str">
        <f>IF(convencional!AE16=0,"",convencional!AE16)</f>
        <v/>
      </c>
      <c r="E107" s="2078" t="str">
        <f>IF(convencional!AE17=0,"",convencional!AE17)</f>
        <v/>
      </c>
      <c r="F107" s="2078" t="str">
        <f>IF(convencional!AE18=0,"",convencional!AE18)</f>
        <v/>
      </c>
      <c r="G107" s="2078" t="str">
        <f>IF(convencional!AE19=0,"",convencional!AE19)</f>
        <v/>
      </c>
      <c r="H107" s="2078" t="str">
        <f>IF(convencional!AE20=0,"",convencional!AE20)</f>
        <v/>
      </c>
      <c r="I107" s="2078" t="str">
        <f>IF(convencional!AE21=0,"",convencional!AE21)</f>
        <v/>
      </c>
      <c r="K107" s="2071" t="str">
        <f>K106</f>
        <v>x</v>
      </c>
    </row>
    <row r="108" spans="1:12" ht="15" customHeight="1" x14ac:dyDescent="0.25">
      <c r="A108" s="2077" t="s">
        <v>202</v>
      </c>
      <c r="B108" s="1133" t="str">
        <f ca="1">IFERROR(convencional!AG14,"")</f>
        <v/>
      </c>
      <c r="C108" s="1133" t="str">
        <f ca="1">IFERROR(convencional!AG15,"")</f>
        <v/>
      </c>
      <c r="D108" s="1133" t="str">
        <f ca="1">IFERROR(convencional!AG16,"")</f>
        <v/>
      </c>
      <c r="E108" s="1133" t="str">
        <f ca="1">IFERROR(convencional!AG17,"")</f>
        <v/>
      </c>
      <c r="F108" s="1133" t="str">
        <f ca="1">IFERROR(convencional!AG18,"")</f>
        <v/>
      </c>
      <c r="G108" s="1133" t="str">
        <f ca="1">IFERROR(convencional!AG19,"")</f>
        <v/>
      </c>
      <c r="H108" s="1133" t="str">
        <f ca="1">IFERROR(convencional!AG20,"")</f>
        <v/>
      </c>
      <c r="I108" s="1133" t="str">
        <f ca="1">IFERROR(convencional!AG21,"")</f>
        <v/>
      </c>
      <c r="K108" s="2071" t="str">
        <f>K107</f>
        <v>x</v>
      </c>
    </row>
    <row r="109" spans="1:12" s="2228" customFormat="1" ht="15" customHeight="1" x14ac:dyDescent="0.25">
      <c r="A109" s="2077" t="s">
        <v>2777</v>
      </c>
      <c r="B109" s="1133" t="str">
        <f ca="1">convencional!$AI$14</f>
        <v/>
      </c>
      <c r="C109" s="1133" t="str">
        <f ca="1">convencional!$AI$15</f>
        <v/>
      </c>
      <c r="D109" s="1133" t="str">
        <f ca="1">convencional!$AI$16</f>
        <v/>
      </c>
      <c r="E109" s="1133" t="str">
        <f ca="1">convencional!$AI$17</f>
        <v/>
      </c>
      <c r="F109" s="1133" t="str">
        <f ca="1">convencional!$AI$18</f>
        <v/>
      </c>
      <c r="G109" s="1133" t="str">
        <f ca="1">convencional!$AI$19</f>
        <v/>
      </c>
      <c r="H109" s="1133" t="str">
        <f ca="1">convencional!$AI$20</f>
        <v/>
      </c>
      <c r="I109" s="1133" t="str">
        <f ca="1">convencional!$AI$21</f>
        <v/>
      </c>
      <c r="K109" s="2228" t="str">
        <f>K110</f>
        <v>x</v>
      </c>
    </row>
    <row r="110" spans="1:12" ht="15" customHeight="1" x14ac:dyDescent="0.25">
      <c r="A110" s="2077" t="str">
        <f>A104</f>
        <v>IN 90</v>
      </c>
      <c r="B110" s="1136" t="str">
        <f t="shared" ref="B110:I110" ca="1" si="6">IFERROR(IF(ABS(B108/B107-1)&lt;=0.1,"Sim",IF(ABS(B108/B107-1)&lt;0.2,"Não","Restrição")),"")</f>
        <v/>
      </c>
      <c r="C110" s="1136" t="str">
        <f t="shared" ca="1" si="6"/>
        <v/>
      </c>
      <c r="D110" s="1136" t="str">
        <f t="shared" ca="1" si="6"/>
        <v/>
      </c>
      <c r="E110" s="1136" t="str">
        <f t="shared" ca="1" si="6"/>
        <v/>
      </c>
      <c r="F110" s="1136" t="str">
        <f t="shared" ca="1" si="6"/>
        <v/>
      </c>
      <c r="G110" s="1136" t="str">
        <f t="shared" ca="1" si="6"/>
        <v/>
      </c>
      <c r="H110" s="1136" t="str">
        <f t="shared" ca="1" si="6"/>
        <v/>
      </c>
      <c r="I110" s="1136" t="str">
        <f t="shared" ca="1" si="6"/>
        <v/>
      </c>
      <c r="K110" s="2071" t="str">
        <f>K108</f>
        <v>x</v>
      </c>
      <c r="L110" s="2105" t="str">
        <f ca="1">IF(OR(COUNTIF(B110:G110,"Restrição")&gt;0,COUNTIF(B110:G110,"Não")&gt;0),"Não Conforme","Conforme")</f>
        <v>Conforme</v>
      </c>
    </row>
    <row r="111" spans="1:12" ht="15" customHeight="1" x14ac:dyDescent="0.25">
      <c r="A111" s="281"/>
      <c r="C111" s="2073"/>
      <c r="I111" s="2018"/>
      <c r="K111" s="2071" t="str">
        <f>K112</f>
        <v>x</v>
      </c>
    </row>
    <row r="112" spans="1:12" ht="15" customHeight="1" x14ac:dyDescent="0.25">
      <c r="A112" s="2076" t="str">
        <f>IF(convencional!AL11="",CONCATENATE("Foco ",convencional!AL12),CONCATENATE(convencional!AL11," ",convencional!AM11," - Foco ",convencional!AL12))</f>
        <v xml:space="preserve">Foco </v>
      </c>
      <c r="B112" s="2076"/>
      <c r="C112" s="2076"/>
      <c r="I112" s="2018"/>
      <c r="K112" s="2071" t="str">
        <f>IF(convencional!$I$4="Sim","x",IF(A112="Foco ","x",""))</f>
        <v>x</v>
      </c>
    </row>
    <row r="113" spans="1:17" ht="15" customHeight="1" x14ac:dyDescent="0.25">
      <c r="A113" s="2077" t="s">
        <v>201</v>
      </c>
      <c r="B113" s="2078" t="str">
        <f>IF(convencional!AK14=0,"",convencional!AK14)</f>
        <v/>
      </c>
      <c r="C113" s="2078" t="str">
        <f>IF(convencional!AK15=0,"",convencional!AK15)</f>
        <v/>
      </c>
      <c r="D113" s="2078" t="str">
        <f>IF(convencional!AK16=0,"",convencional!AK16)</f>
        <v/>
      </c>
      <c r="E113" s="2078" t="str">
        <f>IF(convencional!AK17=0,"",convencional!AK17)</f>
        <v/>
      </c>
      <c r="F113" s="2078" t="str">
        <f>IF(convencional!AK18=0,"",convencional!AK18)</f>
        <v/>
      </c>
      <c r="G113" s="2078" t="str">
        <f>IF(convencional!AK19=0,"",convencional!AK19)</f>
        <v/>
      </c>
      <c r="H113" s="2078" t="str">
        <f>IF(convencional!AK20=0,"",convencional!AK20)</f>
        <v/>
      </c>
      <c r="I113" s="2078" t="str">
        <f>IF(convencional!AK21=0,"",convencional!AK21)</f>
        <v/>
      </c>
      <c r="K113" s="2071" t="str">
        <f>K112</f>
        <v>x</v>
      </c>
    </row>
    <row r="114" spans="1:17" ht="15" customHeight="1" x14ac:dyDescent="0.25">
      <c r="A114" s="2077" t="s">
        <v>202</v>
      </c>
      <c r="B114" s="1133" t="str">
        <f ca="1">IFERROR(convencional!AM14,"")</f>
        <v/>
      </c>
      <c r="C114" s="1133" t="str">
        <f ca="1">IFERROR(convencional!AM15,"")</f>
        <v/>
      </c>
      <c r="D114" s="1133" t="str">
        <f ca="1">IFERROR(convencional!AM16,"")</f>
        <v/>
      </c>
      <c r="E114" s="1133" t="str">
        <f ca="1">IFERROR(convencional!AM17,"")</f>
        <v/>
      </c>
      <c r="F114" s="1133" t="str">
        <f ca="1">IFERROR(convencional!AM18,"")</f>
        <v/>
      </c>
      <c r="G114" s="1133" t="str">
        <f ca="1">IFERROR(convencional!AM19,"")</f>
        <v/>
      </c>
      <c r="H114" s="1133" t="str">
        <f ca="1">IFERROR(convencional!AM20,"")</f>
        <v/>
      </c>
      <c r="I114" s="1133" t="str">
        <f ca="1">IFERROR(convencional!AM21,"")</f>
        <v/>
      </c>
      <c r="K114" s="2071" t="str">
        <f>K113</f>
        <v>x</v>
      </c>
    </row>
    <row r="115" spans="1:17" s="2228" customFormat="1" ht="15" customHeight="1" x14ac:dyDescent="0.25">
      <c r="A115" s="2077" t="s">
        <v>2777</v>
      </c>
      <c r="B115" s="1133" t="str">
        <f ca="1">convencional!$AO$14</f>
        <v/>
      </c>
      <c r="C115" s="1133" t="str">
        <f ca="1">convencional!$AO$15</f>
        <v/>
      </c>
      <c r="D115" s="1133" t="str">
        <f ca="1">convencional!$AO$16</f>
        <v/>
      </c>
      <c r="E115" s="1133" t="str">
        <f ca="1">convencional!$AO$17</f>
        <v/>
      </c>
      <c r="F115" s="1133" t="str">
        <f ca="1">convencional!$AO$18</f>
        <v/>
      </c>
      <c r="G115" s="1133" t="str">
        <f ca="1">convencional!$AO$19</f>
        <v/>
      </c>
      <c r="H115" s="1133" t="str">
        <f ca="1">convencional!$AO$20</f>
        <v/>
      </c>
      <c r="I115" s="1133" t="str">
        <f ca="1">convencional!$AO$21</f>
        <v/>
      </c>
      <c r="K115" s="2228" t="str">
        <f>K113</f>
        <v>x</v>
      </c>
    </row>
    <row r="116" spans="1:17" ht="15" customHeight="1" x14ac:dyDescent="0.25">
      <c r="A116" s="2077" t="str">
        <f>A110</f>
        <v>IN 90</v>
      </c>
      <c r="B116" s="1136" t="str">
        <f t="shared" ref="B116:I116" ca="1" si="7">IFERROR(IF(ABS(B114/B113-1)&lt;=0.1,"Sim",IF(ABS(B114/B113-1)&lt;0.2,"Não","Restrição")),"")</f>
        <v/>
      </c>
      <c r="C116" s="1136" t="str">
        <f t="shared" ca="1" si="7"/>
        <v/>
      </c>
      <c r="D116" s="1136" t="str">
        <f t="shared" ca="1" si="7"/>
        <v/>
      </c>
      <c r="E116" s="1136" t="str">
        <f t="shared" ca="1" si="7"/>
        <v/>
      </c>
      <c r="F116" s="1136" t="str">
        <f t="shared" ca="1" si="7"/>
        <v/>
      </c>
      <c r="G116" s="1136" t="str">
        <f t="shared" ca="1" si="7"/>
        <v/>
      </c>
      <c r="H116" s="1136" t="str">
        <f t="shared" ca="1" si="7"/>
        <v/>
      </c>
      <c r="I116" s="1136" t="str">
        <f t="shared" ca="1" si="7"/>
        <v/>
      </c>
      <c r="K116" s="2071" t="str">
        <f>K114</f>
        <v>x</v>
      </c>
      <c r="L116" s="2105" t="str">
        <f ca="1">IF(OR(COUNTIF(B116:G116,"Restrição")&gt;0,COUNTIF(B116:G116,"Não")&gt;0),"Não Conforme","Conforme")</f>
        <v>Conforme</v>
      </c>
    </row>
    <row r="117" spans="1:17" ht="15.75" x14ac:dyDescent="0.25">
      <c r="A117" s="2481" t="s">
        <v>2459</v>
      </c>
      <c r="B117" s="2481"/>
      <c r="C117" s="2481"/>
      <c r="D117" s="2481"/>
      <c r="E117" s="2481"/>
      <c r="F117" s="2481"/>
      <c r="G117" s="2481"/>
      <c r="H117" s="2481"/>
      <c r="I117" s="2481"/>
      <c r="K117" s="2071" t="str">
        <f>K76</f>
        <v>x</v>
      </c>
    </row>
    <row r="118" spans="1:17" ht="15.75" x14ac:dyDescent="0.25">
      <c r="A118" s="2481" t="s">
        <v>2460</v>
      </c>
      <c r="B118" s="2481"/>
      <c r="C118" s="2481"/>
      <c r="D118" s="2481"/>
      <c r="E118" s="2481"/>
      <c r="F118" s="2481"/>
      <c r="G118" s="2481"/>
      <c r="H118" s="2481"/>
      <c r="I118" s="2481"/>
      <c r="K118" s="2105" t="str">
        <f>K77</f>
        <v>x</v>
      </c>
    </row>
    <row r="119" spans="1:17" ht="15.75" x14ac:dyDescent="0.25">
      <c r="A119" s="2069"/>
      <c r="B119" s="2069"/>
      <c r="C119" s="2069"/>
      <c r="D119" s="2069"/>
      <c r="E119" s="2069"/>
      <c r="F119" s="2069"/>
      <c r="G119" s="2069"/>
      <c r="H119" s="2069"/>
      <c r="I119" s="2069"/>
      <c r="K119" s="2105" t="str">
        <f>K78</f>
        <v>x</v>
      </c>
    </row>
    <row r="120" spans="1:17" ht="15" customHeight="1" x14ac:dyDescent="0.25">
      <c r="A120" s="281"/>
      <c r="K120" s="2071" t="str">
        <f>K117</f>
        <v>x</v>
      </c>
    </row>
    <row r="121" spans="1:17" ht="15" customHeight="1" x14ac:dyDescent="0.25">
      <c r="A121" s="281" t="s">
        <v>145</v>
      </c>
      <c r="K121" s="2272" t="str">
        <f>IF(K125="x","x","")</f>
        <v>x</v>
      </c>
      <c r="L121" s="2016">
        <f>IF(K138="",0,COUNTIF(C129:I129,"=não")+COUNTIF(C129:I129,"=restrição")+COUNTIF(C135:I135,"=não")+COUNTIF(C135:I135,"=restrição"))</f>
        <v>0</v>
      </c>
    </row>
    <row r="122" spans="1:17" ht="31.5" customHeight="1" x14ac:dyDescent="0.25">
      <c r="A122" s="2071" t="s">
        <v>2356</v>
      </c>
      <c r="C122" s="2468" t="s">
        <v>2360</v>
      </c>
      <c r="D122" s="2468"/>
      <c r="E122" s="2468"/>
      <c r="F122" s="2468"/>
      <c r="G122" s="2468"/>
      <c r="H122" s="2468"/>
      <c r="I122" s="2468"/>
      <c r="J122" s="2468"/>
      <c r="K122" s="2071" t="str">
        <f>K121</f>
        <v>x</v>
      </c>
      <c r="L122" s="2016"/>
    </row>
    <row r="123" spans="1:17" ht="15" customHeight="1" x14ac:dyDescent="0.25">
      <c r="A123" s="2071" t="s">
        <v>2358</v>
      </c>
      <c r="C123" s="2071" t="s">
        <v>2359</v>
      </c>
      <c r="K123" s="2071" t="str">
        <f>K122</f>
        <v>x</v>
      </c>
      <c r="L123" s="2016"/>
    </row>
    <row r="124" spans="1:17" ht="15" customHeight="1" x14ac:dyDescent="0.25">
      <c r="A124" s="281"/>
      <c r="K124" s="2071" t="str">
        <f>K123</f>
        <v>x</v>
      </c>
      <c r="L124" s="2016"/>
    </row>
    <row r="125" spans="1:17" ht="15" customHeight="1" x14ac:dyDescent="0.25">
      <c r="A125" s="2076" t="str">
        <f>convencional!A47</f>
        <v>Foco Fino</v>
      </c>
      <c r="B125" s="2076"/>
      <c r="C125" s="2076"/>
      <c r="K125" s="2071" t="str">
        <f>K126</f>
        <v>x</v>
      </c>
      <c r="Q125" s="2016"/>
    </row>
    <row r="126" spans="1:17" ht="15" customHeight="1" x14ac:dyDescent="0.25">
      <c r="A126" s="2080" t="s">
        <v>140</v>
      </c>
      <c r="B126" s="2081"/>
      <c r="C126" s="2082">
        <f>convencional!A49</f>
        <v>0</v>
      </c>
      <c r="D126" s="2083">
        <f>convencional!A50</f>
        <v>0</v>
      </c>
      <c r="E126" s="2083">
        <f>convencional!A51</f>
        <v>0</v>
      </c>
      <c r="F126" s="2083">
        <f>convencional!A52</f>
        <v>0</v>
      </c>
      <c r="G126" s="2083">
        <f>convencional!A53</f>
        <v>0</v>
      </c>
      <c r="H126" s="2083">
        <f>convencional!A54</f>
        <v>0</v>
      </c>
      <c r="I126" s="2083">
        <f>convencional!A55</f>
        <v>0</v>
      </c>
      <c r="K126" s="2071" t="str">
        <f>IF(convencional!$I$4="Sim","x",IF(OR(convencional!A48&lt;&gt;"t selecionado",SUM(C126:J126)&lt;=0),"x",""))</f>
        <v>x</v>
      </c>
      <c r="P126" s="2084"/>
    </row>
    <row r="127" spans="1:17" ht="15" customHeight="1" x14ac:dyDescent="0.25">
      <c r="A127" s="2252" t="s">
        <v>141</v>
      </c>
      <c r="B127" s="2253"/>
      <c r="C127" s="1135" t="str">
        <f ca="1">convencional!C49</f>
        <v/>
      </c>
      <c r="D127" s="1135" t="str">
        <f ca="1">convencional!C50</f>
        <v/>
      </c>
      <c r="E127" s="1135" t="str">
        <f ca="1">convencional!C51</f>
        <v/>
      </c>
      <c r="F127" s="1135" t="str">
        <f ca="1">convencional!C52</f>
        <v/>
      </c>
      <c r="G127" s="1135" t="str">
        <f ca="1">convencional!C53</f>
        <v/>
      </c>
      <c r="H127" s="1135" t="str">
        <f ca="1">convencional!C54</f>
        <v/>
      </c>
      <c r="I127" s="1135" t="str">
        <f ca="1">convencional!C55</f>
        <v/>
      </c>
      <c r="K127" s="2071" t="str">
        <f>K126</f>
        <v>x</v>
      </c>
    </row>
    <row r="128" spans="1:17" s="2250" customFormat="1" ht="15" customHeight="1" x14ac:dyDescent="0.25">
      <c r="A128" s="2456" t="s">
        <v>2777</v>
      </c>
      <c r="B128" s="2457"/>
      <c r="C128" s="1135" t="str">
        <f ca="1">convencional!D49</f>
        <v/>
      </c>
      <c r="D128" s="1135" t="str">
        <f ca="1">convencional!D50</f>
        <v/>
      </c>
      <c r="E128" s="1135" t="str">
        <f ca="1">convencional!D51</f>
        <v/>
      </c>
      <c r="F128" s="1135" t="str">
        <f ca="1">convencional!D52</f>
        <v/>
      </c>
      <c r="G128" s="1135" t="str">
        <f ca="1">convencional!D53</f>
        <v/>
      </c>
      <c r="H128" s="1135" t="str">
        <f ca="1">convencional!D54</f>
        <v/>
      </c>
      <c r="I128" s="1135" t="str">
        <f ca="1">convencional!D55</f>
        <v/>
      </c>
      <c r="K128" s="2250" t="str">
        <f>K127</f>
        <v>x</v>
      </c>
    </row>
    <row r="129" spans="1:12" ht="15" customHeight="1" x14ac:dyDescent="0.25">
      <c r="A129" s="2254" t="str">
        <f>A116</f>
        <v>IN 90</v>
      </c>
      <c r="B129" s="2255"/>
      <c r="C129" s="1136" t="str">
        <f t="shared" ref="C129:I129" ca="1" si="8">IFERROR(IF(ABS(C127/C126-1)&lt;=0.1,"Sim",IF(ABS(C127/C126-1)&lt;0.3,"Não","Restrição")),"")</f>
        <v/>
      </c>
      <c r="D129" s="1136" t="str">
        <f t="shared" ca="1" si="8"/>
        <v/>
      </c>
      <c r="E129" s="1136" t="str">
        <f t="shared" ca="1" si="8"/>
        <v/>
      </c>
      <c r="F129" s="1136" t="str">
        <f t="shared" ca="1" si="8"/>
        <v/>
      </c>
      <c r="G129" s="1136" t="str">
        <f t="shared" ca="1" si="8"/>
        <v/>
      </c>
      <c r="H129" s="1136" t="str">
        <f t="shared" ca="1" si="8"/>
        <v/>
      </c>
      <c r="I129" s="1136" t="str">
        <f t="shared" ca="1" si="8"/>
        <v/>
      </c>
      <c r="K129" s="2071" t="str">
        <f>K127</f>
        <v>x</v>
      </c>
      <c r="L129" s="2105" t="str">
        <f ca="1">IF(OR(COUNTIF(C129:I129,"Restrição")&gt;0,COUNTIF(C129:I129,"Não")&gt;0),"Não Conforme","Conforme")</f>
        <v>Conforme</v>
      </c>
    </row>
    <row r="130" spans="1:12" ht="15" customHeight="1" x14ac:dyDescent="0.25">
      <c r="A130" s="2085"/>
      <c r="B130" s="2085"/>
      <c r="C130" s="2086"/>
      <c r="D130" s="1133"/>
      <c r="E130" s="1133"/>
      <c r="F130" s="1133"/>
      <c r="G130" s="1133"/>
      <c r="H130" s="1133"/>
      <c r="I130" s="2087"/>
      <c r="K130" s="2071" t="str">
        <f>K129</f>
        <v>x</v>
      </c>
    </row>
    <row r="131" spans="1:12" ht="15" customHeight="1" x14ac:dyDescent="0.25">
      <c r="A131" s="2076" t="s">
        <v>315</v>
      </c>
      <c r="B131" s="2076"/>
      <c r="C131" s="2076"/>
      <c r="I131" s="2018"/>
      <c r="K131" s="2071" t="str">
        <f>K132</f>
        <v>x</v>
      </c>
    </row>
    <row r="132" spans="1:12" ht="15" customHeight="1" x14ac:dyDescent="0.25">
      <c r="A132" s="2080" t="s">
        <v>140</v>
      </c>
      <c r="B132" s="2081"/>
      <c r="C132" s="2082">
        <f>convencional!J49</f>
        <v>0</v>
      </c>
      <c r="D132" s="2083">
        <f>convencional!J50</f>
        <v>0</v>
      </c>
      <c r="E132" s="2083">
        <f>convencional!J51</f>
        <v>0</v>
      </c>
      <c r="F132" s="2083">
        <f>convencional!J52</f>
        <v>0</v>
      </c>
      <c r="G132" s="2083">
        <f>convencional!J53</f>
        <v>0</v>
      </c>
      <c r="H132" s="2083">
        <f>convencional!J54</f>
        <v>0</v>
      </c>
      <c r="I132" s="2083">
        <f>convencional!J55</f>
        <v>0</v>
      </c>
      <c r="K132" s="2071" t="str">
        <f>IF(convencional!$I$4="Sim","x",IF(OR(C132=0,convencional!J48&lt;&gt;"t selecionado"),"x",""))</f>
        <v>x</v>
      </c>
    </row>
    <row r="133" spans="1:12" ht="15" customHeight="1" x14ac:dyDescent="0.25">
      <c r="A133" s="2080" t="s">
        <v>141</v>
      </c>
      <c r="B133" s="2081"/>
      <c r="C133" s="1135" t="str">
        <f ca="1">convencional!L49</f>
        <v/>
      </c>
      <c r="D133" s="1135" t="str">
        <f ca="1">convencional!L50</f>
        <v/>
      </c>
      <c r="E133" s="1135" t="str">
        <f ca="1">convencional!L51</f>
        <v/>
      </c>
      <c r="F133" s="1135" t="str">
        <f ca="1">convencional!L52</f>
        <v/>
      </c>
      <c r="G133" s="1135" t="str">
        <f ca="1">convencional!L53</f>
        <v/>
      </c>
      <c r="H133" s="1135" t="str">
        <f ca="1">convencional!L54</f>
        <v/>
      </c>
      <c r="I133" s="1135" t="str">
        <f ca="1">convencional!L55</f>
        <v/>
      </c>
      <c r="K133" s="2071" t="str">
        <f>K132</f>
        <v>x</v>
      </c>
    </row>
    <row r="134" spans="1:12" s="2250" customFormat="1" ht="15" customHeight="1" x14ac:dyDescent="0.25">
      <c r="A134" s="2456" t="s">
        <v>2777</v>
      </c>
      <c r="B134" s="2457"/>
      <c r="C134" s="1135" t="str">
        <f ca="1">convencional!M49</f>
        <v/>
      </c>
      <c r="D134" s="1135" t="str">
        <f ca="1">convencional!M50</f>
        <v/>
      </c>
      <c r="E134" s="1135" t="str">
        <f ca="1">convencional!M51</f>
        <v/>
      </c>
      <c r="F134" s="1135" t="str">
        <f ca="1">convencional!M52</f>
        <v/>
      </c>
      <c r="G134" s="1135" t="str">
        <f ca="1">convencional!M53</f>
        <v/>
      </c>
      <c r="H134" s="1135" t="str">
        <f ca="1">convencional!M54</f>
        <v/>
      </c>
      <c r="I134" s="1135" t="str">
        <f ca="1">convencional!M55</f>
        <v/>
      </c>
      <c r="K134" s="2250" t="str">
        <f>K133</f>
        <v>x</v>
      </c>
    </row>
    <row r="135" spans="1:12" ht="15" customHeight="1" x14ac:dyDescent="0.25">
      <c r="A135" s="2080" t="str">
        <f>A116</f>
        <v>IN 90</v>
      </c>
      <c r="B135" s="2081"/>
      <c r="C135" s="1136" t="str">
        <f t="shared" ref="C135:I135" ca="1" si="9">IFERROR(IF(ABS(C133/C132-1)&lt;=0.1,"Sim",IF(ABS(C133/C132-1)&lt;0.3,"Não","Restrição")),"")</f>
        <v/>
      </c>
      <c r="D135" s="1136" t="str">
        <f t="shared" ca="1" si="9"/>
        <v/>
      </c>
      <c r="E135" s="1136" t="str">
        <f t="shared" ca="1" si="9"/>
        <v/>
      </c>
      <c r="F135" s="1136" t="str">
        <f t="shared" ca="1" si="9"/>
        <v/>
      </c>
      <c r="G135" s="1136" t="str">
        <f t="shared" ca="1" si="9"/>
        <v/>
      </c>
      <c r="H135" s="1136" t="str">
        <f t="shared" ca="1" si="9"/>
        <v/>
      </c>
      <c r="I135" s="1136" t="str">
        <f t="shared" ca="1" si="9"/>
        <v/>
      </c>
      <c r="K135" s="2071" t="str">
        <f>K133</f>
        <v>x</v>
      </c>
      <c r="L135" s="2105" t="str">
        <f ca="1">IF(OR(COUNTIF(C135:I135,"Restrição")&gt;0,COUNTIF(C135:I135,"Não")&gt;0),"Não Conforme","Conforme")</f>
        <v>Conforme</v>
      </c>
    </row>
    <row r="136" spans="1:12" ht="15" customHeight="1" x14ac:dyDescent="0.25">
      <c r="A136" s="2481" t="s">
        <v>2461</v>
      </c>
      <c r="B136" s="2481"/>
      <c r="C136" s="2481"/>
      <c r="D136" s="2481"/>
      <c r="E136" s="2481"/>
      <c r="F136" s="2481"/>
      <c r="G136" s="2481"/>
      <c r="H136" s="2481"/>
      <c r="I136" s="2481"/>
      <c r="K136" s="2071" t="str">
        <f>K135</f>
        <v>x</v>
      </c>
    </row>
    <row r="137" spans="1:12" ht="15" customHeight="1" x14ac:dyDescent="0.25">
      <c r="A137" s="2481" t="str">
        <f>"Tolerância ≤ "&amp;convencional!B22*100&amp;"%; Restrição &gt; "&amp;convencional!B23*100&amp;"%."</f>
        <v>Tolerância ≤ 10%; Restrição &gt; 30%.</v>
      </c>
      <c r="B137" s="2481"/>
      <c r="C137" s="2481"/>
      <c r="D137" s="2481"/>
      <c r="E137" s="2481"/>
      <c r="F137" s="2481"/>
      <c r="G137" s="2481"/>
      <c r="H137" s="2481"/>
      <c r="I137" s="2481"/>
      <c r="K137" s="2105" t="str">
        <f t="shared" ref="K137" si="10">K136</f>
        <v>x</v>
      </c>
    </row>
    <row r="138" spans="1:12" ht="15" customHeight="1" x14ac:dyDescent="0.25">
      <c r="A138" s="2476"/>
      <c r="B138" s="2476"/>
      <c r="C138" s="2476"/>
      <c r="D138" s="2476"/>
      <c r="E138" s="2476"/>
      <c r="F138" s="2476"/>
      <c r="G138" s="2476"/>
      <c r="H138" s="2476"/>
      <c r="I138" s="2476"/>
      <c r="K138" s="2105"/>
    </row>
    <row r="139" spans="1:12" ht="15" customHeight="1" x14ac:dyDescent="0.25">
      <c r="A139" s="2069"/>
      <c r="B139" s="2069"/>
      <c r="C139" s="2069"/>
      <c r="D139" s="2069"/>
      <c r="E139" s="2069"/>
      <c r="F139" s="2069"/>
      <c r="G139" s="2069"/>
      <c r="H139" s="2069"/>
      <c r="I139" s="2069"/>
      <c r="K139" s="2071" t="str">
        <f>IF(convencional!$I$4="Sim","x","")</f>
        <v/>
      </c>
    </row>
    <row r="140" spans="1:12" ht="15" customHeight="1" x14ac:dyDescent="0.25">
      <c r="A140" s="281" t="str">
        <f>CONCATENATE("Rendimento do tubo e Camada Semirredutora @ ",convencional!B27," kVp")</f>
        <v>Rendimento do tubo e Camada Semirredutora @ 80 kVp</v>
      </c>
      <c r="B140" s="2069"/>
      <c r="C140" s="2069"/>
      <c r="D140" s="2069"/>
      <c r="E140" s="2069"/>
      <c r="F140" s="2069"/>
      <c r="G140" s="2069"/>
      <c r="H140" s="2069"/>
      <c r="I140" s="2069"/>
      <c r="K140" s="2071" t="str">
        <f>IF(convencional!$I$4="Sim","x","")</f>
        <v/>
      </c>
    </row>
    <row r="141" spans="1:12" ht="32.25" customHeight="1" x14ac:dyDescent="0.25">
      <c r="A141" s="2071" t="s">
        <v>2356</v>
      </c>
      <c r="B141" s="2069"/>
      <c r="C141" s="2468" t="s">
        <v>2361</v>
      </c>
      <c r="D141" s="2468"/>
      <c r="E141" s="2468"/>
      <c r="F141" s="2468"/>
      <c r="G141" s="2468"/>
      <c r="H141" s="2468"/>
      <c r="I141" s="2468"/>
      <c r="J141" s="2468"/>
    </row>
    <row r="142" spans="1:12" ht="15" customHeight="1" x14ac:dyDescent="0.25">
      <c r="A142" s="2071" t="s">
        <v>2358</v>
      </c>
      <c r="C142" s="2071" t="s">
        <v>2359</v>
      </c>
      <c r="E142" s="2069"/>
      <c r="F142" s="2069"/>
      <c r="G142" s="2069"/>
      <c r="H142" s="2069"/>
      <c r="I142" s="2069"/>
    </row>
    <row r="143" spans="1:12" ht="15" customHeight="1" x14ac:dyDescent="0.25">
      <c r="A143" s="281"/>
      <c r="B143" s="2069"/>
      <c r="C143" s="2069"/>
      <c r="D143" s="2069"/>
      <c r="E143" s="2069"/>
      <c r="F143" s="2069"/>
      <c r="G143" s="2069"/>
      <c r="H143" s="2069"/>
      <c r="I143" s="2069"/>
    </row>
    <row r="144" spans="1:12" ht="15" customHeight="1" x14ac:dyDescent="0.25">
      <c r="A144" s="2088" t="str">
        <f>"Selecionado ("&amp;convencional!C28&amp;")"</f>
        <v>Selecionado (mA)</v>
      </c>
      <c r="B144" s="2081"/>
      <c r="C144" s="2089">
        <f>IFERROR(IF(convencional!B28="","-",convencional!B28),"")</f>
        <v>0</v>
      </c>
      <c r="D144" s="2089" t="str">
        <f>IFERROR(IF(OR(convencional!H28="",convencional!H28=0),"",convencional!H28),"")</f>
        <v/>
      </c>
      <c r="E144" s="2089" t="str">
        <f>IFERROR(IF(OR(convencional!N28="",convencional!N28=0),"",convencional!N28),"")</f>
        <v/>
      </c>
      <c r="F144" s="2089" t="str">
        <f>IFERROR(IF(OR(convencional!T28="",convencional!T28=0),"",convencional!T28),"")</f>
        <v/>
      </c>
      <c r="G144" s="2089" t="str">
        <f>IFERROR(IF(OR(convencional!Z28="",convencional!Z28=0),"",convencional!Z28),"")</f>
        <v/>
      </c>
      <c r="H144" s="2089" t="str">
        <f>IFERROR(IF(OR(convencional!AF28="",convencional!AF28=0),"",convencional!AF28),"")</f>
        <v/>
      </c>
      <c r="I144" s="2089" t="str">
        <f>IFERROR(IF(OR(convencional!AL28="",convencional!AL28=0),"",convencional!AL28),"")</f>
        <v/>
      </c>
      <c r="K144" s="2071" t="str">
        <f>K140</f>
        <v/>
      </c>
    </row>
    <row r="145" spans="1:13" ht="15" customHeight="1" x14ac:dyDescent="0.25">
      <c r="A145" s="2088" t="s">
        <v>203</v>
      </c>
      <c r="B145" s="2081"/>
      <c r="C145" s="1131" t="str">
        <f>IF(convencional!B29="","",convencional!B29)</f>
        <v/>
      </c>
      <c r="D145" s="1131" t="str">
        <f>IF(OR(convencional!H29="",convencional!H29=0),"",convencional!H29)</f>
        <v/>
      </c>
      <c r="E145" s="1131" t="str">
        <f>IF(OR(convencional!N29="",convencional!N29=0),"",convencional!N29)</f>
        <v/>
      </c>
      <c r="F145" s="1131" t="str">
        <f>IF(OR(convencional!T29="",convencional!T29=0),"",convencional!T29)</f>
        <v/>
      </c>
      <c r="G145" s="1131" t="str">
        <f>IF(OR(convencional!Z29="",convencional!Z29=0),"",convencional!Z29)</f>
        <v/>
      </c>
      <c r="H145" s="1131" t="str">
        <f>IF(OR(convencional!AF29="",convencional!AF29=0),"",convencional!AF29)</f>
        <v/>
      </c>
      <c r="I145" s="1131" t="str">
        <f>IF(OR(convencional!AL29="",convencional!AL29=0),"",convencional!AL29)</f>
        <v/>
      </c>
      <c r="K145" s="2071" t="str">
        <f t="shared" ref="K145:K150" si="11">K144</f>
        <v/>
      </c>
    </row>
    <row r="146" spans="1:13" ht="15" customHeight="1" x14ac:dyDescent="0.25">
      <c r="A146" s="2088" t="s">
        <v>2462</v>
      </c>
      <c r="B146" s="2090"/>
      <c r="C146" s="1132" t="str">
        <f ca="1">IF(TYPE(convencional!B36)=1,convencional!B36,"")</f>
        <v/>
      </c>
      <c r="D146" s="1133" t="str">
        <f ca="1">IF(TYPE(convencional!H36)=1,convencional!H36,"")</f>
        <v/>
      </c>
      <c r="E146" s="1133" t="str">
        <f ca="1">IF(TYPE(convencional!N36)=1,convencional!N36,"")</f>
        <v/>
      </c>
      <c r="F146" s="1133" t="str">
        <f ca="1">IF(TYPE(convencional!T36)=1,convencional!T36,"")</f>
        <v/>
      </c>
      <c r="G146" s="1133" t="str">
        <f ca="1">IF(TYPE(convencional!Z36)=1,convencional!Z36,"")</f>
        <v/>
      </c>
      <c r="H146" s="1133" t="str">
        <f ca="1">IF(TYPE(convencional!AF36)=1,convencional!AF36,"")</f>
        <v/>
      </c>
      <c r="I146" s="1133" t="str">
        <f ca="1">IF(TYPE(convencional!AL36)=1,convencional!AL36,"")</f>
        <v/>
      </c>
      <c r="K146" s="2071" t="str">
        <f t="shared" si="11"/>
        <v/>
      </c>
    </row>
    <row r="147" spans="1:13" ht="15" customHeight="1" x14ac:dyDescent="0.25">
      <c r="A147" s="2088" t="str">
        <f>A135</f>
        <v>IN 90</v>
      </c>
      <c r="B147" s="2081"/>
      <c r="C147" s="1134" t="str">
        <f ca="1">IFERROR(IF(C146="","",IF(Cabeçalho!$G$25=60,"NA",convencional!B38)),"")</f>
        <v/>
      </c>
      <c r="D147" s="1134" t="str">
        <f ca="1">IFERROR(IF(D146="","",IF(Cabeçalho!$G$25=60,"NA",convencional!H38)),"")</f>
        <v/>
      </c>
      <c r="E147" s="1134" t="str">
        <f ca="1">IFERROR(IF(E146="","",IF(Cabeçalho!G25=60,"NA",convencional!N38)),"")</f>
        <v/>
      </c>
      <c r="F147" s="1134" t="str">
        <f ca="1">IFERROR(IF(F146="","",IF(Cabeçalho!G25=60,"NA",convencional!T38)),"")</f>
        <v/>
      </c>
      <c r="G147" s="1134" t="str">
        <f ca="1">IFERROR(IF(G146="","",IF(Cabeçalho!G25=60,"NA",convencional!Z38)),"")</f>
        <v/>
      </c>
      <c r="H147" s="1134" t="str">
        <f ca="1">IFERROR(IF(H146="","",IF(Cabeçalho!$G$25=60,"NA",convencional!AF38)),"")</f>
        <v/>
      </c>
      <c r="I147" s="1134" t="str">
        <f ca="1">IFERROR(IF(I146="","",IF(Cabeçalho!$G$25=60,"NA",convencional!AL38)),"")</f>
        <v/>
      </c>
      <c r="J147" s="163"/>
      <c r="K147" s="2071" t="str">
        <f t="shared" si="11"/>
        <v/>
      </c>
      <c r="L147" s="2105" t="str">
        <f ca="1">IF(OR(COUNTIF(C147:I147,"Restrição")&gt;0,COUNTIF(C147:I147,"Não")&gt;0),"Não Conforme","Conforme")</f>
        <v>Conforme</v>
      </c>
      <c r="M147" s="2071" t="s">
        <v>565</v>
      </c>
    </row>
    <row r="148" spans="1:13" ht="15" customHeight="1" x14ac:dyDescent="0.25">
      <c r="A148" s="2088" t="s">
        <v>8</v>
      </c>
      <c r="B148" s="2081"/>
      <c r="C148" s="1132" t="str">
        <f ca="1">IFERROR(convencional!B35,"")</f>
        <v/>
      </c>
      <c r="D148" s="1133" t="str">
        <f ca="1">IFERROR(convencional!H35,"")</f>
        <v/>
      </c>
      <c r="E148" s="1133" t="str">
        <f ca="1">IFERROR(convencional!N35,"")</f>
        <v/>
      </c>
      <c r="F148" s="1133" t="str">
        <f ca="1">IFERROR(convencional!T35,"")</f>
        <v/>
      </c>
      <c r="G148" s="1133" t="str">
        <f ca="1">IFERROR(convencional!Z35,"")</f>
        <v/>
      </c>
      <c r="H148" s="1133" t="str">
        <f ca="1">IFERROR(convencional!AF35,"")</f>
        <v/>
      </c>
      <c r="I148" s="1133" t="str">
        <f ca="1">IFERROR(convencional!AL35,"")</f>
        <v/>
      </c>
      <c r="K148" s="2071" t="str">
        <f t="shared" si="11"/>
        <v/>
      </c>
    </row>
    <row r="149" spans="1:13" ht="15" customHeight="1" x14ac:dyDescent="0.25">
      <c r="A149" s="2088" t="str">
        <f>A135</f>
        <v>IN 90</v>
      </c>
      <c r="B149" s="2081"/>
      <c r="C149" s="1134" t="str">
        <f ca="1">IFERROR(IF(C148="","",IF(Cabeçalho!$G$25=60,"NA",convencional!B39)),"")</f>
        <v/>
      </c>
      <c r="D149" s="1134" t="str">
        <f ca="1">IFERROR(IF(D148="","",IF(Cabeçalho!$G$25=60,"NA",convencional!H39)),"")</f>
        <v/>
      </c>
      <c r="E149" s="1134" t="str">
        <f ca="1">IFERROR(IF(E148="","",IF(Cabeçalho!G25=60,"NA",convencional!N39)),"")</f>
        <v/>
      </c>
      <c r="F149" s="1134" t="str">
        <f ca="1">IFERROR(IF(F148="","",IF(Cabeçalho!G25=60,"NA",convencional!T39)),"")</f>
        <v/>
      </c>
      <c r="G149" s="1134" t="str">
        <f ca="1">IFERROR(IF(G148="","",IF(Cabeçalho!G25=60,"NA",convencional!Z39)),"")</f>
        <v/>
      </c>
      <c r="H149" s="1134" t="str">
        <f ca="1">IFERROR(IF(H148="","",IF(Cabeçalho!$G$25=60,"NA",convencional!AF39)),"")</f>
        <v/>
      </c>
      <c r="I149" s="1134" t="str">
        <f ca="1">IFERROR(IF(I148="","",IF(Cabeçalho!$G$25=60,"NA",convencional!AL39)),"")</f>
        <v/>
      </c>
      <c r="J149" s="163"/>
      <c r="K149" s="2071" t="str">
        <f t="shared" si="11"/>
        <v/>
      </c>
      <c r="L149" s="2105" t="str">
        <f ca="1">IF(OR(COUNTIF(C149:I149,"Restrição")&gt;0,COUNTIF(C149:I149,"Não")&gt;0),"Não Conforme","Conforme")</f>
        <v>Conforme</v>
      </c>
      <c r="M149" s="2071" t="s">
        <v>1842</v>
      </c>
    </row>
    <row r="150" spans="1:13" ht="15" customHeight="1" x14ac:dyDescent="0.25">
      <c r="A150" s="284" t="s">
        <v>2463</v>
      </c>
      <c r="K150" s="2071" t="str">
        <f t="shared" si="11"/>
        <v/>
      </c>
    </row>
    <row r="151" spans="1:13" ht="15" customHeight="1" x14ac:dyDescent="0.25">
      <c r="A151" s="2488" t="s">
        <v>2464</v>
      </c>
      <c r="B151" s="2488"/>
      <c r="C151" s="2488"/>
      <c r="D151" s="2488"/>
      <c r="E151" s="2488"/>
      <c r="F151" s="2488"/>
      <c r="G151" s="2488"/>
      <c r="H151" s="2488"/>
      <c r="I151" s="2488"/>
      <c r="J151" s="2488"/>
    </row>
    <row r="152" spans="1:13" ht="15" customHeight="1" x14ac:dyDescent="0.25">
      <c r="A152" s="284"/>
      <c r="K152" s="2071" t="str">
        <f>K150</f>
        <v/>
      </c>
    </row>
    <row r="153" spans="1:13" ht="15" customHeight="1" x14ac:dyDescent="0.25">
      <c r="A153" s="281" t="str">
        <f>IF(convencional!$I$4="Sim","Testes semestrais:","Demais testes:")</f>
        <v>Demais testes:</v>
      </c>
    </row>
    <row r="154" spans="1:13" ht="15" customHeight="1" x14ac:dyDescent="0.25">
      <c r="A154" s="2489" t="s">
        <v>2469</v>
      </c>
      <c r="B154" s="2489"/>
      <c r="C154" s="2465" t="s">
        <v>2066</v>
      </c>
      <c r="D154" s="2465"/>
      <c r="E154" s="2465"/>
      <c r="F154" s="2465" t="s">
        <v>2362</v>
      </c>
      <c r="G154" s="2465"/>
      <c r="H154" s="2465" t="s">
        <v>369</v>
      </c>
      <c r="I154" s="2465"/>
      <c r="J154" s="2321" t="str">
        <f>F65</f>
        <v>IN 90</v>
      </c>
    </row>
    <row r="155" spans="1:13" s="2118" customFormat="1" ht="42.75" customHeight="1" x14ac:dyDescent="0.25">
      <c r="A155" s="2490" t="s">
        <v>2810</v>
      </c>
      <c r="B155" s="2490"/>
      <c r="C155" s="2462" t="s">
        <v>2706</v>
      </c>
      <c r="D155" s="2462"/>
      <c r="E155" s="2462"/>
      <c r="F155" s="2492" t="s">
        <v>2705</v>
      </c>
      <c r="G155" s="2465"/>
      <c r="H155" s="2492" t="str">
        <f>convencional!F8</f>
        <v>NA</v>
      </c>
      <c r="I155" s="2492"/>
      <c r="J155" s="2322" t="str">
        <f>H155</f>
        <v>NA</v>
      </c>
      <c r="L155" s="2118" t="str">
        <f>IF(J155="Não","Não conforme",IF(J155="Sim","Conforme","NA"))</f>
        <v>NA</v>
      </c>
    </row>
    <row r="156" spans="1:13" s="2091" customFormat="1" ht="45" customHeight="1" x14ac:dyDescent="0.25">
      <c r="A156" s="2490" t="s">
        <v>1228</v>
      </c>
      <c r="B156" s="2490"/>
      <c r="C156" s="2462" t="s">
        <v>2363</v>
      </c>
      <c r="D156" s="2462"/>
      <c r="E156" s="2462"/>
      <c r="F156" s="2455" t="s">
        <v>2472</v>
      </c>
      <c r="G156" s="2455"/>
      <c r="H156" s="2455" t="str">
        <f>IFERROR(IF(convencional!B116="Em condições de funcionamento",CONCATENATE(ROUND(convencional!G118,1)," %"),"NPA"),"NPA")</f>
        <v>NPA</v>
      </c>
      <c r="I156" s="2455"/>
      <c r="J156" s="2324" t="str">
        <f>IF(H156="NPA","NPA",IF(convencional!G118&lt;=2,"Sim",IF(convencional!G118&lt;=4,"Não","Restrição")))</f>
        <v>NPA</v>
      </c>
      <c r="L156" s="2091" t="str">
        <f t="shared" ref="L156:L166" si="12">IF(J156="Não","N",IF(J156="Restrição","R",""))</f>
        <v/>
      </c>
    </row>
    <row r="157" spans="1:13" s="2091" customFormat="1" ht="50.1" customHeight="1" x14ac:dyDescent="0.25">
      <c r="A157" s="2455" t="s">
        <v>2553</v>
      </c>
      <c r="B157" s="2455"/>
      <c r="C157" s="2462" t="s">
        <v>2364</v>
      </c>
      <c r="D157" s="2462"/>
      <c r="E157" s="2462"/>
      <c r="F157" s="2455" t="s">
        <v>2482</v>
      </c>
      <c r="G157" s="2455"/>
      <c r="H157" s="2455" t="str">
        <f>IFERROR(IF(convencional!B116="Sem luz de campo","NPA",CONCATENATE(ROUND(convencional!G119,1),"°")),"NPA")</f>
        <v>NPA</v>
      </c>
      <c r="I157" s="2455"/>
      <c r="J157" s="2324" t="str">
        <f>IF(H157="NPA","NPA",IF(convencional!G119&lt;=3,"Sim",IF(convencional!G119&lt;5,"Não","Restrição")))</f>
        <v>NPA</v>
      </c>
      <c r="L157" s="2091" t="str">
        <f t="shared" si="12"/>
        <v/>
      </c>
    </row>
    <row r="158" spans="1:13" s="2091" customFormat="1" ht="51" customHeight="1" x14ac:dyDescent="0.25">
      <c r="A158" s="2455" t="s">
        <v>2554</v>
      </c>
      <c r="B158" s="2455"/>
      <c r="C158" s="2462" t="s">
        <v>2365</v>
      </c>
      <c r="D158" s="2462"/>
      <c r="E158" s="2462"/>
      <c r="F158" s="2466" t="s">
        <v>2382</v>
      </c>
      <c r="G158" s="2466"/>
      <c r="H158" s="2455" t="str">
        <f>IF(convencional!B139=0,"NPA",convencional!B139)</f>
        <v>NPA</v>
      </c>
      <c r="I158" s="2455"/>
      <c r="J158" s="2092" t="str">
        <f>IF(H158="NPA","NPA",IF(H158="Não possui","Restrição",IF(H158="NA","NA",IF(H158="Imagem uniforme","Sim","Não"))))</f>
        <v>NPA</v>
      </c>
      <c r="L158" s="2091" t="str">
        <f t="shared" si="12"/>
        <v/>
      </c>
    </row>
    <row r="159" spans="1:13" s="2091" customFormat="1" ht="54" customHeight="1" x14ac:dyDescent="0.25">
      <c r="A159" s="2455" t="s">
        <v>2555</v>
      </c>
      <c r="B159" s="2455"/>
      <c r="C159" s="2462" t="s">
        <v>2365</v>
      </c>
      <c r="D159" s="2462"/>
      <c r="E159" s="2462"/>
      <c r="F159" s="2466" t="s">
        <v>2382</v>
      </c>
      <c r="G159" s="2466"/>
      <c r="H159" s="2455" t="str">
        <f>IF(convencional!B140=0,"NPA",convencional!B140)</f>
        <v>NPA</v>
      </c>
      <c r="I159" s="2455"/>
      <c r="J159" s="2092" t="str">
        <f>IF(H159="NPA","NPA",IF(H159="Não possui","Restrição",IF(H159="NA","NA",IF(H159="Imagem uniforme","Sim","Não"))))</f>
        <v>NPA</v>
      </c>
      <c r="L159" s="2091" t="str">
        <f t="shared" si="12"/>
        <v/>
      </c>
    </row>
    <row r="160" spans="1:13" s="2091" customFormat="1" ht="45" customHeight="1" x14ac:dyDescent="0.25">
      <c r="A160" s="2455" t="s">
        <v>2556</v>
      </c>
      <c r="B160" s="2455"/>
      <c r="C160" s="2462" t="s">
        <v>2366</v>
      </c>
      <c r="D160" s="2462"/>
      <c r="E160" s="2462"/>
      <c r="F160" s="2455" t="s">
        <v>2481</v>
      </c>
      <c r="G160" s="2455"/>
      <c r="H160" s="2455" t="str">
        <f ca="1">IFERROR(CONCATENATE(ROUND(convencional!B74,1)," %"),"NPA")</f>
        <v>NPA</v>
      </c>
      <c r="I160" s="2455"/>
      <c r="J160" s="2324" t="str">
        <f ca="1">IFERROR(IF(convencional!B74&lt;=5,"Sim",IF(convencional!B74&lt;10,"Não","Restrição")),"NA")</f>
        <v>NA</v>
      </c>
      <c r="K160" s="2091" t="str">
        <f>IF(convencional!$I$4="Sim","x","")</f>
        <v/>
      </c>
      <c r="L160" s="2091" t="str">
        <f t="shared" ca="1" si="12"/>
        <v/>
      </c>
    </row>
    <row r="161" spans="1:14" s="2091" customFormat="1" ht="50.1" customHeight="1" x14ac:dyDescent="0.25">
      <c r="A161" s="2455" t="s">
        <v>2557</v>
      </c>
      <c r="B161" s="2455"/>
      <c r="C161" s="2462" t="s">
        <v>2367</v>
      </c>
      <c r="D161" s="2462"/>
      <c r="E161" s="2462"/>
      <c r="F161" s="2455" t="s">
        <v>2483</v>
      </c>
      <c r="G161" s="2455"/>
      <c r="H161" s="2455" t="str">
        <f ca="1">IFERROR(CONCATENATE(ROUND(convencional!D74,1)," %"),"NPA")</f>
        <v>NPA</v>
      </c>
      <c r="I161" s="2455"/>
      <c r="J161" s="2324" t="str">
        <f ca="1">IFERROR(IF(convencional!D74&lt;=10,"Sim",IF(convencional!D74&lt;20,"Não","Restrição")),"NA")</f>
        <v>NA</v>
      </c>
      <c r="K161" s="2091" t="str">
        <f>IF(convencional!$I$4="Sim","x","")</f>
        <v/>
      </c>
      <c r="L161" s="2091" t="str">
        <f t="shared" ca="1" si="12"/>
        <v/>
      </c>
    </row>
    <row r="162" spans="1:14" s="2091" customFormat="1" ht="45" customHeight="1" x14ac:dyDescent="0.25">
      <c r="A162" s="2455" t="s">
        <v>2560</v>
      </c>
      <c r="B162" s="2455"/>
      <c r="C162" s="2462" t="s">
        <v>2368</v>
      </c>
      <c r="D162" s="2462"/>
      <c r="E162" s="2462"/>
      <c r="F162" s="2455" t="s">
        <v>2472</v>
      </c>
      <c r="G162" s="2455"/>
      <c r="H162" s="2455" t="str">
        <f ca="1">IFERROR(CONCATENATE(ROUND(convencional!C74,1)," %"),"NPA")</f>
        <v>NPA</v>
      </c>
      <c r="I162" s="2455"/>
      <c r="J162" s="2324" t="str">
        <f ca="1">IFERROR(IF(convencional!C74&lt;=10,"Sim",IF(convencional!C74&lt;20,"Não","Restrição")),"NA")</f>
        <v>NA</v>
      </c>
      <c r="K162" s="2091" t="str">
        <f>IF(convencional!$I$4="Sim","x","")</f>
        <v/>
      </c>
      <c r="L162" s="2091" t="str">
        <f t="shared" ca="1" si="12"/>
        <v/>
      </c>
    </row>
    <row r="163" spans="1:14" s="2091" customFormat="1" ht="50.1" customHeight="1" x14ac:dyDescent="0.25">
      <c r="A163" s="2455" t="str">
        <f>("Linearidade da taxa de kerma no ar com o mAs variando o tempo @ "&amp;IF(convencional!A47="Foco Fino","FF","FU"))</f>
        <v>Linearidade da taxa de kerma no ar com o mAs variando o tempo @ FF</v>
      </c>
      <c r="B163" s="2455"/>
      <c r="C163" s="2462" t="s">
        <v>2369</v>
      </c>
      <c r="D163" s="2462"/>
      <c r="E163" s="2462"/>
      <c r="F163" s="2455" t="s">
        <v>2480</v>
      </c>
      <c r="G163" s="2455"/>
      <c r="H163" s="2455" t="str">
        <f ca="1">IFERROR(CONCATENATE(ROUND(convencional!G57,1)," %"),"NPA")</f>
        <v>NPA</v>
      </c>
      <c r="I163" s="2455"/>
      <c r="J163" s="2324" t="str">
        <f ca="1">IFERROR(IF(convencional!G57&lt;=20,"Sim",IF(convencional!G57&lt;40,"Não","Restrição")),"NA")</f>
        <v>NA</v>
      </c>
      <c r="K163" s="2091" t="str">
        <f>IF(convencional!$I$4="Sim","x","")</f>
        <v/>
      </c>
      <c r="L163" s="2091" t="str">
        <f ca="1">IF(J163="Não","N",IF(J163="Restrição","R",""))</f>
        <v/>
      </c>
      <c r="N163" s="2091" t="str">
        <f ca="1">IF(J163="Sim","Conforme",IF(OR(J163="Não",J163="Restrição"),"Não conforme","NA"))</f>
        <v>NA</v>
      </c>
    </row>
    <row r="164" spans="1:14" s="2093" customFormat="1" ht="50.1" customHeight="1" x14ac:dyDescent="0.25">
      <c r="A164" s="2455" t="str">
        <f>("Linearidade da taxa de kerma no ar com o mAs variando o tempo @ FG")</f>
        <v>Linearidade da taxa de kerma no ar com o mAs variando o tempo @ FG</v>
      </c>
      <c r="B164" s="2455"/>
      <c r="C164" s="2462" t="s">
        <v>2369</v>
      </c>
      <c r="D164" s="2462"/>
      <c r="E164" s="2462"/>
      <c r="F164" s="2455" t="s">
        <v>2479</v>
      </c>
      <c r="G164" s="2455"/>
      <c r="H164" s="2455" t="str">
        <f ca="1">IFERROR(CONCATENATE(ROUND(convencional!G58,1)," %"),"NA")</f>
        <v>NA</v>
      </c>
      <c r="I164" s="2455"/>
      <c r="J164" s="2324" t="str">
        <f ca="1">IFERROR(IF(convencional!G58&lt;=20,"Sim",IF(convencional!G58&lt;40,"Não","Restrição")),"NA")</f>
        <v>NA</v>
      </c>
      <c r="K164" s="2091" t="str">
        <f>IF(convencional!B12="Único","x",IF(convencional!$I$4="Sim","x",""))</f>
        <v/>
      </c>
      <c r="L164" s="2091" t="str">
        <f t="shared" ca="1" si="12"/>
        <v/>
      </c>
      <c r="N164" s="2091" t="str">
        <f ca="1">IF(J164="Sim","Conforme",IF(OR(J164="Não",J164="Restrição"),"Não conforme","NA"))</f>
        <v>NA</v>
      </c>
    </row>
    <row r="165" spans="1:14" s="2093" customFormat="1" ht="63.2" customHeight="1" x14ac:dyDescent="0.25">
      <c r="A165" s="2455" t="s">
        <v>2559</v>
      </c>
      <c r="B165" s="2455"/>
      <c r="C165" s="2462" t="s">
        <v>2437</v>
      </c>
      <c r="D165" s="2462"/>
      <c r="E165" s="2462"/>
      <c r="F165" s="2455" t="s">
        <v>2479</v>
      </c>
      <c r="G165" s="2455"/>
      <c r="H165" s="2455" t="str">
        <f ca="1">IFERROR(CONCATENATE(ROUND(convencional!G59,2)," %"),"NPA")</f>
        <v>NPA</v>
      </c>
      <c r="I165" s="2455"/>
      <c r="J165" s="2324" t="str">
        <f ca="1">IF(convencional!G59="","NA",IF(convencional!G59&lt;=20,"Sim",IF(convencional!G59&lt;40,"Não","Restrição")))</f>
        <v>NA</v>
      </c>
      <c r="K165" s="2091" t="str">
        <f ca="1">IF(J165="NA","x",IF(convencional!$I$4="Sim","x",""))</f>
        <v>x</v>
      </c>
      <c r="L165" s="2091" t="str">
        <f t="shared" ca="1" si="12"/>
        <v/>
      </c>
      <c r="N165" s="2091" t="str">
        <f ca="1">IF(J165="Sim","Conforme",IF(OR(J165="Não",J165="Restrição"),"Não conforme","NA"))</f>
        <v>NA</v>
      </c>
    </row>
    <row r="166" spans="1:14" s="2093" customFormat="1" ht="50.1" customHeight="1" x14ac:dyDescent="0.25">
      <c r="A166" s="2455" t="s">
        <v>2558</v>
      </c>
      <c r="B166" s="2455"/>
      <c r="C166" s="2455" t="s">
        <v>2370</v>
      </c>
      <c r="D166" s="2455"/>
      <c r="E166" s="2455"/>
      <c r="F166" s="2455" t="s">
        <v>2472</v>
      </c>
      <c r="G166" s="2455"/>
      <c r="H166" s="2455" t="str">
        <f>IFERROR(ROUND(convencional!G124*100,1)&amp;" %","NPA")</f>
        <v>NPA</v>
      </c>
      <c r="I166" s="2455"/>
      <c r="J166" s="2324" t="str">
        <f>convencional!G125</f>
        <v>NA</v>
      </c>
      <c r="K166" s="2091" t="str">
        <f>IF(Cabeçalho!$G$20="DR","","x")</f>
        <v>x</v>
      </c>
      <c r="L166" s="2091" t="str">
        <f t="shared" si="12"/>
        <v/>
      </c>
      <c r="N166" s="2091" t="str">
        <f>IF(J166="Sim","Conforme",IF(OR(J166="Não",J166="Restrição"),"Não conforme","NA"))</f>
        <v>NA</v>
      </c>
    </row>
    <row r="167" spans="1:14" s="2093" customFormat="1" ht="54" customHeight="1" x14ac:dyDescent="0.25">
      <c r="A167" s="2455" t="str">
        <f>("Tamanho do ponto focal @ "&amp;IF(convencional!A47="Foco Fino","FF","FU"))</f>
        <v>Tamanho do ponto focal @ FF</v>
      </c>
      <c r="B167" s="2455"/>
      <c r="C167" s="2455" t="s">
        <v>2371</v>
      </c>
      <c r="D167" s="2455"/>
      <c r="E167" s="2455"/>
      <c r="F167" s="2455" t="s">
        <v>587</v>
      </c>
      <c r="G167" s="2455"/>
      <c r="H167" s="2455" t="e">
        <f>convencional!C162&amp;" "&amp;convencional!D162</f>
        <v>#N/A</v>
      </c>
      <c r="I167" s="2455"/>
      <c r="J167" s="2324" t="s">
        <v>142</v>
      </c>
      <c r="K167" s="2091" t="str">
        <f>IFERROR(H167,"x")</f>
        <v>x</v>
      </c>
      <c r="L167" s="2091"/>
    </row>
    <row r="168" spans="1:14" s="2093" customFormat="1" ht="50.1" customHeight="1" x14ac:dyDescent="0.25">
      <c r="A168" s="2455" t="s">
        <v>2561</v>
      </c>
      <c r="B168" s="2455"/>
      <c r="C168" s="2462" t="s">
        <v>2371</v>
      </c>
      <c r="D168" s="2462"/>
      <c r="E168" s="2462"/>
      <c r="F168" s="2455" t="s">
        <v>587</v>
      </c>
      <c r="G168" s="2455"/>
      <c r="H168" s="2455" t="e">
        <f>convencional!C163&amp;" "&amp;convencional!D163</f>
        <v>#N/A</v>
      </c>
      <c r="I168" s="2455"/>
      <c r="J168" s="2324" t="s">
        <v>142</v>
      </c>
      <c r="K168" s="2091" t="str">
        <f>IF(convencional!B12="Único","x",IFERROR(H168,"x"))</f>
        <v>x</v>
      </c>
      <c r="L168" s="2091"/>
    </row>
    <row r="169" spans="1:14" s="2093" customFormat="1" ht="54" customHeight="1" x14ac:dyDescent="0.25">
      <c r="A169" s="2455" t="str">
        <f>("Resolução espacial @ "&amp;convencional!B167&amp;", "&amp;ROUND(convencional!B169,0)&amp;" kV, "&amp;ROUND(convencional!B170,0)&amp;" mAs")</f>
        <v>Resolução espacial @ FG, 0 kV, 0 mAs</v>
      </c>
      <c r="B169" s="2455"/>
      <c r="C169" s="2455" t="s">
        <v>2372</v>
      </c>
      <c r="D169" s="2455"/>
      <c r="E169" s="2455"/>
      <c r="F169" s="2455" t="s">
        <v>2478</v>
      </c>
      <c r="G169" s="2455"/>
      <c r="H169" s="2455" t="e">
        <f>IF(J169="Sim","≥ 2,5 pl/mm",CONCATENATE(convencional!L178," pl/mm"))</f>
        <v>#N/A</v>
      </c>
      <c r="I169" s="2455"/>
      <c r="J169" s="2324" t="e">
        <f>convencional!L179</f>
        <v>#N/A</v>
      </c>
      <c r="K169" s="2091" t="str">
        <f>IFERROR(IF(COUNTBLANK($K$183:$K$192)&gt;0,"x",H169),"x")</f>
        <v>x</v>
      </c>
      <c r="L169" s="2091" t="str">
        <f>IFERROR(IF(J169="Não","N",IF(J169="Restrição","R","")),"")</f>
        <v/>
      </c>
      <c r="N169" s="2091" t="e">
        <f>IF(J169="Sim","Conforme",IF(OR(J169="Não",J169="Restrição"),"Não conforme","NA"))</f>
        <v>#N/A</v>
      </c>
    </row>
    <row r="170" spans="1:14" s="2093" customFormat="1" ht="54" customHeight="1" x14ac:dyDescent="0.25">
      <c r="A170" s="2455" t="str">
        <f>("Resolução espacial @ FG, "&amp;ROUND(convencional!C169,0)&amp;" kV, "&amp;ROUND(convencional!C170,0)&amp;" mAs")</f>
        <v>Resolução espacial @ FG, 0 kV, 0 mAs</v>
      </c>
      <c r="B170" s="2455"/>
      <c r="C170" s="2455" t="s">
        <v>2372</v>
      </c>
      <c r="D170" s="2455"/>
      <c r="E170" s="2455"/>
      <c r="F170" s="2455" t="s">
        <v>2478</v>
      </c>
      <c r="G170" s="2455"/>
      <c r="H170" s="2455" t="e">
        <f>IF(J170="Sim","≥ 2,5 pl/mm",CONCATENATE(convencional!M178," pl/mm"))</f>
        <v>#N/A</v>
      </c>
      <c r="I170" s="2455"/>
      <c r="J170" s="2324" t="e">
        <f>convencional!M179</f>
        <v>#N/A</v>
      </c>
      <c r="K170" s="2091" t="str">
        <f>IFERROR(IF(COUNTBLANK($K$183:$K$192)&gt;0,"x",H170),"x")</f>
        <v>x</v>
      </c>
      <c r="L170" s="2091" t="str">
        <f>IFERROR(IF(J170="Não","N",IF(J170="Restrição","R","")),"")</f>
        <v/>
      </c>
      <c r="N170" s="2091" t="e">
        <f>IF(J170="Sim","Conforme",IF(OR(J170="Não",J170="Restrição"),"Não conforme","NA"))</f>
        <v>#N/A</v>
      </c>
    </row>
    <row r="171" spans="1:14" s="2093" customFormat="1" ht="54" customHeight="1" x14ac:dyDescent="0.25">
      <c r="A171" s="2455" t="e">
        <f>("Resolução de baixo contraste @ "&amp;convencional!B167&amp;", "&amp;ROUND(convencional!B169,0)&amp;" kV, "&amp;ROUND(convencional!B170,0)&amp;" mAs - Ref. "&amp;IF(convencional!L173=0,"NI",convencional!L173))</f>
        <v>#N/A</v>
      </c>
      <c r="B171" s="2455"/>
      <c r="C171" s="2455" t="s">
        <v>2372</v>
      </c>
      <c r="D171" s="2455"/>
      <c r="E171" s="2455"/>
      <c r="F171" s="2455" t="str">
        <f>"T: ≥ valor de  referência - "&amp;IF(convencional!B173="","NI",convencional!B173)</f>
        <v>T: ≥ valor de  referência - NI</v>
      </c>
      <c r="G171" s="2455"/>
      <c r="H171" s="2455" t="str">
        <f>IF(convencional!B171&lt;&gt;"",convencional!B170,"NPA")</f>
        <v>NPA</v>
      </c>
      <c r="I171" s="2455"/>
      <c r="J171" s="2092" t="str">
        <f>convencional!L174</f>
        <v>NA</v>
      </c>
      <c r="K171" s="2091" t="str">
        <f>IFERROR(IF(COUNTBLANK($K$173:$K$182)&gt;0,"x",H171),"x")</f>
        <v>NPA</v>
      </c>
      <c r="L171" s="2091"/>
      <c r="N171" s="2091" t="str">
        <f>IF(J171="Sim","Conforme",IF(OR(J171="Não",J171="Restrição"),"Não conforme","NA"))</f>
        <v>NA</v>
      </c>
    </row>
    <row r="172" spans="1:14" s="2093" customFormat="1" ht="54" customHeight="1" x14ac:dyDescent="0.25">
      <c r="A172" s="2455" t="e">
        <f>("Resolução de baixo contraste 'LAUDO convencional'!@ FG, "&amp;ROUND(convencional!C169,0)&amp;" kV, "&amp;ROUND(convencional!C170,0)&amp;" mAs - Ref. "&amp;IF(convencional!M173=0,"NI",convencional!M173))</f>
        <v>#N/A</v>
      </c>
      <c r="B172" s="2455"/>
      <c r="C172" s="2455" t="s">
        <v>2372</v>
      </c>
      <c r="D172" s="2455"/>
      <c r="E172" s="2455"/>
      <c r="F172" s="2455" t="str">
        <f>"T: ≥ valor de  referência - "&amp;IF(convencional!C173="","NI",convencional!C173)</f>
        <v>T: ≥ valor de  referência - NI</v>
      </c>
      <c r="G172" s="2455"/>
      <c r="H172" s="2455" t="str">
        <f>IF(convencional!C171&lt;&gt;"",convencional!C170,"NPA")</f>
        <v>NPA</v>
      </c>
      <c r="I172" s="2455"/>
      <c r="J172" s="2092" t="str">
        <f>convencional!M174</f>
        <v>NA</v>
      </c>
      <c r="K172" s="2091" t="str">
        <f>IFERROR(IF(COUNTBLANK($K$173:$K$182)&gt;0,"x",H172),"x")</f>
        <v>NPA</v>
      </c>
      <c r="L172" s="2091"/>
      <c r="N172" s="2091" t="str">
        <f>IF(J172="Sim","Conforme",IF(OR(J172="Não",J172="Restrição"),"Não conforme","NA"))</f>
        <v>NA</v>
      </c>
    </row>
    <row r="173" spans="1:14" s="2093" customFormat="1" ht="51" customHeight="1" x14ac:dyDescent="0.25">
      <c r="A173" s="2455" t="str">
        <f>("Res. baixo contraste, CR "&amp;convencional!B$168&amp;" @ "&amp;convencional!B$167&amp;", "&amp;ROUND(convencional!B$169,0)&amp;" kV, "&amp;ROUND(convencional!B$170,0)&amp;" mAs - Ref. "&amp;IF(convencional!B173=0,"NI",convencional!B173))</f>
        <v>Res. baixo contraste, CR  @ FG, 0 kV, 0 mAs - Ref. NI</v>
      </c>
      <c r="B173" s="2455"/>
      <c r="C173" s="2462" t="s">
        <v>2372</v>
      </c>
      <c r="D173" s="2462"/>
      <c r="E173" s="2462"/>
      <c r="F173" s="2455" t="str">
        <f>"T: ≥ valor de  referência - "&amp;IF(convencional!B173="","NI",convencional!B173)</f>
        <v>T: ≥ valor de  referência - NI</v>
      </c>
      <c r="G173" s="2455"/>
      <c r="H173" s="2455" t="str">
        <f>IF(convencional!B171&lt;&gt;"",convencional!B172,"NPA")</f>
        <v>NPA</v>
      </c>
      <c r="I173" s="2455"/>
      <c r="J173" s="2324" t="str">
        <f>convencional!B$174</f>
        <v>Sim</v>
      </c>
      <c r="K173" s="2091" t="str">
        <f>IF(Cabeçalho!$G$20="CR",IF(OR(H173="",H173="*",H173=0,H173="NPA"),"x",""),"x")</f>
        <v>x</v>
      </c>
      <c r="L173" s="2091"/>
    </row>
    <row r="174" spans="1:14" s="2093" customFormat="1" ht="54" customHeight="1" x14ac:dyDescent="0.25">
      <c r="A174" s="2455" t="str">
        <f>("Res. baixo contraste, CR "&amp;convencional!C$168&amp;" @ "&amp;convencional!C$167&amp;", "&amp;ROUND(convencional!C$169,0)&amp;" kV, "&amp;ROUND(convencional!C$170,0)&amp;" mAs - Ref. "&amp;IF(convencional!C173=0,"NI",convencional!C173))</f>
        <v>Res. baixo contraste, CR 0 @ FG, 0 kV, 0 mAs - Ref. NI</v>
      </c>
      <c r="B174" s="2455"/>
      <c r="C174" s="2455" t="s">
        <v>2372</v>
      </c>
      <c r="D174" s="2455"/>
      <c r="E174" s="2455"/>
      <c r="F174" s="2455" t="str">
        <f>"T: ≥ valor de  referência - "&amp;IF(convencional!C173="","NI",convencional!C173)</f>
        <v>T: ≥ valor de  referência - NI</v>
      </c>
      <c r="G174" s="2455"/>
      <c r="H174" s="2455" t="str">
        <f>IF(convencional!C171&lt;&gt;"",convencional!C172,"NPA")</f>
        <v>NPA</v>
      </c>
      <c r="I174" s="2455"/>
      <c r="J174" s="2324" t="str">
        <f>convencional!C$174</f>
        <v>Sim</v>
      </c>
      <c r="K174" s="2091" t="str">
        <f>IF(Cabeçalho!$G$20="CR",IF(OR(H174="",H174="*",H174=0,H174="NPA"),"x",""),"x")</f>
        <v>x</v>
      </c>
      <c r="L174" s="2091"/>
    </row>
    <row r="175" spans="1:14" s="2093" customFormat="1" ht="63" customHeight="1" x14ac:dyDescent="0.25">
      <c r="A175" s="2455" t="str">
        <f>("Res. baixo contraste, CR "&amp;convencional!D$168&amp;" @ "&amp;convencional!D$167&amp;", "&amp;ROUND(convencional!D$169,0)&amp;" kV, "&amp;ROUND(convencional!D$170,0)&amp;" mAs - Ref. "&amp;IF(convencional!D173=0,"NI",convencional!D173))</f>
        <v>Res. baixo contraste, CR  @ FG, 0 kV, 0 mAs - Ref. NI</v>
      </c>
      <c r="B175" s="2455"/>
      <c r="C175" s="2462" t="s">
        <v>2372</v>
      </c>
      <c r="D175" s="2462"/>
      <c r="E175" s="2462"/>
      <c r="F175" s="2455" t="str">
        <f>"T: ≥ valor de  referência - "&amp;IF(convencional!D173="","NI",convencional!D173)</f>
        <v>T: ≥ valor de  referência - NI</v>
      </c>
      <c r="G175" s="2455"/>
      <c r="H175" s="2455" t="str">
        <f>IF(convencional!D171&lt;&gt;"",convencional!D172,"NPA")</f>
        <v>NPA</v>
      </c>
      <c r="I175" s="2455"/>
      <c r="J175" s="2324" t="str">
        <f>convencional!D$174</f>
        <v>Sim</v>
      </c>
      <c r="K175" s="2091" t="str">
        <f>IF(Cabeçalho!$G$20="CR",IF(OR(H175="",H175="*",H175=0,H175="NPA"),"x",""),"x")</f>
        <v>x</v>
      </c>
      <c r="L175" s="2091"/>
    </row>
    <row r="176" spans="1:14" s="2093" customFormat="1" ht="54" customHeight="1" x14ac:dyDescent="0.25">
      <c r="A176" s="2455" t="str">
        <f>("Res. baixo contraste, CR "&amp;convencional!E$168&amp;" @ "&amp;convencional!E$167&amp;", "&amp;ROUND(convencional!E$169,0)&amp;" kV, "&amp;ROUND(convencional!E$170,0)&amp;" mAs - Ref. "&amp;IF(convencional!E173=0,"NI",convencional!E173))</f>
        <v>Res. baixo contraste, CR 0 @ FG, 0 kV, 0 mAs - Ref. NI</v>
      </c>
      <c r="B176" s="2455"/>
      <c r="C176" s="2455" t="s">
        <v>2372</v>
      </c>
      <c r="D176" s="2455"/>
      <c r="E176" s="2455"/>
      <c r="F176" s="2455" t="str">
        <f>"T: ≥ valor de  referência - "&amp;IF(convencional!E173="","NI",convencional!E173)</f>
        <v>T: ≥ valor de  referência - NI</v>
      </c>
      <c r="G176" s="2455"/>
      <c r="H176" s="2455" t="str">
        <f>IF(convencional!E171&lt;&gt;"",convencional!E172,"NPA")</f>
        <v>NPA</v>
      </c>
      <c r="I176" s="2455"/>
      <c r="J176" s="2324" t="str">
        <f>convencional!E$174</f>
        <v>Sim</v>
      </c>
      <c r="K176" s="2091" t="str">
        <f>IF(Cabeçalho!$G$20="CR",IF(OR(H176="",H176="*",H176=0,H176="NPA"),"x",""),"x")</f>
        <v>x</v>
      </c>
      <c r="L176" s="2091"/>
    </row>
    <row r="177" spans="1:14" s="2093" customFormat="1" ht="62.25" customHeight="1" x14ac:dyDescent="0.25">
      <c r="A177" s="2455" t="str">
        <f>("Res. baixo contraste, CR "&amp;convencional!F$168&amp;" @ "&amp;convencional!F$167&amp;", "&amp;ROUND(convencional!F$169,0)&amp;" kV, "&amp;ROUND(convencional!F$170,0)&amp;" mAs - Ref. "&amp;IF(convencional!F173=0,"NI",convencional!F173))</f>
        <v>Res. baixo contraste, CR  @ FG, 0 kV, 0 mAs - Ref. NI</v>
      </c>
      <c r="B177" s="2455"/>
      <c r="C177" s="2462" t="s">
        <v>2372</v>
      </c>
      <c r="D177" s="2462"/>
      <c r="E177" s="2462"/>
      <c r="F177" s="2455" t="str">
        <f>"T: ≥ valor de  referência - "&amp;IF(convencional!F173="","NI",convencional!F173)</f>
        <v>T: ≥ valor de  referência - NI</v>
      </c>
      <c r="G177" s="2455"/>
      <c r="H177" s="2455" t="str">
        <f>IF(convencional!F171&lt;&gt;"",convencional!F172,"NPA")</f>
        <v>NPA</v>
      </c>
      <c r="I177" s="2455"/>
      <c r="J177" s="2324" t="str">
        <f>convencional!F$174</f>
        <v>Sim</v>
      </c>
      <c r="K177" s="2091" t="str">
        <f>IF(Cabeçalho!$G$20="CR",IF(OR(H177="",H177="*",H177=0,H177="NPA"),"x",""),"x")</f>
        <v>x</v>
      </c>
      <c r="L177" s="2091"/>
    </row>
    <row r="178" spans="1:14" s="2093" customFormat="1" ht="54" customHeight="1" x14ac:dyDescent="0.25">
      <c r="A178" s="2455" t="str">
        <f>("Res. baixo contraste, CR "&amp;convencional!G$168&amp;" @ "&amp;convencional!G$167&amp;", "&amp;ROUND(convencional!G$169,0)&amp;" kV, "&amp;ROUND(convencional!G$170,0)&amp;" mAs - Ref. "&amp;IF(convencional!G173=0,"NI",convencional!G173))&amp;"                             (Anual)"</f>
        <v>Res. baixo contraste, CR 0 @ FG, 0 kV, 0 mAs - Ref. NI                             (Anual)</v>
      </c>
      <c r="B178" s="2455"/>
      <c r="C178" s="2455" t="s">
        <v>2372</v>
      </c>
      <c r="D178" s="2455"/>
      <c r="E178" s="2455"/>
      <c r="F178" s="2455" t="str">
        <f>"T: ≥ valor de  referência - "&amp;IF(convencional!I173="","NI",convencional!I173)</f>
        <v>T: ≥ valor de  referência - NI</v>
      </c>
      <c r="G178" s="2455"/>
      <c r="H178" s="2455" t="str">
        <f>IF(convencional!G171&lt;&gt;"",convencional!G170,"NPA")</f>
        <v>NPA</v>
      </c>
      <c r="I178" s="2455"/>
      <c r="J178" s="2324" t="str">
        <f>convencional!G$174</f>
        <v>Sim</v>
      </c>
      <c r="K178" s="2091" t="str">
        <f>IF(Cabeçalho!$G$20="CR",IF(OR(H178="",H178="*",H178=0,H178="NPA"),"x",""),"x")</f>
        <v>x</v>
      </c>
      <c r="L178" s="2091"/>
    </row>
    <row r="179" spans="1:14" s="2093" customFormat="1" ht="54" customHeight="1" x14ac:dyDescent="0.25">
      <c r="A179" s="2455" t="str">
        <f>("Res. baixo contraste, CR "&amp;convencional!H$168&amp;" @ "&amp;convencional!H$167&amp;", "&amp;ROUND(convencional!H$169,0)&amp;" kV, "&amp;ROUND(convencional!H$170,0)&amp;" mAs - Ref. "&amp;IF(convencional!H173=0,"NI",convencional!H173))</f>
        <v>Res. baixo contraste, CR  @ FG, 0 kV, 0 mAs - Ref. NI</v>
      </c>
      <c r="B179" s="2455"/>
      <c r="C179" s="2455" t="s">
        <v>2372</v>
      </c>
      <c r="D179" s="2455"/>
      <c r="E179" s="2455"/>
      <c r="F179" s="2455" t="str">
        <f>"T: ≥ valor de  referência - "&amp;IF(convencional!J173="","NI",convencional!J173)</f>
        <v>T: ≥ valor de  referência - NI</v>
      </c>
      <c r="G179" s="2455"/>
      <c r="H179" s="2455" t="str">
        <f>IF(convencional!H171&lt;&gt;"",convencional!H170,"NPA")</f>
        <v>NPA</v>
      </c>
      <c r="I179" s="2455"/>
      <c r="J179" s="2324" t="str">
        <f>convencional!H$174</f>
        <v>Sim</v>
      </c>
      <c r="K179" s="2091" t="str">
        <f>IF(Cabeçalho!$G$20="CR",IF(OR(H179="",H179="*",H179=0,H179="NPA"),"x",""),"x")</f>
        <v>x</v>
      </c>
      <c r="L179" s="2091"/>
    </row>
    <row r="180" spans="1:14" s="2093" customFormat="1" ht="54" customHeight="1" x14ac:dyDescent="0.25">
      <c r="A180" s="2455" t="str">
        <f>("Res. baixo contraste, CR "&amp;convencional!I$168&amp;" @ "&amp;convencional!I$167&amp;", "&amp;ROUND(convencional!I$169,0)&amp;" kV, "&amp;ROUND(convencional!I$170,0)&amp;" mAs - Ref. "&amp;IF(convencional!I173=0,"NI",convencional!I173))</f>
        <v>Res. baixo contraste, CR 0 @ FG, 0 kV, 0 mAs - Ref. NI</v>
      </c>
      <c r="B180" s="2455"/>
      <c r="C180" s="2455" t="s">
        <v>2372</v>
      </c>
      <c r="D180" s="2455"/>
      <c r="E180" s="2455"/>
      <c r="F180" s="2455" t="str">
        <f>"T: ≥ valor de  referência - "&amp;IF(convencional!K173="","NI",convencional!K173)</f>
        <v>T: ≥ valor de  referência - NI</v>
      </c>
      <c r="G180" s="2455"/>
      <c r="H180" s="2455" t="str">
        <f>IF(convencional!I171&lt;&gt;"",convencional!I170,"NPA")</f>
        <v>NPA</v>
      </c>
      <c r="I180" s="2455"/>
      <c r="J180" s="2324" t="str">
        <f>convencional!I$174</f>
        <v>Sim</v>
      </c>
      <c r="K180" s="2091" t="str">
        <f>IF(Cabeçalho!$G$20="CR",IF(OR(H180="",H180="*",H180=0,H180="NPA"),"x",""),"x")</f>
        <v>x</v>
      </c>
      <c r="L180" s="2091"/>
    </row>
    <row r="181" spans="1:14" s="2093" customFormat="1" ht="54" customHeight="1" x14ac:dyDescent="0.25">
      <c r="A181" s="2455" t="str">
        <f>("Res. baixo contraste, CR "&amp;convencional!J$168&amp;" @ "&amp;convencional!J$167&amp;", "&amp;ROUND(convencional!J$169,0)&amp;" kV, "&amp;ROUND(convencional!J$170,0)&amp;" mAs - Ref. "&amp;IF(convencional!J173=0,"NI",convencional!J173))</f>
        <v>Res. baixo contraste, CR  @ FG, 0 kV, 0 mAs - Ref. NI</v>
      </c>
      <c r="B181" s="2455"/>
      <c r="C181" s="2455" t="s">
        <v>2372</v>
      </c>
      <c r="D181" s="2455"/>
      <c r="E181" s="2455"/>
      <c r="F181" s="2455" t="str">
        <f>"T: ≥ valor de  referência - "&amp;IF(convencional!J173="","NI",convencional!J173)</f>
        <v>T: ≥ valor de  referência - NI</v>
      </c>
      <c r="G181" s="2455"/>
      <c r="H181" s="2455" t="str">
        <f>IF(convencional!J171&lt;&gt;"",convencional!J172,"NPA")</f>
        <v>NPA</v>
      </c>
      <c r="I181" s="2455"/>
      <c r="J181" s="2324" t="str">
        <f>convencional!J$174</f>
        <v>Sim</v>
      </c>
      <c r="K181" s="2091" t="str">
        <f>IF(Cabeçalho!$G$20="CR",IF(OR(H181="",H181="*",H181=0,H181="NPA"),"x",""),"x")</f>
        <v>x</v>
      </c>
      <c r="L181" s="2091"/>
    </row>
    <row r="182" spans="1:14" s="2093" customFormat="1" ht="54" customHeight="1" x14ac:dyDescent="0.25">
      <c r="A182" s="2455" t="str">
        <f>("Res. baixo contraste, CR "&amp;convencional!K$168&amp;" @ "&amp;convencional!K$167&amp;", "&amp;ROUND(convencional!K$169,0)&amp;" kV, "&amp;ROUND(convencional!K$170,0)&amp;" mAs - Ref. "&amp;IF(convencional!K173=0,"NI",convencional!K173))</f>
        <v>Res. baixo contraste, CR 0 @ FG, 0 kV, 0 mAs - Ref. NI</v>
      </c>
      <c r="B182" s="2455"/>
      <c r="C182" s="2455" t="s">
        <v>2372</v>
      </c>
      <c r="D182" s="2455"/>
      <c r="E182" s="2455"/>
      <c r="F182" s="2455" t="str">
        <f>"T: ≥ valor de  referência - "&amp;IF(convencional!K173="","NI",convencional!K173)</f>
        <v>T: ≥ valor de  referência - NI</v>
      </c>
      <c r="G182" s="2455"/>
      <c r="H182" s="2455" t="str">
        <f>IF(convencional!K171&lt;&gt;"",convencional!K170,"NPA")</f>
        <v>NPA</v>
      </c>
      <c r="I182" s="2455"/>
      <c r="J182" s="2324" t="str">
        <f>convencional!K$174</f>
        <v>Sim</v>
      </c>
      <c r="K182" s="2091" t="str">
        <f>IF(Cabeçalho!$G$20="CR",IF(OR(H182="",H182="*",H182=0,H182="NPA"),"x",""),"x")</f>
        <v>x</v>
      </c>
      <c r="L182" s="2091"/>
    </row>
    <row r="183" spans="1:14" s="2093" customFormat="1" ht="54" customHeight="1" x14ac:dyDescent="0.25">
      <c r="A183" s="2455" t="str">
        <f>("Resolução espacial, CR "&amp;convencional!B$177&amp;" @ "&amp;convencional!B$176&amp;", "&amp;ROUND(convencional!B$178,0)&amp;" kV, "&amp;ROUND(convencional!B$179,0)&amp;" mAs")</f>
        <v>Resolução espacial, CR 0 @ FG, 0 kV, 0 mAs</v>
      </c>
      <c r="B183" s="2455"/>
      <c r="C183" s="2462" t="s">
        <v>2436</v>
      </c>
      <c r="D183" s="2462"/>
      <c r="E183" s="2462"/>
      <c r="F183" s="2455" t="s">
        <v>2472</v>
      </c>
      <c r="G183" s="2455"/>
      <c r="H183" s="2455" t="str">
        <f>IF(J183="Sim","≥ 2,5 pl/mm",CONCATENATE(convencional!B$181," pl/mm"))</f>
        <v xml:space="preserve"> pl/mm</v>
      </c>
      <c r="I183" s="2455"/>
      <c r="J183" s="2324" t="str">
        <f>convencional!B$182</f>
        <v>NPA</v>
      </c>
      <c r="K183" s="2091" t="str">
        <f>IF(Cabeçalho!$G$20="CR",IF(H183=" pl/mm","x",""),"x")</f>
        <v>x</v>
      </c>
      <c r="L183" s="2091"/>
      <c r="N183" s="2091" t="str">
        <f>IF(J183="Sim","Conforme",IF(OR(J183="Não",J183="Restrição"),"Não conforme","NA"))</f>
        <v>NA</v>
      </c>
    </row>
    <row r="184" spans="1:14" s="2093" customFormat="1" ht="45" customHeight="1" x14ac:dyDescent="0.25">
      <c r="A184" s="2455" t="str">
        <f>("Resolução espacial, CR "&amp;convencional!C$177&amp;" @ "&amp;convencional!C$176&amp;", "&amp;ROUND(convencional!C$178,0)&amp;" kV, "&amp;ROUND(convencional!C$179,0)&amp;" mAs")</f>
        <v>Resolução espacial, CR 0 @ FG, 0 kV, 0 mAs</v>
      </c>
      <c r="B184" s="2455"/>
      <c r="C184" s="2455" t="s">
        <v>2373</v>
      </c>
      <c r="D184" s="2455"/>
      <c r="E184" s="2455"/>
      <c r="F184" s="2455" t="s">
        <v>2472</v>
      </c>
      <c r="G184" s="2455"/>
      <c r="H184" s="2455" t="str">
        <f>IF(J184="Sim","≥ 2,5 pl/mm",CONCATENATE(convencional!C$181," pl/mm"))</f>
        <v xml:space="preserve"> pl/mm</v>
      </c>
      <c r="I184" s="2455"/>
      <c r="J184" s="2324" t="str">
        <f>convencional!C$182</f>
        <v>NPA</v>
      </c>
      <c r="K184" s="2091" t="str">
        <f>IF(Cabeçalho!$G$20="CR",IF(H184=" pl/mm","x",""),"x")</f>
        <v>x</v>
      </c>
      <c r="L184" s="2091"/>
      <c r="N184" s="2091" t="str">
        <f t="shared" ref="N184:N192" si="13">IF(J184="Sim","Conforme",IF(OR(J184="Não",J184="Restrição"),"Não conforme","NA"))</f>
        <v>NA</v>
      </c>
    </row>
    <row r="185" spans="1:14" s="2093" customFormat="1" ht="45" customHeight="1" x14ac:dyDescent="0.25">
      <c r="A185" s="2455" t="str">
        <f>("Resolução espacial, CR "&amp;convencional!D$177&amp;" @ "&amp;convencional!D$176&amp;", "&amp;ROUND(convencional!D$178,0)&amp;" kV, "&amp;ROUND(convencional!D$179,0)&amp;" mAs")</f>
        <v>Resolução espacial, CR 0 @ FG, 0 kV, 0 mAs</v>
      </c>
      <c r="B185" s="2455"/>
      <c r="C185" s="2462" t="s">
        <v>2436</v>
      </c>
      <c r="D185" s="2462"/>
      <c r="E185" s="2462"/>
      <c r="F185" s="2455" t="s">
        <v>2477</v>
      </c>
      <c r="G185" s="2455"/>
      <c r="H185" s="2455" t="str">
        <f>IF(J185="Sim","≥ 2,5 pl/mm",CONCATENATE(convencional!D$181," pl/mm"))</f>
        <v xml:space="preserve"> pl/mm</v>
      </c>
      <c r="I185" s="2455"/>
      <c r="J185" s="2324" t="str">
        <f>convencional!D$182</f>
        <v>NPA</v>
      </c>
      <c r="K185" s="2091" t="str">
        <f>IF(Cabeçalho!$G$20="CR",IF(H185=" pl/mm","x",""),"x")</f>
        <v>x</v>
      </c>
      <c r="L185" s="2091"/>
      <c r="N185" s="2091" t="str">
        <f t="shared" si="13"/>
        <v>NA</v>
      </c>
    </row>
    <row r="186" spans="1:14" s="2093" customFormat="1" ht="45" customHeight="1" x14ac:dyDescent="0.25">
      <c r="A186" s="2455" t="str">
        <f>("Resolução espacial, CR "&amp;convencional!E$177&amp;" @ "&amp;convencional!E$176&amp;", "&amp;ROUND(convencional!E$178,0)&amp;" kV, "&amp;ROUND(convencional!E$179,0)&amp;" mAs")</f>
        <v>Resolução espacial, CR 0 @ FG, 0 kV, 0 mAs</v>
      </c>
      <c r="B186" s="2455"/>
      <c r="C186" s="2455" t="s">
        <v>2373</v>
      </c>
      <c r="D186" s="2455"/>
      <c r="E186" s="2455"/>
      <c r="F186" s="2455" t="s">
        <v>2477</v>
      </c>
      <c r="G186" s="2455"/>
      <c r="H186" s="2455" t="str">
        <f>IF(J186="Sim","≥ 2,5 pl/mm",CONCATENATE(convencional!E$181," pl/mm"))</f>
        <v xml:space="preserve"> pl/mm</v>
      </c>
      <c r="I186" s="2455"/>
      <c r="J186" s="2324" t="str">
        <f>convencional!E$182</f>
        <v>NPA</v>
      </c>
      <c r="K186" s="2091" t="str">
        <f>IF(Cabeçalho!$G$20="CR",IF(H186=" pl/mm","x",""),"x")</f>
        <v>x</v>
      </c>
      <c r="L186" s="2091"/>
      <c r="N186" s="2091" t="str">
        <f t="shared" si="13"/>
        <v>NA</v>
      </c>
    </row>
    <row r="187" spans="1:14" s="2093" customFormat="1" ht="45" customHeight="1" x14ac:dyDescent="0.25">
      <c r="A187" s="2455" t="str">
        <f>("Resolução espacial, CR "&amp;convencional!F$177&amp;" @ "&amp;convencional!F$176&amp;", "&amp;ROUND(convencional!F$178,0)&amp;" kV, "&amp;ROUND(convencional!F$179,0)&amp;" mAs")</f>
        <v>Resolução espacial, CR 0 @ FG, 0 kV, 0 mAs</v>
      </c>
      <c r="B187" s="2455"/>
      <c r="C187" s="2462" t="s">
        <v>2436</v>
      </c>
      <c r="D187" s="2462"/>
      <c r="E187" s="2462"/>
      <c r="F187" s="2455" t="s">
        <v>2470</v>
      </c>
      <c r="G187" s="2455"/>
      <c r="H187" s="2455" t="str">
        <f>IF(J187="Sim","≥ 2,5 pl/mm",CONCATENATE(convencional!F$181," pl/mm"))</f>
        <v xml:space="preserve"> pl/mm</v>
      </c>
      <c r="I187" s="2455"/>
      <c r="J187" s="2324" t="str">
        <f>convencional!F$182</f>
        <v>NPA</v>
      </c>
      <c r="K187" s="2091" t="str">
        <f>IF(Cabeçalho!$G$20="CR",IF(H187=" pl/mm","x",""),"x")</f>
        <v>x</v>
      </c>
      <c r="L187" s="2091"/>
      <c r="N187" s="2091" t="str">
        <f t="shared" si="13"/>
        <v>NA</v>
      </c>
    </row>
    <row r="188" spans="1:14" s="2093" customFormat="1" ht="54" customHeight="1" x14ac:dyDescent="0.25">
      <c r="A188" s="2455" t="str">
        <f>("Resolução espacial, CR "&amp;convencional!G$177&amp;" @ "&amp;convencional!G$176&amp;", "&amp;ROUND(convencional!G$178,0)&amp;" kV, "&amp;ROUND(convencional!G$179,0)&amp;" mAs")</f>
        <v>Resolução espacial, CR 0 @ FG, 0 kV, 0 mAs</v>
      </c>
      <c r="B188" s="2455"/>
      <c r="C188" s="2455" t="s">
        <v>2373</v>
      </c>
      <c r="D188" s="2455"/>
      <c r="E188" s="2455"/>
      <c r="F188" s="2455" t="s">
        <v>2477</v>
      </c>
      <c r="G188" s="2455"/>
      <c r="H188" s="2455" t="str">
        <f>IF(J188="Sim","≥ 2,5 pl/mm",CONCATENATE(convencional!G$181," pl/mm"))</f>
        <v xml:space="preserve"> pl/mm</v>
      </c>
      <c r="I188" s="2455"/>
      <c r="J188" s="2324" t="str">
        <f>convencional!G$182</f>
        <v>NPA</v>
      </c>
      <c r="K188" s="2091" t="str">
        <f>IF(Cabeçalho!$G$20="CR",IF(H188=" pl/mm","x",""),"x")</f>
        <v>x</v>
      </c>
      <c r="L188" s="2091"/>
      <c r="N188" s="2091" t="str">
        <f t="shared" si="13"/>
        <v>NA</v>
      </c>
    </row>
    <row r="189" spans="1:14" s="2093" customFormat="1" ht="45" customHeight="1" x14ac:dyDescent="0.25">
      <c r="A189" s="2455" t="str">
        <f>("Resolução espacial, CR "&amp;convencional!H$177&amp;" @ "&amp;convencional!H$176&amp;", "&amp;ROUND(convencional!H$178,0)&amp;" kV, "&amp;ROUND(convencional!H$179,0)&amp;" mAs")</f>
        <v>Resolução espacial, CR 0 @ FG, 0 kV, 0 mAs</v>
      </c>
      <c r="B189" s="2455"/>
      <c r="C189" s="2455" t="s">
        <v>2373</v>
      </c>
      <c r="D189" s="2455"/>
      <c r="E189" s="2455"/>
      <c r="F189" s="2455" t="s">
        <v>2477</v>
      </c>
      <c r="G189" s="2455"/>
      <c r="H189" s="2455" t="str">
        <f>IF(J189="Sim","≥ 2,5 pl/mm",CONCATENATE(convencional!H$181," pl/mm"))</f>
        <v xml:space="preserve"> pl/mm</v>
      </c>
      <c r="I189" s="2455"/>
      <c r="J189" s="2324" t="str">
        <f>convencional!H$182</f>
        <v>NPA</v>
      </c>
      <c r="K189" s="2091" t="str">
        <f>IF(Cabeçalho!$G$20="CR",IF(H189=" pl/mm","x",""),"x")</f>
        <v>x</v>
      </c>
      <c r="L189" s="2091"/>
      <c r="N189" s="2091" t="str">
        <f t="shared" si="13"/>
        <v>NA</v>
      </c>
    </row>
    <row r="190" spans="1:14" s="2093" customFormat="1" ht="45" customHeight="1" x14ac:dyDescent="0.25">
      <c r="A190" s="2455" t="str">
        <f>("Resolução espacial, CR "&amp;convencional!I$177&amp;" @ "&amp;convencional!I$176&amp;", "&amp;ROUND(convencional!I$178,0)&amp;" kV, "&amp;ROUND(convencional!I$179,0)&amp;" mAs")</f>
        <v>Resolução espacial, CR 0 @ FG, 0 kV, 0 mAs</v>
      </c>
      <c r="B190" s="2455"/>
      <c r="C190" s="2455" t="s">
        <v>2373</v>
      </c>
      <c r="D190" s="2455"/>
      <c r="E190" s="2455"/>
      <c r="F190" s="2455" t="s">
        <v>2477</v>
      </c>
      <c r="G190" s="2455"/>
      <c r="H190" s="2455" t="str">
        <f>IF(J190="Sim","≥ 2,5 pl/mm",CONCATENATE(convencional!I$181," pl/mm"))</f>
        <v xml:space="preserve"> pl/mm</v>
      </c>
      <c r="I190" s="2455"/>
      <c r="J190" s="2324" t="str">
        <f>convencional!I$182</f>
        <v>NPA</v>
      </c>
      <c r="K190" s="2091" t="str">
        <f>IF(Cabeçalho!$G$20="CR",IF(H190=" pl/mm","x",""),"x")</f>
        <v>x</v>
      </c>
      <c r="L190" s="2091"/>
      <c r="N190" s="2091" t="str">
        <f t="shared" si="13"/>
        <v>NA</v>
      </c>
    </row>
    <row r="191" spans="1:14" s="2093" customFormat="1" ht="45" customHeight="1" x14ac:dyDescent="0.25">
      <c r="A191" s="2455" t="str">
        <f>("Resolução espacial, CR "&amp;convencional!J$177&amp;" @ "&amp;convencional!J$176&amp;", "&amp;ROUND(convencional!J$178,0)&amp;" kV, "&amp;ROUND(convencional!J$179,0)&amp;" mAs")</f>
        <v>Resolução espacial, CR 0 @ FG, 0 kV, 0 mAs</v>
      </c>
      <c r="B191" s="2455"/>
      <c r="C191" s="2455" t="s">
        <v>2373</v>
      </c>
      <c r="D191" s="2455"/>
      <c r="E191" s="2455"/>
      <c r="F191" s="2455" t="s">
        <v>2470</v>
      </c>
      <c r="G191" s="2455"/>
      <c r="H191" s="2455" t="str">
        <f>IF(J191="Sim","≥ 2,5 pl/mm",CONCATENATE(convencional!J$181," pl/mm"))</f>
        <v xml:space="preserve"> pl/mm</v>
      </c>
      <c r="I191" s="2455"/>
      <c r="J191" s="2324" t="str">
        <f>convencional!J$182</f>
        <v>NPA</v>
      </c>
      <c r="K191" s="2091" t="str">
        <f>IF(Cabeçalho!$G$20="CR",IF(H191=" pl/mm","x",""),"x")</f>
        <v>x</v>
      </c>
      <c r="L191" s="2091"/>
      <c r="N191" s="2091" t="str">
        <f t="shared" si="13"/>
        <v>NA</v>
      </c>
    </row>
    <row r="192" spans="1:14" s="2093" customFormat="1" ht="45" customHeight="1" x14ac:dyDescent="0.25">
      <c r="A192" s="2455" t="str">
        <f>("Resolução espacial, CR "&amp;convencional!K$177&amp;" @ "&amp;convencional!K$176&amp;", "&amp;ROUND(convencional!K$178,0)&amp;" kV, "&amp;ROUND(convencional!K$179,0)&amp;" mAs")</f>
        <v>Resolução espacial, CR 0 @ FG, 0 kV, 0 mAs</v>
      </c>
      <c r="B192" s="2455"/>
      <c r="C192" s="2455" t="s">
        <v>2373</v>
      </c>
      <c r="D192" s="2455"/>
      <c r="E192" s="2455"/>
      <c r="F192" s="2455" t="s">
        <v>2477</v>
      </c>
      <c r="G192" s="2455"/>
      <c r="H192" s="2455" t="str">
        <f>IF(J192="Sim","≥ 2,5 pl/mm",CONCATENATE(convencional!K$181," pl/mm"))</f>
        <v xml:space="preserve"> pl/mm</v>
      </c>
      <c r="I192" s="2455"/>
      <c r="J192" s="2324" t="str">
        <f>convencional!K$182</f>
        <v>NPA</v>
      </c>
      <c r="K192" s="2091" t="str">
        <f>IF(Cabeçalho!$G$20="CR",IF(H192=" pl/mm","x",""),"x")</f>
        <v>x</v>
      </c>
      <c r="L192" s="2091"/>
      <c r="N192" s="2091" t="str">
        <f t="shared" si="13"/>
        <v>NA</v>
      </c>
    </row>
    <row r="193" spans="1:13" s="2093" customFormat="1" ht="65.099999999999994" customHeight="1" x14ac:dyDescent="0.25">
      <c r="A193" s="2455" t="str">
        <f>("Artefatos na imagem")</f>
        <v>Artefatos na imagem</v>
      </c>
      <c r="B193" s="2455"/>
      <c r="C193" s="2462" t="s">
        <v>2374</v>
      </c>
      <c r="D193" s="2462"/>
      <c r="E193" s="2462"/>
      <c r="F193" s="2455" t="s">
        <v>2676</v>
      </c>
      <c r="G193" s="2455"/>
      <c r="H193" s="2455" t="str">
        <f>IF(convencional!C184="Sim","Inexistentes","Existentes")</f>
        <v>Inexistentes</v>
      </c>
      <c r="I193" s="2455"/>
      <c r="J193" s="2324" t="str">
        <f>convencional!C185</f>
        <v>Sim</v>
      </c>
      <c r="K193" s="2091" t="str">
        <f>IF(J193=0,"x","")</f>
        <v/>
      </c>
      <c r="L193" s="2060" t="s">
        <v>2408</v>
      </c>
    </row>
    <row r="194" spans="1:13" s="2093" customFormat="1" ht="45" customHeight="1" x14ac:dyDescent="0.25">
      <c r="A194" s="2455" t="s">
        <v>2562</v>
      </c>
      <c r="B194" s="2455"/>
      <c r="C194" s="2455" t="s">
        <v>2375</v>
      </c>
      <c r="D194" s="2455"/>
      <c r="E194" s="2455"/>
      <c r="F194" s="2455" t="s">
        <v>2473</v>
      </c>
      <c r="G194" s="2455"/>
      <c r="H194" s="2455" t="str">
        <f>IFERROR(CONCATENATE(ROUND(convencional!C152*100,1)," %"),"NPA")</f>
        <v>NPA</v>
      </c>
      <c r="I194" s="2455"/>
      <c r="J194" s="2324" t="str">
        <f>convencional!B153</f>
        <v>NA</v>
      </c>
      <c r="K194" s="2091" t="str">
        <f>IF(Cabeçalho!$G$20="DR","","x")</f>
        <v>x</v>
      </c>
      <c r="L194" s="2091" t="str">
        <f>IF(J194="Não","N",IF(J194="Restrição","R",""))</f>
        <v/>
      </c>
      <c r="M194" s="2091" t="str">
        <f>IF(OR(J194="Não",J194="Restrição"),"Não Conforme",IF(J194="Sim","Conforme","NA"))</f>
        <v>NA</v>
      </c>
    </row>
    <row r="195" spans="1:13" s="2093" customFormat="1" ht="45" customHeight="1" x14ac:dyDescent="0.25">
      <c r="A195" s="2455" t="s">
        <v>2563</v>
      </c>
      <c r="B195" s="2455"/>
      <c r="C195" s="2455" t="s">
        <v>2375</v>
      </c>
      <c r="D195" s="2455"/>
      <c r="E195" s="2455"/>
      <c r="F195" s="2455" t="s">
        <v>2474</v>
      </c>
      <c r="G195" s="2455"/>
      <c r="H195" s="2455" t="str">
        <f>IFERROR(CONCATENATE(ROUND(convencional!E152*100,1)," %"),"NPA")</f>
        <v>NPA</v>
      </c>
      <c r="I195" s="2455"/>
      <c r="J195" s="2324" t="str">
        <f>convencional!D153</f>
        <v>NA</v>
      </c>
      <c r="K195" s="2091" t="str">
        <f>IF(Cabeçalho!$G$20="DR","","x")</f>
        <v>x</v>
      </c>
      <c r="L195" s="2091" t="str">
        <f>IF(J195="Não","N",IF(J195="Restrição","R",""))</f>
        <v/>
      </c>
    </row>
    <row r="196" spans="1:13" s="2093" customFormat="1" ht="45" customHeight="1" x14ac:dyDescent="0.25">
      <c r="A196" s="2455" t="s">
        <v>1034</v>
      </c>
      <c r="B196" s="2455"/>
      <c r="C196" s="2455" t="s">
        <v>2376</v>
      </c>
      <c r="D196" s="2455"/>
      <c r="E196" s="2455"/>
      <c r="F196" s="2455" t="s">
        <v>2472</v>
      </c>
      <c r="G196" s="2455"/>
      <c r="H196" s="2455" t="str">
        <f>IF(convencional!I86="NA","NA",CONCATENATE(ROUND(convencional!G86,1)," %"))</f>
        <v>NA</v>
      </c>
      <c r="I196" s="2455"/>
      <c r="J196" s="2324" t="str">
        <f>IF(H196="NA","NA", convencional!I86)</f>
        <v>NA</v>
      </c>
      <c r="K196" s="2091" t="str">
        <f>IF(Cabeçalho!$G$20="DR","","x")</f>
        <v>x</v>
      </c>
      <c r="L196" s="2091" t="str">
        <f>IF(J196="Não","N",IF(J196="Restrição","R",""))</f>
        <v/>
      </c>
      <c r="M196" s="2091" t="str">
        <f>IF(OR(J196="Não",J196="Restrição"),"Não Conforme",IF(J196="Sim","Conforme","NA"))</f>
        <v>NA</v>
      </c>
    </row>
    <row r="197" spans="1:13" s="2093" customFormat="1" ht="45" customHeight="1" x14ac:dyDescent="0.25">
      <c r="A197" s="2455" t="s">
        <v>1485</v>
      </c>
      <c r="B197" s="2455"/>
      <c r="C197" s="2462" t="s">
        <v>2377</v>
      </c>
      <c r="D197" s="2462"/>
      <c r="E197" s="2462"/>
      <c r="F197" s="2455" t="s">
        <v>2381</v>
      </c>
      <c r="G197" s="2455"/>
      <c r="H197" s="2455" t="str">
        <f>IF(Cabeçalho!$G$20="DR",IF(J197="Sim","Sem imagem residual","Há imagem residual"),"NA")</f>
        <v>NA</v>
      </c>
      <c r="I197" s="2455"/>
      <c r="J197" s="2324" t="str">
        <f>IF(Cabeçalho!$G$20="DR",IF(convencional!F155="Não","Sim","Não"),"NA")</f>
        <v>NA</v>
      </c>
      <c r="K197" s="2091"/>
      <c r="L197" s="2091" t="str">
        <f>IF(OR(J197="Não",J197="Restrição"),"Não Conforme",IF(J197="Sim","Conforme","NA"))</f>
        <v>NA</v>
      </c>
    </row>
    <row r="198" spans="1:13" s="2093" customFormat="1" ht="50.1" customHeight="1" x14ac:dyDescent="0.25">
      <c r="A198" s="2455" t="s">
        <v>2564</v>
      </c>
      <c r="B198" s="2455"/>
      <c r="C198" s="2462" t="s">
        <v>2378</v>
      </c>
      <c r="D198" s="2462"/>
      <c r="E198" s="2462"/>
      <c r="F198" s="2455" t="s">
        <v>2475</v>
      </c>
      <c r="G198" s="2455"/>
      <c r="H198" s="2455" t="str">
        <f ca="1">IF(TYPE(convencional!B97)=16,"NA",CONCATENATE(ROUND(convencional!B97,1)," %"))</f>
        <v>NA</v>
      </c>
      <c r="I198" s="2455"/>
      <c r="J198" s="2324" t="str">
        <f ca="1">IF(H198="NA","NA",IF(convencional!B97&lt;10,"Sim",IF(convencional!B97&lt;20,"Não","Restrição")))</f>
        <v>NA</v>
      </c>
      <c r="K198" s="2091"/>
      <c r="L198" s="2091" t="str">
        <f ca="1">IF(OR(J198="Não",J198="Restrição"),"Não Conforme",IF(J198="Sim","Conforme","NA"))</f>
        <v>NA</v>
      </c>
    </row>
    <row r="199" spans="1:13" s="2093" customFormat="1" ht="50.1" customHeight="1" x14ac:dyDescent="0.25">
      <c r="A199" s="2455" t="s">
        <v>2808</v>
      </c>
      <c r="B199" s="2455"/>
      <c r="C199" s="2462" t="s">
        <v>2378</v>
      </c>
      <c r="D199" s="2462"/>
      <c r="E199" s="2462"/>
      <c r="F199" s="2455" t="s">
        <v>2475</v>
      </c>
      <c r="G199" s="2455"/>
      <c r="H199" s="2455" t="str">
        <f ca="1">IF(TYPE(convencional!B107)=16,"NA",CONCATENATE(ROUND(convencional!B107,1)," %"))</f>
        <v>NA</v>
      </c>
      <c r="I199" s="2455"/>
      <c r="J199" s="2324" t="str">
        <f ca="1">IF(H199="NA","NA",IF(convencional!B107&lt;10,"Sim",IF(convencional!B107&lt;20,"Não","Restrição")))</f>
        <v>NA</v>
      </c>
      <c r="K199" s="2091"/>
      <c r="L199" s="2091" t="str">
        <f ca="1">IF(OR(J199="Não",J199="Restrição"),"Não Conforme",IF(J199="Sim","Conforme","NA"))</f>
        <v>NA</v>
      </c>
    </row>
    <row r="200" spans="1:13" s="2093" customFormat="1" ht="50.1" customHeight="1" x14ac:dyDescent="0.25">
      <c r="A200" s="2455" t="s">
        <v>2566</v>
      </c>
      <c r="B200" s="2455"/>
      <c r="C200" s="2462" t="s">
        <v>2379</v>
      </c>
      <c r="D200" s="2462"/>
      <c r="E200" s="2462"/>
      <c r="F200" s="2455" t="s">
        <v>2471</v>
      </c>
      <c r="G200" s="2455"/>
      <c r="H200" s="2455" t="str">
        <f ca="1">IF(TYPE(convencional!B98)=16,"NA",CONCATENATE(ROUND(convencional!B98,1)," %"))</f>
        <v>NA</v>
      </c>
      <c r="I200" s="2455"/>
      <c r="J200" s="2324" t="str">
        <f ca="1">IF(H200="NA","NA",IF(convencional!B98&lt;20,"Sim",IF(convencional!B98&lt;40,"Não","Restrição")))</f>
        <v>NA</v>
      </c>
      <c r="K200" s="2091"/>
      <c r="L200" s="2091" t="str">
        <f ca="1">IF(OR(J200="Não",J200="Restrição"),"Não Conforme",IF(J200="Sim","Conforme","NA"))</f>
        <v>NA</v>
      </c>
    </row>
    <row r="201" spans="1:13" s="2093" customFormat="1" ht="54" customHeight="1" x14ac:dyDescent="0.25">
      <c r="A201" s="2455" t="s">
        <v>2567</v>
      </c>
      <c r="B201" s="2455"/>
      <c r="C201" s="2462" t="s">
        <v>2379</v>
      </c>
      <c r="D201" s="2462"/>
      <c r="E201" s="2462"/>
      <c r="F201" s="2455" t="s">
        <v>2475</v>
      </c>
      <c r="G201" s="2455"/>
      <c r="H201" s="2455" t="str">
        <f ca="1">IF(TYPE(convencional!B108)=16,"NA",CONCATENATE(ROUND(convencional!B108,1)," %"))</f>
        <v>NA</v>
      </c>
      <c r="I201" s="2455"/>
      <c r="J201" s="2324" t="str">
        <f ca="1">IF(H201="NA","NA",IF(convencional!B108&lt;20,"Sim",IF(convencional!B108&lt;40,"Não","Restrição")))</f>
        <v>NA</v>
      </c>
      <c r="K201" s="2091"/>
      <c r="L201" s="2091" t="str">
        <f ca="1">IF(OR(J201="Não",J201="Restrição"),"Não Conforme",IF(J201="Sim","Conforme","NA"))</f>
        <v>NA</v>
      </c>
    </row>
    <row r="202" spans="1:13" s="2093" customFormat="1" ht="50.1" customHeight="1" x14ac:dyDescent="0.25">
      <c r="A202" s="2455" t="s">
        <v>1084</v>
      </c>
      <c r="B202" s="2455"/>
      <c r="C202" s="2455" t="s">
        <v>2380</v>
      </c>
      <c r="D202" s="2455"/>
      <c r="E202" s="2455"/>
      <c r="F202" s="2455" t="s">
        <v>2476</v>
      </c>
      <c r="G202" s="2455"/>
      <c r="H202" s="2455" t="e">
        <f>ROUND(FugaCabecote,3)&amp;" mGy/h"</f>
        <v>#DIV/0!</v>
      </c>
      <c r="I202" s="2455"/>
      <c r="J202" s="2324" t="e">
        <f>IF(FugaCabecote&lt;=1,"Sim",IF(FugaCabecote&gt;2,"Restrição","Não"))</f>
        <v>#DIV/0!</v>
      </c>
      <c r="K202" s="2091" t="str">
        <f>IFERROR(IF(J202="Sim",IF(COUNTA('LR e FUGA'!C3:C9)&gt;0,"x",IF(ISERR(J202),"x",""))),"x")</f>
        <v>x</v>
      </c>
      <c r="L202" s="2091" t="str">
        <f>IFERROR(IF(J202="Não","N",IF(J202="Restrição","R","")),"")</f>
        <v/>
      </c>
      <c r="M202" s="2091" t="e">
        <f>IF(OR(J202="Não",J202="Restrição"),"Não Conforme",IF(J202="Sim","Conforme","NA"))</f>
        <v>#DIV/0!</v>
      </c>
    </row>
    <row r="203" spans="1:13" s="2018" customFormat="1" ht="15" customHeight="1" x14ac:dyDescent="0.25">
      <c r="A203" s="2463" t="s">
        <v>2465</v>
      </c>
      <c r="B203" s="2463"/>
      <c r="C203" s="2463"/>
      <c r="D203" s="2463"/>
      <c r="E203" s="2463"/>
      <c r="F203" s="2463"/>
      <c r="G203" s="2463"/>
      <c r="H203" s="2463"/>
      <c r="I203" s="2463"/>
      <c r="J203" s="2463"/>
      <c r="K203" s="2071"/>
      <c r="L203" s="2071"/>
    </row>
    <row r="204" spans="1:13" ht="9.75" customHeight="1" x14ac:dyDescent="0.25">
      <c r="A204" s="2464"/>
      <c r="B204" s="2464"/>
      <c r="C204" s="2464"/>
      <c r="D204" s="2464"/>
      <c r="E204" s="2464"/>
      <c r="F204" s="2464"/>
      <c r="G204" s="2464"/>
      <c r="H204" s="2464"/>
      <c r="I204" s="2464"/>
      <c r="J204" s="2464"/>
    </row>
    <row r="206" spans="1:13" ht="15" customHeight="1" x14ac:dyDescent="0.25">
      <c r="A206" s="281" t="s">
        <v>2383</v>
      </c>
    </row>
    <row r="207" spans="1:13" ht="15" customHeight="1" x14ac:dyDescent="0.25">
      <c r="A207" s="2476" t="str">
        <f>CONCATENATE("               ",Tabelas2!S4)</f>
        <v xml:space="preserve">               Medidor de tensão, tempo, dose e camada semirredutora marca RaySafe, modelo X2 8251010-6, série 257741, sensor modelo 8252010-6, série 260722, certificado de calibração em anexo.</v>
      </c>
      <c r="B207" s="2476"/>
      <c r="C207" s="2476"/>
      <c r="D207" s="2476"/>
      <c r="E207" s="2476"/>
      <c r="F207" s="2476"/>
      <c r="G207" s="2476"/>
      <c r="H207" s="2476"/>
      <c r="I207" s="2476"/>
      <c r="J207" s="2476"/>
      <c r="K207" s="2071" t="str">
        <f>IF(convencional!$I$4="Sim","x","")</f>
        <v/>
      </c>
    </row>
    <row r="208" spans="1:13" ht="15" customHeight="1" x14ac:dyDescent="0.25">
      <c r="A208" s="2476"/>
      <c r="B208" s="2476"/>
      <c r="C208" s="2476"/>
      <c r="D208" s="2476"/>
      <c r="E208" s="2476"/>
      <c r="F208" s="2476"/>
      <c r="G208" s="2476"/>
      <c r="H208" s="2476"/>
      <c r="I208" s="2476"/>
      <c r="J208" s="2476"/>
      <c r="K208" s="2071" t="str">
        <f>K207</f>
        <v/>
      </c>
    </row>
    <row r="209" spans="1:11" ht="15" customHeight="1" x14ac:dyDescent="0.25">
      <c r="A209" s="2476" t="str">
        <f>CONCATENATE("               ",Tabelas2!T4)</f>
        <v xml:space="preserve">               Câmara de ionização marca Fluke Biomedical, modelo 451P-DE-SI-RYR, série 2826, certificado de calibração em anexo.</v>
      </c>
      <c r="B209" s="2476"/>
      <c r="C209" s="2476"/>
      <c r="D209" s="2476"/>
      <c r="E209" s="2476"/>
      <c r="F209" s="2476"/>
      <c r="G209" s="2476"/>
      <c r="H209" s="2476"/>
      <c r="I209" s="2476"/>
      <c r="J209" s="2476"/>
      <c r="K209" s="2071" t="str">
        <f>K202</f>
        <v>x</v>
      </c>
    </row>
    <row r="210" spans="1:11" ht="15" customHeight="1" x14ac:dyDescent="0.25">
      <c r="A210" s="2476"/>
      <c r="B210" s="2476"/>
      <c r="C210" s="2476"/>
      <c r="D210" s="2476"/>
      <c r="E210" s="2476"/>
      <c r="F210" s="2476"/>
      <c r="G210" s="2476"/>
      <c r="H210" s="2476"/>
      <c r="I210" s="2476"/>
      <c r="J210" s="2476"/>
      <c r="K210" s="2071" t="str">
        <f>K209</f>
        <v>x</v>
      </c>
    </row>
    <row r="211" spans="1:11" ht="15" customHeight="1" x14ac:dyDescent="0.25">
      <c r="A211" s="2476" t="s">
        <v>2455</v>
      </c>
      <c r="B211" s="2476"/>
      <c r="C211" s="2476"/>
      <c r="D211" s="2476"/>
      <c r="E211" s="2476"/>
      <c r="F211" s="2476"/>
      <c r="G211" s="2476"/>
      <c r="H211" s="2476"/>
      <c r="I211" s="2476"/>
      <c r="J211" s="2476"/>
    </row>
    <row r="212" spans="1:11" ht="15" customHeight="1" x14ac:dyDescent="0.25">
      <c r="A212" s="2476" t="s">
        <v>155</v>
      </c>
      <c r="B212" s="2476"/>
      <c r="C212" s="2476"/>
      <c r="D212" s="2476"/>
      <c r="E212" s="2476"/>
      <c r="F212" s="2476"/>
      <c r="G212" s="2476"/>
      <c r="H212" s="2476"/>
      <c r="I212" s="2476"/>
      <c r="J212" s="2476"/>
    </row>
    <row r="213" spans="1:11" ht="15" customHeight="1" x14ac:dyDescent="0.25">
      <c r="A213" s="2067"/>
      <c r="B213" s="2067"/>
      <c r="C213" s="2067"/>
      <c r="D213" s="2067"/>
      <c r="E213" s="2067"/>
      <c r="F213" s="2067"/>
      <c r="G213" s="2067"/>
      <c r="H213" s="2067"/>
      <c r="I213" s="2067"/>
      <c r="J213" s="2067"/>
    </row>
    <row r="214" spans="1:11" ht="15" customHeight="1" x14ac:dyDescent="0.25">
      <c r="A214" s="281" t="s">
        <v>2063</v>
      </c>
      <c r="B214" s="2067"/>
      <c r="C214" s="2067"/>
      <c r="D214" s="2067"/>
      <c r="E214" s="2067"/>
      <c r="F214" s="2067"/>
      <c r="G214" s="2067"/>
      <c r="H214" s="2067"/>
      <c r="I214" s="2067"/>
      <c r="J214" s="2067"/>
    </row>
    <row r="215" spans="1:11" ht="15" customHeight="1" x14ac:dyDescent="0.25">
      <c r="A215" s="2476"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215" s="2476"/>
      <c r="C215" s="2476"/>
      <c r="D215" s="2476"/>
      <c r="E215" s="2476"/>
      <c r="F215" s="2476"/>
      <c r="G215" s="2476"/>
      <c r="H215" s="2476"/>
      <c r="I215" s="2476"/>
      <c r="J215" s="2476"/>
    </row>
    <row r="216" spans="1:11" ht="15" customHeight="1" x14ac:dyDescent="0.25">
      <c r="A216" s="2476"/>
      <c r="B216" s="2476"/>
      <c r="C216" s="2476"/>
      <c r="D216" s="2476"/>
      <c r="E216" s="2476"/>
      <c r="F216" s="2476"/>
      <c r="G216" s="2476"/>
      <c r="H216" s="2476"/>
      <c r="I216" s="2476"/>
      <c r="J216" s="2476"/>
    </row>
    <row r="217" spans="1:11" ht="15" customHeight="1" x14ac:dyDescent="0.25">
      <c r="A217" s="2476"/>
      <c r="B217" s="2476"/>
      <c r="C217" s="2476"/>
      <c r="D217" s="2476"/>
      <c r="E217" s="2476"/>
      <c r="F217" s="2476"/>
      <c r="G217" s="2476"/>
      <c r="H217" s="2476"/>
      <c r="I217" s="2476"/>
      <c r="J217" s="2476"/>
    </row>
    <row r="218" spans="1:11" ht="15" customHeight="1" x14ac:dyDescent="0.25">
      <c r="A218" s="2476"/>
      <c r="B218" s="2476"/>
      <c r="C218" s="2476"/>
      <c r="D218" s="2476"/>
      <c r="E218" s="2476"/>
      <c r="F218" s="2476"/>
      <c r="G218" s="2476"/>
      <c r="H218" s="2476"/>
      <c r="I218" s="2476"/>
      <c r="J218" s="2476"/>
    </row>
    <row r="219" spans="1:11" ht="15" customHeight="1" x14ac:dyDescent="0.25">
      <c r="A219" s="2476"/>
      <c r="B219" s="2476"/>
      <c r="C219" s="2476"/>
      <c r="D219" s="2476"/>
      <c r="E219" s="2476"/>
      <c r="F219" s="2476"/>
      <c r="G219" s="2476"/>
      <c r="H219" s="2476"/>
      <c r="I219" s="2476"/>
      <c r="J219" s="2476"/>
    </row>
    <row r="220" spans="1:11" ht="15" customHeight="1" x14ac:dyDescent="0.25">
      <c r="A220" s="2067"/>
      <c r="B220" s="2067"/>
      <c r="C220" s="2067"/>
      <c r="D220" s="2067"/>
      <c r="E220" s="2067"/>
      <c r="F220" s="2067"/>
      <c r="G220" s="2067"/>
      <c r="H220" s="2067"/>
      <c r="I220" s="2067"/>
      <c r="J220" s="2067"/>
    </row>
    <row r="221" spans="1:11" ht="15" customHeight="1" x14ac:dyDescent="0.25">
      <c r="A221" s="281" t="s">
        <v>2456</v>
      </c>
      <c r="B221" s="2067"/>
      <c r="C221" s="2067"/>
      <c r="D221" s="2067"/>
      <c r="E221" s="2067"/>
      <c r="F221" s="2067"/>
      <c r="G221" s="2067"/>
      <c r="H221" s="2067"/>
      <c r="I221" s="2067"/>
      <c r="J221" s="2067"/>
    </row>
    <row r="222" spans="1:11" ht="15" customHeight="1" x14ac:dyDescent="0.25">
      <c r="A222" s="2096"/>
      <c r="B222" s="2096"/>
      <c r="C222" s="2096"/>
      <c r="D222" s="2096"/>
      <c r="E222" s="2096"/>
      <c r="F222" s="2096"/>
      <c r="G222" s="2096"/>
      <c r="H222" s="2096"/>
      <c r="I222" s="2096"/>
      <c r="J222" s="2096"/>
    </row>
    <row r="223" spans="1:11" ht="15" customHeight="1" x14ac:dyDescent="0.25">
      <c r="A223" s="2487" t="s">
        <v>146</v>
      </c>
      <c r="B223" s="2487"/>
      <c r="C223" s="2487"/>
      <c r="D223" s="2487"/>
      <c r="E223" s="2487"/>
      <c r="F223" s="2487" t="s">
        <v>2457</v>
      </c>
      <c r="G223" s="2487"/>
      <c r="H223" s="2133" t="s">
        <v>2458</v>
      </c>
      <c r="I223" s="2487" t="s">
        <v>2423</v>
      </c>
      <c r="J223" s="2487"/>
    </row>
    <row r="224" spans="1:11" ht="15" customHeight="1" x14ac:dyDescent="0.25">
      <c r="A224" s="2459" t="s">
        <v>2414</v>
      </c>
      <c r="B224" s="2459"/>
      <c r="C224" s="2459"/>
      <c r="D224" s="2459"/>
      <c r="E224" s="2459"/>
      <c r="F224" s="2460" t="s">
        <v>240</v>
      </c>
      <c r="G224" s="2460"/>
      <c r="H224" s="2098" t="str">
        <f>IF(F224="-","NA",IF(OR(I224="NA",I224="NPA"),"NA",IF(F224="Quadrienal",$J$1+1461,IF(F224="Bienal",$J$1+730,IF(F224="Anual",$J$1+365,IF(F224="Semestral",$J$1+182,IF(F224="Mensal",$J$1+30,IF(F224="Semanal",$J$1+7))))))))</f>
        <v>NA</v>
      </c>
      <c r="I224" s="2454" t="str">
        <f>L155</f>
        <v>NA</v>
      </c>
      <c r="J224" s="2454"/>
    </row>
    <row r="225" spans="1:11" ht="15" customHeight="1" x14ac:dyDescent="0.25">
      <c r="A225" s="2459" t="s">
        <v>1228</v>
      </c>
      <c r="B225" s="2459"/>
      <c r="C225" s="2459"/>
      <c r="D225" s="2459"/>
      <c r="E225" s="2459"/>
      <c r="F225" s="2460" t="s">
        <v>2484</v>
      </c>
      <c r="G225" s="2460"/>
      <c r="H225" s="2331" t="str">
        <f t="shared" ref="H225:H245" si="14">IF(F225="-","NA",IF(OR(I225="NA",I225="NPA"),"NA",IF(F225="Quadrienal",$J$1+1461,IF(F225="Bienal",$J$1+730,IF(F225="Anual",$J$1+365,IF(F225="Semestral",$J$1+182,IF(F225="Mensal",$J$1+30,IF(F225="Semanal",$J$1+7))))))))</f>
        <v>NA</v>
      </c>
      <c r="I225" s="2454" t="str">
        <f>IF(J156="Sim","Conforme",IF(J156="Não","Não conforme",IF(J156="NPA","NPA"," ")))</f>
        <v>NPA</v>
      </c>
      <c r="J225" s="2454" t="s">
        <v>857</v>
      </c>
    </row>
    <row r="226" spans="1:11" ht="15" customHeight="1" x14ac:dyDescent="0.25">
      <c r="A226" s="2459" t="s">
        <v>2415</v>
      </c>
      <c r="B226" s="2459"/>
      <c r="C226" s="2459"/>
      <c r="D226" s="2459"/>
      <c r="E226" s="2459"/>
      <c r="F226" s="2460" t="s">
        <v>2484</v>
      </c>
      <c r="G226" s="2460"/>
      <c r="H226" s="2331" t="str">
        <f t="shared" si="14"/>
        <v>NA</v>
      </c>
      <c r="I226" s="2454" t="str">
        <f>IF(J157="Sim","Conforme",IF(J157="Não","Não conforme",IF(J157="NPA","NPA"," ")))</f>
        <v>NPA</v>
      </c>
      <c r="J226" s="2454" t="s">
        <v>857</v>
      </c>
    </row>
    <row r="227" spans="1:11" ht="15" customHeight="1" x14ac:dyDescent="0.25">
      <c r="A227" s="2459" t="s">
        <v>73</v>
      </c>
      <c r="B227" s="2459"/>
      <c r="C227" s="2459"/>
      <c r="D227" s="2459"/>
      <c r="E227" s="2459"/>
      <c r="F227" s="2460" t="s">
        <v>2484</v>
      </c>
      <c r="G227" s="2460"/>
      <c r="H227" s="2331" t="str">
        <f t="shared" si="14"/>
        <v>NA</v>
      </c>
      <c r="I227" s="2454" t="str">
        <f>IF(OR(J158="Sim",J159="Sim"),"Conforme",
IF(OR(J158="Não conforme",J159="Não conforme"),"Não conforme",
IF(OR(J158="NA",J159="NA"),"NA","NPA")))</f>
        <v>NPA</v>
      </c>
      <c r="J227" s="2454" t="s">
        <v>857</v>
      </c>
    </row>
    <row r="228" spans="1:11" ht="15" customHeight="1" x14ac:dyDescent="0.25">
      <c r="A228" s="2459" t="s">
        <v>1257</v>
      </c>
      <c r="B228" s="2459"/>
      <c r="C228" s="2459"/>
      <c r="D228" s="2459"/>
      <c r="E228" s="2459"/>
      <c r="F228" s="2460" t="s">
        <v>2359</v>
      </c>
      <c r="G228" s="2460"/>
      <c r="H228" s="2331" t="e">
        <f t="shared" ca="1" si="14"/>
        <v>#N/A</v>
      </c>
      <c r="I228" s="2454" t="str">
        <f ca="1">IF(COUNTIF(L80:L116,"Não conforme")&gt;0,"Não Conforme","Conforme")</f>
        <v>Conforme</v>
      </c>
      <c r="J228" s="2454" t="s">
        <v>857</v>
      </c>
    </row>
    <row r="229" spans="1:11" ht="15" customHeight="1" x14ac:dyDescent="0.25">
      <c r="A229" s="2459" t="s">
        <v>2416</v>
      </c>
      <c r="B229" s="2459"/>
      <c r="C229" s="2459"/>
      <c r="D229" s="2459"/>
      <c r="E229" s="2459"/>
      <c r="F229" s="2460" t="s">
        <v>2359</v>
      </c>
      <c r="G229" s="2460"/>
      <c r="H229" s="2331" t="str">
        <f t="shared" ca="1" si="14"/>
        <v>NA</v>
      </c>
      <c r="I229" s="2454" t="str">
        <f ca="1">IF(OR(J160="Não",J160="Restrição"),"Não conforme",IF(J160="Sim","Conforme","NA"))</f>
        <v>NA</v>
      </c>
      <c r="J229" s="2454" t="s">
        <v>857</v>
      </c>
    </row>
    <row r="230" spans="1:11" ht="15" customHeight="1" x14ac:dyDescent="0.25">
      <c r="A230" s="2459" t="s">
        <v>2417</v>
      </c>
      <c r="B230" s="2459"/>
      <c r="C230" s="2459"/>
      <c r="D230" s="2459"/>
      <c r="E230" s="2459"/>
      <c r="F230" s="2460" t="s">
        <v>2359</v>
      </c>
      <c r="G230" s="2460"/>
      <c r="H230" s="2331" t="e">
        <f t="shared" ca="1" si="14"/>
        <v>#N/A</v>
      </c>
      <c r="I230" s="2454" t="str">
        <f ca="1">IF(COUNTIF(L129:L135,"Não conforme")&gt;0,"Não Conforme",IF(convencional!A48="mAs selecionado","NA","Conforme"))</f>
        <v>Conforme</v>
      </c>
      <c r="J230" s="2454" t="s">
        <v>857</v>
      </c>
    </row>
    <row r="231" spans="1:11" ht="15" customHeight="1" x14ac:dyDescent="0.25">
      <c r="A231" s="2459" t="s">
        <v>448</v>
      </c>
      <c r="B231" s="2459"/>
      <c r="C231" s="2459"/>
      <c r="D231" s="2459"/>
      <c r="E231" s="2459"/>
      <c r="F231" s="2460" t="s">
        <v>2359</v>
      </c>
      <c r="G231" s="2460"/>
      <c r="H231" s="2331" t="str">
        <f t="shared" ca="1" si="14"/>
        <v>NA</v>
      </c>
      <c r="I231" s="2454" t="str">
        <f ca="1">IF(OR(J161="Não",J161="Restrição"),"Não conforme",IF(J161="Sim","Conforme","NA"))</f>
        <v>NA</v>
      </c>
      <c r="J231" s="2454" t="s">
        <v>857</v>
      </c>
    </row>
    <row r="232" spans="1:11" ht="15" customHeight="1" x14ac:dyDescent="0.25">
      <c r="A232" s="2459" t="s">
        <v>1275</v>
      </c>
      <c r="B232" s="2459"/>
      <c r="C232" s="2459"/>
      <c r="D232" s="2459"/>
      <c r="E232" s="2459"/>
      <c r="F232" s="2460" t="s">
        <v>2359</v>
      </c>
      <c r="G232" s="2460"/>
      <c r="H232" s="2331" t="str">
        <f t="shared" ca="1" si="14"/>
        <v>NA</v>
      </c>
      <c r="I232" s="2454" t="str">
        <f ca="1">IF(OR(J162="Não",J162="Restrição"),"Não conforme",IF(J162="Sim","Conforme","NA"))</f>
        <v>NA</v>
      </c>
      <c r="J232" s="2454" t="s">
        <v>857</v>
      </c>
    </row>
    <row r="233" spans="1:11" ht="15" customHeight="1" x14ac:dyDescent="0.25">
      <c r="A233" s="2459" t="s">
        <v>2425</v>
      </c>
      <c r="B233" s="2459"/>
      <c r="C233" s="2459"/>
      <c r="D233" s="2459"/>
      <c r="E233" s="2459"/>
      <c r="F233" s="2460" t="s">
        <v>2359</v>
      </c>
      <c r="G233" s="2460"/>
      <c r="H233" s="2331" t="e">
        <f t="shared" ca="1" si="14"/>
        <v>#N/A</v>
      </c>
      <c r="I233" s="2454" t="str">
        <f ca="1">IF(COUNTIF(N163:N165,"Não conforme")&gt;0,"Não Conforme","Conforme")</f>
        <v>Conforme</v>
      </c>
      <c r="J233" s="2454" t="s">
        <v>857</v>
      </c>
    </row>
    <row r="234" spans="1:11" ht="15" customHeight="1" x14ac:dyDescent="0.25">
      <c r="A234" s="2459" t="s">
        <v>2426</v>
      </c>
      <c r="B234" s="2459"/>
      <c r="C234" s="2459"/>
      <c r="D234" s="2459"/>
      <c r="E234" s="2459"/>
      <c r="F234" s="2460" t="s">
        <v>2359</v>
      </c>
      <c r="G234" s="2460"/>
      <c r="H234" s="2331" t="str">
        <f t="shared" ca="1" si="14"/>
        <v>NA</v>
      </c>
      <c r="I234" s="2454" t="str">
        <f ca="1">IF(OR(L198="Não conforme",L199="Não conforme"),"Não conforme",IF(OR(L198="Conforme",L199="Conforme"),"Conforme","NA"))</f>
        <v>NA</v>
      </c>
      <c r="J234" s="2454" t="s">
        <v>857</v>
      </c>
    </row>
    <row r="235" spans="1:11" ht="15" customHeight="1" x14ac:dyDescent="0.25">
      <c r="A235" s="2459" t="s">
        <v>2427</v>
      </c>
      <c r="B235" s="2459"/>
      <c r="C235" s="2459"/>
      <c r="D235" s="2459"/>
      <c r="E235" s="2459"/>
      <c r="F235" s="2460" t="s">
        <v>2359</v>
      </c>
      <c r="G235" s="2460"/>
      <c r="H235" s="2331" t="str">
        <f t="shared" ca="1" si="14"/>
        <v>NA</v>
      </c>
      <c r="I235" s="2491" t="str">
        <f ca="1">IF(OR(L199="Não conforme",L200="Não conforme"),"Não conforme",IF(OR(L199="Conforme",L200="Conforme"),"Conforme","NA"))</f>
        <v>NA</v>
      </c>
      <c r="J235" s="2461" t="s">
        <v>857</v>
      </c>
    </row>
    <row r="236" spans="1:11" ht="15" customHeight="1" x14ac:dyDescent="0.25">
      <c r="A236" s="2459" t="s">
        <v>2418</v>
      </c>
      <c r="B236" s="2459"/>
      <c r="C236" s="2459"/>
      <c r="D236" s="2459"/>
      <c r="E236" s="2459"/>
      <c r="F236" s="2460" t="s">
        <v>2359</v>
      </c>
      <c r="G236" s="2460"/>
      <c r="H236" s="2331" t="e">
        <f t="shared" ca="1" si="14"/>
        <v>#N/A</v>
      </c>
      <c r="I236" s="2454" t="str">
        <f ca="1">L147</f>
        <v>Conforme</v>
      </c>
      <c r="J236" s="2454" t="s">
        <v>857</v>
      </c>
    </row>
    <row r="237" spans="1:11" ht="15" customHeight="1" x14ac:dyDescent="0.25">
      <c r="A237" s="2459" t="s">
        <v>2419</v>
      </c>
      <c r="B237" s="2459"/>
      <c r="C237" s="2459"/>
      <c r="D237" s="2459"/>
      <c r="E237" s="2459"/>
      <c r="F237" s="2460" t="s">
        <v>2359</v>
      </c>
      <c r="G237" s="2460"/>
      <c r="H237" s="2331" t="e">
        <f t="shared" ca="1" si="14"/>
        <v>#N/A</v>
      </c>
      <c r="I237" s="2454" t="str">
        <f ca="1">L149</f>
        <v>Conforme</v>
      </c>
      <c r="J237" s="2461" t="s">
        <v>857</v>
      </c>
    </row>
    <row r="238" spans="1:11" ht="15" customHeight="1" x14ac:dyDescent="0.25">
      <c r="A238" s="2459" t="s">
        <v>2703</v>
      </c>
      <c r="B238" s="2459"/>
      <c r="C238" s="2459"/>
      <c r="D238" s="2459"/>
      <c r="E238" s="2459"/>
      <c r="F238" s="2460" t="s">
        <v>2359</v>
      </c>
      <c r="G238" s="2460"/>
      <c r="H238" s="2331" t="e">
        <f t="shared" si="14"/>
        <v>#N/A</v>
      </c>
      <c r="I238" s="2454" t="str">
        <f>IF(COUNTIF(N183:N192,"Não conforme")&gt;0,"Não Conforme","Conforme")</f>
        <v>Conforme</v>
      </c>
      <c r="J238" s="2454" t="s">
        <v>857</v>
      </c>
    </row>
    <row r="239" spans="1:11" s="2105" customFormat="1" ht="15" customHeight="1" x14ac:dyDescent="0.25">
      <c r="A239" s="2459" t="s">
        <v>2675</v>
      </c>
      <c r="B239" s="2459"/>
      <c r="C239" s="2459"/>
      <c r="D239" s="2459"/>
      <c r="E239" s="2459"/>
      <c r="F239" s="2460" t="s">
        <v>2359</v>
      </c>
      <c r="G239" s="2460"/>
      <c r="H239" s="2331" t="e">
        <f t="shared" si="14"/>
        <v>#N/A</v>
      </c>
      <c r="I239" s="2454" t="str">
        <f>IF(COUNTIF(N169:N170,"Não conforme")&gt;0,"Não Conforme","Conforme")</f>
        <v>Conforme</v>
      </c>
      <c r="J239" s="2454" t="s">
        <v>857</v>
      </c>
      <c r="K239" s="2105" t="str">
        <f>IF(OR(K169="x",K170="x"),"x","")</f>
        <v>x</v>
      </c>
    </row>
    <row r="240" spans="1:11" ht="15" customHeight="1" x14ac:dyDescent="0.25">
      <c r="A240" s="2459" t="s">
        <v>2704</v>
      </c>
      <c r="B240" s="2459"/>
      <c r="C240" s="2459"/>
      <c r="D240" s="2459"/>
      <c r="E240" s="2459"/>
      <c r="F240" s="2460" t="s">
        <v>2359</v>
      </c>
      <c r="G240" s="2460"/>
      <c r="H240" s="2331" t="str">
        <f t="shared" si="14"/>
        <v>NA</v>
      </c>
      <c r="I240" s="2454" t="str">
        <f>M194</f>
        <v>NA</v>
      </c>
      <c r="J240" s="2454" t="s">
        <v>857</v>
      </c>
    </row>
    <row r="241" spans="1:12" ht="30" customHeight="1" x14ac:dyDescent="0.25">
      <c r="A241" s="2459" t="s">
        <v>2429</v>
      </c>
      <c r="B241" s="2459"/>
      <c r="C241" s="2459"/>
      <c r="D241" s="2459"/>
      <c r="E241" s="2459"/>
      <c r="F241" s="2460" t="s">
        <v>2359</v>
      </c>
      <c r="G241" s="2460"/>
      <c r="H241" s="2331" t="str">
        <f t="shared" si="14"/>
        <v>NA</v>
      </c>
      <c r="I241" s="2454" t="str">
        <f>M196</f>
        <v>NA</v>
      </c>
      <c r="J241" s="2454" t="s">
        <v>857</v>
      </c>
    </row>
    <row r="242" spans="1:12" ht="15" customHeight="1" x14ac:dyDescent="0.25">
      <c r="A242" s="2459" t="s">
        <v>422</v>
      </c>
      <c r="B242" s="2459"/>
      <c r="C242" s="2459"/>
      <c r="D242" s="2459"/>
      <c r="E242" s="2459"/>
      <c r="F242" s="2460" t="s">
        <v>2359</v>
      </c>
      <c r="G242" s="2460"/>
      <c r="H242" s="2331" t="str">
        <f t="shared" si="14"/>
        <v>NA</v>
      </c>
      <c r="I242" s="2454" t="str">
        <f>N166</f>
        <v>NA</v>
      </c>
      <c r="J242" s="2454" t="s">
        <v>142</v>
      </c>
      <c r="L242" s="2071" t="str">
        <f>I238</f>
        <v>Conforme</v>
      </c>
    </row>
    <row r="243" spans="1:12" ht="15" customHeight="1" x14ac:dyDescent="0.25">
      <c r="A243" s="2459" t="s">
        <v>1773</v>
      </c>
      <c r="B243" s="2459"/>
      <c r="C243" s="2459"/>
      <c r="D243" s="2459"/>
      <c r="E243" s="2459"/>
      <c r="F243" s="2460" t="s">
        <v>2359</v>
      </c>
      <c r="G243" s="2460"/>
      <c r="H243" s="2331" t="str">
        <f t="shared" si="14"/>
        <v>NA</v>
      </c>
      <c r="I243" s="2454" t="str">
        <f>L197</f>
        <v>NA</v>
      </c>
      <c r="J243" s="2454" t="s">
        <v>857</v>
      </c>
      <c r="L243" s="2071" t="str">
        <f>I239</f>
        <v>Conforme</v>
      </c>
    </row>
    <row r="244" spans="1:12" s="2118" customFormat="1" ht="15" customHeight="1" x14ac:dyDescent="0.25">
      <c r="A244" s="2459" t="s">
        <v>2702</v>
      </c>
      <c r="B244" s="2459"/>
      <c r="C244" s="2459"/>
      <c r="D244" s="2459"/>
      <c r="E244" s="2459"/>
      <c r="F244" s="2460" t="s">
        <v>2359</v>
      </c>
      <c r="G244" s="2460"/>
      <c r="H244" s="2331" t="e">
        <f t="shared" si="14"/>
        <v>#N/A</v>
      </c>
      <c r="I244" s="2491" t="str">
        <f>IF(COUNTIF(J173:J182,"Não")&lt;&gt;0,"Não conforme",IF(COUNTIF(J173:J182,"Sim")&lt;&gt;0,"Conforme","NPA"))</f>
        <v>Conforme</v>
      </c>
      <c r="J244" s="2461"/>
      <c r="L244" s="2118" t="str">
        <f>I244</f>
        <v>Conforme</v>
      </c>
    </row>
    <row r="245" spans="1:12" s="2105" customFormat="1" ht="15" customHeight="1" x14ac:dyDescent="0.25">
      <c r="A245" s="2459" t="s">
        <v>2701</v>
      </c>
      <c r="B245" s="2459"/>
      <c r="C245" s="2459"/>
      <c r="D245" s="2459"/>
      <c r="E245" s="2459"/>
      <c r="F245" s="2460" t="s">
        <v>2359</v>
      </c>
      <c r="G245" s="2460"/>
      <c r="H245" s="2331" t="str">
        <f t="shared" si="14"/>
        <v>NA</v>
      </c>
      <c r="I245" s="2491" t="str">
        <f>IF(COUNTIF(N171:N172,"Não conforme")&lt;&gt;0,"Não conforme",IF(COUNTIF(N171:N172,"Conforme")&lt;&gt;0,"Conforme","NPA"))</f>
        <v>NPA</v>
      </c>
      <c r="J245" s="2461"/>
      <c r="K245" s="2105" t="str">
        <f>IF(OR(K171="x",K171="NPA"),"x","")</f>
        <v>x</v>
      </c>
      <c r="L245" s="2105" t="str">
        <f>I245</f>
        <v>NPA</v>
      </c>
    </row>
    <row r="246" spans="1:12" ht="15" customHeight="1" x14ac:dyDescent="0.25">
      <c r="A246" s="284" t="s">
        <v>2772</v>
      </c>
      <c r="B246" s="2064"/>
      <c r="C246" s="287"/>
      <c r="D246" s="287"/>
      <c r="E246" s="287"/>
      <c r="F246" s="287"/>
      <c r="G246" s="2067"/>
      <c r="H246" s="2067"/>
      <c r="I246" s="2067"/>
      <c r="J246" s="2067"/>
    </row>
    <row r="247" spans="1:12" s="2105" customFormat="1" ht="23.25" customHeight="1" x14ac:dyDescent="0.25">
      <c r="A247" s="2458" t="s">
        <v>2603</v>
      </c>
      <c r="B247" s="2458"/>
      <c r="C247" s="2458"/>
      <c r="D247" s="2458"/>
      <c r="E247" s="2458"/>
      <c r="F247" s="2458"/>
      <c r="G247" s="2458"/>
      <c r="H247" s="2458"/>
      <c r="I247" s="2458"/>
      <c r="J247" s="2458"/>
    </row>
    <row r="248" spans="1:12" s="2105" customFormat="1" ht="15" customHeight="1" x14ac:dyDescent="0.25">
      <c r="A248" s="2458" t="s">
        <v>2604</v>
      </c>
      <c r="B248" s="2458"/>
      <c r="C248" s="2458"/>
      <c r="D248" s="2458"/>
      <c r="E248" s="2458"/>
      <c r="F248" s="2458"/>
      <c r="G248" s="2458"/>
      <c r="H248" s="2458"/>
      <c r="I248" s="2458"/>
      <c r="J248" s="2458"/>
    </row>
    <row r="249" spans="1:12" s="2118" customFormat="1" ht="15" customHeight="1" x14ac:dyDescent="0.25">
      <c r="A249" s="2124"/>
      <c r="B249" s="2124"/>
      <c r="C249" s="2124"/>
      <c r="D249" s="2124"/>
      <c r="E249" s="2124"/>
      <c r="F249" s="2124"/>
      <c r="G249" s="2124"/>
      <c r="H249" s="2124"/>
      <c r="I249" s="2124"/>
      <c r="J249" s="2124"/>
    </row>
    <row r="250" spans="1:12" ht="15" customHeight="1" x14ac:dyDescent="0.25">
      <c r="A250" s="281" t="s">
        <v>2303</v>
      </c>
      <c r="B250" s="2067"/>
      <c r="C250" s="2067"/>
      <c r="D250" s="2067"/>
      <c r="E250" s="2067"/>
      <c r="F250" s="2067"/>
      <c r="G250" s="2067"/>
      <c r="H250" s="2067"/>
      <c r="I250" s="2067"/>
      <c r="K250" s="2071" t="str">
        <f ca="1">IF(COUNTIF(K256:K282,"")&gt;0,"","x")</f>
        <v/>
      </c>
    </row>
    <row r="251" spans="1:12" s="2317" customFormat="1" ht="15" customHeight="1" x14ac:dyDescent="0.25">
      <c r="A251" s="2476" t="s">
        <v>2811</v>
      </c>
      <c r="B251" s="2476"/>
      <c r="C251" s="2476"/>
      <c r="D251" s="2476"/>
      <c r="E251" s="2476"/>
      <c r="F251" s="2476"/>
      <c r="G251" s="2476"/>
      <c r="H251" s="2476"/>
      <c r="I251" s="2476"/>
      <c r="J251" s="2476"/>
      <c r="K251" s="2317" t="str">
        <f>IF(Cabeçalho!C14="veterinário"," ","x")</f>
        <v>x</v>
      </c>
    </row>
    <row r="252" spans="1:12" s="2317" customFormat="1" ht="15" customHeight="1" x14ac:dyDescent="0.25">
      <c r="A252" s="2476"/>
      <c r="B252" s="2476"/>
      <c r="C252" s="2476"/>
      <c r="D252" s="2476"/>
      <c r="E252" s="2476"/>
      <c r="F252" s="2476"/>
      <c r="G252" s="2476"/>
      <c r="H252" s="2476"/>
      <c r="I252" s="2476"/>
      <c r="J252" s="2476"/>
      <c r="K252" s="2317" t="str">
        <f>K251</f>
        <v>x</v>
      </c>
    </row>
    <row r="253" spans="1:12" s="2317" customFormat="1" ht="15" customHeight="1" x14ac:dyDescent="0.25">
      <c r="A253" s="2476"/>
      <c r="B253" s="2476"/>
      <c r="C253" s="2476"/>
      <c r="D253" s="2476"/>
      <c r="E253" s="2476"/>
      <c r="F253" s="2476"/>
      <c r="G253" s="2476"/>
      <c r="H253" s="2476"/>
      <c r="I253" s="2476"/>
      <c r="J253" s="2476"/>
      <c r="K253" s="2317" t="str">
        <f>K252</f>
        <v>x</v>
      </c>
    </row>
    <row r="254" spans="1:12" ht="15" customHeight="1" x14ac:dyDescent="0.25">
      <c r="A254" s="2469" t="str">
        <f>IntroPrazoArmazenamento</f>
        <v xml:space="preserve">               Este documento deve ser arquivado e mantido à disposição da autoridade sanitária local, garantindo sua rastreabilidade pelo prazo mínimo de 5 anos. </v>
      </c>
      <c r="B254" s="2469"/>
      <c r="C254" s="2469"/>
      <c r="D254" s="2469"/>
      <c r="E254" s="2469"/>
      <c r="F254" s="2469"/>
      <c r="G254" s="2469"/>
      <c r="H254" s="2469"/>
      <c r="I254" s="2469"/>
      <c r="J254" s="2469"/>
    </row>
    <row r="255" spans="1:12" ht="15" customHeight="1" x14ac:dyDescent="0.25">
      <c r="A255" s="2469"/>
      <c r="B255" s="2469"/>
      <c r="C255" s="2469"/>
      <c r="D255" s="2469"/>
      <c r="E255" s="2469"/>
      <c r="F255" s="2469"/>
      <c r="G255" s="2469"/>
      <c r="H255" s="2469"/>
      <c r="I255" s="2469"/>
      <c r="J255" s="2469"/>
    </row>
    <row r="256" spans="1:12" ht="15" customHeight="1" x14ac:dyDescent="0.25">
      <c r="A256" s="2476" t="str">
        <f>"                A Instrução Normativa "&amp;VLOOKUP("Raios X convencional",IN_ANVISA[],2)&amp;"/"&amp;VLOOKUP("Raios X convencional",IN_ANVISA[],3)&amp;" da ANVISA não prevê requisitos para camada semirredutora e rendimento do tubo para equipamentos com gerador retificado em meia onda."</f>
        <v xml:space="preserve">                A Instrução Normativa 90/2021 da ANVISA não prevê requisitos para camada semirredutora e rendimento do tubo para equipamentos com gerador retificado em meia onda.</v>
      </c>
      <c r="B256" s="2476"/>
      <c r="C256" s="2476"/>
      <c r="D256" s="2476"/>
      <c r="E256" s="2476"/>
      <c r="F256" s="2476"/>
      <c r="G256" s="2476"/>
      <c r="H256" s="2476"/>
      <c r="I256" s="2476"/>
      <c r="J256" s="2476"/>
      <c r="K256" s="2071" t="str">
        <f>IF('LAUDO doses'!E41="Retificado em meia onda","","x")</f>
        <v>x</v>
      </c>
    </row>
    <row r="257" spans="1:11" ht="15" customHeight="1" x14ac:dyDescent="0.25">
      <c r="A257" s="2476"/>
      <c r="B257" s="2476"/>
      <c r="C257" s="2476"/>
      <c r="D257" s="2476"/>
      <c r="E257" s="2476"/>
      <c r="F257" s="2476"/>
      <c r="G257" s="2476"/>
      <c r="H257" s="2476"/>
      <c r="I257" s="2476"/>
      <c r="J257" s="2476"/>
      <c r="K257" s="2071" t="str">
        <f>K256</f>
        <v>x</v>
      </c>
    </row>
    <row r="258" spans="1:11" ht="15" customHeight="1" x14ac:dyDescent="0.25">
      <c r="A258" s="2468" t="s">
        <v>211</v>
      </c>
      <c r="B258" s="2468"/>
      <c r="C258" s="2468"/>
      <c r="D258" s="2468"/>
      <c r="E258" s="2468"/>
      <c r="F258" s="2468"/>
      <c r="G258" s="2468"/>
      <c r="H258" s="2468"/>
      <c r="I258" s="2468"/>
      <c r="J258" s="2468"/>
      <c r="K258" s="2071" t="str">
        <f>IF(Cabeçalho!G26="Ruim","","x")</f>
        <v>x</v>
      </c>
    </row>
    <row r="259" spans="1:11" ht="15" customHeight="1" x14ac:dyDescent="0.25">
      <c r="A259" s="2468" t="s">
        <v>212</v>
      </c>
      <c r="B259" s="2468"/>
      <c r="C259" s="2468"/>
      <c r="D259" s="2468"/>
      <c r="E259" s="2468"/>
      <c r="F259" s="2468"/>
      <c r="G259" s="2468"/>
      <c r="H259" s="2468"/>
      <c r="I259" s="2468"/>
      <c r="J259" s="2468"/>
      <c r="K259" s="2071" t="str">
        <f>IF(Cabeçalho!G27="Ruim","","x")</f>
        <v>x</v>
      </c>
    </row>
    <row r="260" spans="1:11" s="2020" customFormat="1" ht="15" customHeight="1" x14ac:dyDescent="0.25">
      <c r="A260" s="2476" t="str">
        <f>"                A Instrução Normativa "&amp;VLOOKUP("Raios X convencional",IN_ANVISA[],2)&amp;"/"&amp;VLOOKUP("Raios X convencional",IN_ANVISA[],3)&amp;" da ANVISA determina que o rendimento do tubo deve estar entre 30 e 65 µGy/mAs à 1 m para 80 kV e filtração total entre 2,5 mm Al e 5,0 mm de Al."&amp;" Como este equipamento opera com alta filtração do feixe primário, o rendimento avaliado é tecnicamente aceitável."&amp;" Sugere-se que o valor medido seja considerado como linha de base para testes futuros ou para comparação com testes anteriores."</f>
        <v xml:space="preserve">                A Instrução Normativa 90/2021 da ANVISA determina que o rendimento do tubo deve estar entre 30 e 65 µGy/mAs à 1 m para 80 kV e filtração total entre 2,5 mm Al e 5,0 mm de Al. Como este equipamento opera com alta filtração do feixe primário, o rendimento avaliado é tecnicamente aceitável. Sugere-se que o valor medido seja considerado como linha de base para testes futuros ou para comparação com testes anteriores.</v>
      </c>
      <c r="B260" s="2476"/>
      <c r="C260" s="2476"/>
      <c r="D260" s="2476"/>
      <c r="E260" s="2476"/>
      <c r="F260" s="2476"/>
      <c r="G260" s="2476"/>
      <c r="H260" s="2476"/>
      <c r="I260" s="2476"/>
      <c r="J260" s="2476"/>
      <c r="K260" s="2020" t="str">
        <f ca="1">IF(AND(convencional!B42="Alta",convencional!B43="Aceitável"),"","x")</f>
        <v>x</v>
      </c>
    </row>
    <row r="261" spans="1:11" s="2020" customFormat="1" ht="15" customHeight="1" x14ac:dyDescent="0.25">
      <c r="A261" s="2476"/>
      <c r="B261" s="2476"/>
      <c r="C261" s="2476"/>
      <c r="D261" s="2476"/>
      <c r="E261" s="2476"/>
      <c r="F261" s="2476"/>
      <c r="G261" s="2476"/>
      <c r="H261" s="2476"/>
      <c r="I261" s="2476"/>
      <c r="J261" s="2476"/>
      <c r="K261" s="2020" t="str">
        <f ca="1">K260</f>
        <v>x</v>
      </c>
    </row>
    <row r="262" spans="1:11" s="2020" customFormat="1" ht="15" customHeight="1" x14ac:dyDescent="0.25">
      <c r="A262" s="2476"/>
      <c r="B262" s="2476"/>
      <c r="C262" s="2476"/>
      <c r="D262" s="2476"/>
      <c r="E262" s="2476"/>
      <c r="F262" s="2476"/>
      <c r="G262" s="2476"/>
      <c r="H262" s="2476"/>
      <c r="I262" s="2476"/>
      <c r="J262" s="2476"/>
      <c r="K262" s="2020" t="str">
        <f ca="1">K261</f>
        <v>x</v>
      </c>
    </row>
    <row r="263" spans="1:11" s="2020" customFormat="1" ht="15" customHeight="1" x14ac:dyDescent="0.25">
      <c r="A263" s="2476"/>
      <c r="B263" s="2476"/>
      <c r="C263" s="2476"/>
      <c r="D263" s="2476"/>
      <c r="E263" s="2476"/>
      <c r="F263" s="2476"/>
      <c r="G263" s="2476"/>
      <c r="H263" s="2476"/>
      <c r="I263" s="2476"/>
      <c r="J263" s="2476"/>
      <c r="K263" s="2020" t="str">
        <f ca="1">K262</f>
        <v>x</v>
      </c>
    </row>
    <row r="264" spans="1:11" s="2020" customFormat="1" ht="15" customHeight="1" x14ac:dyDescent="0.25">
      <c r="A264" s="2476"/>
      <c r="B264" s="2476"/>
      <c r="C264" s="2476"/>
      <c r="D264" s="2476"/>
      <c r="E264" s="2476"/>
      <c r="F264" s="2476"/>
      <c r="G264" s="2476"/>
      <c r="H264" s="2476"/>
      <c r="I264" s="2476"/>
      <c r="J264" s="2476"/>
      <c r="K264" s="2020" t="str">
        <f ca="1">K263</f>
        <v>x</v>
      </c>
    </row>
    <row r="265" spans="1:11" s="2020" customFormat="1" ht="15" customHeight="1" x14ac:dyDescent="0.25">
      <c r="A265" s="2476" t="str">
        <f>"                A Instrução Normativa "&amp;VLOOKUP("Raios X convencional",IN_ANVISA[],2)&amp;"/"&amp;VLOOKUP("Raios X convencional",IN_ANVISA[],3)&amp;" da ANVISA não preve requisitos para a Resolução de Baixo Contraste do sistema. Os valores avaliados devem ser comparados com testes anteriores ou servir de referência para testes futuros."</f>
        <v xml:space="preserve">                A Instrução Normativa 90/2021 da ANVISA não preve requisitos para a Resolução de Baixo Contraste do sistema. Os valores avaliados devem ser comparados com testes anteriores ou servir de referência para testes futuros.</v>
      </c>
      <c r="B265" s="2476"/>
      <c r="C265" s="2476"/>
      <c r="D265" s="2476"/>
      <c r="E265" s="2476"/>
      <c r="F265" s="2476"/>
      <c r="G265" s="2476"/>
      <c r="H265" s="2476"/>
      <c r="I265" s="2476"/>
      <c r="J265" s="2476"/>
      <c r="K265" s="2020" t="str">
        <f>IF(COUNTBLANK(K173:K182)&gt;0,"","x")</f>
        <v>x</v>
      </c>
    </row>
    <row r="266" spans="1:11" s="2020" customFormat="1" ht="15" customHeight="1" x14ac:dyDescent="0.25">
      <c r="A266" s="2476"/>
      <c r="B266" s="2476"/>
      <c r="C266" s="2476"/>
      <c r="D266" s="2476"/>
      <c r="E266" s="2476"/>
      <c r="F266" s="2476"/>
      <c r="G266" s="2476"/>
      <c r="H266" s="2476"/>
      <c r="I266" s="2476"/>
      <c r="J266" s="2476"/>
      <c r="K266" s="2020" t="str">
        <f>K265</f>
        <v>x</v>
      </c>
    </row>
    <row r="267" spans="1:11" s="2020" customFormat="1" ht="15" customHeight="1" x14ac:dyDescent="0.25">
      <c r="A267" s="2476"/>
      <c r="B267" s="2476"/>
      <c r="C267" s="2476"/>
      <c r="D267" s="2476"/>
      <c r="E267" s="2476"/>
      <c r="F267" s="2476"/>
      <c r="G267" s="2476"/>
      <c r="H267" s="2476"/>
      <c r="I267" s="2476"/>
      <c r="J267" s="2476"/>
      <c r="K267" s="2020" t="str">
        <f>K266</f>
        <v>x</v>
      </c>
    </row>
    <row r="268" spans="1:11" s="2020" customFormat="1" ht="15" customHeight="1" x14ac:dyDescent="0.25">
      <c r="A268" s="2476" t="s">
        <v>489</v>
      </c>
      <c r="B268" s="2476"/>
      <c r="C268" s="2476"/>
      <c r="D268" s="2476"/>
      <c r="E268" s="2476"/>
      <c r="F268" s="2476"/>
      <c r="G268" s="2476"/>
      <c r="H268" s="2476"/>
      <c r="I268" s="2476"/>
      <c r="J268" s="2476"/>
      <c r="K268" s="2020" t="str">
        <f>K256</f>
        <v>x</v>
      </c>
    </row>
    <row r="269" spans="1:11" s="2020" customFormat="1" ht="15" customHeight="1" x14ac:dyDescent="0.25">
      <c r="A269" s="2476"/>
      <c r="B269" s="2476"/>
      <c r="C269" s="2476"/>
      <c r="D269" s="2476"/>
      <c r="E269" s="2476"/>
      <c r="F269" s="2476"/>
      <c r="G269" s="2476"/>
      <c r="H269" s="2476"/>
      <c r="I269" s="2476"/>
      <c r="J269" s="2476"/>
      <c r="K269" s="2020" t="str">
        <f>K268</f>
        <v>x</v>
      </c>
    </row>
    <row r="270" spans="1:11" s="2020" customFormat="1" ht="15" customHeight="1" x14ac:dyDescent="0.25">
      <c r="A270" s="2476" t="s">
        <v>401</v>
      </c>
      <c r="B270" s="2476"/>
      <c r="C270" s="2476"/>
      <c r="D270" s="2476"/>
      <c r="E270" s="2476"/>
      <c r="F270" s="2476"/>
      <c r="G270" s="2476"/>
      <c r="H270" s="2476"/>
      <c r="I270" s="2476"/>
      <c r="J270" s="2476"/>
      <c r="K270" s="2020" t="str">
        <f>IF(convencional!B116="Sem Colimador","","x")</f>
        <v>x</v>
      </c>
    </row>
    <row r="271" spans="1:11" s="2020" customFormat="1" ht="15" customHeight="1" x14ac:dyDescent="0.25">
      <c r="A271" s="2476"/>
      <c r="B271" s="2476"/>
      <c r="C271" s="2476"/>
      <c r="D271" s="2476"/>
      <c r="E271" s="2476"/>
      <c r="F271" s="2476"/>
      <c r="G271" s="2476"/>
      <c r="H271" s="2476"/>
      <c r="I271" s="2476"/>
      <c r="J271" s="2476"/>
      <c r="K271" s="2020" t="str">
        <f>K270</f>
        <v>x</v>
      </c>
    </row>
    <row r="272" spans="1:11" s="2020" customFormat="1" ht="15" customHeight="1" x14ac:dyDescent="0.25">
      <c r="A272" s="2476" t="s">
        <v>402</v>
      </c>
      <c r="B272" s="2476"/>
      <c r="C272" s="2476"/>
      <c r="D272" s="2476"/>
      <c r="E272" s="2476"/>
      <c r="F272" s="2476"/>
      <c r="G272" s="2476"/>
      <c r="H272" s="2476"/>
      <c r="I272" s="2476"/>
      <c r="J272" s="2476"/>
      <c r="K272" s="2020" t="str">
        <f>IF(convencional!B116="Sem luz de campo","","x")</f>
        <v>x</v>
      </c>
    </row>
    <row r="273" spans="1:11" s="2020" customFormat="1" ht="15" customHeight="1" x14ac:dyDescent="0.25">
      <c r="A273" s="2476"/>
      <c r="B273" s="2476"/>
      <c r="C273" s="2476"/>
      <c r="D273" s="2476"/>
      <c r="E273" s="2476"/>
      <c r="F273" s="2476"/>
      <c r="G273" s="2476"/>
      <c r="H273" s="2476"/>
      <c r="I273" s="2476"/>
      <c r="J273" s="2476"/>
      <c r="K273" s="2020" t="str">
        <f>K272</f>
        <v>x</v>
      </c>
    </row>
    <row r="274" spans="1:11" s="2020" customFormat="1" ht="15" customHeight="1" x14ac:dyDescent="0.25">
      <c r="A274" s="2476" t="s">
        <v>403</v>
      </c>
      <c r="B274" s="2476"/>
      <c r="C274" s="2476"/>
      <c r="D274" s="2476"/>
      <c r="E274" s="2476"/>
      <c r="F274" s="2476"/>
      <c r="G274" s="2476"/>
      <c r="H274" s="2476"/>
      <c r="I274" s="2476"/>
      <c r="J274" s="2476"/>
      <c r="K274" s="2020" t="s">
        <v>649</v>
      </c>
    </row>
    <row r="275" spans="1:11" s="2020" customFormat="1" ht="15" customHeight="1" x14ac:dyDescent="0.25">
      <c r="A275" s="2476"/>
      <c r="B275" s="2476"/>
      <c r="C275" s="2476"/>
      <c r="D275" s="2476"/>
      <c r="E275" s="2476"/>
      <c r="F275" s="2476"/>
      <c r="G275" s="2476"/>
      <c r="H275" s="2476"/>
      <c r="I275" s="2476"/>
      <c r="J275" s="2476"/>
      <c r="K275" s="2020" t="str">
        <f>K274</f>
        <v>x</v>
      </c>
    </row>
    <row r="276" spans="1:11" s="2020" customFormat="1" ht="15" customHeight="1" x14ac:dyDescent="0.25">
      <c r="A276" s="2476" t="s">
        <v>1534</v>
      </c>
      <c r="B276" s="2476"/>
      <c r="C276" s="2476"/>
      <c r="D276" s="2476"/>
      <c r="E276" s="2476"/>
      <c r="F276" s="2476"/>
      <c r="G276" s="2476"/>
      <c r="H276" s="2476"/>
      <c r="I276" s="2476"/>
      <c r="J276" s="2476"/>
      <c r="K276" s="2020" t="str">
        <f>IF(convencional!F7="Sim","","x")</f>
        <v>x</v>
      </c>
    </row>
    <row r="277" spans="1:11" s="2020" customFormat="1" ht="15" customHeight="1" x14ac:dyDescent="0.25">
      <c r="A277" s="2476"/>
      <c r="B277" s="2476"/>
      <c r="C277" s="2476"/>
      <c r="D277" s="2476"/>
      <c r="E277" s="2476"/>
      <c r="F277" s="2476"/>
      <c r="G277" s="2476"/>
      <c r="H277" s="2476"/>
      <c r="I277" s="2476"/>
      <c r="J277" s="2476"/>
      <c r="K277" s="2020" t="str">
        <f>K276</f>
        <v>x</v>
      </c>
    </row>
    <row r="278" spans="1:11" s="2020" customFormat="1" ht="15" customHeight="1" x14ac:dyDescent="0.25">
      <c r="A278" s="2476" t="s">
        <v>404</v>
      </c>
      <c r="B278" s="2476"/>
      <c r="C278" s="2476"/>
      <c r="D278" s="2476"/>
      <c r="E278" s="2476"/>
      <c r="F278" s="2476"/>
      <c r="G278" s="2476"/>
      <c r="H278" s="2476"/>
      <c r="I278" s="2476"/>
      <c r="J278" s="2476"/>
      <c r="K278" s="2020" t="str">
        <f>IF(OR(H158="Não possui",H158="Restrição",H159="Não possui",H159="Restrição"),"","x")</f>
        <v>x</v>
      </c>
    </row>
    <row r="279" spans="1:11" s="2020" customFormat="1" ht="15" customHeight="1" x14ac:dyDescent="0.25">
      <c r="A279" s="2476" t="s">
        <v>405</v>
      </c>
      <c r="B279" s="2476"/>
      <c r="C279" s="2476"/>
      <c r="D279" s="2476"/>
      <c r="E279" s="2476"/>
      <c r="F279" s="2476"/>
      <c r="G279" s="2476"/>
      <c r="H279" s="2476"/>
      <c r="I279" s="2476"/>
      <c r="J279" s="2476"/>
      <c r="K279" s="2020" t="str">
        <f>IF(convencional!F6="Não","","x")</f>
        <v>x</v>
      </c>
    </row>
    <row r="280" spans="1:11" s="2020" customFormat="1" ht="15" customHeight="1" x14ac:dyDescent="0.25">
      <c r="A280" s="2476" t="s">
        <v>1706</v>
      </c>
      <c r="B280" s="2476"/>
      <c r="C280" s="2476"/>
      <c r="D280" s="2476"/>
      <c r="E280" s="2476"/>
      <c r="F280" s="2476"/>
      <c r="G280" s="2476"/>
      <c r="H280" s="2476"/>
      <c r="I280" s="2476"/>
      <c r="J280" s="2476"/>
      <c r="K280" s="2020" t="str">
        <f>IF(Cabeçalho!$B$20="Indisponível","","x")</f>
        <v/>
      </c>
    </row>
    <row r="281" spans="1:11" s="2020" customFormat="1" ht="15" customHeight="1" x14ac:dyDescent="0.25">
      <c r="A281" s="2476"/>
      <c r="B281" s="2476"/>
      <c r="C281" s="2476"/>
      <c r="D281" s="2476"/>
      <c r="E281" s="2476"/>
      <c r="F281" s="2476"/>
      <c r="G281" s="2476"/>
      <c r="H281" s="2476"/>
      <c r="I281" s="2476"/>
      <c r="J281" s="2476"/>
      <c r="K281" s="2020" t="str">
        <f>K280</f>
        <v/>
      </c>
    </row>
    <row r="282" spans="1:11" s="2020" customFormat="1" ht="15" customHeight="1" x14ac:dyDescent="0.25">
      <c r="A282" s="2476"/>
      <c r="B282" s="2476"/>
      <c r="C282" s="2476"/>
      <c r="D282" s="2476"/>
      <c r="E282" s="2476"/>
      <c r="F282" s="2476"/>
      <c r="G282" s="2476"/>
      <c r="H282" s="2476"/>
      <c r="I282" s="2476"/>
      <c r="J282" s="2476"/>
      <c r="K282" s="2020" t="str">
        <f>K281</f>
        <v/>
      </c>
    </row>
    <row r="283" spans="1:11" ht="15" customHeight="1" x14ac:dyDescent="0.25">
      <c r="A283" s="2067"/>
      <c r="B283" s="2067"/>
      <c r="C283" s="2067"/>
      <c r="D283" s="2067"/>
      <c r="E283" s="2067"/>
      <c r="F283" s="2067"/>
      <c r="G283" s="2067"/>
      <c r="H283" s="2067"/>
      <c r="I283" s="2067"/>
      <c r="K283" s="2071" t="str">
        <f ca="1">K250</f>
        <v/>
      </c>
    </row>
    <row r="284" spans="1:11" ht="15" customHeight="1" x14ac:dyDescent="0.25">
      <c r="A284" s="281" t="s">
        <v>2072</v>
      </c>
    </row>
    <row r="285" spans="1:11" ht="15" customHeight="1" x14ac:dyDescent="0.25">
      <c r="A285" s="281" t="s">
        <v>237</v>
      </c>
    </row>
    <row r="286" spans="1:11" ht="15" customHeight="1" x14ac:dyDescent="0.25">
      <c r="A286" s="2476" t="s">
        <v>387</v>
      </c>
      <c r="B286" s="2476"/>
      <c r="C286" s="2476"/>
      <c r="D286" s="2476"/>
      <c r="E286" s="2476"/>
      <c r="F286" s="2476"/>
      <c r="G286" s="2476"/>
      <c r="H286" s="2476"/>
      <c r="I286" s="2476"/>
      <c r="J286" s="2476"/>
      <c r="K286" s="2071" t="str">
        <f>IF(G68="NA","x",IF(convencional!F6="Não","","x"))</f>
        <v>x</v>
      </c>
    </row>
    <row r="287" spans="1:11" ht="15" customHeight="1" x14ac:dyDescent="0.25">
      <c r="A287" s="2476" t="s">
        <v>388</v>
      </c>
      <c r="B287" s="2476"/>
      <c r="C287" s="2476"/>
      <c r="D287" s="2476"/>
      <c r="E287" s="2476"/>
      <c r="F287" s="2476"/>
      <c r="G287" s="2476"/>
      <c r="H287" s="2476"/>
      <c r="I287" s="2476"/>
      <c r="J287" s="2476"/>
      <c r="K287" s="2071" t="str">
        <f>IF(L156="","x","")</f>
        <v>x</v>
      </c>
    </row>
    <row r="288" spans="1:11" ht="15" customHeight="1" x14ac:dyDescent="0.25">
      <c r="A288" s="2476" t="s">
        <v>651</v>
      </c>
      <c r="B288" s="2476"/>
      <c r="C288" s="2476"/>
      <c r="D288" s="2476"/>
      <c r="E288" s="2476"/>
      <c r="F288" s="2476"/>
      <c r="G288" s="2476"/>
      <c r="H288" s="2476"/>
      <c r="I288" s="2476"/>
      <c r="J288" s="2476"/>
      <c r="K288" s="2071" t="str">
        <f>IF(OR(K270="",K272=""),"","x")</f>
        <v>x</v>
      </c>
    </row>
    <row r="289" spans="1:11" ht="15" customHeight="1" x14ac:dyDescent="0.25">
      <c r="A289" s="2476"/>
      <c r="B289" s="2476"/>
      <c r="C289" s="2476"/>
      <c r="D289" s="2476"/>
      <c r="E289" s="2476"/>
      <c r="F289" s="2476"/>
      <c r="G289" s="2476"/>
      <c r="H289" s="2476"/>
      <c r="I289" s="2476"/>
      <c r="J289" s="2476"/>
      <c r="K289" s="2071" t="str">
        <f>K288</f>
        <v>x</v>
      </c>
    </row>
    <row r="290" spans="1:11" ht="15" customHeight="1" x14ac:dyDescent="0.25">
      <c r="A290" s="2476" t="s">
        <v>2088</v>
      </c>
      <c r="B290" s="2476"/>
      <c r="C290" s="2476"/>
      <c r="D290" s="2476"/>
      <c r="E290" s="2476"/>
      <c r="F290" s="2476"/>
      <c r="G290" s="2476"/>
      <c r="H290" s="2476"/>
      <c r="I290" s="2476"/>
      <c r="J290" s="2068"/>
      <c r="K290" s="2071" t="str">
        <f>IF(AND(K286="x",K287="x",K288="x"),"","x")</f>
        <v/>
      </c>
    </row>
    <row r="291" spans="1:11" ht="15" customHeight="1" x14ac:dyDescent="0.25">
      <c r="A291" s="2067"/>
      <c r="B291" s="2067"/>
      <c r="C291" s="2067"/>
      <c r="D291" s="2067"/>
      <c r="E291" s="2067"/>
      <c r="F291" s="2067"/>
      <c r="G291" s="2067"/>
      <c r="H291" s="2067"/>
      <c r="I291" s="2067"/>
    </row>
    <row r="292" spans="1:11" ht="15" customHeight="1" x14ac:dyDescent="0.25">
      <c r="A292" s="281" t="s">
        <v>238</v>
      </c>
    </row>
    <row r="293" spans="1:11" ht="15" customHeight="1" x14ac:dyDescent="0.25">
      <c r="A293" s="2476" t="s">
        <v>386</v>
      </c>
      <c r="B293" s="2476"/>
      <c r="C293" s="2476"/>
      <c r="D293" s="2476"/>
      <c r="E293" s="2476"/>
      <c r="F293" s="2476"/>
      <c r="G293" s="2476"/>
      <c r="H293" s="2476"/>
      <c r="I293" s="2476"/>
      <c r="J293" s="2476"/>
      <c r="K293" s="2071" t="s">
        <v>649</v>
      </c>
    </row>
    <row r="294" spans="1:11" ht="15" customHeight="1" x14ac:dyDescent="0.25">
      <c r="A294" s="2476"/>
      <c r="B294" s="2476"/>
      <c r="C294" s="2476"/>
      <c r="D294" s="2476"/>
      <c r="E294" s="2476"/>
      <c r="F294" s="2476"/>
      <c r="G294" s="2476"/>
      <c r="H294" s="2476"/>
      <c r="I294" s="2476"/>
      <c r="J294" s="2476"/>
      <c r="K294" s="2071" t="str">
        <f>K293</f>
        <v>x</v>
      </c>
    </row>
    <row r="295" spans="1:11" ht="15" customHeight="1" x14ac:dyDescent="0.25">
      <c r="A295" s="2476" t="s">
        <v>383</v>
      </c>
      <c r="B295" s="2476"/>
      <c r="C295" s="2476"/>
      <c r="D295" s="2476"/>
      <c r="E295" s="2476"/>
      <c r="F295" s="2476"/>
      <c r="G295" s="2476"/>
      <c r="H295" s="2476"/>
      <c r="I295" s="2476"/>
      <c r="J295" s="2476"/>
      <c r="K295" s="2071" t="str">
        <f>IF(convencional!F4="Não","","x")</f>
        <v>x</v>
      </c>
    </row>
    <row r="296" spans="1:11" ht="15" customHeight="1" x14ac:dyDescent="0.25">
      <c r="A296" s="2476"/>
      <c r="B296" s="2476"/>
      <c r="C296" s="2476"/>
      <c r="D296" s="2476"/>
      <c r="E296" s="2476"/>
      <c r="F296" s="2476"/>
      <c r="G296" s="2476"/>
      <c r="H296" s="2476"/>
      <c r="I296" s="2476"/>
      <c r="J296" s="2476"/>
      <c r="K296" s="2071" t="str">
        <f>K295</f>
        <v>x</v>
      </c>
    </row>
    <row r="297" spans="1:11" ht="15" customHeight="1" x14ac:dyDescent="0.25">
      <c r="A297" s="2476"/>
      <c r="B297" s="2476"/>
      <c r="C297" s="2476"/>
      <c r="D297" s="2476"/>
      <c r="E297" s="2476"/>
      <c r="F297" s="2476"/>
      <c r="G297" s="2476"/>
      <c r="H297" s="2476"/>
      <c r="I297" s="2476"/>
      <c r="J297" s="2476"/>
      <c r="K297" s="2071" t="str">
        <f>K296</f>
        <v>x</v>
      </c>
    </row>
    <row r="298" spans="1:11" ht="15" customHeight="1" x14ac:dyDescent="0.25">
      <c r="A298" s="2476" t="s">
        <v>384</v>
      </c>
      <c r="B298" s="2476"/>
      <c r="C298" s="2476"/>
      <c r="D298" s="2476"/>
      <c r="E298" s="2476"/>
      <c r="F298" s="2476"/>
      <c r="G298" s="2476"/>
      <c r="H298" s="2476"/>
      <c r="I298" s="2476"/>
      <c r="J298" s="2476"/>
      <c r="K298" s="2071" t="str">
        <f>IF(convencional!F5="Não","","x")</f>
        <v>x</v>
      </c>
    </row>
    <row r="299" spans="1:11" ht="15" customHeight="1" x14ac:dyDescent="0.25">
      <c r="A299" s="2476"/>
      <c r="B299" s="2476"/>
      <c r="C299" s="2476"/>
      <c r="D299" s="2476"/>
      <c r="E299" s="2476"/>
      <c r="F299" s="2476"/>
      <c r="G299" s="2476"/>
      <c r="H299" s="2476"/>
      <c r="I299" s="2476"/>
      <c r="J299" s="2476"/>
      <c r="K299" s="2071" t="str">
        <f>K298</f>
        <v>x</v>
      </c>
    </row>
    <row r="300" spans="1:11" ht="15" customHeight="1" x14ac:dyDescent="0.25">
      <c r="A300" s="2476"/>
      <c r="B300" s="2476"/>
      <c r="C300" s="2476"/>
      <c r="D300" s="2476"/>
      <c r="E300" s="2476"/>
      <c r="F300" s="2476"/>
      <c r="G300" s="2476"/>
      <c r="H300" s="2476"/>
      <c r="I300" s="2476"/>
      <c r="J300" s="2476"/>
      <c r="K300" s="2071" t="str">
        <f>K299</f>
        <v>x</v>
      </c>
    </row>
    <row r="301" spans="1:11" ht="15" customHeight="1" x14ac:dyDescent="0.25">
      <c r="A301" s="2476" t="s">
        <v>213</v>
      </c>
      <c r="B301" s="2476"/>
      <c r="C301" s="2476"/>
      <c r="D301" s="2476"/>
      <c r="E301" s="2476"/>
      <c r="F301" s="2476"/>
      <c r="G301" s="2476"/>
      <c r="H301" s="2476"/>
      <c r="I301" s="2476"/>
      <c r="J301" s="2476"/>
      <c r="K301" s="2071" t="str">
        <f>K270</f>
        <v>x</v>
      </c>
    </row>
    <row r="302" spans="1:11" ht="15" customHeight="1" x14ac:dyDescent="0.25">
      <c r="A302" s="2476"/>
      <c r="B302" s="2476"/>
      <c r="C302" s="2476"/>
      <c r="D302" s="2476"/>
      <c r="E302" s="2476"/>
      <c r="F302" s="2476"/>
      <c r="G302" s="2476"/>
      <c r="H302" s="2476"/>
      <c r="I302" s="2476"/>
      <c r="J302" s="2476"/>
      <c r="K302" s="2071" t="str">
        <f>K301</f>
        <v>x</v>
      </c>
    </row>
    <row r="303" spans="1:11" ht="15" customHeight="1" x14ac:dyDescent="0.25">
      <c r="A303" s="2476" t="s">
        <v>385</v>
      </c>
      <c r="B303" s="2476"/>
      <c r="C303" s="2476"/>
      <c r="D303" s="2476"/>
      <c r="E303" s="2476"/>
      <c r="F303" s="2476"/>
      <c r="G303" s="2476"/>
      <c r="H303" s="2476"/>
      <c r="I303" s="2476"/>
      <c r="J303" s="2476"/>
      <c r="K303" s="2071" t="str">
        <f>K272</f>
        <v>x</v>
      </c>
    </row>
    <row r="304" spans="1:11" ht="15" customHeight="1" x14ac:dyDescent="0.25">
      <c r="A304" s="2469" t="s">
        <v>214</v>
      </c>
      <c r="B304" s="2469"/>
      <c r="C304" s="2469"/>
      <c r="D304" s="2469"/>
      <c r="E304" s="2469"/>
      <c r="F304" s="2469"/>
      <c r="G304" s="2469"/>
      <c r="H304" s="2469"/>
      <c r="I304" s="2469"/>
      <c r="J304" s="2469"/>
      <c r="K304" s="2071" t="str">
        <f>K286</f>
        <v>x</v>
      </c>
    </row>
    <row r="305" spans="1:11" ht="15" customHeight="1" x14ac:dyDescent="0.25">
      <c r="A305" s="2476"/>
      <c r="B305" s="2476"/>
      <c r="C305" s="2476"/>
      <c r="D305" s="2476"/>
      <c r="E305" s="2476"/>
      <c r="F305" s="2476"/>
      <c r="G305" s="2476"/>
      <c r="H305" s="2476"/>
      <c r="I305" s="2476"/>
      <c r="J305" s="2476"/>
      <c r="K305" s="2095" t="s">
        <v>649</v>
      </c>
    </row>
    <row r="306" spans="1:11" ht="15" customHeight="1" x14ac:dyDescent="0.25">
      <c r="A306" s="2476"/>
      <c r="B306" s="2476"/>
      <c r="C306" s="2476"/>
      <c r="D306" s="2476"/>
      <c r="E306" s="2476"/>
      <c r="F306" s="2476"/>
      <c r="G306" s="2476"/>
      <c r="H306" s="2476"/>
      <c r="I306" s="2476"/>
      <c r="J306" s="2476"/>
      <c r="K306" s="2095" t="str">
        <f>K305</f>
        <v>x</v>
      </c>
    </row>
    <row r="307" spans="1:11" ht="15" customHeight="1" x14ac:dyDescent="0.25">
      <c r="A307" s="2476" t="s">
        <v>650</v>
      </c>
      <c r="B307" s="2476"/>
      <c r="C307" s="2476"/>
      <c r="D307" s="2476"/>
      <c r="E307" s="2476"/>
      <c r="F307" s="2476"/>
      <c r="G307" s="2476"/>
      <c r="H307" s="2476"/>
      <c r="I307" s="2476"/>
      <c r="J307" s="2476"/>
      <c r="K307" s="2071" t="str">
        <f ca="1">IFERROR(IF(L72&gt;0,"","x"),"x")</f>
        <v>x</v>
      </c>
    </row>
    <row r="308" spans="1:11" ht="15" customHeight="1" x14ac:dyDescent="0.25">
      <c r="A308" s="2476"/>
      <c r="B308" s="2476"/>
      <c r="C308" s="2476"/>
      <c r="D308" s="2476"/>
      <c r="E308" s="2476"/>
      <c r="F308" s="2476"/>
      <c r="G308" s="2476"/>
      <c r="H308" s="2476"/>
      <c r="I308" s="2476"/>
      <c r="J308" s="2476"/>
      <c r="K308" s="2071" t="str">
        <f ca="1">K307</f>
        <v>x</v>
      </c>
    </row>
    <row r="309" spans="1:11" ht="15" customHeight="1" x14ac:dyDescent="0.25">
      <c r="A309" s="2476"/>
      <c r="B309" s="2476"/>
      <c r="C309" s="2476"/>
      <c r="D309" s="2476"/>
      <c r="E309" s="2476"/>
      <c r="F309" s="2476"/>
      <c r="G309" s="2476"/>
      <c r="H309" s="2476"/>
      <c r="I309" s="2476"/>
      <c r="J309" s="2476"/>
      <c r="K309" s="2071" t="str">
        <f ca="1">K308</f>
        <v>x</v>
      </c>
    </row>
    <row r="310" spans="1:11" ht="15" customHeight="1" x14ac:dyDescent="0.25">
      <c r="A310" s="2476" t="s">
        <v>397</v>
      </c>
      <c r="B310" s="2476"/>
      <c r="C310" s="2476"/>
      <c r="D310" s="2476"/>
      <c r="E310" s="2476"/>
      <c r="F310" s="2476"/>
      <c r="G310" s="2476"/>
      <c r="H310" s="2476"/>
      <c r="I310" s="2476"/>
      <c r="J310" s="2476"/>
      <c r="K310" s="2071" t="str">
        <f>IFERROR(IF(AND(L121&gt;0,K138="x"),"","x"),"x")</f>
        <v>x</v>
      </c>
    </row>
    <row r="311" spans="1:11" ht="15" customHeight="1" x14ac:dyDescent="0.25">
      <c r="A311" s="2476"/>
      <c r="B311" s="2476"/>
      <c r="C311" s="2476"/>
      <c r="D311" s="2476"/>
      <c r="E311" s="2476"/>
      <c r="F311" s="2476"/>
      <c r="G311" s="2476"/>
      <c r="H311" s="2476"/>
      <c r="I311" s="2476"/>
      <c r="J311" s="2476"/>
      <c r="K311" s="2071" t="str">
        <f>K310</f>
        <v>x</v>
      </c>
    </row>
    <row r="312" spans="1:11" ht="15" customHeight="1" x14ac:dyDescent="0.25">
      <c r="A312" s="2476" t="s">
        <v>2466</v>
      </c>
      <c r="B312" s="2476"/>
      <c r="C312" s="2476"/>
      <c r="D312" s="2476"/>
      <c r="E312" s="2476"/>
      <c r="F312" s="2476"/>
      <c r="G312" s="2476"/>
      <c r="H312" s="2476"/>
      <c r="I312" s="2476"/>
      <c r="J312" s="2476"/>
      <c r="K312" s="2095" t="str">
        <f ca="1">IF(AND((COUNTIF(C147:J147,"Não")+COUNTIF(C147:J147,"Restrição"))&gt;0,K315="x"),"","x")</f>
        <v>x</v>
      </c>
    </row>
    <row r="313" spans="1:11" ht="15" customHeight="1" x14ac:dyDescent="0.25">
      <c r="A313" s="2476"/>
      <c r="B313" s="2476"/>
      <c r="C313" s="2476"/>
      <c r="D313" s="2476"/>
      <c r="E313" s="2476"/>
      <c r="F313" s="2476"/>
      <c r="G313" s="2476"/>
      <c r="H313" s="2476"/>
      <c r="I313" s="2476"/>
      <c r="J313" s="2476"/>
      <c r="K313" s="2095" t="str">
        <f ca="1">K312</f>
        <v>x</v>
      </c>
    </row>
    <row r="314" spans="1:11" ht="15" customHeight="1" x14ac:dyDescent="0.25">
      <c r="A314" s="2476"/>
      <c r="B314" s="2476"/>
      <c r="C314" s="2476"/>
      <c r="D314" s="2476"/>
      <c r="E314" s="2476"/>
      <c r="F314" s="2476"/>
      <c r="G314" s="2476"/>
      <c r="H314" s="2476"/>
      <c r="I314" s="2476"/>
      <c r="J314" s="2476"/>
      <c r="K314" s="2095" t="str">
        <f ca="1">K313</f>
        <v>x</v>
      </c>
    </row>
    <row r="315" spans="1:11" ht="15" customHeight="1" x14ac:dyDescent="0.25">
      <c r="A315" s="2476" t="s">
        <v>389</v>
      </c>
      <c r="B315" s="2476"/>
      <c r="C315" s="2476"/>
      <c r="D315" s="2476"/>
      <c r="E315" s="2476"/>
      <c r="F315" s="2476"/>
      <c r="G315" s="2476"/>
      <c r="H315" s="2476"/>
      <c r="I315" s="2476"/>
      <c r="J315" s="2476"/>
      <c r="K315" s="2095" t="str">
        <f ca="1">IF(AND((COUNTIF(C147:J147,"Não")+COUNTIF(C147:J147,"Restrição"))&gt;0,convencional!B42&lt;&gt;"Aceitável",convencional!B44&lt;&gt;"Aceitável"),"","x")</f>
        <v>x</v>
      </c>
    </row>
    <row r="316" spans="1:11" ht="15" customHeight="1" x14ac:dyDescent="0.25">
      <c r="A316" s="2476"/>
      <c r="B316" s="2476"/>
      <c r="C316" s="2476"/>
      <c r="D316" s="2476"/>
      <c r="E316" s="2476"/>
      <c r="F316" s="2476"/>
      <c r="G316" s="2476"/>
      <c r="H316" s="2476"/>
      <c r="I316" s="2476"/>
      <c r="J316" s="2476"/>
      <c r="K316" s="2095" t="str">
        <f ca="1">K315</f>
        <v>x</v>
      </c>
    </row>
    <row r="317" spans="1:11" ht="15" customHeight="1" x14ac:dyDescent="0.25">
      <c r="A317" s="2476"/>
      <c r="B317" s="2476"/>
      <c r="C317" s="2476"/>
      <c r="D317" s="2476"/>
      <c r="E317" s="2476"/>
      <c r="F317" s="2476"/>
      <c r="G317" s="2476"/>
      <c r="H317" s="2476"/>
      <c r="I317" s="2476"/>
      <c r="J317" s="2476"/>
      <c r="K317" s="2095" t="str">
        <f ca="1">K316</f>
        <v>x</v>
      </c>
    </row>
    <row r="318" spans="1:11" ht="15" customHeight="1" x14ac:dyDescent="0.25">
      <c r="A318" s="2476" t="str">
        <f>CONCATENATE("                A camada semirredutora está abaixo do permitido (",convencional!D42," mm Al @ ",convencional!B27," kVp). Deve ser acrescentada filtração ao feixe primário.")</f>
        <v xml:space="preserve">                A camada semirredutora está abaixo do permitido (2,3 mm Al @ 80 kVp). Deve ser acrescentada filtração ao feixe primário.</v>
      </c>
      <c r="B318" s="2476"/>
      <c r="C318" s="2476"/>
      <c r="D318" s="2476"/>
      <c r="E318" s="2476"/>
      <c r="F318" s="2476"/>
      <c r="G318" s="2476"/>
      <c r="H318" s="2476"/>
      <c r="I318" s="2476"/>
      <c r="J318" s="2476"/>
      <c r="K318" s="2071" t="str">
        <f ca="1">IF((COUNTIF(C149:I149,"=não")+COUNTIF(C149:I149,"=restrição"))&gt;0,"","x")</f>
        <v>x</v>
      </c>
    </row>
    <row r="319" spans="1:11" ht="15" customHeight="1" x14ac:dyDescent="0.25">
      <c r="A319" s="2476"/>
      <c r="B319" s="2476"/>
      <c r="C319" s="2476"/>
      <c r="D319" s="2476"/>
      <c r="E319" s="2476"/>
      <c r="F319" s="2476"/>
      <c r="G319" s="2476"/>
      <c r="H319" s="2476"/>
      <c r="I319" s="2476"/>
      <c r="J319" s="2476"/>
      <c r="K319" s="2071" t="str">
        <f ca="1">K318</f>
        <v>x</v>
      </c>
    </row>
    <row r="320" spans="1:11" ht="15" customHeight="1" x14ac:dyDescent="0.25">
      <c r="A320" s="2476" t="s">
        <v>390</v>
      </c>
      <c r="B320" s="2476"/>
      <c r="C320" s="2476"/>
      <c r="D320" s="2476"/>
      <c r="E320" s="2476"/>
      <c r="F320" s="2476"/>
      <c r="G320" s="2476"/>
      <c r="H320" s="2476"/>
      <c r="I320" s="2476"/>
      <c r="J320" s="2476"/>
      <c r="K320" s="2071" t="str">
        <f ca="1">IF(SUM(COUNTIF(J198:J199,"=Não")+COUNTIF(J198:J199,"Restrição"))=0,"x","")</f>
        <v>x</v>
      </c>
    </row>
    <row r="321" spans="1:11" ht="15" customHeight="1" x14ac:dyDescent="0.25">
      <c r="A321" s="2476"/>
      <c r="B321" s="2476"/>
      <c r="C321" s="2476"/>
      <c r="D321" s="2476"/>
      <c r="E321" s="2476"/>
      <c r="F321" s="2476"/>
      <c r="G321" s="2476"/>
      <c r="H321" s="2476"/>
      <c r="I321" s="2476"/>
      <c r="J321" s="2476"/>
      <c r="K321" s="2071" t="str">
        <f ca="1">K320</f>
        <v>x</v>
      </c>
    </row>
    <row r="322" spans="1:11" ht="15" customHeight="1" x14ac:dyDescent="0.25">
      <c r="A322" s="2476" t="s">
        <v>392</v>
      </c>
      <c r="B322" s="2476"/>
      <c r="C322" s="2476"/>
      <c r="D322" s="2476"/>
      <c r="E322" s="2476"/>
      <c r="F322" s="2476"/>
      <c r="G322" s="2476"/>
      <c r="H322" s="2476"/>
      <c r="I322" s="2476"/>
      <c r="J322" s="2476"/>
      <c r="K322" s="2071" t="str">
        <f ca="1">IF(SUM(COUNTIF(J200:J201,"=Não")+COUNTIF(J200:J201,"Restrição"))=0,"x","")</f>
        <v>x</v>
      </c>
    </row>
    <row r="323" spans="1:11" ht="15" customHeight="1" x14ac:dyDescent="0.25">
      <c r="A323" s="2476"/>
      <c r="B323" s="2476"/>
      <c r="C323" s="2476"/>
      <c r="D323" s="2476"/>
      <c r="E323" s="2476"/>
      <c r="F323" s="2476"/>
      <c r="G323" s="2476"/>
      <c r="H323" s="2476"/>
      <c r="I323" s="2476"/>
      <c r="J323" s="2476"/>
      <c r="K323" s="2071" t="str">
        <f ca="1">K322</f>
        <v>x</v>
      </c>
    </row>
    <row r="324" spans="1:11" ht="15" customHeight="1" x14ac:dyDescent="0.25">
      <c r="A324" s="2476" t="str">
        <f>"                Não foi possível avaliar a exatidão do sistema de colimação, pois "&amp;IF(convencional!B116="Sem Colimador","este equipamento não possui colimador.",IF(convencional!B116="Falha no colimador","este dispositivo não funcionou. ","a luz de campo não funcionou."))</f>
        <v xml:space="preserve">                Não foi possível avaliar a exatidão do sistema de colimação, pois a luz de campo não funcionou.</v>
      </c>
      <c r="B324" s="2476"/>
      <c r="C324" s="2476"/>
      <c r="D324" s="2476"/>
      <c r="E324" s="2476"/>
      <c r="F324" s="2476"/>
      <c r="G324" s="2476"/>
      <c r="H324" s="2476"/>
      <c r="I324" s="2476"/>
      <c r="J324" s="2476"/>
      <c r="K324" s="2071" t="str">
        <f>IF(convencional!B116="Falha no colimador","","x")</f>
        <v>x</v>
      </c>
    </row>
    <row r="325" spans="1:11" ht="15" customHeight="1" x14ac:dyDescent="0.25">
      <c r="A325" s="2476"/>
      <c r="B325" s="2476"/>
      <c r="C325" s="2476"/>
      <c r="D325" s="2476"/>
      <c r="E325" s="2476"/>
      <c r="F325" s="2476"/>
      <c r="G325" s="2476"/>
      <c r="H325" s="2476"/>
      <c r="I325" s="2476"/>
      <c r="J325" s="2476"/>
      <c r="K325" s="2071" t="str">
        <f>K324</f>
        <v>x</v>
      </c>
    </row>
    <row r="326" spans="1:11" ht="15" customHeight="1" x14ac:dyDescent="0.25">
      <c r="A326" s="2476" t="str">
        <f>"                A falta ou não funcionamento da luz de campo inabilita o uso deste equipamento enquando não ocorrer o conserto."</f>
        <v xml:space="preserve">                A falta ou não funcionamento da luz de campo inabilita o uso deste equipamento enquando não ocorrer o conserto.</v>
      </c>
      <c r="B326" s="2476"/>
      <c r="C326" s="2476"/>
      <c r="D326" s="2476"/>
      <c r="E326" s="2476"/>
      <c r="F326" s="2476"/>
      <c r="G326" s="2476"/>
      <c r="H326" s="2476"/>
      <c r="I326" s="2476"/>
      <c r="J326" s="2476"/>
      <c r="K326" s="2071" t="str">
        <f>IF(convencional!B116="Sem luz de campo","","x")</f>
        <v>x</v>
      </c>
    </row>
    <row r="327" spans="1:11" ht="15" customHeight="1" x14ac:dyDescent="0.25">
      <c r="A327" s="2476"/>
      <c r="B327" s="2476"/>
      <c r="C327" s="2476"/>
      <c r="D327" s="2476"/>
      <c r="E327" s="2476"/>
      <c r="F327" s="2476"/>
      <c r="G327" s="2476"/>
      <c r="H327" s="2476"/>
      <c r="I327" s="2476"/>
      <c r="J327" s="2476"/>
      <c r="K327" s="2071" t="str">
        <f>K326</f>
        <v>x</v>
      </c>
    </row>
    <row r="328" spans="1:11" ht="15" customHeight="1" x14ac:dyDescent="0.25">
      <c r="A328" s="2476" t="s">
        <v>393</v>
      </c>
      <c r="B328" s="2476"/>
      <c r="C328" s="2476"/>
      <c r="D328" s="2476"/>
      <c r="E328" s="2476"/>
      <c r="F328" s="2476"/>
      <c r="G328" s="2476"/>
      <c r="H328" s="2476"/>
      <c r="I328" s="2476"/>
      <c r="J328" s="2476"/>
      <c r="K328" s="2071" t="str">
        <f>IF(OR(J156="Não",J156="Restrição"),"","x")</f>
        <v>x</v>
      </c>
    </row>
    <row r="329" spans="1:11" ht="15" customHeight="1" x14ac:dyDescent="0.25">
      <c r="A329" s="2476"/>
      <c r="B329" s="2476"/>
      <c r="C329" s="2476"/>
      <c r="D329" s="2476"/>
      <c r="E329" s="2476"/>
      <c r="F329" s="2476"/>
      <c r="G329" s="2476"/>
      <c r="H329" s="2476"/>
      <c r="I329" s="2476"/>
      <c r="J329" s="2476"/>
      <c r="K329" s="2071" t="str">
        <f>K328</f>
        <v>x</v>
      </c>
    </row>
    <row r="330" spans="1:11" ht="15" customHeight="1" x14ac:dyDescent="0.25">
      <c r="A330" s="2476"/>
      <c r="B330" s="2476"/>
      <c r="C330" s="2476"/>
      <c r="D330" s="2476"/>
      <c r="E330" s="2476"/>
      <c r="F330" s="2476"/>
      <c r="G330" s="2476"/>
      <c r="H330" s="2476"/>
      <c r="I330" s="2476"/>
      <c r="J330" s="2476"/>
      <c r="K330" s="2071" t="str">
        <f>K329</f>
        <v>x</v>
      </c>
    </row>
    <row r="331" spans="1:11" ht="15" customHeight="1" x14ac:dyDescent="0.25">
      <c r="A331" s="2476" t="s">
        <v>436</v>
      </c>
      <c r="B331" s="2476"/>
      <c r="C331" s="2476"/>
      <c r="D331" s="2476"/>
      <c r="E331" s="2476"/>
      <c r="F331" s="2476"/>
      <c r="G331" s="2476"/>
      <c r="H331" s="2476"/>
      <c r="I331" s="2476"/>
      <c r="J331" s="2476"/>
      <c r="K331" s="2071" t="str">
        <f>IF(OR(J157="Não",J157="Restrição"),"","x")</f>
        <v>x</v>
      </c>
    </row>
    <row r="332" spans="1:11" ht="15" customHeight="1" x14ac:dyDescent="0.25">
      <c r="A332" s="2476"/>
      <c r="B332" s="2476"/>
      <c r="C332" s="2476"/>
      <c r="D332" s="2476"/>
      <c r="E332" s="2476"/>
      <c r="F332" s="2476"/>
      <c r="G332" s="2476"/>
      <c r="H332" s="2476"/>
      <c r="I332" s="2476"/>
      <c r="J332" s="2476"/>
      <c r="K332" s="2071" t="str">
        <f>K331</f>
        <v>x</v>
      </c>
    </row>
    <row r="333" spans="1:11" ht="15" customHeight="1" x14ac:dyDescent="0.25">
      <c r="A333" s="2476" t="str">
        <f>"                Não foi possível testar o alinhamento da grade antidifusora"&amp;IF(AND(convencional!B139="Não possui",convencional!B140="Não possui"),"",IF(H158="Não possui"," da mesa","")&amp;IF(H159="Não possui"," do bucky vertical",""))&amp;", pois o equipamento não dispõe desse dispositivo (o que inabilita o seu uso). Deve ser instalada grade antidifusora."</f>
        <v xml:space="preserve">                Não foi possível testar o alinhamento da grade antidifusora, pois o equipamento não dispõe desse dispositivo (o que inabilita o seu uso). Deve ser instalada grade antidifusora.</v>
      </c>
      <c r="B333" s="2476"/>
      <c r="C333" s="2476"/>
      <c r="D333" s="2476"/>
      <c r="E333" s="2476"/>
      <c r="F333" s="2476"/>
      <c r="G333" s="2476"/>
      <c r="H333" s="2476"/>
      <c r="I333" s="2476"/>
      <c r="J333" s="2476"/>
      <c r="K333" s="2071" t="str">
        <f>IF(OR(convencional!B139="Não possui",convencional!B140="Não possui"),"","x")</f>
        <v>x</v>
      </c>
    </row>
    <row r="334" spans="1:11" ht="15" customHeight="1" x14ac:dyDescent="0.25">
      <c r="A334" s="2476"/>
      <c r="B334" s="2476"/>
      <c r="C334" s="2476"/>
      <c r="D334" s="2476"/>
      <c r="E334" s="2476"/>
      <c r="F334" s="2476"/>
      <c r="G334" s="2476"/>
      <c r="H334" s="2476"/>
      <c r="I334" s="2476"/>
      <c r="J334" s="2476"/>
      <c r="K334" s="2071" t="str">
        <f>K333</f>
        <v>x</v>
      </c>
    </row>
    <row r="335" spans="1:11" ht="15" customHeight="1" x14ac:dyDescent="0.25">
      <c r="A335" s="2476"/>
      <c r="B335" s="2476"/>
      <c r="C335" s="2476"/>
      <c r="D335" s="2476"/>
      <c r="E335" s="2476"/>
      <c r="F335" s="2476"/>
      <c r="G335" s="2476"/>
      <c r="H335" s="2476"/>
      <c r="I335" s="2476"/>
      <c r="J335" s="2476"/>
      <c r="K335" s="2071" t="str">
        <f>K334</f>
        <v>x</v>
      </c>
    </row>
    <row r="336" spans="1:11" ht="15" customHeight="1" x14ac:dyDescent="0.25">
      <c r="A336" s="2476" t="s">
        <v>652</v>
      </c>
      <c r="B336" s="2476"/>
      <c r="C336" s="2476"/>
      <c r="D336" s="2476"/>
      <c r="E336" s="2476"/>
      <c r="F336" s="2476"/>
      <c r="G336" s="2476"/>
      <c r="H336" s="2476"/>
      <c r="I336" s="2476"/>
      <c r="J336" s="2476"/>
      <c r="K336" s="2071" t="str">
        <f>IF(OR(L158="N",L158="R",L159="N",L159="R"),"","x")</f>
        <v>x</v>
      </c>
    </row>
    <row r="337" spans="1:11" ht="15" customHeight="1" x14ac:dyDescent="0.25">
      <c r="A337" s="2476"/>
      <c r="B337" s="2476"/>
      <c r="C337" s="2476"/>
      <c r="D337" s="2476"/>
      <c r="E337" s="2476"/>
      <c r="F337" s="2476"/>
      <c r="G337" s="2476"/>
      <c r="H337" s="2476"/>
      <c r="I337" s="2476"/>
      <c r="J337" s="2476"/>
      <c r="K337" s="2071" t="str">
        <f>K336</f>
        <v>x</v>
      </c>
    </row>
    <row r="338" spans="1:11" ht="15" customHeight="1" x14ac:dyDescent="0.25">
      <c r="A338" s="2476"/>
      <c r="B338" s="2476"/>
      <c r="C338" s="2476"/>
      <c r="D338" s="2476"/>
      <c r="E338" s="2476"/>
      <c r="F338" s="2476"/>
      <c r="G338" s="2476"/>
      <c r="H338" s="2476"/>
      <c r="I338" s="2476"/>
      <c r="J338" s="2476"/>
      <c r="K338" s="2071" t="str">
        <f>K337</f>
        <v>x</v>
      </c>
    </row>
    <row r="339" spans="1:11" ht="15" customHeight="1" x14ac:dyDescent="0.25">
      <c r="A339" s="2476" t="s">
        <v>395</v>
      </c>
      <c r="B339" s="2476"/>
      <c r="C339" s="2476"/>
      <c r="D339" s="2476"/>
      <c r="E339" s="2476"/>
      <c r="F339" s="2476"/>
      <c r="G339" s="2476"/>
      <c r="H339" s="2476"/>
      <c r="I339" s="2476"/>
      <c r="J339" s="2476"/>
      <c r="K339" s="2071" t="str">
        <f ca="1">IF(OR(L160="N",L160="R"),"","x")</f>
        <v>x</v>
      </c>
    </row>
    <row r="340" spans="1:11" ht="15" customHeight="1" x14ac:dyDescent="0.25">
      <c r="A340" s="2476"/>
      <c r="B340" s="2476"/>
      <c r="C340" s="2476"/>
      <c r="D340" s="2476"/>
      <c r="E340" s="2476"/>
      <c r="F340" s="2476"/>
      <c r="G340" s="2476"/>
      <c r="H340" s="2476"/>
      <c r="I340" s="2476"/>
      <c r="J340" s="2476"/>
      <c r="K340" s="2071" t="str">
        <f ca="1">K339</f>
        <v>x</v>
      </c>
    </row>
    <row r="341" spans="1:11" ht="15" customHeight="1" x14ac:dyDescent="0.25">
      <c r="A341" s="2476" t="s">
        <v>396</v>
      </c>
      <c r="B341" s="2476"/>
      <c r="C341" s="2476"/>
      <c r="D341" s="2476"/>
      <c r="E341" s="2476"/>
      <c r="F341" s="2476"/>
      <c r="G341" s="2476"/>
      <c r="H341" s="2476"/>
      <c r="I341" s="2476"/>
      <c r="J341" s="2476"/>
      <c r="K341" s="2071" t="str">
        <f ca="1">IF(OR(L161="N",L161="R"),"","x")</f>
        <v>x</v>
      </c>
    </row>
    <row r="342" spans="1:11" ht="15" customHeight="1" x14ac:dyDescent="0.25">
      <c r="A342" s="2476"/>
      <c r="B342" s="2476"/>
      <c r="C342" s="2476"/>
      <c r="D342" s="2476"/>
      <c r="E342" s="2476"/>
      <c r="F342" s="2476"/>
      <c r="G342" s="2476"/>
      <c r="H342" s="2476"/>
      <c r="I342" s="2476"/>
      <c r="J342" s="2476"/>
      <c r="K342" s="2071" t="str">
        <f ca="1">K341</f>
        <v>x</v>
      </c>
    </row>
    <row r="343" spans="1:11" ht="15" customHeight="1" x14ac:dyDescent="0.25">
      <c r="A343" s="2476" t="s">
        <v>398</v>
      </c>
      <c r="B343" s="2476"/>
      <c r="C343" s="2476"/>
      <c r="D343" s="2476"/>
      <c r="E343" s="2476"/>
      <c r="F343" s="2476"/>
      <c r="G343" s="2476"/>
      <c r="H343" s="2476"/>
      <c r="I343" s="2476"/>
      <c r="J343" s="2476"/>
      <c r="K343" s="2071" t="str">
        <f ca="1">IF(OR(L162="N",L162="R"),"","x")</f>
        <v>x</v>
      </c>
    </row>
    <row r="344" spans="1:11" ht="15" customHeight="1" x14ac:dyDescent="0.25">
      <c r="A344" s="2476"/>
      <c r="B344" s="2476"/>
      <c r="C344" s="2476"/>
      <c r="D344" s="2476"/>
      <c r="E344" s="2476"/>
      <c r="F344" s="2476"/>
      <c r="G344" s="2476"/>
      <c r="H344" s="2476"/>
      <c r="I344" s="2476"/>
      <c r="J344" s="2476"/>
      <c r="K344" s="2071" t="str">
        <f ca="1">K343</f>
        <v>x</v>
      </c>
    </row>
    <row r="345" spans="1:11" ht="15" customHeight="1" x14ac:dyDescent="0.25">
      <c r="A345" s="2477" t="str">
        <f ca="1">"                 A linearidade da taxa de kerma no ar está fora de tolerância (20 %) devido a "&amp;IF(convencional!G61="Ruim","erro no temporizador. O circuito eletrônico que controla o tempo de exposição deve ser ajustado."," inconstância "&amp;IF(convencional!G63="Ruim","da alta tensão","")&amp;IF(AND(convencional!G63="Ruim",convencional!G62="Ruim")," e/ou ","")&amp;IF(convencional!G62="Ruim","da corrente anódica","")&amp;" durante a exposição.")</f>
        <v xml:space="preserve">                 A linearidade da taxa de kerma no ar está fora de tolerância (20 %) devido a  inconstância  durante a exposição.</v>
      </c>
      <c r="B345" s="2477"/>
      <c r="C345" s="2477"/>
      <c r="D345" s="2477"/>
      <c r="E345" s="2477"/>
      <c r="F345" s="2477"/>
      <c r="G345" s="2477"/>
      <c r="H345" s="2477"/>
      <c r="I345" s="2477"/>
      <c r="J345" s="2477"/>
      <c r="K345" s="2095" t="str">
        <f ca="1">IF(OR(L163="N",L163="R",L164="N",L164="R"),"","x")</f>
        <v>x</v>
      </c>
    </row>
    <row r="346" spans="1:11" ht="15" customHeight="1" x14ac:dyDescent="0.25">
      <c r="A346" s="2477"/>
      <c r="B346" s="2477"/>
      <c r="C346" s="2477"/>
      <c r="D346" s="2477"/>
      <c r="E346" s="2477"/>
      <c r="F346" s="2477"/>
      <c r="G346" s="2477"/>
      <c r="H346" s="2477"/>
      <c r="I346" s="2477"/>
      <c r="J346" s="2477"/>
      <c r="K346" s="2095" t="str">
        <f ca="1">K345</f>
        <v>x</v>
      </c>
    </row>
    <row r="347" spans="1:11" ht="15" customHeight="1" x14ac:dyDescent="0.25">
      <c r="A347" s="2476" t="s">
        <v>480</v>
      </c>
      <c r="B347" s="2476"/>
      <c r="C347" s="2476"/>
      <c r="D347" s="2476"/>
      <c r="E347" s="2476"/>
      <c r="F347" s="2476"/>
      <c r="G347" s="2476"/>
      <c r="H347" s="2476"/>
      <c r="I347" s="2476"/>
      <c r="J347" s="2476"/>
      <c r="K347" s="2071" t="str">
        <f ca="1">IF(OR(J165="Não",J165="Restrição"),"","x")</f>
        <v>x</v>
      </c>
    </row>
    <row r="348" spans="1:11" ht="15" customHeight="1" x14ac:dyDescent="0.25">
      <c r="A348" s="2476"/>
      <c r="B348" s="2476"/>
      <c r="C348" s="2476"/>
      <c r="D348" s="2476"/>
      <c r="E348" s="2476"/>
      <c r="F348" s="2476"/>
      <c r="G348" s="2476"/>
      <c r="H348" s="2476"/>
      <c r="I348" s="2476"/>
      <c r="J348" s="2476"/>
      <c r="K348" s="2071" t="str">
        <f ca="1">K347</f>
        <v>x</v>
      </c>
    </row>
    <row r="349" spans="1:11" ht="15" customHeight="1" x14ac:dyDescent="0.25">
      <c r="A349" s="2476"/>
      <c r="B349" s="2476"/>
      <c r="C349" s="2476"/>
      <c r="D349" s="2476"/>
      <c r="E349" s="2476"/>
      <c r="F349" s="2476"/>
      <c r="G349" s="2476"/>
      <c r="H349" s="2476"/>
      <c r="I349" s="2476"/>
      <c r="J349" s="2476"/>
      <c r="K349" s="2071" t="str">
        <f ca="1">K348</f>
        <v>x</v>
      </c>
    </row>
    <row r="350" spans="1:11" ht="15" customHeight="1" x14ac:dyDescent="0.25">
      <c r="A350" s="2476" t="s">
        <v>1001</v>
      </c>
      <c r="B350" s="2476"/>
      <c r="C350" s="2476"/>
      <c r="D350" s="2476"/>
      <c r="E350" s="2476"/>
      <c r="F350" s="2476"/>
      <c r="G350" s="2476"/>
      <c r="H350" s="2476"/>
      <c r="I350" s="2476"/>
      <c r="J350" s="2476"/>
      <c r="K350" s="2071" t="str">
        <f>IF(OR(J166="Não",J166="Restrição"),"","x")</f>
        <v>x</v>
      </c>
    </row>
    <row r="351" spans="1:11" ht="15" customHeight="1" x14ac:dyDescent="0.25">
      <c r="A351" s="2476"/>
      <c r="B351" s="2476"/>
      <c r="C351" s="2476"/>
      <c r="D351" s="2476"/>
      <c r="E351" s="2476"/>
      <c r="F351" s="2476"/>
      <c r="G351" s="2476"/>
      <c r="H351" s="2476"/>
      <c r="I351" s="2476"/>
      <c r="J351" s="2476"/>
      <c r="K351" s="2071" t="str">
        <f>K350</f>
        <v>x</v>
      </c>
    </row>
    <row r="352" spans="1:11" ht="15" customHeight="1" x14ac:dyDescent="0.25">
      <c r="A352" s="2476" t="str">
        <f>"                 A resolução de baixo contraste não atende à referência indicada para o controle de qualidade da imagem. Recomenda-se o ajuste."</f>
        <v xml:space="preserve">                 A resolução de baixo contraste não atende à referência indicada para o controle de qualidade da imagem. Recomenda-se o ajuste.</v>
      </c>
      <c r="B352" s="2476"/>
      <c r="C352" s="2476"/>
      <c r="D352" s="2476"/>
      <c r="E352" s="2476"/>
      <c r="F352" s="2476"/>
      <c r="G352" s="2476"/>
      <c r="H352" s="2476"/>
      <c r="I352" s="2476"/>
      <c r="J352" s="2476"/>
      <c r="K352" s="2071" t="str">
        <f>IF(COUNTIF(J171:J182,"Não")&gt;0,"","x")</f>
        <v>x</v>
      </c>
    </row>
    <row r="353" spans="1:11" ht="15" customHeight="1" x14ac:dyDescent="0.25">
      <c r="A353" s="2476"/>
      <c r="B353" s="2476"/>
      <c r="C353" s="2476"/>
      <c r="D353" s="2476"/>
      <c r="E353" s="2476"/>
      <c r="F353" s="2476"/>
      <c r="G353" s="2476"/>
      <c r="H353" s="2476"/>
      <c r="I353" s="2476"/>
      <c r="J353" s="2476"/>
      <c r="K353" s="2071" t="str">
        <f>K352</f>
        <v>x</v>
      </c>
    </row>
    <row r="354" spans="1:11" ht="15" customHeight="1" x14ac:dyDescent="0.25">
      <c r="A354" s="2476" t="str">
        <f>"                 A resolução espacial está fora de tolerância (2,5 pl/mm) "&amp;IF(convencional!A47="Foco Fino","para o foco fino ","")&amp;"devido à forte desgaste do tubo de raios X. O tubo de raios X deve ser substituído"&amp;IF(convencional!A47="Foco Fino"," ou bloqueado o uso de correntes de foco fino","")&amp;"."</f>
        <v xml:space="preserve">                 A resolução espacial está fora de tolerância (2,5 pl/mm) para o foco fino devido à forte desgaste do tubo de raios X. O tubo de raios X deve ser substituído ou bloqueado o uso de correntes de foco fino.</v>
      </c>
      <c r="B354" s="2476"/>
      <c r="C354" s="2476"/>
      <c r="D354" s="2476"/>
      <c r="E354" s="2476"/>
      <c r="F354" s="2476"/>
      <c r="G354" s="2476"/>
      <c r="H354" s="2476"/>
      <c r="I354" s="2476"/>
      <c r="J354" s="2476"/>
      <c r="K354" s="2071" t="str">
        <f>IF(OR(L169="N",L169="R"),"","x")</f>
        <v>x</v>
      </c>
    </row>
    <row r="355" spans="1:11" ht="15" customHeight="1" x14ac:dyDescent="0.25">
      <c r="A355" s="2476"/>
      <c r="B355" s="2476"/>
      <c r="C355" s="2476"/>
      <c r="D355" s="2476"/>
      <c r="E355" s="2476"/>
      <c r="F355" s="2476"/>
      <c r="G355" s="2476"/>
      <c r="H355" s="2476"/>
      <c r="I355" s="2476"/>
      <c r="J355" s="2476"/>
      <c r="K355" s="2071" t="str">
        <f>K354</f>
        <v>x</v>
      </c>
    </row>
    <row r="356" spans="1:11" ht="15" customHeight="1" x14ac:dyDescent="0.25">
      <c r="A356" s="2476"/>
      <c r="B356" s="2476"/>
      <c r="C356" s="2476"/>
      <c r="D356" s="2476"/>
      <c r="E356" s="2476"/>
      <c r="F356" s="2476"/>
      <c r="G356" s="2476"/>
      <c r="H356" s="2476"/>
      <c r="I356" s="2476"/>
      <c r="J356" s="2476"/>
      <c r="K356" s="2071" t="str">
        <f>K355</f>
        <v>x</v>
      </c>
    </row>
    <row r="357" spans="1:11" ht="15" customHeight="1" x14ac:dyDescent="0.25">
      <c r="A357" s="2476" t="s">
        <v>498</v>
      </c>
      <c r="B357" s="2476"/>
      <c r="C357" s="2476"/>
      <c r="D357" s="2476"/>
      <c r="E357" s="2476"/>
      <c r="F357" s="2476"/>
      <c r="G357" s="2476"/>
      <c r="H357" s="2476"/>
      <c r="I357" s="2476"/>
      <c r="J357" s="2476"/>
      <c r="K357" s="2071" t="str">
        <f>IF(OR(L170="N",L170="R"),"","x")</f>
        <v>x</v>
      </c>
    </row>
    <row r="358" spans="1:11" ht="15" customHeight="1" x14ac:dyDescent="0.25">
      <c r="A358" s="2476"/>
      <c r="B358" s="2476"/>
      <c r="C358" s="2476"/>
      <c r="D358" s="2476"/>
      <c r="E358" s="2476"/>
      <c r="F358" s="2476"/>
      <c r="G358" s="2476"/>
      <c r="H358" s="2476"/>
      <c r="I358" s="2476"/>
      <c r="J358" s="2476"/>
      <c r="K358" s="2071" t="str">
        <f>K357</f>
        <v>x</v>
      </c>
    </row>
    <row r="359" spans="1:11" ht="15" customHeight="1" x14ac:dyDescent="0.25">
      <c r="A359" s="2476"/>
      <c r="B359" s="2476"/>
      <c r="C359" s="2476"/>
      <c r="D359" s="2476"/>
      <c r="E359" s="2476"/>
      <c r="F359" s="2476"/>
      <c r="G359" s="2476"/>
      <c r="H359" s="2476"/>
      <c r="I359" s="2476"/>
      <c r="J359" s="2476"/>
      <c r="K359" s="2071" t="str">
        <f>K358</f>
        <v>x</v>
      </c>
    </row>
    <row r="360" spans="1:11" ht="15" customHeight="1" x14ac:dyDescent="0.25">
      <c r="A360" s="2476" t="s">
        <v>1704</v>
      </c>
      <c r="B360" s="2476"/>
      <c r="C360" s="2476"/>
      <c r="D360" s="2476"/>
      <c r="E360" s="2476"/>
      <c r="F360" s="2476"/>
      <c r="G360" s="2476"/>
      <c r="H360" s="2476"/>
      <c r="I360" s="2476"/>
      <c r="J360" s="2476"/>
      <c r="K360" s="2071" t="str">
        <f>IF(J193="Não","","x")</f>
        <v>x</v>
      </c>
    </row>
    <row r="361" spans="1:11" ht="15" customHeight="1" x14ac:dyDescent="0.25">
      <c r="A361" s="2476"/>
      <c r="B361" s="2476"/>
      <c r="C361" s="2476"/>
      <c r="D361" s="2476"/>
      <c r="E361" s="2476"/>
      <c r="F361" s="2476"/>
      <c r="G361" s="2476"/>
      <c r="H361" s="2476"/>
      <c r="I361" s="2476"/>
      <c r="J361" s="2476"/>
      <c r="K361" s="2071" t="str">
        <f>K360</f>
        <v>x</v>
      </c>
    </row>
    <row r="362" spans="1:11" ht="15" customHeight="1" x14ac:dyDescent="0.25">
      <c r="A362" s="2476" t="s">
        <v>1396</v>
      </c>
      <c r="B362" s="2476"/>
      <c r="C362" s="2476"/>
      <c r="D362" s="2476"/>
      <c r="E362" s="2476"/>
      <c r="F362" s="2476"/>
      <c r="G362" s="2476"/>
      <c r="H362" s="2476"/>
      <c r="I362" s="2476"/>
      <c r="J362" s="2476"/>
      <c r="K362" s="2071" t="str">
        <f>IF(OR(L194="N",L194="R",L195="N",L195="R"),"","x")</f>
        <v>x</v>
      </c>
    </row>
    <row r="363" spans="1:11" ht="15" customHeight="1" x14ac:dyDescent="0.25">
      <c r="A363" s="2476"/>
      <c r="B363" s="2476"/>
      <c r="C363" s="2476"/>
      <c r="D363" s="2476"/>
      <c r="E363" s="2476"/>
      <c r="F363" s="2476"/>
      <c r="G363" s="2476"/>
      <c r="H363" s="2476"/>
      <c r="I363" s="2476"/>
      <c r="J363" s="2476"/>
      <c r="K363" s="2071" t="str">
        <f>K362</f>
        <v>x</v>
      </c>
    </row>
    <row r="364" spans="1:11" ht="15" customHeight="1" x14ac:dyDescent="0.25">
      <c r="A364" s="2476"/>
      <c r="B364" s="2476"/>
      <c r="C364" s="2476"/>
      <c r="D364" s="2476"/>
      <c r="E364" s="2476"/>
      <c r="F364" s="2476"/>
      <c r="G364" s="2476"/>
      <c r="H364" s="2476"/>
      <c r="I364" s="2476"/>
      <c r="J364" s="2476"/>
      <c r="K364" s="2071" t="str">
        <f>K363</f>
        <v>x</v>
      </c>
    </row>
    <row r="365" spans="1:11" ht="15" customHeight="1" x14ac:dyDescent="0.25">
      <c r="A365" s="2476" t="s">
        <v>400</v>
      </c>
      <c r="B365" s="2476"/>
      <c r="C365" s="2476"/>
      <c r="D365" s="2476"/>
      <c r="E365" s="2476"/>
      <c r="F365" s="2476"/>
      <c r="G365" s="2476"/>
      <c r="H365" s="2476"/>
      <c r="I365" s="2476"/>
      <c r="J365" s="2476"/>
      <c r="K365" s="2071" t="str">
        <f>IF(OR(L196="N",L196="R"),"","x")</f>
        <v>x</v>
      </c>
    </row>
    <row r="366" spans="1:11" ht="15" customHeight="1" x14ac:dyDescent="0.25">
      <c r="A366" s="2476"/>
      <c r="B366" s="2476"/>
      <c r="C366" s="2476"/>
      <c r="D366" s="2476"/>
      <c r="E366" s="2476"/>
      <c r="F366" s="2476"/>
      <c r="G366" s="2476"/>
      <c r="H366" s="2476"/>
      <c r="I366" s="2476"/>
      <c r="J366" s="2476"/>
      <c r="K366" s="2071" t="str">
        <f>K365</f>
        <v>x</v>
      </c>
    </row>
    <row r="367" spans="1:11" ht="15" customHeight="1" x14ac:dyDescent="0.25">
      <c r="A367" s="2476" t="s">
        <v>1486</v>
      </c>
      <c r="B367" s="2476"/>
      <c r="C367" s="2476"/>
      <c r="D367" s="2476"/>
      <c r="E367" s="2476"/>
      <c r="F367" s="2476"/>
      <c r="G367" s="2476"/>
      <c r="H367" s="2476"/>
      <c r="I367" s="2476"/>
      <c r="J367" s="2476"/>
      <c r="K367" s="2071" t="str">
        <f>IF(AND(K197="",J197="Não"),"","x")</f>
        <v>x</v>
      </c>
    </row>
    <row r="368" spans="1:11" ht="15" customHeight="1" x14ac:dyDescent="0.25">
      <c r="A368" s="2476"/>
      <c r="B368" s="2476"/>
      <c r="C368" s="2476"/>
      <c r="D368" s="2476"/>
      <c r="E368" s="2476"/>
      <c r="F368" s="2476"/>
      <c r="G368" s="2476"/>
      <c r="H368" s="2476"/>
      <c r="I368" s="2476"/>
      <c r="J368" s="2476"/>
      <c r="K368" s="2071" t="str">
        <f>K367</f>
        <v>x</v>
      </c>
    </row>
    <row r="369" spans="1:11" ht="15" customHeight="1" x14ac:dyDescent="0.25">
      <c r="A369" s="2476" t="s">
        <v>2467</v>
      </c>
      <c r="B369" s="2476"/>
      <c r="C369" s="2476"/>
      <c r="D369" s="2476"/>
      <c r="E369" s="2476"/>
      <c r="F369" s="2476"/>
      <c r="G369" s="2476"/>
      <c r="H369" s="2476"/>
      <c r="I369" s="2476"/>
      <c r="J369" s="2476"/>
      <c r="K369" s="2071" t="str">
        <f>IFERROR(IF(OR(J202="Não",J202="Restrição"),"","x"),"x")</f>
        <v>x</v>
      </c>
    </row>
    <row r="370" spans="1:11" ht="15" customHeight="1" x14ac:dyDescent="0.25">
      <c r="A370" s="2476"/>
      <c r="B370" s="2476"/>
      <c r="C370" s="2476"/>
      <c r="D370" s="2476"/>
      <c r="E370" s="2476"/>
      <c r="F370" s="2476"/>
      <c r="G370" s="2476"/>
      <c r="H370" s="2476"/>
      <c r="I370" s="2476"/>
      <c r="J370" s="2476"/>
      <c r="K370" s="2071" t="str">
        <f>K369</f>
        <v>x</v>
      </c>
    </row>
    <row r="371" spans="1:11" ht="15" customHeight="1" x14ac:dyDescent="0.25">
      <c r="A371" s="2476" t="str">
        <f>"                Para os demais itens avaliados o equipamento atende aos requisitos da Instrução Normativa "&amp;VLOOKUP("Raios X convencional",IN_ANVISA[],2)&amp;"/"&amp;VLOOKUP("Raios X convencional",IN_ANVISA[],3)&amp;" da ANVISA."</f>
        <v xml:space="preserve">                Para os demais itens avaliados o equipamento atende aos requisitos da Instrução Normativa 90/2021 da ANVISA.</v>
      </c>
      <c r="B371" s="2476"/>
      <c r="C371" s="2476"/>
      <c r="D371" s="2476"/>
      <c r="E371" s="2476"/>
      <c r="F371" s="2476"/>
      <c r="G371" s="2476"/>
      <c r="H371" s="2476"/>
      <c r="I371" s="2476"/>
      <c r="J371" s="2476"/>
      <c r="K371" s="2071" t="str">
        <f ca="1">IF(SUM(COUNTIF(L156:L202,"=N")+COUNTIF(L156:L202,"=R")+L121+L72)&gt;0,"","x")</f>
        <v>x</v>
      </c>
    </row>
    <row r="372" spans="1:11" ht="15" customHeight="1" x14ac:dyDescent="0.25">
      <c r="A372" s="2476"/>
      <c r="B372" s="2476"/>
      <c r="C372" s="2476"/>
      <c r="D372" s="2476"/>
      <c r="E372" s="2476"/>
      <c r="F372" s="2476"/>
      <c r="G372" s="2476"/>
      <c r="H372" s="2476"/>
      <c r="I372" s="2476"/>
      <c r="J372" s="2476"/>
      <c r="K372" s="2071" t="str">
        <f ca="1">K371</f>
        <v>x</v>
      </c>
    </row>
    <row r="373" spans="1:11" ht="15" customHeight="1" x14ac:dyDescent="0.25">
      <c r="A373" s="2476" t="str">
        <f>"                Para os itens testados o equipamento atende aos requisitos da Instrução Normativa "&amp;VLOOKUP("Raios X convencional",IN_ANVISA[],2)&amp;"/"&amp;VLOOKUP("Raios X convencional",IN_ANVISA[],3)&amp;" da ANVISA."</f>
        <v xml:space="preserve">                Para os itens testados o equipamento atende aos requisitos da Instrução Normativa 90/2021 da ANVISA.</v>
      </c>
      <c r="B373" s="2476"/>
      <c r="C373" s="2476"/>
      <c r="D373" s="2476"/>
      <c r="E373" s="2476"/>
      <c r="F373" s="2476"/>
      <c r="G373" s="2476"/>
      <c r="H373" s="2476"/>
      <c r="I373" s="2476"/>
      <c r="J373" s="2476"/>
      <c r="K373" s="2118" t="str">
        <f t="shared" ref="K373:K374" ca="1" si="15">K372</f>
        <v>x</v>
      </c>
    </row>
    <row r="374" spans="1:11" ht="15" customHeight="1" x14ac:dyDescent="0.25">
      <c r="A374" s="2476"/>
      <c r="B374" s="2476"/>
      <c r="C374" s="2476"/>
      <c r="D374" s="2476"/>
      <c r="E374" s="2476"/>
      <c r="F374" s="2476"/>
      <c r="G374" s="2476"/>
      <c r="H374" s="2476"/>
      <c r="I374" s="2476"/>
      <c r="J374" s="2476"/>
      <c r="K374" s="2118" t="str">
        <f t="shared" ca="1" si="15"/>
        <v>x</v>
      </c>
    </row>
    <row r="375" spans="1:11" s="2118" customFormat="1" ht="15" customHeight="1" x14ac:dyDescent="0.25">
      <c r="A375" s="2476" t="str">
        <f>IF(COUNTIF(L242:L245,"Não conforme")&lt;&gt;0,"                O equipamento não atende aos requisitos da Instrução Normativa "&amp;VLOOKUP("Raios X convencional",IN_ANVISA[],2)&amp;"/"&amp;VLOOKUP("Raios X convencional",IN_ANVISA[],3)&amp;" da ANVISA para a qualidade de imagem.","                 O equipamento atende aos requisitos da Instrução Normativa "&amp;VLOOKUP("Raios X convencional",IN_ANVISA[],2)&amp;"/"&amp;VLOOKUP("Raios X convencional",IN_ANVISA[],3)&amp;" da ANVISA para a qualidade de imagem.")</f>
        <v xml:space="preserve">                 O equipamento atende aos requisitos da Instrução Normativa 90/2021 da ANVISA para a qualidade de imagem.</v>
      </c>
      <c r="B375" s="2476"/>
      <c r="C375" s="2476"/>
      <c r="D375" s="2476"/>
      <c r="E375" s="2476"/>
      <c r="F375" s="2476"/>
      <c r="G375" s="2476"/>
      <c r="H375" s="2476"/>
      <c r="I375" s="2476"/>
      <c r="J375" s="2476"/>
      <c r="K375" s="2251" t="str">
        <f ca="1">IF(COUNTIF(I224:J245,"Não conforme"&lt;&gt;0),"x","")</f>
        <v/>
      </c>
    </row>
    <row r="376" spans="1:11" s="2118" customFormat="1" ht="15" customHeight="1" x14ac:dyDescent="0.25">
      <c r="A376" s="2476"/>
      <c r="B376" s="2476"/>
      <c r="C376" s="2476"/>
      <c r="D376" s="2476"/>
      <c r="E376" s="2476"/>
      <c r="F376" s="2476"/>
      <c r="G376" s="2476"/>
      <c r="H376" s="2476"/>
      <c r="I376" s="2476"/>
      <c r="J376" s="2476"/>
      <c r="K376" s="2272" t="str">
        <f t="shared" ref="K376:K378" ca="1" si="16">IF(COUNTIF(I225:J246,"Não conforme"&lt;&gt;0),"x","")</f>
        <v/>
      </c>
    </row>
    <row r="377" spans="1:11" ht="15" customHeight="1" x14ac:dyDescent="0.25">
      <c r="A377" s="2476" t="str">
        <f>"                 O equipamento atende aos requisitos da Instrução Normativa "&amp;VLOOKUP("Raios X convencional",IN_ANVISA[],2)&amp;"/"&amp;VLOOKUP("Raios X convencional",IN_ANVISA[],3)&amp;" da ANVISA."</f>
        <v xml:space="preserve">                 O equipamento atende aos requisitos da Instrução Normativa 90/2021 da ANVISA.</v>
      </c>
      <c r="B377" s="2476"/>
      <c r="C377" s="2476"/>
      <c r="D377" s="2476"/>
      <c r="E377" s="2476"/>
      <c r="F377" s="2476"/>
      <c r="G377" s="2476"/>
      <c r="H377" s="2476"/>
      <c r="I377" s="2476"/>
      <c r="J377" s="2476"/>
      <c r="K377" s="2272" t="str">
        <f t="shared" ca="1" si="16"/>
        <v/>
      </c>
    </row>
    <row r="378" spans="1:11" ht="15" customHeight="1" x14ac:dyDescent="0.25">
      <c r="A378" s="2476"/>
      <c r="B378" s="2476"/>
      <c r="C378" s="2476"/>
      <c r="D378" s="2476"/>
      <c r="E378" s="2476"/>
      <c r="F378" s="2476"/>
      <c r="G378" s="2476"/>
      <c r="H378" s="2476"/>
      <c r="I378" s="2476"/>
      <c r="J378" s="2476"/>
      <c r="K378" s="2272" t="str">
        <f t="shared" ca="1" si="16"/>
        <v/>
      </c>
    </row>
    <row r="379" spans="1:11" ht="15" customHeight="1" x14ac:dyDescent="0.25">
      <c r="A379" s="2067"/>
      <c r="B379" s="2067"/>
      <c r="C379" s="2067"/>
      <c r="D379" s="2067"/>
      <c r="E379" s="2067"/>
      <c r="F379" s="2067"/>
      <c r="G379" s="2067"/>
      <c r="H379" s="2067"/>
      <c r="I379" s="2067"/>
      <c r="J379" s="2067"/>
    </row>
    <row r="380" spans="1:11" ht="15" customHeight="1" x14ac:dyDescent="0.25">
      <c r="A380" s="2476"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380" s="2476"/>
      <c r="C380" s="2476"/>
      <c r="D380" s="2476"/>
      <c r="E380" s="2476"/>
      <c r="F380" s="2476"/>
      <c r="G380" s="2476"/>
      <c r="H380" s="2476"/>
      <c r="I380" s="2476"/>
      <c r="J380" s="2476"/>
      <c r="K380" s="2071" t="str">
        <f ca="1">IF(SUM(COUNTIF(B80:I116,"=restrição")+IF(K138="",0,COUNTIF(C129:I129,"=restrição")+COUNTIF(C135:I135,"=restrição"))+COUNTIF(L156:L202,"=R")+COUNTIF(C147:I147,"=restrição")+COUNTIF(C149:I149,"=restrição"))&gt;0,"","x")</f>
        <v>x</v>
      </c>
    </row>
    <row r="381" spans="1:11" ht="15" customHeight="1" x14ac:dyDescent="0.25">
      <c r="A381" s="2476"/>
      <c r="B381" s="2476"/>
      <c r="C381" s="2476"/>
      <c r="D381" s="2476"/>
      <c r="E381" s="2476"/>
      <c r="F381" s="2476"/>
      <c r="G381" s="2476"/>
      <c r="H381" s="2476"/>
      <c r="I381" s="2476"/>
      <c r="J381" s="2476"/>
      <c r="K381" s="2071" t="str">
        <f ca="1">K380</f>
        <v>x</v>
      </c>
    </row>
    <row r="382" spans="1:11" ht="15" customHeight="1" x14ac:dyDescent="0.25">
      <c r="A382" s="2476"/>
      <c r="B382" s="2476"/>
      <c r="C382" s="2476"/>
      <c r="D382" s="2476"/>
      <c r="E382" s="2476"/>
      <c r="F382" s="2476"/>
      <c r="G382" s="2476"/>
      <c r="H382" s="2476"/>
      <c r="I382" s="2476"/>
      <c r="J382" s="2476"/>
      <c r="K382" s="2071" t="str">
        <f ca="1">K381</f>
        <v>x</v>
      </c>
    </row>
    <row r="383" spans="1:11" ht="15" customHeight="1" x14ac:dyDescent="0.25">
      <c r="A383" s="2476"/>
      <c r="B383" s="2476"/>
      <c r="C383" s="2476"/>
      <c r="D383" s="2476"/>
      <c r="E383" s="2476"/>
      <c r="F383" s="2476"/>
      <c r="G383" s="2476"/>
      <c r="H383" s="2476"/>
      <c r="I383" s="2476"/>
      <c r="J383" s="2476"/>
      <c r="K383" s="2071" t="str">
        <f ca="1">K382</f>
        <v>x</v>
      </c>
    </row>
    <row r="384" spans="1:11" ht="15" customHeight="1" x14ac:dyDescent="0.25">
      <c r="A384" s="2476"/>
      <c r="B384" s="2476"/>
      <c r="C384" s="2476"/>
      <c r="D384" s="2476"/>
      <c r="E384" s="2476"/>
      <c r="F384" s="2476"/>
      <c r="G384" s="2476"/>
      <c r="H384" s="2476"/>
      <c r="I384" s="2476"/>
      <c r="J384" s="2476"/>
      <c r="K384" s="2071" t="str">
        <f ca="1">K383</f>
        <v>x</v>
      </c>
    </row>
    <row r="385" spans="1:11" ht="15" customHeight="1" x14ac:dyDescent="0.25">
      <c r="A385" s="2476"/>
      <c r="B385" s="2476"/>
      <c r="C385" s="2476"/>
      <c r="D385" s="2476"/>
      <c r="E385" s="2476"/>
      <c r="F385" s="2476"/>
      <c r="G385" s="2476"/>
      <c r="H385" s="2476"/>
      <c r="I385" s="2476"/>
      <c r="J385" s="2476"/>
      <c r="K385" s="2071" t="str">
        <f ca="1">K384</f>
        <v>x</v>
      </c>
    </row>
    <row r="386" spans="1:11" ht="15" customHeight="1" x14ac:dyDescent="0.25">
      <c r="A386" s="2067"/>
      <c r="B386" s="2067"/>
      <c r="C386" s="2067"/>
      <c r="D386" s="2067"/>
      <c r="E386" s="2067"/>
      <c r="F386" s="2067"/>
      <c r="G386" s="2067"/>
      <c r="H386" s="2067"/>
      <c r="I386" s="2067"/>
      <c r="J386" s="2067"/>
    </row>
  </sheetData>
  <sheetProtection selectLockedCells="1" autoFilter="0"/>
  <autoFilter ref="K1:K390"/>
  <mergeCells count="391">
    <mergeCell ref="A251:J253"/>
    <mergeCell ref="A236:E236"/>
    <mergeCell ref="A237:E237"/>
    <mergeCell ref="A238:E238"/>
    <mergeCell ref="F223:G223"/>
    <mergeCell ref="F224:G224"/>
    <mergeCell ref="I223:J223"/>
    <mergeCell ref="I224:J224"/>
    <mergeCell ref="I227:J227"/>
    <mergeCell ref="F225:G225"/>
    <mergeCell ref="F226:G226"/>
    <mergeCell ref="F227:G227"/>
    <mergeCell ref="I228:J228"/>
    <mergeCell ref="I229:J229"/>
    <mergeCell ref="I230:J230"/>
    <mergeCell ref="A228:E228"/>
    <mergeCell ref="A229:E229"/>
    <mergeCell ref="A230:E230"/>
    <mergeCell ref="A231:E231"/>
    <mergeCell ref="A232:E232"/>
    <mergeCell ref="A233:E233"/>
    <mergeCell ref="F228:G228"/>
    <mergeCell ref="F229:G229"/>
    <mergeCell ref="F230:G230"/>
    <mergeCell ref="A375:J376"/>
    <mergeCell ref="A52:D52"/>
    <mergeCell ref="A53:D53"/>
    <mergeCell ref="A54:D54"/>
    <mergeCell ref="A56:D56"/>
    <mergeCell ref="A57:D57"/>
    <mergeCell ref="A58:D58"/>
    <mergeCell ref="I245:J245"/>
    <mergeCell ref="A244:E244"/>
    <mergeCell ref="F244:G244"/>
    <mergeCell ref="I244:J244"/>
    <mergeCell ref="A155:B155"/>
    <mergeCell ref="F155:G155"/>
    <mergeCell ref="C155:E155"/>
    <mergeCell ref="H155:I155"/>
    <mergeCell ref="A234:E234"/>
    <mergeCell ref="A235:E235"/>
    <mergeCell ref="I233:J233"/>
    <mergeCell ref="I234:J234"/>
    <mergeCell ref="I235:J235"/>
    <mergeCell ref="I236:J236"/>
    <mergeCell ref="A225:E225"/>
    <mergeCell ref="A226:E226"/>
    <mergeCell ref="H154:I154"/>
    <mergeCell ref="F233:G233"/>
    <mergeCell ref="F234:G234"/>
    <mergeCell ref="F235:G235"/>
    <mergeCell ref="F236:G236"/>
    <mergeCell ref="I225:J225"/>
    <mergeCell ref="I226:J226"/>
    <mergeCell ref="G46:H47"/>
    <mergeCell ref="F181:G181"/>
    <mergeCell ref="F182:G182"/>
    <mergeCell ref="F183:G183"/>
    <mergeCell ref="F184:G184"/>
    <mergeCell ref="F185:G185"/>
    <mergeCell ref="F186:G186"/>
    <mergeCell ref="F187:G187"/>
    <mergeCell ref="F174:G174"/>
    <mergeCell ref="F175:G175"/>
    <mergeCell ref="F176:G176"/>
    <mergeCell ref="F177:G177"/>
    <mergeCell ref="F178:G178"/>
    <mergeCell ref="F179:G179"/>
    <mergeCell ref="H165:I165"/>
    <mergeCell ref="H166:I166"/>
    <mergeCell ref="F231:G231"/>
    <mergeCell ref="A136:I136"/>
    <mergeCell ref="A117:I117"/>
    <mergeCell ref="C171:E171"/>
    <mergeCell ref="C172:E172"/>
    <mergeCell ref="A185:B185"/>
    <mergeCell ref="A118:I118"/>
    <mergeCell ref="C122:J122"/>
    <mergeCell ref="A137:I137"/>
    <mergeCell ref="C141:J141"/>
    <mergeCell ref="A151:J151"/>
    <mergeCell ref="H174:I174"/>
    <mergeCell ref="H167:I167"/>
    <mergeCell ref="C173:E173"/>
    <mergeCell ref="C174:E174"/>
    <mergeCell ref="C175:E175"/>
    <mergeCell ref="C176:E176"/>
    <mergeCell ref="C177:E177"/>
    <mergeCell ref="C178:E178"/>
    <mergeCell ref="C179:E179"/>
    <mergeCell ref="C180:E180"/>
    <mergeCell ref="F180:G180"/>
    <mergeCell ref="A154:B154"/>
    <mergeCell ref="A156:B156"/>
    <mergeCell ref="A157:B157"/>
    <mergeCell ref="A158:B158"/>
    <mergeCell ref="A211:J211"/>
    <mergeCell ref="A223:E223"/>
    <mergeCell ref="A224:E224"/>
    <mergeCell ref="I231:J231"/>
    <mergeCell ref="I232:J232"/>
    <mergeCell ref="A207:J208"/>
    <mergeCell ref="A209:J210"/>
    <mergeCell ref="A212:J212"/>
    <mergeCell ref="A215:J219"/>
    <mergeCell ref="A227:E227"/>
    <mergeCell ref="F232:G232"/>
    <mergeCell ref="A279:J279"/>
    <mergeCell ref="A305:J306"/>
    <mergeCell ref="A310:J311"/>
    <mergeCell ref="A312:J314"/>
    <mergeCell ref="A315:J317"/>
    <mergeCell ref="A318:J319"/>
    <mergeCell ref="A320:J321"/>
    <mergeCell ref="A307:J309"/>
    <mergeCell ref="A286:J286"/>
    <mergeCell ref="A293:J294"/>
    <mergeCell ref="A254:J255"/>
    <mergeCell ref="A1:D1"/>
    <mergeCell ref="E1:H1"/>
    <mergeCell ref="A36:J38"/>
    <mergeCell ref="A138:I138"/>
    <mergeCell ref="A69:I69"/>
    <mergeCell ref="A67:E67"/>
    <mergeCell ref="A50:D50"/>
    <mergeCell ref="E50:J50"/>
    <mergeCell ref="A39:J40"/>
    <mergeCell ref="A45:C45"/>
    <mergeCell ref="D45:F45"/>
    <mergeCell ref="G45:H45"/>
    <mergeCell ref="I45:J45"/>
    <mergeCell ref="A46:C47"/>
    <mergeCell ref="D46:F47"/>
    <mergeCell ref="I46:J47"/>
    <mergeCell ref="A3:J3"/>
    <mergeCell ref="A5:J5"/>
    <mergeCell ref="C9:J10"/>
    <mergeCell ref="E49:J49"/>
    <mergeCell ref="A64:E64"/>
    <mergeCell ref="G58:H58"/>
    <mergeCell ref="C17:J17"/>
    <mergeCell ref="C12:J13"/>
    <mergeCell ref="G64:I64"/>
    <mergeCell ref="G65:I65"/>
    <mergeCell ref="A380:J385"/>
    <mergeCell ref="A362:J364"/>
    <mergeCell ref="A304:J304"/>
    <mergeCell ref="A303:J303"/>
    <mergeCell ref="A287:J287"/>
    <mergeCell ref="A288:J289"/>
    <mergeCell ref="A290:I290"/>
    <mergeCell ref="A354:J356"/>
    <mergeCell ref="A377:J378"/>
    <mergeCell ref="A324:J325"/>
    <mergeCell ref="A328:J330"/>
    <mergeCell ref="A336:J338"/>
    <mergeCell ref="A339:J340"/>
    <mergeCell ref="A331:J332"/>
    <mergeCell ref="A347:J349"/>
    <mergeCell ref="A357:J359"/>
    <mergeCell ref="A371:J372"/>
    <mergeCell ref="A301:J302"/>
    <mergeCell ref="A298:J300"/>
    <mergeCell ref="A350:J351"/>
    <mergeCell ref="A326:J327"/>
    <mergeCell ref="A373:J374"/>
    <mergeCell ref="A322:J323"/>
    <mergeCell ref="A369:J370"/>
    <mergeCell ref="A367:J368"/>
    <mergeCell ref="A260:J264"/>
    <mergeCell ref="A256:J257"/>
    <mergeCell ref="A268:J269"/>
    <mergeCell ref="A259:J259"/>
    <mergeCell ref="A360:J361"/>
    <mergeCell ref="A280:J282"/>
    <mergeCell ref="A352:J353"/>
    <mergeCell ref="A295:J297"/>
    <mergeCell ref="A333:J335"/>
    <mergeCell ref="A276:J277"/>
    <mergeCell ref="A258:J258"/>
    <mergeCell ref="A270:J271"/>
    <mergeCell ref="A272:J273"/>
    <mergeCell ref="A265:J267"/>
    <mergeCell ref="A365:J366"/>
    <mergeCell ref="A341:J342"/>
    <mergeCell ref="A343:J344"/>
    <mergeCell ref="A345:J346"/>
    <mergeCell ref="A274:J275"/>
    <mergeCell ref="A278:J278"/>
    <mergeCell ref="A24:C24"/>
    <mergeCell ref="D24:F24"/>
    <mergeCell ref="G24:J24"/>
    <mergeCell ref="C73:J73"/>
    <mergeCell ref="A28:J29"/>
    <mergeCell ref="A32:J33"/>
    <mergeCell ref="G66:I66"/>
    <mergeCell ref="G67:I67"/>
    <mergeCell ref="A65:E65"/>
    <mergeCell ref="A66:E66"/>
    <mergeCell ref="G68:I68"/>
    <mergeCell ref="A68:E68"/>
    <mergeCell ref="A30:J31"/>
    <mergeCell ref="A59:D59"/>
    <mergeCell ref="E56:H56"/>
    <mergeCell ref="E57:H57"/>
    <mergeCell ref="A41:J42"/>
    <mergeCell ref="A49:D49"/>
    <mergeCell ref="C184:E184"/>
    <mergeCell ref="C185:E185"/>
    <mergeCell ref="C186:E186"/>
    <mergeCell ref="C187:E187"/>
    <mergeCell ref="C188:E188"/>
    <mergeCell ref="C189:E189"/>
    <mergeCell ref="C190:E190"/>
    <mergeCell ref="A183:B183"/>
    <mergeCell ref="A184:B184"/>
    <mergeCell ref="A186:B186"/>
    <mergeCell ref="A187:B187"/>
    <mergeCell ref="A202:B202"/>
    <mergeCell ref="A178:B178"/>
    <mergeCell ref="A179:B179"/>
    <mergeCell ref="A180:B180"/>
    <mergeCell ref="A181:B181"/>
    <mergeCell ref="A182:B182"/>
    <mergeCell ref="A199:B199"/>
    <mergeCell ref="A201:B201"/>
    <mergeCell ref="A159:B159"/>
    <mergeCell ref="A160:B160"/>
    <mergeCell ref="A161:B161"/>
    <mergeCell ref="A162:B162"/>
    <mergeCell ref="A163:B163"/>
    <mergeCell ref="A164:B164"/>
    <mergeCell ref="A165:B165"/>
    <mergeCell ref="A166:B166"/>
    <mergeCell ref="A167:B167"/>
    <mergeCell ref="A188:B188"/>
    <mergeCell ref="A189:B189"/>
    <mergeCell ref="A190:B190"/>
    <mergeCell ref="A191:B191"/>
    <mergeCell ref="A192:B192"/>
    <mergeCell ref="A193:B193"/>
    <mergeCell ref="A194:B194"/>
    <mergeCell ref="C154:E154"/>
    <mergeCell ref="C156:E156"/>
    <mergeCell ref="C157:E157"/>
    <mergeCell ref="C158:E158"/>
    <mergeCell ref="C159:E159"/>
    <mergeCell ref="C160:E160"/>
    <mergeCell ref="C161:E161"/>
    <mergeCell ref="C162:E162"/>
    <mergeCell ref="C163:E163"/>
    <mergeCell ref="C164:E164"/>
    <mergeCell ref="C165:E165"/>
    <mergeCell ref="C166:E166"/>
    <mergeCell ref="C167:E167"/>
    <mergeCell ref="C168:E168"/>
    <mergeCell ref="C169:E169"/>
    <mergeCell ref="C170:E170"/>
    <mergeCell ref="A176:B176"/>
    <mergeCell ref="A177:B177"/>
    <mergeCell ref="A168:B168"/>
    <mergeCell ref="A169:B169"/>
    <mergeCell ref="A170:B170"/>
    <mergeCell ref="A171:B171"/>
    <mergeCell ref="A172:B172"/>
    <mergeCell ref="A173:B173"/>
    <mergeCell ref="A174:B174"/>
    <mergeCell ref="A175:B175"/>
    <mergeCell ref="C202:E202"/>
    <mergeCell ref="F154:G154"/>
    <mergeCell ref="F158:G158"/>
    <mergeCell ref="F159:G159"/>
    <mergeCell ref="F202:G202"/>
    <mergeCell ref="F156:G156"/>
    <mergeCell ref="F157:G157"/>
    <mergeCell ref="F160:G160"/>
    <mergeCell ref="F161:G161"/>
    <mergeCell ref="F162:G162"/>
    <mergeCell ref="F163:G163"/>
    <mergeCell ref="F164:G164"/>
    <mergeCell ref="F165:G165"/>
    <mergeCell ref="F166:G166"/>
    <mergeCell ref="F167:G167"/>
    <mergeCell ref="F168:G168"/>
    <mergeCell ref="F169:G169"/>
    <mergeCell ref="F170:G170"/>
    <mergeCell ref="F171:G171"/>
    <mergeCell ref="F172:G172"/>
    <mergeCell ref="F173:G173"/>
    <mergeCell ref="C191:E191"/>
    <mergeCell ref="C197:E197"/>
    <mergeCell ref="C198:E198"/>
    <mergeCell ref="H156:I156"/>
    <mergeCell ref="H157:I157"/>
    <mergeCell ref="H158:I158"/>
    <mergeCell ref="H159:I159"/>
    <mergeCell ref="H160:I160"/>
    <mergeCell ref="H161:I161"/>
    <mergeCell ref="H162:I162"/>
    <mergeCell ref="H163:I163"/>
    <mergeCell ref="H164:I164"/>
    <mergeCell ref="H168:I168"/>
    <mergeCell ref="H169:I169"/>
    <mergeCell ref="H170:I170"/>
    <mergeCell ref="H171:I171"/>
    <mergeCell ref="H172:I172"/>
    <mergeCell ref="H173:I173"/>
    <mergeCell ref="H175:I175"/>
    <mergeCell ref="H176:I176"/>
    <mergeCell ref="H177:I177"/>
    <mergeCell ref="H178:I178"/>
    <mergeCell ref="H179:I179"/>
    <mergeCell ref="H180:I180"/>
    <mergeCell ref="H181:I181"/>
    <mergeCell ref="C181:E181"/>
    <mergeCell ref="C194:E194"/>
    <mergeCell ref="C195:E195"/>
    <mergeCell ref="C196:E196"/>
    <mergeCell ref="F188:G188"/>
    <mergeCell ref="H182:I182"/>
    <mergeCell ref="H183:I183"/>
    <mergeCell ref="H184:I184"/>
    <mergeCell ref="H185:I185"/>
    <mergeCell ref="H186:I186"/>
    <mergeCell ref="H187:I187"/>
    <mergeCell ref="H188:I188"/>
    <mergeCell ref="H189:I189"/>
    <mergeCell ref="H190:I190"/>
    <mergeCell ref="H191:I191"/>
    <mergeCell ref="H192:I192"/>
    <mergeCell ref="F189:G189"/>
    <mergeCell ref="F190:G190"/>
    <mergeCell ref="C182:E182"/>
    <mergeCell ref="C183:E183"/>
    <mergeCell ref="C201:E201"/>
    <mergeCell ref="C199:E199"/>
    <mergeCell ref="F191:G191"/>
    <mergeCell ref="F192:G192"/>
    <mergeCell ref="F193:G193"/>
    <mergeCell ref="F194:G194"/>
    <mergeCell ref="F195:G195"/>
    <mergeCell ref="F196:G196"/>
    <mergeCell ref="C192:E192"/>
    <mergeCell ref="I240:J240"/>
    <mergeCell ref="C193:E193"/>
    <mergeCell ref="I242:J242"/>
    <mergeCell ref="H202:I202"/>
    <mergeCell ref="A203:J204"/>
    <mergeCell ref="H193:I193"/>
    <mergeCell ref="H194:I194"/>
    <mergeCell ref="H195:I195"/>
    <mergeCell ref="H196:I196"/>
    <mergeCell ref="H197:I197"/>
    <mergeCell ref="H198:I198"/>
    <mergeCell ref="H199:I199"/>
    <mergeCell ref="H200:I200"/>
    <mergeCell ref="H201:I201"/>
    <mergeCell ref="F197:G197"/>
    <mergeCell ref="F198:G198"/>
    <mergeCell ref="F199:G199"/>
    <mergeCell ref="F200:G200"/>
    <mergeCell ref="F201:G201"/>
    <mergeCell ref="A195:B195"/>
    <mergeCell ref="A196:B196"/>
    <mergeCell ref="A197:B197"/>
    <mergeCell ref="A198:B198"/>
    <mergeCell ref="C200:E200"/>
    <mergeCell ref="I241:J241"/>
    <mergeCell ref="A200:B200"/>
    <mergeCell ref="A128:B128"/>
    <mergeCell ref="A134:B134"/>
    <mergeCell ref="I243:J243"/>
    <mergeCell ref="A247:J247"/>
    <mergeCell ref="A248:J248"/>
    <mergeCell ref="A239:E239"/>
    <mergeCell ref="A245:E245"/>
    <mergeCell ref="F245:G245"/>
    <mergeCell ref="F240:G240"/>
    <mergeCell ref="F241:G241"/>
    <mergeCell ref="F242:G242"/>
    <mergeCell ref="F243:G243"/>
    <mergeCell ref="A240:E240"/>
    <mergeCell ref="A241:E241"/>
    <mergeCell ref="A242:E242"/>
    <mergeCell ref="A243:E243"/>
    <mergeCell ref="F237:G237"/>
    <mergeCell ref="F238:G238"/>
    <mergeCell ref="F239:G239"/>
    <mergeCell ref="I239:J239"/>
    <mergeCell ref="I237:J237"/>
    <mergeCell ref="I238:J238"/>
  </mergeCells>
  <conditionalFormatting sqref="J156:J159 J162:J165 J169:J170 J194 J196">
    <cfRule type="cellIs" dxfId="1228" priority="229" operator="equal">
      <formula>"não"</formula>
    </cfRule>
  </conditionalFormatting>
  <conditionalFormatting sqref="C77:G78 I77:I78">
    <cfRule type="notContainsBlanks" dxfId="1227" priority="225">
      <formula>LEN(TRIM(C77))&gt;0</formula>
    </cfRule>
  </conditionalFormatting>
  <conditionalFormatting sqref="D130:I130">
    <cfRule type="notContainsBlanks" dxfId="1226" priority="224">
      <formula>LEN(TRIM(D130))&gt;0</formula>
    </cfRule>
  </conditionalFormatting>
  <conditionalFormatting sqref="B78:B79 H78 C79:I79">
    <cfRule type="notContainsBlanks" dxfId="1225" priority="223">
      <formula>LEN(TRIM(B78))&gt;0</formula>
    </cfRule>
  </conditionalFormatting>
  <conditionalFormatting sqref="B77:I77">
    <cfRule type="notContainsBlanks" dxfId="1224" priority="222">
      <formula>LEN(TRIM(B77))&gt;0</formula>
    </cfRule>
  </conditionalFormatting>
  <conditionalFormatting sqref="B80:I80">
    <cfRule type="cellIs" dxfId="1223" priority="219" operator="equal">
      <formula>"não"</formula>
    </cfRule>
    <cfRule type="notContainsBlanks" dxfId="1222" priority="220">
      <formula>LEN(TRIM(B80))&gt;0</formula>
    </cfRule>
  </conditionalFormatting>
  <conditionalFormatting sqref="C83:G83 I83">
    <cfRule type="notContainsBlanks" dxfId="1221" priority="218">
      <formula>LEN(TRIM(C83))&gt;0</formula>
    </cfRule>
  </conditionalFormatting>
  <conditionalFormatting sqref="B84:I84">
    <cfRule type="notContainsBlanks" dxfId="1220" priority="217">
      <formula>LEN(TRIM(B84))&gt;0</formula>
    </cfRule>
  </conditionalFormatting>
  <conditionalFormatting sqref="H83">
    <cfRule type="notContainsBlanks" dxfId="1219" priority="216">
      <formula>LEN(TRIM(H83))&gt;0</formula>
    </cfRule>
  </conditionalFormatting>
  <conditionalFormatting sqref="B90:I90">
    <cfRule type="notContainsBlanks" dxfId="1218" priority="212">
      <formula>LEN(TRIM(B90))&gt;0</formula>
    </cfRule>
  </conditionalFormatting>
  <conditionalFormatting sqref="C89:I89">
    <cfRule type="notContainsBlanks" dxfId="1217" priority="211">
      <formula>LEN(TRIM(C89))&gt;0</formula>
    </cfRule>
  </conditionalFormatting>
  <conditionalFormatting sqref="C126:I128">
    <cfRule type="cellIs" dxfId="1216" priority="181" operator="equal">
      <formula>"não"</formula>
    </cfRule>
    <cfRule type="notContainsBlanks" dxfId="1215" priority="182">
      <formula>LEN(TRIM(C126))&gt;0</formula>
    </cfRule>
  </conditionalFormatting>
  <conditionalFormatting sqref="D133:I134">
    <cfRule type="cellIs" dxfId="1214" priority="179" operator="equal">
      <formula>"não"</formula>
    </cfRule>
    <cfRule type="notContainsBlanks" dxfId="1213" priority="180">
      <formula>LEN(TRIM(D133))&gt;0</formula>
    </cfRule>
  </conditionalFormatting>
  <conditionalFormatting sqref="C146">
    <cfRule type="cellIs" dxfId="1212" priority="161" operator="equal">
      <formula>"não"</formula>
    </cfRule>
    <cfRule type="notContainsBlanks" dxfId="1211" priority="162">
      <formula>LEN(TRIM(C146))&gt;0</formula>
    </cfRule>
  </conditionalFormatting>
  <conditionalFormatting sqref="C145:I145 D146:I146 C147:H147">
    <cfRule type="cellIs" dxfId="1210" priority="175" operator="equal">
      <formula>"não"</formula>
    </cfRule>
    <cfRule type="notContainsBlanks" dxfId="1209" priority="176">
      <formula>LEN(TRIM(C145))&gt;0</formula>
    </cfRule>
  </conditionalFormatting>
  <conditionalFormatting sqref="C144:I144">
    <cfRule type="cellIs" dxfId="1208" priority="173" operator="equal">
      <formula>"não"</formula>
    </cfRule>
    <cfRule type="notContainsBlanks" dxfId="1207" priority="174">
      <formula>LEN(TRIM(C144))&gt;0</formula>
    </cfRule>
  </conditionalFormatting>
  <conditionalFormatting sqref="J160:J162">
    <cfRule type="cellIs" dxfId="1206" priority="158" operator="equal">
      <formula>"não"</formula>
    </cfRule>
  </conditionalFormatting>
  <conditionalFormatting sqref="J161:J162">
    <cfRule type="cellIs" dxfId="1205" priority="157" operator="equal">
      <formula>"não"</formula>
    </cfRule>
  </conditionalFormatting>
  <conditionalFormatting sqref="J156:J165 J169:J170 J194 J196">
    <cfRule type="containsText" dxfId="1204" priority="156" operator="containsText" text="não">
      <formula>NOT(ISERROR(SEARCH("não",J156)))</formula>
    </cfRule>
  </conditionalFormatting>
  <conditionalFormatting sqref="D148:G148">
    <cfRule type="cellIs" dxfId="1203" priority="145" operator="equal">
      <formula>"não"</formula>
    </cfRule>
    <cfRule type="notContainsBlanks" dxfId="1202" priority="146">
      <formula>LEN(TRIM(D148))&gt;0</formula>
    </cfRule>
  </conditionalFormatting>
  <conditionalFormatting sqref="C148">
    <cfRule type="cellIs" dxfId="1201" priority="143" operator="equal">
      <formula>"não"</formula>
    </cfRule>
    <cfRule type="notContainsBlanks" dxfId="1200" priority="144">
      <formula>LEN(TRIM(C148))&gt;0</formula>
    </cfRule>
  </conditionalFormatting>
  <conditionalFormatting sqref="H148">
    <cfRule type="cellIs" dxfId="1199" priority="141" operator="equal">
      <formula>"não"</formula>
    </cfRule>
    <cfRule type="notContainsBlanks" dxfId="1198" priority="142">
      <formula>LEN(TRIM(H148))&gt;0</formula>
    </cfRule>
  </conditionalFormatting>
  <conditionalFormatting sqref="C149:H149">
    <cfRule type="cellIs" dxfId="1197" priority="139" operator="equal">
      <formula>"não"</formula>
    </cfRule>
    <cfRule type="notContainsBlanks" dxfId="1196" priority="140">
      <formula>LEN(TRIM(C149))&gt;0</formula>
    </cfRule>
  </conditionalFormatting>
  <conditionalFormatting sqref="G65">
    <cfRule type="cellIs" dxfId="1195" priority="138" operator="equal">
      <formula>"não"</formula>
    </cfRule>
  </conditionalFormatting>
  <conditionalFormatting sqref="G65">
    <cfRule type="containsText" dxfId="1194" priority="137" operator="containsText" text="não">
      <formula>NOT(ISERROR(SEARCH("não",G65)))</formula>
    </cfRule>
  </conditionalFormatting>
  <conditionalFormatting sqref="G66">
    <cfRule type="cellIs" dxfId="1193" priority="136" operator="equal">
      <formula>"não"</formula>
    </cfRule>
  </conditionalFormatting>
  <conditionalFormatting sqref="G67">
    <cfRule type="cellIs" dxfId="1192" priority="135" operator="notEqual">
      <formula>"em condições de funcionamento"</formula>
    </cfRule>
  </conditionalFormatting>
  <conditionalFormatting sqref="G68">
    <cfRule type="cellIs" dxfId="1191" priority="133" operator="equal">
      <formula>"≥ 2 m"</formula>
    </cfRule>
    <cfRule type="cellIs" priority="134" operator="equal">
      <formula>"≥ 2 m"</formula>
    </cfRule>
  </conditionalFormatting>
  <conditionalFormatting sqref="C86:I86">
    <cfRule type="cellIs" dxfId="1190" priority="129" operator="equal">
      <formula>"não"</formula>
    </cfRule>
    <cfRule type="notContainsBlanks" dxfId="1189" priority="130">
      <formula>LEN(TRIM(C86))&gt;0</formula>
    </cfRule>
  </conditionalFormatting>
  <conditionalFormatting sqref="C77:J77">
    <cfRule type="cellIs" dxfId="1188" priority="115" operator="equal">
      <formula>""""""</formula>
    </cfRule>
  </conditionalFormatting>
  <conditionalFormatting sqref="B86:I86">
    <cfRule type="cellIs" dxfId="1187" priority="113" operator="equal">
      <formula>"não"</formula>
    </cfRule>
    <cfRule type="notContainsBlanks" dxfId="1186" priority="114">
      <formula>LEN(TRIM(B86))&gt;0</formula>
    </cfRule>
  </conditionalFormatting>
  <conditionalFormatting sqref="C92:I92">
    <cfRule type="cellIs" dxfId="1185" priority="111" operator="equal">
      <formula>"não"</formula>
    </cfRule>
    <cfRule type="notContainsBlanks" dxfId="1184" priority="112">
      <formula>LEN(TRIM(C92))&gt;0</formula>
    </cfRule>
  </conditionalFormatting>
  <conditionalFormatting sqref="B92:I92">
    <cfRule type="cellIs" dxfId="1183" priority="109" operator="equal">
      <formula>"não"</formula>
    </cfRule>
    <cfRule type="notContainsBlanks" dxfId="1182" priority="110">
      <formula>LEN(TRIM(B92))&gt;0</formula>
    </cfRule>
  </conditionalFormatting>
  <conditionalFormatting sqref="C98:I98">
    <cfRule type="cellIs" dxfId="1181" priority="107" operator="equal">
      <formula>"não"</formula>
    </cfRule>
    <cfRule type="notContainsBlanks" dxfId="1180" priority="108">
      <formula>LEN(TRIM(C98))&gt;0</formula>
    </cfRule>
  </conditionalFormatting>
  <conditionalFormatting sqref="B98:I98">
    <cfRule type="cellIs" dxfId="1179" priority="105" operator="equal">
      <formula>"não"</formula>
    </cfRule>
    <cfRule type="notContainsBlanks" dxfId="1178" priority="106">
      <formula>LEN(TRIM(B98))&gt;0</formula>
    </cfRule>
  </conditionalFormatting>
  <conditionalFormatting sqref="C129:I129">
    <cfRule type="cellIs" dxfId="1177" priority="95" operator="equal">
      <formula>"não"</formula>
    </cfRule>
    <cfRule type="notContainsBlanks" dxfId="1176" priority="96">
      <formula>LEN(TRIM(C129))&gt;0</formula>
    </cfRule>
  </conditionalFormatting>
  <conditionalFormatting sqref="C135:I135">
    <cfRule type="cellIs" dxfId="1175" priority="91" operator="equal">
      <formula>"não"</formula>
    </cfRule>
    <cfRule type="notContainsBlanks" dxfId="1174" priority="92">
      <formula>LEN(TRIM(C135))&gt;0</formula>
    </cfRule>
  </conditionalFormatting>
  <conditionalFormatting sqref="B83">
    <cfRule type="notContainsBlanks" dxfId="1173" priority="90">
      <formula>LEN(TRIM(B83))&gt;0</formula>
    </cfRule>
  </conditionalFormatting>
  <conditionalFormatting sqref="M83">
    <cfRule type="notContainsBlanks" dxfId="1172" priority="89">
      <formula>LEN(TRIM(M83))&gt;0</formula>
    </cfRule>
  </conditionalFormatting>
  <conditionalFormatting sqref="M84:M92">
    <cfRule type="notContainsBlanks" dxfId="1171" priority="88">
      <formula>LEN(TRIM(M84))&gt;0</formula>
    </cfRule>
  </conditionalFormatting>
  <conditionalFormatting sqref="B89">
    <cfRule type="notContainsBlanks" dxfId="1170" priority="87">
      <formula>LEN(TRIM(B89))&gt;0</formula>
    </cfRule>
  </conditionalFormatting>
  <conditionalFormatting sqref="B95">
    <cfRule type="notContainsBlanks" dxfId="1169" priority="84">
      <formula>LEN(TRIM(B95))&gt;0</formula>
    </cfRule>
  </conditionalFormatting>
  <conditionalFormatting sqref="C95:I95">
    <cfRule type="notContainsBlanks" dxfId="1168" priority="83">
      <formula>LEN(TRIM(C95))&gt;0</formula>
    </cfRule>
  </conditionalFormatting>
  <conditionalFormatting sqref="B96:I96">
    <cfRule type="notContainsBlanks" dxfId="1167" priority="82">
      <formula>LEN(TRIM(B96))&gt;0</formula>
    </cfRule>
  </conditionalFormatting>
  <conditionalFormatting sqref="B104:I104">
    <cfRule type="cellIs" dxfId="1166" priority="80" operator="equal">
      <formula>"não"</formula>
    </cfRule>
    <cfRule type="notContainsBlanks" dxfId="1165" priority="81">
      <formula>LEN(TRIM(B104))&gt;0</formula>
    </cfRule>
  </conditionalFormatting>
  <conditionalFormatting sqref="B101:I101">
    <cfRule type="notContainsBlanks" dxfId="1164" priority="79">
      <formula>LEN(TRIM(B101))&gt;0</formula>
    </cfRule>
  </conditionalFormatting>
  <conditionalFormatting sqref="B102:I102">
    <cfRule type="notContainsBlanks" dxfId="1163" priority="78">
      <formula>LEN(TRIM(B102))&gt;0</formula>
    </cfRule>
  </conditionalFormatting>
  <conditionalFormatting sqref="B110:I110">
    <cfRule type="cellIs" dxfId="1162" priority="76" operator="equal">
      <formula>"não"</formula>
    </cfRule>
    <cfRule type="notContainsBlanks" dxfId="1161" priority="77">
      <formula>LEN(TRIM(B110))&gt;0</formula>
    </cfRule>
  </conditionalFormatting>
  <conditionalFormatting sqref="B107:I107">
    <cfRule type="notContainsBlanks" dxfId="1160" priority="75">
      <formula>LEN(TRIM(B107))&gt;0</formula>
    </cfRule>
  </conditionalFormatting>
  <conditionalFormatting sqref="B108:I108">
    <cfRule type="notContainsBlanks" dxfId="1159" priority="74">
      <formula>LEN(TRIM(B108))&gt;0</formula>
    </cfRule>
  </conditionalFormatting>
  <conditionalFormatting sqref="B80:I80 B86:I86 B92:I92 B98:I98 B104:I104 B110:I110 J198:J201">
    <cfRule type="cellIs" dxfId="1158" priority="73" operator="equal">
      <formula>"Restrição"</formula>
    </cfRule>
  </conditionalFormatting>
  <conditionalFormatting sqref="C147:H147 C149:H149 J156:J165 C135:I135 C129:I129 J169:J170 J194 J196">
    <cfRule type="cellIs" dxfId="1157" priority="72" operator="equal">
      <formula>"Restrição"</formula>
    </cfRule>
  </conditionalFormatting>
  <conditionalFormatting sqref="C126:I126">
    <cfRule type="cellIs" dxfId="1156" priority="71" operator="equal">
      <formula>0</formula>
    </cfRule>
  </conditionalFormatting>
  <conditionalFormatting sqref="D132:I132">
    <cfRule type="cellIs" dxfId="1155" priority="69" operator="equal">
      <formula>"não"</formula>
    </cfRule>
    <cfRule type="notContainsBlanks" dxfId="1154" priority="70">
      <formula>LEN(TRIM(D132))&gt;0</formula>
    </cfRule>
  </conditionalFormatting>
  <conditionalFormatting sqref="D132:I132">
    <cfRule type="cellIs" dxfId="1153" priority="68" operator="equal">
      <formula>0</formula>
    </cfRule>
  </conditionalFormatting>
  <conditionalFormatting sqref="C132">
    <cfRule type="cellIs" dxfId="1152" priority="66" operator="equal">
      <formula>"não"</formula>
    </cfRule>
    <cfRule type="notContainsBlanks" dxfId="1151" priority="67">
      <formula>LEN(TRIM(C132))&gt;0</formula>
    </cfRule>
  </conditionalFormatting>
  <conditionalFormatting sqref="C132">
    <cfRule type="cellIs" dxfId="1150" priority="65" operator="equal">
      <formula>0</formula>
    </cfRule>
  </conditionalFormatting>
  <conditionalFormatting sqref="I147">
    <cfRule type="cellIs" dxfId="1149" priority="63" operator="equal">
      <formula>"não"</formula>
    </cfRule>
    <cfRule type="notContainsBlanks" dxfId="1148" priority="64">
      <formula>LEN(TRIM(I147))&gt;0</formula>
    </cfRule>
  </conditionalFormatting>
  <conditionalFormatting sqref="I148">
    <cfRule type="cellIs" dxfId="1147" priority="61" operator="equal">
      <formula>"não"</formula>
    </cfRule>
    <cfRule type="notContainsBlanks" dxfId="1146" priority="62">
      <formula>LEN(TRIM(I148))&gt;0</formula>
    </cfRule>
  </conditionalFormatting>
  <conditionalFormatting sqref="I149">
    <cfRule type="cellIs" dxfId="1145" priority="59" operator="equal">
      <formula>"não"</formula>
    </cfRule>
    <cfRule type="notContainsBlanks" dxfId="1144" priority="60">
      <formula>LEN(TRIM(I149))&gt;0</formula>
    </cfRule>
  </conditionalFormatting>
  <conditionalFormatting sqref="I147 I149">
    <cfRule type="cellIs" dxfId="1143" priority="58" operator="equal">
      <formula>"Restrição"</formula>
    </cfRule>
  </conditionalFormatting>
  <conditionalFormatting sqref="C133:C134">
    <cfRule type="cellIs" dxfId="1142" priority="56" operator="equal">
      <formula>"não"</formula>
    </cfRule>
    <cfRule type="notContainsBlanks" dxfId="1141" priority="57">
      <formula>LEN(TRIM(C133))&gt;0</formula>
    </cfRule>
  </conditionalFormatting>
  <conditionalFormatting sqref="C135:I135">
    <cfRule type="cellIs" dxfId="1140" priority="54" operator="equal">
      <formula>"não"</formula>
    </cfRule>
    <cfRule type="notContainsBlanks" dxfId="1139" priority="55">
      <formula>LEN(TRIM(C135))&gt;0</formula>
    </cfRule>
  </conditionalFormatting>
  <conditionalFormatting sqref="J166">
    <cfRule type="cellIs" dxfId="1138" priority="53" operator="equal">
      <formula>"não"</formula>
    </cfRule>
  </conditionalFormatting>
  <conditionalFormatting sqref="J166">
    <cfRule type="containsText" dxfId="1137" priority="52" operator="containsText" text="não">
      <formula>NOT(ISERROR(SEARCH("não",J166)))</formula>
    </cfRule>
  </conditionalFormatting>
  <conditionalFormatting sqref="J166">
    <cfRule type="cellIs" dxfId="1136" priority="51" operator="equal">
      <formula>"Restrição"</formula>
    </cfRule>
  </conditionalFormatting>
  <conditionalFormatting sqref="J167:J168">
    <cfRule type="cellIs" dxfId="1135" priority="50" operator="equal">
      <formula>"não"</formula>
    </cfRule>
  </conditionalFormatting>
  <conditionalFormatting sqref="J167:J168">
    <cfRule type="containsText" dxfId="1134" priority="49" operator="containsText" text="não">
      <formula>NOT(ISERROR(SEARCH("não",J167)))</formula>
    </cfRule>
  </conditionalFormatting>
  <conditionalFormatting sqref="J167:J168">
    <cfRule type="cellIs" dxfId="1133" priority="48" operator="equal">
      <formula>"Restrição"</formula>
    </cfRule>
  </conditionalFormatting>
  <conditionalFormatting sqref="B116:I116">
    <cfRule type="cellIs" dxfId="1132" priority="46" operator="equal">
      <formula>"não"</formula>
    </cfRule>
    <cfRule type="notContainsBlanks" dxfId="1131" priority="47">
      <formula>LEN(TRIM(B116))&gt;0</formula>
    </cfRule>
  </conditionalFormatting>
  <conditionalFormatting sqref="B113:I113">
    <cfRule type="notContainsBlanks" dxfId="1130" priority="45">
      <formula>LEN(TRIM(B113))&gt;0</formula>
    </cfRule>
  </conditionalFormatting>
  <conditionalFormatting sqref="B114:I114">
    <cfRule type="notContainsBlanks" dxfId="1129" priority="44">
      <formula>LEN(TRIM(B114))&gt;0</formula>
    </cfRule>
  </conditionalFormatting>
  <conditionalFormatting sqref="B116:I116">
    <cfRule type="cellIs" dxfId="1128" priority="43" operator="equal">
      <formula>"Restrição"</formula>
    </cfRule>
  </conditionalFormatting>
  <conditionalFormatting sqref="J202">
    <cfRule type="cellIs" dxfId="1127" priority="42" operator="equal">
      <formula>"não"</formula>
    </cfRule>
  </conditionalFormatting>
  <conditionalFormatting sqref="J202">
    <cfRule type="containsText" dxfId="1126" priority="41" operator="containsText" text="não">
      <formula>NOT(ISERROR(SEARCH("não",J202)))</formula>
    </cfRule>
  </conditionalFormatting>
  <conditionalFormatting sqref="J202">
    <cfRule type="cellIs" dxfId="1125" priority="40" operator="equal">
      <formula>"Restrição"</formula>
    </cfRule>
  </conditionalFormatting>
  <conditionalFormatting sqref="J171:J172">
    <cfRule type="cellIs" dxfId="1124" priority="39" operator="equal">
      <formula>"não"</formula>
    </cfRule>
  </conditionalFormatting>
  <conditionalFormatting sqref="J171:J172">
    <cfRule type="containsText" dxfId="1123" priority="38" operator="containsText" text="não">
      <formula>NOT(ISERROR(SEARCH("não",J171)))</formula>
    </cfRule>
  </conditionalFormatting>
  <conditionalFormatting sqref="J171:J172">
    <cfRule type="cellIs" dxfId="1122" priority="37" operator="equal">
      <formula>"Restrição"</formula>
    </cfRule>
  </conditionalFormatting>
  <conditionalFormatting sqref="J195">
    <cfRule type="cellIs" dxfId="1121" priority="27" operator="equal">
      <formula>"não"</formula>
    </cfRule>
  </conditionalFormatting>
  <conditionalFormatting sqref="J195">
    <cfRule type="containsText" dxfId="1120" priority="26" operator="containsText" text="não">
      <formula>NOT(ISERROR(SEARCH("não",J195)))</formula>
    </cfRule>
  </conditionalFormatting>
  <conditionalFormatting sqref="J195">
    <cfRule type="cellIs" dxfId="1119" priority="25" operator="equal">
      <formula>"Restrição"</formula>
    </cfRule>
  </conditionalFormatting>
  <conditionalFormatting sqref="J197">
    <cfRule type="cellIs" dxfId="1118" priority="24" operator="equal">
      <formula>"não"</formula>
    </cfRule>
  </conditionalFormatting>
  <conditionalFormatting sqref="J197">
    <cfRule type="containsText" dxfId="1117" priority="23" operator="containsText" text="não">
      <formula>NOT(ISERROR(SEARCH("não",J197)))</formula>
    </cfRule>
  </conditionalFormatting>
  <conditionalFormatting sqref="J197">
    <cfRule type="cellIs" dxfId="1116" priority="22" operator="equal">
      <formula>"Restrição"</formula>
    </cfRule>
  </conditionalFormatting>
  <conditionalFormatting sqref="J173">
    <cfRule type="cellIs" dxfId="1115" priority="21" operator="equal">
      <formula>"não"</formula>
    </cfRule>
  </conditionalFormatting>
  <conditionalFormatting sqref="J173">
    <cfRule type="containsText" dxfId="1114" priority="20" operator="containsText" text="não">
      <formula>NOT(ISERROR(SEARCH("não",J173)))</formula>
    </cfRule>
  </conditionalFormatting>
  <conditionalFormatting sqref="J173">
    <cfRule type="cellIs" dxfId="1113" priority="19" operator="equal">
      <formula>"Restrição"</formula>
    </cfRule>
  </conditionalFormatting>
  <conditionalFormatting sqref="J174:J182">
    <cfRule type="cellIs" dxfId="1112" priority="18" operator="equal">
      <formula>"não"</formula>
    </cfRule>
  </conditionalFormatting>
  <conditionalFormatting sqref="J174:J182">
    <cfRule type="containsText" dxfId="1111" priority="17" operator="containsText" text="não">
      <formula>NOT(ISERROR(SEARCH("não",J174)))</formula>
    </cfRule>
  </conditionalFormatting>
  <conditionalFormatting sqref="J174:J182">
    <cfRule type="cellIs" dxfId="1110" priority="16" operator="equal">
      <formula>"Restrição"</formula>
    </cfRule>
  </conditionalFormatting>
  <conditionalFormatting sqref="J183:J192">
    <cfRule type="cellIs" dxfId="1109" priority="15" operator="equal">
      <formula>"não"</formula>
    </cfRule>
  </conditionalFormatting>
  <conditionalFormatting sqref="J183:J192">
    <cfRule type="containsText" dxfId="1108" priority="14" operator="containsText" text="não">
      <formula>NOT(ISERROR(SEARCH("não",J183)))</formula>
    </cfRule>
  </conditionalFormatting>
  <conditionalFormatting sqref="J183:J192">
    <cfRule type="cellIs" dxfId="1107" priority="13" operator="equal">
      <formula>"Restrição"</formula>
    </cfRule>
  </conditionalFormatting>
  <conditionalFormatting sqref="J193">
    <cfRule type="cellIs" dxfId="1106" priority="12" operator="equal">
      <formula>"não"</formula>
    </cfRule>
  </conditionalFormatting>
  <conditionalFormatting sqref="J193">
    <cfRule type="containsText" dxfId="1105" priority="11" operator="containsText" text="não">
      <formula>NOT(ISERROR(SEARCH("não",J193)))</formula>
    </cfRule>
  </conditionalFormatting>
  <conditionalFormatting sqref="J193">
    <cfRule type="cellIs" dxfId="1104" priority="10" operator="equal">
      <formula>"Restrição"</formula>
    </cfRule>
  </conditionalFormatting>
  <conditionalFormatting sqref="I244:I245 I224:J243">
    <cfRule type="cellIs" dxfId="1103" priority="8" operator="equal">
      <formula>"RESTRIÇÃO"</formula>
    </cfRule>
    <cfRule type="cellIs" dxfId="1102" priority="9" operator="equal">
      <formula>"Não Conforme"</formula>
    </cfRule>
  </conditionalFormatting>
  <conditionalFormatting sqref="B85:I85">
    <cfRule type="notContainsBlanks" dxfId="1101" priority="7">
      <formula>LEN(TRIM(B85))&gt;0</formula>
    </cfRule>
  </conditionalFormatting>
  <conditionalFormatting sqref="B115:I115">
    <cfRule type="notContainsBlanks" dxfId="1100" priority="1">
      <formula>LEN(TRIM(B115))&gt;0</formula>
    </cfRule>
  </conditionalFormatting>
  <conditionalFormatting sqref="B91:I91">
    <cfRule type="notContainsBlanks" dxfId="1099" priority="5">
      <formula>LEN(TRIM(B91))&gt;0</formula>
    </cfRule>
  </conditionalFormatting>
  <conditionalFormatting sqref="B97:I97">
    <cfRule type="notContainsBlanks" dxfId="1098" priority="4">
      <formula>LEN(TRIM(B97))&gt;0</formula>
    </cfRule>
  </conditionalFormatting>
  <conditionalFormatting sqref="B103:I103">
    <cfRule type="notContainsBlanks" dxfId="1097" priority="3">
      <formula>LEN(TRIM(B103))&gt;0</formula>
    </cfRule>
  </conditionalFormatting>
  <conditionalFormatting sqref="B109:I109">
    <cfRule type="notContainsBlanks" dxfId="1096" priority="2">
      <formula>LEN(TRIM(B109))&gt;0</formula>
    </cfRule>
  </conditionalFormatting>
  <pageMargins left="0.78740157480314965" right="0.19685039370078741" top="1.3779527559055118" bottom="1.1811023622047245" header="0.31496062992125984" footer="0.51181102362204722"/>
  <pageSetup paperSize="9" orientation="portrait" r:id="rId1"/>
  <headerFooter>
    <oddFooter>&amp;L&amp;F&amp;R&amp;P de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BB731"/>
  <sheetViews>
    <sheetView topLeftCell="A130" zoomScale="130" zoomScaleNormal="130" workbookViewId="0">
      <selection activeCell="V21" sqref="V21"/>
    </sheetView>
  </sheetViews>
  <sheetFormatPr defaultColWidth="0" defaultRowHeight="15" zeroHeight="1" x14ac:dyDescent="0.25"/>
  <cols>
    <col min="1" max="1" width="35.7109375" customWidth="1"/>
    <col min="2" max="2" width="26.140625" bestFit="1" customWidth="1"/>
    <col min="3" max="3" width="11.85546875" customWidth="1"/>
    <col min="4" max="4" width="18" bestFit="1" customWidth="1"/>
    <col min="5" max="6" width="12.5703125" customWidth="1"/>
    <col min="7" max="7" width="15.42578125" customWidth="1"/>
    <col min="8" max="8" width="13.85546875" customWidth="1"/>
    <col min="9" max="9" width="9.42578125" bestFit="1" customWidth="1"/>
    <col min="10" max="10" width="12" bestFit="1" customWidth="1"/>
    <col min="11" max="11" width="5.5703125" bestFit="1" customWidth="1"/>
    <col min="12" max="12" width="9.42578125" bestFit="1" customWidth="1"/>
    <col min="13" max="13" width="12" bestFit="1" customWidth="1"/>
    <col min="14" max="14" width="5.5703125" bestFit="1" customWidth="1"/>
    <col min="15" max="15" width="12.140625" customWidth="1"/>
    <col min="16" max="16" width="16.140625" customWidth="1"/>
    <col min="17" max="17" width="26.5703125" customWidth="1"/>
    <col min="18" max="18" width="12.140625" customWidth="1"/>
    <col min="19" max="34" width="12.140625" hidden="1" customWidth="1"/>
    <col min="35" max="35" width="8.42578125" hidden="1" customWidth="1"/>
    <col min="36" max="36" width="4.42578125" hidden="1" customWidth="1"/>
    <col min="37" max="38" width="8.5703125" hidden="1" customWidth="1"/>
    <col min="39" max="39" width="14.5703125" hidden="1" customWidth="1"/>
    <col min="40" max="40" width="7.5703125" hidden="1" customWidth="1"/>
    <col min="41" max="41" width="8.42578125" hidden="1" customWidth="1"/>
    <col min="42" max="42" width="4.42578125" hidden="1" customWidth="1"/>
    <col min="43" max="43" width="8.5703125" hidden="1" customWidth="1"/>
    <col min="44" max="54" width="0" hidden="1" customWidth="1"/>
    <col min="55" max="16384" width="9.140625" hidden="1"/>
  </cols>
  <sheetData>
    <row r="1" spans="1:47" s="171" customFormat="1" ht="15.75" thickBot="1" x14ac:dyDescent="0.3">
      <c r="A1" s="1329" t="s">
        <v>1890</v>
      </c>
      <c r="B1" s="1329" t="str">
        <f>"IN "&amp;VLOOKUP("Fluoroscopia",IN_ANVISA[],2)</f>
        <v>IN 91</v>
      </c>
      <c r="C1" s="172"/>
      <c r="D1" s="172"/>
      <c r="E1" s="172"/>
      <c r="F1" s="172"/>
      <c r="G1" s="172"/>
      <c r="H1" s="172"/>
      <c r="I1" s="172"/>
      <c r="J1" s="172"/>
    </row>
    <row r="2" spans="1:47" s="171" customFormat="1" ht="15.75" thickBot="1" x14ac:dyDescent="0.3">
      <c r="A2" s="2545" t="s">
        <v>1138</v>
      </c>
      <c r="B2" s="2546"/>
      <c r="C2" s="2547"/>
      <c r="D2" s="172"/>
      <c r="E2" s="172"/>
      <c r="F2" s="172"/>
      <c r="G2" s="172"/>
      <c r="H2" s="172"/>
      <c r="I2" s="172"/>
      <c r="J2" s="172"/>
    </row>
    <row r="3" spans="1:47" s="171" customFormat="1" x14ac:dyDescent="0.25">
      <c r="A3" s="1170" t="s">
        <v>119</v>
      </c>
      <c r="B3" s="1170" t="s">
        <v>120</v>
      </c>
      <c r="C3" s="1170" t="s">
        <v>1139</v>
      </c>
      <c r="D3" s="819"/>
      <c r="E3" s="819"/>
      <c r="F3" s="819"/>
      <c r="G3" s="172"/>
      <c r="H3" s="172"/>
      <c r="I3" s="172"/>
      <c r="J3" s="172"/>
    </row>
    <row r="4" spans="1:47" s="171" customFormat="1" x14ac:dyDescent="0.25">
      <c r="A4" s="176"/>
      <c r="B4" s="176"/>
      <c r="C4" s="176"/>
      <c r="D4" s="819"/>
      <c r="E4" s="819"/>
      <c r="F4" s="819"/>
      <c r="G4" s="172"/>
      <c r="H4" s="172"/>
      <c r="I4" s="172"/>
      <c r="J4" s="172"/>
    </row>
    <row r="5" spans="1:47" s="171" customFormat="1" ht="15.75" thickBot="1" x14ac:dyDescent="0.3">
      <c r="A5" s="810"/>
      <c r="B5" s="172"/>
      <c r="C5" s="172"/>
      <c r="D5" s="172"/>
      <c r="E5" s="172"/>
      <c r="F5" s="172"/>
      <c r="G5" s="172"/>
      <c r="H5" s="172"/>
      <c r="I5" s="172"/>
      <c r="J5" s="172"/>
    </row>
    <row r="6" spans="1:47" s="171" customFormat="1" ht="15.75" thickBot="1" x14ac:dyDescent="0.3">
      <c r="A6" s="2496" t="s">
        <v>1406</v>
      </c>
      <c r="B6" s="2498"/>
      <c r="C6" s="172"/>
      <c r="D6" s="172"/>
      <c r="E6" s="172"/>
      <c r="F6" s="172"/>
      <c r="G6" s="172"/>
      <c r="H6" s="172"/>
      <c r="I6" s="172"/>
      <c r="J6" s="172"/>
    </row>
    <row r="7" spans="1:47" s="171" customFormat="1" x14ac:dyDescent="0.25">
      <c r="A7" s="819">
        <v>1</v>
      </c>
      <c r="B7" s="175"/>
      <c r="C7" s="172"/>
      <c r="D7" s="172"/>
      <c r="E7" s="172"/>
      <c r="F7" s="172"/>
      <c r="G7" s="172"/>
      <c r="H7" s="172"/>
      <c r="I7" s="172"/>
      <c r="J7" s="172"/>
    </row>
    <row r="8" spans="1:47" s="171" customFormat="1" x14ac:dyDescent="0.25">
      <c r="A8" s="819">
        <v>2</v>
      </c>
      <c r="B8" s="819">
        <f>Cabeçalho!B14</f>
        <v>0</v>
      </c>
      <c r="C8" s="172">
        <f>Cabeçalho!G24</f>
        <v>0</v>
      </c>
      <c r="D8" s="172"/>
      <c r="E8" s="172"/>
      <c r="F8" s="172"/>
      <c r="G8" s="172"/>
      <c r="H8" s="172"/>
      <c r="I8" s="172"/>
      <c r="J8" s="172"/>
    </row>
    <row r="9" spans="1:47" s="171" customFormat="1" ht="15.75" thickBot="1" x14ac:dyDescent="0.3">
      <c r="A9" s="810"/>
      <c r="B9" s="172"/>
      <c r="C9" s="172"/>
      <c r="D9" s="172"/>
      <c r="E9" s="172"/>
      <c r="F9" s="172"/>
      <c r="G9" s="172"/>
      <c r="H9" s="172"/>
      <c r="I9" s="172"/>
      <c r="J9" s="172"/>
    </row>
    <row r="10" spans="1:47" s="171" customFormat="1" ht="15.75" thickBot="1" x14ac:dyDescent="0.3">
      <c r="A10" s="2496" t="s">
        <v>1408</v>
      </c>
      <c r="B10" s="2498"/>
      <c r="C10" s="172"/>
      <c r="D10" s="172"/>
      <c r="E10" s="172"/>
      <c r="F10" s="172"/>
      <c r="G10" s="172"/>
      <c r="H10" s="172"/>
      <c r="I10" s="172"/>
      <c r="J10" s="172"/>
    </row>
    <row r="11" spans="1:47" s="171" customFormat="1" x14ac:dyDescent="0.25">
      <c r="A11" s="2548" t="s">
        <v>1409</v>
      </c>
      <c r="B11" s="2548"/>
      <c r="C11" s="172"/>
      <c r="D11" s="172"/>
      <c r="E11" s="172"/>
      <c r="F11" s="172"/>
      <c r="G11" s="172"/>
      <c r="H11" s="172"/>
      <c r="I11" s="172"/>
      <c r="J11" s="172"/>
    </row>
    <row r="12" spans="1:47" s="171" customFormat="1" ht="15.75" thickBot="1" x14ac:dyDescent="0.3">
      <c r="A12" s="1171"/>
      <c r="B12" s="1171"/>
      <c r="C12" s="172"/>
      <c r="D12" s="172"/>
      <c r="E12" s="172"/>
      <c r="F12" s="172"/>
      <c r="G12" s="172"/>
      <c r="H12" s="172"/>
      <c r="I12" s="172"/>
      <c r="J12" s="172"/>
    </row>
    <row r="13" spans="1:47" s="1172" customFormat="1" ht="15.75" thickBot="1" x14ac:dyDescent="0.3">
      <c r="A13" s="2496" t="s">
        <v>1410</v>
      </c>
      <c r="B13" s="2497"/>
      <c r="C13" s="2497"/>
      <c r="D13" s="2497"/>
      <c r="E13" s="2497"/>
      <c r="F13" s="2497"/>
      <c r="G13" s="926"/>
      <c r="H13" s="926"/>
      <c r="I13" s="926"/>
      <c r="J13" s="926"/>
      <c r="K13" s="926"/>
      <c r="L13" s="926"/>
      <c r="M13" s="926"/>
      <c r="N13" s="926"/>
      <c r="O13" s="926"/>
      <c r="P13" s="926"/>
      <c r="Q13" s="926"/>
      <c r="R13" s="926"/>
      <c r="S13" s="926"/>
      <c r="T13" s="926"/>
      <c r="U13" s="926"/>
      <c r="V13" s="926"/>
      <c r="W13" s="926"/>
      <c r="X13" s="926"/>
      <c r="Y13" s="926"/>
      <c r="Z13" s="926"/>
      <c r="AA13" s="926"/>
      <c r="AB13" s="926"/>
      <c r="AC13" s="926"/>
      <c r="AD13" s="926"/>
      <c r="AE13" s="927"/>
    </row>
    <row r="14" spans="1:47" s="171" customFormat="1" ht="15.75" thickBot="1" x14ac:dyDescent="0.3">
      <c r="A14" s="810"/>
      <c r="B14" s="172"/>
      <c r="C14" s="172"/>
      <c r="D14" s="172"/>
      <c r="E14" s="172"/>
      <c r="F14" s="172"/>
      <c r="G14" s="172"/>
      <c r="H14" s="172"/>
      <c r="I14" s="172"/>
      <c r="J14" s="172"/>
    </row>
    <row r="15" spans="1:47" ht="15.75" thickBot="1" x14ac:dyDescent="0.3">
      <c r="A15" s="2496" t="s">
        <v>1407</v>
      </c>
      <c r="B15" s="2497"/>
      <c r="C15" s="2497"/>
      <c r="D15" s="2497"/>
      <c r="E15" s="2497"/>
      <c r="F15" s="2498"/>
      <c r="G15" s="171"/>
      <c r="H15" s="171"/>
      <c r="I15" s="171"/>
      <c r="J15" s="171"/>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row>
    <row r="16" spans="1:47" s="620" customFormat="1" x14ac:dyDescent="0.25">
      <c r="A16" s="2549" t="s">
        <v>1049</v>
      </c>
      <c r="B16" s="2549"/>
      <c r="C16" s="2549"/>
      <c r="D16" s="2549"/>
      <c r="E16" s="2549"/>
      <c r="F16" s="175"/>
      <c r="G16" s="811"/>
      <c r="H16" s="172"/>
      <c r="I16" s="172"/>
      <c r="J16" s="172"/>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c r="AR16" s="171"/>
      <c r="AS16" s="171"/>
      <c r="AT16" s="171"/>
    </row>
    <row r="17" spans="1:47" x14ac:dyDescent="0.25">
      <c r="A17" s="2541" t="s">
        <v>131</v>
      </c>
      <c r="B17" s="2541"/>
      <c r="C17" s="2541"/>
      <c r="D17" s="2541"/>
      <c r="E17" s="2541"/>
      <c r="F17" s="176"/>
      <c r="G17" s="172"/>
      <c r="H17" s="172"/>
      <c r="I17" s="172"/>
      <c r="J17" s="172"/>
      <c r="K17" s="171"/>
      <c r="L17" s="171"/>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row>
    <row r="18" spans="1:47" x14ac:dyDescent="0.25">
      <c r="A18" s="2542" t="s">
        <v>1411</v>
      </c>
      <c r="B18" s="2542"/>
      <c r="C18" s="2542"/>
      <c r="D18" s="2542"/>
      <c r="E18" s="2542"/>
      <c r="F18" s="1058" t="s">
        <v>142</v>
      </c>
      <c r="G18" s="811"/>
      <c r="H18" s="172"/>
      <c r="I18" s="172"/>
      <c r="J18" s="172"/>
      <c r="K18" s="171"/>
      <c r="L18" s="171"/>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row>
    <row r="19" spans="1:47" s="620" customFormat="1" x14ac:dyDescent="0.25">
      <c r="A19" s="2542" t="s">
        <v>1412</v>
      </c>
      <c r="B19" s="2542"/>
      <c r="C19" s="2542"/>
      <c r="D19" s="2542"/>
      <c r="E19" s="2542"/>
      <c r="F19" s="1058" t="s">
        <v>142</v>
      </c>
      <c r="G19" s="811"/>
      <c r="H19" s="172"/>
      <c r="I19" s="172"/>
      <c r="J19" s="172"/>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1"/>
      <c r="AQ19" s="171"/>
      <c r="AR19" s="171"/>
      <c r="AS19" s="171"/>
      <c r="AT19" s="171"/>
    </row>
    <row r="20" spans="1:47" s="621" customFormat="1" ht="15.75" thickBot="1" x14ac:dyDescent="0.3">
      <c r="A20" s="204"/>
      <c r="B20" s="204"/>
      <c r="C20" s="204"/>
      <c r="D20" s="204"/>
      <c r="E20" s="204"/>
      <c r="F20" s="811"/>
      <c r="G20" s="811"/>
      <c r="H20" s="172"/>
      <c r="I20" s="172"/>
      <c r="J20" s="172"/>
      <c r="K20" s="172"/>
      <c r="L20" s="172"/>
      <c r="M20" s="172"/>
      <c r="N20" s="172"/>
      <c r="O20" s="172"/>
      <c r="P20" s="172"/>
      <c r="Q20" s="172"/>
      <c r="R20" s="172"/>
      <c r="S20" s="172"/>
      <c r="T20" s="172"/>
      <c r="U20" s="172"/>
      <c r="V20" s="172"/>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row>
    <row r="21" spans="1:47" s="621" customFormat="1" ht="15.75" thickBot="1" x14ac:dyDescent="0.3">
      <c r="A21" s="2496" t="s">
        <v>1133</v>
      </c>
      <c r="B21" s="2497"/>
      <c r="C21" s="2497"/>
      <c r="D21" s="2497"/>
      <c r="E21" s="2497"/>
      <c r="F21" s="1203"/>
      <c r="G21" s="1203"/>
      <c r="H21" s="1204"/>
      <c r="I21" s="172"/>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row>
    <row r="22" spans="1:47" s="172" customFormat="1" x14ac:dyDescent="0.25">
      <c r="A22" s="1209" t="s">
        <v>1459</v>
      </c>
      <c r="B22" s="1173"/>
      <c r="C22" s="1173"/>
      <c r="D22" s="1173"/>
      <c r="E22" s="1173"/>
      <c r="F22" s="1173"/>
      <c r="G22" s="1173"/>
      <c r="H22" s="1173"/>
      <c r="I22" s="1173"/>
    </row>
    <row r="23" spans="1:47" ht="14.45" customHeight="1" x14ac:dyDescent="0.25">
      <c r="A23" s="2541" t="s">
        <v>1413</v>
      </c>
      <c r="B23" s="2541"/>
      <c r="C23" s="2541"/>
      <c r="D23" s="2541"/>
      <c r="E23" s="2541"/>
      <c r="F23" s="176"/>
      <c r="G23" s="172"/>
      <c r="H23" s="812"/>
      <c r="I23" s="812"/>
      <c r="J23" s="172"/>
      <c r="K23" s="171"/>
      <c r="L23" s="171"/>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row>
    <row r="24" spans="1:47" s="620" customFormat="1" ht="14.45" customHeight="1" x14ac:dyDescent="0.25">
      <c r="A24" s="1175"/>
      <c r="B24" s="1175"/>
      <c r="C24" s="1175"/>
      <c r="D24" s="1175"/>
      <c r="E24" s="1175"/>
      <c r="F24" s="172"/>
      <c r="G24" s="172"/>
      <c r="H24" s="812"/>
      <c r="I24" s="812"/>
      <c r="J24" s="172"/>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171"/>
      <c r="AK24" s="171"/>
      <c r="AL24" s="171"/>
      <c r="AM24" s="171"/>
      <c r="AN24" s="171"/>
      <c r="AO24" s="171"/>
      <c r="AP24" s="171"/>
      <c r="AQ24" s="171"/>
      <c r="AR24" s="171"/>
      <c r="AS24" s="171"/>
      <c r="AT24" s="171"/>
    </row>
    <row r="25" spans="1:47" s="620" customFormat="1" ht="14.45" customHeight="1" x14ac:dyDescent="0.25">
      <c r="A25" s="1209" t="s">
        <v>1460</v>
      </c>
      <c r="B25" s="172"/>
      <c r="C25" s="172"/>
      <c r="D25" s="172"/>
      <c r="E25" s="172"/>
      <c r="F25" s="172"/>
      <c r="G25" s="844" t="s">
        <v>13</v>
      </c>
      <c r="H25" s="1174" t="s">
        <v>5</v>
      </c>
      <c r="I25" s="812"/>
      <c r="J25" s="172"/>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row>
    <row r="26" spans="1:47" ht="15" customHeight="1" x14ac:dyDescent="0.25">
      <c r="A26" s="2541" t="s">
        <v>1415</v>
      </c>
      <c r="B26" s="2541"/>
      <c r="C26" s="2541"/>
      <c r="D26" s="2541"/>
      <c r="E26" s="2541"/>
      <c r="F26" s="176"/>
      <c r="G26" s="1058"/>
      <c r="H26" s="1058"/>
      <c r="I26" s="172"/>
      <c r="J26" s="172"/>
      <c r="K26" s="171"/>
      <c r="L26" s="171"/>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row>
    <row r="27" spans="1:47" x14ac:dyDescent="0.25">
      <c r="A27" s="2541" t="s">
        <v>1416</v>
      </c>
      <c r="B27" s="2541"/>
      <c r="C27" s="2541"/>
      <c r="D27" s="2541"/>
      <c r="E27" s="2541"/>
      <c r="F27" s="176"/>
      <c r="G27" s="1058"/>
      <c r="H27" s="1058"/>
      <c r="I27" s="172"/>
      <c r="J27" s="172"/>
      <c r="K27" s="171"/>
      <c r="L27" s="171"/>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row>
    <row r="28" spans="1:47" s="620" customFormat="1" x14ac:dyDescent="0.25">
      <c r="A28" s="1175"/>
      <c r="B28" s="1175"/>
      <c r="C28" s="1175"/>
      <c r="D28" s="1175"/>
      <c r="E28" s="1175"/>
      <c r="F28" s="172"/>
      <c r="G28" s="172"/>
      <c r="H28" s="172"/>
      <c r="I28" s="172"/>
      <c r="J28" s="172"/>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row>
    <row r="29" spans="1:47" s="620" customFormat="1" x14ac:dyDescent="0.25">
      <c r="A29" s="1209" t="s">
        <v>1461</v>
      </c>
      <c r="B29" s="172"/>
      <c r="C29" s="172"/>
      <c r="D29" s="172"/>
      <c r="E29" s="172"/>
      <c r="F29" s="172"/>
      <c r="G29" s="171"/>
      <c r="H29" s="171"/>
      <c r="I29" s="171"/>
      <c r="J29" s="172"/>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row>
    <row r="30" spans="1:47" x14ac:dyDescent="0.25">
      <c r="A30" s="2542" t="s">
        <v>1414</v>
      </c>
      <c r="B30" s="2542"/>
      <c r="C30" s="2542"/>
      <c r="D30" s="2542"/>
      <c r="E30" s="2542"/>
      <c r="F30" s="1058" t="str">
        <f>IF(C36&gt;0,"Sim","Não")</f>
        <v>Não</v>
      </c>
      <c r="G30" s="172"/>
      <c r="H30" s="172"/>
      <c r="I30" s="172"/>
      <c r="J30" s="172"/>
      <c r="K30" s="50"/>
      <c r="L30" s="171"/>
      <c r="M30" s="171"/>
      <c r="N30" s="171"/>
      <c r="O30" s="171"/>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row>
    <row r="31" spans="1:47" s="620" customFormat="1" x14ac:dyDescent="0.25">
      <c r="A31" s="2542" t="s">
        <v>1419</v>
      </c>
      <c r="B31" s="2542"/>
      <c r="C31" s="2542"/>
      <c r="D31" s="2542"/>
      <c r="E31" s="2542"/>
      <c r="F31" s="2542"/>
      <c r="G31" s="1175"/>
      <c r="H31" s="1175"/>
      <c r="I31" s="1175"/>
      <c r="J31" s="1175"/>
      <c r="K31" s="171"/>
      <c r="L31" s="204"/>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row>
    <row r="32" spans="1:47" s="620" customFormat="1" x14ac:dyDescent="0.25">
      <c r="A32" s="171"/>
      <c r="B32" s="1165" t="s">
        <v>1462</v>
      </c>
      <c r="C32" s="892" t="s">
        <v>5</v>
      </c>
      <c r="D32" s="892" t="s">
        <v>1463</v>
      </c>
      <c r="E32" s="892" t="s">
        <v>182</v>
      </c>
      <c r="F32" s="892" t="str">
        <f>B1</f>
        <v>IN 91</v>
      </c>
      <c r="G32" s="1175"/>
      <c r="H32" s="1175"/>
      <c r="I32" s="1175"/>
      <c r="J32" s="1175"/>
      <c r="K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row>
    <row r="33" spans="1:47" s="620" customFormat="1" x14ac:dyDescent="0.25">
      <c r="A33" s="171"/>
      <c r="B33" s="400">
        <v>60</v>
      </c>
      <c r="C33" s="400"/>
      <c r="D33" s="1087" t="str">
        <f ca="1">IFERROR(IF(IF(Cabeçalho!$G$28="Unfors",INDIRECT(ADDRESS(C33,7,1,1,"medidas Unfors"),1),INDIRECT(ADDRESS(C33,6,1,1,"medidas Fluke"),1))=0,"",IF(Cabeçalho!$G$28="Unfors",INDIRECT(ADDRESS(C33,7,1,1,"medidas Unfors"),1),INDIRECT(ADDRESS(C33,6,1,1,"medidas Fluke"),1))),"")</f>
        <v/>
      </c>
      <c r="E33" s="1477" t="e">
        <f ca="1">ABS(B33-D33)/B33</f>
        <v>#VALUE!</v>
      </c>
      <c r="F33" s="1160" t="str">
        <f ca="1">IFERROR(IF(E33&lt;=0.1,"Sim",IF(E33&gt;0.2,"Restrição","Não")),"NPA")</f>
        <v>NPA</v>
      </c>
      <c r="G33" s="172"/>
      <c r="H33" s="172"/>
      <c r="I33" s="172"/>
      <c r="J33" s="172"/>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171"/>
      <c r="AK33" s="171"/>
      <c r="AL33" s="171"/>
      <c r="AM33" s="171"/>
      <c r="AN33" s="171"/>
      <c r="AO33" s="171"/>
      <c r="AP33" s="171"/>
      <c r="AQ33" s="171"/>
      <c r="AR33" s="171"/>
      <c r="AS33" s="171"/>
      <c r="AT33" s="171"/>
    </row>
    <row r="34" spans="1:47" s="620" customFormat="1" x14ac:dyDescent="0.25">
      <c r="A34" s="171"/>
      <c r="B34" s="172"/>
      <c r="C34" s="172"/>
      <c r="D34" s="172"/>
      <c r="E34" s="172"/>
      <c r="F34" s="172"/>
      <c r="G34" s="172"/>
      <c r="H34" s="172"/>
      <c r="I34" s="172"/>
      <c r="J34" s="172"/>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row>
    <row r="35" spans="1:47" s="620" customFormat="1" x14ac:dyDescent="0.25">
      <c r="A35" s="2544" t="s">
        <v>1464</v>
      </c>
      <c r="B35" s="2544"/>
      <c r="C35" s="2544"/>
      <c r="D35" s="2544"/>
      <c r="E35" s="172"/>
      <c r="F35" s="172"/>
      <c r="G35" s="172"/>
      <c r="H35" s="172"/>
      <c r="I35" s="172"/>
      <c r="J35" s="172"/>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c r="AH35" s="171"/>
      <c r="AI35" s="171"/>
      <c r="AJ35" s="171"/>
      <c r="AK35" s="171"/>
      <c r="AL35" s="171"/>
      <c r="AM35" s="171"/>
      <c r="AN35" s="171"/>
      <c r="AO35" s="171"/>
      <c r="AP35" s="171"/>
      <c r="AQ35" s="171"/>
      <c r="AR35" s="171"/>
      <c r="AS35" s="171"/>
      <c r="AT35" s="171"/>
    </row>
    <row r="36" spans="1:47" s="620" customFormat="1" x14ac:dyDescent="0.25">
      <c r="A36" s="2543" t="s">
        <v>1465</v>
      </c>
      <c r="B36" s="2543"/>
      <c r="C36" s="1176"/>
      <c r="D36" s="629" t="s">
        <v>1418</v>
      </c>
      <c r="E36" s="172"/>
      <c r="F36" s="172"/>
      <c r="G36" s="172"/>
      <c r="H36" s="172"/>
      <c r="I36" s="172"/>
      <c r="J36" s="172"/>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c r="AR36" s="171"/>
      <c r="AS36" s="171"/>
      <c r="AT36" s="171"/>
    </row>
    <row r="37" spans="1:47" x14ac:dyDescent="0.25">
      <c r="A37" s="171"/>
      <c r="C37" s="171"/>
      <c r="D37" s="171"/>
      <c r="E37" s="171"/>
      <c r="F37" s="171"/>
      <c r="G37" s="171"/>
      <c r="H37" s="171"/>
      <c r="J37" s="172"/>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row>
    <row r="38" spans="1:47" s="620" customFormat="1" x14ac:dyDescent="0.25">
      <c r="A38" s="171"/>
      <c r="C38" s="171"/>
      <c r="D38" s="171"/>
      <c r="E38" s="171"/>
      <c r="F38" s="171"/>
      <c r="G38" s="171"/>
      <c r="H38" s="171"/>
      <c r="J38" s="172"/>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row>
    <row r="39" spans="1:47" ht="15.75" thickBot="1" x14ac:dyDescent="0.3">
      <c r="A39" s="17" t="s">
        <v>63</v>
      </c>
      <c r="B39" s="50"/>
      <c r="C39" s="50"/>
      <c r="D39" s="50"/>
      <c r="E39" s="50"/>
      <c r="F39" s="171"/>
      <c r="G39" s="171"/>
      <c r="H39" s="171"/>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row>
    <row r="40" spans="1:47" x14ac:dyDescent="0.25">
      <c r="A40" s="2505" t="s">
        <v>1141</v>
      </c>
      <c r="B40" s="2506"/>
      <c r="C40" s="2506"/>
      <c r="D40" s="2506"/>
      <c r="E40" s="2507"/>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row>
    <row r="41" spans="1:47" x14ac:dyDescent="0.25">
      <c r="A41" s="580" t="s">
        <v>17</v>
      </c>
      <c r="B41" s="581" t="s">
        <v>5</v>
      </c>
      <c r="C41" s="2375" t="s">
        <v>50</v>
      </c>
      <c r="D41" s="2375"/>
      <c r="E41" s="582" t="s">
        <v>22</v>
      </c>
      <c r="F41" s="93"/>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row>
    <row r="42" spans="1:47" x14ac:dyDescent="0.25">
      <c r="A42" s="179"/>
      <c r="B42" s="176"/>
      <c r="C42" s="54" t="e">
        <f ca="1">IF(Cabeçalho!$G$28="Unfors",INDIRECT(ADDRESS(B42,1,1,1,"medidas Unfors"),1),INDIRECT(ADDRESS(B42,1,1,1,"medidas Fluke"),1))</f>
        <v>#VALUE!</v>
      </c>
      <c r="D42" s="54" t="e">
        <f ca="1">IF(Cabeçalho!$G$28="Unfors",INDIRECT(ADDRESS(B42,2,1,1,"medidas Unfors"),1),"kVp")</f>
        <v>#VALUE!</v>
      </c>
      <c r="E42" s="55" t="str">
        <f t="shared" ref="E42:E47" ca="1" si="0">IFERROR(CONCATENATE(ROUND((C42/A42-1)*100,1)," %"),"")</f>
        <v/>
      </c>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row>
    <row r="43" spans="1:47" x14ac:dyDescent="0.25">
      <c r="A43" s="179"/>
      <c r="B43" s="176"/>
      <c r="C43" s="54" t="e">
        <f ca="1">IF(Cabeçalho!$G$28="Unfors",INDIRECT(ADDRESS(B43,1,1,1,"medidas Unfors"),1),INDIRECT(ADDRESS(B43,1,1,1,"medidas Fluke"),1))</f>
        <v>#VALUE!</v>
      </c>
      <c r="D43" s="54" t="e">
        <f ca="1">IF(Cabeçalho!$G$28="Unfors",INDIRECT(ADDRESS(B43,2,1,1,"medidas Unfors"),1),"kVp")</f>
        <v>#VALUE!</v>
      </c>
      <c r="E43" s="55" t="str">
        <f t="shared" ca="1" si="0"/>
        <v/>
      </c>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row>
    <row r="44" spans="1:47" x14ac:dyDescent="0.25">
      <c r="A44" s="179"/>
      <c r="B44" s="176"/>
      <c r="C44" s="54" t="e">
        <f ca="1">IF(Cabeçalho!$G$28="Unfors",INDIRECT(ADDRESS(B44,1,1,1,"medidas Unfors"),1),INDIRECT(ADDRESS(B44,1,1,1,"medidas Fluke"),1))</f>
        <v>#VALUE!</v>
      </c>
      <c r="D44" s="54" t="e">
        <f ca="1">IF(Cabeçalho!$G$28="Unfors",INDIRECT(ADDRESS(B44,2,1,1,"medidas Unfors"),1),"kVp")</f>
        <v>#VALUE!</v>
      </c>
      <c r="E44" s="55" t="str">
        <f t="shared" ca="1" si="0"/>
        <v/>
      </c>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row>
    <row r="45" spans="1:47" x14ac:dyDescent="0.25">
      <c r="A45" s="179"/>
      <c r="B45" s="176"/>
      <c r="C45" s="54" t="e">
        <f ca="1">IF(Cabeçalho!$G$28="Unfors",INDIRECT(ADDRESS(B45,1,1,1,"medidas Unfors"),1),INDIRECT(ADDRESS(B45,1,1,1,"medidas Fluke"),1))</f>
        <v>#VALUE!</v>
      </c>
      <c r="D45" s="54" t="e">
        <f ca="1">IF(Cabeçalho!$G$28="Unfors",INDIRECT(ADDRESS(B45,2,1,1,"medidas Unfors"),1),"kVp")</f>
        <v>#VALUE!</v>
      </c>
      <c r="E45" s="55" t="str">
        <f t="shared" ca="1" si="0"/>
        <v/>
      </c>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row>
    <row r="46" spans="1:47" x14ac:dyDescent="0.25">
      <c r="A46" s="179"/>
      <c r="B46" s="176"/>
      <c r="C46" s="54" t="e">
        <f ca="1">IF(Cabeçalho!$G$28="Unfors",INDIRECT(ADDRESS(B46,1,1,1,"medidas Unfors"),1),INDIRECT(ADDRESS(B46,1,1,1,"medidas Fluke"),1))</f>
        <v>#VALUE!</v>
      </c>
      <c r="D46" s="54" t="e">
        <f ca="1">IF(Cabeçalho!$G$28="Unfors",INDIRECT(ADDRESS(B46,2,1,1,"medidas Unfors"),1),"kVp")</f>
        <v>#VALUE!</v>
      </c>
      <c r="E46" s="55" t="str">
        <f t="shared" ca="1" si="0"/>
        <v/>
      </c>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row>
    <row r="47" spans="1:47" ht="15.75" thickBot="1" x14ac:dyDescent="0.3">
      <c r="A47" s="177"/>
      <c r="B47" s="59"/>
      <c r="C47" s="56" t="e">
        <f ca="1">IF(Cabeçalho!$G$28="Unfors",INDIRECT(ADDRESS(B47,1,1,1,"medidas Unfors"),1),INDIRECT(ADDRESS(B47,1,1,1,"medidas Fluke"),1))</f>
        <v>#VALUE!</v>
      </c>
      <c r="D47" s="56" t="e">
        <f ca="1">IF(Cabeçalho!$G$28="Unfors",INDIRECT(ADDRESS(B47,2,1,1,"medidas Unfors"),1),"kVp")</f>
        <v>#VALUE!</v>
      </c>
      <c r="E47" s="57" t="str">
        <f t="shared" ca="1" si="0"/>
        <v/>
      </c>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row>
    <row r="48" spans="1:47" ht="15.75" thickBot="1" x14ac:dyDescent="0.3">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row>
    <row r="49" spans="1:47" ht="15.75" thickBot="1" x14ac:dyDescent="0.3">
      <c r="A49" s="2505" t="s">
        <v>24</v>
      </c>
      <c r="B49" s="2506"/>
      <c r="C49" s="2506"/>
      <c r="D49" s="2506"/>
      <c r="E49" s="2507"/>
      <c r="F49" s="50"/>
      <c r="G49" s="191" t="s">
        <v>660</v>
      </c>
      <c r="H49" s="91" t="s">
        <v>658</v>
      </c>
      <c r="I49" s="52"/>
      <c r="J49" s="52" t="s">
        <v>207</v>
      </c>
      <c r="K49" s="52" t="s">
        <v>208</v>
      </c>
      <c r="L49" s="52" t="s">
        <v>379</v>
      </c>
      <c r="M49" s="91"/>
      <c r="N49" s="91"/>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row>
    <row r="50" spans="1:47" x14ac:dyDescent="0.25">
      <c r="A50" s="192" t="s">
        <v>25</v>
      </c>
      <c r="B50" s="107">
        <f>Cabeçalho!G25</f>
        <v>0</v>
      </c>
      <c r="C50" s="2531"/>
      <c r="D50" s="2531"/>
      <c r="E50" s="2532"/>
      <c r="F50" s="96" t="s">
        <v>204</v>
      </c>
      <c r="G50" s="130">
        <v>30</v>
      </c>
      <c r="H50" s="131">
        <v>20</v>
      </c>
      <c r="I50" s="52">
        <v>50</v>
      </c>
      <c r="J50" s="52">
        <v>1.5</v>
      </c>
      <c r="K50" s="52">
        <v>1.6</v>
      </c>
      <c r="L50" s="132">
        <v>1.8</v>
      </c>
      <c r="M50" s="91"/>
      <c r="N50" s="91"/>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row>
    <row r="51" spans="1:47" x14ac:dyDescent="0.25">
      <c r="A51" s="192" t="s">
        <v>18</v>
      </c>
      <c r="B51" s="183">
        <v>80</v>
      </c>
      <c r="C51" s="2508" t="s">
        <v>19</v>
      </c>
      <c r="D51" s="2508"/>
      <c r="E51" s="105"/>
      <c r="F51" s="96" t="s">
        <v>205</v>
      </c>
      <c r="G51" s="130">
        <v>65</v>
      </c>
      <c r="H51" s="131">
        <v>80</v>
      </c>
      <c r="I51" s="52">
        <v>60</v>
      </c>
      <c r="J51" s="52">
        <v>1.8</v>
      </c>
      <c r="K51" s="52">
        <v>2</v>
      </c>
      <c r="L51" s="132">
        <v>2.2000000000000002</v>
      </c>
      <c r="M51" s="91"/>
      <c r="N51" s="91"/>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row>
    <row r="52" spans="1:47" x14ac:dyDescent="0.25">
      <c r="A52" s="580" t="s">
        <v>1421</v>
      </c>
      <c r="B52" s="183"/>
      <c r="C52" s="52" t="s">
        <v>13</v>
      </c>
      <c r="D52" s="52"/>
      <c r="E52" s="80"/>
      <c r="F52" s="50"/>
      <c r="G52" s="50"/>
      <c r="H52" s="91"/>
      <c r="I52" s="52">
        <v>70</v>
      </c>
      <c r="J52" s="52">
        <v>2.1</v>
      </c>
      <c r="K52" s="52">
        <v>2.2999999999999998</v>
      </c>
      <c r="L52" s="132">
        <v>2.5</v>
      </c>
      <c r="M52" s="91"/>
      <c r="N52" s="91"/>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row>
    <row r="53" spans="1:47" x14ac:dyDescent="0.25">
      <c r="A53" s="192" t="s">
        <v>5</v>
      </c>
      <c r="B53" s="183"/>
      <c r="C53" s="66"/>
      <c r="D53" s="52"/>
      <c r="E53" s="80"/>
      <c r="F53" s="50"/>
      <c r="G53" s="50"/>
      <c r="H53" s="91"/>
      <c r="I53" s="52">
        <v>80</v>
      </c>
      <c r="J53" s="52">
        <v>2.2999999999999998</v>
      </c>
      <c r="K53" s="52">
        <v>2.6</v>
      </c>
      <c r="L53" s="132">
        <v>2.9</v>
      </c>
      <c r="M53" s="91"/>
      <c r="N53" s="91"/>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row>
    <row r="54" spans="1:47" ht="15.75" thickBot="1" x14ac:dyDescent="0.3">
      <c r="A54" s="192" t="s">
        <v>53</v>
      </c>
      <c r="B54" s="64"/>
      <c r="C54" s="188" t="s">
        <v>12</v>
      </c>
      <c r="D54" s="52"/>
      <c r="E54" s="82"/>
      <c r="F54" s="50"/>
      <c r="G54" s="50"/>
      <c r="H54" s="91"/>
      <c r="I54" s="52">
        <v>90</v>
      </c>
      <c r="J54" s="52">
        <v>2.5</v>
      </c>
      <c r="K54" s="52">
        <v>3</v>
      </c>
      <c r="L54" s="132">
        <v>3.2</v>
      </c>
      <c r="M54" s="91"/>
      <c r="N54" s="91"/>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row>
    <row r="55" spans="1:47" x14ac:dyDescent="0.25">
      <c r="A55" s="60"/>
      <c r="B55" s="9" t="e">
        <f ca="1">IF(Cabeçalho!$G$28="Unfors",INDIRECT(ADDRESS(B53,1,1,1,"medidas Unfors"),1),INDIRECT(ADDRESS(B53,1,1,1,"medidas Fluke"),1))</f>
        <v>#VALUE!</v>
      </c>
      <c r="C55" s="190" t="s">
        <v>0</v>
      </c>
      <c r="D55" s="52"/>
      <c r="E55" s="80"/>
      <c r="F55" s="50"/>
      <c r="G55" s="50"/>
      <c r="H55" s="91"/>
      <c r="I55" s="52">
        <v>100</v>
      </c>
      <c r="J55" s="52">
        <v>2.7</v>
      </c>
      <c r="K55" s="52">
        <v>3.2</v>
      </c>
      <c r="L55" s="132">
        <v>3.6</v>
      </c>
      <c r="M55" s="91"/>
      <c r="N55" s="91"/>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row>
    <row r="56" spans="1:47" x14ac:dyDescent="0.25">
      <c r="A56" s="60"/>
      <c r="B56" s="9" t="e">
        <f ca="1">IF(Cabeçalho!$G$28="Unfors",INDIRECT(ADDRESS(B53,5,1,1,"medidas Unfors"),1),INDIRECT(ADDRESS(B53,5,1,1,"medidas Fluke"),1)/1000)</f>
        <v>#VALUE!</v>
      </c>
      <c r="C56" s="194" t="s">
        <v>2</v>
      </c>
      <c r="D56" s="52"/>
      <c r="E56" s="80"/>
      <c r="F56" s="50"/>
      <c r="G56" s="50"/>
      <c r="H56" s="91"/>
      <c r="I56" s="132">
        <v>110</v>
      </c>
      <c r="J56" s="132">
        <v>3</v>
      </c>
      <c r="K56" s="132">
        <v>3.5</v>
      </c>
      <c r="L56" s="132">
        <v>3.9</v>
      </c>
      <c r="M56" s="91"/>
      <c r="N56" s="91"/>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row>
    <row r="57" spans="1:47" x14ac:dyDescent="0.25">
      <c r="A57" s="60"/>
      <c r="B57" s="66" t="e">
        <f ca="1">IF(Cabeçalho!$G$28="Unfors",INDIRECT(ADDRESS(B53,7,1,1,"medidas Unfors"),1),INDIRECT(ADDRESS(B53,6,1,1,"medidas Fluke"),1)/1000)</f>
        <v>#VALUE!</v>
      </c>
      <c r="C57" s="190" t="s">
        <v>3</v>
      </c>
      <c r="D57" s="52"/>
      <c r="E57" s="80"/>
      <c r="F57" s="50"/>
      <c r="G57" s="85"/>
      <c r="H57" s="91"/>
      <c r="I57" s="132">
        <v>120</v>
      </c>
      <c r="J57" s="132">
        <v>3.2</v>
      </c>
      <c r="K57" s="132">
        <v>3.9</v>
      </c>
      <c r="L57" s="132">
        <v>4.3</v>
      </c>
      <c r="M57" s="91"/>
      <c r="N57" s="91"/>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row>
    <row r="58" spans="1:47" ht="15" customHeight="1" x14ac:dyDescent="0.25">
      <c r="A58" s="60"/>
      <c r="B58" s="9" t="e">
        <f ca="1">IF(Cabeçalho!$G$28="Unfors",INDIRECT(ADDRESS(B53,17,1,1,"medidas Unfors"),1),INDIRECT(ADDRESS(B53,8,1,1,"medidas Fluke"),1))</f>
        <v>#VALUE!</v>
      </c>
      <c r="C58" s="190" t="s">
        <v>8</v>
      </c>
      <c r="D58" s="52"/>
      <c r="E58" s="80"/>
      <c r="F58" s="50"/>
      <c r="G58" s="87"/>
      <c r="H58" s="91"/>
      <c r="I58" s="52">
        <v>130</v>
      </c>
      <c r="J58" s="52">
        <v>3.5</v>
      </c>
      <c r="K58" s="52">
        <v>4.0999999999999996</v>
      </c>
      <c r="L58" s="132">
        <v>4.7</v>
      </c>
      <c r="M58" s="91"/>
      <c r="N58" s="91"/>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row>
    <row r="59" spans="1:47" ht="17.25" x14ac:dyDescent="0.25">
      <c r="A59" s="97" t="s">
        <v>29</v>
      </c>
      <c r="B59" s="9" t="e">
        <f ca="1">B56*1000/B52*(B51/B55)^2*(B54/100)^2</f>
        <v>#VALUE!</v>
      </c>
      <c r="C59" s="2508" t="s">
        <v>376</v>
      </c>
      <c r="D59" s="2508"/>
      <c r="E59" s="203"/>
      <c r="F59" s="96"/>
      <c r="G59" s="85"/>
      <c r="H59" s="91"/>
      <c r="I59" s="52"/>
      <c r="J59" s="52"/>
      <c r="K59" s="52"/>
      <c r="L59" s="52"/>
      <c r="M59" s="91"/>
      <c r="N59" s="91"/>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row>
    <row r="60" spans="1:47" x14ac:dyDescent="0.25">
      <c r="A60" s="198"/>
      <c r="B60" s="172"/>
      <c r="C60" s="172"/>
      <c r="D60" s="172"/>
      <c r="E60" s="86"/>
      <c r="F60" s="50"/>
      <c r="G60" s="50"/>
      <c r="H60" s="91"/>
      <c r="I60" s="103" t="s">
        <v>154</v>
      </c>
      <c r="J60" s="81">
        <f>VLOOKUP(B51,$I$50:$L$58,IF(Cabeçalho!$H$25="Mono",2,IF(Cabeçalho!$H$25="Tri",3,4)))</f>
        <v>2.2999999999999998</v>
      </c>
      <c r="K60" s="52"/>
      <c r="L60" s="52"/>
      <c r="M60" s="91"/>
      <c r="N60" s="91"/>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row>
    <row r="61" spans="1:47" x14ac:dyDescent="0.25">
      <c r="A61" s="813" t="s">
        <v>1614</v>
      </c>
      <c r="B61" s="189" t="e">
        <f ca="1">IF(OR(B59&lt;20,B59&gt;80),"Restrição",IF(OR(B59&lt;30,B59&gt;65),"Não","Sim"))</f>
        <v>#VALUE!</v>
      </c>
      <c r="C61" s="172"/>
      <c r="D61" s="172"/>
      <c r="E61" s="203" t="e">
        <f ca="1">IF(B59/$H$50&lt;(1-$J$62),"Baixo",IF(B59/$H$51&gt;(1+$J$62),"Alto","Aceitável"))</f>
        <v>#VALUE!</v>
      </c>
      <c r="F61" s="50"/>
      <c r="G61" s="61"/>
      <c r="H61" s="91"/>
      <c r="I61" s="91"/>
      <c r="J61" s="91"/>
      <c r="K61" s="91"/>
      <c r="L61" s="91"/>
      <c r="M61" s="91"/>
      <c r="N61" s="91"/>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row>
    <row r="62" spans="1:47" x14ac:dyDescent="0.25">
      <c r="A62" s="813" t="s">
        <v>378</v>
      </c>
      <c r="B62" s="189" t="e">
        <f ca="1">IF(B58/$J$60&lt;0.2,"Restrição",IF(B58/$J$60&lt;1,"Não","Sim"))</f>
        <v>#VALUE!</v>
      </c>
      <c r="C62" s="172"/>
      <c r="D62" s="172"/>
      <c r="E62" s="86" t="str">
        <f ca="1">IFERROR(IF(B58/J60&gt;(1+$J$62),"Alta","Aceitável"),"")</f>
        <v/>
      </c>
      <c r="F62" s="1205"/>
      <c r="G62" s="134"/>
      <c r="H62" s="50"/>
      <c r="I62" s="171" t="s">
        <v>662</v>
      </c>
      <c r="J62" s="206">
        <v>0.2</v>
      </c>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row>
    <row r="63" spans="1:47" ht="17.25" x14ac:dyDescent="0.25">
      <c r="A63" s="199" t="s">
        <v>197</v>
      </c>
      <c r="B63" s="126" t="str">
        <f>IF(B50=120,7.72*EXP(-0.405*B58)*1000/60, IF(B50="---",(0.18135+33.12558*EXP(-B58/1.49995))*1000/60,"NA"))</f>
        <v>NA</v>
      </c>
      <c r="C63" s="2508" t="s">
        <v>376</v>
      </c>
      <c r="D63" s="2508"/>
      <c r="E63" s="86"/>
      <c r="F63" s="100"/>
      <c r="G63" s="87"/>
      <c r="H63" s="2502"/>
      <c r="I63" s="2503"/>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c r="AP63" s="50"/>
      <c r="AQ63" s="50"/>
      <c r="AR63" s="50"/>
      <c r="AS63" s="50"/>
      <c r="AT63" s="50"/>
      <c r="AU63" s="50"/>
    </row>
    <row r="64" spans="1:47" ht="15.75" thickBot="1" x14ac:dyDescent="0.3">
      <c r="A64" s="200" t="s">
        <v>27</v>
      </c>
      <c r="B64" s="211" t="e">
        <f ca="1">B59*B52/B63</f>
        <v>#VALUE!</v>
      </c>
      <c r="C64" s="201" t="s">
        <v>13</v>
      </c>
      <c r="D64" s="212" t="s">
        <v>672</v>
      </c>
      <c r="E64" s="202" t="str">
        <f ca="1">IFERROR(IF(B64/IF(C52="mAs",B52/B57,B52)&gt;(1+$J$62),"&lt; avaliada",IF(B64/IF(C52="mAs",B52/B57,B52)&lt;(1-$J$62),"&gt; avalida","Ok")),"")</f>
        <v/>
      </c>
      <c r="F64" s="50"/>
      <c r="G64" s="101"/>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row>
    <row r="65" spans="1:47" ht="15.75" thickBot="1" x14ac:dyDescent="0.3">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row>
    <row r="66" spans="1:47" ht="15.75" thickBot="1" x14ac:dyDescent="0.3">
      <c r="A66" s="2505" t="s">
        <v>6</v>
      </c>
      <c r="B66" s="2506"/>
      <c r="C66" s="2506"/>
      <c r="D66" s="2507"/>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row>
    <row r="67" spans="1:47" x14ac:dyDescent="0.25">
      <c r="A67" s="168"/>
      <c r="B67" s="170" t="e">
        <f ca="1">ROUNDDOWN(AVERAGE(B69:B73),0)</f>
        <v>#DIV/0!</v>
      </c>
      <c r="C67" s="155"/>
      <c r="D67" s="169"/>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row>
    <row r="68" spans="1:47" ht="15.75" thickBot="1" x14ac:dyDescent="0.3">
      <c r="A68" s="164" t="s">
        <v>5</v>
      </c>
      <c r="B68" s="165" t="s">
        <v>0</v>
      </c>
      <c r="C68" s="165" t="s">
        <v>2</v>
      </c>
      <c r="D68" s="166" t="s">
        <v>3</v>
      </c>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row>
    <row r="69" spans="1:47" x14ac:dyDescent="0.25">
      <c r="A69" s="65"/>
      <c r="B69" s="54" t="str">
        <f ca="1">IFERROR(IF(Cabeçalho!$G$28="Unfors",INDIRECT(ADDRESS(A69,1,1,1,"medidas Unfors"),1),INDIRECT(ADDRESS(A69,1,1,1,"medidas Fluke"),1)),"")</f>
        <v/>
      </c>
      <c r="C69" s="9" t="str">
        <f ca="1">IFERROR(IF(IF(Cabeçalho!$G$28="Unfors",INDIRECT(ADDRESS(A69,5,1,1,"medidas Unfors"),1),INDIRECT(ADDRESS(A69,5,1,1,"medidas Fluke"),1))=0,"",IF(Cabeçalho!$G$28="Unfors",INDIRECT(ADDRESS(A69,5,1,1,"medidas Unfors"),1),INDIRECT(ADDRESS(A69,5,1,1,"medidas Fluke"),1))),"")</f>
        <v/>
      </c>
      <c r="D69" s="67" t="str">
        <f ca="1">IFERROR(IF(IF(Cabeçalho!$G$28="Unfors",INDIRECT(ADDRESS(A69,7,1,1,"medidas Unfors"),1),INDIRECT(ADDRESS(A69,6,1,1,"medidas Fluke"),1))=0,"",IF(Cabeçalho!$G$28="Unfors",INDIRECT(ADDRESS(A69,7,1,1,"medidas Unfors"),1),INDIRECT(ADDRESS(A69,6,1,1,"medidas Fluke"),1))),"")</f>
        <v/>
      </c>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row>
    <row r="70" spans="1:47" x14ac:dyDescent="0.25">
      <c r="A70" s="63"/>
      <c r="B70" s="54" t="str">
        <f ca="1">IFERROR(IF(Cabeçalho!$G$28="Unfors",INDIRECT(ADDRESS(A70,1,1,1,"medidas Unfors"),1),INDIRECT(ADDRESS(A70,1,1,1,"medidas Fluke"),1)),"")</f>
        <v/>
      </c>
      <c r="C70" s="9" t="str">
        <f ca="1">IFERROR(IF(IF(Cabeçalho!$G$28="Unfors",INDIRECT(ADDRESS(A70,5,1,1,"medidas Unfors"),1),INDIRECT(ADDRESS(A70,5,1,1,"medidas Fluke"),1))=0,"",IF(Cabeçalho!$G$28="Unfors",INDIRECT(ADDRESS(A70,5,1,1,"medidas Unfors"),1),INDIRECT(ADDRESS(A70,5,1,1,"medidas Fluke"),1))),"")</f>
        <v/>
      </c>
      <c r="D70" s="67" t="str">
        <f ca="1">IFERROR(IF(IF(Cabeçalho!$G$28="Unfors",INDIRECT(ADDRESS(A70,7,1,1,"medidas Unfors"),1),INDIRECT(ADDRESS(A70,6,1,1,"medidas Fluke"),1))=0,"",IF(Cabeçalho!$G$28="Unfors",INDIRECT(ADDRESS(A70,7,1,1,"medidas Unfors"),1),INDIRECT(ADDRESS(A70,6,1,1,"medidas Fluke"),1))),"")</f>
        <v/>
      </c>
      <c r="E70" s="50"/>
      <c r="F70" s="50"/>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row>
    <row r="71" spans="1:47" x14ac:dyDescent="0.25">
      <c r="A71" s="63"/>
      <c r="B71" s="54" t="str">
        <f ca="1">IFERROR(IF(Cabeçalho!$G$28="Unfors",INDIRECT(ADDRESS(A71,1,1,1,"medidas Unfors"),1),INDIRECT(ADDRESS(A71,1,1,1,"medidas Fluke"),1)),"")</f>
        <v/>
      </c>
      <c r="C71" s="9" t="str">
        <f ca="1">IFERROR(IF(IF(Cabeçalho!$G$28="Unfors",INDIRECT(ADDRESS(A71,5,1,1,"medidas Unfors"),1),INDIRECT(ADDRESS(A71,5,1,1,"medidas Fluke"),1))=0,"",IF(Cabeçalho!$G$28="Unfors",INDIRECT(ADDRESS(A71,5,1,1,"medidas Unfors"),1),INDIRECT(ADDRESS(A71,5,1,1,"medidas Fluke"),1))),"")</f>
        <v/>
      </c>
      <c r="D71" s="67" t="str">
        <f ca="1">IFERROR(IF(IF(Cabeçalho!$G$28="Unfors",INDIRECT(ADDRESS(A71,7,1,1,"medidas Unfors"),1),INDIRECT(ADDRESS(A71,6,1,1,"medidas Fluke"),1))=0,"",IF(Cabeçalho!$G$28="Unfors",INDIRECT(ADDRESS(A71,7,1,1,"medidas Unfors"),1),INDIRECT(ADDRESS(A71,6,1,1,"medidas Fluke"),1))),"")</f>
        <v/>
      </c>
      <c r="E71" s="50"/>
      <c r="F71" s="50"/>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row>
    <row r="72" spans="1:47" x14ac:dyDescent="0.25">
      <c r="A72" s="63"/>
      <c r="B72" s="54" t="str">
        <f ca="1">IFERROR(IF(Cabeçalho!$G$28="Unfors",INDIRECT(ADDRESS(A72,1,1,1,"medidas Unfors"),1),INDIRECT(ADDRESS(A72,1,1,1,"medidas Fluke"),1)),"")</f>
        <v/>
      </c>
      <c r="C72" s="9" t="str">
        <f ca="1">IFERROR(IF(IF(Cabeçalho!$G$28="Unfors",INDIRECT(ADDRESS(A72,5,1,1,"medidas Unfors"),1),INDIRECT(ADDRESS(A72,5,1,1,"medidas Fluke"),1))=0,"",IF(Cabeçalho!$G$28="Unfors",INDIRECT(ADDRESS(A72,5,1,1,"medidas Unfors"),1),INDIRECT(ADDRESS(A72,5,1,1,"medidas Fluke"),1))),"")</f>
        <v/>
      </c>
      <c r="D72" s="67" t="str">
        <f ca="1">IFERROR(IF(IF(Cabeçalho!$G$28="Unfors",INDIRECT(ADDRESS(A72,7,1,1,"medidas Unfors"),1),INDIRECT(ADDRESS(A72,6,1,1,"medidas Fluke"),1))=0,"",IF(Cabeçalho!$G$28="Unfors",INDIRECT(ADDRESS(A72,7,1,1,"medidas Unfors"),1),INDIRECT(ADDRESS(A72,6,1,1,"medidas Fluke"),1))),"")</f>
        <v/>
      </c>
      <c r="E72" s="50"/>
      <c r="F72" s="50"/>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row>
    <row r="73" spans="1:47" ht="15.75" thickBot="1" x14ac:dyDescent="0.3">
      <c r="A73" s="69"/>
      <c r="B73" s="56" t="str">
        <f ca="1">IFERROR(IF(Cabeçalho!$G$28="Unfors",INDIRECT(ADDRESS(A73,1,1,1,"medidas Unfors"),1),INDIRECT(ADDRESS(A73,1,1,1,"medidas Fluke"),1)),"")</f>
        <v/>
      </c>
      <c r="C73" s="11" t="str">
        <f ca="1">IFERROR(IF(IF(Cabeçalho!$G$28="Unfors",INDIRECT(ADDRESS(A73,5,1,1,"medidas Unfors"),1),INDIRECT(ADDRESS(A73,5,1,1,"medidas Fluke"),1))=0,"",IF(Cabeçalho!$G$28="Unfors",INDIRECT(ADDRESS(A73,5,1,1,"medidas Unfors"),1),INDIRECT(ADDRESS(A73,5,1,1,"medidas Fluke"),1))),"")</f>
        <v/>
      </c>
      <c r="D73" s="68" t="str">
        <f ca="1">IFERROR(IF(IF(Cabeçalho!$G$28="Unfors",INDIRECT(ADDRESS(A73,7,1,1,"medidas Unfors"),1),INDIRECT(ADDRESS(A73,6,1,1,"medidas Fluke"),1))=0,"",IF(Cabeçalho!$G$28="Unfors",INDIRECT(ADDRESS(A73,7,1,1,"medidas Unfors"),1),INDIRECT(ADDRESS(A73,6,1,1,"medidas Fluke"),1))),"")</f>
        <v/>
      </c>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row>
    <row r="74" spans="1:47" x14ac:dyDescent="0.25">
      <c r="A74" s="129" t="s">
        <v>6</v>
      </c>
      <c r="B74" s="81" t="e">
        <f ca="1">(LARGE(B69:B73,1)-SMALL(B69:B73,1))/AVERAGE(B69:B73)*100</f>
        <v>#NUM!</v>
      </c>
      <c r="C74" s="81" t="e">
        <f ca="1">ROUND((LARGE(C69:C73,1)-SMALL(C69:C73,1))/AVERAGE(C69:C73)*100,1)</f>
        <v>#NUM!</v>
      </c>
      <c r="D74" s="81" t="e">
        <f ca="1">(LARGE(D69:D73,1)-SMALL(D69:D73,1))/AVERAGE(D69:D73)*100</f>
        <v>#NUM!</v>
      </c>
      <c r="E74" s="128" t="s">
        <v>10</v>
      </c>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row>
    <row r="75" spans="1:47" ht="15.75" thickBot="1" x14ac:dyDescent="0.3">
      <c r="A75" s="811"/>
      <c r="B75" s="1178"/>
      <c r="C75" s="204"/>
      <c r="D75" s="204"/>
      <c r="E75" s="172"/>
      <c r="F75" s="50"/>
      <c r="G75" s="101"/>
      <c r="H75" s="50"/>
      <c r="I75" s="5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c r="AP75" s="50"/>
      <c r="AQ75" s="50"/>
      <c r="AR75" s="50"/>
      <c r="AS75" s="50"/>
      <c r="AT75" s="50"/>
      <c r="AU75" s="50"/>
    </row>
    <row r="76" spans="1:47" s="620" customFormat="1" ht="15.75" customHeight="1" thickBot="1" x14ac:dyDescent="0.3">
      <c r="A76" s="2496" t="s">
        <v>1467</v>
      </c>
      <c r="B76" s="2497"/>
      <c r="C76" s="2497"/>
      <c r="D76" s="2498"/>
      <c r="E76" s="172"/>
      <c r="F76" s="171"/>
      <c r="G76" s="101"/>
      <c r="H76" s="171"/>
      <c r="I76" s="171"/>
      <c r="J76" s="171"/>
      <c r="K76" s="171"/>
      <c r="L76" s="171"/>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row>
    <row r="77" spans="1:47" s="620" customFormat="1" x14ac:dyDescent="0.25">
      <c r="A77" s="1210" t="s">
        <v>199</v>
      </c>
      <c r="B77" s="1058">
        <v>1</v>
      </c>
      <c r="C77" s="1058">
        <v>10</v>
      </c>
      <c r="D77" s="1058"/>
      <c r="E77" s="172"/>
      <c r="F77" s="171"/>
      <c r="G77" s="101"/>
      <c r="H77" s="171"/>
      <c r="I77" s="171"/>
      <c r="J77" s="171"/>
      <c r="K77" s="171"/>
      <c r="L77" s="171"/>
      <c r="M77" s="171"/>
      <c r="N77" s="171"/>
      <c r="O77" s="171"/>
      <c r="P77" s="171"/>
      <c r="Q77" s="171"/>
      <c r="R77" s="171"/>
      <c r="S77" s="171"/>
      <c r="T77" s="171"/>
      <c r="U77" s="171"/>
      <c r="V77" s="171"/>
      <c r="W77" s="171"/>
      <c r="X77" s="171"/>
      <c r="Y77" s="171"/>
      <c r="Z77" s="171"/>
      <c r="AA77" s="171"/>
      <c r="AB77" s="171"/>
      <c r="AC77" s="171"/>
      <c r="AD77" s="171"/>
      <c r="AE77" s="171"/>
      <c r="AF77" s="171"/>
      <c r="AG77" s="171"/>
      <c r="AH77" s="171"/>
      <c r="AI77" s="171"/>
      <c r="AJ77" s="171"/>
      <c r="AK77" s="171"/>
      <c r="AL77" s="171"/>
      <c r="AM77" s="171"/>
      <c r="AN77" s="171"/>
      <c r="AO77" s="171"/>
      <c r="AP77" s="171"/>
      <c r="AQ77" s="171"/>
      <c r="AR77" s="171"/>
      <c r="AS77" s="171"/>
      <c r="AT77" s="171"/>
      <c r="AU77" s="171"/>
    </row>
    <row r="78" spans="1:47" s="620" customFormat="1" x14ac:dyDescent="0.25">
      <c r="A78" s="619" t="s">
        <v>1</v>
      </c>
      <c r="B78" s="653" t="e">
        <f ca="1">IF(Cabeçalho!$G$28="unfors",INDIRECT(ADDRESS(B79,3,1,1,"medidas Unfors"),1),INDIRECT(ADDRESS(B79,4,1,1,"medidas Fluke"),1)/1000)</f>
        <v>#VALUE!</v>
      </c>
      <c r="C78" s="653" t="e">
        <f ca="1">IF(Cabeçalho!$G$28="unfors",INDIRECT(ADDRESS(C79,3,1,1,"medidas Unfors"),1),INDIRECT(ADDRESS(C79,4,1,1,"medidas Fluke"),1)/1000)</f>
        <v>#VALUE!</v>
      </c>
      <c r="D78" s="653" t="e">
        <f ca="1">IF(Cabeçalho!$G$28="unfors",INDIRECT(ADDRESS(D79,3,1,1,"medidas Unfors"),1),INDIRECT(ADDRESS(D79,4,1,1,"medidas Fluke"),1)/1000)</f>
        <v>#VALUE!</v>
      </c>
      <c r="E78" s="172"/>
      <c r="F78" s="171"/>
      <c r="G78" s="101"/>
      <c r="H78" s="171"/>
      <c r="I78" s="171"/>
      <c r="J78" s="171"/>
      <c r="K78" s="171"/>
      <c r="L78" s="171"/>
      <c r="M78" s="171"/>
      <c r="N78" s="171"/>
      <c r="O78" s="171"/>
      <c r="P78" s="171"/>
      <c r="Q78" s="171"/>
      <c r="R78" s="171"/>
      <c r="S78" s="171"/>
      <c r="T78" s="171"/>
      <c r="U78" s="171"/>
      <c r="V78" s="171"/>
      <c r="W78" s="171"/>
      <c r="X78" s="171"/>
      <c r="Y78" s="171"/>
      <c r="Z78" s="171"/>
      <c r="AA78" s="171"/>
      <c r="AB78" s="171"/>
      <c r="AC78" s="171"/>
      <c r="AD78" s="171"/>
      <c r="AE78" s="171"/>
      <c r="AF78" s="171"/>
      <c r="AG78" s="171"/>
      <c r="AH78" s="171"/>
      <c r="AI78" s="171"/>
      <c r="AJ78" s="171"/>
      <c r="AK78" s="171"/>
      <c r="AL78" s="171"/>
      <c r="AM78" s="171"/>
      <c r="AN78" s="171"/>
      <c r="AO78" s="171"/>
      <c r="AP78" s="171"/>
      <c r="AQ78" s="171"/>
      <c r="AR78" s="171"/>
      <c r="AS78" s="171"/>
      <c r="AT78" s="171"/>
      <c r="AU78" s="171"/>
    </row>
    <row r="79" spans="1:47" x14ac:dyDescent="0.25">
      <c r="A79" s="619" t="s">
        <v>521</v>
      </c>
      <c r="B79" s="1058"/>
      <c r="C79" s="1058"/>
      <c r="D79" s="1058"/>
      <c r="E79" s="172"/>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row>
    <row r="80" spans="1:47" s="620" customFormat="1" x14ac:dyDescent="0.25">
      <c r="A80" s="619" t="s">
        <v>1466</v>
      </c>
      <c r="B80" s="1058"/>
      <c r="C80" s="1058"/>
      <c r="D80" s="1058"/>
      <c r="E80" s="172"/>
      <c r="F80" s="171"/>
      <c r="G80" s="171"/>
      <c r="H80" s="171"/>
      <c r="I80" s="171"/>
      <c r="J80" s="171"/>
      <c r="K80" s="171"/>
      <c r="L80" s="171"/>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row>
    <row r="81" spans="1:47" s="620" customFormat="1" x14ac:dyDescent="0.25">
      <c r="A81" s="619" t="s">
        <v>182</v>
      </c>
      <c r="B81" s="619"/>
      <c r="C81" s="619"/>
      <c r="D81" s="619"/>
      <c r="E81" s="172"/>
      <c r="F81" s="171"/>
      <c r="G81" s="171"/>
      <c r="H81" s="171"/>
      <c r="I81" s="171"/>
      <c r="J81" s="171"/>
      <c r="K81" s="171"/>
      <c r="L81" s="171"/>
      <c r="M81" s="171"/>
      <c r="N81" s="171"/>
      <c r="O81" s="171"/>
      <c r="P81" s="171"/>
      <c r="Q81" s="171"/>
      <c r="R81" s="171"/>
      <c r="S81" s="171"/>
      <c r="T81" s="171"/>
      <c r="U81" s="171"/>
      <c r="V81" s="171"/>
      <c r="W81" s="171"/>
      <c r="X81" s="171"/>
      <c r="Y81" s="171"/>
      <c r="Z81" s="171"/>
      <c r="AA81" s="171"/>
      <c r="AB81" s="171"/>
      <c r="AC81" s="171"/>
      <c r="AD81" s="171"/>
      <c r="AE81" s="171"/>
      <c r="AF81" s="171"/>
      <c r="AG81" s="171"/>
      <c r="AH81" s="171"/>
      <c r="AI81" s="171"/>
      <c r="AJ81" s="171"/>
      <c r="AK81" s="171"/>
      <c r="AL81" s="171"/>
      <c r="AM81" s="171"/>
      <c r="AN81" s="171"/>
      <c r="AO81" s="171"/>
      <c r="AP81" s="171"/>
      <c r="AQ81" s="171"/>
      <c r="AR81" s="171"/>
      <c r="AS81" s="171"/>
      <c r="AT81" s="171"/>
      <c r="AU81" s="171"/>
    </row>
    <row r="82" spans="1:47" s="620" customFormat="1" x14ac:dyDescent="0.25">
      <c r="A82" s="619" t="str">
        <f>B1</f>
        <v>IN 91</v>
      </c>
      <c r="B82" s="619"/>
      <c r="C82" s="619"/>
      <c r="D82" s="619"/>
      <c r="E82" s="172"/>
      <c r="F82" s="171"/>
      <c r="G82" s="171"/>
      <c r="H82" s="171"/>
      <c r="I82" s="171"/>
      <c r="J82" s="171"/>
      <c r="K82" s="171"/>
      <c r="L82" s="171"/>
      <c r="M82" s="171"/>
      <c r="N82" s="171"/>
      <c r="O82" s="171"/>
      <c r="P82" s="171"/>
      <c r="Q82" s="171"/>
      <c r="R82" s="171"/>
      <c r="S82" s="171"/>
      <c r="T82" s="171"/>
      <c r="U82" s="171"/>
      <c r="V82" s="171"/>
      <c r="W82" s="171"/>
      <c r="X82" s="171"/>
      <c r="Y82" s="171"/>
      <c r="Z82" s="171"/>
      <c r="AA82" s="171"/>
      <c r="AB82" s="171"/>
      <c r="AC82" s="171"/>
      <c r="AD82" s="171"/>
      <c r="AE82" s="171"/>
      <c r="AF82" s="171"/>
      <c r="AG82" s="171"/>
      <c r="AH82" s="171"/>
      <c r="AI82" s="171"/>
      <c r="AJ82" s="171"/>
      <c r="AK82" s="171"/>
      <c r="AL82" s="171"/>
      <c r="AM82" s="171"/>
      <c r="AN82" s="171"/>
      <c r="AO82" s="171"/>
      <c r="AP82" s="171"/>
      <c r="AQ82" s="171"/>
      <c r="AR82" s="171"/>
      <c r="AS82" s="171"/>
      <c r="AT82" s="171"/>
      <c r="AU82" s="171"/>
    </row>
    <row r="83" spans="1:47" s="620" customFormat="1" x14ac:dyDescent="0.25">
      <c r="A83" s="172"/>
      <c r="B83" s="172"/>
      <c r="C83" s="204"/>
      <c r="D83" s="204"/>
      <c r="E83" s="172"/>
      <c r="F83" s="171"/>
      <c r="G83" s="171"/>
      <c r="H83" s="171"/>
      <c r="I83" s="171"/>
      <c r="J83" s="171"/>
      <c r="K83" s="171"/>
      <c r="L83" s="171"/>
      <c r="M83" s="171"/>
      <c r="N83" s="171"/>
      <c r="O83" s="171"/>
      <c r="P83" s="171"/>
      <c r="Q83" s="171"/>
      <c r="R83" s="171"/>
      <c r="S83" s="171"/>
      <c r="T83" s="171"/>
      <c r="U83" s="171"/>
      <c r="V83" s="171"/>
      <c r="W83" s="171"/>
      <c r="X83" s="171"/>
      <c r="Y83" s="171"/>
      <c r="Z83" s="171"/>
      <c r="AA83" s="171"/>
      <c r="AB83" s="171"/>
      <c r="AC83" s="171"/>
      <c r="AD83" s="171"/>
      <c r="AE83" s="171"/>
      <c r="AF83" s="171"/>
      <c r="AG83" s="171"/>
      <c r="AH83" s="171"/>
      <c r="AI83" s="171"/>
      <c r="AJ83" s="171"/>
      <c r="AK83" s="171"/>
      <c r="AL83" s="171"/>
      <c r="AM83" s="171"/>
      <c r="AN83" s="171"/>
      <c r="AO83" s="171"/>
      <c r="AP83" s="171"/>
      <c r="AQ83" s="171"/>
      <c r="AR83" s="171"/>
      <c r="AS83" s="171"/>
      <c r="AT83" s="171"/>
      <c r="AU83" s="171"/>
    </row>
    <row r="84" spans="1:47" ht="15.75" thickBot="1" x14ac:dyDescent="0.3">
      <c r="A84" s="205" t="s">
        <v>64</v>
      </c>
      <c r="B84" s="172"/>
      <c r="C84" s="204"/>
      <c r="D84" s="204"/>
      <c r="E84" s="52"/>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row>
    <row r="85" spans="1:47" x14ac:dyDescent="0.25">
      <c r="A85" s="2505" t="s">
        <v>1141</v>
      </c>
      <c r="B85" s="2506"/>
      <c r="C85" s="2506"/>
      <c r="D85" s="2506"/>
      <c r="E85" s="2507"/>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row>
    <row r="86" spans="1:47" ht="15.75" thickBot="1" x14ac:dyDescent="0.3">
      <c r="A86" s="192" t="s">
        <v>65</v>
      </c>
      <c r="B86" s="186" t="s">
        <v>5</v>
      </c>
      <c r="C86" s="2375" t="s">
        <v>50</v>
      </c>
      <c r="D86" s="2375"/>
      <c r="E86" s="187" t="s">
        <v>22</v>
      </c>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row>
    <row r="87" spans="1:47" x14ac:dyDescent="0.25">
      <c r="A87" s="181"/>
      <c r="B87" s="180"/>
      <c r="C87" s="54" t="e">
        <f ca="1">IF(Cabeçalho!$G$28="Unfors",INDIRECT(ADDRESS(B87,1,1,1,"medidas Unfors"),1),INDIRECT(ADDRESS(B87,1,1,1,"medidas Fluke"),1))</f>
        <v>#VALUE!</v>
      </c>
      <c r="D87" s="54" t="e">
        <f ca="1">IF(Cabeçalho!$G$28="Unfors",INDIRECT(ADDRESS(B87,2,1,1,"medidas Unfors"),1),"kVp")</f>
        <v>#VALUE!</v>
      </c>
      <c r="E87" s="55" t="str">
        <f ca="1">IFERROR(CONCATENATE(ROUND((C87/A87-1)*100,1)," %"),"")</f>
        <v/>
      </c>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row>
    <row r="88" spans="1:47" x14ac:dyDescent="0.25">
      <c r="A88" s="179"/>
      <c r="B88" s="182"/>
      <c r="C88" s="54" t="e">
        <f ca="1">IF(Cabeçalho!$G$28="Unfors",INDIRECT(ADDRESS(B88,1,1,1,"medidas Unfors"),1),INDIRECT(ADDRESS(B88,1,1,1,"medidas Fluke"),1))</f>
        <v>#VALUE!</v>
      </c>
      <c r="D88" s="54" t="e">
        <f ca="1">IF(Cabeçalho!$G$28="Unfors",INDIRECT(ADDRESS(B88,2,1,1,"medidas Unfors"),1),"kVp")</f>
        <v>#VALUE!</v>
      </c>
      <c r="E88" s="55" t="str">
        <f t="shared" ref="E88:E94" ca="1" si="1">IFERROR(CONCATENATE(ROUND((C88/A88-1)*100,1)," %"),"")</f>
        <v/>
      </c>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row>
    <row r="89" spans="1:47" x14ac:dyDescent="0.25">
      <c r="A89" s="179"/>
      <c r="B89" s="182"/>
      <c r="C89" s="54" t="e">
        <f ca="1">IF(Cabeçalho!$G$28="Unfors",INDIRECT(ADDRESS(B89,1,1,1,"medidas Unfors"),1),INDIRECT(ADDRESS(B89,1,1,1,"medidas Fluke"),1))</f>
        <v>#VALUE!</v>
      </c>
      <c r="D89" s="54" t="e">
        <f ca="1">IF(Cabeçalho!$G$28="Unfors",INDIRECT(ADDRESS(B89,2,1,1,"medidas Unfors"),1),"kVp")</f>
        <v>#VALUE!</v>
      </c>
      <c r="E89" s="55" t="str">
        <f t="shared" ca="1" si="1"/>
        <v/>
      </c>
      <c r="F89" s="50"/>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row>
    <row r="90" spans="1:47" x14ac:dyDescent="0.25">
      <c r="A90" s="179"/>
      <c r="B90" s="182"/>
      <c r="C90" s="54" t="e">
        <f ca="1">IF(Cabeçalho!$G$28="Unfors",INDIRECT(ADDRESS(B90,1,1,1,"medidas Unfors"),1),INDIRECT(ADDRESS(B90,1,1,1,"medidas Fluke"),1))</f>
        <v>#VALUE!</v>
      </c>
      <c r="D90" s="54" t="e">
        <f ca="1">IF(Cabeçalho!$G$28="Unfors",INDIRECT(ADDRESS(B90,2,1,1,"medidas Unfors"),1),"kVp")</f>
        <v>#VALUE!</v>
      </c>
      <c r="E90" s="55" t="str">
        <f t="shared" ca="1" si="1"/>
        <v/>
      </c>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row>
    <row r="91" spans="1:47" x14ac:dyDescent="0.25">
      <c r="A91" s="179"/>
      <c r="B91" s="182"/>
      <c r="C91" s="54" t="e">
        <f ca="1">IF(Cabeçalho!$G$28="Unfors",INDIRECT(ADDRESS(B91,1,1,1,"medidas Unfors"),1),INDIRECT(ADDRESS(B91,1,1,1,"medidas Fluke"),1))</f>
        <v>#VALUE!</v>
      </c>
      <c r="D91" s="54" t="e">
        <f ca="1">IF(Cabeçalho!$G$28="Unfors",INDIRECT(ADDRESS(B91,2,1,1,"medidas Unfors"),1),"kVp")</f>
        <v>#VALUE!</v>
      </c>
      <c r="E91" s="55" t="str">
        <f t="shared" ca="1" si="1"/>
        <v/>
      </c>
      <c r="F91" s="50"/>
      <c r="G91" s="50"/>
      <c r="H91" s="50"/>
      <c r="I91" s="5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c r="AP91" s="50"/>
      <c r="AQ91" s="50"/>
      <c r="AR91" s="50"/>
      <c r="AS91" s="50"/>
      <c r="AT91" s="50"/>
      <c r="AU91" s="50"/>
    </row>
    <row r="92" spans="1:47" x14ac:dyDescent="0.25">
      <c r="A92" s="179"/>
      <c r="B92" s="182"/>
      <c r="C92" s="54" t="e">
        <f ca="1">IF(Cabeçalho!$G$28="Unfors",INDIRECT(ADDRESS(B92,1,1,1,"medidas Unfors"),1),INDIRECT(ADDRESS(B92,1,1,1,"medidas Fluke"),1))</f>
        <v>#VALUE!</v>
      </c>
      <c r="D92" s="54" t="e">
        <f ca="1">IF(Cabeçalho!$G$28="Unfors",INDIRECT(ADDRESS(B92,2,1,1,"medidas Unfors"),1),"kVp")</f>
        <v>#VALUE!</v>
      </c>
      <c r="E92" s="55" t="str">
        <f t="shared" ca="1" si="1"/>
        <v/>
      </c>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row>
    <row r="93" spans="1:47" x14ac:dyDescent="0.25">
      <c r="A93" s="179"/>
      <c r="B93" s="182"/>
      <c r="C93" s="54" t="e">
        <f ca="1">IF(Cabeçalho!$G$28="Unfors",INDIRECT(ADDRESS(B93,1,1,1,"medidas Unfors"),1),INDIRECT(ADDRESS(B93,1,1,1,"medidas Fluke"),1))</f>
        <v>#VALUE!</v>
      </c>
      <c r="D93" s="54" t="e">
        <f ca="1">IF(Cabeçalho!$G$28="Unfors",INDIRECT(ADDRESS(B93,2,1,1,"medidas Unfors"),1),"kVp")</f>
        <v>#VALUE!</v>
      </c>
      <c r="E93" s="55" t="str">
        <f t="shared" ca="1" si="1"/>
        <v/>
      </c>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row>
    <row r="94" spans="1:47" ht="15.75" thickBot="1" x14ac:dyDescent="0.3">
      <c r="A94" s="177"/>
      <c r="B94" s="178"/>
      <c r="C94" s="56" t="e">
        <f ca="1">IF(Cabeçalho!$G$28="Unfors",INDIRECT(ADDRESS(B94,1,1,1,"medidas Unfors"),1),INDIRECT(ADDRESS(B94,1,1,1,"medidas Fluke"),1))</f>
        <v>#VALUE!</v>
      </c>
      <c r="D94" s="56" t="e">
        <f ca="1">IF(Cabeçalho!$G$28="Unfors",INDIRECT(ADDRESS(B94,2,1,1,"medidas Unfors"),1),"kVp")</f>
        <v>#VALUE!</v>
      </c>
      <c r="E94" s="57" t="str">
        <f t="shared" ca="1" si="1"/>
        <v/>
      </c>
      <c r="F94" s="50"/>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row>
    <row r="95" spans="1:47" ht="15.75" thickBot="1" x14ac:dyDescent="0.3">
      <c r="A95" s="50"/>
      <c r="B95" s="50"/>
      <c r="C95" s="50"/>
      <c r="D95" s="50"/>
      <c r="E95" s="50"/>
      <c r="F95" s="50"/>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row>
    <row r="96" spans="1:47" ht="15.75" thickBot="1" x14ac:dyDescent="0.3">
      <c r="A96" s="2505" t="s">
        <v>24</v>
      </c>
      <c r="B96" s="2506"/>
      <c r="C96" s="2506"/>
      <c r="D96" s="2506"/>
      <c r="E96" s="2507"/>
      <c r="F96" s="50"/>
      <c r="G96" s="191" t="s">
        <v>659</v>
      </c>
      <c r="H96" s="193" t="s">
        <v>658</v>
      </c>
      <c r="I96" s="52"/>
      <c r="J96" s="52" t="s">
        <v>207</v>
      </c>
      <c r="K96" s="52" t="s">
        <v>208</v>
      </c>
      <c r="L96" s="52" t="s">
        <v>379</v>
      </c>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row>
    <row r="97" spans="1:54" x14ac:dyDescent="0.25">
      <c r="A97" s="192" t="s">
        <v>25</v>
      </c>
      <c r="B97" s="108">
        <f>Cabeçalho!$G$25</f>
        <v>0</v>
      </c>
      <c r="C97" s="2531"/>
      <c r="D97" s="2531"/>
      <c r="E97" s="2532"/>
      <c r="F97" s="96" t="s">
        <v>204</v>
      </c>
      <c r="G97" s="84">
        <v>30</v>
      </c>
      <c r="H97" s="131">
        <v>20</v>
      </c>
      <c r="I97" s="52">
        <v>50</v>
      </c>
      <c r="J97" s="52">
        <v>1.5</v>
      </c>
      <c r="K97" s="52">
        <v>1.6</v>
      </c>
      <c r="L97" s="132">
        <v>1.8</v>
      </c>
      <c r="M97" s="96"/>
      <c r="N97" s="96"/>
      <c r="O97" s="96"/>
      <c r="P97" s="96"/>
      <c r="Q97" s="96"/>
      <c r="R97" s="96"/>
      <c r="S97" s="96"/>
      <c r="T97" s="96"/>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row>
    <row r="98" spans="1:54" x14ac:dyDescent="0.25">
      <c r="A98" s="192" t="s">
        <v>18</v>
      </c>
      <c r="B98" s="183">
        <v>80</v>
      </c>
      <c r="C98" s="2508" t="s">
        <v>19</v>
      </c>
      <c r="D98" s="2508"/>
      <c r="E98" s="105"/>
      <c r="F98" s="96" t="s">
        <v>205</v>
      </c>
      <c r="G98" s="84">
        <v>65</v>
      </c>
      <c r="H98" s="131">
        <v>80</v>
      </c>
      <c r="I98" s="52">
        <v>60</v>
      </c>
      <c r="J98" s="52">
        <v>1.8</v>
      </c>
      <c r="K98" s="52">
        <v>2</v>
      </c>
      <c r="L98" s="132">
        <v>2.2000000000000002</v>
      </c>
      <c r="M98" s="99"/>
      <c r="N98" s="99"/>
      <c r="O98" s="99"/>
      <c r="P98" s="99"/>
      <c r="Q98" s="99"/>
      <c r="R98" s="99"/>
      <c r="S98" s="99"/>
      <c r="T98" s="99"/>
      <c r="U98" s="99"/>
      <c r="V98" s="99"/>
      <c r="W98" s="99"/>
      <c r="X98" s="99"/>
      <c r="Y98" s="99"/>
      <c r="Z98" s="99"/>
      <c r="AA98" s="99"/>
      <c r="AB98" s="99"/>
      <c r="AC98" s="99"/>
      <c r="AD98" s="99"/>
      <c r="AE98" s="99"/>
      <c r="AF98" s="99"/>
      <c r="AG98" s="99"/>
      <c r="AH98" s="99"/>
      <c r="AI98" s="99"/>
      <c r="AJ98" s="99"/>
      <c r="AK98" s="99"/>
      <c r="AL98" s="99"/>
      <c r="AM98" s="99"/>
      <c r="AN98" s="99"/>
      <c r="AO98" s="99"/>
      <c r="AP98" s="99"/>
      <c r="AQ98" s="99"/>
      <c r="AR98" s="99"/>
      <c r="AS98" s="99"/>
      <c r="AT98" s="99"/>
      <c r="AU98" s="99"/>
      <c r="AV98" s="16"/>
      <c r="AW98" s="16"/>
      <c r="AX98" s="16"/>
      <c r="AY98" s="16"/>
      <c r="AZ98" s="16"/>
      <c r="BA98" s="16"/>
      <c r="BB98" s="16"/>
    </row>
    <row r="99" spans="1:54" x14ac:dyDescent="0.25">
      <c r="A99" s="580" t="s">
        <v>1421</v>
      </c>
      <c r="B99" s="183"/>
      <c r="C99" s="52" t="s">
        <v>13</v>
      </c>
      <c r="D99" s="52"/>
      <c r="E99" s="80"/>
      <c r="F99" s="50"/>
      <c r="G99" s="50"/>
      <c r="H99" s="99"/>
      <c r="I99" s="52">
        <v>70</v>
      </c>
      <c r="J99" s="52">
        <v>2.1</v>
      </c>
      <c r="K99" s="52">
        <v>2.2999999999999998</v>
      </c>
      <c r="L99" s="132">
        <v>2.5</v>
      </c>
      <c r="M99" s="99"/>
      <c r="N99" s="99"/>
      <c r="O99" s="99"/>
      <c r="P99" s="99"/>
      <c r="Q99" s="99"/>
      <c r="R99" s="99"/>
      <c r="S99" s="99"/>
      <c r="T99" s="99"/>
      <c r="U99" s="99"/>
      <c r="V99" s="99"/>
      <c r="W99" s="99"/>
      <c r="X99" s="99"/>
      <c r="Y99" s="99"/>
      <c r="Z99" s="99"/>
      <c r="AA99" s="99"/>
      <c r="AB99" s="99"/>
      <c r="AC99" s="99"/>
      <c r="AD99" s="99"/>
      <c r="AE99" s="99"/>
      <c r="AF99" s="99"/>
      <c r="AG99" s="99"/>
      <c r="AH99" s="99"/>
      <c r="AI99" s="99"/>
      <c r="AJ99" s="99"/>
      <c r="AK99" s="99"/>
      <c r="AL99" s="99"/>
      <c r="AM99" s="99"/>
      <c r="AN99" s="99"/>
      <c r="AO99" s="99"/>
      <c r="AP99" s="99"/>
      <c r="AQ99" s="99"/>
      <c r="AR99" s="99"/>
      <c r="AS99" s="99"/>
      <c r="AT99" s="99"/>
      <c r="AU99" s="99"/>
      <c r="AV99" s="16"/>
      <c r="AW99" s="16"/>
      <c r="AX99" s="16"/>
      <c r="AY99" s="16"/>
      <c r="AZ99" s="16"/>
      <c r="BA99" s="16"/>
      <c r="BB99" s="16"/>
    </row>
    <row r="100" spans="1:54" x14ac:dyDescent="0.25">
      <c r="A100" s="192" t="s">
        <v>5</v>
      </c>
      <c r="B100" s="183"/>
      <c r="C100" s="66"/>
      <c r="D100" s="52"/>
      <c r="E100" s="80"/>
      <c r="F100" s="50"/>
      <c r="G100" s="50"/>
      <c r="H100" s="99"/>
      <c r="I100" s="52">
        <v>80</v>
      </c>
      <c r="J100" s="52">
        <v>2.2999999999999998</v>
      </c>
      <c r="K100" s="52">
        <v>2.6</v>
      </c>
      <c r="L100" s="132">
        <v>2.9</v>
      </c>
      <c r="M100" s="99"/>
      <c r="N100" s="99"/>
      <c r="O100" s="99"/>
      <c r="P100" s="99"/>
      <c r="Q100" s="99"/>
      <c r="R100" s="99"/>
      <c r="S100" s="99"/>
      <c r="T100" s="99"/>
      <c r="U100" s="99"/>
      <c r="V100" s="99"/>
      <c r="W100" s="99"/>
      <c r="X100" s="99"/>
      <c r="Y100" s="99"/>
      <c r="Z100" s="99"/>
      <c r="AA100" s="99"/>
      <c r="AB100" s="99"/>
      <c r="AC100" s="99"/>
      <c r="AD100" s="99"/>
      <c r="AE100" s="99"/>
      <c r="AF100" s="99"/>
      <c r="AG100" s="99"/>
      <c r="AH100" s="99"/>
      <c r="AI100" s="99"/>
      <c r="AJ100" s="99"/>
      <c r="AK100" s="99"/>
      <c r="AL100" s="99"/>
      <c r="AM100" s="99"/>
      <c r="AN100" s="99"/>
      <c r="AO100" s="99"/>
      <c r="AP100" s="99"/>
      <c r="AQ100" s="99"/>
      <c r="AR100" s="99"/>
      <c r="AS100" s="99"/>
      <c r="AT100" s="99"/>
      <c r="AU100" s="99"/>
      <c r="AV100" s="16"/>
      <c r="AW100" s="16"/>
      <c r="AX100" s="16"/>
      <c r="AY100" s="16"/>
      <c r="AZ100" s="16"/>
      <c r="BA100" s="16"/>
      <c r="BB100" s="16"/>
    </row>
    <row r="101" spans="1:54" ht="15.75" thickBot="1" x14ac:dyDescent="0.3">
      <c r="A101" s="192" t="s">
        <v>53</v>
      </c>
      <c r="B101" s="64"/>
      <c r="C101" s="188" t="s">
        <v>12</v>
      </c>
      <c r="D101" s="52"/>
      <c r="E101" s="82"/>
      <c r="F101" s="50"/>
      <c r="G101" s="50"/>
      <c r="H101" s="99"/>
      <c r="I101" s="52">
        <v>90</v>
      </c>
      <c r="J101" s="52">
        <v>2.5</v>
      </c>
      <c r="K101" s="52">
        <v>3</v>
      </c>
      <c r="L101" s="132">
        <v>3.2</v>
      </c>
      <c r="M101" s="99"/>
      <c r="N101" s="99"/>
      <c r="O101" s="99"/>
      <c r="P101" s="99"/>
      <c r="Q101" s="99"/>
      <c r="R101" s="99"/>
      <c r="S101" s="99"/>
      <c r="T101" s="99"/>
      <c r="U101" s="99"/>
      <c r="V101" s="99"/>
      <c r="W101" s="99"/>
      <c r="X101" s="99"/>
      <c r="Y101" s="99"/>
      <c r="Z101" s="99"/>
      <c r="AA101" s="99"/>
      <c r="AB101" s="99"/>
      <c r="AC101" s="99"/>
      <c r="AD101" s="99"/>
      <c r="AE101" s="99"/>
      <c r="AF101" s="99"/>
      <c r="AG101" s="99"/>
      <c r="AH101" s="99"/>
      <c r="AI101" s="99"/>
      <c r="AJ101" s="99"/>
      <c r="AK101" s="99"/>
      <c r="AL101" s="99"/>
      <c r="AM101" s="99"/>
      <c r="AN101" s="99"/>
      <c r="AO101" s="99"/>
      <c r="AP101" s="99"/>
      <c r="AQ101" s="99"/>
      <c r="AR101" s="99"/>
      <c r="AS101" s="99"/>
      <c r="AT101" s="99"/>
      <c r="AU101" s="99"/>
      <c r="AV101" s="16"/>
      <c r="AW101" s="16"/>
      <c r="AX101" s="16"/>
      <c r="AY101" s="16"/>
      <c r="AZ101" s="16"/>
      <c r="BA101" s="16"/>
      <c r="BB101" s="16"/>
    </row>
    <row r="102" spans="1:54" x14ac:dyDescent="0.25">
      <c r="A102" s="60"/>
      <c r="B102" s="9" t="e">
        <f ca="1">IF(Cabeçalho!$G$28="Unfors",INDIRECT(ADDRESS(B100,1,1,1,"medidas Unfors"),1),INDIRECT(ADDRESS(B100,1,1,1,"medidas Fluke"),1))</f>
        <v>#VALUE!</v>
      </c>
      <c r="C102" s="190" t="s">
        <v>0</v>
      </c>
      <c r="D102" s="52"/>
      <c r="E102" s="80"/>
      <c r="F102" s="50"/>
      <c r="G102" s="50"/>
      <c r="H102" s="99"/>
      <c r="I102" s="52">
        <v>100</v>
      </c>
      <c r="J102" s="52">
        <v>2.7</v>
      </c>
      <c r="K102" s="52">
        <v>3.2</v>
      </c>
      <c r="L102" s="132">
        <v>3.6</v>
      </c>
      <c r="M102" s="99"/>
      <c r="N102" s="99"/>
      <c r="O102" s="99"/>
      <c r="P102" s="99"/>
      <c r="Q102" s="99"/>
      <c r="R102" s="99"/>
      <c r="S102" s="99"/>
      <c r="T102" s="99"/>
      <c r="U102" s="99"/>
      <c r="V102" s="99"/>
      <c r="W102" s="99"/>
      <c r="X102" s="99"/>
      <c r="Y102" s="99"/>
      <c r="Z102" s="99"/>
      <c r="AA102" s="99"/>
      <c r="AB102" s="99"/>
      <c r="AC102" s="99"/>
      <c r="AD102" s="99"/>
      <c r="AE102" s="99"/>
      <c r="AF102" s="99"/>
      <c r="AG102" s="99"/>
      <c r="AH102" s="99"/>
      <c r="AI102" s="99"/>
      <c r="AJ102" s="99"/>
      <c r="AK102" s="99"/>
      <c r="AL102" s="99"/>
      <c r="AM102" s="99"/>
      <c r="AN102" s="99"/>
      <c r="AO102" s="99"/>
      <c r="AP102" s="99"/>
      <c r="AQ102" s="99"/>
      <c r="AR102" s="99"/>
      <c r="AS102" s="99"/>
      <c r="AT102" s="99"/>
      <c r="AU102" s="99"/>
      <c r="AV102" s="16"/>
      <c r="AW102" s="16"/>
      <c r="AX102" s="16"/>
      <c r="AY102" s="16"/>
      <c r="AZ102" s="16"/>
      <c r="BA102" s="16"/>
      <c r="BB102" s="16"/>
    </row>
    <row r="103" spans="1:54" x14ac:dyDescent="0.25">
      <c r="A103" s="60"/>
      <c r="B103" s="9" t="e">
        <f ca="1">IF(Cabeçalho!$G$28="Unfors",INDIRECT(ADDRESS(B100,5,1,1,"medidas Unfors"),1),INDIRECT(ADDRESS(B100,5,1,1,"medidas Fluke"),1)/1000)</f>
        <v>#VALUE!</v>
      </c>
      <c r="C103" s="194" t="s">
        <v>2</v>
      </c>
      <c r="D103" s="52"/>
      <c r="E103" s="80"/>
      <c r="F103" s="50"/>
      <c r="G103" s="50"/>
      <c r="H103" s="99"/>
      <c r="I103" s="132">
        <v>110</v>
      </c>
      <c r="J103" s="132">
        <v>3</v>
      </c>
      <c r="K103" s="132">
        <v>3.5</v>
      </c>
      <c r="L103" s="132">
        <v>3.9</v>
      </c>
      <c r="M103" s="99"/>
      <c r="N103" s="99"/>
      <c r="O103" s="99"/>
      <c r="P103" s="99"/>
      <c r="Q103" s="99"/>
      <c r="R103" s="99"/>
      <c r="S103" s="99"/>
      <c r="T103" s="99"/>
      <c r="U103" s="99"/>
      <c r="V103" s="99"/>
      <c r="W103" s="99"/>
      <c r="X103" s="99"/>
      <c r="Y103" s="99"/>
      <c r="Z103" s="99"/>
      <c r="AA103" s="99"/>
      <c r="AB103" s="99"/>
      <c r="AC103" s="99"/>
      <c r="AD103" s="99"/>
      <c r="AE103" s="99"/>
      <c r="AF103" s="99"/>
      <c r="AG103" s="99"/>
      <c r="AH103" s="99"/>
      <c r="AI103" s="99"/>
      <c r="AJ103" s="99"/>
      <c r="AK103" s="99"/>
      <c r="AL103" s="99"/>
      <c r="AM103" s="99"/>
      <c r="AN103" s="99"/>
      <c r="AO103" s="99"/>
      <c r="AP103" s="99"/>
      <c r="AQ103" s="99"/>
      <c r="AR103" s="99"/>
      <c r="AS103" s="99"/>
      <c r="AT103" s="99"/>
      <c r="AU103" s="99"/>
      <c r="AV103" s="16"/>
      <c r="AW103" s="16"/>
      <c r="AX103" s="16"/>
      <c r="AY103" s="16"/>
      <c r="AZ103" s="16"/>
      <c r="BA103" s="16"/>
      <c r="BB103" s="16"/>
    </row>
    <row r="104" spans="1:54" x14ac:dyDescent="0.25">
      <c r="A104" s="60"/>
      <c r="B104" s="66" t="e">
        <f ca="1">IF(Cabeçalho!$G$28="Unfors",INDIRECT(ADDRESS(B100,7,1,1,"medidas Unfors"),1),INDIRECT(ADDRESS(B100,6,1,1,"medidas Fluke"),1)/1000)</f>
        <v>#VALUE!</v>
      </c>
      <c r="C104" s="190" t="s">
        <v>3</v>
      </c>
      <c r="D104" s="52"/>
      <c r="E104" s="80"/>
      <c r="F104" s="50"/>
      <c r="G104" s="85"/>
      <c r="H104" s="99"/>
      <c r="I104" s="132">
        <v>120</v>
      </c>
      <c r="J104" s="132">
        <v>3.2</v>
      </c>
      <c r="K104" s="132">
        <v>3.9</v>
      </c>
      <c r="L104" s="132">
        <v>4.3</v>
      </c>
      <c r="M104" s="99"/>
      <c r="N104" s="99"/>
      <c r="O104" s="99"/>
      <c r="P104" s="99"/>
      <c r="Q104" s="99"/>
      <c r="R104" s="99"/>
      <c r="S104" s="99"/>
      <c r="T104" s="99"/>
      <c r="U104" s="99"/>
      <c r="V104" s="99"/>
      <c r="W104" s="99"/>
      <c r="X104" s="99"/>
      <c r="Y104" s="99"/>
      <c r="Z104" s="99"/>
      <c r="AA104" s="99"/>
      <c r="AB104" s="99"/>
      <c r="AC104" s="99"/>
      <c r="AD104" s="99"/>
      <c r="AE104" s="99"/>
      <c r="AF104" s="99"/>
      <c r="AG104" s="99"/>
      <c r="AH104" s="99"/>
      <c r="AI104" s="99"/>
      <c r="AJ104" s="99"/>
      <c r="AK104" s="99"/>
      <c r="AL104" s="99"/>
      <c r="AM104" s="99"/>
      <c r="AN104" s="99"/>
      <c r="AO104" s="99"/>
      <c r="AP104" s="99"/>
      <c r="AQ104" s="99"/>
      <c r="AR104" s="99"/>
      <c r="AS104" s="99"/>
      <c r="AT104" s="99"/>
      <c r="AU104" s="99"/>
      <c r="AV104" s="16"/>
      <c r="AW104" s="16"/>
      <c r="AX104" s="16"/>
      <c r="AY104" s="16"/>
      <c r="AZ104" s="16"/>
      <c r="BA104" s="16"/>
      <c r="BB104" s="16"/>
    </row>
    <row r="105" spans="1:54" x14ac:dyDescent="0.25">
      <c r="A105" s="60"/>
      <c r="B105" s="9" t="e">
        <f ca="1">IF(Cabeçalho!$G$28="Unfors",INDIRECT(ADDRESS(B100,17,1,1,"medidas Unfors"),1),INDIRECT(ADDRESS(B100,8,1,1,"medidas Fluke"),1))</f>
        <v>#VALUE!</v>
      </c>
      <c r="C105" s="190" t="s">
        <v>8</v>
      </c>
      <c r="D105" s="52" t="str">
        <f ca="1">IFERROR(IF(B105/$J$107&gt;0.2,"Alta",""),"")</f>
        <v/>
      </c>
      <c r="E105" s="80"/>
      <c r="F105" s="50"/>
      <c r="G105" s="87"/>
      <c r="H105" s="99"/>
      <c r="I105" s="52">
        <v>130</v>
      </c>
      <c r="J105" s="52">
        <v>3.5</v>
      </c>
      <c r="K105" s="52">
        <v>4.0999999999999996</v>
      </c>
      <c r="L105" s="132">
        <v>4.7</v>
      </c>
      <c r="M105" s="99"/>
      <c r="N105" s="99"/>
      <c r="O105" s="99"/>
      <c r="P105" s="99"/>
      <c r="Q105" s="99"/>
      <c r="R105" s="99"/>
      <c r="S105" s="99"/>
      <c r="T105" s="99"/>
      <c r="U105" s="99"/>
      <c r="V105" s="99"/>
      <c r="W105" s="99"/>
      <c r="X105" s="99"/>
      <c r="Y105" s="99"/>
      <c r="Z105" s="99"/>
      <c r="AA105" s="99"/>
      <c r="AB105" s="99"/>
      <c r="AC105" s="99"/>
      <c r="AD105" s="99"/>
      <c r="AE105" s="99"/>
      <c r="AF105" s="99"/>
      <c r="AG105" s="99"/>
      <c r="AH105" s="99"/>
      <c r="AI105" s="99"/>
      <c r="AJ105" s="99"/>
      <c r="AK105" s="99"/>
      <c r="AL105" s="99"/>
      <c r="AM105" s="99"/>
      <c r="AN105" s="99"/>
      <c r="AO105" s="99"/>
      <c r="AP105" s="99"/>
      <c r="AQ105" s="99"/>
      <c r="AR105" s="99"/>
      <c r="AS105" s="99"/>
      <c r="AT105" s="99"/>
      <c r="AU105" s="99"/>
      <c r="AV105" s="16"/>
      <c r="AW105" s="16"/>
      <c r="AX105" s="16"/>
      <c r="AY105" s="16"/>
      <c r="AZ105" s="16"/>
      <c r="BA105" s="16"/>
      <c r="BB105" s="16"/>
    </row>
    <row r="106" spans="1:54" ht="17.25" x14ac:dyDescent="0.25">
      <c r="A106" s="97" t="s">
        <v>29</v>
      </c>
      <c r="B106" s="9" t="e">
        <f ca="1">B103*1000/B99*(B98/B102)^2*(B101/100)^2</f>
        <v>#VALUE!</v>
      </c>
      <c r="C106" s="2508" t="s">
        <v>376</v>
      </c>
      <c r="D106" s="2508"/>
      <c r="E106" s="203"/>
      <c r="F106" s="96"/>
      <c r="G106" s="85"/>
      <c r="H106" s="99"/>
      <c r="I106" s="52"/>
      <c r="J106" s="52"/>
      <c r="K106" s="52"/>
      <c r="L106" s="52"/>
      <c r="M106" s="99"/>
      <c r="N106" s="99"/>
      <c r="O106" s="99"/>
      <c r="P106" s="99"/>
      <c r="Q106" s="99"/>
      <c r="R106" s="99"/>
      <c r="S106" s="99"/>
      <c r="T106" s="99"/>
      <c r="U106" s="99"/>
      <c r="V106" s="99"/>
      <c r="W106" s="99"/>
      <c r="X106" s="99"/>
      <c r="Y106" s="99"/>
      <c r="Z106" s="99"/>
      <c r="AA106" s="99"/>
      <c r="AB106" s="99"/>
      <c r="AC106" s="99"/>
      <c r="AD106" s="99"/>
      <c r="AE106" s="99"/>
      <c r="AF106" s="99"/>
      <c r="AG106" s="99"/>
      <c r="AH106" s="99"/>
      <c r="AI106" s="99"/>
      <c r="AJ106" s="99"/>
      <c r="AK106" s="99"/>
      <c r="AL106" s="99"/>
      <c r="AM106" s="99"/>
      <c r="AN106" s="99"/>
      <c r="AO106" s="99"/>
      <c r="AP106" s="99"/>
      <c r="AQ106" s="99"/>
      <c r="AR106" s="99"/>
      <c r="AS106" s="99"/>
      <c r="AT106" s="99"/>
      <c r="AU106" s="99"/>
      <c r="AV106" s="16"/>
      <c r="AW106" s="16"/>
      <c r="AX106" s="16"/>
      <c r="AY106" s="16"/>
      <c r="AZ106" s="16"/>
      <c r="BA106" s="16"/>
      <c r="BB106" s="16"/>
    </row>
    <row r="107" spans="1:54" x14ac:dyDescent="0.25">
      <c r="A107" s="198"/>
      <c r="B107" s="172"/>
      <c r="C107" s="172"/>
      <c r="D107" s="172"/>
      <c r="E107" s="86"/>
      <c r="F107" s="50"/>
      <c r="G107" s="50"/>
      <c r="H107" s="99"/>
      <c r="I107" s="103" t="s">
        <v>154</v>
      </c>
      <c r="J107" s="81">
        <f>VLOOKUP(B98,$I$97:$L$105,IF(Cabeçalho!$H$25="Mono",2,IF(Cabeçalho!$H$25="Tri",3,4)))</f>
        <v>2.2999999999999998</v>
      </c>
      <c r="K107" s="52"/>
      <c r="L107" s="52"/>
      <c r="M107" s="99"/>
      <c r="N107" s="99"/>
      <c r="O107" s="99"/>
      <c r="P107" s="99"/>
      <c r="Q107" s="99"/>
      <c r="R107" s="99"/>
      <c r="S107" s="99"/>
      <c r="T107" s="99"/>
      <c r="U107" s="99"/>
      <c r="V107" s="99"/>
      <c r="W107" s="99"/>
      <c r="X107" s="99"/>
      <c r="Y107" s="99"/>
      <c r="Z107" s="99"/>
      <c r="AA107" s="99"/>
      <c r="AB107" s="99"/>
      <c r="AC107" s="99"/>
      <c r="AD107" s="99"/>
      <c r="AE107" s="99"/>
      <c r="AF107" s="99"/>
      <c r="AG107" s="99"/>
      <c r="AH107" s="99"/>
      <c r="AI107" s="99"/>
      <c r="AJ107" s="99"/>
      <c r="AK107" s="99"/>
      <c r="AL107" s="99"/>
      <c r="AM107" s="99"/>
      <c r="AN107" s="99"/>
      <c r="AO107" s="99"/>
      <c r="AP107" s="99"/>
      <c r="AQ107" s="99"/>
      <c r="AR107" s="99"/>
      <c r="AS107" s="99"/>
      <c r="AT107" s="99"/>
      <c r="AU107" s="99"/>
      <c r="AV107" s="16"/>
      <c r="AW107" s="16"/>
      <c r="AX107" s="16"/>
      <c r="AY107" s="16"/>
      <c r="AZ107" s="16"/>
      <c r="BA107" s="16"/>
      <c r="BB107" s="16"/>
    </row>
    <row r="108" spans="1:54" x14ac:dyDescent="0.25">
      <c r="A108" s="813" t="s">
        <v>1614</v>
      </c>
      <c r="B108" s="189" t="e">
        <f ca="1">IF(OR(B106&lt;20,B106&gt;80),"Restrição",IF(OR(B106&lt;30,B106&gt;65),"Não","Sim"))</f>
        <v>#VALUE!</v>
      </c>
      <c r="C108" s="172"/>
      <c r="D108" s="172"/>
      <c r="E108" s="203" t="e">
        <f ca="1">IF(B106/$H$50&lt;(1-$J$62),"Baixo",IF(B106/$H$51&gt;(1+$J$62),"Alto","Aceitável"))</f>
        <v>#VALUE!</v>
      </c>
      <c r="F108" s="50"/>
      <c r="G108" s="61"/>
      <c r="H108" s="99"/>
      <c r="I108" s="99"/>
      <c r="J108" s="99"/>
      <c r="K108" s="99"/>
      <c r="L108" s="99"/>
      <c r="M108" s="99"/>
      <c r="N108" s="99"/>
      <c r="O108" s="99"/>
      <c r="P108" s="99"/>
      <c r="Q108" s="99"/>
      <c r="R108" s="99"/>
      <c r="S108" s="99"/>
      <c r="T108" s="99"/>
      <c r="U108" s="99"/>
      <c r="V108" s="99"/>
      <c r="W108" s="99"/>
      <c r="X108" s="99"/>
      <c r="Y108" s="99"/>
      <c r="Z108" s="99"/>
      <c r="AA108" s="99"/>
      <c r="AB108" s="99"/>
      <c r="AC108" s="99"/>
      <c r="AD108" s="99"/>
      <c r="AE108" s="99"/>
      <c r="AF108" s="99"/>
      <c r="AG108" s="99"/>
      <c r="AH108" s="99"/>
      <c r="AI108" s="99"/>
      <c r="AJ108" s="99"/>
      <c r="AK108" s="99"/>
      <c r="AL108" s="99"/>
      <c r="AM108" s="99"/>
      <c r="AN108" s="99"/>
      <c r="AO108" s="99"/>
      <c r="AP108" s="99"/>
      <c r="AQ108" s="99"/>
      <c r="AR108" s="99"/>
      <c r="AS108" s="99"/>
      <c r="AT108" s="99"/>
      <c r="AU108" s="99"/>
      <c r="AV108" s="16"/>
      <c r="AW108" s="16"/>
      <c r="AX108" s="16"/>
      <c r="AY108" s="16"/>
      <c r="AZ108" s="16"/>
      <c r="BA108" s="16"/>
      <c r="BB108" s="16"/>
    </row>
    <row r="109" spans="1:54" x14ac:dyDescent="0.25">
      <c r="A109" s="813" t="s">
        <v>378</v>
      </c>
      <c r="B109" s="189" t="e">
        <f ca="1">IF(B105/$J$107&lt;0.2,"Restrição",IF(B105/$J$107&lt;1,"Não","Sim"))</f>
        <v>#VALUE!</v>
      </c>
      <c r="C109" s="172"/>
      <c r="D109" s="172"/>
      <c r="E109" s="86" t="str">
        <f ca="1">IFERROR(IF(B105/J107&gt;(1+$J$62),"Alta","Aceitável"),"")</f>
        <v/>
      </c>
      <c r="F109" s="1205"/>
      <c r="G109" s="134"/>
      <c r="H109" s="171"/>
      <c r="I109" s="171" t="s">
        <v>662</v>
      </c>
      <c r="J109" s="206">
        <v>0.2</v>
      </c>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42"/>
      <c r="AW109" s="42"/>
      <c r="AX109" s="42"/>
      <c r="AY109" s="42"/>
      <c r="AZ109" s="42"/>
      <c r="BA109" s="42"/>
      <c r="BB109" s="42"/>
    </row>
    <row r="110" spans="1:54" ht="17.25" x14ac:dyDescent="0.25">
      <c r="A110" s="199" t="s">
        <v>197</v>
      </c>
      <c r="B110" s="126" t="str">
        <f>IF(B97=120,7.72*EXP(-0.405*B105)*1000/60, IF(B97="---",(0.18135+33.12558*EXP(-B105/1.49995))*1000/60,"NA"))</f>
        <v>NA</v>
      </c>
      <c r="C110" s="2508" t="s">
        <v>376</v>
      </c>
      <c r="D110" s="2508"/>
      <c r="E110" s="86"/>
      <c r="F110" s="100"/>
      <c r="G110" s="87"/>
      <c r="H110" s="2533"/>
      <c r="I110" s="2534"/>
      <c r="J110" s="100"/>
      <c r="K110" s="100"/>
      <c r="L110" s="85"/>
      <c r="M110" s="124"/>
      <c r="N110" s="100"/>
      <c r="O110" s="85"/>
      <c r="P110" s="124"/>
      <c r="Q110" s="100"/>
      <c r="R110" s="85"/>
      <c r="S110" s="50"/>
      <c r="T110" s="100"/>
      <c r="U110" s="85"/>
      <c r="V110" s="50"/>
      <c r="W110" s="100"/>
      <c r="X110" s="85"/>
      <c r="Y110" s="124"/>
      <c r="Z110" s="100"/>
      <c r="AA110" s="85"/>
      <c r="AB110" s="2533"/>
      <c r="AC110" s="2533"/>
      <c r="AD110" s="50"/>
      <c r="AE110" s="50"/>
      <c r="AF110" s="50"/>
      <c r="AG110" s="50"/>
      <c r="AH110" s="50"/>
      <c r="AI110" s="50"/>
      <c r="AJ110" s="50"/>
      <c r="AK110" s="50"/>
      <c r="AL110" s="50"/>
      <c r="AM110" s="50"/>
      <c r="AN110" s="50"/>
      <c r="AO110" s="50"/>
      <c r="AP110" s="50"/>
      <c r="AQ110" s="50"/>
      <c r="AR110" s="50"/>
      <c r="AS110" s="50"/>
      <c r="AT110" s="50"/>
      <c r="AU110" s="50"/>
    </row>
    <row r="111" spans="1:54" ht="15.75" thickBot="1" x14ac:dyDescent="0.3">
      <c r="A111" s="200" t="s">
        <v>27</v>
      </c>
      <c r="B111" s="211" t="e">
        <f ca="1">B106*B99/B110</f>
        <v>#VALUE!</v>
      </c>
      <c r="C111" s="201" t="s">
        <v>13</v>
      </c>
      <c r="D111" s="212" t="s">
        <v>672</v>
      </c>
      <c r="E111" s="202" t="str">
        <f ca="1">IFERROR(IF(B111/IF(C99="mAs",B99/B104,B99)&gt;(1+$J$62),"&lt; avaliada",IF(B111/IF(C99="mAs",B99/B104,B99)&lt;(1-$J$62),"&gt; avalida","Ok")),"")</f>
        <v/>
      </c>
      <c r="F111" s="50"/>
      <c r="G111" s="101"/>
      <c r="H111" s="50"/>
      <c r="I111" s="50"/>
      <c r="J111" s="100"/>
      <c r="K111" s="100"/>
      <c r="L111" s="101"/>
      <c r="M111" s="50"/>
      <c r="N111" s="100"/>
      <c r="O111" s="101"/>
      <c r="P111" s="50"/>
      <c r="Q111" s="100"/>
      <c r="R111" s="101"/>
      <c r="S111" s="50"/>
      <c r="T111" s="100"/>
      <c r="U111" s="101"/>
      <c r="V111" s="50"/>
      <c r="W111" s="100"/>
      <c r="X111" s="101"/>
      <c r="Y111" s="50"/>
      <c r="Z111" s="100"/>
      <c r="AA111" s="101"/>
      <c r="AB111" s="50"/>
      <c r="AC111" s="50"/>
      <c r="AD111" s="50"/>
      <c r="AE111" s="50"/>
      <c r="AF111" s="50"/>
      <c r="AG111" s="50"/>
      <c r="AH111" s="50"/>
      <c r="AI111" s="50"/>
      <c r="AJ111" s="50"/>
      <c r="AK111" s="50"/>
      <c r="AL111" s="50"/>
      <c r="AM111" s="50"/>
      <c r="AN111" s="50"/>
      <c r="AO111" s="50"/>
      <c r="AP111" s="50"/>
      <c r="AQ111" s="50"/>
      <c r="AR111" s="50"/>
      <c r="AS111" s="50"/>
      <c r="AT111" s="50"/>
      <c r="AU111" s="50"/>
    </row>
    <row r="112" spans="1:54" ht="15.75" thickBot="1" x14ac:dyDescent="0.3">
      <c r="A112" s="50"/>
      <c r="B112" s="50"/>
      <c r="C112" s="50"/>
      <c r="D112" s="50"/>
      <c r="E112" s="50"/>
      <c r="F112" s="50"/>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row>
    <row r="113" spans="1:47" ht="15.75" thickBot="1" x14ac:dyDescent="0.3">
      <c r="A113" s="2505" t="s">
        <v>6</v>
      </c>
      <c r="B113" s="2506"/>
      <c r="C113" s="2506"/>
      <c r="D113" s="2507"/>
      <c r="E113" s="50"/>
      <c r="F113" s="50"/>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row>
    <row r="114" spans="1:47" x14ac:dyDescent="0.25">
      <c r="A114" s="168"/>
      <c r="B114" s="170" t="e">
        <f ca="1">ROUNDUP(AVERAGE(B116:B120),0)</f>
        <v>#DIV/0!</v>
      </c>
      <c r="C114" s="155"/>
      <c r="D114" s="169"/>
      <c r="E114" s="50"/>
      <c r="F114" s="50"/>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row>
    <row r="115" spans="1:47" ht="15.75" thickBot="1" x14ac:dyDescent="0.3">
      <c r="A115" s="164" t="s">
        <v>5</v>
      </c>
      <c r="B115" s="165" t="s">
        <v>0</v>
      </c>
      <c r="C115" s="165" t="s">
        <v>2</v>
      </c>
      <c r="D115" s="166" t="s">
        <v>3</v>
      </c>
      <c r="E115" s="50"/>
      <c r="F115" s="50"/>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row>
    <row r="116" spans="1:47" x14ac:dyDescent="0.25">
      <c r="A116" s="184"/>
      <c r="B116" s="54" t="str">
        <f ca="1">IFERROR(IF(Cabeçalho!$G$28="Unfors",INDIRECT(ADDRESS(A116,1,1,1,"medidas Unfors"),1),INDIRECT(ADDRESS(A116,1,1,1,"medidas Fluke"),1)),"")</f>
        <v/>
      </c>
      <c r="C116" s="9" t="str">
        <f ca="1">IFERROR(IF(IF(Cabeçalho!$G$28="Unfors",INDIRECT(ADDRESS(A116,5,1,1,"medidas Unfors"),1),INDIRECT(ADDRESS(A116,5,1,1,"medidas Fluke"),1))=0,"",IF(Cabeçalho!$G$28="Unfors",INDIRECT(ADDRESS(A116,5,1,1,"medidas Unfors"),1),INDIRECT(ADDRESS(A116,5,1,1,"medidas Fluke"),1))),"")</f>
        <v/>
      </c>
      <c r="D116" s="67" t="str">
        <f ca="1">IFERROR(IF(IF(Cabeçalho!$G$28="Unfors",INDIRECT(ADDRESS(A116,7,1,1,"medidas Unfors"),1),INDIRECT(ADDRESS(A116,6,1,1,"medidas Fluke"),1))=0,"",IF(Cabeçalho!$G$28="Unfors",INDIRECT(ADDRESS(A116,7,1,1,"medidas Unfors"),1),INDIRECT(ADDRESS(A116,6,1,1,"medidas Fluke"),1))),"")</f>
        <v/>
      </c>
      <c r="E116" s="50"/>
      <c r="F116" s="50"/>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row>
    <row r="117" spans="1:47" x14ac:dyDescent="0.25">
      <c r="A117" s="183"/>
      <c r="B117" s="54" t="str">
        <f ca="1">IFERROR(IF(Cabeçalho!$G$28="Unfors",INDIRECT(ADDRESS(A117,1,1,1,"medidas Unfors"),1),INDIRECT(ADDRESS(A117,1,1,1,"medidas Fluke"),1)),"")</f>
        <v/>
      </c>
      <c r="C117" s="9" t="str">
        <f ca="1">IFERROR(IF(IF(Cabeçalho!$G$28="Unfors",INDIRECT(ADDRESS(A117,5,1,1,"medidas Unfors"),1),INDIRECT(ADDRESS(A117,5,1,1,"medidas Fluke"),1))=0,"",IF(Cabeçalho!$G$28="Unfors",INDIRECT(ADDRESS(A117,5,1,1,"medidas Unfors"),1),INDIRECT(ADDRESS(A117,5,1,1,"medidas Fluke"),1))),"")</f>
        <v/>
      </c>
      <c r="D117" s="67" t="str">
        <f ca="1">IFERROR(IF(IF(Cabeçalho!$G$28="Unfors",INDIRECT(ADDRESS(A117,7,1,1,"medidas Unfors"),1),INDIRECT(ADDRESS(A117,6,1,1,"medidas Fluke"),1))=0,"",IF(Cabeçalho!$G$28="Unfors",INDIRECT(ADDRESS(A117,7,1,1,"medidas Unfors"),1),INDIRECT(ADDRESS(A117,6,1,1,"medidas Fluke"),1))),"")</f>
        <v/>
      </c>
      <c r="E117" s="50"/>
      <c r="F117" s="50"/>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row>
    <row r="118" spans="1:47" x14ac:dyDescent="0.25">
      <c r="A118" s="183"/>
      <c r="B118" s="54" t="str">
        <f ca="1">IFERROR(IF(Cabeçalho!$G$28="Unfors",INDIRECT(ADDRESS(A118,1,1,1,"medidas Unfors"),1),INDIRECT(ADDRESS(A118,1,1,1,"medidas Fluke"),1)),"")</f>
        <v/>
      </c>
      <c r="C118" s="9" t="str">
        <f ca="1">IFERROR(IF(IF(Cabeçalho!$G$28="Unfors",INDIRECT(ADDRESS(A118,5,1,1,"medidas Unfors"),1),INDIRECT(ADDRESS(A118,5,1,1,"medidas Fluke"),1))=0,"",IF(Cabeçalho!$G$28="Unfors",INDIRECT(ADDRESS(A118,5,1,1,"medidas Unfors"),1),INDIRECT(ADDRESS(A118,5,1,1,"medidas Fluke"),1))),"")</f>
        <v/>
      </c>
      <c r="D118" s="67" t="str">
        <f ca="1">IFERROR(IF(IF(Cabeçalho!$G$28="Unfors",INDIRECT(ADDRESS(A118,7,1,1,"medidas Unfors"),1),INDIRECT(ADDRESS(A118,6,1,1,"medidas Fluke"),1))=0,"",IF(Cabeçalho!$G$28="Unfors",INDIRECT(ADDRESS(A118,7,1,1,"medidas Unfors"),1),INDIRECT(ADDRESS(A118,6,1,1,"medidas Fluke"),1))),"")</f>
        <v/>
      </c>
      <c r="E118" s="50"/>
      <c r="F118" s="50"/>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row>
    <row r="119" spans="1:47" x14ac:dyDescent="0.25">
      <c r="A119" s="183"/>
      <c r="B119" s="54" t="str">
        <f ca="1">IFERROR(IF(Cabeçalho!$G$28="Unfors",INDIRECT(ADDRESS(A119,1,1,1,"medidas Unfors"),1),INDIRECT(ADDRESS(A119,1,1,1,"medidas Fluke"),1)),"")</f>
        <v/>
      </c>
      <c r="C119" s="9" t="str">
        <f ca="1">IFERROR(IF(IF(Cabeçalho!$G$28="Unfors",INDIRECT(ADDRESS(A119,5,1,1,"medidas Unfors"),1),INDIRECT(ADDRESS(A119,5,1,1,"medidas Fluke"),1))=0,"",IF(Cabeçalho!$G$28="Unfors",INDIRECT(ADDRESS(A119,5,1,1,"medidas Unfors"),1),INDIRECT(ADDRESS(A119,5,1,1,"medidas Fluke"),1))),"")</f>
        <v/>
      </c>
      <c r="D119" s="67" t="str">
        <f ca="1">IFERROR(IF(IF(Cabeçalho!$G$28="Unfors",INDIRECT(ADDRESS(A119,7,1,1,"medidas Unfors"),1),INDIRECT(ADDRESS(A119,6,1,1,"medidas Fluke"),1))=0,"",IF(Cabeçalho!$G$28="Unfors",INDIRECT(ADDRESS(A119,7,1,1,"medidas Unfors"),1),INDIRECT(ADDRESS(A119,6,1,1,"medidas Fluke"),1))),"")</f>
        <v/>
      </c>
      <c r="E119" s="50"/>
      <c r="F119" s="50"/>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row>
    <row r="120" spans="1:47" ht="15.75" thickBot="1" x14ac:dyDescent="0.3">
      <c r="A120" s="185"/>
      <c r="B120" s="56" t="str">
        <f ca="1">IFERROR(IF(Cabeçalho!$G$28="Unfors",INDIRECT(ADDRESS(A120,1,1,1,"medidas Unfors"),1),INDIRECT(ADDRESS(A120,1,1,1,"medidas Fluke"),1)),"")</f>
        <v/>
      </c>
      <c r="C120" s="11" t="str">
        <f ca="1">IFERROR(IF(IF(Cabeçalho!$G$28="Unfors",INDIRECT(ADDRESS(A120,5,1,1,"medidas Unfors"),1),INDIRECT(ADDRESS(A120,5,1,1,"medidas Fluke"),1))=0,"",IF(Cabeçalho!$G$28="Unfors",INDIRECT(ADDRESS(A120,5,1,1,"medidas Unfors"),1),INDIRECT(ADDRESS(A120,5,1,1,"medidas Fluke"),1))),"")</f>
        <v/>
      </c>
      <c r="D120" s="68" t="str">
        <f ca="1">IFERROR(IF(IF(Cabeçalho!$G$28="Unfors",INDIRECT(ADDRESS(A120,7,1,1,"medidas Unfors"),1),INDIRECT(ADDRESS(A120,6,1,1,"medidas Fluke"),1))=0,"",IF(Cabeçalho!$G$28="Unfors",INDIRECT(ADDRESS(A120,7,1,1,"medidas Unfors"),1),INDIRECT(ADDRESS(A120,6,1,1,"medidas Fluke"),1))),"")</f>
        <v/>
      </c>
      <c r="E120" s="50"/>
      <c r="F120" s="50"/>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row>
    <row r="121" spans="1:47" x14ac:dyDescent="0.25">
      <c r="A121" s="129" t="s">
        <v>6</v>
      </c>
      <c r="B121" s="81" t="e">
        <f ca="1">(LARGE(B116:B120,1)-SMALL(B116:B120,1))/AVERAGE(B116:B120)*100</f>
        <v>#NUM!</v>
      </c>
      <c r="C121" s="81" t="e">
        <f ca="1">ROUND((LARGE(C116:C120,1)-SMALL(C116:C120,1))/AVERAGE(C116:C120)*100,1)</f>
        <v>#NUM!</v>
      </c>
      <c r="D121" s="81" t="e">
        <f ca="1">(LARGE(D116:D120,1)-SMALL(D116:D120,1))/AVERAGE(D116:D120)*100</f>
        <v>#NUM!</v>
      </c>
      <c r="E121" s="128" t="s">
        <v>10</v>
      </c>
      <c r="F121" s="50"/>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row>
    <row r="122" spans="1:47" s="620" customFormat="1" ht="15.75" thickBot="1" x14ac:dyDescent="0.3">
      <c r="A122" s="811"/>
      <c r="B122" s="111"/>
      <c r="C122" s="172"/>
      <c r="D122" s="811"/>
      <c r="E122" s="172"/>
      <c r="F122" s="171"/>
      <c r="G122" s="101"/>
      <c r="H122" s="171"/>
      <c r="I122" s="171"/>
      <c r="J122" s="100"/>
      <c r="K122" s="100"/>
      <c r="L122" s="101"/>
      <c r="M122" s="171"/>
      <c r="N122" s="100"/>
      <c r="O122" s="101"/>
      <c r="P122" s="171"/>
      <c r="Q122" s="100"/>
      <c r="R122" s="101"/>
      <c r="S122" s="171"/>
      <c r="T122" s="100"/>
      <c r="U122" s="101"/>
      <c r="V122" s="171"/>
      <c r="W122" s="100"/>
      <c r="X122" s="101"/>
      <c r="Y122" s="171"/>
      <c r="Z122" s="100"/>
      <c r="AA122" s="10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row>
    <row r="123" spans="1:47" s="620" customFormat="1" ht="15.75" thickBot="1" x14ac:dyDescent="0.3">
      <c r="A123" s="2420" t="s">
        <v>1117</v>
      </c>
      <c r="B123" s="2421"/>
      <c r="C123" s="2421"/>
      <c r="D123" s="2421"/>
      <c r="E123" s="2422"/>
      <c r="F123" s="171"/>
      <c r="G123" s="171"/>
      <c r="H123" s="171"/>
      <c r="I123" s="171"/>
      <c r="J123" s="100"/>
      <c r="K123" s="100"/>
      <c r="L123" s="101"/>
      <c r="M123" s="171"/>
      <c r="N123" s="100"/>
      <c r="O123" s="101"/>
      <c r="P123" s="171"/>
      <c r="Q123" s="100"/>
      <c r="R123" s="101"/>
      <c r="S123" s="171"/>
      <c r="T123" s="100"/>
      <c r="U123" s="101"/>
      <c r="V123" s="171"/>
      <c r="W123" s="100"/>
      <c r="X123" s="101"/>
      <c r="Y123" s="171"/>
      <c r="Z123" s="100"/>
      <c r="AA123" s="101"/>
      <c r="AB123" s="171"/>
      <c r="AC123" s="171"/>
      <c r="AD123" s="171"/>
      <c r="AE123" s="171"/>
      <c r="AF123" s="171"/>
      <c r="AG123" s="171"/>
      <c r="AH123" s="171"/>
      <c r="AI123" s="171"/>
      <c r="AJ123" s="171"/>
      <c r="AK123" s="171"/>
      <c r="AL123" s="171"/>
      <c r="AM123" s="171"/>
      <c r="AN123" s="171"/>
      <c r="AO123" s="171"/>
      <c r="AP123" s="171"/>
      <c r="AQ123" s="171"/>
      <c r="AR123" s="171"/>
      <c r="AS123" s="171"/>
      <c r="AT123" s="171"/>
      <c r="AU123" s="171"/>
    </row>
    <row r="124" spans="1:47" s="620" customFormat="1" x14ac:dyDescent="0.25">
      <c r="A124" s="2443" t="s">
        <v>1422</v>
      </c>
      <c r="B124" s="2443"/>
      <c r="C124" s="2443"/>
      <c r="D124" s="2443"/>
      <c r="E124" s="2443"/>
      <c r="F124" s="171"/>
      <c r="G124" s="101"/>
      <c r="H124" s="171"/>
      <c r="I124" s="171"/>
      <c r="J124" s="100"/>
      <c r="K124" s="100"/>
      <c r="L124" s="101"/>
      <c r="M124" s="171"/>
      <c r="N124" s="100"/>
      <c r="O124" s="101"/>
      <c r="P124" s="171"/>
      <c r="Q124" s="100"/>
      <c r="R124" s="101"/>
      <c r="S124" s="171"/>
      <c r="T124" s="100"/>
      <c r="U124" s="101"/>
      <c r="V124" s="171"/>
      <c r="W124" s="100"/>
      <c r="X124" s="101"/>
      <c r="Y124" s="171"/>
      <c r="Z124" s="100"/>
      <c r="AA124" s="101"/>
      <c r="AB124" s="171"/>
      <c r="AC124" s="171"/>
      <c r="AD124" s="171"/>
      <c r="AE124" s="171"/>
      <c r="AF124" s="171"/>
      <c r="AG124" s="171"/>
      <c r="AH124" s="171"/>
      <c r="AI124" s="171"/>
      <c r="AJ124" s="171"/>
      <c r="AK124" s="171"/>
      <c r="AL124" s="171"/>
      <c r="AM124" s="171"/>
      <c r="AN124" s="171"/>
      <c r="AO124" s="171"/>
      <c r="AP124" s="171"/>
      <c r="AQ124" s="171"/>
      <c r="AR124" s="171"/>
      <c r="AS124" s="171"/>
      <c r="AT124" s="171"/>
      <c r="AU124" s="171"/>
    </row>
    <row r="125" spans="1:47" s="171" customFormat="1" ht="15.75" thickBot="1" x14ac:dyDescent="0.3">
      <c r="A125" s="101"/>
      <c r="B125" s="101"/>
      <c r="G125" s="101"/>
      <c r="J125" s="100"/>
      <c r="K125" s="100"/>
      <c r="L125" s="101"/>
      <c r="N125" s="100"/>
      <c r="O125" s="101"/>
      <c r="Q125" s="100"/>
      <c r="R125" s="101"/>
      <c r="T125" s="100"/>
      <c r="U125" s="101"/>
      <c r="W125" s="100"/>
      <c r="X125" s="101"/>
      <c r="Z125" s="100"/>
      <c r="AA125" s="101"/>
    </row>
    <row r="126" spans="1:47" ht="15.75" thickBot="1" x14ac:dyDescent="0.3">
      <c r="A126" s="2496" t="s">
        <v>456</v>
      </c>
      <c r="B126" s="2497"/>
      <c r="C126" s="2497"/>
      <c r="D126" s="2497"/>
      <c r="E126" s="2497"/>
      <c r="F126" s="2497"/>
      <c r="G126" s="2497"/>
      <c r="H126" s="926"/>
      <c r="I126" s="926"/>
      <c r="J126" s="1180"/>
      <c r="K126" s="1180"/>
      <c r="L126" s="1181"/>
      <c r="M126" s="926"/>
      <c r="N126" s="1180"/>
      <c r="O126" s="1181"/>
      <c r="P126" s="926"/>
      <c r="Q126" s="1180"/>
      <c r="R126" s="1182"/>
      <c r="S126" s="50"/>
      <c r="T126" s="100"/>
      <c r="U126" s="101"/>
      <c r="V126" s="50"/>
      <c r="W126" s="100"/>
      <c r="X126" s="101"/>
      <c r="Y126" s="50"/>
      <c r="Z126" s="100"/>
      <c r="AA126" s="101"/>
      <c r="AB126" s="50"/>
      <c r="AC126" s="50"/>
      <c r="AD126" s="50"/>
      <c r="AE126" s="50"/>
      <c r="AF126" s="50"/>
      <c r="AG126" s="50"/>
      <c r="AH126" s="50"/>
      <c r="AI126" s="50"/>
      <c r="AJ126" s="50"/>
      <c r="AK126" s="50"/>
      <c r="AL126" s="50"/>
      <c r="AM126" s="50"/>
      <c r="AN126" s="50"/>
      <c r="AO126" s="50"/>
      <c r="AP126" s="50"/>
      <c r="AQ126" s="50"/>
      <c r="AR126" s="50"/>
      <c r="AS126" s="50"/>
      <c r="AT126" s="50"/>
      <c r="AU126" s="50"/>
    </row>
    <row r="127" spans="1:47" x14ac:dyDescent="0.25">
      <c r="A127" s="1162" t="s">
        <v>161</v>
      </c>
      <c r="B127" s="175"/>
      <c r="C127" s="101"/>
      <c r="D127" s="101"/>
      <c r="E127" s="101"/>
      <c r="F127" s="101"/>
      <c r="G127" s="101"/>
      <c r="H127" s="900" t="s">
        <v>1242</v>
      </c>
      <c r="I127" s="24"/>
      <c r="J127" s="901"/>
      <c r="K127" s="901"/>
      <c r="L127" s="902"/>
      <c r="M127" s="24"/>
      <c r="N127" s="100"/>
      <c r="O127" s="2535" t="s">
        <v>1403</v>
      </c>
      <c r="P127" s="2536"/>
      <c r="Q127" s="2536"/>
      <c r="R127" s="2537"/>
      <c r="S127" s="50"/>
      <c r="T127" s="100"/>
      <c r="U127" s="101"/>
      <c r="V127" s="50"/>
      <c r="W127" s="100"/>
      <c r="X127" s="101"/>
      <c r="Y127" s="50"/>
      <c r="Z127" s="100"/>
      <c r="AA127" s="101"/>
      <c r="AB127" s="50"/>
      <c r="AC127" s="50"/>
      <c r="AD127" s="50"/>
      <c r="AE127" s="50"/>
      <c r="AF127" s="50"/>
      <c r="AG127" s="50"/>
      <c r="AH127" s="50"/>
      <c r="AI127" s="50"/>
      <c r="AJ127" s="50"/>
      <c r="AK127" s="50"/>
      <c r="AL127" s="50"/>
      <c r="AM127" s="50"/>
      <c r="AN127" s="50"/>
      <c r="AO127" s="50"/>
      <c r="AP127" s="50"/>
      <c r="AQ127" s="50"/>
      <c r="AR127" s="50"/>
      <c r="AS127" s="50"/>
      <c r="AT127" s="50"/>
      <c r="AU127" s="50"/>
    </row>
    <row r="128" spans="1:47" s="171" customFormat="1" x14ac:dyDescent="0.25">
      <c r="A128" s="800" t="s">
        <v>419</v>
      </c>
      <c r="B128" s="176" t="s">
        <v>451</v>
      </c>
      <c r="C128"/>
      <c r="H128" s="900" t="s">
        <v>1243</v>
      </c>
      <c r="I128" s="24"/>
      <c r="J128" s="901"/>
      <c r="K128" s="901"/>
      <c r="L128" s="902"/>
      <c r="M128" s="24"/>
      <c r="O128" s="1138" t="s">
        <v>119</v>
      </c>
      <c r="P128" s="1138" t="s">
        <v>120</v>
      </c>
      <c r="Q128" s="1139" t="s">
        <v>1398</v>
      </c>
      <c r="R128" s="1138" t="s">
        <v>1402</v>
      </c>
    </row>
    <row r="129" spans="1:47" x14ac:dyDescent="0.25">
      <c r="A129" s="1163" t="s">
        <v>1423</v>
      </c>
      <c r="B129" s="400" t="s">
        <v>12</v>
      </c>
      <c r="C129" s="172" t="s">
        <v>1424</v>
      </c>
      <c r="F129" s="172"/>
      <c r="G129" s="172"/>
      <c r="H129" s="900" t="s">
        <v>1397</v>
      </c>
      <c r="I129" s="24"/>
      <c r="J129" s="901"/>
      <c r="K129" s="901"/>
      <c r="L129" s="902"/>
      <c r="M129" s="24"/>
      <c r="N129" s="100"/>
      <c r="O129" s="1140" t="s">
        <v>311</v>
      </c>
      <c r="P129" s="1141" t="s">
        <v>1399</v>
      </c>
      <c r="Q129" s="1141">
        <v>9</v>
      </c>
      <c r="R129" s="1140" t="s">
        <v>236</v>
      </c>
      <c r="S129" s="50"/>
      <c r="T129" s="100"/>
      <c r="U129" s="101"/>
      <c r="V129" s="50"/>
      <c r="W129" s="100"/>
      <c r="X129" s="101"/>
      <c r="Y129" s="50"/>
      <c r="Z129" s="100"/>
      <c r="AA129" s="101"/>
      <c r="AB129" s="50"/>
      <c r="AC129" s="50"/>
      <c r="AD129" s="50"/>
      <c r="AE129" s="50"/>
      <c r="AF129" s="50"/>
      <c r="AG129" s="50"/>
      <c r="AH129" s="50"/>
      <c r="AI129" s="50"/>
      <c r="AJ129" s="50"/>
      <c r="AK129" s="50"/>
      <c r="AL129" s="50"/>
      <c r="AM129" s="50"/>
      <c r="AN129" s="50"/>
      <c r="AO129" s="50"/>
      <c r="AP129" s="50"/>
      <c r="AQ129" s="50"/>
      <c r="AR129" s="50"/>
      <c r="AS129" s="50"/>
      <c r="AT129" s="50"/>
      <c r="AU129" s="50"/>
    </row>
    <row r="130" spans="1:47" x14ac:dyDescent="0.25">
      <c r="A130" s="125" t="str">
        <f>CONCATENATE("tamanho do campo (",$B$129,")")</f>
        <v>tamanho do campo (cm)</v>
      </c>
      <c r="B130" s="583">
        <v>23</v>
      </c>
      <c r="C130" s="583"/>
      <c r="D130" s="583"/>
      <c r="E130" s="583"/>
      <c r="F130" s="583"/>
      <c r="G130" s="583"/>
      <c r="H130" s="687" t="s">
        <v>1023</v>
      </c>
      <c r="I130" s="50"/>
      <c r="J130" s="100"/>
      <c r="K130" s="100"/>
      <c r="L130" s="101"/>
      <c r="M130" s="50"/>
      <c r="N130" s="100"/>
      <c r="O130" s="1140" t="s">
        <v>311</v>
      </c>
      <c r="P130" s="1141" t="s">
        <v>1399</v>
      </c>
      <c r="Q130" s="1141">
        <v>6</v>
      </c>
      <c r="R130" s="1140" t="s">
        <v>236</v>
      </c>
      <c r="S130" s="50"/>
      <c r="T130" s="100"/>
      <c r="U130" s="101"/>
      <c r="V130" s="50"/>
      <c r="W130" s="100"/>
      <c r="X130" s="101"/>
      <c r="Y130" s="50"/>
      <c r="Z130" s="100"/>
      <c r="AA130" s="101"/>
      <c r="AB130" s="50"/>
      <c r="AC130" s="50"/>
      <c r="AD130" s="50"/>
      <c r="AE130" s="50"/>
      <c r="AF130" s="50"/>
      <c r="AG130" s="50"/>
      <c r="AH130" s="50"/>
      <c r="AI130" s="50"/>
      <c r="AJ130" s="50"/>
      <c r="AK130" s="50"/>
      <c r="AL130" s="50"/>
      <c r="AM130" s="50"/>
      <c r="AN130" s="50"/>
      <c r="AO130" s="50"/>
      <c r="AP130" s="50"/>
      <c r="AQ130" s="50"/>
      <c r="AR130" s="50"/>
      <c r="AS130" s="50"/>
      <c r="AT130" s="50"/>
      <c r="AU130" s="50"/>
    </row>
    <row r="131" spans="1:47" x14ac:dyDescent="0.25">
      <c r="A131" s="125" t="s">
        <v>1789</v>
      </c>
      <c r="B131" s="614">
        <f t="shared" ref="B131:G131" si="2">IF($B$129="cm",B130,B130*2.54)</f>
        <v>23</v>
      </c>
      <c r="C131" s="614">
        <f t="shared" si="2"/>
        <v>0</v>
      </c>
      <c r="D131" s="614">
        <f t="shared" si="2"/>
        <v>0</v>
      </c>
      <c r="E131" s="614">
        <f t="shared" si="2"/>
        <v>0</v>
      </c>
      <c r="F131" s="614">
        <f t="shared" si="2"/>
        <v>0</v>
      </c>
      <c r="G131" s="614">
        <f t="shared" si="2"/>
        <v>0</v>
      </c>
      <c r="H131" s="50"/>
      <c r="I131" s="50"/>
      <c r="J131" s="100"/>
      <c r="K131" s="100"/>
      <c r="L131" s="101"/>
      <c r="M131" s="50"/>
      <c r="N131" s="100"/>
      <c r="O131" s="1140" t="s">
        <v>311</v>
      </c>
      <c r="P131" s="1141" t="s">
        <v>1399</v>
      </c>
      <c r="Q131" s="1141">
        <v>4.5</v>
      </c>
      <c r="R131" s="1140" t="s">
        <v>236</v>
      </c>
      <c r="S131" s="50"/>
      <c r="T131" s="100"/>
      <c r="U131" s="101"/>
      <c r="V131" s="50"/>
      <c r="W131" s="100"/>
      <c r="X131" s="101"/>
      <c r="Y131" s="50"/>
      <c r="Z131" s="100"/>
      <c r="AA131" s="101"/>
      <c r="AB131" s="50"/>
      <c r="AC131" s="50"/>
      <c r="AD131" s="50"/>
      <c r="AE131" s="50"/>
      <c r="AF131" s="50"/>
      <c r="AG131" s="50"/>
      <c r="AH131" s="50"/>
      <c r="AI131" s="50"/>
      <c r="AJ131" s="50"/>
      <c r="AK131" s="50"/>
      <c r="AL131" s="50"/>
      <c r="AM131" s="50"/>
      <c r="AN131" s="50"/>
      <c r="AO131" s="50"/>
      <c r="AP131" s="50"/>
      <c r="AQ131" s="50"/>
      <c r="AR131" s="50"/>
      <c r="AS131" s="50"/>
      <c r="AT131" s="50"/>
      <c r="AU131" s="50"/>
    </row>
    <row r="132" spans="1:47" x14ac:dyDescent="0.25">
      <c r="A132" s="125" t="str">
        <f>CONCATENATE(IF(B128="Circular","Diâmetro medido","Arestas medidas")," (cm)")</f>
        <v>Diâmetro medido (cm)</v>
      </c>
      <c r="B132" s="585"/>
      <c r="C132" s="585" t="s">
        <v>334</v>
      </c>
      <c r="D132" s="585" t="s">
        <v>334</v>
      </c>
      <c r="E132" s="585" t="s">
        <v>334</v>
      </c>
      <c r="F132" s="585" t="s">
        <v>334</v>
      </c>
      <c r="G132" s="585" t="s">
        <v>334</v>
      </c>
      <c r="H132" s="50"/>
      <c r="I132" s="50"/>
      <c r="J132" s="100"/>
      <c r="K132" s="100"/>
      <c r="L132" s="101"/>
      <c r="M132" s="50"/>
      <c r="N132" s="100"/>
      <c r="O132" s="1140" t="s">
        <v>1400</v>
      </c>
      <c r="P132" s="1141" t="s">
        <v>1401</v>
      </c>
      <c r="Q132" s="1141">
        <v>23</v>
      </c>
      <c r="R132" s="1140" t="s">
        <v>12</v>
      </c>
      <c r="S132" s="50"/>
      <c r="T132" s="100"/>
      <c r="U132" s="101"/>
      <c r="V132" s="50"/>
      <c r="W132" s="100"/>
      <c r="X132" s="101"/>
      <c r="Y132" s="50"/>
      <c r="Z132" s="100"/>
      <c r="AA132" s="101"/>
      <c r="AB132" s="50"/>
      <c r="AC132" s="50"/>
      <c r="AD132" s="50"/>
      <c r="AE132" s="50"/>
      <c r="AF132" s="50"/>
      <c r="AG132" s="50"/>
      <c r="AH132" s="50"/>
      <c r="AI132" s="50"/>
      <c r="AJ132" s="50"/>
      <c r="AK132" s="50"/>
      <c r="AL132" s="50"/>
      <c r="AM132" s="50"/>
      <c r="AN132" s="50"/>
      <c r="AO132" s="50"/>
      <c r="AP132" s="50"/>
      <c r="AQ132" s="50"/>
      <c r="AR132" s="50"/>
      <c r="AS132" s="50"/>
      <c r="AT132" s="50"/>
      <c r="AU132" s="50"/>
    </row>
    <row r="133" spans="1:47" x14ac:dyDescent="0.25">
      <c r="A133" s="125" t="s">
        <v>453</v>
      </c>
      <c r="B133" s="583" t="s">
        <v>273</v>
      </c>
      <c r="C133" s="583" t="s">
        <v>273</v>
      </c>
      <c r="D133" s="583" t="s">
        <v>273</v>
      </c>
      <c r="E133" s="583" t="s">
        <v>273</v>
      </c>
      <c r="F133" s="583" t="s">
        <v>273</v>
      </c>
      <c r="G133" s="583" t="s">
        <v>273</v>
      </c>
      <c r="H133" s="50"/>
      <c r="I133" s="619" t="str">
        <f>IF(COUNTA(B133:G133)=0,0,IF(COUNTIF(B133:G133,"Sim")&gt;0,"Não","Sim"))</f>
        <v>Sim</v>
      </c>
      <c r="J133" s="100"/>
      <c r="K133" s="100"/>
      <c r="L133" s="101"/>
      <c r="M133" s="50"/>
      <c r="N133" s="100"/>
      <c r="O133" s="1140" t="s">
        <v>1400</v>
      </c>
      <c r="P133" s="1141" t="s">
        <v>1401</v>
      </c>
      <c r="Q133" s="1141">
        <v>16</v>
      </c>
      <c r="R133" s="1140" t="s">
        <v>12</v>
      </c>
      <c r="S133" s="50"/>
      <c r="T133" s="100"/>
      <c r="U133" s="101"/>
      <c r="V133" s="50"/>
      <c r="W133" s="100"/>
      <c r="X133" s="101"/>
      <c r="Y133" s="50"/>
      <c r="Z133" s="100"/>
      <c r="AA133" s="101"/>
      <c r="AB133" s="50"/>
      <c r="AC133" s="50"/>
      <c r="AD133" s="50"/>
      <c r="AE133" s="50"/>
      <c r="AF133" s="50"/>
      <c r="AG133" s="50"/>
      <c r="AH133" s="50"/>
      <c r="AI133" s="50"/>
      <c r="AJ133" s="50"/>
      <c r="AK133" s="50"/>
      <c r="AL133" s="50"/>
      <c r="AM133" s="50"/>
      <c r="AN133" s="50"/>
      <c r="AO133" s="50"/>
      <c r="AP133" s="50"/>
      <c r="AQ133" s="50"/>
      <c r="AR133" s="50"/>
      <c r="AS133" s="50"/>
      <c r="AT133" s="50"/>
      <c r="AU133" s="50"/>
    </row>
    <row r="134" spans="1:47" x14ac:dyDescent="0.25">
      <c r="A134" s="1164" t="s">
        <v>1219</v>
      </c>
      <c r="B134" s="1478">
        <f t="shared" ref="B134:G134" si="3">ROUNDDOWN(B132/B131,1)</f>
        <v>0</v>
      </c>
      <c r="C134" s="1478" t="e">
        <f t="shared" si="3"/>
        <v>#VALUE!</v>
      </c>
      <c r="D134" s="1478" t="e">
        <f t="shared" si="3"/>
        <v>#VALUE!</v>
      </c>
      <c r="E134" s="1478" t="e">
        <f t="shared" si="3"/>
        <v>#VALUE!</v>
      </c>
      <c r="F134" s="1478" t="e">
        <f t="shared" si="3"/>
        <v>#VALUE!</v>
      </c>
      <c r="G134" s="1478" t="e">
        <f t="shared" si="3"/>
        <v>#VALUE!</v>
      </c>
      <c r="H134" s="50"/>
      <c r="I134" s="50"/>
      <c r="J134" s="100"/>
      <c r="K134" s="100"/>
      <c r="L134" s="101"/>
      <c r="M134" s="50"/>
      <c r="N134" s="100"/>
      <c r="O134" s="1140"/>
      <c r="P134" s="1141"/>
      <c r="Q134" s="1141"/>
      <c r="R134" s="1140"/>
      <c r="S134" s="50"/>
      <c r="T134" s="100"/>
      <c r="U134" s="101"/>
      <c r="V134" s="50"/>
      <c r="W134" s="100"/>
      <c r="X134" s="101"/>
      <c r="Y134" s="50"/>
      <c r="Z134" s="100"/>
      <c r="AA134" s="101"/>
      <c r="AB134" s="50"/>
      <c r="AC134" s="50"/>
      <c r="AD134" s="50"/>
      <c r="AE134" s="50"/>
      <c r="AF134" s="50"/>
      <c r="AG134" s="50"/>
      <c r="AH134" s="50"/>
      <c r="AI134" s="50"/>
      <c r="AJ134" s="50"/>
      <c r="AK134" s="50"/>
      <c r="AL134" s="50"/>
      <c r="AM134" s="50"/>
      <c r="AN134" s="50"/>
      <c r="AO134" s="50"/>
      <c r="AP134" s="50"/>
      <c r="AQ134" s="50"/>
      <c r="AR134" s="50"/>
      <c r="AS134" s="50"/>
      <c r="AT134" s="50"/>
      <c r="AU134" s="50"/>
    </row>
    <row r="135" spans="1:47" x14ac:dyDescent="0.25">
      <c r="A135" s="1179" t="str">
        <f>B1</f>
        <v>IN 91</v>
      </c>
      <c r="B135" s="1166" t="str">
        <f t="shared" ref="B135:G135" si="4">IF(AND(B134&gt;=0.85,B134&lt;=1),"Sim",IF(B134&gt;1.2,"Restrição","Não"))</f>
        <v>Não</v>
      </c>
      <c r="C135" s="1166" t="e">
        <f t="shared" si="4"/>
        <v>#VALUE!</v>
      </c>
      <c r="D135" s="1166" t="e">
        <f t="shared" si="4"/>
        <v>#VALUE!</v>
      </c>
      <c r="E135" s="1166" t="e">
        <f t="shared" si="4"/>
        <v>#VALUE!</v>
      </c>
      <c r="F135" s="1166" t="e">
        <f t="shared" si="4"/>
        <v>#VALUE!</v>
      </c>
      <c r="G135" s="1166" t="e">
        <f t="shared" si="4"/>
        <v>#VALUE!</v>
      </c>
      <c r="H135" s="50"/>
      <c r="I135" s="50"/>
      <c r="J135" s="100"/>
      <c r="K135" s="100"/>
      <c r="L135" s="101"/>
      <c r="M135" s="50"/>
      <c r="N135" s="100"/>
      <c r="O135" s="1140"/>
      <c r="P135" s="1141"/>
      <c r="Q135" s="1141"/>
      <c r="R135" s="1140"/>
      <c r="S135" s="50"/>
      <c r="T135" s="100"/>
      <c r="U135" s="101"/>
      <c r="V135" s="50"/>
      <c r="W135" s="100"/>
      <c r="X135" s="101"/>
      <c r="Y135" s="50"/>
      <c r="Z135" s="100"/>
      <c r="AA135" s="101"/>
      <c r="AB135" s="50"/>
      <c r="AC135" s="50"/>
      <c r="AD135" s="50"/>
      <c r="AE135" s="50"/>
      <c r="AF135" s="50"/>
      <c r="AG135" s="50"/>
      <c r="AH135" s="50"/>
      <c r="AI135" s="50"/>
      <c r="AJ135" s="50"/>
      <c r="AK135" s="50"/>
      <c r="AL135" s="50"/>
      <c r="AM135" s="50"/>
      <c r="AN135" s="50"/>
      <c r="AO135" s="50"/>
      <c r="AP135" s="50"/>
      <c r="AQ135" s="50"/>
      <c r="AR135" s="50"/>
      <c r="AS135" s="50"/>
      <c r="AT135" s="50"/>
      <c r="AU135" s="50"/>
    </row>
    <row r="136" spans="1:47" x14ac:dyDescent="0.25">
      <c r="A136" s="100"/>
      <c r="B136" s="101"/>
      <c r="C136" s="171"/>
      <c r="D136" s="171"/>
      <c r="E136" s="171"/>
      <c r="F136" s="171"/>
      <c r="G136" s="101"/>
      <c r="H136" s="50"/>
      <c r="I136" s="50"/>
      <c r="J136" s="100"/>
      <c r="K136" s="100"/>
      <c r="L136" s="101"/>
      <c r="M136" s="50"/>
      <c r="N136" s="100"/>
      <c r="O136" s="101"/>
      <c r="P136" s="50"/>
      <c r="Q136" s="100"/>
      <c r="R136" s="101"/>
      <c r="S136" s="50"/>
      <c r="T136" s="100"/>
      <c r="U136" s="101"/>
      <c r="V136" s="50"/>
      <c r="W136" s="100"/>
      <c r="X136" s="101"/>
      <c r="Y136" s="50"/>
      <c r="Z136" s="100"/>
      <c r="AA136" s="101"/>
      <c r="AB136" s="50"/>
      <c r="AC136" s="50"/>
      <c r="AD136" s="50"/>
      <c r="AE136" s="50"/>
      <c r="AF136" s="50"/>
      <c r="AG136" s="50"/>
      <c r="AH136" s="50"/>
      <c r="AI136" s="50"/>
      <c r="AJ136" s="50"/>
      <c r="AK136" s="50"/>
      <c r="AL136" s="50"/>
      <c r="AM136" s="50"/>
      <c r="AN136" s="50"/>
      <c r="AO136" s="50"/>
      <c r="AP136" s="50"/>
      <c r="AQ136" s="50"/>
      <c r="AR136" s="50"/>
      <c r="AS136" s="50"/>
      <c r="AT136" s="50"/>
      <c r="AU136" s="50"/>
    </row>
    <row r="137" spans="1:47" s="620" customFormat="1" x14ac:dyDescent="0.25">
      <c r="A137" s="100"/>
      <c r="B137" s="101"/>
      <c r="C137" s="171"/>
      <c r="D137" s="171"/>
      <c r="E137" s="171"/>
      <c r="F137" s="171"/>
      <c r="G137" s="101"/>
      <c r="H137" s="171"/>
      <c r="I137" s="171"/>
      <c r="J137" s="100"/>
      <c r="K137" s="100"/>
      <c r="L137" s="101"/>
      <c r="M137" s="171"/>
      <c r="N137" s="100"/>
      <c r="O137" s="101"/>
      <c r="P137" s="171"/>
      <c r="Q137" s="100"/>
      <c r="R137" s="101"/>
      <c r="S137" s="171"/>
      <c r="T137" s="100"/>
      <c r="U137" s="101"/>
      <c r="V137" s="171"/>
      <c r="W137" s="100"/>
      <c r="X137" s="101"/>
      <c r="Y137" s="171"/>
      <c r="Z137" s="100"/>
      <c r="AA137" s="10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row>
    <row r="138" spans="1:47" s="620" customFormat="1" x14ac:dyDescent="0.25">
      <c r="A138" s="100"/>
      <c r="B138" s="101"/>
      <c r="C138" s="171"/>
      <c r="D138" s="171"/>
      <c r="E138" s="171"/>
      <c r="F138" s="171"/>
      <c r="G138" s="101"/>
      <c r="H138" s="171"/>
      <c r="I138" s="171"/>
      <c r="J138" s="100"/>
      <c r="K138" s="100"/>
      <c r="L138" s="101"/>
      <c r="M138" s="171"/>
      <c r="N138" s="100"/>
      <c r="O138" s="101"/>
      <c r="P138" s="171"/>
      <c r="Q138" s="100"/>
      <c r="R138" s="101"/>
      <c r="S138" s="171"/>
      <c r="T138" s="100"/>
      <c r="U138" s="101"/>
      <c r="V138" s="171"/>
      <c r="W138" s="100"/>
      <c r="X138" s="101"/>
      <c r="Y138" s="171"/>
      <c r="Z138" s="100"/>
      <c r="AA138" s="101"/>
      <c r="AB138" s="171"/>
      <c r="AC138" s="171"/>
      <c r="AD138" s="171"/>
      <c r="AE138" s="171"/>
      <c r="AF138" s="171"/>
      <c r="AG138" s="171"/>
      <c r="AH138" s="171"/>
      <c r="AI138" s="171"/>
      <c r="AJ138" s="171"/>
      <c r="AK138" s="171"/>
      <c r="AL138" s="171"/>
      <c r="AM138" s="171"/>
      <c r="AN138" s="171"/>
      <c r="AO138" s="171"/>
      <c r="AP138" s="171"/>
      <c r="AQ138" s="171"/>
      <c r="AR138" s="171"/>
      <c r="AS138" s="171"/>
      <c r="AT138" s="171"/>
      <c r="AU138" s="171"/>
    </row>
    <row r="139" spans="1:47" s="620" customFormat="1" ht="15.75" thickBot="1" x14ac:dyDescent="0.3">
      <c r="A139" s="100"/>
      <c r="B139" s="101"/>
      <c r="C139" s="171"/>
      <c r="D139" s="171"/>
      <c r="E139" s="171"/>
      <c r="F139" s="171"/>
      <c r="G139" s="101"/>
      <c r="H139" s="171"/>
      <c r="I139" s="171"/>
      <c r="J139" s="100"/>
      <c r="K139" s="100"/>
      <c r="L139" s="101"/>
      <c r="M139" s="171"/>
      <c r="N139" s="100"/>
      <c r="O139" s="101"/>
      <c r="P139" s="171"/>
      <c r="Q139" s="100"/>
      <c r="R139" s="101"/>
      <c r="S139" s="171"/>
      <c r="T139" s="100"/>
      <c r="U139" s="101"/>
      <c r="V139" s="171"/>
      <c r="W139" s="100"/>
      <c r="X139" s="101"/>
      <c r="Y139" s="171"/>
      <c r="Z139" s="100"/>
      <c r="AA139" s="101"/>
      <c r="AB139" s="171"/>
      <c r="AC139" s="171"/>
      <c r="AD139" s="171"/>
      <c r="AE139" s="171"/>
      <c r="AF139" s="171"/>
      <c r="AG139" s="171"/>
      <c r="AH139" s="171"/>
      <c r="AI139" s="171"/>
      <c r="AJ139" s="171"/>
      <c r="AK139" s="171"/>
      <c r="AL139" s="171"/>
      <c r="AM139" s="171"/>
      <c r="AN139" s="171"/>
      <c r="AO139" s="171"/>
      <c r="AP139" s="171"/>
      <c r="AQ139" s="171"/>
      <c r="AR139" s="171"/>
      <c r="AS139" s="171"/>
      <c r="AT139" s="171"/>
      <c r="AU139" s="171"/>
    </row>
    <row r="140" spans="1:47" s="620" customFormat="1" ht="15.75" thickBot="1" x14ac:dyDescent="0.3">
      <c r="A140" s="2496" t="s">
        <v>1646</v>
      </c>
      <c r="B140" s="2497"/>
      <c r="C140" s="2497"/>
      <c r="D140" s="2497"/>
      <c r="E140" s="2497"/>
      <c r="F140" s="2497"/>
      <c r="G140" s="2497"/>
      <c r="H140" s="926"/>
      <c r="I140" s="926"/>
      <c r="J140" s="1180"/>
      <c r="K140" s="1180"/>
      <c r="L140" s="1181"/>
      <c r="M140" s="926"/>
      <c r="N140" s="1180"/>
      <c r="O140" s="1181"/>
      <c r="P140" s="926"/>
      <c r="Q140" s="1180"/>
      <c r="R140" s="1182"/>
      <c r="S140" s="171"/>
      <c r="T140" s="100"/>
      <c r="U140" s="101"/>
      <c r="V140" s="171"/>
      <c r="W140" s="100"/>
      <c r="X140" s="101"/>
      <c r="Y140" s="171"/>
      <c r="Z140" s="100"/>
      <c r="AA140" s="101"/>
      <c r="AB140" s="171"/>
      <c r="AC140" s="171"/>
      <c r="AD140" s="171"/>
      <c r="AE140" s="171"/>
      <c r="AF140" s="171"/>
      <c r="AG140" s="171"/>
      <c r="AH140" s="171"/>
      <c r="AI140" s="171"/>
      <c r="AJ140" s="171"/>
      <c r="AK140" s="171"/>
      <c r="AL140" s="171"/>
      <c r="AM140" s="171"/>
      <c r="AN140" s="171"/>
      <c r="AO140" s="171"/>
      <c r="AP140" s="171"/>
      <c r="AQ140" s="171"/>
      <c r="AR140" s="171"/>
      <c r="AS140" s="171"/>
      <c r="AT140" s="171"/>
      <c r="AU140" s="171"/>
    </row>
    <row r="141" spans="1:47" x14ac:dyDescent="0.25">
      <c r="A141" s="2527" t="s">
        <v>450</v>
      </c>
      <c r="B141" s="2527"/>
      <c r="C141" s="2527"/>
      <c r="D141" s="1161" t="str">
        <f>B128</f>
        <v>Circular</v>
      </c>
      <c r="E141" s="171"/>
      <c r="F141" s="171"/>
      <c r="G141" s="101"/>
      <c r="H141" s="58"/>
      <c r="I141" s="50"/>
      <c r="J141" s="100"/>
      <c r="K141" s="100"/>
      <c r="L141" s="101"/>
      <c r="M141" s="50"/>
      <c r="N141" s="100"/>
      <c r="O141" s="101"/>
      <c r="P141" s="50"/>
      <c r="Q141" s="100"/>
      <c r="R141" s="101"/>
      <c r="S141" s="50"/>
      <c r="T141" s="100"/>
      <c r="U141" s="101"/>
      <c r="V141" s="50"/>
      <c r="W141" s="100"/>
      <c r="X141" s="101"/>
      <c r="Y141" s="50"/>
      <c r="Z141" s="100"/>
      <c r="AA141" s="101"/>
      <c r="AB141" s="50"/>
      <c r="AC141" s="50"/>
      <c r="AD141" s="50"/>
      <c r="AE141" s="50"/>
      <c r="AF141" s="50"/>
      <c r="AG141" s="50"/>
      <c r="AH141" s="50"/>
      <c r="AI141" s="50"/>
      <c r="AJ141" s="50"/>
      <c r="AK141" s="50"/>
      <c r="AL141" s="50"/>
      <c r="AM141" s="50"/>
      <c r="AN141" s="50"/>
      <c r="AO141" s="50"/>
      <c r="AP141" s="50"/>
      <c r="AQ141" s="50"/>
      <c r="AR141" s="50"/>
      <c r="AS141" s="50"/>
      <c r="AT141" s="50"/>
      <c r="AU141" s="50"/>
    </row>
    <row r="142" spans="1:47" s="620" customFormat="1" ht="14.45" customHeight="1" x14ac:dyDescent="0.25">
      <c r="A142" s="2527" t="s">
        <v>1641</v>
      </c>
      <c r="B142" s="2527"/>
      <c r="C142" s="2527"/>
      <c r="D142" s="400"/>
      <c r="E142" s="172" t="s">
        <v>2095</v>
      </c>
      <c r="F142" s="1471" t="str">
        <f>$B$1</f>
        <v>IN 91</v>
      </c>
      <c r="G142" s="1471" t="str">
        <f>IF(Cabeçalho!G24="Fixo",IF(D142&lt;30,"Não","Sim"),IF(D142&lt;20,"Não","Sim"))</f>
        <v>Não</v>
      </c>
      <c r="H142" s="172"/>
      <c r="I142" s="2513" t="s">
        <v>1697</v>
      </c>
      <c r="J142" s="2513"/>
      <c r="K142" s="2513"/>
      <c r="L142" s="2513"/>
      <c r="M142" s="171"/>
      <c r="N142" s="100"/>
      <c r="O142" s="101"/>
      <c r="P142" s="171"/>
      <c r="Q142" s="100"/>
      <c r="R142" s="101"/>
      <c r="S142" s="171"/>
      <c r="T142" s="100"/>
      <c r="U142" s="101"/>
      <c r="V142" s="171"/>
      <c r="W142" s="100"/>
      <c r="X142" s="101"/>
      <c r="Y142" s="171"/>
      <c r="Z142" s="100"/>
      <c r="AA142" s="10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row>
    <row r="143" spans="1:47" ht="14.45" customHeight="1" x14ac:dyDescent="0.25">
      <c r="A143" s="2527" t="s">
        <v>1642</v>
      </c>
      <c r="B143" s="2527"/>
      <c r="C143" s="2527"/>
      <c r="D143" s="400"/>
      <c r="E143" s="172" t="s">
        <v>12</v>
      </c>
      <c r="F143" s="1488"/>
      <c r="G143" s="101"/>
      <c r="H143" s="50"/>
      <c r="I143" s="2513"/>
      <c r="J143" s="2513"/>
      <c r="K143" s="2513"/>
      <c r="L143" s="2513"/>
      <c r="M143" s="50"/>
      <c r="N143" s="100"/>
      <c r="O143" s="171"/>
      <c r="P143" s="171"/>
      <c r="Q143" s="171"/>
      <c r="R143" s="171"/>
      <c r="S143" s="50"/>
      <c r="T143" s="100"/>
      <c r="U143" s="101"/>
      <c r="V143" s="50"/>
      <c r="W143" s="100"/>
      <c r="X143" s="101"/>
      <c r="Y143" s="50"/>
      <c r="Z143" s="100"/>
      <c r="AA143" s="101"/>
      <c r="AB143" s="50"/>
      <c r="AC143" s="50"/>
      <c r="AD143" s="50"/>
      <c r="AE143" s="50"/>
      <c r="AF143" s="50"/>
      <c r="AG143" s="50"/>
      <c r="AH143" s="50"/>
      <c r="AI143" s="50"/>
      <c r="AJ143" s="50"/>
      <c r="AK143" s="50"/>
      <c r="AL143" s="50"/>
      <c r="AM143" s="50"/>
      <c r="AN143" s="50"/>
      <c r="AO143" s="50"/>
      <c r="AP143" s="50"/>
      <c r="AQ143" s="50"/>
      <c r="AR143" s="50"/>
      <c r="AS143" s="50"/>
      <c r="AT143" s="50"/>
      <c r="AU143" s="50"/>
    </row>
    <row r="144" spans="1:47" s="620" customFormat="1" ht="14.45" customHeight="1" x14ac:dyDescent="0.25">
      <c r="A144" s="2540" t="str">
        <f>"Dist foco-IRP (ponto de referência para intervencionismo): ver manual ou "&amp;(D143/2-15)&amp;" cm ou "&amp;D143-30&amp;" cm"</f>
        <v>Dist foco-IRP (ponto de referência para intervencionismo): ver manual ou -15 cm ou -30 cm</v>
      </c>
      <c r="B144" s="2540"/>
      <c r="C144" s="2540"/>
      <c r="D144" s="400">
        <f>D143-30</f>
        <v>-30</v>
      </c>
      <c r="E144" s="172" t="s">
        <v>12</v>
      </c>
      <c r="F144" s="1197" t="s">
        <v>1893</v>
      </c>
      <c r="G144" s="101"/>
      <c r="H144" s="171"/>
      <c r="I144" s="2513"/>
      <c r="J144" s="2513"/>
      <c r="K144" s="2513"/>
      <c r="L144" s="2513"/>
      <c r="M144" s="171"/>
      <c r="N144" s="100"/>
      <c r="O144" s="171"/>
      <c r="P144" s="171"/>
      <c r="Q144" s="171"/>
      <c r="R144" s="171"/>
      <c r="S144" s="171"/>
      <c r="T144" s="100"/>
      <c r="U144" s="101"/>
      <c r="V144" s="171"/>
      <c r="W144" s="100"/>
      <c r="X144" s="101"/>
      <c r="Y144" s="171"/>
      <c r="Z144" s="100"/>
      <c r="AA144" s="10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row>
    <row r="145" spans="1:47" s="620" customFormat="1" ht="14.45" customHeight="1" x14ac:dyDescent="0.25">
      <c r="A145" s="2530" t="s">
        <v>1134</v>
      </c>
      <c r="B145" s="2530"/>
      <c r="C145" s="2530"/>
      <c r="D145" s="400"/>
      <c r="E145" s="172"/>
      <c r="F145" s="1197"/>
      <c r="G145" s="101"/>
      <c r="H145" s="171"/>
      <c r="I145" s="2513"/>
      <c r="J145" s="2513"/>
      <c r="K145" s="2513"/>
      <c r="L145" s="2513"/>
      <c r="M145" s="171"/>
      <c r="N145" s="100"/>
      <c r="O145" s="171"/>
      <c r="P145" s="171"/>
      <c r="Q145" s="171"/>
      <c r="R145" s="171"/>
      <c r="S145" s="171"/>
      <c r="T145" s="100"/>
      <c r="U145" s="101"/>
      <c r="V145" s="171"/>
      <c r="W145" s="100"/>
      <c r="X145" s="101"/>
      <c r="Y145" s="171"/>
      <c r="Z145" s="100"/>
      <c r="AA145" s="10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row>
    <row r="146" spans="1:47" s="620" customFormat="1" ht="14.45" customHeight="1" x14ac:dyDescent="0.25">
      <c r="A146" s="2527" t="s">
        <v>1645</v>
      </c>
      <c r="B146" s="2527"/>
      <c r="C146" s="2527"/>
      <c r="D146" s="400"/>
      <c r="E146" s="172"/>
      <c r="G146" s="101"/>
      <c r="H146" s="171"/>
      <c r="I146" s="2513"/>
      <c r="J146" s="2513"/>
      <c r="K146" s="2513"/>
      <c r="L146" s="2513"/>
      <c r="M146" s="171"/>
      <c r="N146" s="100"/>
      <c r="O146" s="171"/>
      <c r="P146" s="171"/>
      <c r="Q146" s="171"/>
      <c r="R146" s="171"/>
      <c r="S146" s="171"/>
      <c r="T146" s="100"/>
      <c r="U146" s="101"/>
      <c r="V146" s="171"/>
      <c r="W146" s="100"/>
      <c r="X146" s="101"/>
      <c r="Y146" s="171"/>
      <c r="Z146" s="100"/>
      <c r="AA146" s="10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row>
    <row r="147" spans="1:47" ht="14.45" customHeight="1" x14ac:dyDescent="0.25">
      <c r="A147" s="2527" t="s">
        <v>1894</v>
      </c>
      <c r="B147" s="2527"/>
      <c r="C147" s="2527"/>
      <c r="D147" s="400"/>
      <c r="E147" s="172" t="s">
        <v>2094</v>
      </c>
      <c r="F147" s="1216" t="s">
        <v>1479</v>
      </c>
      <c r="G147" s="101"/>
      <c r="H147" s="171"/>
      <c r="I147" s="2513"/>
      <c r="J147" s="2513"/>
      <c r="K147" s="2513"/>
      <c r="L147" s="2513"/>
      <c r="M147" s="50"/>
      <c r="N147" s="100"/>
      <c r="O147" s="171"/>
      <c r="P147" s="171"/>
      <c r="Q147" s="171"/>
      <c r="R147" s="171"/>
      <c r="S147" s="50"/>
      <c r="T147" s="100"/>
      <c r="U147" s="101"/>
      <c r="V147" s="50"/>
      <c r="W147" s="100"/>
      <c r="X147" s="101"/>
      <c r="Y147" s="50"/>
      <c r="Z147" s="100"/>
      <c r="AA147" s="101"/>
      <c r="AB147" s="50"/>
      <c r="AC147" s="50"/>
      <c r="AD147" s="50"/>
      <c r="AE147" s="50"/>
      <c r="AF147" s="50"/>
      <c r="AG147" s="50"/>
      <c r="AH147" s="50"/>
      <c r="AI147" s="50"/>
      <c r="AJ147" s="50"/>
      <c r="AK147" s="50"/>
      <c r="AL147" s="50"/>
      <c r="AM147" s="50"/>
      <c r="AN147" s="50"/>
      <c r="AO147" s="50"/>
      <c r="AP147" s="50"/>
      <c r="AQ147" s="50"/>
      <c r="AR147" s="50"/>
      <c r="AS147" s="50"/>
      <c r="AT147" s="50"/>
      <c r="AU147" s="50"/>
    </row>
    <row r="148" spans="1:47" s="620" customFormat="1" ht="14.45" customHeight="1" x14ac:dyDescent="0.25">
      <c r="A148" s="1788" t="s">
        <v>1891</v>
      </c>
      <c r="B148" s="400"/>
      <c r="C148" s="1072" t="s">
        <v>1892</v>
      </c>
      <c r="D148" s="1789"/>
      <c r="E148" s="172"/>
      <c r="F148" s="1216"/>
      <c r="G148" s="101"/>
      <c r="H148" s="171"/>
      <c r="I148" s="2513"/>
      <c r="J148" s="2513"/>
      <c r="K148" s="2513"/>
      <c r="L148" s="2513"/>
      <c r="M148" s="171"/>
      <c r="N148" s="100"/>
      <c r="O148" s="171"/>
      <c r="P148" s="171"/>
      <c r="Q148" s="171"/>
      <c r="R148" s="171"/>
      <c r="S148" s="171"/>
      <c r="T148" s="100"/>
      <c r="U148" s="101"/>
      <c r="V148" s="171"/>
      <c r="W148" s="100"/>
      <c r="X148" s="101"/>
      <c r="Y148" s="171"/>
      <c r="Z148" s="100"/>
      <c r="AA148" s="10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row>
    <row r="149" spans="1:47" s="2066" customFormat="1" ht="14.45" customHeight="1" x14ac:dyDescent="0.25">
      <c r="A149" s="2527" t="s">
        <v>2814</v>
      </c>
      <c r="B149" s="2527"/>
      <c r="C149" s="2527"/>
      <c r="D149" s="2330"/>
      <c r="E149" s="172" t="s">
        <v>12</v>
      </c>
      <c r="F149" s="1216"/>
      <c r="G149" s="101"/>
      <c r="H149" s="171"/>
      <c r="I149" s="2513"/>
      <c r="J149" s="2513"/>
      <c r="K149" s="2513"/>
      <c r="L149" s="2513"/>
      <c r="M149" s="171"/>
      <c r="N149" s="100"/>
      <c r="O149" s="171"/>
      <c r="P149" s="171"/>
      <c r="Q149" s="171"/>
      <c r="R149" s="171"/>
      <c r="S149" s="171"/>
      <c r="T149" s="100"/>
      <c r="U149" s="101"/>
      <c r="V149" s="171"/>
      <c r="W149" s="100"/>
      <c r="X149" s="101"/>
      <c r="Y149" s="171"/>
      <c r="Z149" s="100"/>
      <c r="AA149" s="10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row>
    <row r="150" spans="1:47" s="620" customFormat="1" ht="14.45" customHeight="1" x14ac:dyDescent="0.25">
      <c r="A150" s="172"/>
      <c r="B150" s="172"/>
      <c r="C150" s="172"/>
      <c r="D150" s="172"/>
      <c r="E150" s="172"/>
      <c r="F150" s="1216"/>
      <c r="G150" s="101"/>
      <c r="H150" s="171"/>
      <c r="I150" s="2513"/>
      <c r="J150" s="2513"/>
      <c r="K150" s="2513"/>
      <c r="L150" s="2513"/>
      <c r="M150" s="171"/>
      <c r="N150" s="100"/>
      <c r="O150" s="171"/>
      <c r="P150" s="171"/>
      <c r="Q150" s="171"/>
      <c r="R150" s="171"/>
      <c r="S150" s="171"/>
      <c r="T150" s="100"/>
      <c r="U150" s="101"/>
      <c r="V150" s="171"/>
      <c r="W150" s="100"/>
      <c r="X150" s="101"/>
      <c r="Y150" s="171"/>
      <c r="Z150" s="100"/>
      <c r="AA150" s="10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row>
    <row r="151" spans="1:47" s="620" customFormat="1" x14ac:dyDescent="0.25">
      <c r="A151" s="171"/>
      <c r="B151" s="171"/>
      <c r="C151" s="100" t="s">
        <v>1785</v>
      </c>
      <c r="D151" s="225" t="str">
        <f ca="1">IFERROR(IF(OR(ISNUMBER(SUM(B518:D518)),ISNUMBER(SUM(B520:D520)),ISNUMBER(SUM(B522:D522))),"Teste aplicável","NA"),"NA")</f>
        <v>NA</v>
      </c>
      <c r="E151" s="1783"/>
      <c r="F151" s="171"/>
      <c r="G151" s="101"/>
      <c r="H151" s="1784"/>
      <c r="I151" s="2513"/>
      <c r="J151" s="2513"/>
      <c r="K151" s="2513"/>
      <c r="L151" s="2513"/>
      <c r="M151" s="171"/>
      <c r="N151" s="100"/>
      <c r="O151" s="101"/>
      <c r="P151" s="171"/>
      <c r="Q151" s="100"/>
      <c r="R151" s="101"/>
      <c r="S151" s="171"/>
      <c r="T151" s="100"/>
      <c r="U151" s="101"/>
      <c r="V151" s="171"/>
      <c r="W151" s="100"/>
      <c r="X151" s="101"/>
      <c r="Y151" s="171"/>
      <c r="Z151" s="100"/>
      <c r="AA151" s="10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row>
    <row r="152" spans="1:47" s="620" customFormat="1" ht="15.75" thickBot="1" x14ac:dyDescent="0.3">
      <c r="A152" s="204" t="s">
        <v>1790</v>
      </c>
      <c r="B152" s="204"/>
      <c r="C152" s="204"/>
      <c r="D152" s="172"/>
      <c r="E152" s="172"/>
      <c r="F152" s="171"/>
      <c r="G152" s="101"/>
      <c r="H152" s="1784"/>
      <c r="I152" s="171"/>
      <c r="J152" s="100"/>
      <c r="K152" s="100"/>
      <c r="L152" s="101"/>
      <c r="M152" s="171"/>
      <c r="N152" s="100"/>
      <c r="O152" s="171"/>
      <c r="P152" s="171"/>
      <c r="Q152" s="171"/>
      <c r="R152" s="171"/>
      <c r="S152" s="171"/>
      <c r="T152" s="100"/>
      <c r="U152" s="101"/>
      <c r="V152" s="171"/>
      <c r="W152" s="100"/>
      <c r="X152" s="101"/>
      <c r="Y152" s="171"/>
      <c r="Z152" s="100"/>
      <c r="AA152" s="10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row>
    <row r="153" spans="1:47" s="620" customFormat="1" ht="15.75" thickBot="1" x14ac:dyDescent="0.3">
      <c r="A153" s="1490" t="s">
        <v>1426</v>
      </c>
      <c r="B153" s="2538" t="s">
        <v>1404</v>
      </c>
      <c r="C153" s="2538"/>
      <c r="D153" s="2539"/>
      <c r="E153" s="172"/>
      <c r="F153" s="171"/>
      <c r="G153" s="101"/>
      <c r="I153" s="171"/>
      <c r="J153" s="100"/>
      <c r="K153" s="100"/>
      <c r="L153" s="101"/>
      <c r="M153" s="171"/>
      <c r="N153" s="100"/>
      <c r="O153" s="171"/>
      <c r="P153" s="171"/>
      <c r="Q153" s="171"/>
      <c r="R153" s="171"/>
      <c r="S153" s="171"/>
      <c r="T153" s="100"/>
      <c r="U153" s="101"/>
      <c r="V153" s="171"/>
      <c r="W153" s="100"/>
      <c r="X153" s="101"/>
      <c r="Y153" s="171"/>
      <c r="Z153" s="100"/>
      <c r="AA153" s="10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row>
    <row r="154" spans="1:47" s="171" customFormat="1" x14ac:dyDescent="0.25">
      <c r="A154" s="1421"/>
      <c r="B154" s="1479"/>
      <c r="C154" s="1479"/>
      <c r="D154" s="1479"/>
      <c r="E154" s="172"/>
      <c r="G154" s="101"/>
      <c r="J154" s="100"/>
      <c r="K154" s="100"/>
      <c r="L154" s="101"/>
      <c r="N154" s="100"/>
      <c r="T154" s="100"/>
      <c r="U154" s="101"/>
      <c r="W154" s="100"/>
      <c r="X154" s="101"/>
      <c r="Z154" s="100"/>
      <c r="AA154" s="101"/>
    </row>
    <row r="155" spans="1:47" s="171" customFormat="1" ht="18.75" x14ac:dyDescent="0.4">
      <c r="A155" s="1790" t="s">
        <v>1896</v>
      </c>
      <c r="B155" s="1479"/>
      <c r="C155" s="1479"/>
      <c r="D155" s="1479"/>
      <c r="E155" s="172"/>
      <c r="G155" s="101"/>
      <c r="J155" s="100"/>
      <c r="K155" s="100"/>
      <c r="L155" s="101"/>
      <c r="N155" s="100"/>
      <c r="T155" s="100"/>
      <c r="U155" s="101"/>
      <c r="W155" s="100"/>
      <c r="X155" s="101"/>
      <c r="Z155" s="100"/>
      <c r="AA155" s="101"/>
    </row>
    <row r="156" spans="1:47" x14ac:dyDescent="0.25">
      <c r="A156" s="1492" t="s">
        <v>1663</v>
      </c>
      <c r="B156" s="2493" t="s">
        <v>1648</v>
      </c>
      <c r="C156" s="2494"/>
      <c r="D156" s="2494"/>
      <c r="E156" s="2495"/>
      <c r="F156" s="1628" t="s">
        <v>1792</v>
      </c>
      <c r="G156" s="1629"/>
      <c r="H156" s="50"/>
      <c r="I156" s="50"/>
      <c r="J156" s="100"/>
      <c r="K156" s="100"/>
      <c r="L156" s="101"/>
      <c r="M156" s="50"/>
      <c r="N156" s="100"/>
      <c r="O156" s="171"/>
      <c r="P156" s="171"/>
      <c r="Q156" s="171"/>
      <c r="R156" s="171"/>
      <c r="S156" s="50"/>
      <c r="T156" s="100"/>
      <c r="U156" s="101"/>
      <c r="V156" s="50"/>
      <c r="W156" s="100"/>
      <c r="X156" s="101"/>
      <c r="Y156" s="50"/>
      <c r="Z156" s="100"/>
      <c r="AA156" s="101"/>
      <c r="AB156" s="50"/>
      <c r="AC156" s="50"/>
      <c r="AD156" s="50"/>
      <c r="AE156" s="50"/>
      <c r="AF156" s="50"/>
      <c r="AG156" s="50"/>
      <c r="AH156" s="50"/>
      <c r="AI156" s="50"/>
      <c r="AJ156" s="50"/>
      <c r="AK156" s="50"/>
      <c r="AL156" s="50"/>
      <c r="AM156" s="50"/>
      <c r="AN156" s="50"/>
      <c r="AO156" s="50"/>
      <c r="AP156" s="50"/>
      <c r="AQ156" s="50"/>
      <c r="AR156" s="50"/>
      <c r="AS156" s="50"/>
      <c r="AT156" s="50"/>
      <c r="AU156" s="50"/>
    </row>
    <row r="157" spans="1:47" x14ac:dyDescent="0.25">
      <c r="A157" s="1480" t="str">
        <f>CONCATENATE("tamanho do campo  NOMINAL (",$B$129,")")</f>
        <v>tamanho do campo  NOMINAL (cm)</v>
      </c>
      <c r="B157" s="1518">
        <f>$B$130</f>
        <v>23</v>
      </c>
      <c r="C157" s="1518">
        <f>$C$130</f>
        <v>0</v>
      </c>
      <c r="D157" s="1518">
        <f>$D$130</f>
        <v>0</v>
      </c>
      <c r="E157" s="1518">
        <f>$E$130</f>
        <v>0</v>
      </c>
      <c r="F157" s="1518">
        <f>$F$130</f>
        <v>0</v>
      </c>
      <c r="G157" s="1518">
        <f>$G$130</f>
        <v>0</v>
      </c>
      <c r="H157" s="50"/>
      <c r="I157" s="50"/>
      <c r="J157" s="100"/>
      <c r="K157" s="100"/>
      <c r="L157" s="101"/>
      <c r="M157" s="50"/>
      <c r="N157" s="100"/>
      <c r="O157" s="171"/>
      <c r="P157" s="171"/>
      <c r="Q157" s="171"/>
      <c r="R157" s="171"/>
      <c r="S157" s="50"/>
      <c r="T157" s="100"/>
      <c r="U157" s="101"/>
      <c r="V157" s="50"/>
      <c r="W157" s="100"/>
      <c r="X157" s="101"/>
      <c r="Y157" s="50"/>
      <c r="Z157" s="100"/>
      <c r="AA157" s="101"/>
      <c r="AB157" s="50"/>
      <c r="AC157" s="50"/>
      <c r="AD157" s="50"/>
      <c r="AE157" s="50"/>
      <c r="AF157" s="50"/>
      <c r="AG157" s="50"/>
      <c r="AH157" s="50"/>
      <c r="AI157" s="50"/>
      <c r="AJ157" s="50"/>
      <c r="AK157" s="50"/>
      <c r="AL157" s="50"/>
      <c r="AM157" s="50"/>
      <c r="AN157" s="50"/>
      <c r="AO157" s="50"/>
      <c r="AP157" s="50"/>
      <c r="AQ157" s="50"/>
      <c r="AR157" s="50"/>
      <c r="AS157" s="50"/>
      <c r="AT157" s="50"/>
      <c r="AU157" s="50"/>
    </row>
    <row r="158" spans="1:47" s="620" customFormat="1" x14ac:dyDescent="0.25">
      <c r="A158" s="1951" t="s">
        <v>2091</v>
      </c>
      <c r="B158" s="1960" t="e">
        <f>B157*$D$147/$D$142</f>
        <v>#DIV/0!</v>
      </c>
      <c r="C158" s="1960" t="e">
        <f t="shared" ref="C158:G158" si="5">C157*$D$147/$D$142</f>
        <v>#DIV/0!</v>
      </c>
      <c r="D158" s="1960" t="e">
        <f t="shared" si="5"/>
        <v>#DIV/0!</v>
      </c>
      <c r="E158" s="1960" t="e">
        <f t="shared" si="5"/>
        <v>#DIV/0!</v>
      </c>
      <c r="F158" s="1960" t="e">
        <f t="shared" si="5"/>
        <v>#DIV/0!</v>
      </c>
      <c r="G158" s="1960" t="e">
        <f t="shared" si="5"/>
        <v>#DIV/0!</v>
      </c>
      <c r="H158" s="171"/>
      <c r="I158" s="171"/>
      <c r="J158" s="100"/>
      <c r="K158" s="100"/>
      <c r="L158" s="101"/>
      <c r="M158" s="171"/>
      <c r="N158" s="100"/>
      <c r="O158" s="171"/>
      <c r="P158" s="171"/>
      <c r="Q158" s="171"/>
      <c r="R158" s="171"/>
      <c r="S158" s="171"/>
      <c r="T158" s="100"/>
      <c r="U158" s="101"/>
      <c r="V158" s="171"/>
      <c r="W158" s="100"/>
      <c r="X158" s="101"/>
      <c r="Y158" s="171"/>
      <c r="Z158" s="100"/>
      <c r="AA158" s="101"/>
      <c r="AB158" s="171"/>
      <c r="AC158" s="171"/>
      <c r="AD158" s="171"/>
      <c r="AE158" s="171"/>
      <c r="AF158" s="171"/>
      <c r="AG158" s="171"/>
      <c r="AH158" s="171"/>
      <c r="AI158" s="171"/>
      <c r="AJ158" s="171"/>
      <c r="AK158" s="171"/>
      <c r="AL158" s="171"/>
      <c r="AM158" s="171"/>
      <c r="AN158" s="171"/>
      <c r="AO158" s="171"/>
      <c r="AP158" s="171"/>
      <c r="AQ158" s="171"/>
      <c r="AR158" s="171"/>
      <c r="AS158" s="171"/>
      <c r="AT158" s="171"/>
      <c r="AU158" s="171"/>
    </row>
    <row r="159" spans="1:47" x14ac:dyDescent="0.25">
      <c r="A159" s="125" t="s">
        <v>1425</v>
      </c>
      <c r="B159" s="584"/>
      <c r="C159" s="584"/>
      <c r="D159" s="584"/>
      <c r="E159" s="584"/>
      <c r="F159" s="584"/>
      <c r="G159" s="584"/>
      <c r="H159" s="171"/>
      <c r="I159" s="171"/>
      <c r="J159" s="100"/>
      <c r="K159" s="100"/>
      <c r="L159" s="101"/>
      <c r="M159" s="50"/>
      <c r="N159" s="100"/>
      <c r="O159" s="171"/>
      <c r="P159" s="171"/>
      <c r="Q159" s="171"/>
      <c r="R159" s="171"/>
      <c r="S159" s="50"/>
      <c r="T159" s="100"/>
      <c r="U159" s="101"/>
      <c r="V159" s="50"/>
      <c r="W159" s="100"/>
      <c r="X159" s="101"/>
      <c r="Y159" s="50"/>
      <c r="Z159" s="100"/>
      <c r="AA159" s="101"/>
      <c r="AB159" s="50"/>
      <c r="AC159" s="50"/>
      <c r="AD159" s="50"/>
      <c r="AE159" s="50"/>
      <c r="AF159" s="50"/>
      <c r="AG159" s="50"/>
      <c r="AH159" s="50"/>
      <c r="AI159" s="50"/>
      <c r="AJ159" s="50"/>
      <c r="AK159" s="50"/>
      <c r="AL159" s="50"/>
      <c r="AM159" s="50"/>
      <c r="AN159" s="50"/>
      <c r="AO159" s="50"/>
      <c r="AP159" s="50"/>
      <c r="AQ159" s="50"/>
      <c r="AR159" s="50"/>
      <c r="AS159" s="50"/>
      <c r="AT159" s="50"/>
      <c r="AU159" s="50"/>
    </row>
    <row r="160" spans="1:47" x14ac:dyDescent="0.25">
      <c r="A160" s="125" t="s">
        <v>1421</v>
      </c>
      <c r="B160" s="584"/>
      <c r="C160" s="584"/>
      <c r="D160" s="584"/>
      <c r="E160" s="584"/>
      <c r="F160" s="584"/>
      <c r="G160" s="584"/>
      <c r="H160" s="171"/>
      <c r="I160" s="171"/>
      <c r="J160" s="100"/>
      <c r="K160" s="100"/>
      <c r="L160" s="101"/>
      <c r="M160" s="50"/>
      <c r="N160" s="100"/>
      <c r="O160" s="171"/>
      <c r="P160" s="171"/>
      <c r="Q160" s="171"/>
      <c r="R160" s="171"/>
      <c r="S160" s="50"/>
      <c r="T160" s="100"/>
      <c r="U160" s="101"/>
      <c r="V160" s="50"/>
      <c r="W160" s="100"/>
      <c r="X160" s="101"/>
      <c r="Y160" s="50"/>
      <c r="Z160" s="100"/>
      <c r="AA160" s="101"/>
      <c r="AB160" s="50"/>
      <c r="AC160" s="50"/>
      <c r="AD160" s="50"/>
      <c r="AE160" s="50"/>
      <c r="AF160" s="50"/>
      <c r="AG160" s="50"/>
      <c r="AH160" s="50"/>
      <c r="AI160" s="50"/>
      <c r="AJ160" s="50"/>
      <c r="AK160" s="50"/>
      <c r="AL160" s="50"/>
      <c r="AM160" s="50"/>
      <c r="AN160" s="50"/>
      <c r="AO160" s="50"/>
      <c r="AP160" s="50"/>
      <c r="AQ160" s="50"/>
      <c r="AR160" s="50"/>
      <c r="AS160" s="50"/>
      <c r="AT160" s="50"/>
      <c r="AU160" s="50"/>
    </row>
    <row r="161" spans="1:47" s="171" customFormat="1" ht="4.5" customHeight="1" x14ac:dyDescent="0.25">
      <c r="A161" s="1482"/>
      <c r="B161" s="1483"/>
      <c r="C161" s="1483"/>
      <c r="D161" s="1483"/>
      <c r="E161" s="1483"/>
      <c r="F161" s="1483"/>
      <c r="G161" s="1484"/>
      <c r="J161" s="100"/>
      <c r="K161" s="100"/>
      <c r="L161" s="101"/>
      <c r="N161" s="100"/>
      <c r="T161" s="100"/>
      <c r="U161" s="101"/>
      <c r="W161" s="100"/>
      <c r="X161" s="101"/>
      <c r="Z161" s="100"/>
      <c r="AA161" s="101"/>
    </row>
    <row r="162" spans="1:47" ht="17.25" x14ac:dyDescent="0.25">
      <c r="A162" s="125" t="s">
        <v>1429</v>
      </c>
      <c r="B162" s="584"/>
      <c r="C162" s="584"/>
      <c r="D162" s="584"/>
      <c r="E162" s="584"/>
      <c r="F162" s="584"/>
      <c r="G162" s="584"/>
      <c r="H162" s="171"/>
      <c r="I162" s="171"/>
      <c r="J162" s="100"/>
      <c r="K162" s="100"/>
      <c r="L162" s="101"/>
      <c r="M162" s="50"/>
      <c r="N162" s="100"/>
      <c r="O162" s="171"/>
      <c r="P162" s="171"/>
      <c r="Q162" s="171"/>
      <c r="R162" s="171"/>
      <c r="S162" s="50"/>
      <c r="T162" s="100"/>
      <c r="U162" s="101"/>
      <c r="V162" s="50"/>
      <c r="W162" s="100"/>
      <c r="X162" s="101"/>
      <c r="Y162" s="50"/>
      <c r="Z162" s="100"/>
      <c r="AA162" s="101"/>
      <c r="AB162" s="50"/>
      <c r="AC162" s="50"/>
      <c r="AD162" s="50"/>
      <c r="AE162" s="50"/>
      <c r="AF162" s="50"/>
      <c r="AG162" s="50"/>
      <c r="AH162" s="50"/>
      <c r="AI162" s="50"/>
      <c r="AJ162" s="50"/>
      <c r="AK162" s="50"/>
      <c r="AL162" s="50"/>
      <c r="AM162" s="50"/>
      <c r="AN162" s="50"/>
      <c r="AO162" s="50"/>
      <c r="AP162" s="50"/>
      <c r="AQ162" s="50"/>
      <c r="AR162" s="50"/>
      <c r="AS162" s="50"/>
      <c r="AT162" s="50"/>
      <c r="AU162" s="50"/>
    </row>
    <row r="163" spans="1:47" s="620" customFormat="1" x14ac:dyDescent="0.25">
      <c r="A163" s="1184" t="s">
        <v>1430</v>
      </c>
      <c r="B163" s="1417"/>
      <c r="C163" s="1417"/>
      <c r="D163" s="1417"/>
      <c r="E163" s="1417"/>
      <c r="F163" s="1417"/>
      <c r="G163" s="1417"/>
      <c r="H163" s="171"/>
      <c r="I163" s="1183"/>
      <c r="J163" s="1183"/>
      <c r="K163" s="1183"/>
      <c r="L163" s="1183"/>
      <c r="M163" s="1183"/>
      <c r="N163" s="1183"/>
      <c r="O163" s="171"/>
      <c r="P163" s="171"/>
      <c r="Q163" s="171"/>
      <c r="R163" s="171"/>
      <c r="S163" s="171"/>
      <c r="T163" s="100"/>
      <c r="U163" s="101"/>
      <c r="V163" s="171"/>
      <c r="W163" s="100"/>
      <c r="X163" s="101"/>
      <c r="Y163" s="171"/>
      <c r="Z163" s="100"/>
      <c r="AA163" s="101"/>
      <c r="AB163" s="171"/>
      <c r="AC163" s="171"/>
      <c r="AD163" s="171"/>
      <c r="AE163" s="171"/>
      <c r="AF163" s="171"/>
      <c r="AG163" s="171"/>
      <c r="AH163" s="171"/>
      <c r="AI163" s="171"/>
      <c r="AJ163" s="171"/>
      <c r="AK163" s="171"/>
      <c r="AL163" s="171"/>
      <c r="AM163" s="171"/>
      <c r="AN163" s="171"/>
      <c r="AO163" s="171"/>
      <c r="AP163" s="171"/>
      <c r="AQ163" s="171"/>
      <c r="AR163" s="171"/>
      <c r="AS163" s="171"/>
      <c r="AT163" s="171"/>
      <c r="AU163" s="171"/>
    </row>
    <row r="164" spans="1:47" s="171" customFormat="1" ht="4.5" customHeight="1" x14ac:dyDescent="0.25">
      <c r="A164" s="1485"/>
      <c r="B164" s="1486"/>
      <c r="C164" s="1486"/>
      <c r="D164" s="1486"/>
      <c r="E164" s="1486"/>
      <c r="F164" s="1486"/>
      <c r="G164" s="1487"/>
      <c r="I164" s="1183"/>
      <c r="J164" s="1183"/>
      <c r="K164" s="1183"/>
      <c r="L164" s="1183"/>
      <c r="M164" s="1183"/>
      <c r="N164" s="1183"/>
      <c r="T164" s="100"/>
      <c r="U164" s="101"/>
      <c r="W164" s="100"/>
      <c r="X164" s="101"/>
      <c r="Z164" s="100"/>
      <c r="AA164" s="101"/>
    </row>
    <row r="165" spans="1:47" x14ac:dyDescent="0.25">
      <c r="A165" s="1476" t="s">
        <v>1649</v>
      </c>
      <c r="B165" s="653" t="e">
        <f ca="1">IF(Cabeçalho!$G$28="unfors",INDIRECT(ADDRESS(B167,3,1,1,"medidas Unfors"),1),INDIRECT(ADDRESS(B167,4,1,1,"medidas Fluke"),1)/1000)</f>
        <v>#VALUE!</v>
      </c>
      <c r="C165" s="653" t="e">
        <f ca="1">IF(Cabeçalho!$G$28="unfors",INDIRECT(ADDRESS(C167,3,1,1,"medidas Unfors"),1),INDIRECT(ADDRESS(C167,4,1,1,"medidas Fluke"),1)/1000)</f>
        <v>#VALUE!</v>
      </c>
      <c r="D165" s="653" t="e">
        <f ca="1">IF(Cabeçalho!$G$28="unfors",INDIRECT(ADDRESS(D167,3,1,1,"medidas Unfors"),1),INDIRECT(ADDRESS(D167,4,1,1,"medidas Fluke"),1)/1000)</f>
        <v>#VALUE!</v>
      </c>
      <c r="E165" s="653" t="e">
        <f ca="1">IF(Cabeçalho!$G$28="unfors",INDIRECT(ADDRESS(E167,3,1,1,"medidas Unfors"),1),INDIRECT(ADDRESS(E167,4,1,1,"medidas Fluke"),1)/1000)</f>
        <v>#VALUE!</v>
      </c>
      <c r="F165" s="653" t="e">
        <f ca="1">IF(Cabeçalho!$G$28="unfors",INDIRECT(ADDRESS(F167,3,1,1,"medidas Unfors"),1),INDIRECT(ADDRESS(F167,4,1,1,"medidas Fluke"),1)/1000)</f>
        <v>#VALUE!</v>
      </c>
      <c r="G165" s="653" t="e">
        <f ca="1">IF(Cabeçalho!$G$28="unfors",INDIRECT(ADDRESS(G167,3,1,1,"medidas Unfors"),1),INDIRECT(ADDRESS(G167,4,1,1,"medidas Fluke"),1)/1000)</f>
        <v>#VALUE!</v>
      </c>
      <c r="H165" s="171"/>
      <c r="I165" s="171"/>
      <c r="J165" s="100"/>
      <c r="K165" s="100"/>
      <c r="L165" s="101"/>
      <c r="M165" s="50"/>
      <c r="N165" s="100"/>
      <c r="O165" s="171"/>
      <c r="P165" s="171"/>
      <c r="Q165" s="171"/>
      <c r="R165" s="171"/>
      <c r="S165" s="50"/>
      <c r="T165" s="100"/>
      <c r="U165" s="101"/>
      <c r="V165" s="50"/>
      <c r="W165" s="100"/>
      <c r="X165" s="101"/>
      <c r="Y165" s="50"/>
      <c r="Z165" s="100"/>
      <c r="AA165" s="101"/>
      <c r="AB165" s="50"/>
      <c r="AC165" s="50"/>
      <c r="AD165" s="50"/>
      <c r="AE165" s="50"/>
      <c r="AF165" s="50"/>
      <c r="AG165" s="50"/>
      <c r="AH165" s="50"/>
      <c r="AI165" s="50"/>
      <c r="AJ165" s="50"/>
      <c r="AK165" s="50"/>
      <c r="AL165" s="50"/>
      <c r="AM165" s="50"/>
      <c r="AN165" s="50"/>
      <c r="AO165" s="50"/>
      <c r="AP165" s="50"/>
      <c r="AQ165" s="50"/>
      <c r="AR165" s="50"/>
      <c r="AS165" s="50"/>
      <c r="AT165" s="50"/>
      <c r="AU165" s="50"/>
    </row>
    <row r="166" spans="1:47" s="620" customFormat="1" ht="15.75" thickBot="1" x14ac:dyDescent="0.3">
      <c r="A166" s="1475" t="s">
        <v>1652</v>
      </c>
      <c r="B166" s="1489" t="e">
        <f ca="1">IF(Cabeçalho!$G$28="Unfors",INDIRECT(ADDRESS(B167,5,1,1,"medidas Unfors"),1),INDIRECT(ADDRESS(B167,5,1,1,"medidas Fluke"),1)/1000)</f>
        <v>#VALUE!</v>
      </c>
      <c r="C166" s="1489" t="e">
        <f ca="1">IF(Cabeçalho!$G$28="Unfors",INDIRECT(ADDRESS(C167,5,1,1,"medidas Unfors"),1),INDIRECT(ADDRESS(C167,5,1,1,"medidas Fluke"),1)/1000)</f>
        <v>#VALUE!</v>
      </c>
      <c r="D166" s="1489" t="e">
        <f ca="1">IF(Cabeçalho!$G$28="Unfors",INDIRECT(ADDRESS(D167,5,1,1,"medidas Unfors"),1),INDIRECT(ADDRESS(D167,5,1,1,"medidas Fluke"),1)/1000)</f>
        <v>#VALUE!</v>
      </c>
      <c r="E166" s="1489" t="e">
        <f ca="1">IF(Cabeçalho!$G$28="Unfors",INDIRECT(ADDRESS(E167,5,1,1,"medidas Unfors"),1),INDIRECT(ADDRESS(E167,5,1,1,"medidas Fluke"),1)/1000)</f>
        <v>#VALUE!</v>
      </c>
      <c r="F166" s="1489" t="e">
        <f ca="1">IF(Cabeçalho!$G$28="Unfors",INDIRECT(ADDRESS(F167,5,1,1,"medidas Unfors"),1),INDIRECT(ADDRESS(F167,5,1,1,"medidas Fluke"),1)/1000)</f>
        <v>#VALUE!</v>
      </c>
      <c r="G166" s="1489" t="e">
        <f ca="1">IF(Cabeçalho!$G$28="Unfors",INDIRECT(ADDRESS(G167,5,1,1,"medidas Unfors"),1),INDIRECT(ADDRESS(G167,5,1,1,"medidas Fluke"),1)/1000)</f>
        <v>#VALUE!</v>
      </c>
      <c r="H166" s="171"/>
      <c r="I166" s="171"/>
      <c r="J166" s="100"/>
      <c r="K166" s="100"/>
      <c r="L166" s="101"/>
      <c r="M166" s="171"/>
      <c r="N166" s="100"/>
      <c r="O166" s="171"/>
      <c r="P166" s="171"/>
      <c r="Q166" s="171"/>
      <c r="R166" s="171"/>
      <c r="S166" s="171"/>
      <c r="T166" s="100"/>
      <c r="U166" s="101"/>
      <c r="V166" s="171"/>
      <c r="W166" s="100"/>
      <c r="X166" s="101"/>
      <c r="Y166" s="171"/>
      <c r="Z166" s="100"/>
      <c r="AA166" s="101"/>
      <c r="AB166" s="171"/>
      <c r="AC166" s="171"/>
      <c r="AD166" s="171"/>
      <c r="AE166" s="171"/>
      <c r="AF166" s="171"/>
      <c r="AG166" s="171"/>
      <c r="AH166" s="171"/>
      <c r="AI166" s="171"/>
      <c r="AJ166" s="171"/>
      <c r="AK166" s="171"/>
      <c r="AL166" s="171"/>
      <c r="AM166" s="171"/>
      <c r="AN166" s="171"/>
      <c r="AO166" s="171"/>
      <c r="AP166" s="171"/>
      <c r="AQ166" s="171"/>
      <c r="AR166" s="171"/>
      <c r="AS166" s="171"/>
      <c r="AT166" s="171"/>
      <c r="AU166" s="171"/>
    </row>
    <row r="167" spans="1:47" ht="15.75" thickBot="1" x14ac:dyDescent="0.3">
      <c r="A167" s="1418" t="s">
        <v>1427</v>
      </c>
      <c r="B167" s="1419"/>
      <c r="C167" s="1419"/>
      <c r="D167" s="1419"/>
      <c r="E167" s="1419"/>
      <c r="F167" s="1419"/>
      <c r="G167" s="1420"/>
      <c r="H167" s="171"/>
      <c r="I167" s="171"/>
      <c r="J167" s="100"/>
      <c r="K167" s="100"/>
      <c r="L167" s="101"/>
      <c r="M167" s="50"/>
      <c r="N167" s="100"/>
      <c r="O167" s="171"/>
      <c r="P167" s="171"/>
      <c r="Q167" s="171"/>
      <c r="R167" s="171"/>
      <c r="S167" s="50"/>
      <c r="T167" s="100"/>
      <c r="U167" s="101"/>
      <c r="V167" s="50"/>
      <c r="W167" s="100"/>
      <c r="X167" s="101"/>
      <c r="Y167" s="50"/>
      <c r="Z167" s="100"/>
      <c r="AA167" s="101"/>
      <c r="AB167" s="50"/>
      <c r="AC167" s="50"/>
      <c r="AD167" s="50"/>
      <c r="AE167" s="50"/>
      <c r="AF167" s="50"/>
      <c r="AG167" s="50"/>
      <c r="AH167" s="50"/>
      <c r="AI167" s="50"/>
      <c r="AJ167" s="50"/>
      <c r="AK167" s="50"/>
      <c r="AL167" s="50"/>
      <c r="AM167" s="50"/>
      <c r="AN167" s="50"/>
      <c r="AO167" s="50"/>
      <c r="AP167" s="50"/>
      <c r="AQ167" s="50"/>
      <c r="AR167" s="50"/>
      <c r="AS167" s="50"/>
      <c r="AT167" s="50"/>
      <c r="AU167" s="50"/>
    </row>
    <row r="168" spans="1:47" s="620" customFormat="1" ht="17.25" x14ac:dyDescent="0.25">
      <c r="A168" s="1164" t="s">
        <v>1433</v>
      </c>
      <c r="B168" s="584"/>
      <c r="C168" s="584"/>
      <c r="D168" s="584"/>
      <c r="E168" s="584"/>
      <c r="F168" s="584"/>
      <c r="G168" s="584"/>
      <c r="H168" s="171"/>
      <c r="I168" s="171"/>
      <c r="J168" s="100"/>
      <c r="K168" s="100"/>
      <c r="L168" s="101"/>
      <c r="M168" s="171"/>
      <c r="N168" s="100"/>
      <c r="O168" s="171"/>
      <c r="P168" s="171"/>
      <c r="Q168" s="171"/>
      <c r="R168" s="171"/>
      <c r="S168" s="171"/>
      <c r="T168" s="100"/>
      <c r="U168" s="101"/>
      <c r="V168" s="171"/>
      <c r="W168" s="100"/>
      <c r="X168" s="101"/>
      <c r="Y168" s="171"/>
      <c r="Z168" s="100"/>
      <c r="AA168" s="101"/>
      <c r="AB168" s="171"/>
      <c r="AC168" s="171"/>
      <c r="AD168" s="171"/>
      <c r="AE168" s="171"/>
      <c r="AF168" s="171"/>
      <c r="AG168" s="171"/>
      <c r="AH168" s="171"/>
      <c r="AI168" s="171"/>
      <c r="AJ168" s="171"/>
      <c r="AK168" s="171"/>
      <c r="AL168" s="171"/>
      <c r="AM168" s="171"/>
      <c r="AN168" s="171"/>
      <c r="AO168" s="171"/>
      <c r="AP168" s="171"/>
      <c r="AQ168" s="171"/>
      <c r="AR168" s="171"/>
      <c r="AS168" s="171"/>
      <c r="AT168" s="171"/>
      <c r="AU168" s="171"/>
    </row>
    <row r="169" spans="1:47" s="620" customFormat="1" x14ac:dyDescent="0.25">
      <c r="A169" s="1184" t="s">
        <v>1431</v>
      </c>
      <c r="B169" s="1417"/>
      <c r="C169" s="1417"/>
      <c r="D169" s="1417"/>
      <c r="E169" s="1417"/>
      <c r="F169" s="1417"/>
      <c r="G169" s="1417"/>
      <c r="H169" s="171"/>
      <c r="I169" s="171"/>
      <c r="J169" s="100"/>
      <c r="K169" s="100"/>
      <c r="L169" s="101"/>
      <c r="M169" s="171"/>
      <c r="N169" s="100"/>
      <c r="O169" s="171"/>
      <c r="P169" s="171"/>
      <c r="Q169" s="171"/>
      <c r="R169" s="171"/>
      <c r="S169" s="171"/>
      <c r="T169" s="100"/>
      <c r="U169" s="101"/>
      <c r="V169" s="171"/>
      <c r="W169" s="100"/>
      <c r="X169" s="101"/>
      <c r="Y169" s="171"/>
      <c r="Z169" s="100"/>
      <c r="AA169" s="101"/>
      <c r="AB169" s="171"/>
      <c r="AC169" s="171"/>
      <c r="AD169" s="171"/>
      <c r="AE169" s="171"/>
      <c r="AF169" s="171"/>
      <c r="AG169" s="171"/>
      <c r="AH169" s="171"/>
      <c r="AI169" s="171"/>
      <c r="AJ169" s="171"/>
      <c r="AK169" s="171"/>
      <c r="AL169" s="171"/>
      <c r="AM169" s="171"/>
      <c r="AN169" s="171"/>
      <c r="AO169" s="171"/>
      <c r="AP169" s="171"/>
      <c r="AQ169" s="171"/>
      <c r="AR169" s="171"/>
      <c r="AS169" s="171"/>
      <c r="AT169" s="171"/>
      <c r="AU169" s="171"/>
    </row>
    <row r="170" spans="1:47" s="620" customFormat="1" ht="4.5" customHeight="1" x14ac:dyDescent="0.25">
      <c r="A170" s="1485"/>
      <c r="B170" s="1486"/>
      <c r="C170" s="1486"/>
      <c r="D170" s="1486"/>
      <c r="E170" s="1486"/>
      <c r="F170" s="1486"/>
      <c r="G170" s="1487"/>
      <c r="H170" s="171"/>
      <c r="I170" s="171"/>
      <c r="J170" s="100"/>
      <c r="K170" s="100"/>
      <c r="L170" s="101"/>
      <c r="M170" s="171"/>
      <c r="N170" s="100"/>
      <c r="O170" s="171"/>
      <c r="P170" s="171"/>
      <c r="Q170" s="171"/>
      <c r="R170" s="171"/>
      <c r="S170" s="171"/>
      <c r="T170" s="100"/>
      <c r="U170" s="101"/>
      <c r="V170" s="171"/>
      <c r="W170" s="100"/>
      <c r="X170" s="101"/>
      <c r="Y170" s="171"/>
      <c r="Z170" s="100"/>
      <c r="AA170" s="101"/>
      <c r="AB170" s="171"/>
      <c r="AC170" s="171"/>
      <c r="AD170" s="171"/>
      <c r="AE170" s="171"/>
      <c r="AF170" s="171"/>
      <c r="AG170" s="171"/>
      <c r="AH170" s="171"/>
      <c r="AI170" s="171"/>
      <c r="AJ170" s="171"/>
      <c r="AK170" s="171"/>
      <c r="AL170" s="171"/>
      <c r="AM170" s="171"/>
      <c r="AN170" s="171"/>
      <c r="AO170" s="171"/>
      <c r="AP170" s="171"/>
      <c r="AQ170" s="171"/>
      <c r="AR170" s="171"/>
      <c r="AS170" s="171"/>
      <c r="AT170" s="171"/>
      <c r="AU170" s="171"/>
    </row>
    <row r="171" spans="1:47" s="620" customFormat="1" x14ac:dyDescent="0.25">
      <c r="A171" s="1476" t="s">
        <v>1650</v>
      </c>
      <c r="B171" s="653" t="e">
        <f ca="1">IF(Cabeçalho!$G$28="unfors",INDIRECT(ADDRESS(B173,3,1,1,"medidas Unfors"),1),INDIRECT(ADDRESS(B173,4,1,1,"medidas Fluke"),1)/1000)</f>
        <v>#VALUE!</v>
      </c>
      <c r="C171" s="653" t="e">
        <f ca="1">IF(Cabeçalho!$G$28="unfors",INDIRECT(ADDRESS(C173,3,1,1,"medidas Unfors"),1),INDIRECT(ADDRESS(C173,4,1,1,"medidas Fluke"),1)/1000)</f>
        <v>#VALUE!</v>
      </c>
      <c r="D171" s="653" t="e">
        <f ca="1">IF(Cabeçalho!$G$28="unfors",INDIRECT(ADDRESS(D173,3,1,1,"medidas Unfors"),1),INDIRECT(ADDRESS(D173,4,1,1,"medidas Fluke"),1)/1000)</f>
        <v>#VALUE!</v>
      </c>
      <c r="E171" s="653" t="e">
        <f ca="1">IF(Cabeçalho!$G$28="unfors",INDIRECT(ADDRESS(E173,3,1,1,"medidas Unfors"),1),INDIRECT(ADDRESS(E173,4,1,1,"medidas Fluke"),1)/1000)</f>
        <v>#VALUE!</v>
      </c>
      <c r="F171" s="653" t="e">
        <f ca="1">IF(Cabeçalho!$G$28="unfors",INDIRECT(ADDRESS(F173,3,1,1,"medidas Unfors"),1),INDIRECT(ADDRESS(F173,4,1,1,"medidas Fluke"),1)/1000)</f>
        <v>#VALUE!</v>
      </c>
      <c r="G171" s="653" t="e">
        <f ca="1">IF(Cabeçalho!$G$28="unfors",INDIRECT(ADDRESS(G173,3,1,1,"medidas Unfors"),1),INDIRECT(ADDRESS(G173,4,1,1,"medidas Fluke"),1)/1000)</f>
        <v>#VALUE!</v>
      </c>
      <c r="H171" s="171"/>
      <c r="I171" s="171"/>
      <c r="J171" s="100"/>
      <c r="K171" s="100"/>
      <c r="L171" s="101"/>
      <c r="M171" s="171"/>
      <c r="N171" s="100"/>
      <c r="O171" s="171"/>
      <c r="P171" s="171"/>
      <c r="Q171" s="171"/>
      <c r="R171" s="171"/>
      <c r="S171" s="171"/>
      <c r="T171" s="100"/>
      <c r="U171" s="101"/>
      <c r="V171" s="171"/>
      <c r="W171" s="100"/>
      <c r="X171" s="101"/>
      <c r="Y171" s="171"/>
      <c r="Z171" s="100"/>
      <c r="AA171" s="101"/>
      <c r="AB171" s="171"/>
      <c r="AC171" s="171"/>
      <c r="AD171" s="171"/>
      <c r="AE171" s="171"/>
      <c r="AF171" s="171"/>
      <c r="AG171" s="171"/>
      <c r="AH171" s="171"/>
      <c r="AI171" s="171"/>
      <c r="AJ171" s="171"/>
      <c r="AK171" s="171"/>
      <c r="AL171" s="171"/>
      <c r="AM171" s="171"/>
      <c r="AN171" s="171"/>
      <c r="AO171" s="171"/>
      <c r="AP171" s="171"/>
      <c r="AQ171" s="171"/>
      <c r="AR171" s="171"/>
      <c r="AS171" s="171"/>
      <c r="AT171" s="171"/>
      <c r="AU171" s="171"/>
    </row>
    <row r="172" spans="1:47" s="620" customFormat="1" ht="15.75" thickBot="1" x14ac:dyDescent="0.3">
      <c r="A172" s="1475" t="s">
        <v>1653</v>
      </c>
      <c r="B172" s="1489" t="e">
        <f ca="1">IF(Cabeçalho!$G$28="Unfors",INDIRECT(ADDRESS(B173,5,1,1,"medidas Unfors"),1),INDIRECT(ADDRESS(B173,5,1,1,"medidas Fluke"),1)/1000)</f>
        <v>#VALUE!</v>
      </c>
      <c r="C172" s="1489" t="e">
        <f ca="1">IF(Cabeçalho!$G$28="Unfors",INDIRECT(ADDRESS(C173,5,1,1,"medidas Unfors"),1),INDIRECT(ADDRESS(C173,5,1,1,"medidas Fluke"),1)/1000)</f>
        <v>#VALUE!</v>
      </c>
      <c r="D172" s="1489" t="e">
        <f ca="1">IF(Cabeçalho!$G$28="Unfors",INDIRECT(ADDRESS(D173,5,1,1,"medidas Unfors"),1),INDIRECT(ADDRESS(D173,5,1,1,"medidas Fluke"),1)/1000)</f>
        <v>#VALUE!</v>
      </c>
      <c r="E172" s="1489" t="e">
        <f ca="1">IF(Cabeçalho!$G$28="Unfors",INDIRECT(ADDRESS(E173,5,1,1,"medidas Unfors"),1),INDIRECT(ADDRESS(E173,5,1,1,"medidas Fluke"),1)/1000)</f>
        <v>#VALUE!</v>
      </c>
      <c r="F172" s="1489" t="e">
        <f ca="1">IF(Cabeçalho!$G$28="Unfors",INDIRECT(ADDRESS(F173,5,1,1,"medidas Unfors"),1),INDIRECT(ADDRESS(F173,5,1,1,"medidas Fluke"),1)/1000)</f>
        <v>#VALUE!</v>
      </c>
      <c r="G172" s="1489" t="e">
        <f ca="1">IF(Cabeçalho!$G$28="Unfors",INDIRECT(ADDRESS(G173,5,1,1,"medidas Unfors"),1),INDIRECT(ADDRESS(G173,5,1,1,"medidas Fluke"),1)/1000)</f>
        <v>#VALUE!</v>
      </c>
      <c r="H172" s="171"/>
      <c r="I172" s="171"/>
      <c r="J172" s="100"/>
      <c r="K172" s="100"/>
      <c r="L172" s="101"/>
      <c r="M172" s="171"/>
      <c r="N172" s="100"/>
      <c r="O172" s="171"/>
      <c r="P172" s="171"/>
      <c r="Q172" s="171"/>
      <c r="R172" s="171"/>
      <c r="S172" s="171"/>
      <c r="T172" s="100"/>
      <c r="U172" s="101"/>
      <c r="V172" s="171"/>
      <c r="W172" s="100"/>
      <c r="X172" s="101"/>
      <c r="Y172" s="171"/>
      <c r="Z172" s="100"/>
      <c r="AA172" s="101"/>
      <c r="AB172" s="171"/>
      <c r="AC172" s="171"/>
      <c r="AD172" s="171"/>
      <c r="AE172" s="171"/>
      <c r="AF172" s="171"/>
      <c r="AG172" s="171"/>
      <c r="AH172" s="171"/>
      <c r="AI172" s="171"/>
      <c r="AJ172" s="171"/>
      <c r="AK172" s="171"/>
      <c r="AL172" s="171"/>
      <c r="AM172" s="171"/>
      <c r="AN172" s="171"/>
      <c r="AO172" s="171"/>
      <c r="AP172" s="171"/>
      <c r="AQ172" s="171"/>
      <c r="AR172" s="171"/>
      <c r="AS172" s="171"/>
      <c r="AT172" s="171"/>
      <c r="AU172" s="171"/>
    </row>
    <row r="173" spans="1:47" s="620" customFormat="1" ht="15.75" thickBot="1" x14ac:dyDescent="0.3">
      <c r="A173" s="1418" t="s">
        <v>1428</v>
      </c>
      <c r="B173" s="1419"/>
      <c r="C173" s="1419"/>
      <c r="D173" s="1419"/>
      <c r="E173" s="1419"/>
      <c r="F173" s="1419"/>
      <c r="G173" s="1420"/>
      <c r="H173" s="171"/>
      <c r="I173" s="171"/>
      <c r="J173" s="100"/>
      <c r="K173" s="100"/>
      <c r="L173" s="101"/>
      <c r="M173" s="171"/>
      <c r="N173" s="100"/>
      <c r="O173" s="171"/>
      <c r="P173" s="171"/>
      <c r="Q173" s="171"/>
      <c r="R173" s="171"/>
      <c r="S173" s="171"/>
      <c r="T173" s="100"/>
      <c r="U173" s="101"/>
      <c r="V173" s="171"/>
      <c r="W173" s="100"/>
      <c r="X173" s="101"/>
      <c r="Y173" s="171"/>
      <c r="Z173" s="100"/>
      <c r="AA173" s="101"/>
      <c r="AB173" s="171"/>
      <c r="AC173" s="171"/>
      <c r="AD173" s="171"/>
      <c r="AE173" s="171"/>
      <c r="AF173" s="171"/>
      <c r="AG173" s="171"/>
      <c r="AH173" s="171"/>
      <c r="AI173" s="171"/>
      <c r="AJ173" s="171"/>
      <c r="AK173" s="171"/>
      <c r="AL173" s="171"/>
      <c r="AM173" s="171"/>
      <c r="AN173" s="171"/>
      <c r="AO173" s="171"/>
      <c r="AP173" s="171"/>
      <c r="AQ173" s="171"/>
      <c r="AR173" s="171"/>
      <c r="AS173" s="171"/>
      <c r="AT173" s="171"/>
      <c r="AU173" s="171"/>
    </row>
    <row r="174" spans="1:47" s="620" customFormat="1" ht="17.25" x14ac:dyDescent="0.25">
      <c r="A174" s="1164" t="s">
        <v>1434</v>
      </c>
      <c r="B174" s="584"/>
      <c r="C174" s="584"/>
      <c r="D174" s="584"/>
      <c r="E174" s="584"/>
      <c r="F174" s="584"/>
      <c r="G174" s="584"/>
      <c r="H174" s="171"/>
      <c r="I174" s="171"/>
      <c r="J174" s="100"/>
      <c r="K174" s="100"/>
      <c r="L174" s="101"/>
      <c r="M174" s="171"/>
      <c r="N174" s="100"/>
      <c r="O174" s="171"/>
      <c r="P174" s="171"/>
      <c r="Q174" s="171"/>
      <c r="R174" s="171"/>
      <c r="S174" s="171"/>
      <c r="T174" s="100"/>
      <c r="U174" s="101"/>
      <c r="V174" s="171"/>
      <c r="W174" s="100"/>
      <c r="X174" s="101"/>
      <c r="Y174" s="171"/>
      <c r="Z174" s="100"/>
      <c r="AA174" s="101"/>
      <c r="AB174" s="171"/>
      <c r="AC174" s="171"/>
      <c r="AD174" s="171"/>
      <c r="AE174" s="171"/>
      <c r="AF174" s="171"/>
      <c r="AG174" s="171"/>
      <c r="AH174" s="171"/>
      <c r="AI174" s="171"/>
      <c r="AJ174" s="171"/>
      <c r="AK174" s="171"/>
      <c r="AL174" s="171"/>
      <c r="AM174" s="171"/>
      <c r="AN174" s="171"/>
      <c r="AO174" s="171"/>
      <c r="AP174" s="171"/>
      <c r="AQ174" s="171"/>
      <c r="AR174" s="171"/>
      <c r="AS174" s="171"/>
      <c r="AT174" s="171"/>
      <c r="AU174" s="171"/>
    </row>
    <row r="175" spans="1:47" s="620" customFormat="1" x14ac:dyDescent="0.25">
      <c r="A175" s="1164" t="s">
        <v>1432</v>
      </c>
      <c r="B175" s="584"/>
      <c r="C175" s="584"/>
      <c r="D175" s="584"/>
      <c r="E175" s="584"/>
      <c r="F175" s="584"/>
      <c r="G175" s="584"/>
      <c r="H175" s="171"/>
      <c r="I175" s="171"/>
      <c r="J175" s="100"/>
      <c r="K175" s="100"/>
      <c r="L175" s="101"/>
      <c r="M175" s="171"/>
      <c r="N175" s="100"/>
      <c r="O175" s="171"/>
      <c r="P175" s="171"/>
      <c r="Q175" s="171"/>
      <c r="R175" s="171"/>
      <c r="S175" s="171"/>
      <c r="T175" s="100"/>
      <c r="U175" s="101"/>
      <c r="V175" s="171"/>
      <c r="W175" s="100"/>
      <c r="X175" s="101"/>
      <c r="Y175" s="171"/>
      <c r="Z175" s="100"/>
      <c r="AA175" s="10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row>
    <row r="176" spans="1:47" s="620" customFormat="1" x14ac:dyDescent="0.25">
      <c r="A176" s="1164" t="s">
        <v>1435</v>
      </c>
      <c r="B176" s="653">
        <f t="shared" ref="B176:G176" si="6">ABS(B168-B162)</f>
        <v>0</v>
      </c>
      <c r="C176" s="653">
        <f t="shared" si="6"/>
        <v>0</v>
      </c>
      <c r="D176" s="653">
        <f t="shared" si="6"/>
        <v>0</v>
      </c>
      <c r="E176" s="653">
        <f t="shared" si="6"/>
        <v>0</v>
      </c>
      <c r="F176" s="653">
        <f t="shared" si="6"/>
        <v>0</v>
      </c>
      <c r="G176" s="653">
        <f t="shared" si="6"/>
        <v>0</v>
      </c>
      <c r="H176" s="171"/>
      <c r="I176" s="171"/>
      <c r="J176" s="100"/>
      <c r="K176" s="100"/>
      <c r="L176" s="101"/>
      <c r="M176" s="171"/>
      <c r="N176" s="100"/>
      <c r="O176" s="171"/>
      <c r="P176" s="171"/>
      <c r="Q176" s="171"/>
      <c r="R176" s="171"/>
      <c r="S176" s="171"/>
      <c r="T176" s="100"/>
      <c r="U176" s="101"/>
      <c r="V176" s="171"/>
      <c r="W176" s="100"/>
      <c r="X176" s="101"/>
      <c r="Y176" s="171"/>
      <c r="Z176" s="100"/>
      <c r="AA176" s="101"/>
      <c r="AB176" s="171"/>
      <c r="AC176" s="171"/>
      <c r="AD176" s="171"/>
      <c r="AE176" s="171"/>
      <c r="AF176" s="171"/>
      <c r="AG176" s="171"/>
      <c r="AH176" s="171"/>
      <c r="AI176" s="171"/>
      <c r="AJ176" s="171"/>
      <c r="AK176" s="171"/>
      <c r="AL176" s="171"/>
      <c r="AM176" s="171"/>
      <c r="AN176" s="171"/>
      <c r="AO176" s="171"/>
      <c r="AP176" s="171"/>
      <c r="AQ176" s="171"/>
      <c r="AR176" s="171"/>
      <c r="AS176" s="171"/>
      <c r="AT176" s="171"/>
      <c r="AU176" s="171"/>
    </row>
    <row r="177" spans="1:47" s="620" customFormat="1" x14ac:dyDescent="0.25">
      <c r="A177" s="1164" t="s">
        <v>1437</v>
      </c>
      <c r="B177" s="653">
        <f t="shared" ref="B177:G177" si="7">ABS(B174-B168)</f>
        <v>0</v>
      </c>
      <c r="C177" s="653">
        <f t="shared" si="7"/>
        <v>0</v>
      </c>
      <c r="D177" s="653">
        <f t="shared" si="7"/>
        <v>0</v>
      </c>
      <c r="E177" s="653">
        <f t="shared" si="7"/>
        <v>0</v>
      </c>
      <c r="F177" s="653">
        <f t="shared" si="7"/>
        <v>0</v>
      </c>
      <c r="G177" s="653">
        <f t="shared" si="7"/>
        <v>0</v>
      </c>
      <c r="H177" s="171"/>
      <c r="I177" s="171"/>
      <c r="J177" s="100"/>
      <c r="K177" s="100"/>
      <c r="L177" s="101"/>
      <c r="M177" s="171"/>
      <c r="N177" s="100"/>
      <c r="O177" s="171"/>
      <c r="P177" s="171"/>
      <c r="Q177" s="171"/>
      <c r="R177" s="171"/>
      <c r="S177" s="171"/>
      <c r="T177" s="100"/>
      <c r="U177" s="101"/>
      <c r="V177" s="171"/>
      <c r="W177" s="100"/>
      <c r="X177" s="101"/>
      <c r="Y177" s="171"/>
      <c r="Z177" s="100"/>
      <c r="AA177" s="101"/>
      <c r="AB177" s="171"/>
      <c r="AC177" s="171"/>
      <c r="AD177" s="171"/>
      <c r="AE177" s="171"/>
      <c r="AF177" s="171"/>
      <c r="AG177" s="171"/>
      <c r="AH177" s="171"/>
      <c r="AI177" s="171"/>
      <c r="AJ177" s="171"/>
      <c r="AK177" s="171"/>
      <c r="AL177" s="171"/>
      <c r="AM177" s="171"/>
      <c r="AN177" s="171"/>
      <c r="AO177" s="171"/>
      <c r="AP177" s="171"/>
      <c r="AQ177" s="171"/>
      <c r="AR177" s="171"/>
      <c r="AS177" s="171"/>
      <c r="AT177" s="171"/>
      <c r="AU177" s="171"/>
    </row>
    <row r="178" spans="1:47" s="620" customFormat="1" x14ac:dyDescent="0.25">
      <c r="A178" s="1164" t="s">
        <v>1436</v>
      </c>
      <c r="B178" s="653">
        <f t="shared" ref="B178:G178" si="8">ABS(B169-B163)</f>
        <v>0</v>
      </c>
      <c r="C178" s="653">
        <f t="shared" si="8"/>
        <v>0</v>
      </c>
      <c r="D178" s="653">
        <f t="shared" si="8"/>
        <v>0</v>
      </c>
      <c r="E178" s="653">
        <f t="shared" si="8"/>
        <v>0</v>
      </c>
      <c r="F178" s="653">
        <f t="shared" si="8"/>
        <v>0</v>
      </c>
      <c r="G178" s="653">
        <f t="shared" si="8"/>
        <v>0</v>
      </c>
      <c r="H178" s="171"/>
      <c r="I178" s="171"/>
      <c r="J178" s="100"/>
      <c r="K178" s="100"/>
      <c r="L178" s="101"/>
      <c r="M178" s="171"/>
      <c r="N178" s="100"/>
      <c r="O178" s="171"/>
      <c r="P178" s="171"/>
      <c r="Q178" s="171"/>
      <c r="R178" s="171"/>
      <c r="S178" s="171"/>
      <c r="T178" s="100"/>
      <c r="U178" s="101"/>
      <c r="V178" s="171"/>
      <c r="W178" s="100"/>
      <c r="X178" s="101"/>
      <c r="Y178" s="171"/>
      <c r="Z178" s="100"/>
      <c r="AA178" s="101"/>
      <c r="AB178" s="171"/>
      <c r="AC178" s="171"/>
      <c r="AD178" s="171"/>
      <c r="AE178" s="171"/>
      <c r="AF178" s="171"/>
      <c r="AG178" s="171"/>
      <c r="AH178" s="171"/>
      <c r="AI178" s="171"/>
      <c r="AJ178" s="171"/>
      <c r="AK178" s="171"/>
      <c r="AL178" s="171"/>
      <c r="AM178" s="171"/>
      <c r="AN178" s="171"/>
      <c r="AO178" s="171"/>
      <c r="AP178" s="171"/>
      <c r="AQ178" s="171"/>
      <c r="AR178" s="171"/>
      <c r="AS178" s="171"/>
      <c r="AT178" s="171"/>
      <c r="AU178" s="171"/>
    </row>
    <row r="179" spans="1:47" s="620" customFormat="1" ht="15.75" thickBot="1" x14ac:dyDescent="0.3">
      <c r="A179" s="1184" t="s">
        <v>1438</v>
      </c>
      <c r="B179" s="1185">
        <f t="shared" ref="B179:G179" si="9">ABS(B175-B169)</f>
        <v>0</v>
      </c>
      <c r="C179" s="1185">
        <f t="shared" si="9"/>
        <v>0</v>
      </c>
      <c r="D179" s="1185">
        <f t="shared" si="9"/>
        <v>0</v>
      </c>
      <c r="E179" s="1185">
        <f t="shared" si="9"/>
        <v>0</v>
      </c>
      <c r="F179" s="1185">
        <f t="shared" si="9"/>
        <v>0</v>
      </c>
      <c r="G179" s="1185">
        <f t="shared" si="9"/>
        <v>0</v>
      </c>
      <c r="H179" s="171"/>
      <c r="I179" s="171"/>
      <c r="J179" s="100"/>
      <c r="K179" s="100"/>
      <c r="L179" s="101"/>
      <c r="M179" s="171"/>
      <c r="N179" s="100"/>
      <c r="O179" s="171"/>
      <c r="P179" s="171"/>
      <c r="Q179" s="171"/>
      <c r="R179" s="171"/>
      <c r="S179" s="171"/>
      <c r="T179" s="100"/>
      <c r="U179" s="101"/>
      <c r="V179" s="171"/>
      <c r="W179" s="100"/>
      <c r="X179" s="101"/>
      <c r="Y179" s="171"/>
      <c r="Z179" s="100"/>
      <c r="AA179" s="101"/>
      <c r="AB179" s="171"/>
      <c r="AC179" s="171"/>
      <c r="AD179" s="171"/>
      <c r="AE179" s="171"/>
      <c r="AF179" s="171"/>
      <c r="AG179" s="171"/>
      <c r="AH179" s="171"/>
      <c r="AI179" s="171"/>
      <c r="AJ179" s="171"/>
      <c r="AK179" s="171"/>
      <c r="AL179" s="171"/>
      <c r="AM179" s="171"/>
      <c r="AN179" s="171"/>
      <c r="AO179" s="171"/>
      <c r="AP179" s="171"/>
      <c r="AQ179" s="171"/>
      <c r="AR179" s="171"/>
      <c r="AS179" s="171"/>
      <c r="AT179" s="171"/>
      <c r="AU179" s="171"/>
    </row>
    <row r="180" spans="1:47" s="620" customFormat="1" x14ac:dyDescent="0.25">
      <c r="A180" s="1186" t="s">
        <v>1439</v>
      </c>
      <c r="B180" s="1187" t="e">
        <f>B176/B178</f>
        <v>#DIV/0!</v>
      </c>
      <c r="C180" s="1187" t="e">
        <f t="shared" ref="C180:G181" si="10">C176/C178</f>
        <v>#DIV/0!</v>
      </c>
      <c r="D180" s="1187" t="e">
        <f t="shared" si="10"/>
        <v>#DIV/0!</v>
      </c>
      <c r="E180" s="1187" t="e">
        <f t="shared" si="10"/>
        <v>#DIV/0!</v>
      </c>
      <c r="F180" s="1187" t="e">
        <f t="shared" si="10"/>
        <v>#DIV/0!</v>
      </c>
      <c r="G180" s="1188" t="e">
        <f t="shared" si="10"/>
        <v>#DIV/0!</v>
      </c>
      <c r="H180" s="171"/>
      <c r="I180" s="171"/>
      <c r="J180" s="100"/>
      <c r="K180" s="100"/>
      <c r="L180" s="101"/>
      <c r="M180" s="171"/>
      <c r="N180" s="100"/>
      <c r="O180" s="171"/>
      <c r="P180" s="171"/>
      <c r="Q180" s="171"/>
      <c r="R180" s="171"/>
      <c r="S180" s="171"/>
      <c r="T180" s="100"/>
      <c r="U180" s="101"/>
      <c r="V180" s="171"/>
      <c r="W180" s="100"/>
      <c r="X180" s="101"/>
      <c r="Y180" s="171"/>
      <c r="Z180" s="100"/>
      <c r="AA180" s="101"/>
      <c r="AB180" s="171"/>
      <c r="AC180" s="171"/>
      <c r="AD180" s="171"/>
      <c r="AE180" s="171"/>
      <c r="AF180" s="171"/>
      <c r="AG180" s="171"/>
      <c r="AH180" s="171"/>
      <c r="AI180" s="171"/>
      <c r="AJ180" s="171"/>
      <c r="AK180" s="171"/>
      <c r="AL180" s="171"/>
      <c r="AM180" s="171"/>
      <c r="AN180" s="171"/>
      <c r="AO180" s="171"/>
      <c r="AP180" s="171"/>
      <c r="AQ180" s="171"/>
      <c r="AR180" s="171"/>
      <c r="AS180" s="171"/>
      <c r="AT180" s="171"/>
      <c r="AU180" s="171"/>
    </row>
    <row r="181" spans="1:47" s="620" customFormat="1" x14ac:dyDescent="0.25">
      <c r="A181" s="1189" t="s">
        <v>1440</v>
      </c>
      <c r="B181" s="653" t="e">
        <f>B177/B179</f>
        <v>#DIV/0!</v>
      </c>
      <c r="C181" s="653" t="e">
        <f t="shared" si="10"/>
        <v>#DIV/0!</v>
      </c>
      <c r="D181" s="653" t="e">
        <f t="shared" si="10"/>
        <v>#DIV/0!</v>
      </c>
      <c r="E181" s="653" t="e">
        <f t="shared" si="10"/>
        <v>#DIV/0!</v>
      </c>
      <c r="F181" s="653" t="e">
        <f t="shared" si="10"/>
        <v>#DIV/0!</v>
      </c>
      <c r="G181" s="1190" t="e">
        <f t="shared" si="10"/>
        <v>#DIV/0!</v>
      </c>
      <c r="H181" s="171"/>
      <c r="I181" s="171"/>
      <c r="J181" s="100"/>
      <c r="K181" s="100"/>
      <c r="L181" s="101"/>
      <c r="M181" s="171"/>
      <c r="N181" s="100"/>
      <c r="O181" s="171"/>
      <c r="P181" s="171"/>
      <c r="Q181" s="171"/>
      <c r="R181" s="171"/>
      <c r="S181" s="171"/>
      <c r="T181" s="100"/>
      <c r="U181" s="101"/>
      <c r="V181" s="171"/>
      <c r="W181" s="100"/>
      <c r="X181" s="101"/>
      <c r="Y181" s="171"/>
      <c r="Z181" s="100"/>
      <c r="AA181" s="101"/>
      <c r="AB181" s="171"/>
      <c r="AC181" s="171"/>
      <c r="AD181" s="171"/>
      <c r="AE181" s="171"/>
      <c r="AF181" s="171"/>
      <c r="AG181" s="171"/>
      <c r="AH181" s="171"/>
      <c r="AI181" s="171"/>
      <c r="AJ181" s="171"/>
      <c r="AK181" s="171"/>
      <c r="AL181" s="171"/>
      <c r="AM181" s="171"/>
      <c r="AN181" s="171"/>
      <c r="AO181" s="171"/>
      <c r="AP181" s="171"/>
      <c r="AQ181" s="171"/>
      <c r="AR181" s="171"/>
      <c r="AS181" s="171"/>
      <c r="AT181" s="171"/>
      <c r="AU181" s="171"/>
    </row>
    <row r="182" spans="1:47" s="620" customFormat="1" x14ac:dyDescent="0.25">
      <c r="A182" s="1189" t="s">
        <v>2092</v>
      </c>
      <c r="B182" s="653">
        <f>IF($D$141="Quadrado",B$132^2,PI()*(B$132/2)^2)</f>
        <v>0</v>
      </c>
      <c r="C182" s="653" t="e">
        <f t="shared" ref="C182:G182" si="11">IF($D$141="Quadrado",C$132^2,PI()*(C$132/2)^2)</f>
        <v>#VALUE!</v>
      </c>
      <c r="D182" s="653" t="e">
        <f t="shared" si="11"/>
        <v>#VALUE!</v>
      </c>
      <c r="E182" s="653" t="e">
        <f t="shared" si="11"/>
        <v>#VALUE!</v>
      </c>
      <c r="F182" s="653" t="e">
        <f t="shared" si="11"/>
        <v>#VALUE!</v>
      </c>
      <c r="G182" s="653" t="e">
        <f t="shared" si="11"/>
        <v>#VALUE!</v>
      </c>
      <c r="H182" s="1783"/>
      <c r="I182" s="171"/>
      <c r="J182" s="100"/>
      <c r="K182" s="100"/>
      <c r="L182" s="101"/>
      <c r="M182" s="171"/>
      <c r="N182" s="100"/>
      <c r="O182" s="171"/>
      <c r="P182" s="171"/>
      <c r="Q182" s="171"/>
      <c r="R182" s="171"/>
      <c r="S182" s="171"/>
      <c r="T182" s="100"/>
      <c r="U182" s="101"/>
      <c r="V182" s="171"/>
      <c r="W182" s="100"/>
      <c r="X182" s="101"/>
      <c r="Y182" s="171"/>
      <c r="Z182" s="100"/>
      <c r="AA182" s="101"/>
      <c r="AB182" s="171"/>
      <c r="AC182" s="171"/>
      <c r="AD182" s="171"/>
      <c r="AE182" s="171"/>
      <c r="AF182" s="171"/>
      <c r="AG182" s="171"/>
      <c r="AH182" s="171"/>
      <c r="AI182" s="171"/>
      <c r="AJ182" s="171"/>
      <c r="AK182" s="171"/>
      <c r="AL182" s="171"/>
      <c r="AM182" s="171"/>
      <c r="AN182" s="171"/>
      <c r="AO182" s="171"/>
      <c r="AP182" s="171"/>
      <c r="AQ182" s="171"/>
      <c r="AR182" s="171"/>
      <c r="AS182" s="171"/>
      <c r="AT182" s="171"/>
      <c r="AU182" s="171"/>
    </row>
    <row r="183" spans="1:47" ht="18" thickBot="1" x14ac:dyDescent="0.3">
      <c r="A183" s="1415" t="s">
        <v>2093</v>
      </c>
      <c r="B183" s="1416" t="e">
        <f>IF($D$141="Quadrado",B158^2,PI()*(B158/2)^2)</f>
        <v>#DIV/0!</v>
      </c>
      <c r="C183" s="1416" t="e">
        <f t="shared" ref="C183:G183" si="12">IF($D$141="Quadrado",C158^2,PI()*(C158/2)^2)</f>
        <v>#DIV/0!</v>
      </c>
      <c r="D183" s="1416" t="e">
        <f t="shared" si="12"/>
        <v>#DIV/0!</v>
      </c>
      <c r="E183" s="1416" t="e">
        <f t="shared" si="12"/>
        <v>#DIV/0!</v>
      </c>
      <c r="F183" s="1416" t="e">
        <f t="shared" si="12"/>
        <v>#DIV/0!</v>
      </c>
      <c r="G183" s="1416" t="e">
        <f t="shared" si="12"/>
        <v>#DIV/0!</v>
      </c>
      <c r="H183" s="171"/>
      <c r="I183" s="171"/>
      <c r="J183" s="100"/>
      <c r="K183" s="100"/>
      <c r="L183" s="101"/>
      <c r="M183" s="50"/>
      <c r="N183" s="100"/>
      <c r="O183" s="171"/>
      <c r="P183" s="171"/>
      <c r="Q183" s="171"/>
      <c r="R183" s="171"/>
      <c r="S183" s="50"/>
      <c r="T183" s="100"/>
      <c r="U183" s="101"/>
      <c r="V183" s="50"/>
      <c r="W183" s="100"/>
      <c r="X183" s="101"/>
      <c r="Y183" s="50"/>
      <c r="Z183" s="100"/>
      <c r="AA183" s="101"/>
      <c r="AB183" s="50"/>
      <c r="AC183" s="50"/>
      <c r="AD183" s="50"/>
      <c r="AE183" s="50"/>
      <c r="AF183" s="50"/>
      <c r="AG183" s="50"/>
      <c r="AH183" s="50"/>
      <c r="AI183" s="50"/>
      <c r="AJ183" s="50"/>
      <c r="AK183" s="50"/>
      <c r="AL183" s="50"/>
      <c r="AM183" s="50"/>
      <c r="AN183" s="50"/>
      <c r="AO183" s="50"/>
      <c r="AP183" s="50"/>
      <c r="AQ183" s="50"/>
      <c r="AR183" s="50"/>
      <c r="AS183" s="50"/>
      <c r="AT183" s="50"/>
      <c r="AU183" s="50"/>
    </row>
    <row r="184" spans="1:47" s="620" customFormat="1" ht="17.25" x14ac:dyDescent="0.25">
      <c r="A184" s="1498" t="s">
        <v>1684</v>
      </c>
      <c r="B184" s="1187" t="str">
        <f t="shared" ref="B184:G184" ca="1" si="13">IFERROR(B180*B165,"NPA")</f>
        <v>NPA</v>
      </c>
      <c r="C184" s="1187" t="str">
        <f t="shared" ca="1" si="13"/>
        <v>NPA</v>
      </c>
      <c r="D184" s="1187" t="str">
        <f t="shared" ca="1" si="13"/>
        <v>NPA</v>
      </c>
      <c r="E184" s="1187" t="str">
        <f t="shared" ca="1" si="13"/>
        <v>NPA</v>
      </c>
      <c r="F184" s="1187" t="str">
        <f t="shared" ca="1" si="13"/>
        <v>NPA</v>
      </c>
      <c r="G184" s="1187" t="str">
        <f t="shared" ca="1" si="13"/>
        <v>NPA</v>
      </c>
      <c r="H184" s="171"/>
      <c r="I184" s="171"/>
      <c r="J184" s="100"/>
      <c r="K184" s="100"/>
      <c r="L184" s="101"/>
      <c r="M184" s="171"/>
      <c r="N184" s="100"/>
      <c r="O184" s="171"/>
      <c r="P184" s="171"/>
      <c r="Q184" s="171"/>
      <c r="R184" s="171"/>
      <c r="S184" s="171"/>
      <c r="T184" s="100"/>
      <c r="U184" s="101"/>
      <c r="V184" s="171"/>
      <c r="W184" s="100"/>
      <c r="X184" s="101"/>
      <c r="Y184" s="171"/>
      <c r="Z184" s="100"/>
      <c r="AA184" s="10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row>
    <row r="185" spans="1:47" s="620" customFormat="1" ht="17.25" x14ac:dyDescent="0.25">
      <c r="A185" s="1499" t="s">
        <v>1686</v>
      </c>
      <c r="B185" s="653" t="str">
        <f t="shared" ref="B185:G185" ca="1" si="14">IFERROR(B165*B182,"NPA")</f>
        <v>NPA</v>
      </c>
      <c r="C185" s="653" t="str">
        <f t="shared" ca="1" si="14"/>
        <v>NPA</v>
      </c>
      <c r="D185" s="653" t="str">
        <f t="shared" ca="1" si="14"/>
        <v>NPA</v>
      </c>
      <c r="E185" s="653" t="str">
        <f t="shared" ca="1" si="14"/>
        <v>NPA</v>
      </c>
      <c r="F185" s="653" t="str">
        <f t="shared" ca="1" si="14"/>
        <v>NPA</v>
      </c>
      <c r="G185" s="653" t="str">
        <f t="shared" ca="1" si="14"/>
        <v>NPA</v>
      </c>
      <c r="H185" s="171"/>
      <c r="I185" s="171"/>
      <c r="J185" s="100"/>
      <c r="K185" s="100"/>
      <c r="L185" s="101"/>
      <c r="M185" s="171"/>
      <c r="N185" s="100"/>
      <c r="O185" s="171"/>
      <c r="P185" s="171"/>
      <c r="Q185" s="171"/>
      <c r="R185" s="171"/>
      <c r="S185" s="171"/>
      <c r="T185" s="100"/>
      <c r="U185" s="101"/>
      <c r="V185" s="171"/>
      <c r="W185" s="100"/>
      <c r="X185" s="101"/>
      <c r="Y185" s="171"/>
      <c r="Z185" s="100"/>
      <c r="AA185" s="10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row>
    <row r="186" spans="1:47" s="620" customFormat="1" ht="17.25" x14ac:dyDescent="0.25">
      <c r="A186" s="1499" t="s">
        <v>1688</v>
      </c>
      <c r="B186" s="653" t="str">
        <f t="shared" ref="B186:G186" ca="1" si="15">IFERROR(B165*B183,"NPA")</f>
        <v>NPA</v>
      </c>
      <c r="C186" s="653" t="str">
        <f t="shared" ca="1" si="15"/>
        <v>NPA</v>
      </c>
      <c r="D186" s="653" t="str">
        <f t="shared" ca="1" si="15"/>
        <v>NPA</v>
      </c>
      <c r="E186" s="653" t="str">
        <f t="shared" ca="1" si="15"/>
        <v>NPA</v>
      </c>
      <c r="F186" s="653" t="str">
        <f t="shared" ca="1" si="15"/>
        <v>NPA</v>
      </c>
      <c r="G186" s="653" t="str">
        <f t="shared" ca="1" si="15"/>
        <v>NPA</v>
      </c>
      <c r="H186" s="171"/>
      <c r="I186" s="171"/>
      <c r="J186" s="100"/>
      <c r="K186" s="100"/>
      <c r="L186" s="101"/>
      <c r="M186" s="171"/>
      <c r="N186" s="100"/>
      <c r="O186" s="171"/>
      <c r="P186" s="171"/>
      <c r="Q186" s="171"/>
      <c r="R186" s="171"/>
      <c r="S186" s="171"/>
      <c r="T186" s="100"/>
      <c r="U186" s="101"/>
      <c r="V186" s="171"/>
      <c r="W186" s="100"/>
      <c r="X186" s="101"/>
      <c r="Y186" s="171"/>
      <c r="Z186" s="100"/>
      <c r="AA186" s="10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row>
    <row r="187" spans="1:47" s="620" customFormat="1" ht="17.25" x14ac:dyDescent="0.25">
      <c r="A187" s="1500" t="s">
        <v>1685</v>
      </c>
      <c r="B187" s="653" t="str">
        <f t="shared" ref="B187:G187" ca="1" si="16">IFERROR(B181*B171,"NPA")</f>
        <v>NPA</v>
      </c>
      <c r="C187" s="653" t="str">
        <f t="shared" ca="1" si="16"/>
        <v>NPA</v>
      </c>
      <c r="D187" s="653" t="str">
        <f t="shared" ca="1" si="16"/>
        <v>NPA</v>
      </c>
      <c r="E187" s="653" t="str">
        <f t="shared" ca="1" si="16"/>
        <v>NPA</v>
      </c>
      <c r="F187" s="653" t="str">
        <f t="shared" ca="1" si="16"/>
        <v>NPA</v>
      </c>
      <c r="G187" s="653" t="str">
        <f t="shared" ca="1" si="16"/>
        <v>NPA</v>
      </c>
      <c r="H187" s="171"/>
      <c r="I187" s="171"/>
      <c r="J187" s="100"/>
      <c r="K187" s="100"/>
      <c r="L187" s="101"/>
      <c r="M187" s="171"/>
      <c r="N187" s="100"/>
      <c r="O187" s="171"/>
      <c r="P187" s="171"/>
      <c r="Q187" s="171"/>
      <c r="R187" s="171"/>
      <c r="S187" s="171"/>
      <c r="T187" s="100"/>
      <c r="U187" s="101"/>
      <c r="V187" s="171"/>
      <c r="W187" s="100"/>
      <c r="X187" s="101"/>
      <c r="Y187" s="171"/>
      <c r="Z187" s="100"/>
      <c r="AA187" s="10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row>
    <row r="188" spans="1:47" s="620" customFormat="1" ht="17.25" x14ac:dyDescent="0.25">
      <c r="A188" s="1500" t="s">
        <v>1687</v>
      </c>
      <c r="B188" s="653" t="str">
        <f t="shared" ref="B188:G188" ca="1" si="17">IFERROR(B171*B182,"NPA")</f>
        <v>NPA</v>
      </c>
      <c r="C188" s="653" t="str">
        <f t="shared" ca="1" si="17"/>
        <v>NPA</v>
      </c>
      <c r="D188" s="653" t="str">
        <f t="shared" ca="1" si="17"/>
        <v>NPA</v>
      </c>
      <c r="E188" s="653" t="str">
        <f t="shared" ca="1" si="17"/>
        <v>NPA</v>
      </c>
      <c r="F188" s="653" t="str">
        <f t="shared" ca="1" si="17"/>
        <v>NPA</v>
      </c>
      <c r="G188" s="653" t="str">
        <f t="shared" ca="1" si="17"/>
        <v>NPA</v>
      </c>
      <c r="H188" s="171"/>
      <c r="I188" s="171"/>
      <c r="J188" s="100"/>
      <c r="K188" s="100"/>
      <c r="L188" s="101"/>
      <c r="M188" s="171"/>
      <c r="N188" s="100"/>
      <c r="O188" s="171"/>
      <c r="P188" s="171"/>
      <c r="Q188" s="171"/>
      <c r="R188" s="171"/>
      <c r="S188" s="171"/>
      <c r="T188" s="100"/>
      <c r="U188" s="101"/>
      <c r="V188" s="171"/>
      <c r="W188" s="100"/>
      <c r="X188" s="101"/>
      <c r="Y188" s="171"/>
      <c r="Z188" s="100"/>
      <c r="AA188" s="10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row>
    <row r="189" spans="1:47" s="620" customFormat="1" ht="18" thickBot="1" x14ac:dyDescent="0.3">
      <c r="A189" s="1501" t="s">
        <v>1689</v>
      </c>
      <c r="B189" s="1191" t="str">
        <f t="shared" ref="B189:G189" ca="1" si="18">IFERROR(B171*B183,"NPA")</f>
        <v>NPA</v>
      </c>
      <c r="C189" s="1191" t="str">
        <f t="shared" ca="1" si="18"/>
        <v>NPA</v>
      </c>
      <c r="D189" s="1191" t="str">
        <f t="shared" ca="1" si="18"/>
        <v>NPA</v>
      </c>
      <c r="E189" s="1191" t="str">
        <f t="shared" ca="1" si="18"/>
        <v>NPA</v>
      </c>
      <c r="F189" s="1191" t="str">
        <f t="shared" ca="1" si="18"/>
        <v>NPA</v>
      </c>
      <c r="G189" s="1191" t="str">
        <f t="shared" ca="1" si="18"/>
        <v>NPA</v>
      </c>
      <c r="H189" s="171"/>
      <c r="I189" s="171"/>
      <c r="J189" s="100"/>
      <c r="K189" s="100"/>
      <c r="L189" s="101"/>
      <c r="M189" s="171"/>
      <c r="N189" s="100"/>
      <c r="O189" s="171"/>
      <c r="P189" s="171"/>
      <c r="Q189" s="171"/>
      <c r="R189" s="171"/>
      <c r="S189" s="171"/>
      <c r="T189" s="100"/>
      <c r="U189" s="101"/>
      <c r="V189" s="171"/>
      <c r="W189" s="100"/>
      <c r="X189" s="101"/>
      <c r="Y189" s="171"/>
      <c r="Z189" s="100"/>
      <c r="AA189" s="10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row>
    <row r="190" spans="1:47" s="620" customFormat="1" ht="4.5" customHeight="1" thickBot="1" x14ac:dyDescent="0.3">
      <c r="A190" s="1193"/>
      <c r="B190" s="1194"/>
      <c r="C190" s="1194"/>
      <c r="D190" s="1194"/>
      <c r="E190" s="1194"/>
      <c r="F190" s="1194"/>
      <c r="G190" s="1195"/>
      <c r="H190" s="171"/>
      <c r="I190" s="171"/>
      <c r="J190" s="100"/>
      <c r="K190" s="100"/>
      <c r="L190" s="101"/>
      <c r="M190" s="171"/>
      <c r="N190" s="100"/>
      <c r="O190" s="171"/>
      <c r="P190" s="171"/>
      <c r="Q190" s="171"/>
      <c r="R190" s="171"/>
      <c r="S190" s="171"/>
      <c r="T190" s="100"/>
      <c r="U190" s="101"/>
      <c r="V190" s="171"/>
      <c r="W190" s="100"/>
      <c r="X190" s="101"/>
      <c r="Y190" s="171"/>
      <c r="Z190" s="100"/>
      <c r="AA190" s="10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row>
    <row r="191" spans="1:47" s="620" customFormat="1" ht="15.75" thickBot="1" x14ac:dyDescent="0.3">
      <c r="A191" s="2496" t="s">
        <v>1690</v>
      </c>
      <c r="B191" s="2497"/>
      <c r="C191" s="2497"/>
      <c r="D191" s="2497"/>
      <c r="E191" s="2497"/>
      <c r="F191" s="2497"/>
      <c r="G191" s="2498"/>
      <c r="H191" s="171"/>
      <c r="I191" s="171"/>
      <c r="J191" s="100"/>
      <c r="K191" s="100"/>
      <c r="L191" s="101"/>
      <c r="M191" s="171"/>
      <c r="N191" s="100"/>
      <c r="O191" s="171"/>
      <c r="P191" s="171"/>
      <c r="Q191" s="171"/>
      <c r="R191" s="171"/>
      <c r="S191" s="171"/>
      <c r="T191" s="100"/>
      <c r="U191" s="101"/>
      <c r="V191" s="171"/>
      <c r="W191" s="100"/>
      <c r="X191" s="101"/>
      <c r="Y191" s="171"/>
      <c r="Z191" s="100"/>
      <c r="AA191" s="10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row>
    <row r="192" spans="1:47" s="620" customFormat="1" x14ac:dyDescent="0.25">
      <c r="A192" s="1193" t="s">
        <v>1656</v>
      </c>
      <c r="B192" s="1497" t="s">
        <v>1710</v>
      </c>
      <c r="C192" s="1491" t="str">
        <f>B192</f>
        <v>mGy.cm2 calculado Ddisp1.Acalc2</v>
      </c>
      <c r="D192" s="1491" t="str">
        <f>C192</f>
        <v>mGy.cm2 calculado Ddisp1.Acalc2</v>
      </c>
      <c r="E192" s="1491" t="str">
        <f>D192</f>
        <v>mGy.cm2 calculado Ddisp1.Acalc2</v>
      </c>
      <c r="F192" s="1491" t="str">
        <f>E192</f>
        <v>mGy.cm2 calculado Ddisp1.Acalc2</v>
      </c>
      <c r="G192" s="1491" t="str">
        <f>F192</f>
        <v>mGy.cm2 calculado Ddisp1.Acalc2</v>
      </c>
      <c r="H192" s="171"/>
      <c r="I192" s="171"/>
      <c r="J192" s="100"/>
      <c r="K192" s="100"/>
      <c r="L192" s="101"/>
      <c r="M192" s="171"/>
      <c r="N192" s="100"/>
      <c r="O192" s="171"/>
      <c r="P192" s="171"/>
      <c r="Q192" s="171"/>
      <c r="R192" s="171"/>
      <c r="S192" s="171"/>
      <c r="T192" s="100"/>
      <c r="U192" s="101"/>
      <c r="V192" s="171"/>
      <c r="W192" s="100"/>
      <c r="X192" s="101"/>
      <c r="Y192" s="171"/>
      <c r="Z192" s="100"/>
      <c r="AA192" s="10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row>
    <row r="193" spans="1:47" s="620" customFormat="1" ht="17.25" x14ac:dyDescent="0.25">
      <c r="A193" s="1162" t="s">
        <v>1657</v>
      </c>
      <c r="B193" s="1213">
        <f t="shared" ref="B193:G193" si="19">B177</f>
        <v>0</v>
      </c>
      <c r="C193" s="1213">
        <f t="shared" si="19"/>
        <v>0</v>
      </c>
      <c r="D193" s="1213">
        <f t="shared" si="19"/>
        <v>0</v>
      </c>
      <c r="E193" s="1213">
        <f t="shared" si="19"/>
        <v>0</v>
      </c>
      <c r="F193" s="1213">
        <f t="shared" si="19"/>
        <v>0</v>
      </c>
      <c r="G193" s="1213">
        <f t="shared" si="19"/>
        <v>0</v>
      </c>
      <c r="H193" s="171"/>
      <c r="I193" s="171"/>
      <c r="J193" s="100"/>
      <c r="K193" s="100"/>
      <c r="L193" s="101"/>
      <c r="M193" s="171"/>
      <c r="N193" s="100"/>
      <c r="O193" s="171"/>
      <c r="P193" s="171"/>
      <c r="Q193" s="171"/>
      <c r="R193" s="171"/>
      <c r="S193" s="171"/>
      <c r="T193" s="100"/>
      <c r="U193" s="101"/>
      <c r="V193" s="171"/>
      <c r="W193" s="100"/>
      <c r="X193" s="101"/>
      <c r="Y193" s="171"/>
      <c r="Z193" s="100"/>
      <c r="AA193" s="10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row>
    <row r="194" spans="1:47" ht="17.25" x14ac:dyDescent="0.25">
      <c r="A194" s="1142" t="s">
        <v>1658</v>
      </c>
      <c r="B194" s="1196" t="str">
        <f t="shared" ref="B194:G194" ca="1" si="20">VLOOKUP($B192,$A184:$G189,COLUMN())</f>
        <v>NPA</v>
      </c>
      <c r="C194" s="1196" t="str">
        <f t="shared" ca="1" si="20"/>
        <v>NPA</v>
      </c>
      <c r="D194" s="1196" t="str">
        <f t="shared" ca="1" si="20"/>
        <v>NPA</v>
      </c>
      <c r="E194" s="1196" t="str">
        <f t="shared" ca="1" si="20"/>
        <v>NPA</v>
      </c>
      <c r="F194" s="1196" t="str">
        <f t="shared" ca="1" si="20"/>
        <v>NPA</v>
      </c>
      <c r="G194" s="1196" t="str">
        <f t="shared" ca="1" si="20"/>
        <v>NPA</v>
      </c>
      <c r="H194" s="50"/>
      <c r="I194" s="50"/>
      <c r="J194" s="100"/>
      <c r="K194" s="100"/>
      <c r="L194" s="101"/>
      <c r="M194" s="50"/>
      <c r="N194" s="100"/>
      <c r="O194" s="171"/>
      <c r="P194" s="171"/>
      <c r="Q194" s="171"/>
      <c r="R194" s="171"/>
      <c r="S194" s="50"/>
      <c r="T194" s="100"/>
      <c r="U194" s="101"/>
      <c r="V194" s="50"/>
      <c r="W194" s="100"/>
      <c r="X194" s="101"/>
      <c r="Y194" s="50"/>
      <c r="Z194" s="100"/>
      <c r="AA194" s="101"/>
      <c r="AB194" s="50"/>
      <c r="AC194" s="50"/>
      <c r="AD194" s="50"/>
      <c r="AE194" s="50"/>
      <c r="AF194" s="50"/>
      <c r="AG194" s="50"/>
      <c r="AH194" s="50"/>
      <c r="AI194" s="50"/>
      <c r="AJ194" s="50"/>
      <c r="AK194" s="50"/>
      <c r="AL194" s="50"/>
      <c r="AM194" s="50"/>
      <c r="AN194" s="50"/>
      <c r="AO194" s="50"/>
      <c r="AP194" s="50"/>
      <c r="AQ194" s="50"/>
      <c r="AR194" s="50"/>
      <c r="AS194" s="50"/>
      <c r="AT194" s="50"/>
      <c r="AU194" s="50"/>
    </row>
    <row r="195" spans="1:47" s="620" customFormat="1" x14ac:dyDescent="0.25">
      <c r="A195" s="140" t="s">
        <v>1700</v>
      </c>
      <c r="B195" s="1196">
        <f>IFERROR($B$134,1)</f>
        <v>0</v>
      </c>
      <c r="C195" s="1196">
        <f>IFERROR($C$134,1)</f>
        <v>1</v>
      </c>
      <c r="D195" s="1196">
        <f>IFERROR($D$134,1)</f>
        <v>1</v>
      </c>
      <c r="E195" s="1196">
        <f>IFERROR($E$134,1)</f>
        <v>1</v>
      </c>
      <c r="F195" s="1196">
        <f>IFERROR($F$134,1)</f>
        <v>1</v>
      </c>
      <c r="G195" s="1196">
        <f>IFERROR($G$134,1)</f>
        <v>1</v>
      </c>
      <c r="H195" s="50" t="s">
        <v>1647</v>
      </c>
      <c r="J195" s="100"/>
      <c r="K195" s="100"/>
      <c r="L195" s="101"/>
      <c r="M195" s="171"/>
      <c r="N195" s="100"/>
      <c r="O195" s="171"/>
      <c r="P195" s="171"/>
      <c r="Q195" s="171"/>
      <c r="R195" s="171"/>
      <c r="S195" s="171"/>
      <c r="T195" s="100"/>
      <c r="U195" s="101"/>
      <c r="V195" s="171"/>
      <c r="W195" s="100"/>
      <c r="X195" s="101"/>
      <c r="Y195" s="171"/>
      <c r="Z195" s="100"/>
      <c r="AA195" s="10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row>
    <row r="196" spans="1:47" x14ac:dyDescent="0.25">
      <c r="A196" s="1504" t="s">
        <v>1683</v>
      </c>
      <c r="B196" s="1505" t="e">
        <f t="shared" ref="B196:G196" ca="1" si="21">ROUNDDOWN(ABS(B194/(B193*B195)-1)*100,2)</f>
        <v>#VALUE!</v>
      </c>
      <c r="C196" s="1505" t="e">
        <f t="shared" ca="1" si="21"/>
        <v>#VALUE!</v>
      </c>
      <c r="D196" s="1505" t="e">
        <f t="shared" ca="1" si="21"/>
        <v>#VALUE!</v>
      </c>
      <c r="E196" s="1505" t="e">
        <f t="shared" ca="1" si="21"/>
        <v>#VALUE!</v>
      </c>
      <c r="F196" s="1505" t="e">
        <f t="shared" ca="1" si="21"/>
        <v>#VALUE!</v>
      </c>
      <c r="G196" s="1505" t="e">
        <f t="shared" ca="1" si="21"/>
        <v>#VALUE!</v>
      </c>
      <c r="H196" s="50"/>
      <c r="I196" s="50"/>
      <c r="J196" s="100"/>
      <c r="K196" s="100"/>
      <c r="L196" s="101"/>
      <c r="M196" s="50"/>
      <c r="N196" s="100"/>
      <c r="O196" s="171"/>
      <c r="P196" s="171"/>
      <c r="Q196" s="171"/>
      <c r="R196" s="171"/>
      <c r="S196" s="50"/>
      <c r="T196" s="100"/>
      <c r="U196" s="101"/>
      <c r="V196" s="50"/>
      <c r="W196" s="100"/>
      <c r="X196" s="101"/>
      <c r="Y196" s="50"/>
      <c r="Z196" s="100"/>
      <c r="AA196" s="101"/>
      <c r="AB196" s="50"/>
      <c r="AC196" s="50"/>
      <c r="AD196" s="50"/>
      <c r="AE196" s="50"/>
      <c r="AF196" s="50"/>
      <c r="AG196" s="50"/>
      <c r="AH196" s="50"/>
      <c r="AI196" s="50"/>
      <c r="AJ196" s="50"/>
      <c r="AK196" s="50"/>
      <c r="AL196" s="50"/>
      <c r="AM196" s="50"/>
      <c r="AN196" s="50"/>
      <c r="AO196" s="50"/>
      <c r="AP196" s="50"/>
      <c r="AQ196" s="50"/>
      <c r="AR196" s="50"/>
      <c r="AS196" s="50"/>
      <c r="AT196" s="50"/>
      <c r="AU196" s="50"/>
    </row>
    <row r="197" spans="1:47" x14ac:dyDescent="0.25">
      <c r="A197" s="1506" t="str">
        <f>$B$1</f>
        <v>IN 91</v>
      </c>
      <c r="B197" s="1507" t="str">
        <f t="shared" ref="B197:G197" ca="1" si="22">IFERROR(IF(ROUNDDOWN(ABS(B194/(B193*B195)-1),2)&lt;=0.2,"Sim",IF(ROUNDDOWN(ABS(B194/(B193*B195)-1),2)&lt;0.4,"Não","Restrição")),"NPA")</f>
        <v>NPA</v>
      </c>
      <c r="C197" s="1507" t="str">
        <f t="shared" ca="1" si="22"/>
        <v>NPA</v>
      </c>
      <c r="D197" s="1507" t="str">
        <f t="shared" ca="1" si="22"/>
        <v>NPA</v>
      </c>
      <c r="E197" s="1507" t="str">
        <f t="shared" ca="1" si="22"/>
        <v>NPA</v>
      </c>
      <c r="F197" s="1507" t="str">
        <f t="shared" ca="1" si="22"/>
        <v>NPA</v>
      </c>
      <c r="G197" s="1507" t="str">
        <f t="shared" ca="1" si="22"/>
        <v>NPA</v>
      </c>
      <c r="H197" s="50"/>
      <c r="I197" s="2513" t="s">
        <v>1699</v>
      </c>
      <c r="J197" s="2513"/>
      <c r="K197" s="2513"/>
      <c r="L197" s="2513"/>
      <c r="M197" s="50"/>
      <c r="N197" s="100"/>
      <c r="O197" s="171"/>
      <c r="P197" s="171"/>
      <c r="Q197" s="171"/>
      <c r="R197" s="171"/>
      <c r="S197" s="50"/>
      <c r="T197" s="100"/>
      <c r="U197" s="101"/>
      <c r="V197" s="50"/>
      <c r="W197" s="100"/>
      <c r="X197" s="101"/>
      <c r="Y197" s="50"/>
      <c r="Z197" s="100"/>
      <c r="AA197" s="101"/>
      <c r="AB197" s="50"/>
      <c r="AC197" s="50"/>
      <c r="AD197" s="50"/>
      <c r="AE197" s="50"/>
      <c r="AF197" s="50"/>
      <c r="AG197" s="50"/>
      <c r="AH197" s="50"/>
      <c r="AI197" s="50"/>
      <c r="AJ197" s="50"/>
      <c r="AK197" s="50"/>
      <c r="AL197" s="50"/>
      <c r="AM197" s="50"/>
      <c r="AN197" s="50"/>
      <c r="AO197" s="50"/>
      <c r="AP197" s="50"/>
      <c r="AQ197" s="50"/>
      <c r="AR197" s="50"/>
      <c r="AS197" s="50"/>
      <c r="AT197" s="50"/>
      <c r="AU197" s="50"/>
    </row>
    <row r="198" spans="1:47" s="171" customFormat="1" ht="3.6" customHeight="1" x14ac:dyDescent="0.25">
      <c r="A198" s="1508"/>
      <c r="B198" s="1509"/>
      <c r="C198" s="1509"/>
      <c r="D198" s="1509"/>
      <c r="E198" s="1509"/>
      <c r="F198" s="1509"/>
      <c r="G198" s="1510"/>
      <c r="I198" s="2513"/>
      <c r="J198" s="2513"/>
      <c r="K198" s="2513"/>
      <c r="L198" s="2513"/>
      <c r="N198" s="100"/>
      <c r="T198" s="100"/>
      <c r="U198" s="101"/>
      <c r="W198" s="100"/>
      <c r="X198" s="101"/>
      <c r="Z198" s="100"/>
      <c r="AA198" s="101"/>
    </row>
    <row r="199" spans="1:47" s="171" customFormat="1" ht="15.75" thickBot="1" x14ac:dyDescent="0.3">
      <c r="A199" s="2524" t="s">
        <v>1659</v>
      </c>
      <c r="B199" s="2525"/>
      <c r="C199" s="2525"/>
      <c r="D199" s="2525"/>
      <c r="E199" s="2525"/>
      <c r="F199" s="2525"/>
      <c r="G199" s="2526"/>
      <c r="I199" s="2513"/>
      <c r="J199" s="2513"/>
      <c r="K199" s="2513"/>
      <c r="L199" s="2513"/>
      <c r="N199" s="100"/>
      <c r="T199" s="100"/>
      <c r="U199" s="101"/>
      <c r="W199" s="100"/>
      <c r="X199" s="101"/>
      <c r="Z199" s="100"/>
      <c r="AA199" s="101"/>
    </row>
    <row r="200" spans="1:47" s="171" customFormat="1" x14ac:dyDescent="0.25">
      <c r="A200" s="1511" t="s">
        <v>1660</v>
      </c>
      <c r="B200" s="1512" t="e">
        <f t="shared" ref="B200:G200" ca="1" si="23">ROUNDDOWN(100*ABS((B171/B195*($D$147/$D$144)^2)/B179-1),2)</f>
        <v>#VALUE!</v>
      </c>
      <c r="C200" s="1512" t="e">
        <f t="shared" ca="1" si="23"/>
        <v>#VALUE!</v>
      </c>
      <c r="D200" s="1512" t="e">
        <f t="shared" ca="1" si="23"/>
        <v>#VALUE!</v>
      </c>
      <c r="E200" s="1512" t="e">
        <f t="shared" ca="1" si="23"/>
        <v>#VALUE!</v>
      </c>
      <c r="F200" s="1512" t="e">
        <f t="shared" ca="1" si="23"/>
        <v>#VALUE!</v>
      </c>
      <c r="G200" s="1512" t="e">
        <f t="shared" ca="1" si="23"/>
        <v>#VALUE!</v>
      </c>
      <c r="I200" s="2513"/>
      <c r="J200" s="2513"/>
      <c r="K200" s="2513"/>
      <c r="L200" s="2513"/>
      <c r="N200" s="100"/>
      <c r="T200" s="100"/>
      <c r="U200" s="101"/>
      <c r="W200" s="100"/>
      <c r="X200" s="101"/>
      <c r="Z200" s="100"/>
      <c r="AA200" s="101"/>
    </row>
    <row r="201" spans="1:47" s="171" customFormat="1" x14ac:dyDescent="0.25">
      <c r="A201" s="1506" t="str">
        <f>$B$1</f>
        <v>IN 91</v>
      </c>
      <c r="B201" s="1507" t="str">
        <f t="shared" ref="B201:G201" ca="1" si="24">IFERROR(IF(ROUNDDOWN(ABS((B171/B195*($D$147/$D$144)^2)/B179-1),2)&lt;=0.2,"Sim",IF(ROUNDDOWN(ABS((B171/B195*($D$147/$D$144)^2)/B179-1),2)&lt;0.4,"Não","Restrição")),"NPA")</f>
        <v>NPA</v>
      </c>
      <c r="C201" s="1507" t="str">
        <f t="shared" ca="1" si="24"/>
        <v>NPA</v>
      </c>
      <c r="D201" s="1507" t="str">
        <f t="shared" ca="1" si="24"/>
        <v>NPA</v>
      </c>
      <c r="E201" s="1507" t="str">
        <f t="shared" ca="1" si="24"/>
        <v>NPA</v>
      </c>
      <c r="F201" s="1507" t="str">
        <f t="shared" ca="1" si="24"/>
        <v>NPA</v>
      </c>
      <c r="G201" s="1507" t="str">
        <f t="shared" ca="1" si="24"/>
        <v>NPA</v>
      </c>
      <c r="I201" s="2513"/>
      <c r="J201" s="2513"/>
      <c r="K201" s="2513"/>
      <c r="L201" s="2513"/>
      <c r="N201" s="100"/>
      <c r="T201" s="100"/>
      <c r="U201" s="101"/>
      <c r="W201" s="100"/>
      <c r="X201" s="101"/>
      <c r="Z201" s="100"/>
      <c r="AA201" s="101"/>
    </row>
    <row r="202" spans="1:47" ht="3.6" customHeight="1" x14ac:dyDescent="0.25">
      <c r="A202" s="1508"/>
      <c r="B202" s="1509"/>
      <c r="C202" s="1509"/>
      <c r="D202" s="1509"/>
      <c r="E202" s="1509"/>
      <c r="F202" s="1509"/>
      <c r="G202" s="1510"/>
      <c r="H202" s="50"/>
      <c r="I202" s="2513"/>
      <c r="J202" s="2513"/>
      <c r="K202" s="2513"/>
      <c r="L202" s="2513"/>
      <c r="M202" s="50"/>
      <c r="N202" s="100"/>
      <c r="O202" s="171"/>
      <c r="P202" s="171"/>
      <c r="Q202" s="171"/>
      <c r="R202" s="171"/>
      <c r="S202" s="50"/>
      <c r="T202" s="100"/>
      <c r="U202" s="101"/>
      <c r="V202" s="50"/>
      <c r="W202" s="100"/>
      <c r="X202" s="101"/>
      <c r="Y202" s="50"/>
      <c r="Z202" s="100"/>
      <c r="AA202" s="101"/>
      <c r="AB202" s="50"/>
      <c r="AC202" s="50"/>
      <c r="AD202" s="50"/>
      <c r="AE202" s="50"/>
      <c r="AF202" s="50"/>
      <c r="AG202" s="50"/>
      <c r="AH202" s="50"/>
      <c r="AI202" s="50"/>
      <c r="AJ202" s="50"/>
      <c r="AK202" s="50"/>
      <c r="AL202" s="50"/>
      <c r="AM202" s="50"/>
      <c r="AN202" s="50"/>
      <c r="AO202" s="50"/>
      <c r="AP202" s="50"/>
      <c r="AQ202" s="50"/>
      <c r="AR202" s="50"/>
      <c r="AS202" s="50"/>
      <c r="AT202" s="50"/>
      <c r="AU202" s="50"/>
    </row>
    <row r="203" spans="1:47" hidden="1" x14ac:dyDescent="0.25">
      <c r="A203" s="2509" t="s">
        <v>1661</v>
      </c>
      <c r="B203" s="2510"/>
      <c r="C203" s="2510"/>
      <c r="D203" s="2510"/>
      <c r="E203" s="2510"/>
      <c r="F203" s="2510"/>
      <c r="G203" s="2511"/>
      <c r="H203" s="172"/>
      <c r="I203" s="2513"/>
      <c r="J203" s="2513"/>
      <c r="K203" s="2513"/>
      <c r="L203" s="2513"/>
      <c r="M203" s="50"/>
      <c r="N203" s="100"/>
      <c r="O203" s="171"/>
      <c r="P203" s="171"/>
      <c r="Q203" s="171"/>
      <c r="R203" s="171"/>
      <c r="S203" s="50"/>
      <c r="T203" s="100"/>
      <c r="U203" s="101"/>
      <c r="V203" s="50"/>
      <c r="W203" s="100"/>
      <c r="X203" s="101"/>
      <c r="Y203" s="50"/>
      <c r="Z203" s="100"/>
      <c r="AA203" s="101"/>
      <c r="AB203" s="50"/>
      <c r="AC203" s="50"/>
      <c r="AD203" s="50"/>
      <c r="AE203" s="50"/>
      <c r="AF203" s="50"/>
      <c r="AG203" s="50"/>
      <c r="AH203" s="50"/>
      <c r="AI203" s="50"/>
      <c r="AJ203" s="50"/>
      <c r="AK203" s="50"/>
      <c r="AL203" s="50"/>
      <c r="AM203" s="50"/>
      <c r="AN203" s="50"/>
      <c r="AO203" s="50"/>
      <c r="AP203" s="50"/>
      <c r="AQ203" s="50"/>
      <c r="AR203" s="50"/>
      <c r="AS203" s="50"/>
      <c r="AT203" s="50"/>
      <c r="AU203" s="50"/>
    </row>
    <row r="204" spans="1:47" hidden="1" x14ac:dyDescent="0.25">
      <c r="A204" s="1513" t="s">
        <v>1662</v>
      </c>
      <c r="B204" s="1504" t="str">
        <f ca="1">IFERROR(ROUNDDOWN(B172/B195*60*($D$147/$D$144)^2,1),"NPA")</f>
        <v>NPA</v>
      </c>
      <c r="C204" s="1504" t="str">
        <f ca="1">IFERROR(ROUNDDOWN(C172*60*($D$147/$D$144)^2,1),"NPA")</f>
        <v>NPA</v>
      </c>
      <c r="D204" s="1504" t="str">
        <f ca="1">IFERROR(ROUNDDOWN(D172*60*($D$147/$D$144)^2,1),"NPA")</f>
        <v>NPA</v>
      </c>
      <c r="E204" s="1504" t="str">
        <f ca="1">IFERROR(ROUNDDOWN(E172*60*($D$147/$D$144)^2,1),"NPA")</f>
        <v>NPA</v>
      </c>
      <c r="F204" s="1504" t="str">
        <f ca="1">IFERROR(ROUNDDOWN(F172*60*($D$147/$D$144)^2,1),"NPA")</f>
        <v>NPA</v>
      </c>
      <c r="G204" s="1504" t="str">
        <f ca="1">IFERROR(ROUNDDOWN(G172*60*($D$147/$D$144)^2,1),"NPA")</f>
        <v>NPA</v>
      </c>
      <c r="H204" s="171"/>
      <c r="I204" s="171"/>
      <c r="J204" s="100"/>
      <c r="K204" s="100"/>
      <c r="L204" s="101"/>
      <c r="M204" s="171"/>
      <c r="N204" s="100"/>
      <c r="O204" s="171"/>
      <c r="P204" s="171"/>
      <c r="Q204" s="171"/>
      <c r="R204" s="171"/>
      <c r="S204" s="171"/>
      <c r="T204" s="100"/>
      <c r="U204" s="101"/>
      <c r="V204" s="171"/>
      <c r="W204" s="100"/>
      <c r="X204" s="101"/>
      <c r="Y204" s="171"/>
      <c r="Z204" s="100"/>
      <c r="AA204" s="101"/>
      <c r="AB204" s="171"/>
      <c r="AC204" s="171"/>
      <c r="AD204" s="171"/>
      <c r="AE204" s="171"/>
      <c r="AF204" s="171"/>
      <c r="AG204" s="171"/>
      <c r="AH204" s="171"/>
      <c r="AI204" s="50"/>
      <c r="AJ204" s="50"/>
      <c r="AK204" s="50"/>
      <c r="AL204" s="50"/>
      <c r="AM204" s="50"/>
      <c r="AN204" s="50"/>
      <c r="AO204" s="50"/>
      <c r="AP204" s="50"/>
      <c r="AQ204" s="50"/>
      <c r="AR204" s="50"/>
      <c r="AS204" s="50"/>
      <c r="AT204" s="50"/>
      <c r="AU204" s="50"/>
    </row>
    <row r="205" spans="1:47" hidden="1" x14ac:dyDescent="0.25">
      <c r="A205" s="1506" t="str">
        <f>$B$1</f>
        <v>IN 91</v>
      </c>
      <c r="B205" s="1507" t="str">
        <f t="shared" ref="B205:G205" ca="1" si="25">IF(B204="NPA","NPA",IF(B204&gt;176,"Restrição",IF(AND(A156="Modo Normal",B204&gt;88),"Não","Sim")))</f>
        <v>NPA</v>
      </c>
      <c r="C205" s="1507" t="str">
        <f t="shared" ca="1" si="25"/>
        <v>NPA</v>
      </c>
      <c r="D205" s="1507" t="str">
        <f t="shared" ca="1" si="25"/>
        <v>NPA</v>
      </c>
      <c r="E205" s="1507" t="str">
        <f t="shared" ca="1" si="25"/>
        <v>NPA</v>
      </c>
      <c r="F205" s="1507" t="str">
        <f t="shared" ca="1" si="25"/>
        <v>NPA</v>
      </c>
      <c r="G205" s="1507" t="str">
        <f t="shared" ca="1" si="25"/>
        <v>NPA</v>
      </c>
      <c r="H205" s="171"/>
      <c r="I205" s="171"/>
      <c r="J205" s="100"/>
      <c r="K205" s="100"/>
      <c r="L205" s="101"/>
      <c r="M205" s="171"/>
      <c r="N205" s="100"/>
      <c r="O205" s="171"/>
      <c r="P205" s="171"/>
      <c r="Q205" s="171"/>
      <c r="R205" s="171"/>
      <c r="S205" s="171"/>
      <c r="T205" s="100"/>
      <c r="U205" s="101"/>
      <c r="V205" s="171"/>
      <c r="W205" s="100"/>
      <c r="X205" s="101"/>
      <c r="Y205" s="171"/>
      <c r="Z205" s="100"/>
      <c r="AA205" s="101"/>
      <c r="AB205" s="171"/>
      <c r="AC205" s="171"/>
      <c r="AD205" s="171"/>
      <c r="AE205" s="171"/>
      <c r="AF205" s="171"/>
      <c r="AG205" s="171"/>
      <c r="AH205" s="171"/>
      <c r="AI205" s="50"/>
      <c r="AJ205" s="50"/>
      <c r="AK205" s="50"/>
      <c r="AL205" s="50"/>
      <c r="AM205" s="50"/>
      <c r="AN205" s="50"/>
      <c r="AO205" s="50"/>
      <c r="AP205" s="50"/>
      <c r="AQ205" s="50"/>
      <c r="AR205" s="50"/>
      <c r="AS205" s="50"/>
      <c r="AT205" s="50"/>
      <c r="AU205" s="50"/>
    </row>
    <row r="206" spans="1:47" x14ac:dyDescent="0.25">
      <c r="A206" s="100"/>
      <c r="B206" s="87"/>
      <c r="C206" s="87"/>
      <c r="D206" s="171"/>
      <c r="E206" s="171"/>
      <c r="F206" s="171"/>
      <c r="G206" s="101"/>
      <c r="H206" s="171"/>
      <c r="I206" s="171" t="s">
        <v>1895</v>
      </c>
      <c r="J206" s="100"/>
      <c r="K206" s="100"/>
      <c r="L206" s="101"/>
      <c r="M206" s="171"/>
      <c r="N206" s="100"/>
      <c r="O206" s="171"/>
      <c r="P206" s="171"/>
      <c r="Q206" s="171"/>
      <c r="R206" s="171"/>
      <c r="S206" s="171"/>
      <c r="T206" s="100"/>
      <c r="U206" s="101"/>
      <c r="V206" s="171"/>
      <c r="W206" s="100"/>
      <c r="X206" s="101"/>
      <c r="Y206" s="171"/>
      <c r="Z206" s="100"/>
      <c r="AA206" s="101"/>
      <c r="AB206" s="171"/>
      <c r="AC206" s="171"/>
      <c r="AD206" s="171"/>
      <c r="AE206" s="171"/>
      <c r="AF206" s="171"/>
      <c r="AG206" s="171"/>
      <c r="AH206" s="171"/>
      <c r="AI206" s="50"/>
      <c r="AJ206" s="50"/>
      <c r="AK206" s="50"/>
      <c r="AL206" s="50"/>
      <c r="AM206" s="50"/>
      <c r="AN206" s="50"/>
      <c r="AO206" s="50"/>
      <c r="AP206" s="50"/>
      <c r="AQ206" s="50"/>
      <c r="AR206" s="50"/>
      <c r="AS206" s="50"/>
      <c r="AT206" s="50"/>
      <c r="AU206" s="50"/>
    </row>
    <row r="207" spans="1:47" s="171" customFormat="1" hidden="1" x14ac:dyDescent="0.25">
      <c r="A207" s="1421"/>
      <c r="B207" s="1479"/>
      <c r="C207" s="1479"/>
      <c r="D207" s="1479"/>
      <c r="E207" s="172"/>
      <c r="G207" s="101"/>
      <c r="J207" s="100"/>
      <c r="K207" s="100"/>
      <c r="L207" s="101"/>
      <c r="N207" s="100"/>
      <c r="T207" s="100"/>
      <c r="U207" s="101"/>
      <c r="W207" s="100"/>
      <c r="X207" s="101"/>
      <c r="Z207" s="100"/>
      <c r="AA207" s="101"/>
    </row>
    <row r="208" spans="1:47" s="620" customFormat="1" hidden="1" x14ac:dyDescent="0.25">
      <c r="A208" s="1492" t="s">
        <v>1670</v>
      </c>
      <c r="B208" s="2493" t="s">
        <v>1669</v>
      </c>
      <c r="C208" s="2494"/>
      <c r="D208" s="2494"/>
      <c r="E208" s="2495"/>
      <c r="F208" s="1628" t="s">
        <v>1792</v>
      </c>
      <c r="G208" s="1629"/>
      <c r="H208" s="171"/>
      <c r="I208" s="171"/>
      <c r="J208" s="100"/>
      <c r="K208" s="100"/>
      <c r="L208" s="101"/>
      <c r="M208" s="171"/>
      <c r="N208" s="100"/>
      <c r="O208" s="171"/>
      <c r="P208" s="171"/>
      <c r="Q208" s="171"/>
      <c r="R208" s="171"/>
      <c r="S208" s="171"/>
      <c r="T208" s="100"/>
      <c r="U208" s="101"/>
      <c r="V208" s="171"/>
      <c r="W208" s="100"/>
      <c r="X208" s="101"/>
      <c r="Y208" s="171"/>
      <c r="Z208" s="100"/>
      <c r="AA208" s="101"/>
      <c r="AB208" s="171"/>
      <c r="AC208" s="171"/>
      <c r="AD208" s="171"/>
      <c r="AE208" s="171"/>
      <c r="AF208" s="171"/>
      <c r="AG208" s="171"/>
      <c r="AH208" s="171"/>
      <c r="AI208" s="171"/>
      <c r="AJ208" s="171"/>
      <c r="AK208" s="171"/>
      <c r="AL208" s="171"/>
      <c r="AM208" s="171"/>
      <c r="AN208" s="171"/>
      <c r="AO208" s="171"/>
      <c r="AP208" s="171"/>
      <c r="AQ208" s="171"/>
      <c r="AR208" s="171"/>
      <c r="AS208" s="171"/>
      <c r="AT208" s="171"/>
      <c r="AU208" s="171"/>
    </row>
    <row r="209" spans="1:47" s="620" customFormat="1" hidden="1" x14ac:dyDescent="0.25">
      <c r="A209" s="1480" t="str">
        <f>CONCATENATE("tamanho do campo (",$B$129,")")</f>
        <v>tamanho do campo (cm)</v>
      </c>
      <c r="B209" s="1518">
        <f>$B$130</f>
        <v>23</v>
      </c>
      <c r="C209" s="1518">
        <f>$C$130</f>
        <v>0</v>
      </c>
      <c r="D209" s="1518">
        <f>$D$130</f>
        <v>0</v>
      </c>
      <c r="E209" s="1518">
        <f>$E$130</f>
        <v>0</v>
      </c>
      <c r="F209" s="1518">
        <f>$F$130</f>
        <v>0</v>
      </c>
      <c r="G209" s="1518">
        <f>$G$130</f>
        <v>0</v>
      </c>
      <c r="H209" s="171"/>
      <c r="I209" s="171"/>
      <c r="J209" s="100"/>
      <c r="K209" s="100"/>
      <c r="L209" s="101"/>
      <c r="M209" s="171"/>
      <c r="N209" s="100"/>
      <c r="O209" s="171"/>
      <c r="P209" s="171"/>
      <c r="Q209" s="171"/>
      <c r="R209" s="171"/>
      <c r="S209" s="171"/>
      <c r="T209" s="100"/>
      <c r="U209" s="101"/>
      <c r="V209" s="171"/>
      <c r="W209" s="100"/>
      <c r="X209" s="101"/>
      <c r="Y209" s="171"/>
      <c r="Z209" s="100"/>
      <c r="AA209" s="101"/>
      <c r="AB209" s="171"/>
      <c r="AC209" s="171"/>
      <c r="AD209" s="171"/>
      <c r="AE209" s="171"/>
      <c r="AF209" s="171"/>
      <c r="AG209" s="171"/>
      <c r="AH209" s="171"/>
      <c r="AI209" s="171"/>
      <c r="AJ209" s="171"/>
      <c r="AK209" s="171"/>
      <c r="AL209" s="171"/>
      <c r="AM209" s="171"/>
      <c r="AN209" s="171"/>
      <c r="AO209" s="171"/>
      <c r="AP209" s="171"/>
      <c r="AQ209" s="171"/>
      <c r="AR209" s="171"/>
      <c r="AS209" s="171"/>
      <c r="AT209" s="171"/>
      <c r="AU209" s="171"/>
    </row>
    <row r="210" spans="1:47" s="620" customFormat="1" hidden="1" x14ac:dyDescent="0.25">
      <c r="A210" s="1481" t="s">
        <v>1425</v>
      </c>
      <c r="B210" s="584"/>
      <c r="C210" s="584"/>
      <c r="D210" s="584"/>
      <c r="E210" s="584"/>
      <c r="F210" s="584"/>
      <c r="G210" s="584"/>
      <c r="H210" s="171"/>
      <c r="I210" s="171"/>
      <c r="J210" s="100"/>
      <c r="K210" s="100"/>
      <c r="L210" s="101"/>
      <c r="M210" s="171"/>
      <c r="N210" s="100"/>
      <c r="O210" s="171"/>
      <c r="P210" s="171"/>
      <c r="Q210" s="171"/>
      <c r="R210" s="171"/>
      <c r="S210" s="171"/>
      <c r="T210" s="100"/>
      <c r="U210" s="101"/>
      <c r="V210" s="171"/>
      <c r="W210" s="100"/>
      <c r="X210" s="101"/>
      <c r="Y210" s="171"/>
      <c r="Z210" s="100"/>
      <c r="AA210" s="101"/>
      <c r="AB210" s="171"/>
      <c r="AC210" s="171"/>
      <c r="AD210" s="171"/>
      <c r="AE210" s="171"/>
      <c r="AF210" s="171"/>
      <c r="AG210" s="171"/>
      <c r="AH210" s="171"/>
      <c r="AI210" s="171"/>
      <c r="AJ210" s="171"/>
      <c r="AK210" s="171"/>
      <c r="AL210" s="171"/>
      <c r="AM210" s="171"/>
      <c r="AN210" s="171"/>
      <c r="AO210" s="171"/>
      <c r="AP210" s="171"/>
      <c r="AQ210" s="171"/>
      <c r="AR210" s="171"/>
      <c r="AS210" s="171"/>
      <c r="AT210" s="171"/>
      <c r="AU210" s="171"/>
    </row>
    <row r="211" spans="1:47" s="620" customFormat="1" hidden="1" x14ac:dyDescent="0.25">
      <c r="A211" s="1481" t="s">
        <v>1421</v>
      </c>
      <c r="B211" s="584"/>
      <c r="C211" s="584"/>
      <c r="D211" s="584"/>
      <c r="E211" s="584"/>
      <c r="F211" s="584"/>
      <c r="G211" s="584"/>
      <c r="H211" s="171"/>
      <c r="I211" s="171"/>
      <c r="J211" s="100"/>
      <c r="K211" s="100"/>
      <c r="L211" s="101"/>
      <c r="M211" s="171"/>
      <c r="N211" s="100"/>
      <c r="O211" s="171"/>
      <c r="P211" s="171"/>
      <c r="Q211" s="171"/>
      <c r="R211" s="171"/>
      <c r="S211" s="171"/>
      <c r="T211" s="100"/>
      <c r="U211" s="101"/>
      <c r="V211" s="171"/>
      <c r="W211" s="100"/>
      <c r="X211" s="101"/>
      <c r="Y211" s="171"/>
      <c r="Z211" s="100"/>
      <c r="AA211" s="101"/>
      <c r="AB211" s="171"/>
      <c r="AC211" s="171"/>
      <c r="AD211" s="171"/>
      <c r="AE211" s="171"/>
      <c r="AF211" s="171"/>
      <c r="AG211" s="171"/>
      <c r="AH211" s="171"/>
      <c r="AI211" s="171"/>
      <c r="AJ211" s="171"/>
      <c r="AK211" s="171"/>
      <c r="AL211" s="171"/>
      <c r="AM211" s="171"/>
      <c r="AN211" s="171"/>
      <c r="AO211" s="171"/>
      <c r="AP211" s="171"/>
      <c r="AQ211" s="171"/>
      <c r="AR211" s="171"/>
      <c r="AS211" s="171"/>
      <c r="AT211" s="171"/>
      <c r="AU211" s="171"/>
    </row>
    <row r="212" spans="1:47" s="171" customFormat="1" ht="4.5" hidden="1" customHeight="1" x14ac:dyDescent="0.25">
      <c r="A212" s="1482"/>
      <c r="B212" s="1483"/>
      <c r="C212" s="1483"/>
      <c r="D212" s="1483"/>
      <c r="E212" s="1483"/>
      <c r="F212" s="1483"/>
      <c r="G212" s="1484"/>
      <c r="J212" s="100"/>
      <c r="K212" s="100"/>
      <c r="L212" s="101"/>
      <c r="N212" s="100"/>
      <c r="T212" s="100"/>
      <c r="U212" s="101"/>
      <c r="W212" s="100"/>
      <c r="X212" s="101"/>
      <c r="Z212" s="100"/>
      <c r="AA212" s="101"/>
    </row>
    <row r="213" spans="1:47" s="620" customFormat="1" ht="17.25" hidden="1" x14ac:dyDescent="0.25">
      <c r="A213" s="1481" t="s">
        <v>1429</v>
      </c>
      <c r="B213" s="584"/>
      <c r="C213" s="584"/>
      <c r="D213" s="584"/>
      <c r="E213" s="584"/>
      <c r="F213" s="584"/>
      <c r="G213" s="584"/>
      <c r="H213" s="171"/>
      <c r="I213" s="171"/>
      <c r="J213" s="100"/>
      <c r="K213" s="100"/>
      <c r="L213" s="101"/>
      <c r="M213" s="171"/>
      <c r="N213" s="100"/>
      <c r="O213" s="171"/>
      <c r="P213" s="171"/>
      <c r="Q213" s="171"/>
      <c r="R213" s="171"/>
      <c r="S213" s="171"/>
      <c r="T213" s="100"/>
      <c r="U213" s="101"/>
      <c r="V213" s="171"/>
      <c r="W213" s="100"/>
      <c r="X213" s="101"/>
      <c r="Y213" s="171"/>
      <c r="Z213" s="100"/>
      <c r="AA213" s="101"/>
      <c r="AB213" s="171"/>
      <c r="AC213" s="171"/>
      <c r="AD213" s="171"/>
      <c r="AE213" s="171"/>
      <c r="AF213" s="171"/>
      <c r="AG213" s="171"/>
      <c r="AH213" s="171"/>
      <c r="AI213" s="171"/>
      <c r="AJ213" s="171"/>
      <c r="AK213" s="171"/>
      <c r="AL213" s="171"/>
      <c r="AM213" s="171"/>
      <c r="AN213" s="171"/>
      <c r="AO213" s="171"/>
      <c r="AP213" s="171"/>
      <c r="AQ213" s="171"/>
      <c r="AR213" s="171"/>
      <c r="AS213" s="171"/>
      <c r="AT213" s="171"/>
      <c r="AU213" s="171"/>
    </row>
    <row r="214" spans="1:47" s="620" customFormat="1" hidden="1" x14ac:dyDescent="0.25">
      <c r="A214" s="1184" t="s">
        <v>1430</v>
      </c>
      <c r="B214" s="1417"/>
      <c r="C214" s="1417"/>
      <c r="D214" s="1417"/>
      <c r="E214" s="1417"/>
      <c r="F214" s="1417"/>
      <c r="G214" s="1417"/>
      <c r="H214" s="171"/>
      <c r="I214" s="1183"/>
      <c r="J214" s="1183"/>
      <c r="K214" s="1183"/>
      <c r="L214" s="1183"/>
      <c r="M214" s="1183"/>
      <c r="N214" s="1183"/>
      <c r="O214" s="171"/>
      <c r="P214" s="171"/>
      <c r="Q214" s="171"/>
      <c r="R214" s="171"/>
      <c r="S214" s="171"/>
      <c r="T214" s="100"/>
      <c r="U214" s="101"/>
      <c r="V214" s="171"/>
      <c r="W214" s="100"/>
      <c r="X214" s="101"/>
      <c r="Y214" s="171"/>
      <c r="Z214" s="100"/>
      <c r="AA214" s="101"/>
      <c r="AB214" s="171"/>
      <c r="AC214" s="171"/>
      <c r="AD214" s="171"/>
      <c r="AE214" s="171"/>
      <c r="AF214" s="171"/>
      <c r="AG214" s="171"/>
      <c r="AH214" s="171"/>
      <c r="AI214" s="171"/>
      <c r="AJ214" s="171"/>
      <c r="AK214" s="171"/>
      <c r="AL214" s="171"/>
      <c r="AM214" s="171"/>
      <c r="AN214" s="171"/>
      <c r="AO214" s="171"/>
      <c r="AP214" s="171"/>
      <c r="AQ214" s="171"/>
      <c r="AR214" s="171"/>
      <c r="AS214" s="171"/>
      <c r="AT214" s="171"/>
      <c r="AU214" s="171"/>
    </row>
    <row r="215" spans="1:47" s="171" customFormat="1" ht="4.5" hidden="1" customHeight="1" x14ac:dyDescent="0.25">
      <c r="A215" s="1485"/>
      <c r="B215" s="1486"/>
      <c r="C215" s="1486"/>
      <c r="D215" s="1486"/>
      <c r="E215" s="1486"/>
      <c r="F215" s="1486"/>
      <c r="G215" s="1487"/>
      <c r="I215" s="1183"/>
      <c r="J215" s="1183"/>
      <c r="K215" s="1183"/>
      <c r="L215" s="1183"/>
      <c r="M215" s="1183"/>
      <c r="N215" s="1183"/>
      <c r="T215" s="100"/>
      <c r="U215" s="101"/>
      <c r="W215" s="100"/>
      <c r="X215" s="101"/>
      <c r="Z215" s="100"/>
      <c r="AA215" s="101"/>
    </row>
    <row r="216" spans="1:47" s="620" customFormat="1" hidden="1" x14ac:dyDescent="0.25">
      <c r="A216" s="1481" t="s">
        <v>1649</v>
      </c>
      <c r="B216" s="653" t="e">
        <f ca="1">IF(Cabeçalho!$G$28="unfors",INDIRECT(ADDRESS(B218,3,1,1,"medidas Unfors"),1),INDIRECT(ADDRESS(B218,4,1,1,"medidas Fluke"),1)/1000)</f>
        <v>#VALUE!</v>
      </c>
      <c r="C216" s="653" t="e">
        <f ca="1">IF(Cabeçalho!$G$28="unfors",INDIRECT(ADDRESS(C218,3,1,1,"medidas Unfors"),1),INDIRECT(ADDRESS(C218,4,1,1,"medidas Fluke"),1)/1000)</f>
        <v>#VALUE!</v>
      </c>
      <c r="D216" s="653" t="e">
        <f ca="1">IF(Cabeçalho!$G$28="unfors",INDIRECT(ADDRESS(D218,3,1,1,"medidas Unfors"),1),INDIRECT(ADDRESS(D218,4,1,1,"medidas Fluke"),1)/1000)</f>
        <v>#VALUE!</v>
      </c>
      <c r="E216" s="653" t="e">
        <f ca="1">IF(Cabeçalho!$G$28="unfors",INDIRECT(ADDRESS(E218,3,1,1,"medidas Unfors"),1),INDIRECT(ADDRESS(E218,4,1,1,"medidas Fluke"),1)/1000)</f>
        <v>#VALUE!</v>
      </c>
      <c r="F216" s="653" t="e">
        <f ca="1">IF(Cabeçalho!$G$28="unfors",INDIRECT(ADDRESS(F218,3,1,1,"medidas Unfors"),1),INDIRECT(ADDRESS(F218,4,1,1,"medidas Fluke"),1)/1000)</f>
        <v>#VALUE!</v>
      </c>
      <c r="G216" s="653" t="e">
        <f ca="1">IF(Cabeçalho!$G$28="unfors",INDIRECT(ADDRESS(G218,3,1,1,"medidas Unfors"),1),INDIRECT(ADDRESS(G218,4,1,1,"medidas Fluke"),1)/1000)</f>
        <v>#VALUE!</v>
      </c>
      <c r="H216" s="171"/>
      <c r="I216" s="171"/>
      <c r="J216" s="100"/>
      <c r="K216" s="100"/>
      <c r="L216" s="101"/>
      <c r="M216" s="171"/>
      <c r="N216" s="100"/>
      <c r="O216" s="171"/>
      <c r="P216" s="171"/>
      <c r="Q216" s="171"/>
      <c r="R216" s="171"/>
      <c r="S216" s="171"/>
      <c r="T216" s="100"/>
      <c r="U216" s="101"/>
      <c r="V216" s="171"/>
      <c r="W216" s="100"/>
      <c r="X216" s="101"/>
      <c r="Y216" s="171"/>
      <c r="Z216" s="100"/>
      <c r="AA216" s="101"/>
      <c r="AB216" s="171"/>
      <c r="AC216" s="171"/>
      <c r="AD216" s="171"/>
      <c r="AE216" s="171"/>
      <c r="AF216" s="171"/>
      <c r="AG216" s="171"/>
      <c r="AH216" s="171"/>
      <c r="AI216" s="171"/>
      <c r="AJ216" s="171"/>
      <c r="AK216" s="171"/>
      <c r="AL216" s="171"/>
      <c r="AM216" s="171"/>
      <c r="AN216" s="171"/>
      <c r="AO216" s="171"/>
      <c r="AP216" s="171"/>
      <c r="AQ216" s="171"/>
      <c r="AR216" s="171"/>
      <c r="AS216" s="171"/>
      <c r="AT216" s="171"/>
      <c r="AU216" s="171"/>
    </row>
    <row r="217" spans="1:47" s="620" customFormat="1" ht="15.75" hidden="1" thickBot="1" x14ac:dyDescent="0.3">
      <c r="A217" s="1480" t="s">
        <v>1652</v>
      </c>
      <c r="B217" s="1489" t="e">
        <f ca="1">IF(Cabeçalho!$G$28="Unfors",INDIRECT(ADDRESS(B218,5,1,1,"medidas Unfors"),1),INDIRECT(ADDRESS(B218,5,1,1,"medidas Fluke"),1)/1000)</f>
        <v>#VALUE!</v>
      </c>
      <c r="C217" s="1489" t="e">
        <f ca="1">IF(Cabeçalho!$G$28="Unfors",INDIRECT(ADDRESS(C218,5,1,1,"medidas Unfors"),1),INDIRECT(ADDRESS(C218,5,1,1,"medidas Fluke"),1)/1000)</f>
        <v>#VALUE!</v>
      </c>
      <c r="D217" s="1489" t="e">
        <f ca="1">IF(Cabeçalho!$G$28="Unfors",INDIRECT(ADDRESS(D218,5,1,1,"medidas Unfors"),1),INDIRECT(ADDRESS(D218,5,1,1,"medidas Fluke"),1)/1000)</f>
        <v>#VALUE!</v>
      </c>
      <c r="E217" s="1489" t="e">
        <f ca="1">IF(Cabeçalho!$G$28="Unfors",INDIRECT(ADDRESS(E218,5,1,1,"medidas Unfors"),1),INDIRECT(ADDRESS(E218,5,1,1,"medidas Fluke"),1)/1000)</f>
        <v>#VALUE!</v>
      </c>
      <c r="F217" s="1489" t="e">
        <f ca="1">IF(Cabeçalho!$G$28="Unfors",INDIRECT(ADDRESS(F218,5,1,1,"medidas Unfors"),1),INDIRECT(ADDRESS(F218,5,1,1,"medidas Fluke"),1)/1000)</f>
        <v>#VALUE!</v>
      </c>
      <c r="G217" s="1489" t="e">
        <f ca="1">IF(Cabeçalho!$G$28="Unfors",INDIRECT(ADDRESS(G218,5,1,1,"medidas Unfors"),1),INDIRECT(ADDRESS(G218,5,1,1,"medidas Fluke"),1)/1000)</f>
        <v>#VALUE!</v>
      </c>
      <c r="H217" s="171"/>
      <c r="I217" s="171"/>
      <c r="J217" s="100"/>
      <c r="K217" s="100"/>
      <c r="L217" s="101"/>
      <c r="M217" s="171"/>
      <c r="N217" s="100"/>
      <c r="O217" s="171"/>
      <c r="P217" s="171"/>
      <c r="Q217" s="171"/>
      <c r="R217" s="171"/>
      <c r="S217" s="171"/>
      <c r="T217" s="100"/>
      <c r="U217" s="101"/>
      <c r="V217" s="171"/>
      <c r="W217" s="100"/>
      <c r="X217" s="101"/>
      <c r="Y217" s="171"/>
      <c r="Z217" s="100"/>
      <c r="AA217" s="101"/>
      <c r="AB217" s="171"/>
      <c r="AC217" s="171"/>
      <c r="AD217" s="171"/>
      <c r="AE217" s="171"/>
      <c r="AF217" s="171"/>
      <c r="AG217" s="171"/>
      <c r="AH217" s="171"/>
      <c r="AI217" s="171"/>
      <c r="AJ217" s="171"/>
      <c r="AK217" s="171"/>
      <c r="AL217" s="171"/>
      <c r="AM217" s="171"/>
      <c r="AN217" s="171"/>
      <c r="AO217" s="171"/>
      <c r="AP217" s="171"/>
      <c r="AQ217" s="171"/>
      <c r="AR217" s="171"/>
      <c r="AS217" s="171"/>
      <c r="AT217" s="171"/>
      <c r="AU217" s="171"/>
    </row>
    <row r="218" spans="1:47" s="620" customFormat="1" ht="15.75" hidden="1" thickBot="1" x14ac:dyDescent="0.3">
      <c r="A218" s="1418" t="s">
        <v>1427</v>
      </c>
      <c r="B218" s="1419"/>
      <c r="C218" s="1419"/>
      <c r="D218" s="1419"/>
      <c r="E218" s="1419"/>
      <c r="F218" s="1419"/>
      <c r="G218" s="1420"/>
      <c r="H218" s="171"/>
      <c r="I218" s="171"/>
      <c r="J218" s="100"/>
      <c r="K218" s="100"/>
      <c r="L218" s="101"/>
      <c r="M218" s="171"/>
      <c r="N218" s="100"/>
      <c r="O218" s="171"/>
      <c r="P218" s="171"/>
      <c r="Q218" s="171"/>
      <c r="R218" s="171"/>
      <c r="S218" s="171"/>
      <c r="T218" s="100"/>
      <c r="U218" s="101"/>
      <c r="V218" s="171"/>
      <c r="W218" s="100"/>
      <c r="X218" s="101"/>
      <c r="Y218" s="171"/>
      <c r="Z218" s="100"/>
      <c r="AA218" s="101"/>
      <c r="AB218" s="171"/>
      <c r="AC218" s="171"/>
      <c r="AD218" s="171"/>
      <c r="AE218" s="171"/>
      <c r="AF218" s="171"/>
      <c r="AG218" s="171"/>
      <c r="AH218" s="171"/>
      <c r="AI218" s="171"/>
      <c r="AJ218" s="171"/>
      <c r="AK218" s="171"/>
      <c r="AL218" s="171"/>
      <c r="AM218" s="171"/>
      <c r="AN218" s="171"/>
      <c r="AO218" s="171"/>
      <c r="AP218" s="171"/>
      <c r="AQ218" s="171"/>
      <c r="AR218" s="171"/>
      <c r="AS218" s="171"/>
      <c r="AT218" s="171"/>
      <c r="AU218" s="171"/>
    </row>
    <row r="219" spans="1:47" s="620" customFormat="1" ht="17.25" hidden="1" x14ac:dyDescent="0.25">
      <c r="A219" s="1481" t="s">
        <v>1433</v>
      </c>
      <c r="B219" s="584"/>
      <c r="C219" s="584"/>
      <c r="D219" s="584"/>
      <c r="E219" s="584"/>
      <c r="F219" s="584"/>
      <c r="G219" s="584"/>
      <c r="H219" s="171"/>
      <c r="I219" s="171"/>
      <c r="J219" s="100"/>
      <c r="K219" s="100"/>
      <c r="L219" s="101"/>
      <c r="M219" s="171"/>
      <c r="N219" s="100"/>
      <c r="O219" s="171"/>
      <c r="P219" s="171"/>
      <c r="Q219" s="171"/>
      <c r="R219" s="171"/>
      <c r="S219" s="171"/>
      <c r="T219" s="100"/>
      <c r="U219" s="101"/>
      <c r="V219" s="171"/>
      <c r="W219" s="100"/>
      <c r="X219" s="101"/>
      <c r="Y219" s="171"/>
      <c r="Z219" s="100"/>
      <c r="AA219" s="101"/>
      <c r="AB219" s="171"/>
      <c r="AC219" s="171"/>
      <c r="AD219" s="171"/>
      <c r="AE219" s="171"/>
      <c r="AF219" s="171"/>
      <c r="AG219" s="171"/>
      <c r="AH219" s="171"/>
      <c r="AI219" s="171"/>
      <c r="AJ219" s="171"/>
      <c r="AK219" s="171"/>
      <c r="AL219" s="171"/>
      <c r="AM219" s="171"/>
      <c r="AN219" s="171"/>
      <c r="AO219" s="171"/>
      <c r="AP219" s="171"/>
      <c r="AQ219" s="171"/>
      <c r="AR219" s="171"/>
      <c r="AS219" s="171"/>
      <c r="AT219" s="171"/>
      <c r="AU219" s="171"/>
    </row>
    <row r="220" spans="1:47" s="620" customFormat="1" hidden="1" x14ac:dyDescent="0.25">
      <c r="A220" s="1184" t="s">
        <v>1431</v>
      </c>
      <c r="B220" s="1417"/>
      <c r="C220" s="1417"/>
      <c r="D220" s="1417"/>
      <c r="E220" s="1417"/>
      <c r="F220" s="1417"/>
      <c r="G220" s="1417"/>
      <c r="H220" s="171"/>
      <c r="I220" s="171"/>
      <c r="J220" s="100"/>
      <c r="K220" s="100"/>
      <c r="L220" s="101"/>
      <c r="M220" s="171"/>
      <c r="N220" s="100"/>
      <c r="O220" s="171"/>
      <c r="P220" s="171"/>
      <c r="Q220" s="171"/>
      <c r="R220" s="171"/>
      <c r="S220" s="171"/>
      <c r="T220" s="100"/>
      <c r="U220" s="101"/>
      <c r="V220" s="171"/>
      <c r="W220" s="100"/>
      <c r="X220" s="101"/>
      <c r="Y220" s="171"/>
      <c r="Z220" s="100"/>
      <c r="AA220" s="10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row>
    <row r="221" spans="1:47" s="620" customFormat="1" ht="4.5" hidden="1" customHeight="1" x14ac:dyDescent="0.25">
      <c r="A221" s="1485"/>
      <c r="B221" s="1486"/>
      <c r="C221" s="1486"/>
      <c r="D221" s="1486"/>
      <c r="E221" s="1486"/>
      <c r="F221" s="1486"/>
      <c r="G221" s="1487"/>
      <c r="H221" s="171"/>
      <c r="I221" s="171"/>
      <c r="J221" s="100"/>
      <c r="K221" s="100"/>
      <c r="L221" s="101"/>
      <c r="M221" s="171"/>
      <c r="N221" s="100"/>
      <c r="O221" s="171"/>
      <c r="P221" s="171"/>
      <c r="Q221" s="171"/>
      <c r="R221" s="171"/>
      <c r="S221" s="171"/>
      <c r="T221" s="100"/>
      <c r="U221" s="101"/>
      <c r="V221" s="171"/>
      <c r="W221" s="100"/>
      <c r="X221" s="101"/>
      <c r="Y221" s="171"/>
      <c r="Z221" s="100"/>
      <c r="AA221" s="10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row>
    <row r="222" spans="1:47" s="620" customFormat="1" hidden="1" x14ac:dyDescent="0.25">
      <c r="A222" s="1481" t="s">
        <v>1650</v>
      </c>
      <c r="B222" s="653" t="e">
        <f ca="1">IF(Cabeçalho!$G$28="unfors",INDIRECT(ADDRESS(B224,3,1,1,"medidas Unfors"),1),INDIRECT(ADDRESS(B224,4,1,1,"medidas Fluke"),1)/1000)</f>
        <v>#VALUE!</v>
      </c>
      <c r="C222" s="653" t="e">
        <f ca="1">IF(Cabeçalho!$G$28="unfors",INDIRECT(ADDRESS(C224,3,1,1,"medidas Unfors"),1),INDIRECT(ADDRESS(C224,4,1,1,"medidas Fluke"),1)/1000)</f>
        <v>#VALUE!</v>
      </c>
      <c r="D222" s="653" t="e">
        <f ca="1">IF(Cabeçalho!$G$28="unfors",INDIRECT(ADDRESS(D224,3,1,1,"medidas Unfors"),1),INDIRECT(ADDRESS(D224,4,1,1,"medidas Fluke"),1)/1000)</f>
        <v>#VALUE!</v>
      </c>
      <c r="E222" s="653" t="e">
        <f ca="1">IF(Cabeçalho!$G$28="unfors",INDIRECT(ADDRESS(E224,3,1,1,"medidas Unfors"),1),INDIRECT(ADDRESS(E224,4,1,1,"medidas Fluke"),1)/1000)</f>
        <v>#VALUE!</v>
      </c>
      <c r="F222" s="653" t="e">
        <f ca="1">IF(Cabeçalho!$G$28="unfors",INDIRECT(ADDRESS(F224,3,1,1,"medidas Unfors"),1),INDIRECT(ADDRESS(F224,4,1,1,"medidas Fluke"),1)/1000)</f>
        <v>#VALUE!</v>
      </c>
      <c r="G222" s="653" t="e">
        <f ca="1">IF(Cabeçalho!$G$28="unfors",INDIRECT(ADDRESS(G224,3,1,1,"medidas Unfors"),1),INDIRECT(ADDRESS(G224,4,1,1,"medidas Fluke"),1)/1000)</f>
        <v>#VALUE!</v>
      </c>
      <c r="H222" s="171"/>
      <c r="I222" s="171"/>
      <c r="J222" s="100"/>
      <c r="K222" s="100"/>
      <c r="L222" s="101"/>
      <c r="M222" s="171"/>
      <c r="N222" s="100"/>
      <c r="O222" s="171"/>
      <c r="P222" s="171"/>
      <c r="Q222" s="171"/>
      <c r="R222" s="171"/>
      <c r="S222" s="171"/>
      <c r="T222" s="100"/>
      <c r="U222" s="101"/>
      <c r="V222" s="171"/>
      <c r="W222" s="100"/>
      <c r="X222" s="101"/>
      <c r="Y222" s="171"/>
      <c r="Z222" s="100"/>
      <c r="AA222" s="10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row>
    <row r="223" spans="1:47" s="620" customFormat="1" ht="15.75" hidden="1" thickBot="1" x14ac:dyDescent="0.3">
      <c r="A223" s="1480" t="s">
        <v>1653</v>
      </c>
      <c r="B223" s="1489" t="e">
        <f ca="1">IF(Cabeçalho!$G$28="Unfors",INDIRECT(ADDRESS(B224,5,1,1,"medidas Unfors"),1),INDIRECT(ADDRESS(B224,5,1,1,"medidas Fluke"),1)/1000)</f>
        <v>#VALUE!</v>
      </c>
      <c r="C223" s="1489" t="e">
        <f ca="1">IF(Cabeçalho!$G$28="Unfors",INDIRECT(ADDRESS(C224,5,1,1,"medidas Unfors"),1),INDIRECT(ADDRESS(C224,5,1,1,"medidas Fluke"),1)/1000)</f>
        <v>#VALUE!</v>
      </c>
      <c r="D223" s="1489" t="e">
        <f ca="1">IF(Cabeçalho!$G$28="Unfors",INDIRECT(ADDRESS(D224,5,1,1,"medidas Unfors"),1),INDIRECT(ADDRESS(D224,5,1,1,"medidas Fluke"),1)/1000)</f>
        <v>#VALUE!</v>
      </c>
      <c r="E223" s="1489" t="e">
        <f ca="1">IF(Cabeçalho!$G$28="Unfors",INDIRECT(ADDRESS(E224,5,1,1,"medidas Unfors"),1),INDIRECT(ADDRESS(E224,5,1,1,"medidas Fluke"),1)/1000)</f>
        <v>#VALUE!</v>
      </c>
      <c r="F223" s="1489" t="e">
        <f ca="1">IF(Cabeçalho!$G$28="Unfors",INDIRECT(ADDRESS(F224,5,1,1,"medidas Unfors"),1),INDIRECT(ADDRESS(F224,5,1,1,"medidas Fluke"),1)/1000)</f>
        <v>#VALUE!</v>
      </c>
      <c r="G223" s="1489" t="e">
        <f ca="1">IF(Cabeçalho!$G$28="Unfors",INDIRECT(ADDRESS(G224,5,1,1,"medidas Unfors"),1),INDIRECT(ADDRESS(G224,5,1,1,"medidas Fluke"),1)/1000)</f>
        <v>#VALUE!</v>
      </c>
      <c r="H223" s="171"/>
      <c r="I223" s="171"/>
      <c r="J223" s="100"/>
      <c r="K223" s="100"/>
      <c r="L223" s="101"/>
      <c r="M223" s="171"/>
      <c r="N223" s="100"/>
      <c r="O223" s="171"/>
      <c r="P223" s="171"/>
      <c r="Q223" s="171"/>
      <c r="R223" s="171"/>
      <c r="S223" s="171"/>
      <c r="T223" s="100"/>
      <c r="U223" s="101"/>
      <c r="V223" s="171"/>
      <c r="W223" s="100"/>
      <c r="X223" s="101"/>
      <c r="Y223" s="171"/>
      <c r="Z223" s="100"/>
      <c r="AA223" s="10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row>
    <row r="224" spans="1:47" s="620" customFormat="1" ht="15.75" hidden="1" thickBot="1" x14ac:dyDescent="0.3">
      <c r="A224" s="1418" t="s">
        <v>1428</v>
      </c>
      <c r="B224" s="1419"/>
      <c r="C224" s="1419"/>
      <c r="D224" s="1419"/>
      <c r="E224" s="1419"/>
      <c r="F224" s="1419"/>
      <c r="G224" s="1420"/>
      <c r="H224" s="171"/>
      <c r="I224" s="171"/>
      <c r="J224" s="100"/>
      <c r="K224" s="100"/>
      <c r="L224" s="101"/>
      <c r="M224" s="171"/>
      <c r="N224" s="100"/>
      <c r="O224" s="171"/>
      <c r="P224" s="171"/>
      <c r="Q224" s="171"/>
      <c r="R224" s="171"/>
      <c r="S224" s="171"/>
      <c r="T224" s="100"/>
      <c r="U224" s="101"/>
      <c r="V224" s="171"/>
      <c r="W224" s="100"/>
      <c r="X224" s="101"/>
      <c r="Y224" s="171"/>
      <c r="Z224" s="100"/>
      <c r="AA224" s="101"/>
      <c r="AB224" s="171"/>
      <c r="AC224" s="171"/>
      <c r="AD224" s="171"/>
      <c r="AE224" s="171"/>
      <c r="AF224" s="171"/>
      <c r="AG224" s="171"/>
      <c r="AH224" s="171"/>
      <c r="AI224" s="171"/>
      <c r="AJ224" s="171"/>
      <c r="AK224" s="171"/>
      <c r="AL224" s="171"/>
      <c r="AM224" s="171"/>
      <c r="AN224" s="171"/>
      <c r="AO224" s="171"/>
      <c r="AP224" s="171"/>
      <c r="AQ224" s="171"/>
      <c r="AR224" s="171"/>
      <c r="AS224" s="171"/>
      <c r="AT224" s="171"/>
      <c r="AU224" s="171"/>
    </row>
    <row r="225" spans="1:47" s="620" customFormat="1" ht="17.25" hidden="1" x14ac:dyDescent="0.25">
      <c r="A225" s="1481" t="s">
        <v>1434</v>
      </c>
      <c r="B225" s="584"/>
      <c r="C225" s="584"/>
      <c r="D225" s="584"/>
      <c r="E225" s="584"/>
      <c r="F225" s="584"/>
      <c r="G225" s="584"/>
      <c r="H225" s="171"/>
      <c r="I225" s="171"/>
      <c r="J225" s="100"/>
      <c r="K225" s="100"/>
      <c r="L225" s="101"/>
      <c r="M225" s="171"/>
      <c r="N225" s="100"/>
      <c r="O225" s="171"/>
      <c r="P225" s="171"/>
      <c r="Q225" s="171"/>
      <c r="R225" s="171"/>
      <c r="S225" s="171"/>
      <c r="T225" s="100"/>
      <c r="U225" s="101"/>
      <c r="V225" s="171"/>
      <c r="W225" s="100"/>
      <c r="X225" s="101"/>
      <c r="Y225" s="171"/>
      <c r="Z225" s="100"/>
      <c r="AA225" s="10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row>
    <row r="226" spans="1:47" s="620" customFormat="1" hidden="1" x14ac:dyDescent="0.25">
      <c r="A226" s="1481" t="s">
        <v>1432</v>
      </c>
      <c r="B226" s="584"/>
      <c r="C226" s="584"/>
      <c r="D226" s="584"/>
      <c r="E226" s="584"/>
      <c r="F226" s="584"/>
      <c r="G226" s="584"/>
      <c r="H226" s="171"/>
      <c r="I226" s="171"/>
      <c r="J226" s="100"/>
      <c r="K226" s="100"/>
      <c r="L226" s="101"/>
      <c r="M226" s="171"/>
      <c r="N226" s="100"/>
      <c r="O226" s="171"/>
      <c r="P226" s="171"/>
      <c r="Q226" s="171"/>
      <c r="R226" s="171"/>
      <c r="S226" s="171"/>
      <c r="T226" s="100"/>
      <c r="U226" s="101"/>
      <c r="V226" s="171"/>
      <c r="W226" s="100"/>
      <c r="X226" s="101"/>
      <c r="Y226" s="171"/>
      <c r="Z226" s="100"/>
      <c r="AA226" s="10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row>
    <row r="227" spans="1:47" s="620" customFormat="1" hidden="1" x14ac:dyDescent="0.25">
      <c r="A227" s="1481" t="s">
        <v>1435</v>
      </c>
      <c r="B227" s="653">
        <f t="shared" ref="B227:G227" si="26">ABS(B219-B213)</f>
        <v>0</v>
      </c>
      <c r="C227" s="653">
        <f t="shared" si="26"/>
        <v>0</v>
      </c>
      <c r="D227" s="653">
        <f t="shared" si="26"/>
        <v>0</v>
      </c>
      <c r="E227" s="653">
        <f t="shared" si="26"/>
        <v>0</v>
      </c>
      <c r="F227" s="653">
        <f t="shared" si="26"/>
        <v>0</v>
      </c>
      <c r="G227" s="653">
        <f t="shared" si="26"/>
        <v>0</v>
      </c>
      <c r="H227" s="171"/>
      <c r="I227" s="171"/>
      <c r="J227" s="100"/>
      <c r="K227" s="100"/>
      <c r="L227" s="101"/>
      <c r="M227" s="171"/>
      <c r="N227" s="100"/>
      <c r="O227" s="171"/>
      <c r="P227" s="171"/>
      <c r="Q227" s="171"/>
      <c r="R227" s="171"/>
      <c r="S227" s="171"/>
      <c r="T227" s="100"/>
      <c r="U227" s="101"/>
      <c r="V227" s="171"/>
      <c r="W227" s="100"/>
      <c r="X227" s="101"/>
      <c r="Y227" s="171"/>
      <c r="Z227" s="100"/>
      <c r="AA227" s="10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row>
    <row r="228" spans="1:47" s="620" customFormat="1" hidden="1" x14ac:dyDescent="0.25">
      <c r="A228" s="1481" t="s">
        <v>1437</v>
      </c>
      <c r="B228" s="653">
        <f t="shared" ref="B228:G228" si="27">ABS(B225-B219)</f>
        <v>0</v>
      </c>
      <c r="C228" s="653">
        <f t="shared" si="27"/>
        <v>0</v>
      </c>
      <c r="D228" s="653">
        <f t="shared" si="27"/>
        <v>0</v>
      </c>
      <c r="E228" s="653">
        <f t="shared" si="27"/>
        <v>0</v>
      </c>
      <c r="F228" s="653">
        <f t="shared" si="27"/>
        <v>0</v>
      </c>
      <c r="G228" s="653">
        <f t="shared" si="27"/>
        <v>0</v>
      </c>
      <c r="H228" s="171"/>
      <c r="I228" s="171"/>
      <c r="J228" s="100"/>
      <c r="K228" s="100"/>
      <c r="L228" s="101"/>
      <c r="M228" s="171"/>
      <c r="N228" s="100"/>
      <c r="O228" s="171"/>
      <c r="P228" s="171"/>
      <c r="Q228" s="171"/>
      <c r="R228" s="171"/>
      <c r="S228" s="171"/>
      <c r="T228" s="100"/>
      <c r="U228" s="101"/>
      <c r="V228" s="171"/>
      <c r="W228" s="100"/>
      <c r="X228" s="101"/>
      <c r="Y228" s="171"/>
      <c r="Z228" s="100"/>
      <c r="AA228" s="10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row>
    <row r="229" spans="1:47" s="620" customFormat="1" hidden="1" x14ac:dyDescent="0.25">
      <c r="A229" s="1481" t="s">
        <v>1436</v>
      </c>
      <c r="B229" s="653">
        <f t="shared" ref="B229:G229" si="28">ABS(B220-B214)</f>
        <v>0</v>
      </c>
      <c r="C229" s="653">
        <f t="shared" si="28"/>
        <v>0</v>
      </c>
      <c r="D229" s="653">
        <f t="shared" si="28"/>
        <v>0</v>
      </c>
      <c r="E229" s="653">
        <f t="shared" si="28"/>
        <v>0</v>
      </c>
      <c r="F229" s="653">
        <f t="shared" si="28"/>
        <v>0</v>
      </c>
      <c r="G229" s="653">
        <f t="shared" si="28"/>
        <v>0</v>
      </c>
      <c r="H229" s="171"/>
      <c r="I229" s="171"/>
      <c r="J229" s="100"/>
      <c r="K229" s="100"/>
      <c r="L229" s="101"/>
      <c r="M229" s="171"/>
      <c r="N229" s="100"/>
      <c r="O229" s="171"/>
      <c r="P229" s="171"/>
      <c r="Q229" s="171"/>
      <c r="R229" s="171"/>
      <c r="S229" s="171"/>
      <c r="T229" s="100"/>
      <c r="U229" s="101"/>
      <c r="V229" s="171"/>
      <c r="W229" s="100"/>
      <c r="X229" s="101"/>
      <c r="Y229" s="171"/>
      <c r="Z229" s="100"/>
      <c r="AA229" s="10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row>
    <row r="230" spans="1:47" s="620" customFormat="1" ht="15.75" hidden="1" thickBot="1" x14ac:dyDescent="0.3">
      <c r="A230" s="1184" t="s">
        <v>1438</v>
      </c>
      <c r="B230" s="1185">
        <f t="shared" ref="B230:G230" si="29">ABS(B226-B220)</f>
        <v>0</v>
      </c>
      <c r="C230" s="1185">
        <f t="shared" si="29"/>
        <v>0</v>
      </c>
      <c r="D230" s="1185">
        <f t="shared" si="29"/>
        <v>0</v>
      </c>
      <c r="E230" s="1185">
        <f t="shared" si="29"/>
        <v>0</v>
      </c>
      <c r="F230" s="1185">
        <f t="shared" si="29"/>
        <v>0</v>
      </c>
      <c r="G230" s="1185">
        <f t="shared" si="29"/>
        <v>0</v>
      </c>
      <c r="H230" s="171"/>
      <c r="I230" s="171"/>
      <c r="J230" s="100"/>
      <c r="K230" s="100"/>
      <c r="L230" s="101"/>
      <c r="M230" s="171"/>
      <c r="N230" s="100"/>
      <c r="O230" s="171"/>
      <c r="P230" s="171"/>
      <c r="Q230" s="171"/>
      <c r="R230" s="171"/>
      <c r="S230" s="171"/>
      <c r="T230" s="100"/>
      <c r="U230" s="101"/>
      <c r="V230" s="171"/>
      <c r="W230" s="100"/>
      <c r="X230" s="101"/>
      <c r="Y230" s="171"/>
      <c r="Z230" s="100"/>
      <c r="AA230" s="10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row>
    <row r="231" spans="1:47" s="620" customFormat="1" hidden="1" x14ac:dyDescent="0.25">
      <c r="A231" s="1186" t="s">
        <v>1439</v>
      </c>
      <c r="B231" s="1187" t="e">
        <f t="shared" ref="B231:G231" si="30">B227/B229</f>
        <v>#DIV/0!</v>
      </c>
      <c r="C231" s="1187" t="e">
        <f t="shared" si="30"/>
        <v>#DIV/0!</v>
      </c>
      <c r="D231" s="1187" t="e">
        <f t="shared" si="30"/>
        <v>#DIV/0!</v>
      </c>
      <c r="E231" s="1187" t="e">
        <f t="shared" si="30"/>
        <v>#DIV/0!</v>
      </c>
      <c r="F231" s="1187" t="e">
        <f t="shared" si="30"/>
        <v>#DIV/0!</v>
      </c>
      <c r="G231" s="1188" t="e">
        <f t="shared" si="30"/>
        <v>#DIV/0!</v>
      </c>
      <c r="H231" s="171"/>
      <c r="I231" s="171"/>
      <c r="J231" s="100"/>
      <c r="K231" s="100"/>
      <c r="L231" s="101"/>
      <c r="M231" s="171"/>
      <c r="N231" s="100"/>
      <c r="O231" s="171"/>
      <c r="P231" s="171"/>
      <c r="Q231" s="171"/>
      <c r="R231" s="171"/>
      <c r="S231" s="171"/>
      <c r="T231" s="100"/>
      <c r="U231" s="101"/>
      <c r="V231" s="171"/>
      <c r="W231" s="100"/>
      <c r="X231" s="101"/>
      <c r="Y231" s="171"/>
      <c r="Z231" s="100"/>
      <c r="AA231" s="10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row>
    <row r="232" spans="1:47" s="620" customFormat="1" hidden="1" x14ac:dyDescent="0.25">
      <c r="A232" s="1189" t="s">
        <v>1440</v>
      </c>
      <c r="B232" s="653" t="e">
        <f t="shared" ref="B232:G232" si="31">B228/B230</f>
        <v>#DIV/0!</v>
      </c>
      <c r="C232" s="653" t="e">
        <f t="shared" si="31"/>
        <v>#DIV/0!</v>
      </c>
      <c r="D232" s="653" t="e">
        <f t="shared" si="31"/>
        <v>#DIV/0!</v>
      </c>
      <c r="E232" s="653" t="e">
        <f t="shared" si="31"/>
        <v>#DIV/0!</v>
      </c>
      <c r="F232" s="653" t="e">
        <f t="shared" si="31"/>
        <v>#DIV/0!</v>
      </c>
      <c r="G232" s="1190" t="e">
        <f t="shared" si="31"/>
        <v>#DIV/0!</v>
      </c>
      <c r="H232" s="171"/>
      <c r="I232" s="171"/>
      <c r="J232" s="100"/>
      <c r="K232" s="100"/>
      <c r="L232" s="101"/>
      <c r="M232" s="171"/>
      <c r="N232" s="100"/>
      <c r="O232" s="171"/>
      <c r="P232" s="171"/>
      <c r="Q232" s="171"/>
      <c r="R232" s="171"/>
      <c r="S232" s="171"/>
      <c r="T232" s="100"/>
      <c r="U232" s="101"/>
      <c r="V232" s="171"/>
      <c r="W232" s="100"/>
      <c r="X232" s="101"/>
      <c r="Y232" s="171"/>
      <c r="Z232" s="100"/>
      <c r="AA232" s="10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row>
    <row r="233" spans="1:47" s="620" customFormat="1" hidden="1" x14ac:dyDescent="0.25">
      <c r="A233" s="1189" t="s">
        <v>1639</v>
      </c>
      <c r="B233" s="653">
        <f t="shared" ref="B233:G233" si="32">IF($D$141="Quadrado",B$132^2,PI()*(B$132/2)^2)</f>
        <v>0</v>
      </c>
      <c r="C233" s="653" t="e">
        <f t="shared" si="32"/>
        <v>#VALUE!</v>
      </c>
      <c r="D233" s="653" t="e">
        <f t="shared" si="32"/>
        <v>#VALUE!</v>
      </c>
      <c r="E233" s="653" t="e">
        <f t="shared" si="32"/>
        <v>#VALUE!</v>
      </c>
      <c r="F233" s="653" t="e">
        <f t="shared" si="32"/>
        <v>#VALUE!</v>
      </c>
      <c r="G233" s="653" t="e">
        <f t="shared" si="32"/>
        <v>#VALUE!</v>
      </c>
      <c r="H233" s="171"/>
      <c r="I233" s="171"/>
      <c r="J233" s="100"/>
      <c r="K233" s="100"/>
      <c r="L233" s="101"/>
      <c r="M233" s="171"/>
      <c r="N233" s="100"/>
      <c r="O233" s="171"/>
      <c r="P233" s="171"/>
      <c r="Q233" s="171"/>
      <c r="R233" s="171"/>
      <c r="S233" s="171"/>
      <c r="T233" s="100"/>
      <c r="U233" s="101"/>
      <c r="V233" s="171"/>
      <c r="W233" s="100"/>
      <c r="X233" s="101"/>
      <c r="Y233" s="171"/>
      <c r="Z233" s="100"/>
      <c r="AA233" s="10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row>
    <row r="234" spans="1:47" s="620" customFormat="1" ht="18" hidden="1" thickBot="1" x14ac:dyDescent="0.3">
      <c r="A234" s="1415" t="s">
        <v>1640</v>
      </c>
      <c r="B234" s="1416">
        <f t="shared" ref="B234:G234" si="33">IF($D$141="Quadrado",B209^2,PI()*(B209/2)^2)</f>
        <v>415.47562843725012</v>
      </c>
      <c r="C234" s="1191">
        <f t="shared" si="33"/>
        <v>0</v>
      </c>
      <c r="D234" s="1191">
        <f t="shared" si="33"/>
        <v>0</v>
      </c>
      <c r="E234" s="1191">
        <f t="shared" si="33"/>
        <v>0</v>
      </c>
      <c r="F234" s="1191">
        <f t="shared" si="33"/>
        <v>0</v>
      </c>
      <c r="G234" s="1192">
        <f t="shared" si="33"/>
        <v>0</v>
      </c>
      <c r="H234" s="171"/>
      <c r="I234" s="171"/>
      <c r="J234" s="100"/>
      <c r="K234" s="100"/>
      <c r="L234" s="101"/>
      <c r="M234" s="171"/>
      <c r="N234" s="100"/>
      <c r="O234" s="171"/>
      <c r="P234" s="171"/>
      <c r="Q234" s="171"/>
      <c r="R234" s="171"/>
      <c r="S234" s="171"/>
      <c r="T234" s="100"/>
      <c r="U234" s="101"/>
      <c r="V234" s="171"/>
      <c r="W234" s="100"/>
      <c r="X234" s="101"/>
      <c r="Y234" s="171"/>
      <c r="Z234" s="100"/>
      <c r="AA234" s="10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row>
    <row r="235" spans="1:47" s="620" customFormat="1" ht="17.25" hidden="1" x14ac:dyDescent="0.25">
      <c r="A235" s="1498" t="s">
        <v>1684</v>
      </c>
      <c r="B235" s="1187" t="str">
        <f t="shared" ref="B235:G235" ca="1" si="34">IFERROR(B231*B216,"NPA")</f>
        <v>NPA</v>
      </c>
      <c r="C235" s="1187" t="str">
        <f t="shared" ca="1" si="34"/>
        <v>NPA</v>
      </c>
      <c r="D235" s="1187" t="str">
        <f t="shared" ca="1" si="34"/>
        <v>NPA</v>
      </c>
      <c r="E235" s="1187" t="str">
        <f t="shared" ca="1" si="34"/>
        <v>NPA</v>
      </c>
      <c r="F235" s="1187" t="str">
        <f t="shared" ca="1" si="34"/>
        <v>NPA</v>
      </c>
      <c r="G235" s="1187" t="str">
        <f t="shared" ca="1" si="34"/>
        <v>NPA</v>
      </c>
      <c r="H235" s="171"/>
      <c r="I235" s="171"/>
      <c r="J235" s="100"/>
      <c r="K235" s="100"/>
      <c r="L235" s="101"/>
      <c r="M235" s="171"/>
      <c r="N235" s="100"/>
      <c r="O235" s="171"/>
      <c r="P235" s="171"/>
      <c r="Q235" s="171"/>
      <c r="R235" s="171"/>
      <c r="S235" s="171"/>
      <c r="T235" s="100"/>
      <c r="U235" s="101"/>
      <c r="V235" s="171"/>
      <c r="W235" s="100"/>
      <c r="X235" s="101"/>
      <c r="Y235" s="171"/>
      <c r="Z235" s="100"/>
      <c r="AA235" s="10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row>
    <row r="236" spans="1:47" s="620" customFormat="1" ht="17.25" hidden="1" x14ac:dyDescent="0.25">
      <c r="A236" s="1499" t="s">
        <v>1686</v>
      </c>
      <c r="B236" s="653" t="str">
        <f t="shared" ref="B236:G236" ca="1" si="35">IFERROR(B216*B233,"NPA")</f>
        <v>NPA</v>
      </c>
      <c r="C236" s="653" t="str">
        <f t="shared" ca="1" si="35"/>
        <v>NPA</v>
      </c>
      <c r="D236" s="653" t="str">
        <f t="shared" ca="1" si="35"/>
        <v>NPA</v>
      </c>
      <c r="E236" s="653" t="str">
        <f t="shared" ca="1" si="35"/>
        <v>NPA</v>
      </c>
      <c r="F236" s="653" t="str">
        <f t="shared" ca="1" si="35"/>
        <v>NPA</v>
      </c>
      <c r="G236" s="653" t="str">
        <f t="shared" ca="1" si="35"/>
        <v>NPA</v>
      </c>
      <c r="H236" s="171"/>
      <c r="I236" s="171"/>
      <c r="J236" s="100"/>
      <c r="K236" s="100"/>
      <c r="L236" s="101"/>
      <c r="M236" s="171"/>
      <c r="N236" s="100"/>
      <c r="O236" s="171"/>
      <c r="P236" s="171"/>
      <c r="Q236" s="171"/>
      <c r="R236" s="171"/>
      <c r="S236" s="171"/>
      <c r="T236" s="100"/>
      <c r="U236" s="101"/>
      <c r="V236" s="171"/>
      <c r="W236" s="100"/>
      <c r="X236" s="101"/>
      <c r="Y236" s="171"/>
      <c r="Z236" s="100"/>
      <c r="AA236" s="10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row>
    <row r="237" spans="1:47" s="620" customFormat="1" ht="17.25" hidden="1" x14ac:dyDescent="0.25">
      <c r="A237" s="1499" t="s">
        <v>1688</v>
      </c>
      <c r="B237" s="653" t="str">
        <f t="shared" ref="B237:G237" ca="1" si="36">IFERROR(B216*B234,"NPA")</f>
        <v>NPA</v>
      </c>
      <c r="C237" s="653" t="str">
        <f t="shared" ca="1" si="36"/>
        <v>NPA</v>
      </c>
      <c r="D237" s="653" t="str">
        <f t="shared" ca="1" si="36"/>
        <v>NPA</v>
      </c>
      <c r="E237" s="653" t="str">
        <f t="shared" ca="1" si="36"/>
        <v>NPA</v>
      </c>
      <c r="F237" s="653" t="str">
        <f t="shared" ca="1" si="36"/>
        <v>NPA</v>
      </c>
      <c r="G237" s="653" t="str">
        <f t="shared" ca="1" si="36"/>
        <v>NPA</v>
      </c>
      <c r="H237" s="171"/>
      <c r="I237" s="171"/>
      <c r="J237" s="100"/>
      <c r="K237" s="100"/>
      <c r="L237" s="101"/>
      <c r="M237" s="171"/>
      <c r="N237" s="100"/>
      <c r="O237" s="171"/>
      <c r="P237" s="171"/>
      <c r="Q237" s="171"/>
      <c r="R237" s="171"/>
      <c r="S237" s="171"/>
      <c r="T237" s="100"/>
      <c r="U237" s="101"/>
      <c r="V237" s="171"/>
      <c r="W237" s="100"/>
      <c r="X237" s="101"/>
      <c r="Y237" s="171"/>
      <c r="Z237" s="100"/>
      <c r="AA237" s="10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row>
    <row r="238" spans="1:47" s="620" customFormat="1" ht="17.25" hidden="1" x14ac:dyDescent="0.25">
      <c r="A238" s="1500" t="s">
        <v>1685</v>
      </c>
      <c r="B238" s="653" t="str">
        <f t="shared" ref="B238:G238" ca="1" si="37">IFERROR(B232*B222,"NPA")</f>
        <v>NPA</v>
      </c>
      <c r="C238" s="653" t="str">
        <f t="shared" ca="1" si="37"/>
        <v>NPA</v>
      </c>
      <c r="D238" s="653" t="str">
        <f t="shared" ca="1" si="37"/>
        <v>NPA</v>
      </c>
      <c r="E238" s="653" t="str">
        <f t="shared" ca="1" si="37"/>
        <v>NPA</v>
      </c>
      <c r="F238" s="653" t="str">
        <f t="shared" ca="1" si="37"/>
        <v>NPA</v>
      </c>
      <c r="G238" s="653" t="str">
        <f t="shared" ca="1" si="37"/>
        <v>NPA</v>
      </c>
      <c r="H238" s="171"/>
      <c r="I238" s="171"/>
      <c r="J238" s="100"/>
      <c r="K238" s="100"/>
      <c r="L238" s="101"/>
      <c r="M238" s="171"/>
      <c r="N238" s="100"/>
      <c r="O238" s="171"/>
      <c r="P238" s="171"/>
      <c r="Q238" s="171"/>
      <c r="R238" s="171"/>
      <c r="S238" s="171"/>
      <c r="T238" s="100"/>
      <c r="U238" s="101"/>
      <c r="V238" s="171"/>
      <c r="W238" s="100"/>
      <c r="X238" s="101"/>
      <c r="Y238" s="171"/>
      <c r="Z238" s="100"/>
      <c r="AA238" s="10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row>
    <row r="239" spans="1:47" s="620" customFormat="1" ht="17.25" hidden="1" x14ac:dyDescent="0.25">
      <c r="A239" s="1500" t="s">
        <v>1687</v>
      </c>
      <c r="B239" s="653" t="str">
        <f t="shared" ref="B239:G239" ca="1" si="38">IFERROR(B222*B233,"NPA")</f>
        <v>NPA</v>
      </c>
      <c r="C239" s="653" t="str">
        <f t="shared" ca="1" si="38"/>
        <v>NPA</v>
      </c>
      <c r="D239" s="653" t="str">
        <f t="shared" ca="1" si="38"/>
        <v>NPA</v>
      </c>
      <c r="E239" s="653" t="str">
        <f t="shared" ca="1" si="38"/>
        <v>NPA</v>
      </c>
      <c r="F239" s="653" t="str">
        <f t="shared" ca="1" si="38"/>
        <v>NPA</v>
      </c>
      <c r="G239" s="653" t="str">
        <f t="shared" ca="1" si="38"/>
        <v>NPA</v>
      </c>
      <c r="H239" s="171"/>
      <c r="I239" s="171"/>
      <c r="J239" s="100"/>
      <c r="K239" s="100"/>
      <c r="L239" s="101"/>
      <c r="M239" s="171"/>
      <c r="N239" s="100"/>
      <c r="O239" s="171"/>
      <c r="P239" s="171"/>
      <c r="Q239" s="171"/>
      <c r="R239" s="171"/>
      <c r="S239" s="171"/>
      <c r="T239" s="100"/>
      <c r="U239" s="101"/>
      <c r="V239" s="171"/>
      <c r="W239" s="100"/>
      <c r="X239" s="101"/>
      <c r="Y239" s="171"/>
      <c r="Z239" s="100"/>
      <c r="AA239" s="10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row>
    <row r="240" spans="1:47" s="620" customFormat="1" ht="18" hidden="1" thickBot="1" x14ac:dyDescent="0.3">
      <c r="A240" s="1501" t="s">
        <v>1689</v>
      </c>
      <c r="B240" s="1191" t="str">
        <f t="shared" ref="B240:G240" ca="1" si="39">IFERROR(B222*B234,"NPA")</f>
        <v>NPA</v>
      </c>
      <c r="C240" s="1191" t="str">
        <f t="shared" ca="1" si="39"/>
        <v>NPA</v>
      </c>
      <c r="D240" s="1191" t="str">
        <f t="shared" ca="1" si="39"/>
        <v>NPA</v>
      </c>
      <c r="E240" s="1191" t="str">
        <f t="shared" ca="1" si="39"/>
        <v>NPA</v>
      </c>
      <c r="F240" s="1191" t="str">
        <f t="shared" ca="1" si="39"/>
        <v>NPA</v>
      </c>
      <c r="G240" s="1191" t="str">
        <f t="shared" ca="1" si="39"/>
        <v>NPA</v>
      </c>
      <c r="H240" s="171"/>
      <c r="I240" s="171"/>
      <c r="J240" s="100"/>
      <c r="K240" s="100"/>
      <c r="L240" s="101"/>
      <c r="M240" s="171"/>
      <c r="N240" s="100"/>
      <c r="O240" s="171"/>
      <c r="P240" s="171"/>
      <c r="Q240" s="171"/>
      <c r="R240" s="171"/>
      <c r="S240" s="171"/>
      <c r="T240" s="100"/>
      <c r="U240" s="101"/>
      <c r="V240" s="171"/>
      <c r="W240" s="100"/>
      <c r="X240" s="101"/>
      <c r="Y240" s="171"/>
      <c r="Z240" s="100"/>
      <c r="AA240" s="10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row>
    <row r="241" spans="1:47" s="620" customFormat="1" ht="4.5" hidden="1" customHeight="1" thickBot="1" x14ac:dyDescent="0.3">
      <c r="A241" s="1193"/>
      <c r="B241" s="1194"/>
      <c r="C241" s="1194"/>
      <c r="D241" s="1194"/>
      <c r="E241" s="1194"/>
      <c r="F241" s="1194"/>
      <c r="G241" s="1195"/>
      <c r="H241" s="171"/>
      <c r="I241" s="171"/>
      <c r="J241" s="100"/>
      <c r="K241" s="100"/>
      <c r="L241" s="101"/>
      <c r="M241" s="171"/>
      <c r="N241" s="100"/>
      <c r="O241" s="171"/>
      <c r="P241" s="171"/>
      <c r="Q241" s="171"/>
      <c r="R241" s="171"/>
      <c r="S241" s="171"/>
      <c r="T241" s="100"/>
      <c r="U241" s="101"/>
      <c r="V241" s="171"/>
      <c r="W241" s="100"/>
      <c r="X241" s="101"/>
      <c r="Y241" s="171"/>
      <c r="Z241" s="100"/>
      <c r="AA241" s="10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row>
    <row r="242" spans="1:47" s="620" customFormat="1" ht="15.75" hidden="1" thickBot="1" x14ac:dyDescent="0.3">
      <c r="A242" s="2496" t="s">
        <v>1690</v>
      </c>
      <c r="B242" s="2497"/>
      <c r="C242" s="2497"/>
      <c r="D242" s="2497"/>
      <c r="E242" s="2497"/>
      <c r="F242" s="2497"/>
      <c r="G242" s="2498"/>
      <c r="H242" s="171"/>
      <c r="I242" s="171"/>
      <c r="J242" s="100"/>
      <c r="K242" s="100"/>
      <c r="L242" s="101"/>
      <c r="M242" s="171"/>
      <c r="N242" s="100"/>
      <c r="O242" s="171"/>
      <c r="P242" s="171"/>
      <c r="Q242" s="171"/>
      <c r="R242" s="171"/>
      <c r="S242" s="171"/>
      <c r="T242" s="100"/>
      <c r="U242" s="101"/>
      <c r="V242" s="171"/>
      <c r="W242" s="100"/>
      <c r="X242" s="101"/>
      <c r="Y242" s="171"/>
      <c r="Z242" s="100"/>
      <c r="AA242" s="10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row>
    <row r="243" spans="1:47" s="620" customFormat="1" hidden="1" x14ac:dyDescent="0.25">
      <c r="A243" s="1193" t="s">
        <v>1656</v>
      </c>
      <c r="B243" s="1497" t="s">
        <v>1651</v>
      </c>
      <c r="C243" s="1491" t="str">
        <f>B243</f>
        <v>mGy.cm2 calculado Ddisp1.A10</v>
      </c>
      <c r="D243" s="1491" t="str">
        <f>C243</f>
        <v>mGy.cm2 calculado Ddisp1.A10</v>
      </c>
      <c r="E243" s="1491" t="str">
        <f>D243</f>
        <v>mGy.cm2 calculado Ddisp1.A10</v>
      </c>
      <c r="F243" s="1491" t="str">
        <f>E243</f>
        <v>mGy.cm2 calculado Ddisp1.A10</v>
      </c>
      <c r="G243" s="1491" t="str">
        <f>F243</f>
        <v>mGy.cm2 calculado Ddisp1.A10</v>
      </c>
      <c r="H243" s="171"/>
      <c r="I243" s="171"/>
      <c r="J243" s="100"/>
      <c r="K243" s="100"/>
      <c r="L243" s="101"/>
      <c r="M243" s="171"/>
      <c r="N243" s="100"/>
      <c r="O243" s="171"/>
      <c r="P243" s="171"/>
      <c r="Q243" s="171"/>
      <c r="R243" s="171"/>
      <c r="S243" s="171"/>
      <c r="T243" s="100"/>
      <c r="U243" s="101"/>
      <c r="V243" s="171"/>
      <c r="W243" s="100"/>
      <c r="X243" s="101"/>
      <c r="Y243" s="171"/>
      <c r="Z243" s="100"/>
      <c r="AA243" s="10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row>
    <row r="244" spans="1:47" s="620" customFormat="1" ht="17.25" hidden="1" x14ac:dyDescent="0.25">
      <c r="A244" s="1480" t="s">
        <v>1657</v>
      </c>
      <c r="B244" s="1213">
        <f t="shared" ref="B244:G244" si="40">B228</f>
        <v>0</v>
      </c>
      <c r="C244" s="1213">
        <f t="shared" si="40"/>
        <v>0</v>
      </c>
      <c r="D244" s="1213">
        <f t="shared" si="40"/>
        <v>0</v>
      </c>
      <c r="E244" s="1213">
        <f t="shared" si="40"/>
        <v>0</v>
      </c>
      <c r="F244" s="1213">
        <f t="shared" si="40"/>
        <v>0</v>
      </c>
      <c r="G244" s="1213">
        <f t="shared" si="40"/>
        <v>0</v>
      </c>
      <c r="H244" s="171"/>
      <c r="I244" s="171"/>
      <c r="J244" s="100"/>
      <c r="K244" s="100"/>
      <c r="L244" s="101"/>
      <c r="M244" s="171"/>
      <c r="N244" s="100"/>
      <c r="O244" s="171"/>
      <c r="P244" s="171"/>
      <c r="Q244" s="171"/>
      <c r="R244" s="171"/>
      <c r="S244" s="171"/>
      <c r="T244" s="100"/>
      <c r="U244" s="101"/>
      <c r="V244" s="171"/>
      <c r="W244" s="100"/>
      <c r="X244" s="101"/>
      <c r="Y244" s="171"/>
      <c r="Z244" s="100"/>
      <c r="AA244" s="10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row>
    <row r="245" spans="1:47" s="620" customFormat="1" ht="17.25" hidden="1" x14ac:dyDescent="0.25">
      <c r="A245" s="1481" t="s">
        <v>1658</v>
      </c>
      <c r="B245" s="1196" t="str">
        <f t="shared" ref="B245:G245" ca="1" si="41">VLOOKUP($B243,$A235:$G240,COLUMN())</f>
        <v>NPA</v>
      </c>
      <c r="C245" s="1196" t="str">
        <f t="shared" ca="1" si="41"/>
        <v>NPA</v>
      </c>
      <c r="D245" s="1196" t="str">
        <f t="shared" ca="1" si="41"/>
        <v>NPA</v>
      </c>
      <c r="E245" s="1196" t="str">
        <f t="shared" ca="1" si="41"/>
        <v>NPA</v>
      </c>
      <c r="F245" s="1196" t="str">
        <f t="shared" ca="1" si="41"/>
        <v>NPA</v>
      </c>
      <c r="G245" s="1196" t="str">
        <f t="shared" ca="1" si="41"/>
        <v>NPA</v>
      </c>
      <c r="H245" s="171"/>
      <c r="I245" s="171"/>
      <c r="J245" s="100"/>
      <c r="K245" s="100"/>
      <c r="L245" s="101"/>
      <c r="M245" s="171"/>
      <c r="N245" s="100"/>
      <c r="O245" s="171"/>
      <c r="P245" s="171"/>
      <c r="Q245" s="171"/>
      <c r="R245" s="171"/>
      <c r="S245" s="171"/>
      <c r="T245" s="100"/>
      <c r="U245" s="101"/>
      <c r="V245" s="171"/>
      <c r="W245" s="100"/>
      <c r="X245" s="101"/>
      <c r="Y245" s="171"/>
      <c r="Z245" s="100"/>
      <c r="AA245" s="101"/>
      <c r="AB245" s="171"/>
      <c r="AC245" s="171"/>
      <c r="AD245" s="171"/>
      <c r="AE245" s="171"/>
      <c r="AF245" s="171"/>
      <c r="AG245" s="171"/>
      <c r="AH245" s="171"/>
      <c r="AI245" s="171"/>
      <c r="AJ245" s="171"/>
      <c r="AK245" s="171"/>
      <c r="AL245" s="171"/>
      <c r="AM245" s="171"/>
      <c r="AN245" s="171"/>
      <c r="AO245" s="171"/>
      <c r="AP245" s="171"/>
      <c r="AQ245" s="171"/>
      <c r="AR245" s="171"/>
      <c r="AS245" s="171"/>
      <c r="AT245" s="171"/>
      <c r="AU245" s="171"/>
    </row>
    <row r="246" spans="1:47" s="620" customFormat="1" hidden="1" x14ac:dyDescent="0.25">
      <c r="A246" s="140" t="s">
        <v>1700</v>
      </c>
      <c r="B246" s="1196">
        <f t="shared" ref="B246:G246" si="42">B195</f>
        <v>0</v>
      </c>
      <c r="C246" s="1196">
        <f t="shared" si="42"/>
        <v>1</v>
      </c>
      <c r="D246" s="1196">
        <f t="shared" si="42"/>
        <v>1</v>
      </c>
      <c r="E246" s="1196">
        <f t="shared" si="42"/>
        <v>1</v>
      </c>
      <c r="F246" s="1196">
        <f t="shared" si="42"/>
        <v>1</v>
      </c>
      <c r="G246" s="1196">
        <f t="shared" si="42"/>
        <v>1</v>
      </c>
      <c r="H246" s="171" t="s">
        <v>1647</v>
      </c>
      <c r="J246" s="100"/>
      <c r="K246" s="100"/>
      <c r="L246" s="101"/>
      <c r="M246" s="171"/>
      <c r="N246" s="100"/>
      <c r="O246" s="171"/>
      <c r="P246" s="171"/>
      <c r="Q246" s="171"/>
      <c r="R246" s="171"/>
      <c r="S246" s="171"/>
      <c r="T246" s="100"/>
      <c r="U246" s="101"/>
      <c r="V246" s="171"/>
      <c r="W246" s="100"/>
      <c r="X246" s="101"/>
      <c r="Y246" s="171"/>
      <c r="Z246" s="100"/>
      <c r="AA246" s="101"/>
      <c r="AB246" s="171"/>
      <c r="AC246" s="171"/>
      <c r="AD246" s="171"/>
      <c r="AE246" s="171"/>
      <c r="AF246" s="171"/>
      <c r="AG246" s="171"/>
      <c r="AH246" s="171"/>
      <c r="AI246" s="171"/>
      <c r="AJ246" s="171"/>
      <c r="AK246" s="171"/>
      <c r="AL246" s="171"/>
      <c r="AM246" s="171"/>
      <c r="AN246" s="171"/>
      <c r="AO246" s="171"/>
      <c r="AP246" s="171"/>
      <c r="AQ246" s="171"/>
      <c r="AR246" s="171"/>
      <c r="AS246" s="171"/>
      <c r="AT246" s="171"/>
      <c r="AU246" s="171"/>
    </row>
    <row r="247" spans="1:47" s="620" customFormat="1" hidden="1" x14ac:dyDescent="0.25">
      <c r="A247" s="1504" t="s">
        <v>1683</v>
      </c>
      <c r="B247" s="1505" t="e">
        <f t="shared" ref="B247:G247" ca="1" si="43">ROUNDDOWN(ABS(B245/(B244*B246)-1)*100,2)</f>
        <v>#VALUE!</v>
      </c>
      <c r="C247" s="1505" t="e">
        <f t="shared" ca="1" si="43"/>
        <v>#VALUE!</v>
      </c>
      <c r="D247" s="1505" t="e">
        <f t="shared" ca="1" si="43"/>
        <v>#VALUE!</v>
      </c>
      <c r="E247" s="1505" t="e">
        <f t="shared" ca="1" si="43"/>
        <v>#VALUE!</v>
      </c>
      <c r="F247" s="1505" t="e">
        <f t="shared" ca="1" si="43"/>
        <v>#VALUE!</v>
      </c>
      <c r="G247" s="1505" t="e">
        <f t="shared" ca="1" si="43"/>
        <v>#VALUE!</v>
      </c>
      <c r="H247" s="171"/>
      <c r="I247" s="171"/>
      <c r="J247" s="100"/>
      <c r="K247" s="100"/>
      <c r="L247" s="101"/>
      <c r="M247" s="171"/>
      <c r="N247" s="100"/>
      <c r="O247" s="171"/>
      <c r="P247" s="171"/>
      <c r="Q247" s="171"/>
      <c r="R247" s="171"/>
      <c r="S247" s="171"/>
      <c r="T247" s="100"/>
      <c r="U247" s="101"/>
      <c r="V247" s="171"/>
      <c r="W247" s="100"/>
      <c r="X247" s="101"/>
      <c r="Y247" s="171"/>
      <c r="Z247" s="100"/>
      <c r="AA247" s="101"/>
      <c r="AB247" s="171"/>
      <c r="AC247" s="171"/>
      <c r="AD247" s="171"/>
      <c r="AE247" s="171"/>
      <c r="AF247" s="171"/>
      <c r="AG247" s="171"/>
      <c r="AH247" s="171"/>
      <c r="AI247" s="171"/>
      <c r="AJ247" s="171"/>
      <c r="AK247" s="171"/>
      <c r="AL247" s="171"/>
      <c r="AM247" s="171"/>
      <c r="AN247" s="171"/>
      <c r="AO247" s="171"/>
      <c r="AP247" s="171"/>
      <c r="AQ247" s="171"/>
      <c r="AR247" s="171"/>
      <c r="AS247" s="171"/>
      <c r="AT247" s="171"/>
      <c r="AU247" s="171"/>
    </row>
    <row r="248" spans="1:47" s="620" customFormat="1" hidden="1" x14ac:dyDescent="0.25">
      <c r="A248" s="1506" t="str">
        <f>$B$1</f>
        <v>IN 91</v>
      </c>
      <c r="B248" s="1507" t="str">
        <f t="shared" ref="B248:G248" ca="1" si="44">IFERROR(IF(ROUNDDOWN(ABS(B245/(B244*B246)-1),2)&lt;=0.2,"Sim",IF(ROUNDDOWN(ABS(B245/(B244*B246)-1),2)&lt;0.4,"Não","Restrição")),"NPA")</f>
        <v>NPA</v>
      </c>
      <c r="C248" s="1507" t="str">
        <f t="shared" ca="1" si="44"/>
        <v>NPA</v>
      </c>
      <c r="D248" s="1507" t="str">
        <f t="shared" ca="1" si="44"/>
        <v>NPA</v>
      </c>
      <c r="E248" s="1507" t="str">
        <f t="shared" ca="1" si="44"/>
        <v>NPA</v>
      </c>
      <c r="F248" s="1507" t="str">
        <f t="shared" ca="1" si="44"/>
        <v>NPA</v>
      </c>
      <c r="G248" s="1507" t="str">
        <f t="shared" ca="1" si="44"/>
        <v>NPA</v>
      </c>
      <c r="H248" s="171"/>
      <c r="I248" s="171"/>
      <c r="J248" s="101"/>
      <c r="K248" s="171"/>
      <c r="L248" s="101"/>
      <c r="M248" s="171"/>
      <c r="N248" s="100"/>
      <c r="O248" s="171"/>
      <c r="P248" s="171"/>
      <c r="Q248" s="171"/>
      <c r="R248" s="171"/>
      <c r="S248" s="171"/>
      <c r="T248" s="100"/>
      <c r="U248" s="101"/>
      <c r="V248" s="171"/>
      <c r="W248" s="100"/>
      <c r="X248" s="101"/>
      <c r="Y248" s="171"/>
      <c r="Z248" s="100"/>
      <c r="AA248" s="101"/>
      <c r="AB248" s="171"/>
      <c r="AC248" s="171"/>
      <c r="AD248" s="171"/>
      <c r="AE248" s="171"/>
      <c r="AF248" s="171"/>
      <c r="AG248" s="171"/>
      <c r="AH248" s="171"/>
      <c r="AI248" s="171"/>
      <c r="AJ248" s="171"/>
      <c r="AK248" s="171"/>
      <c r="AL248" s="171"/>
      <c r="AM248" s="171"/>
      <c r="AN248" s="171"/>
      <c r="AO248" s="171"/>
      <c r="AP248" s="171"/>
      <c r="AQ248" s="171"/>
      <c r="AR248" s="171"/>
      <c r="AS248" s="171"/>
      <c r="AT248" s="171"/>
      <c r="AU248" s="171"/>
    </row>
    <row r="249" spans="1:47" s="171" customFormat="1" ht="3.6" hidden="1" customHeight="1" x14ac:dyDescent="0.25">
      <c r="A249" s="1508"/>
      <c r="B249" s="1509"/>
      <c r="C249" s="1509"/>
      <c r="D249" s="1509"/>
      <c r="E249" s="1509"/>
      <c r="F249" s="1509"/>
      <c r="G249" s="1510"/>
      <c r="J249" s="101"/>
      <c r="L249" s="101"/>
      <c r="N249" s="100"/>
      <c r="T249" s="100"/>
      <c r="U249" s="101"/>
      <c r="W249" s="100"/>
      <c r="X249" s="101"/>
      <c r="Z249" s="100"/>
      <c r="AA249" s="101"/>
    </row>
    <row r="250" spans="1:47" s="171" customFormat="1" ht="15.75" hidden="1" thickBot="1" x14ac:dyDescent="0.3">
      <c r="A250" s="2524" t="s">
        <v>1659</v>
      </c>
      <c r="B250" s="2525"/>
      <c r="C250" s="2525"/>
      <c r="D250" s="2525"/>
      <c r="E250" s="2525"/>
      <c r="F250" s="2525"/>
      <c r="G250" s="2526"/>
      <c r="J250" s="101"/>
      <c r="L250" s="101"/>
      <c r="N250" s="100"/>
      <c r="T250" s="100"/>
      <c r="U250" s="101"/>
      <c r="W250" s="100"/>
      <c r="X250" s="101"/>
      <c r="Z250" s="100"/>
      <c r="AA250" s="101"/>
    </row>
    <row r="251" spans="1:47" s="171" customFormat="1" hidden="1" x14ac:dyDescent="0.25">
      <c r="A251" s="1511" t="s">
        <v>1660</v>
      </c>
      <c r="B251" s="1512" t="e">
        <f t="shared" ref="B251:G251" ca="1" si="45">ROUNDDOWN(100*ABS((B222/B246*($D$147/$D$144)^2)/B230-1),2)</f>
        <v>#VALUE!</v>
      </c>
      <c r="C251" s="1512" t="e">
        <f t="shared" ca="1" si="45"/>
        <v>#VALUE!</v>
      </c>
      <c r="D251" s="1512" t="e">
        <f t="shared" ca="1" si="45"/>
        <v>#VALUE!</v>
      </c>
      <c r="E251" s="1512" t="e">
        <f t="shared" ca="1" si="45"/>
        <v>#VALUE!</v>
      </c>
      <c r="F251" s="1512" t="e">
        <f t="shared" ca="1" si="45"/>
        <v>#VALUE!</v>
      </c>
      <c r="G251" s="1512" t="e">
        <f t="shared" ca="1" si="45"/>
        <v>#VALUE!</v>
      </c>
      <c r="J251" s="101"/>
      <c r="L251" s="101"/>
      <c r="N251" s="100"/>
      <c r="T251" s="100"/>
      <c r="U251" s="101"/>
      <c r="W251" s="100"/>
      <c r="X251" s="101"/>
      <c r="Z251" s="100"/>
      <c r="AA251" s="101"/>
    </row>
    <row r="252" spans="1:47" s="171" customFormat="1" hidden="1" x14ac:dyDescent="0.25">
      <c r="A252" s="1506" t="str">
        <f>$B$1</f>
        <v>IN 91</v>
      </c>
      <c r="B252" s="1507" t="str">
        <f t="shared" ref="B252:G252" ca="1" si="46">IFERROR(IF(ROUNDDOWN(ABS((B222/B246*($D$147/$D$144)^2)/B230-1),2)&lt;=0.2,"Sim",IF(ROUNDDOWN(ABS((B222/B246*($D$147/$D$144)^2)/B230-1),2)&lt;0.4,"Não","Restrição")),"NPA")</f>
        <v>NPA</v>
      </c>
      <c r="C252" s="1507" t="str">
        <f t="shared" ca="1" si="46"/>
        <v>NPA</v>
      </c>
      <c r="D252" s="1507" t="str">
        <f t="shared" ca="1" si="46"/>
        <v>NPA</v>
      </c>
      <c r="E252" s="1507" t="str">
        <f t="shared" ca="1" si="46"/>
        <v>NPA</v>
      </c>
      <c r="F252" s="1507" t="str">
        <f t="shared" ca="1" si="46"/>
        <v>NPA</v>
      </c>
      <c r="G252" s="1507" t="str">
        <f t="shared" ca="1" si="46"/>
        <v>NPA</v>
      </c>
      <c r="J252" s="101"/>
      <c r="L252" s="101"/>
      <c r="N252" s="100"/>
      <c r="T252" s="100"/>
      <c r="U252" s="101"/>
      <c r="W252" s="100"/>
      <c r="X252" s="101"/>
      <c r="Z252" s="100"/>
      <c r="AA252" s="101"/>
    </row>
    <row r="253" spans="1:47" s="620" customFormat="1" ht="3.6" hidden="1" customHeight="1" thickBot="1" x14ac:dyDescent="0.3">
      <c r="A253" s="1508"/>
      <c r="B253" s="1509"/>
      <c r="C253" s="1509"/>
      <c r="D253" s="1509"/>
      <c r="E253" s="1509"/>
      <c r="F253" s="1509"/>
      <c r="G253" s="1510"/>
      <c r="H253" s="171"/>
      <c r="I253" s="171"/>
      <c r="J253" s="100"/>
      <c r="K253" s="100"/>
      <c r="L253" s="101"/>
      <c r="M253" s="171"/>
      <c r="N253" s="100"/>
      <c r="O253" s="171"/>
      <c r="P253" s="171"/>
      <c r="Q253" s="171"/>
      <c r="R253" s="171"/>
      <c r="S253" s="171"/>
      <c r="T253" s="100"/>
      <c r="U253" s="101"/>
      <c r="V253" s="171"/>
      <c r="W253" s="100"/>
      <c r="X253" s="101"/>
      <c r="Y253" s="171"/>
      <c r="Z253" s="100"/>
      <c r="AA253" s="101"/>
      <c r="AB253" s="171"/>
      <c r="AC253" s="171"/>
      <c r="AD253" s="171"/>
      <c r="AE253" s="171"/>
      <c r="AF253" s="171"/>
      <c r="AG253" s="171"/>
      <c r="AH253" s="171"/>
      <c r="AI253" s="171"/>
      <c r="AJ253" s="171"/>
      <c r="AK253" s="171"/>
      <c r="AL253" s="171"/>
      <c r="AM253" s="171"/>
      <c r="AN253" s="171"/>
      <c r="AO253" s="171"/>
      <c r="AP253" s="171"/>
      <c r="AQ253" s="171"/>
      <c r="AR253" s="171"/>
      <c r="AS253" s="171"/>
      <c r="AT253" s="171"/>
      <c r="AU253" s="171"/>
    </row>
    <row r="254" spans="1:47" s="620" customFormat="1" hidden="1" x14ac:dyDescent="0.25">
      <c r="A254" s="2509" t="s">
        <v>1661</v>
      </c>
      <c r="B254" s="2510"/>
      <c r="C254" s="2510"/>
      <c r="D254" s="2510"/>
      <c r="E254" s="2510"/>
      <c r="F254" s="2510"/>
      <c r="G254" s="2511"/>
      <c r="H254" s="172"/>
      <c r="I254" s="171"/>
      <c r="J254" s="100"/>
      <c r="K254" s="100"/>
      <c r="L254" s="101"/>
      <c r="M254" s="171"/>
      <c r="N254" s="100"/>
      <c r="O254" s="171"/>
      <c r="P254" s="171"/>
      <c r="Q254" s="171"/>
      <c r="R254" s="171"/>
      <c r="S254" s="171"/>
      <c r="T254" s="100"/>
      <c r="U254" s="101"/>
      <c r="V254" s="171"/>
      <c r="W254" s="100"/>
      <c r="X254" s="101"/>
      <c r="Y254" s="171"/>
      <c r="Z254" s="100"/>
      <c r="AA254" s="101"/>
      <c r="AB254" s="171"/>
      <c r="AC254" s="171"/>
      <c r="AD254" s="171"/>
      <c r="AE254" s="171"/>
      <c r="AF254" s="171"/>
      <c r="AG254" s="171"/>
      <c r="AH254" s="171"/>
      <c r="AI254" s="171"/>
      <c r="AJ254" s="171"/>
      <c r="AK254" s="171"/>
      <c r="AL254" s="171"/>
      <c r="AM254" s="171"/>
      <c r="AN254" s="171"/>
      <c r="AO254" s="171"/>
      <c r="AP254" s="171"/>
      <c r="AQ254" s="171"/>
      <c r="AR254" s="171"/>
      <c r="AS254" s="171"/>
      <c r="AT254" s="171"/>
      <c r="AU254" s="171"/>
    </row>
    <row r="255" spans="1:47" s="620" customFormat="1" hidden="1" x14ac:dyDescent="0.25">
      <c r="A255" s="1513" t="s">
        <v>1662</v>
      </c>
      <c r="B255" s="1504" t="str">
        <f ca="1">IFERROR(ROUNDDOWN(B223/B246*60*($D$147/$D$144)^2,1),"NPA")</f>
        <v>NPA</v>
      </c>
      <c r="C255" s="1504" t="str">
        <f ca="1">IFERROR(ROUNDDOWN(C223*60*($D$147/$D$144)^2,1),"NPA")</f>
        <v>NPA</v>
      </c>
      <c r="D255" s="1504" t="str">
        <f ca="1">IFERROR(ROUNDDOWN(D223*60*($D$147/$D$144)^2,1),"NPA")</f>
        <v>NPA</v>
      </c>
      <c r="E255" s="1504" t="str">
        <f ca="1">IFERROR(ROUNDDOWN(E223*60*($D$147/$D$144)^2,1),"NPA")</f>
        <v>NPA</v>
      </c>
      <c r="F255" s="1504" t="str">
        <f ca="1">IFERROR(ROUNDDOWN(F223*60*($D$147/$D$144)^2,1),"NPA")</f>
        <v>NPA</v>
      </c>
      <c r="G255" s="1504" t="str">
        <f ca="1">IFERROR(ROUNDDOWN(G223*60*($D$147/$D$144)^2,1),"NPA")</f>
        <v>NPA</v>
      </c>
      <c r="H255" s="171"/>
      <c r="I255" s="171"/>
      <c r="J255" s="100"/>
      <c r="K255" s="100"/>
      <c r="L255" s="101"/>
      <c r="M255" s="171"/>
      <c r="N255" s="100"/>
      <c r="O255" s="171"/>
      <c r="P255" s="171"/>
      <c r="Q255" s="171"/>
      <c r="R255" s="171"/>
      <c r="S255" s="171"/>
      <c r="T255" s="100"/>
      <c r="U255" s="101"/>
      <c r="V255" s="171"/>
      <c r="W255" s="100"/>
      <c r="X255" s="101"/>
      <c r="Y255" s="171"/>
      <c r="Z255" s="100"/>
      <c r="AA255" s="101"/>
      <c r="AB255" s="171"/>
      <c r="AC255" s="171"/>
      <c r="AD255" s="171"/>
      <c r="AE255" s="171"/>
      <c r="AF255" s="171"/>
      <c r="AG255" s="171"/>
      <c r="AH255" s="171"/>
      <c r="AI255" s="171"/>
      <c r="AJ255" s="171"/>
      <c r="AK255" s="171"/>
      <c r="AL255" s="171"/>
      <c r="AM255" s="171"/>
      <c r="AN255" s="171"/>
      <c r="AO255" s="171"/>
      <c r="AP255" s="171"/>
      <c r="AQ255" s="171"/>
      <c r="AR255" s="171"/>
      <c r="AS255" s="171"/>
      <c r="AT255" s="171"/>
      <c r="AU255" s="171"/>
    </row>
    <row r="256" spans="1:47" s="620" customFormat="1" hidden="1" x14ac:dyDescent="0.25">
      <c r="A256" s="1506" t="str">
        <f>$B$1</f>
        <v>IN 91</v>
      </c>
      <c r="B256" s="1507" t="str">
        <f t="shared" ref="B256:G256" ca="1" si="47">IF(B255="NPA","NPA",IF(B255&gt;176,"Restrição",IF(AND(A208="Modo Normal",B255&gt;88),"Não","Sim")))</f>
        <v>NPA</v>
      </c>
      <c r="C256" s="1507" t="str">
        <f t="shared" ca="1" si="47"/>
        <v>NPA</v>
      </c>
      <c r="D256" s="1507" t="str">
        <f t="shared" ca="1" si="47"/>
        <v>NPA</v>
      </c>
      <c r="E256" s="1507" t="str">
        <f t="shared" ca="1" si="47"/>
        <v>NPA</v>
      </c>
      <c r="F256" s="1507" t="str">
        <f t="shared" ca="1" si="47"/>
        <v>NPA</v>
      </c>
      <c r="G256" s="1507" t="str">
        <f t="shared" ca="1" si="47"/>
        <v>NPA</v>
      </c>
      <c r="H256" s="171"/>
      <c r="I256" s="171"/>
      <c r="J256" s="100"/>
      <c r="K256" s="100"/>
      <c r="L256" s="101"/>
      <c r="M256" s="171"/>
      <c r="N256" s="100"/>
      <c r="O256" s="171"/>
      <c r="P256" s="171"/>
      <c r="Q256" s="171"/>
      <c r="R256" s="171"/>
      <c r="S256" s="171"/>
      <c r="T256" s="100"/>
      <c r="U256" s="101"/>
      <c r="V256" s="171"/>
      <c r="W256" s="100"/>
      <c r="X256" s="101"/>
      <c r="Y256" s="171"/>
      <c r="Z256" s="100"/>
      <c r="AA256" s="101"/>
      <c r="AB256" s="171"/>
      <c r="AC256" s="171"/>
      <c r="AD256" s="171"/>
      <c r="AE256" s="171"/>
      <c r="AF256" s="171"/>
      <c r="AG256" s="171"/>
      <c r="AH256" s="171"/>
      <c r="AI256" s="171"/>
      <c r="AJ256" s="171"/>
      <c r="AK256" s="171"/>
      <c r="AL256" s="171"/>
      <c r="AM256" s="171"/>
      <c r="AN256" s="171"/>
      <c r="AO256" s="171"/>
      <c r="AP256" s="171"/>
      <c r="AQ256" s="171"/>
      <c r="AR256" s="171"/>
      <c r="AS256" s="171"/>
      <c r="AT256" s="171"/>
      <c r="AU256" s="171"/>
    </row>
    <row r="257" spans="1:47" s="620" customFormat="1" hidden="1" x14ac:dyDescent="0.25">
      <c r="A257" s="100"/>
      <c r="B257" s="87"/>
      <c r="C257" s="171"/>
      <c r="D257" s="171"/>
      <c r="E257" s="171"/>
      <c r="F257" s="171"/>
      <c r="G257" s="101"/>
      <c r="H257" s="171"/>
      <c r="I257" s="171"/>
      <c r="J257" s="100"/>
      <c r="K257" s="100"/>
      <c r="L257" s="101"/>
      <c r="M257" s="171"/>
      <c r="N257" s="100"/>
      <c r="O257" s="171"/>
      <c r="P257" s="171"/>
      <c r="Q257" s="171"/>
      <c r="R257" s="171"/>
      <c r="S257" s="171"/>
      <c r="T257" s="100"/>
      <c r="U257" s="101"/>
      <c r="V257" s="171"/>
      <c r="W257" s="100"/>
      <c r="X257" s="101"/>
      <c r="Y257" s="171"/>
      <c r="Z257" s="100"/>
      <c r="AA257" s="101"/>
      <c r="AB257" s="171"/>
      <c r="AC257" s="171"/>
      <c r="AD257" s="171"/>
      <c r="AE257" s="171"/>
      <c r="AF257" s="171"/>
      <c r="AG257" s="171"/>
      <c r="AH257" s="171"/>
      <c r="AI257" s="171"/>
      <c r="AJ257" s="171"/>
      <c r="AK257" s="171"/>
      <c r="AL257" s="171"/>
      <c r="AM257" s="171"/>
      <c r="AN257" s="171"/>
      <c r="AO257" s="171"/>
      <c r="AP257" s="171"/>
      <c r="AQ257" s="171"/>
      <c r="AR257" s="171"/>
      <c r="AS257" s="171"/>
      <c r="AT257" s="171"/>
      <c r="AU257" s="171"/>
    </row>
    <row r="258" spans="1:47" s="171" customFormat="1" x14ac:dyDescent="0.25">
      <c r="A258" s="1421"/>
      <c r="B258" s="1479"/>
      <c r="C258" s="1479"/>
      <c r="D258" s="1479"/>
      <c r="E258" s="172"/>
      <c r="G258" s="101"/>
      <c r="J258" s="100"/>
      <c r="K258" s="100"/>
      <c r="L258" s="101"/>
      <c r="N258" s="100"/>
      <c r="T258" s="100"/>
      <c r="U258" s="101"/>
      <c r="W258" s="100"/>
      <c r="X258" s="101"/>
      <c r="Z258" s="100"/>
      <c r="AA258" s="101"/>
    </row>
    <row r="259" spans="1:47" s="620" customFormat="1" hidden="1" x14ac:dyDescent="0.25">
      <c r="A259" s="1492" t="s">
        <v>1672</v>
      </c>
      <c r="B259" s="2493" t="s">
        <v>1671</v>
      </c>
      <c r="C259" s="2494"/>
      <c r="D259" s="2494"/>
      <c r="E259" s="2495"/>
      <c r="F259" s="1628" t="s">
        <v>1792</v>
      </c>
      <c r="G259" s="1629"/>
      <c r="H259" s="171"/>
      <c r="I259" s="171"/>
      <c r="J259" s="100"/>
      <c r="K259" s="100"/>
      <c r="L259" s="101"/>
      <c r="M259" s="171"/>
      <c r="N259" s="100"/>
      <c r="O259" s="171"/>
      <c r="P259" s="171"/>
      <c r="Q259" s="171"/>
      <c r="R259" s="171"/>
      <c r="S259" s="171"/>
      <c r="T259" s="100"/>
      <c r="U259" s="101"/>
      <c r="V259" s="171"/>
      <c r="W259" s="100"/>
      <c r="X259" s="101"/>
      <c r="Y259" s="171"/>
      <c r="Z259" s="100"/>
      <c r="AA259" s="101"/>
      <c r="AB259" s="171"/>
      <c r="AC259" s="171"/>
      <c r="AD259" s="171"/>
      <c r="AE259" s="171"/>
      <c r="AF259" s="171"/>
      <c r="AG259" s="171"/>
      <c r="AH259" s="171"/>
      <c r="AI259" s="171"/>
      <c r="AJ259" s="171"/>
      <c r="AK259" s="171"/>
      <c r="AL259" s="171"/>
      <c r="AM259" s="171"/>
      <c r="AN259" s="171"/>
      <c r="AO259" s="171"/>
      <c r="AP259" s="171"/>
      <c r="AQ259" s="171"/>
      <c r="AR259" s="171"/>
      <c r="AS259" s="171"/>
      <c r="AT259" s="171"/>
      <c r="AU259" s="171"/>
    </row>
    <row r="260" spans="1:47" s="620" customFormat="1" hidden="1" x14ac:dyDescent="0.25">
      <c r="A260" s="1480" t="str">
        <f>CONCATENATE("tamanho do campo (",$B$129,")")</f>
        <v>tamanho do campo (cm)</v>
      </c>
      <c r="B260" s="1518">
        <f>$B$130</f>
        <v>23</v>
      </c>
      <c r="C260" s="1518">
        <f>$C$130</f>
        <v>0</v>
      </c>
      <c r="D260" s="1518">
        <f>$D$130</f>
        <v>0</v>
      </c>
      <c r="E260" s="1518">
        <f>$E$130</f>
        <v>0</v>
      </c>
      <c r="F260" s="1518">
        <f>$F$130</f>
        <v>0</v>
      </c>
      <c r="G260" s="1518">
        <f>$G$130</f>
        <v>0</v>
      </c>
      <c r="H260" s="171"/>
      <c r="I260" s="171"/>
      <c r="J260" s="100"/>
      <c r="K260" s="100"/>
      <c r="L260" s="101"/>
      <c r="M260" s="171"/>
      <c r="N260" s="100"/>
      <c r="O260" s="171"/>
      <c r="P260" s="171"/>
      <c r="Q260" s="171"/>
      <c r="R260" s="171"/>
      <c r="S260" s="171"/>
      <c r="T260" s="100"/>
      <c r="U260" s="101"/>
      <c r="V260" s="171"/>
      <c r="W260" s="100"/>
      <c r="X260" s="101"/>
      <c r="Y260" s="171"/>
      <c r="Z260" s="100"/>
      <c r="AA260" s="101"/>
      <c r="AB260" s="171"/>
      <c r="AC260" s="171"/>
      <c r="AD260" s="171"/>
      <c r="AE260" s="171"/>
      <c r="AF260" s="171"/>
      <c r="AG260" s="171"/>
      <c r="AH260" s="171"/>
      <c r="AI260" s="171"/>
      <c r="AJ260" s="171"/>
      <c r="AK260" s="171"/>
      <c r="AL260" s="171"/>
      <c r="AM260" s="171"/>
      <c r="AN260" s="171"/>
      <c r="AO260" s="171"/>
      <c r="AP260" s="171"/>
      <c r="AQ260" s="171"/>
      <c r="AR260" s="171"/>
      <c r="AS260" s="171"/>
      <c r="AT260" s="171"/>
      <c r="AU260" s="171"/>
    </row>
    <row r="261" spans="1:47" s="620" customFormat="1" hidden="1" x14ac:dyDescent="0.25">
      <c r="A261" s="1481" t="s">
        <v>1425</v>
      </c>
      <c r="B261" s="584"/>
      <c r="C261" s="584"/>
      <c r="D261" s="584"/>
      <c r="E261" s="584"/>
      <c r="F261" s="584"/>
      <c r="G261" s="584"/>
      <c r="H261" s="171"/>
      <c r="I261" s="171"/>
      <c r="J261" s="100"/>
      <c r="K261" s="100"/>
      <c r="L261" s="101"/>
      <c r="M261" s="171"/>
      <c r="N261" s="100"/>
      <c r="O261" s="171"/>
      <c r="P261" s="171"/>
      <c r="Q261" s="171"/>
      <c r="R261" s="171"/>
      <c r="S261" s="171"/>
      <c r="T261" s="100"/>
      <c r="U261" s="101"/>
      <c r="V261" s="171"/>
      <c r="W261" s="100"/>
      <c r="X261" s="101"/>
      <c r="Y261" s="171"/>
      <c r="Z261" s="100"/>
      <c r="AA261" s="101"/>
      <c r="AB261" s="171"/>
      <c r="AC261" s="171"/>
      <c r="AD261" s="171"/>
      <c r="AE261" s="171"/>
      <c r="AF261" s="171"/>
      <c r="AG261" s="171"/>
      <c r="AH261" s="171"/>
      <c r="AI261" s="171"/>
      <c r="AJ261" s="171"/>
      <c r="AK261" s="171"/>
      <c r="AL261" s="171"/>
      <c r="AM261" s="171"/>
      <c r="AN261" s="171"/>
      <c r="AO261" s="171"/>
      <c r="AP261" s="171"/>
      <c r="AQ261" s="171"/>
      <c r="AR261" s="171"/>
      <c r="AS261" s="171"/>
      <c r="AT261" s="171"/>
      <c r="AU261" s="171"/>
    </row>
    <row r="262" spans="1:47" s="620" customFormat="1" hidden="1" x14ac:dyDescent="0.25">
      <c r="A262" s="1481" t="s">
        <v>1421</v>
      </c>
      <c r="B262" s="584"/>
      <c r="C262" s="584"/>
      <c r="D262" s="584"/>
      <c r="E262" s="584"/>
      <c r="F262" s="584"/>
      <c r="G262" s="584"/>
      <c r="H262" s="171"/>
      <c r="I262" s="171"/>
      <c r="J262" s="100"/>
      <c r="K262" s="100"/>
      <c r="L262" s="101"/>
      <c r="M262" s="171"/>
      <c r="N262" s="100"/>
      <c r="O262" s="171"/>
      <c r="P262" s="171"/>
      <c r="Q262" s="171"/>
      <c r="R262" s="171"/>
      <c r="S262" s="171"/>
      <c r="T262" s="100"/>
      <c r="U262" s="101"/>
      <c r="V262" s="171"/>
      <c r="W262" s="100"/>
      <c r="X262" s="101"/>
      <c r="Y262" s="171"/>
      <c r="Z262" s="100"/>
      <c r="AA262" s="101"/>
      <c r="AB262" s="171"/>
      <c r="AC262" s="171"/>
      <c r="AD262" s="171"/>
      <c r="AE262" s="171"/>
      <c r="AF262" s="171"/>
      <c r="AG262" s="171"/>
      <c r="AH262" s="171"/>
      <c r="AI262" s="171"/>
      <c r="AJ262" s="171"/>
      <c r="AK262" s="171"/>
      <c r="AL262" s="171"/>
      <c r="AM262" s="171"/>
      <c r="AN262" s="171"/>
      <c r="AO262" s="171"/>
      <c r="AP262" s="171"/>
      <c r="AQ262" s="171"/>
      <c r="AR262" s="171"/>
      <c r="AS262" s="171"/>
      <c r="AT262" s="171"/>
      <c r="AU262" s="171"/>
    </row>
    <row r="263" spans="1:47" s="171" customFormat="1" ht="4.5" hidden="1" customHeight="1" x14ac:dyDescent="0.25">
      <c r="A263" s="1482"/>
      <c r="B263" s="1483"/>
      <c r="C263" s="1483"/>
      <c r="D263" s="1483"/>
      <c r="E263" s="1483"/>
      <c r="F263" s="1483"/>
      <c r="G263" s="1484"/>
      <c r="J263" s="100"/>
      <c r="K263" s="100"/>
      <c r="L263" s="101"/>
      <c r="N263" s="100"/>
      <c r="T263" s="100"/>
      <c r="U263" s="101"/>
      <c r="W263" s="100"/>
      <c r="X263" s="101"/>
      <c r="Z263" s="100"/>
      <c r="AA263" s="101"/>
    </row>
    <row r="264" spans="1:47" s="620" customFormat="1" ht="17.25" hidden="1" x14ac:dyDescent="0.25">
      <c r="A264" s="1481" t="s">
        <v>1429</v>
      </c>
      <c r="B264" s="584"/>
      <c r="C264" s="584"/>
      <c r="D264" s="584"/>
      <c r="E264" s="584"/>
      <c r="F264" s="584"/>
      <c r="G264" s="584"/>
      <c r="H264" s="171"/>
      <c r="I264" s="171"/>
      <c r="J264" s="100"/>
      <c r="K264" s="100"/>
      <c r="L264" s="101"/>
      <c r="M264" s="171"/>
      <c r="N264" s="100"/>
      <c r="O264" s="171"/>
      <c r="P264" s="171"/>
      <c r="Q264" s="171"/>
      <c r="R264" s="171"/>
      <c r="S264" s="171"/>
      <c r="T264" s="100"/>
      <c r="U264" s="101"/>
      <c r="V264" s="171"/>
      <c r="W264" s="100"/>
      <c r="X264" s="101"/>
      <c r="Y264" s="171"/>
      <c r="Z264" s="100"/>
      <c r="AA264" s="101"/>
      <c r="AB264" s="171"/>
      <c r="AC264" s="171"/>
      <c r="AD264" s="171"/>
      <c r="AE264" s="171"/>
      <c r="AF264" s="171"/>
      <c r="AG264" s="171"/>
      <c r="AH264" s="171"/>
      <c r="AI264" s="171"/>
      <c r="AJ264" s="171"/>
      <c r="AK264" s="171"/>
      <c r="AL264" s="171"/>
      <c r="AM264" s="171"/>
      <c r="AN264" s="171"/>
      <c r="AO264" s="171"/>
      <c r="AP264" s="171"/>
      <c r="AQ264" s="171"/>
      <c r="AR264" s="171"/>
      <c r="AS264" s="171"/>
      <c r="AT264" s="171"/>
      <c r="AU264" s="171"/>
    </row>
    <row r="265" spans="1:47" s="620" customFormat="1" hidden="1" x14ac:dyDescent="0.25">
      <c r="A265" s="1184" t="s">
        <v>1430</v>
      </c>
      <c r="B265" s="1417"/>
      <c r="C265" s="1417"/>
      <c r="D265" s="1417"/>
      <c r="E265" s="1417"/>
      <c r="F265" s="1417"/>
      <c r="G265" s="1417"/>
      <c r="H265" s="171"/>
      <c r="I265" s="1183"/>
      <c r="J265" s="1183"/>
      <c r="K265" s="1183"/>
      <c r="L265" s="1183"/>
      <c r="M265" s="1183"/>
      <c r="N265" s="1183"/>
      <c r="O265" s="171"/>
      <c r="P265" s="171"/>
      <c r="Q265" s="171"/>
      <c r="R265" s="171"/>
      <c r="S265" s="171"/>
      <c r="T265" s="100"/>
      <c r="U265" s="101"/>
      <c r="V265" s="171"/>
      <c r="W265" s="100"/>
      <c r="X265" s="101"/>
      <c r="Y265" s="171"/>
      <c r="Z265" s="100"/>
      <c r="AA265" s="101"/>
      <c r="AB265" s="171"/>
      <c r="AC265" s="171"/>
      <c r="AD265" s="171"/>
      <c r="AE265" s="171"/>
      <c r="AF265" s="171"/>
      <c r="AG265" s="171"/>
      <c r="AH265" s="171"/>
      <c r="AI265" s="171"/>
      <c r="AJ265" s="171"/>
      <c r="AK265" s="171"/>
      <c r="AL265" s="171"/>
      <c r="AM265" s="171"/>
      <c r="AN265" s="171"/>
      <c r="AO265" s="171"/>
      <c r="AP265" s="171"/>
      <c r="AQ265" s="171"/>
      <c r="AR265" s="171"/>
      <c r="AS265" s="171"/>
      <c r="AT265" s="171"/>
      <c r="AU265" s="171"/>
    </row>
    <row r="266" spans="1:47" s="171" customFormat="1" ht="4.5" hidden="1" customHeight="1" x14ac:dyDescent="0.25">
      <c r="A266" s="1485"/>
      <c r="B266" s="1486"/>
      <c r="C266" s="1486"/>
      <c r="D266" s="1486"/>
      <c r="E266" s="1486"/>
      <c r="F266" s="1486"/>
      <c r="G266" s="1487"/>
      <c r="I266" s="1183"/>
      <c r="J266" s="1183"/>
      <c r="K266" s="1183"/>
      <c r="L266" s="1183"/>
      <c r="M266" s="1183"/>
      <c r="N266" s="1183"/>
      <c r="T266" s="100"/>
      <c r="U266" s="101"/>
      <c r="W266" s="100"/>
      <c r="X266" s="101"/>
      <c r="Z266" s="100"/>
      <c r="AA266" s="101"/>
    </row>
    <row r="267" spans="1:47" s="620" customFormat="1" hidden="1" x14ac:dyDescent="0.25">
      <c r="A267" s="1481" t="s">
        <v>1649</v>
      </c>
      <c r="B267" s="653" t="e">
        <f ca="1">IF(Cabeçalho!$G$28="unfors",INDIRECT(ADDRESS(B269,3,1,1,"medidas Unfors"),1),INDIRECT(ADDRESS(B269,4,1,1,"medidas Fluke"),1)/1000)</f>
        <v>#VALUE!</v>
      </c>
      <c r="C267" s="653" t="e">
        <f ca="1">IF(Cabeçalho!$G$28="unfors",INDIRECT(ADDRESS(C269,3,1,1,"medidas Unfors"),1),INDIRECT(ADDRESS(C269,4,1,1,"medidas Fluke"),1)/1000)</f>
        <v>#VALUE!</v>
      </c>
      <c r="D267" s="653" t="e">
        <f ca="1">IF(Cabeçalho!$G$28="unfors",INDIRECT(ADDRESS(D269,3,1,1,"medidas Unfors"),1),INDIRECT(ADDRESS(D269,4,1,1,"medidas Fluke"),1)/1000)</f>
        <v>#VALUE!</v>
      </c>
      <c r="E267" s="653" t="e">
        <f ca="1">IF(Cabeçalho!$G$28="unfors",INDIRECT(ADDRESS(E269,3,1,1,"medidas Unfors"),1),INDIRECT(ADDRESS(E269,4,1,1,"medidas Fluke"),1)/1000)</f>
        <v>#VALUE!</v>
      </c>
      <c r="F267" s="653" t="e">
        <f ca="1">IF(Cabeçalho!$G$28="unfors",INDIRECT(ADDRESS(F269,3,1,1,"medidas Unfors"),1),INDIRECT(ADDRESS(F269,4,1,1,"medidas Fluke"),1)/1000)</f>
        <v>#VALUE!</v>
      </c>
      <c r="G267" s="653" t="e">
        <f ca="1">IF(Cabeçalho!$G$28="unfors",INDIRECT(ADDRESS(G269,3,1,1,"medidas Unfors"),1),INDIRECT(ADDRESS(G269,4,1,1,"medidas Fluke"),1)/1000)</f>
        <v>#VALUE!</v>
      </c>
      <c r="H267" s="171"/>
      <c r="I267" s="171"/>
      <c r="J267" s="100"/>
      <c r="K267" s="100"/>
      <c r="L267" s="101"/>
      <c r="M267" s="171"/>
      <c r="N267" s="100"/>
      <c r="O267" s="171"/>
      <c r="P267" s="171"/>
      <c r="Q267" s="171"/>
      <c r="R267" s="171"/>
      <c r="S267" s="171"/>
      <c r="T267" s="100"/>
      <c r="U267" s="101"/>
      <c r="V267" s="171"/>
      <c r="W267" s="100"/>
      <c r="X267" s="101"/>
      <c r="Y267" s="171"/>
      <c r="Z267" s="100"/>
      <c r="AA267" s="101"/>
      <c r="AB267" s="171"/>
      <c r="AC267" s="171"/>
      <c r="AD267" s="171"/>
      <c r="AE267" s="171"/>
      <c r="AF267" s="171"/>
      <c r="AG267" s="171"/>
      <c r="AH267" s="171"/>
      <c r="AI267" s="171"/>
      <c r="AJ267" s="171"/>
      <c r="AK267" s="171"/>
      <c r="AL267" s="171"/>
      <c r="AM267" s="171"/>
      <c r="AN267" s="171"/>
      <c r="AO267" s="171"/>
      <c r="AP267" s="171"/>
      <c r="AQ267" s="171"/>
      <c r="AR267" s="171"/>
      <c r="AS267" s="171"/>
      <c r="AT267" s="171"/>
      <c r="AU267" s="171"/>
    </row>
    <row r="268" spans="1:47" s="620" customFormat="1" ht="15.75" hidden="1" thickBot="1" x14ac:dyDescent="0.3">
      <c r="A268" s="1480" t="s">
        <v>1652</v>
      </c>
      <c r="B268" s="1489" t="e">
        <f ca="1">IF(Cabeçalho!$G$28="Unfors",INDIRECT(ADDRESS(B269,5,1,1,"medidas Unfors"),1),INDIRECT(ADDRESS(B269,5,1,1,"medidas Fluke"),1)/1000)</f>
        <v>#VALUE!</v>
      </c>
      <c r="C268" s="1489" t="e">
        <f ca="1">IF(Cabeçalho!$G$28="Unfors",INDIRECT(ADDRESS(C269,5,1,1,"medidas Unfors"),1),INDIRECT(ADDRESS(C269,5,1,1,"medidas Fluke"),1)/1000)</f>
        <v>#VALUE!</v>
      </c>
      <c r="D268" s="1489" t="e">
        <f ca="1">IF(Cabeçalho!$G$28="Unfors",INDIRECT(ADDRESS(D269,5,1,1,"medidas Unfors"),1),INDIRECT(ADDRESS(D269,5,1,1,"medidas Fluke"),1)/1000)</f>
        <v>#VALUE!</v>
      </c>
      <c r="E268" s="1489" t="e">
        <f ca="1">IF(Cabeçalho!$G$28="Unfors",INDIRECT(ADDRESS(E269,5,1,1,"medidas Unfors"),1),INDIRECT(ADDRESS(E269,5,1,1,"medidas Fluke"),1)/1000)</f>
        <v>#VALUE!</v>
      </c>
      <c r="F268" s="1489" t="e">
        <f ca="1">IF(Cabeçalho!$G$28="Unfors",INDIRECT(ADDRESS(F269,5,1,1,"medidas Unfors"),1),INDIRECT(ADDRESS(F269,5,1,1,"medidas Fluke"),1)/1000)</f>
        <v>#VALUE!</v>
      </c>
      <c r="G268" s="1489" t="e">
        <f ca="1">IF(Cabeçalho!$G$28="Unfors",INDIRECT(ADDRESS(G269,5,1,1,"medidas Unfors"),1),INDIRECT(ADDRESS(G269,5,1,1,"medidas Fluke"),1)/1000)</f>
        <v>#VALUE!</v>
      </c>
      <c r="H268" s="171"/>
      <c r="I268" s="171"/>
      <c r="J268" s="100"/>
      <c r="K268" s="100"/>
      <c r="L268" s="101"/>
      <c r="M268" s="171"/>
      <c r="N268" s="100"/>
      <c r="O268" s="171"/>
      <c r="P268" s="171"/>
      <c r="Q268" s="171"/>
      <c r="R268" s="171"/>
      <c r="S268" s="171"/>
      <c r="T268" s="100"/>
      <c r="U268" s="101"/>
      <c r="V268" s="171"/>
      <c r="W268" s="100"/>
      <c r="X268" s="101"/>
      <c r="Y268" s="171"/>
      <c r="Z268" s="100"/>
      <c r="AA268" s="101"/>
      <c r="AB268" s="171"/>
      <c r="AC268" s="171"/>
      <c r="AD268" s="171"/>
      <c r="AE268" s="171"/>
      <c r="AF268" s="171"/>
      <c r="AG268" s="171"/>
      <c r="AH268" s="171"/>
      <c r="AI268" s="171"/>
      <c r="AJ268" s="171"/>
      <c r="AK268" s="171"/>
      <c r="AL268" s="171"/>
      <c r="AM268" s="171"/>
      <c r="AN268" s="171"/>
      <c r="AO268" s="171"/>
      <c r="AP268" s="171"/>
      <c r="AQ268" s="171"/>
      <c r="AR268" s="171"/>
      <c r="AS268" s="171"/>
      <c r="AT268" s="171"/>
      <c r="AU268" s="171"/>
    </row>
    <row r="269" spans="1:47" s="620" customFormat="1" ht="15.75" hidden="1" thickBot="1" x14ac:dyDescent="0.3">
      <c r="A269" s="1418" t="s">
        <v>1427</v>
      </c>
      <c r="B269" s="1419"/>
      <c r="C269" s="1419"/>
      <c r="D269" s="1419"/>
      <c r="E269" s="1419"/>
      <c r="F269" s="1419"/>
      <c r="G269" s="1420"/>
      <c r="H269" s="171"/>
      <c r="I269" s="171"/>
      <c r="J269" s="100"/>
      <c r="K269" s="100"/>
      <c r="L269" s="101"/>
      <c r="M269" s="171"/>
      <c r="N269" s="100"/>
      <c r="O269" s="171"/>
      <c r="P269" s="171"/>
      <c r="Q269" s="171"/>
      <c r="R269" s="171"/>
      <c r="S269" s="171"/>
      <c r="T269" s="100"/>
      <c r="U269" s="101"/>
      <c r="V269" s="171"/>
      <c r="W269" s="100"/>
      <c r="X269" s="101"/>
      <c r="Y269" s="171"/>
      <c r="Z269" s="100"/>
      <c r="AA269" s="101"/>
      <c r="AB269" s="171"/>
      <c r="AC269" s="171"/>
      <c r="AD269" s="171"/>
      <c r="AE269" s="171"/>
      <c r="AF269" s="171"/>
      <c r="AG269" s="171"/>
      <c r="AH269" s="171"/>
      <c r="AI269" s="171"/>
      <c r="AJ269" s="171"/>
      <c r="AK269" s="171"/>
      <c r="AL269" s="171"/>
      <c r="AM269" s="171"/>
      <c r="AN269" s="171"/>
      <c r="AO269" s="171"/>
      <c r="AP269" s="171"/>
      <c r="AQ269" s="171"/>
      <c r="AR269" s="171"/>
      <c r="AS269" s="171"/>
      <c r="AT269" s="171"/>
      <c r="AU269" s="171"/>
    </row>
    <row r="270" spans="1:47" s="620" customFormat="1" ht="17.25" hidden="1" x14ac:dyDescent="0.25">
      <c r="A270" s="1481" t="s">
        <v>1433</v>
      </c>
      <c r="B270" s="584"/>
      <c r="C270" s="584"/>
      <c r="D270" s="584"/>
      <c r="E270" s="584"/>
      <c r="F270" s="584"/>
      <c r="G270" s="584"/>
      <c r="H270" s="171"/>
      <c r="I270" s="171"/>
      <c r="J270" s="100"/>
      <c r="K270" s="100"/>
      <c r="L270" s="101"/>
      <c r="M270" s="171"/>
      <c r="N270" s="100"/>
      <c r="O270" s="171"/>
      <c r="P270" s="171"/>
      <c r="Q270" s="171"/>
      <c r="R270" s="171"/>
      <c r="S270" s="171"/>
      <c r="T270" s="100"/>
      <c r="U270" s="101"/>
      <c r="V270" s="171"/>
      <c r="W270" s="100"/>
      <c r="X270" s="101"/>
      <c r="Y270" s="171"/>
      <c r="Z270" s="100"/>
      <c r="AA270" s="101"/>
      <c r="AB270" s="171"/>
      <c r="AC270" s="171"/>
      <c r="AD270" s="171"/>
      <c r="AE270" s="171"/>
      <c r="AF270" s="171"/>
      <c r="AG270" s="171"/>
      <c r="AH270" s="171"/>
      <c r="AI270" s="171"/>
      <c r="AJ270" s="171"/>
      <c r="AK270" s="171"/>
      <c r="AL270" s="171"/>
      <c r="AM270" s="171"/>
      <c r="AN270" s="171"/>
      <c r="AO270" s="171"/>
      <c r="AP270" s="171"/>
      <c r="AQ270" s="171"/>
      <c r="AR270" s="171"/>
      <c r="AS270" s="171"/>
      <c r="AT270" s="171"/>
      <c r="AU270" s="171"/>
    </row>
    <row r="271" spans="1:47" s="620" customFormat="1" hidden="1" x14ac:dyDescent="0.25">
      <c r="A271" s="1184" t="s">
        <v>1431</v>
      </c>
      <c r="B271" s="1417"/>
      <c r="C271" s="1417"/>
      <c r="D271" s="1417"/>
      <c r="E271" s="1417"/>
      <c r="F271" s="1417"/>
      <c r="G271" s="1417"/>
      <c r="H271" s="171"/>
      <c r="I271" s="171"/>
      <c r="J271" s="100"/>
      <c r="K271" s="100"/>
      <c r="L271" s="101"/>
      <c r="M271" s="171"/>
      <c r="N271" s="100"/>
      <c r="O271" s="171"/>
      <c r="P271" s="171"/>
      <c r="Q271" s="171"/>
      <c r="R271" s="171"/>
      <c r="S271" s="171"/>
      <c r="T271" s="100"/>
      <c r="U271" s="101"/>
      <c r="V271" s="171"/>
      <c r="W271" s="100"/>
      <c r="X271" s="101"/>
      <c r="Y271" s="171"/>
      <c r="Z271" s="100"/>
      <c r="AA271" s="101"/>
      <c r="AB271" s="171"/>
      <c r="AC271" s="171"/>
      <c r="AD271" s="171"/>
      <c r="AE271" s="171"/>
      <c r="AF271" s="171"/>
      <c r="AG271" s="171"/>
      <c r="AH271" s="171"/>
      <c r="AI271" s="171"/>
      <c r="AJ271" s="171"/>
      <c r="AK271" s="171"/>
      <c r="AL271" s="171"/>
      <c r="AM271" s="171"/>
      <c r="AN271" s="171"/>
      <c r="AO271" s="171"/>
      <c r="AP271" s="171"/>
      <c r="AQ271" s="171"/>
      <c r="AR271" s="171"/>
      <c r="AS271" s="171"/>
      <c r="AT271" s="171"/>
      <c r="AU271" s="171"/>
    </row>
    <row r="272" spans="1:47" s="620" customFormat="1" ht="4.5" hidden="1" customHeight="1" x14ac:dyDescent="0.25">
      <c r="A272" s="1485"/>
      <c r="B272" s="1486"/>
      <c r="C272" s="1486"/>
      <c r="D272" s="1486"/>
      <c r="E272" s="1486"/>
      <c r="F272" s="1486"/>
      <c r="G272" s="1487"/>
      <c r="H272" s="171"/>
      <c r="I272" s="171"/>
      <c r="J272" s="100"/>
      <c r="K272" s="100"/>
      <c r="L272" s="101"/>
      <c r="M272" s="171"/>
      <c r="N272" s="100"/>
      <c r="O272" s="171"/>
      <c r="P272" s="171"/>
      <c r="Q272" s="171"/>
      <c r="R272" s="171"/>
      <c r="S272" s="171"/>
      <c r="T272" s="100"/>
      <c r="U272" s="101"/>
      <c r="V272" s="171"/>
      <c r="W272" s="100"/>
      <c r="X272" s="101"/>
      <c r="Y272" s="171"/>
      <c r="Z272" s="100"/>
      <c r="AA272" s="101"/>
      <c r="AB272" s="171"/>
      <c r="AC272" s="171"/>
      <c r="AD272" s="171"/>
      <c r="AE272" s="171"/>
      <c r="AF272" s="171"/>
      <c r="AG272" s="171"/>
      <c r="AH272" s="171"/>
      <c r="AI272" s="171"/>
      <c r="AJ272" s="171"/>
      <c r="AK272" s="171"/>
      <c r="AL272" s="171"/>
      <c r="AM272" s="171"/>
      <c r="AN272" s="171"/>
      <c r="AO272" s="171"/>
      <c r="AP272" s="171"/>
      <c r="AQ272" s="171"/>
      <c r="AR272" s="171"/>
      <c r="AS272" s="171"/>
      <c r="AT272" s="171"/>
      <c r="AU272" s="171"/>
    </row>
    <row r="273" spans="1:47" s="620" customFormat="1" hidden="1" x14ac:dyDescent="0.25">
      <c r="A273" s="1481" t="s">
        <v>1650</v>
      </c>
      <c r="B273" s="653" t="e">
        <f ca="1">IF(Cabeçalho!$G$28="unfors",INDIRECT(ADDRESS(B275,3,1,1,"medidas Unfors"),1),INDIRECT(ADDRESS(B275,4,1,1,"medidas Fluke"),1)/1000)</f>
        <v>#VALUE!</v>
      </c>
      <c r="C273" s="653" t="e">
        <f ca="1">IF(Cabeçalho!$G$28="unfors",INDIRECT(ADDRESS(C275,3,1,1,"medidas Unfors"),1),INDIRECT(ADDRESS(C275,4,1,1,"medidas Fluke"),1)/1000)</f>
        <v>#VALUE!</v>
      </c>
      <c r="D273" s="653" t="e">
        <f ca="1">IF(Cabeçalho!$G$28="unfors",INDIRECT(ADDRESS(D275,3,1,1,"medidas Unfors"),1),INDIRECT(ADDRESS(D275,4,1,1,"medidas Fluke"),1)/1000)</f>
        <v>#VALUE!</v>
      </c>
      <c r="E273" s="653" t="e">
        <f ca="1">IF(Cabeçalho!$G$28="unfors",INDIRECT(ADDRESS(E275,3,1,1,"medidas Unfors"),1),INDIRECT(ADDRESS(E275,4,1,1,"medidas Fluke"),1)/1000)</f>
        <v>#VALUE!</v>
      </c>
      <c r="F273" s="653" t="e">
        <f ca="1">IF(Cabeçalho!$G$28="unfors",INDIRECT(ADDRESS(F275,3,1,1,"medidas Unfors"),1),INDIRECT(ADDRESS(F275,4,1,1,"medidas Fluke"),1)/1000)</f>
        <v>#VALUE!</v>
      </c>
      <c r="G273" s="653" t="e">
        <f ca="1">IF(Cabeçalho!$G$28="unfors",INDIRECT(ADDRESS(G275,3,1,1,"medidas Unfors"),1),INDIRECT(ADDRESS(G275,4,1,1,"medidas Fluke"),1)/1000)</f>
        <v>#VALUE!</v>
      </c>
      <c r="H273" s="171"/>
      <c r="I273" s="171"/>
      <c r="J273" s="100"/>
      <c r="K273" s="100"/>
      <c r="L273" s="101"/>
      <c r="M273" s="171"/>
      <c r="N273" s="100"/>
      <c r="O273" s="171"/>
      <c r="P273" s="171"/>
      <c r="Q273" s="171"/>
      <c r="R273" s="171"/>
      <c r="S273" s="171"/>
      <c r="T273" s="100"/>
      <c r="U273" s="101"/>
      <c r="V273" s="171"/>
      <c r="W273" s="100"/>
      <c r="X273" s="101"/>
      <c r="Y273" s="171"/>
      <c r="Z273" s="100"/>
      <c r="AA273" s="101"/>
      <c r="AB273" s="171"/>
      <c r="AC273" s="171"/>
      <c r="AD273" s="171"/>
      <c r="AE273" s="171"/>
      <c r="AF273" s="171"/>
      <c r="AG273" s="171"/>
      <c r="AH273" s="171"/>
      <c r="AI273" s="171"/>
      <c r="AJ273" s="171"/>
      <c r="AK273" s="171"/>
      <c r="AL273" s="171"/>
      <c r="AM273" s="171"/>
      <c r="AN273" s="171"/>
      <c r="AO273" s="171"/>
      <c r="AP273" s="171"/>
      <c r="AQ273" s="171"/>
      <c r="AR273" s="171"/>
      <c r="AS273" s="171"/>
      <c r="AT273" s="171"/>
      <c r="AU273" s="171"/>
    </row>
    <row r="274" spans="1:47" s="620" customFormat="1" ht="15.75" hidden="1" thickBot="1" x14ac:dyDescent="0.3">
      <c r="A274" s="1480" t="s">
        <v>1653</v>
      </c>
      <c r="B274" s="1489" t="e">
        <f ca="1">IF(Cabeçalho!$G$28="Unfors",INDIRECT(ADDRESS(B275,5,1,1,"medidas Unfors"),1),INDIRECT(ADDRESS(B275,5,1,1,"medidas Fluke"),1)/1000)</f>
        <v>#VALUE!</v>
      </c>
      <c r="C274" s="1489" t="e">
        <f ca="1">IF(Cabeçalho!$G$28="Unfors",INDIRECT(ADDRESS(C275,5,1,1,"medidas Unfors"),1),INDIRECT(ADDRESS(C275,5,1,1,"medidas Fluke"),1)/1000)</f>
        <v>#VALUE!</v>
      </c>
      <c r="D274" s="1489" t="e">
        <f ca="1">IF(Cabeçalho!$G$28="Unfors",INDIRECT(ADDRESS(D275,5,1,1,"medidas Unfors"),1),INDIRECT(ADDRESS(D275,5,1,1,"medidas Fluke"),1)/1000)</f>
        <v>#VALUE!</v>
      </c>
      <c r="E274" s="1489" t="e">
        <f ca="1">IF(Cabeçalho!$G$28="Unfors",INDIRECT(ADDRESS(E275,5,1,1,"medidas Unfors"),1),INDIRECT(ADDRESS(E275,5,1,1,"medidas Fluke"),1)/1000)</f>
        <v>#VALUE!</v>
      </c>
      <c r="F274" s="1489" t="e">
        <f ca="1">IF(Cabeçalho!$G$28="Unfors",INDIRECT(ADDRESS(F275,5,1,1,"medidas Unfors"),1),INDIRECT(ADDRESS(F275,5,1,1,"medidas Fluke"),1)/1000)</f>
        <v>#VALUE!</v>
      </c>
      <c r="G274" s="1489" t="e">
        <f ca="1">IF(Cabeçalho!$G$28="Unfors",INDIRECT(ADDRESS(G275,5,1,1,"medidas Unfors"),1),INDIRECT(ADDRESS(G275,5,1,1,"medidas Fluke"),1)/1000)</f>
        <v>#VALUE!</v>
      </c>
      <c r="H274" s="171"/>
      <c r="I274" s="171"/>
      <c r="J274" s="100"/>
      <c r="K274" s="100"/>
      <c r="L274" s="101"/>
      <c r="M274" s="171"/>
      <c r="N274" s="100"/>
      <c r="O274" s="171"/>
      <c r="P274" s="171"/>
      <c r="Q274" s="171"/>
      <c r="R274" s="171"/>
      <c r="S274" s="171"/>
      <c r="T274" s="100"/>
      <c r="U274" s="101"/>
      <c r="V274" s="171"/>
      <c r="W274" s="100"/>
      <c r="X274" s="101"/>
      <c r="Y274" s="171"/>
      <c r="Z274" s="100"/>
      <c r="AA274" s="101"/>
      <c r="AB274" s="171"/>
      <c r="AC274" s="171"/>
      <c r="AD274" s="171"/>
      <c r="AE274" s="171"/>
      <c r="AF274" s="171"/>
      <c r="AG274" s="171"/>
      <c r="AH274" s="171"/>
      <c r="AI274" s="171"/>
      <c r="AJ274" s="171"/>
      <c r="AK274" s="171"/>
      <c r="AL274" s="171"/>
      <c r="AM274" s="171"/>
      <c r="AN274" s="171"/>
      <c r="AO274" s="171"/>
      <c r="AP274" s="171"/>
      <c r="AQ274" s="171"/>
      <c r="AR274" s="171"/>
      <c r="AS274" s="171"/>
      <c r="AT274" s="171"/>
      <c r="AU274" s="171"/>
    </row>
    <row r="275" spans="1:47" s="620" customFormat="1" ht="15.75" hidden="1" thickBot="1" x14ac:dyDescent="0.3">
      <c r="A275" s="1418" t="s">
        <v>1428</v>
      </c>
      <c r="B275" s="1419"/>
      <c r="C275" s="1419"/>
      <c r="D275" s="1419"/>
      <c r="E275" s="1419"/>
      <c r="F275" s="1419"/>
      <c r="G275" s="1420"/>
      <c r="H275" s="171"/>
      <c r="I275" s="171"/>
      <c r="J275" s="100"/>
      <c r="K275" s="100"/>
      <c r="L275" s="101"/>
      <c r="M275" s="171"/>
      <c r="N275" s="100"/>
      <c r="O275" s="171"/>
      <c r="P275" s="171"/>
      <c r="Q275" s="171"/>
      <c r="R275" s="171"/>
      <c r="S275" s="171"/>
      <c r="T275" s="100"/>
      <c r="U275" s="101"/>
      <c r="V275" s="171"/>
      <c r="W275" s="100"/>
      <c r="X275" s="101"/>
      <c r="Y275" s="171"/>
      <c r="Z275" s="100"/>
      <c r="AA275" s="101"/>
      <c r="AB275" s="171"/>
      <c r="AC275" s="171"/>
      <c r="AD275" s="171"/>
      <c r="AE275" s="171"/>
      <c r="AF275" s="171"/>
      <c r="AG275" s="171"/>
      <c r="AH275" s="171"/>
      <c r="AI275" s="171"/>
      <c r="AJ275" s="171"/>
      <c r="AK275" s="171"/>
      <c r="AL275" s="171"/>
      <c r="AM275" s="171"/>
      <c r="AN275" s="171"/>
      <c r="AO275" s="171"/>
      <c r="AP275" s="171"/>
      <c r="AQ275" s="171"/>
      <c r="AR275" s="171"/>
      <c r="AS275" s="171"/>
      <c r="AT275" s="171"/>
      <c r="AU275" s="171"/>
    </row>
    <row r="276" spans="1:47" s="620" customFormat="1" ht="17.25" hidden="1" x14ac:dyDescent="0.25">
      <c r="A276" s="1481" t="s">
        <v>1434</v>
      </c>
      <c r="B276" s="584"/>
      <c r="C276" s="584"/>
      <c r="D276" s="584"/>
      <c r="E276" s="584"/>
      <c r="F276" s="584"/>
      <c r="G276" s="584"/>
      <c r="H276" s="171"/>
      <c r="I276" s="171"/>
      <c r="J276" s="100"/>
      <c r="K276" s="100"/>
      <c r="L276" s="101"/>
      <c r="M276" s="171"/>
      <c r="N276" s="100"/>
      <c r="O276" s="171"/>
      <c r="P276" s="171"/>
      <c r="Q276" s="171"/>
      <c r="R276" s="171"/>
      <c r="S276" s="171"/>
      <c r="T276" s="100"/>
      <c r="U276" s="101"/>
      <c r="V276" s="171"/>
      <c r="W276" s="100"/>
      <c r="X276" s="101"/>
      <c r="Y276" s="171"/>
      <c r="Z276" s="100"/>
      <c r="AA276" s="101"/>
      <c r="AB276" s="171"/>
      <c r="AC276" s="171"/>
      <c r="AD276" s="171"/>
      <c r="AE276" s="171"/>
      <c r="AF276" s="171"/>
      <c r="AG276" s="171"/>
      <c r="AH276" s="171"/>
      <c r="AI276" s="171"/>
      <c r="AJ276" s="171"/>
      <c r="AK276" s="171"/>
      <c r="AL276" s="171"/>
      <c r="AM276" s="171"/>
      <c r="AN276" s="171"/>
      <c r="AO276" s="171"/>
      <c r="AP276" s="171"/>
      <c r="AQ276" s="171"/>
      <c r="AR276" s="171"/>
      <c r="AS276" s="171"/>
      <c r="AT276" s="171"/>
      <c r="AU276" s="171"/>
    </row>
    <row r="277" spans="1:47" s="620" customFormat="1" hidden="1" x14ac:dyDescent="0.25">
      <c r="A277" s="1481" t="s">
        <v>1432</v>
      </c>
      <c r="B277" s="584"/>
      <c r="C277" s="584"/>
      <c r="D277" s="584"/>
      <c r="E277" s="584"/>
      <c r="F277" s="584"/>
      <c r="G277" s="584"/>
      <c r="H277" s="171"/>
      <c r="I277" s="171"/>
      <c r="J277" s="100"/>
      <c r="K277" s="100"/>
      <c r="L277" s="101"/>
      <c r="M277" s="171"/>
      <c r="N277" s="100"/>
      <c r="O277" s="171"/>
      <c r="P277" s="171"/>
      <c r="Q277" s="171"/>
      <c r="R277" s="171"/>
      <c r="S277" s="171"/>
      <c r="T277" s="100"/>
      <c r="U277" s="101"/>
      <c r="V277" s="171"/>
      <c r="W277" s="100"/>
      <c r="X277" s="101"/>
      <c r="Y277" s="171"/>
      <c r="Z277" s="100"/>
      <c r="AA277" s="101"/>
      <c r="AB277" s="171"/>
      <c r="AC277" s="171"/>
      <c r="AD277" s="171"/>
      <c r="AE277" s="171"/>
      <c r="AF277" s="171"/>
      <c r="AG277" s="171"/>
      <c r="AH277" s="171"/>
      <c r="AI277" s="171"/>
      <c r="AJ277" s="171"/>
      <c r="AK277" s="171"/>
      <c r="AL277" s="171"/>
      <c r="AM277" s="171"/>
      <c r="AN277" s="171"/>
      <c r="AO277" s="171"/>
      <c r="AP277" s="171"/>
      <c r="AQ277" s="171"/>
      <c r="AR277" s="171"/>
      <c r="AS277" s="171"/>
      <c r="AT277" s="171"/>
      <c r="AU277" s="171"/>
    </row>
    <row r="278" spans="1:47" s="620" customFormat="1" hidden="1" x14ac:dyDescent="0.25">
      <c r="A278" s="1481" t="s">
        <v>1435</v>
      </c>
      <c r="B278" s="653">
        <f t="shared" ref="B278:G278" si="48">ABS(B270-B264)</f>
        <v>0</v>
      </c>
      <c r="C278" s="653">
        <f t="shared" si="48"/>
        <v>0</v>
      </c>
      <c r="D278" s="653">
        <f t="shared" si="48"/>
        <v>0</v>
      </c>
      <c r="E278" s="653">
        <f t="shared" si="48"/>
        <v>0</v>
      </c>
      <c r="F278" s="653">
        <f t="shared" si="48"/>
        <v>0</v>
      </c>
      <c r="G278" s="653">
        <f t="shared" si="48"/>
        <v>0</v>
      </c>
      <c r="H278" s="171"/>
      <c r="I278" s="171"/>
      <c r="J278" s="100"/>
      <c r="K278" s="100"/>
      <c r="L278" s="101"/>
      <c r="M278" s="171"/>
      <c r="N278" s="100"/>
      <c r="O278" s="171"/>
      <c r="P278" s="171"/>
      <c r="Q278" s="171"/>
      <c r="R278" s="171"/>
      <c r="S278" s="171"/>
      <c r="T278" s="100"/>
      <c r="U278" s="101"/>
      <c r="V278" s="171"/>
      <c r="W278" s="100"/>
      <c r="X278" s="101"/>
      <c r="Y278" s="171"/>
      <c r="Z278" s="100"/>
      <c r="AA278" s="101"/>
      <c r="AB278" s="171"/>
      <c r="AC278" s="171"/>
      <c r="AD278" s="171"/>
      <c r="AE278" s="171"/>
      <c r="AF278" s="171"/>
      <c r="AG278" s="171"/>
      <c r="AH278" s="171"/>
      <c r="AI278" s="171"/>
      <c r="AJ278" s="171"/>
      <c r="AK278" s="171"/>
      <c r="AL278" s="171"/>
      <c r="AM278" s="171"/>
      <c r="AN278" s="171"/>
      <c r="AO278" s="171"/>
      <c r="AP278" s="171"/>
      <c r="AQ278" s="171"/>
      <c r="AR278" s="171"/>
      <c r="AS278" s="171"/>
      <c r="AT278" s="171"/>
      <c r="AU278" s="171"/>
    </row>
    <row r="279" spans="1:47" s="620" customFormat="1" hidden="1" x14ac:dyDescent="0.25">
      <c r="A279" s="1481" t="s">
        <v>1437</v>
      </c>
      <c r="B279" s="653">
        <f t="shared" ref="B279:G279" si="49">ABS(B276-B270)</f>
        <v>0</v>
      </c>
      <c r="C279" s="653">
        <f t="shared" si="49"/>
        <v>0</v>
      </c>
      <c r="D279" s="653">
        <f t="shared" si="49"/>
        <v>0</v>
      </c>
      <c r="E279" s="653">
        <f t="shared" si="49"/>
        <v>0</v>
      </c>
      <c r="F279" s="653">
        <f t="shared" si="49"/>
        <v>0</v>
      </c>
      <c r="G279" s="653">
        <f t="shared" si="49"/>
        <v>0</v>
      </c>
      <c r="H279" s="171"/>
      <c r="I279" s="171"/>
      <c r="J279" s="100"/>
      <c r="K279" s="100"/>
      <c r="L279" s="101"/>
      <c r="M279" s="171"/>
      <c r="N279" s="100"/>
      <c r="O279" s="171"/>
      <c r="P279" s="171"/>
      <c r="Q279" s="171"/>
      <c r="R279" s="171"/>
      <c r="S279" s="171"/>
      <c r="T279" s="100"/>
      <c r="U279" s="101"/>
      <c r="V279" s="171"/>
      <c r="W279" s="100"/>
      <c r="X279" s="101"/>
      <c r="Y279" s="171"/>
      <c r="Z279" s="100"/>
      <c r="AA279" s="101"/>
      <c r="AB279" s="171"/>
      <c r="AC279" s="171"/>
      <c r="AD279" s="171"/>
      <c r="AE279" s="171"/>
      <c r="AF279" s="171"/>
      <c r="AG279" s="171"/>
      <c r="AH279" s="171"/>
      <c r="AI279" s="171"/>
      <c r="AJ279" s="171"/>
      <c r="AK279" s="171"/>
      <c r="AL279" s="171"/>
      <c r="AM279" s="171"/>
      <c r="AN279" s="171"/>
      <c r="AO279" s="171"/>
      <c r="AP279" s="171"/>
      <c r="AQ279" s="171"/>
      <c r="AR279" s="171"/>
      <c r="AS279" s="171"/>
      <c r="AT279" s="171"/>
      <c r="AU279" s="171"/>
    </row>
    <row r="280" spans="1:47" s="620" customFormat="1" hidden="1" x14ac:dyDescent="0.25">
      <c r="A280" s="1481" t="s">
        <v>1436</v>
      </c>
      <c r="B280" s="653">
        <f t="shared" ref="B280:G280" si="50">ABS(B271-B265)</f>
        <v>0</v>
      </c>
      <c r="C280" s="653">
        <f t="shared" si="50"/>
        <v>0</v>
      </c>
      <c r="D280" s="653">
        <f t="shared" si="50"/>
        <v>0</v>
      </c>
      <c r="E280" s="653">
        <f t="shared" si="50"/>
        <v>0</v>
      </c>
      <c r="F280" s="653">
        <f t="shared" si="50"/>
        <v>0</v>
      </c>
      <c r="G280" s="653">
        <f t="shared" si="50"/>
        <v>0</v>
      </c>
      <c r="H280" s="171"/>
      <c r="I280" s="171"/>
      <c r="J280" s="100"/>
      <c r="K280" s="100"/>
      <c r="L280" s="101"/>
      <c r="M280" s="171"/>
      <c r="N280" s="100"/>
      <c r="O280" s="171"/>
      <c r="P280" s="171"/>
      <c r="Q280" s="171"/>
      <c r="R280" s="171"/>
      <c r="S280" s="171"/>
      <c r="T280" s="100"/>
      <c r="U280" s="101"/>
      <c r="V280" s="171"/>
      <c r="W280" s="100"/>
      <c r="X280" s="101"/>
      <c r="Y280" s="171"/>
      <c r="Z280" s="100"/>
      <c r="AA280" s="101"/>
      <c r="AB280" s="171"/>
      <c r="AC280" s="171"/>
      <c r="AD280" s="171"/>
      <c r="AE280" s="171"/>
      <c r="AF280" s="171"/>
      <c r="AG280" s="171"/>
      <c r="AH280" s="171"/>
      <c r="AI280" s="171"/>
      <c r="AJ280" s="171"/>
      <c r="AK280" s="171"/>
      <c r="AL280" s="171"/>
      <c r="AM280" s="171"/>
      <c r="AN280" s="171"/>
      <c r="AO280" s="171"/>
      <c r="AP280" s="171"/>
      <c r="AQ280" s="171"/>
      <c r="AR280" s="171"/>
      <c r="AS280" s="171"/>
      <c r="AT280" s="171"/>
      <c r="AU280" s="171"/>
    </row>
    <row r="281" spans="1:47" s="620" customFormat="1" ht="15.75" hidden="1" thickBot="1" x14ac:dyDescent="0.3">
      <c r="A281" s="1184" t="s">
        <v>1438</v>
      </c>
      <c r="B281" s="1185">
        <f t="shared" ref="B281:G281" si="51">ABS(B277-B271)</f>
        <v>0</v>
      </c>
      <c r="C281" s="1185">
        <f t="shared" si="51"/>
        <v>0</v>
      </c>
      <c r="D281" s="1185">
        <f t="shared" si="51"/>
        <v>0</v>
      </c>
      <c r="E281" s="1185">
        <f t="shared" si="51"/>
        <v>0</v>
      </c>
      <c r="F281" s="1185">
        <f t="shared" si="51"/>
        <v>0</v>
      </c>
      <c r="G281" s="1185">
        <f t="shared" si="51"/>
        <v>0</v>
      </c>
      <c r="H281" s="171"/>
      <c r="I281" s="171"/>
      <c r="J281" s="100"/>
      <c r="K281" s="100"/>
      <c r="L281" s="101"/>
      <c r="M281" s="171"/>
      <c r="N281" s="100"/>
      <c r="O281" s="171"/>
      <c r="P281" s="171"/>
      <c r="Q281" s="171"/>
      <c r="R281" s="171"/>
      <c r="S281" s="171"/>
      <c r="T281" s="100"/>
      <c r="U281" s="101"/>
      <c r="V281" s="171"/>
      <c r="W281" s="100"/>
      <c r="X281" s="101"/>
      <c r="Y281" s="171"/>
      <c r="Z281" s="100"/>
      <c r="AA281" s="101"/>
      <c r="AB281" s="171"/>
      <c r="AC281" s="171"/>
      <c r="AD281" s="171"/>
      <c r="AE281" s="171"/>
      <c r="AF281" s="171"/>
      <c r="AG281" s="171"/>
      <c r="AH281" s="171"/>
      <c r="AI281" s="171"/>
      <c r="AJ281" s="171"/>
      <c r="AK281" s="171"/>
      <c r="AL281" s="171"/>
      <c r="AM281" s="171"/>
      <c r="AN281" s="171"/>
      <c r="AO281" s="171"/>
      <c r="AP281" s="171"/>
      <c r="AQ281" s="171"/>
      <c r="AR281" s="171"/>
      <c r="AS281" s="171"/>
      <c r="AT281" s="171"/>
      <c r="AU281" s="171"/>
    </row>
    <row r="282" spans="1:47" s="620" customFormat="1" hidden="1" x14ac:dyDescent="0.25">
      <c r="A282" s="1186" t="s">
        <v>1439</v>
      </c>
      <c r="B282" s="1187" t="e">
        <f t="shared" ref="B282:G282" si="52">B278/B280</f>
        <v>#DIV/0!</v>
      </c>
      <c r="C282" s="1187" t="e">
        <f t="shared" si="52"/>
        <v>#DIV/0!</v>
      </c>
      <c r="D282" s="1187" t="e">
        <f t="shared" si="52"/>
        <v>#DIV/0!</v>
      </c>
      <c r="E282" s="1187" t="e">
        <f t="shared" si="52"/>
        <v>#DIV/0!</v>
      </c>
      <c r="F282" s="1187" t="e">
        <f t="shared" si="52"/>
        <v>#DIV/0!</v>
      </c>
      <c r="G282" s="1188" t="e">
        <f t="shared" si="52"/>
        <v>#DIV/0!</v>
      </c>
      <c r="H282" s="171"/>
      <c r="I282" s="171"/>
      <c r="J282" s="100"/>
      <c r="K282" s="100"/>
      <c r="L282" s="101"/>
      <c r="M282" s="171"/>
      <c r="N282" s="100"/>
      <c r="O282" s="171"/>
      <c r="P282" s="171"/>
      <c r="Q282" s="171"/>
      <c r="R282" s="171"/>
      <c r="S282" s="171"/>
      <c r="T282" s="100"/>
      <c r="U282" s="101"/>
      <c r="V282" s="171"/>
      <c r="W282" s="100"/>
      <c r="X282" s="101"/>
      <c r="Y282" s="171"/>
      <c r="Z282" s="100"/>
      <c r="AA282" s="101"/>
      <c r="AB282" s="171"/>
      <c r="AC282" s="171"/>
      <c r="AD282" s="171"/>
      <c r="AE282" s="171"/>
      <c r="AF282" s="171"/>
      <c r="AG282" s="171"/>
      <c r="AH282" s="171"/>
      <c r="AI282" s="171"/>
      <c r="AJ282" s="171"/>
      <c r="AK282" s="171"/>
      <c r="AL282" s="171"/>
      <c r="AM282" s="171"/>
      <c r="AN282" s="171"/>
      <c r="AO282" s="171"/>
      <c r="AP282" s="171"/>
      <c r="AQ282" s="171"/>
      <c r="AR282" s="171"/>
      <c r="AS282" s="171"/>
      <c r="AT282" s="171"/>
      <c r="AU282" s="171"/>
    </row>
    <row r="283" spans="1:47" s="620" customFormat="1" hidden="1" x14ac:dyDescent="0.25">
      <c r="A283" s="1189" t="s">
        <v>1440</v>
      </c>
      <c r="B283" s="653" t="e">
        <f t="shared" ref="B283:G283" si="53">B279/B281</f>
        <v>#DIV/0!</v>
      </c>
      <c r="C283" s="653" t="e">
        <f t="shared" si="53"/>
        <v>#DIV/0!</v>
      </c>
      <c r="D283" s="653" t="e">
        <f t="shared" si="53"/>
        <v>#DIV/0!</v>
      </c>
      <c r="E283" s="653" t="e">
        <f t="shared" si="53"/>
        <v>#DIV/0!</v>
      </c>
      <c r="F283" s="653" t="e">
        <f t="shared" si="53"/>
        <v>#DIV/0!</v>
      </c>
      <c r="G283" s="1190" t="e">
        <f t="shared" si="53"/>
        <v>#DIV/0!</v>
      </c>
      <c r="H283" s="171"/>
      <c r="I283" s="171"/>
      <c r="J283" s="100"/>
      <c r="K283" s="100"/>
      <c r="L283" s="101"/>
      <c r="M283" s="171"/>
      <c r="N283" s="100"/>
      <c r="O283" s="171"/>
      <c r="P283" s="171"/>
      <c r="Q283" s="171"/>
      <c r="R283" s="171"/>
      <c r="S283" s="171"/>
      <c r="T283" s="100"/>
      <c r="U283" s="101"/>
      <c r="V283" s="171"/>
      <c r="W283" s="100"/>
      <c r="X283" s="101"/>
      <c r="Y283" s="171"/>
      <c r="Z283" s="100"/>
      <c r="AA283" s="101"/>
      <c r="AB283" s="171"/>
      <c r="AC283" s="171"/>
      <c r="AD283" s="171"/>
      <c r="AE283" s="171"/>
      <c r="AF283" s="171"/>
      <c r="AG283" s="171"/>
      <c r="AH283" s="171"/>
      <c r="AI283" s="171"/>
      <c r="AJ283" s="171"/>
      <c r="AK283" s="171"/>
      <c r="AL283" s="171"/>
      <c r="AM283" s="171"/>
      <c r="AN283" s="171"/>
      <c r="AO283" s="171"/>
      <c r="AP283" s="171"/>
      <c r="AQ283" s="171"/>
      <c r="AR283" s="171"/>
      <c r="AS283" s="171"/>
      <c r="AT283" s="171"/>
      <c r="AU283" s="171"/>
    </row>
    <row r="284" spans="1:47" s="620" customFormat="1" hidden="1" x14ac:dyDescent="0.25">
      <c r="A284" s="1189" t="s">
        <v>1639</v>
      </c>
      <c r="B284" s="653">
        <f t="shared" ref="B284:G284" si="54">IF($D$141="Quadrado",B$132^2,PI()*(B$132/2)^2)</f>
        <v>0</v>
      </c>
      <c r="C284" s="653" t="e">
        <f t="shared" si="54"/>
        <v>#VALUE!</v>
      </c>
      <c r="D284" s="653" t="e">
        <f t="shared" si="54"/>
        <v>#VALUE!</v>
      </c>
      <c r="E284" s="653" t="e">
        <f t="shared" si="54"/>
        <v>#VALUE!</v>
      </c>
      <c r="F284" s="653" t="e">
        <f t="shared" si="54"/>
        <v>#VALUE!</v>
      </c>
      <c r="G284" s="653" t="e">
        <f t="shared" si="54"/>
        <v>#VALUE!</v>
      </c>
      <c r="H284" s="171"/>
      <c r="I284" s="171"/>
      <c r="J284" s="100"/>
      <c r="K284" s="100"/>
      <c r="L284" s="101"/>
      <c r="M284" s="171"/>
      <c r="N284" s="100"/>
      <c r="O284" s="171"/>
      <c r="P284" s="171"/>
      <c r="Q284" s="171"/>
      <c r="R284" s="171"/>
      <c r="S284" s="171"/>
      <c r="T284" s="100"/>
      <c r="U284" s="101"/>
      <c r="V284" s="171"/>
      <c r="W284" s="100"/>
      <c r="X284" s="101"/>
      <c r="Y284" s="171"/>
      <c r="Z284" s="100"/>
      <c r="AA284" s="101"/>
      <c r="AB284" s="171"/>
      <c r="AC284" s="171"/>
      <c r="AD284" s="171"/>
      <c r="AE284" s="171"/>
      <c r="AF284" s="171"/>
      <c r="AG284" s="171"/>
      <c r="AH284" s="171"/>
      <c r="AI284" s="171"/>
      <c r="AJ284" s="171"/>
      <c r="AK284" s="171"/>
      <c r="AL284" s="171"/>
      <c r="AM284" s="171"/>
      <c r="AN284" s="171"/>
      <c r="AO284" s="171"/>
      <c r="AP284" s="171"/>
      <c r="AQ284" s="171"/>
      <c r="AR284" s="171"/>
      <c r="AS284" s="171"/>
      <c r="AT284" s="171"/>
      <c r="AU284" s="171"/>
    </row>
    <row r="285" spans="1:47" s="620" customFormat="1" ht="18" hidden="1" thickBot="1" x14ac:dyDescent="0.3">
      <c r="A285" s="1415" t="s">
        <v>1640</v>
      </c>
      <c r="B285" s="1416">
        <f t="shared" ref="B285:G285" si="55">IF($D$141="Quadrado",B260^2,PI()*(B260/2)^2)</f>
        <v>415.47562843725012</v>
      </c>
      <c r="C285" s="1191">
        <f t="shared" si="55"/>
        <v>0</v>
      </c>
      <c r="D285" s="1191">
        <f t="shared" si="55"/>
        <v>0</v>
      </c>
      <c r="E285" s="1191">
        <f t="shared" si="55"/>
        <v>0</v>
      </c>
      <c r="F285" s="1191">
        <f t="shared" si="55"/>
        <v>0</v>
      </c>
      <c r="G285" s="1192">
        <f t="shared" si="55"/>
        <v>0</v>
      </c>
      <c r="H285" s="171"/>
      <c r="I285" s="171"/>
      <c r="J285" s="100"/>
      <c r="K285" s="100"/>
      <c r="L285" s="101"/>
      <c r="M285" s="171"/>
      <c r="N285" s="100"/>
      <c r="O285" s="171"/>
      <c r="P285" s="171"/>
      <c r="Q285" s="171"/>
      <c r="R285" s="171"/>
      <c r="S285" s="171"/>
      <c r="T285" s="100"/>
      <c r="U285" s="101"/>
      <c r="V285" s="171"/>
      <c r="W285" s="100"/>
      <c r="X285" s="101"/>
      <c r="Y285" s="171"/>
      <c r="Z285" s="100"/>
      <c r="AA285" s="101"/>
      <c r="AB285" s="171"/>
      <c r="AC285" s="171"/>
      <c r="AD285" s="171"/>
      <c r="AE285" s="171"/>
      <c r="AF285" s="171"/>
      <c r="AG285" s="171"/>
      <c r="AH285" s="171"/>
      <c r="AI285" s="171"/>
      <c r="AJ285" s="171"/>
      <c r="AK285" s="171"/>
      <c r="AL285" s="171"/>
      <c r="AM285" s="171"/>
      <c r="AN285" s="171"/>
      <c r="AO285" s="171"/>
      <c r="AP285" s="171"/>
      <c r="AQ285" s="171"/>
      <c r="AR285" s="171"/>
      <c r="AS285" s="171"/>
      <c r="AT285" s="171"/>
      <c r="AU285" s="171"/>
    </row>
    <row r="286" spans="1:47" s="620" customFormat="1" ht="17.25" hidden="1" x14ac:dyDescent="0.25">
      <c r="A286" s="1498" t="s">
        <v>1684</v>
      </c>
      <c r="B286" s="1187" t="str">
        <f t="shared" ref="B286:G286" ca="1" si="56">IFERROR(B282*B267,"NPA")</f>
        <v>NPA</v>
      </c>
      <c r="C286" s="1187" t="str">
        <f t="shared" ca="1" si="56"/>
        <v>NPA</v>
      </c>
      <c r="D286" s="1187" t="str">
        <f t="shared" ca="1" si="56"/>
        <v>NPA</v>
      </c>
      <c r="E286" s="1187" t="str">
        <f t="shared" ca="1" si="56"/>
        <v>NPA</v>
      </c>
      <c r="F286" s="1187" t="str">
        <f t="shared" ca="1" si="56"/>
        <v>NPA</v>
      </c>
      <c r="G286" s="1187" t="str">
        <f t="shared" ca="1" si="56"/>
        <v>NPA</v>
      </c>
      <c r="H286" s="171"/>
      <c r="I286" s="171"/>
      <c r="J286" s="100"/>
      <c r="K286" s="100"/>
      <c r="L286" s="101"/>
      <c r="M286" s="171"/>
      <c r="N286" s="100"/>
      <c r="O286" s="171"/>
      <c r="P286" s="171"/>
      <c r="Q286" s="171"/>
      <c r="R286" s="171"/>
      <c r="S286" s="171"/>
      <c r="T286" s="100"/>
      <c r="U286" s="101"/>
      <c r="V286" s="171"/>
      <c r="W286" s="100"/>
      <c r="X286" s="101"/>
      <c r="Y286" s="171"/>
      <c r="Z286" s="100"/>
      <c r="AA286" s="101"/>
      <c r="AB286" s="171"/>
      <c r="AC286" s="171"/>
      <c r="AD286" s="171"/>
      <c r="AE286" s="171"/>
      <c r="AF286" s="171"/>
      <c r="AG286" s="171"/>
      <c r="AH286" s="171"/>
      <c r="AI286" s="171"/>
      <c r="AJ286" s="171"/>
      <c r="AK286" s="171"/>
      <c r="AL286" s="171"/>
      <c r="AM286" s="171"/>
      <c r="AN286" s="171"/>
      <c r="AO286" s="171"/>
      <c r="AP286" s="171"/>
      <c r="AQ286" s="171"/>
      <c r="AR286" s="171"/>
      <c r="AS286" s="171"/>
      <c r="AT286" s="171"/>
      <c r="AU286" s="171"/>
    </row>
    <row r="287" spans="1:47" s="620" customFormat="1" ht="17.25" hidden="1" x14ac:dyDescent="0.25">
      <c r="A287" s="1499" t="s">
        <v>1686</v>
      </c>
      <c r="B287" s="653" t="str">
        <f t="shared" ref="B287:G287" ca="1" si="57">IFERROR(B267*B284,"NPA")</f>
        <v>NPA</v>
      </c>
      <c r="C287" s="653" t="str">
        <f t="shared" ca="1" si="57"/>
        <v>NPA</v>
      </c>
      <c r="D287" s="653" t="str">
        <f t="shared" ca="1" si="57"/>
        <v>NPA</v>
      </c>
      <c r="E287" s="653" t="str">
        <f t="shared" ca="1" si="57"/>
        <v>NPA</v>
      </c>
      <c r="F287" s="653" t="str">
        <f t="shared" ca="1" si="57"/>
        <v>NPA</v>
      </c>
      <c r="G287" s="653" t="str">
        <f t="shared" ca="1" si="57"/>
        <v>NPA</v>
      </c>
      <c r="H287" s="171"/>
      <c r="I287" s="171"/>
      <c r="J287" s="100"/>
      <c r="K287" s="100"/>
      <c r="L287" s="101"/>
      <c r="M287" s="171"/>
      <c r="N287" s="100"/>
      <c r="O287" s="171"/>
      <c r="P287" s="171"/>
      <c r="Q287" s="171"/>
      <c r="R287" s="171"/>
      <c r="S287" s="171"/>
      <c r="T287" s="100"/>
      <c r="U287" s="101"/>
      <c r="V287" s="171"/>
      <c r="W287" s="100"/>
      <c r="X287" s="101"/>
      <c r="Y287" s="171"/>
      <c r="Z287" s="100"/>
      <c r="AA287" s="101"/>
      <c r="AB287" s="171"/>
      <c r="AC287" s="171"/>
      <c r="AD287" s="171"/>
      <c r="AE287" s="171"/>
      <c r="AF287" s="171"/>
      <c r="AG287" s="171"/>
      <c r="AH287" s="171"/>
      <c r="AI287" s="171"/>
      <c r="AJ287" s="171"/>
      <c r="AK287" s="171"/>
      <c r="AL287" s="171"/>
      <c r="AM287" s="171"/>
      <c r="AN287" s="171"/>
      <c r="AO287" s="171"/>
      <c r="AP287" s="171"/>
      <c r="AQ287" s="171"/>
      <c r="AR287" s="171"/>
      <c r="AS287" s="171"/>
      <c r="AT287" s="171"/>
      <c r="AU287" s="171"/>
    </row>
    <row r="288" spans="1:47" s="620" customFormat="1" ht="17.25" hidden="1" x14ac:dyDescent="0.25">
      <c r="A288" s="1499" t="s">
        <v>1688</v>
      </c>
      <c r="B288" s="653" t="str">
        <f t="shared" ref="B288:G288" ca="1" si="58">IFERROR(B267*B285,"NPA")</f>
        <v>NPA</v>
      </c>
      <c r="C288" s="653" t="str">
        <f t="shared" ca="1" si="58"/>
        <v>NPA</v>
      </c>
      <c r="D288" s="653" t="str">
        <f t="shared" ca="1" si="58"/>
        <v>NPA</v>
      </c>
      <c r="E288" s="653" t="str">
        <f t="shared" ca="1" si="58"/>
        <v>NPA</v>
      </c>
      <c r="F288" s="653" t="str">
        <f t="shared" ca="1" si="58"/>
        <v>NPA</v>
      </c>
      <c r="G288" s="653" t="str">
        <f t="shared" ca="1" si="58"/>
        <v>NPA</v>
      </c>
      <c r="H288" s="171"/>
      <c r="I288" s="171"/>
      <c r="J288" s="100"/>
      <c r="K288" s="100"/>
      <c r="L288" s="101"/>
      <c r="M288" s="171"/>
      <c r="N288" s="100"/>
      <c r="O288" s="171"/>
      <c r="P288" s="171"/>
      <c r="Q288" s="171"/>
      <c r="R288" s="171"/>
      <c r="S288" s="171"/>
      <c r="T288" s="100"/>
      <c r="U288" s="101"/>
      <c r="V288" s="171"/>
      <c r="W288" s="100"/>
      <c r="X288" s="101"/>
      <c r="Y288" s="171"/>
      <c r="Z288" s="100"/>
      <c r="AA288" s="101"/>
      <c r="AB288" s="171"/>
      <c r="AC288" s="171"/>
      <c r="AD288" s="171"/>
      <c r="AE288" s="171"/>
      <c r="AF288" s="171"/>
      <c r="AG288" s="171"/>
      <c r="AH288" s="171"/>
      <c r="AI288" s="171"/>
      <c r="AJ288" s="171"/>
      <c r="AK288" s="171"/>
      <c r="AL288" s="171"/>
      <c r="AM288" s="171"/>
      <c r="AN288" s="171"/>
      <c r="AO288" s="171"/>
      <c r="AP288" s="171"/>
      <c r="AQ288" s="171"/>
      <c r="AR288" s="171"/>
      <c r="AS288" s="171"/>
      <c r="AT288" s="171"/>
      <c r="AU288" s="171"/>
    </row>
    <row r="289" spans="1:47" s="620" customFormat="1" ht="17.25" hidden="1" x14ac:dyDescent="0.25">
      <c r="A289" s="1500" t="s">
        <v>1685</v>
      </c>
      <c r="B289" s="653" t="str">
        <f t="shared" ref="B289:G289" ca="1" si="59">IFERROR(B283*B273,"NPA")</f>
        <v>NPA</v>
      </c>
      <c r="C289" s="653" t="str">
        <f t="shared" ca="1" si="59"/>
        <v>NPA</v>
      </c>
      <c r="D289" s="653" t="str">
        <f t="shared" ca="1" si="59"/>
        <v>NPA</v>
      </c>
      <c r="E289" s="653" t="str">
        <f t="shared" ca="1" si="59"/>
        <v>NPA</v>
      </c>
      <c r="F289" s="653" t="str">
        <f t="shared" ca="1" si="59"/>
        <v>NPA</v>
      </c>
      <c r="G289" s="653" t="str">
        <f t="shared" ca="1" si="59"/>
        <v>NPA</v>
      </c>
      <c r="H289" s="171"/>
      <c r="I289" s="171"/>
      <c r="J289" s="100"/>
      <c r="K289" s="100"/>
      <c r="L289" s="101"/>
      <c r="M289" s="171"/>
      <c r="N289" s="100"/>
      <c r="O289" s="171"/>
      <c r="P289" s="171"/>
      <c r="Q289" s="171"/>
      <c r="R289" s="171"/>
      <c r="S289" s="171"/>
      <c r="T289" s="100"/>
      <c r="U289" s="101"/>
      <c r="V289" s="171"/>
      <c r="W289" s="100"/>
      <c r="X289" s="101"/>
      <c r="Y289" s="171"/>
      <c r="Z289" s="100"/>
      <c r="AA289" s="101"/>
      <c r="AB289" s="171"/>
      <c r="AC289" s="171"/>
      <c r="AD289" s="171"/>
      <c r="AE289" s="171"/>
      <c r="AF289" s="171"/>
      <c r="AG289" s="171"/>
      <c r="AH289" s="171"/>
      <c r="AI289" s="171"/>
      <c r="AJ289" s="171"/>
      <c r="AK289" s="171"/>
      <c r="AL289" s="171"/>
      <c r="AM289" s="171"/>
      <c r="AN289" s="171"/>
      <c r="AO289" s="171"/>
      <c r="AP289" s="171"/>
      <c r="AQ289" s="171"/>
      <c r="AR289" s="171"/>
      <c r="AS289" s="171"/>
      <c r="AT289" s="171"/>
      <c r="AU289" s="171"/>
    </row>
    <row r="290" spans="1:47" s="620" customFormat="1" ht="17.25" hidden="1" x14ac:dyDescent="0.25">
      <c r="A290" s="1500" t="s">
        <v>1687</v>
      </c>
      <c r="B290" s="653" t="str">
        <f t="shared" ref="B290:G290" ca="1" si="60">IFERROR(B273*B284,"NPA")</f>
        <v>NPA</v>
      </c>
      <c r="C290" s="653" t="str">
        <f t="shared" ca="1" si="60"/>
        <v>NPA</v>
      </c>
      <c r="D290" s="653" t="str">
        <f t="shared" ca="1" si="60"/>
        <v>NPA</v>
      </c>
      <c r="E290" s="653" t="str">
        <f t="shared" ca="1" si="60"/>
        <v>NPA</v>
      </c>
      <c r="F290" s="653" t="str">
        <f t="shared" ca="1" si="60"/>
        <v>NPA</v>
      </c>
      <c r="G290" s="653" t="str">
        <f t="shared" ca="1" si="60"/>
        <v>NPA</v>
      </c>
      <c r="H290" s="171"/>
      <c r="I290" s="171"/>
      <c r="J290" s="100"/>
      <c r="K290" s="100"/>
      <c r="L290" s="101"/>
      <c r="M290" s="171"/>
      <c r="N290" s="100"/>
      <c r="O290" s="171"/>
      <c r="P290" s="171"/>
      <c r="Q290" s="171"/>
      <c r="R290" s="171"/>
      <c r="S290" s="171"/>
      <c r="T290" s="100"/>
      <c r="U290" s="101"/>
      <c r="V290" s="171"/>
      <c r="W290" s="100"/>
      <c r="X290" s="101"/>
      <c r="Y290" s="171"/>
      <c r="Z290" s="100"/>
      <c r="AA290" s="10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row>
    <row r="291" spans="1:47" s="620" customFormat="1" ht="18" hidden="1" thickBot="1" x14ac:dyDescent="0.3">
      <c r="A291" s="1501" t="s">
        <v>1689</v>
      </c>
      <c r="B291" s="1191" t="str">
        <f t="shared" ref="B291:G291" ca="1" si="61">IFERROR(B273*B285,"NPA")</f>
        <v>NPA</v>
      </c>
      <c r="C291" s="1191" t="str">
        <f t="shared" ca="1" si="61"/>
        <v>NPA</v>
      </c>
      <c r="D291" s="1191" t="str">
        <f t="shared" ca="1" si="61"/>
        <v>NPA</v>
      </c>
      <c r="E291" s="1191" t="str">
        <f t="shared" ca="1" si="61"/>
        <v>NPA</v>
      </c>
      <c r="F291" s="1191" t="str">
        <f t="shared" ca="1" si="61"/>
        <v>NPA</v>
      </c>
      <c r="G291" s="1191" t="str">
        <f t="shared" ca="1" si="61"/>
        <v>NPA</v>
      </c>
      <c r="H291" s="171"/>
      <c r="I291" s="171"/>
      <c r="J291" s="100"/>
      <c r="K291" s="100"/>
      <c r="L291" s="101"/>
      <c r="M291" s="171"/>
      <c r="N291" s="100"/>
      <c r="O291" s="171"/>
      <c r="P291" s="171"/>
      <c r="Q291" s="171"/>
      <c r="R291" s="171"/>
      <c r="S291" s="171"/>
      <c r="T291" s="100"/>
      <c r="U291" s="101"/>
      <c r="V291" s="171"/>
      <c r="W291" s="100"/>
      <c r="X291" s="101"/>
      <c r="Y291" s="171"/>
      <c r="Z291" s="100"/>
      <c r="AA291" s="10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row>
    <row r="292" spans="1:47" s="620" customFormat="1" ht="4.5" hidden="1" customHeight="1" thickBot="1" x14ac:dyDescent="0.3">
      <c r="A292" s="1193"/>
      <c r="B292" s="1194"/>
      <c r="C292" s="1194"/>
      <c r="D292" s="1194"/>
      <c r="E292" s="1194"/>
      <c r="F292" s="1194"/>
      <c r="G292" s="1195"/>
      <c r="H292" s="171"/>
      <c r="I292" s="171"/>
      <c r="J292" s="100"/>
      <c r="K292" s="100"/>
      <c r="L292" s="101"/>
      <c r="M292" s="171"/>
      <c r="N292" s="100"/>
      <c r="O292" s="171"/>
      <c r="P292" s="171"/>
      <c r="Q292" s="171"/>
      <c r="R292" s="171"/>
      <c r="S292" s="171"/>
      <c r="T292" s="100"/>
      <c r="U292" s="101"/>
      <c r="V292" s="171"/>
      <c r="W292" s="100"/>
      <c r="X292" s="101"/>
      <c r="Y292" s="171"/>
      <c r="Z292" s="100"/>
      <c r="AA292" s="101"/>
      <c r="AB292" s="171"/>
      <c r="AC292" s="171"/>
      <c r="AD292" s="171"/>
      <c r="AE292" s="171"/>
      <c r="AF292" s="171"/>
      <c r="AG292" s="171"/>
      <c r="AH292" s="171"/>
      <c r="AI292" s="171"/>
      <c r="AJ292" s="171"/>
      <c r="AK292" s="171"/>
      <c r="AL292" s="171"/>
      <c r="AM292" s="171"/>
      <c r="AN292" s="171"/>
      <c r="AO292" s="171"/>
      <c r="AP292" s="171"/>
      <c r="AQ292" s="171"/>
      <c r="AR292" s="171"/>
      <c r="AS292" s="171"/>
      <c r="AT292" s="171"/>
      <c r="AU292" s="171"/>
    </row>
    <row r="293" spans="1:47" s="620" customFormat="1" ht="15.75" hidden="1" thickBot="1" x14ac:dyDescent="0.3">
      <c r="A293" s="2496" t="s">
        <v>1654</v>
      </c>
      <c r="B293" s="2497"/>
      <c r="C293" s="2497"/>
      <c r="D293" s="2497"/>
      <c r="E293" s="2497"/>
      <c r="F293" s="2497"/>
      <c r="G293" s="2498"/>
      <c r="H293" s="171"/>
      <c r="I293" s="171"/>
      <c r="J293" s="100"/>
      <c r="K293" s="100"/>
      <c r="L293" s="101"/>
      <c r="M293" s="171"/>
      <c r="N293" s="100"/>
      <c r="O293" s="171"/>
      <c r="P293" s="171"/>
      <c r="Q293" s="171"/>
      <c r="R293" s="171"/>
      <c r="S293" s="171"/>
      <c r="T293" s="100"/>
      <c r="U293" s="101"/>
      <c r="V293" s="171"/>
      <c r="W293" s="100"/>
      <c r="X293" s="101"/>
      <c r="Y293" s="171"/>
      <c r="Z293" s="100"/>
      <c r="AA293" s="101"/>
      <c r="AB293" s="171"/>
      <c r="AC293" s="171"/>
      <c r="AD293" s="171"/>
      <c r="AE293" s="171"/>
      <c r="AF293" s="171"/>
      <c r="AG293" s="171"/>
      <c r="AH293" s="171"/>
      <c r="AI293" s="171"/>
      <c r="AJ293" s="171"/>
      <c r="AK293" s="171"/>
      <c r="AL293" s="171"/>
      <c r="AM293" s="171"/>
      <c r="AN293" s="171"/>
      <c r="AO293" s="171"/>
      <c r="AP293" s="171"/>
      <c r="AQ293" s="171"/>
      <c r="AR293" s="171"/>
      <c r="AS293" s="171"/>
      <c r="AT293" s="171"/>
      <c r="AU293" s="171"/>
    </row>
    <row r="294" spans="1:47" s="620" customFormat="1" hidden="1" x14ac:dyDescent="0.25">
      <c r="A294" s="1193" t="s">
        <v>1656</v>
      </c>
      <c r="B294" s="1497" t="str">
        <f>B243</f>
        <v>mGy.cm2 calculado Ddisp1.A10</v>
      </c>
      <c r="C294" s="1491" t="str">
        <f>B294</f>
        <v>mGy.cm2 calculado Ddisp1.A10</v>
      </c>
      <c r="D294" s="1491" t="str">
        <f>C294</f>
        <v>mGy.cm2 calculado Ddisp1.A10</v>
      </c>
      <c r="E294" s="1491" t="str">
        <f>D294</f>
        <v>mGy.cm2 calculado Ddisp1.A10</v>
      </c>
      <c r="F294" s="1491" t="str">
        <f>E294</f>
        <v>mGy.cm2 calculado Ddisp1.A10</v>
      </c>
      <c r="G294" s="1491" t="str">
        <f>F294</f>
        <v>mGy.cm2 calculado Ddisp1.A10</v>
      </c>
      <c r="H294" s="171"/>
      <c r="I294" s="171"/>
      <c r="J294" s="100"/>
      <c r="K294" s="100"/>
      <c r="L294" s="101"/>
      <c r="M294" s="171"/>
      <c r="N294" s="100"/>
      <c r="O294" s="171"/>
      <c r="P294" s="171"/>
      <c r="Q294" s="171"/>
      <c r="R294" s="171"/>
      <c r="S294" s="171"/>
      <c r="T294" s="100"/>
      <c r="U294" s="101"/>
      <c r="V294" s="171"/>
      <c r="W294" s="100"/>
      <c r="X294" s="101"/>
      <c r="Y294" s="171"/>
      <c r="Z294" s="100"/>
      <c r="AA294" s="101"/>
      <c r="AB294" s="171"/>
      <c r="AC294" s="171"/>
      <c r="AD294" s="171"/>
      <c r="AE294" s="171"/>
      <c r="AF294" s="171"/>
      <c r="AG294" s="171"/>
      <c r="AH294" s="171"/>
      <c r="AI294" s="171"/>
      <c r="AJ294" s="171"/>
      <c r="AK294" s="171"/>
      <c r="AL294" s="171"/>
      <c r="AM294" s="171"/>
      <c r="AN294" s="171"/>
      <c r="AO294" s="171"/>
      <c r="AP294" s="171"/>
      <c r="AQ294" s="171"/>
      <c r="AR294" s="171"/>
      <c r="AS294" s="171"/>
      <c r="AT294" s="171"/>
      <c r="AU294" s="171"/>
    </row>
    <row r="295" spans="1:47" s="620" customFormat="1" ht="17.25" hidden="1" x14ac:dyDescent="0.25">
      <c r="A295" s="1480" t="s">
        <v>1657</v>
      </c>
      <c r="B295" s="1213">
        <f t="shared" ref="B295:G295" si="62">B279</f>
        <v>0</v>
      </c>
      <c r="C295" s="1213">
        <f t="shared" si="62"/>
        <v>0</v>
      </c>
      <c r="D295" s="1213">
        <f t="shared" si="62"/>
        <v>0</v>
      </c>
      <c r="E295" s="1213">
        <f t="shared" si="62"/>
        <v>0</v>
      </c>
      <c r="F295" s="1213">
        <f t="shared" si="62"/>
        <v>0</v>
      </c>
      <c r="G295" s="1213">
        <f t="shared" si="62"/>
        <v>0</v>
      </c>
      <c r="H295" s="171"/>
      <c r="I295" s="171"/>
      <c r="J295" s="100"/>
      <c r="K295" s="100"/>
      <c r="L295" s="101"/>
      <c r="M295" s="171"/>
      <c r="N295" s="100"/>
      <c r="O295" s="171"/>
      <c r="P295" s="171"/>
      <c r="Q295" s="171"/>
      <c r="R295" s="171"/>
      <c r="S295" s="171"/>
      <c r="T295" s="100"/>
      <c r="U295" s="101"/>
      <c r="V295" s="171"/>
      <c r="W295" s="100"/>
      <c r="X295" s="101"/>
      <c r="Y295" s="171"/>
      <c r="Z295" s="100"/>
      <c r="AA295" s="101"/>
      <c r="AB295" s="171"/>
      <c r="AC295" s="171"/>
      <c r="AD295" s="171"/>
      <c r="AE295" s="171"/>
      <c r="AF295" s="171"/>
      <c r="AG295" s="171"/>
      <c r="AH295" s="171"/>
      <c r="AI295" s="171"/>
      <c r="AJ295" s="171"/>
      <c r="AK295" s="171"/>
      <c r="AL295" s="171"/>
      <c r="AM295" s="171"/>
      <c r="AN295" s="171"/>
      <c r="AO295" s="171"/>
      <c r="AP295" s="171"/>
      <c r="AQ295" s="171"/>
      <c r="AR295" s="171"/>
      <c r="AS295" s="171"/>
      <c r="AT295" s="171"/>
      <c r="AU295" s="171"/>
    </row>
    <row r="296" spans="1:47" s="620" customFormat="1" ht="17.25" hidden="1" x14ac:dyDescent="0.25">
      <c r="A296" s="1481" t="s">
        <v>1658</v>
      </c>
      <c r="B296" s="1196" t="str">
        <f t="shared" ref="B296:G296" ca="1" si="63">VLOOKUP($B294,$A286:$G291,COLUMN())</f>
        <v>NPA</v>
      </c>
      <c r="C296" s="1196" t="str">
        <f t="shared" ca="1" si="63"/>
        <v>NPA</v>
      </c>
      <c r="D296" s="1196" t="str">
        <f t="shared" ca="1" si="63"/>
        <v>NPA</v>
      </c>
      <c r="E296" s="1196" t="str">
        <f t="shared" ca="1" si="63"/>
        <v>NPA</v>
      </c>
      <c r="F296" s="1196" t="str">
        <f t="shared" ca="1" si="63"/>
        <v>NPA</v>
      </c>
      <c r="G296" s="1196" t="str">
        <f t="shared" ca="1" si="63"/>
        <v>NPA</v>
      </c>
      <c r="H296" s="171"/>
      <c r="I296" s="171"/>
      <c r="J296" s="100"/>
      <c r="K296" s="100"/>
      <c r="L296" s="101"/>
      <c r="M296" s="171"/>
      <c r="N296" s="100"/>
      <c r="O296" s="171"/>
      <c r="P296" s="171"/>
      <c r="Q296" s="171"/>
      <c r="R296" s="171"/>
      <c r="S296" s="171"/>
      <c r="T296" s="100"/>
      <c r="U296" s="101"/>
      <c r="V296" s="171"/>
      <c r="W296" s="100"/>
      <c r="X296" s="101"/>
      <c r="Y296" s="171"/>
      <c r="Z296" s="100"/>
      <c r="AA296" s="101"/>
      <c r="AB296" s="171"/>
      <c r="AC296" s="171"/>
      <c r="AD296" s="171"/>
      <c r="AE296" s="171"/>
      <c r="AF296" s="171"/>
      <c r="AG296" s="171"/>
      <c r="AH296" s="171"/>
      <c r="AI296" s="171"/>
      <c r="AJ296" s="171"/>
      <c r="AK296" s="171"/>
      <c r="AL296" s="171"/>
      <c r="AM296" s="171"/>
      <c r="AN296" s="171"/>
      <c r="AO296" s="171"/>
      <c r="AP296" s="171"/>
      <c r="AQ296" s="171"/>
      <c r="AR296" s="171"/>
      <c r="AS296" s="171"/>
      <c r="AT296" s="171"/>
      <c r="AU296" s="171"/>
    </row>
    <row r="297" spans="1:47" s="620" customFormat="1" hidden="1" x14ac:dyDescent="0.25">
      <c r="A297" s="140" t="s">
        <v>1700</v>
      </c>
      <c r="B297" s="1196">
        <f t="shared" ref="B297:G297" si="64">B195</f>
        <v>0</v>
      </c>
      <c r="C297" s="1196">
        <f t="shared" si="64"/>
        <v>1</v>
      </c>
      <c r="D297" s="1196">
        <f t="shared" si="64"/>
        <v>1</v>
      </c>
      <c r="E297" s="1196">
        <f t="shared" si="64"/>
        <v>1</v>
      </c>
      <c r="F297" s="1196">
        <f t="shared" si="64"/>
        <v>1</v>
      </c>
      <c r="G297" s="1196">
        <f t="shared" si="64"/>
        <v>1</v>
      </c>
      <c r="H297" s="171" t="s">
        <v>1647</v>
      </c>
      <c r="J297" s="100"/>
      <c r="K297" s="100"/>
      <c r="L297" s="101"/>
      <c r="M297" s="171"/>
      <c r="N297" s="100"/>
      <c r="O297" s="171"/>
      <c r="P297" s="171"/>
      <c r="Q297" s="171"/>
      <c r="R297" s="171"/>
      <c r="S297" s="171"/>
      <c r="T297" s="100"/>
      <c r="U297" s="101"/>
      <c r="V297" s="171"/>
      <c r="W297" s="100"/>
      <c r="X297" s="101"/>
      <c r="Y297" s="171"/>
      <c r="Z297" s="100"/>
      <c r="AA297" s="101"/>
      <c r="AB297" s="171"/>
      <c r="AC297" s="171"/>
      <c r="AD297" s="171"/>
      <c r="AE297" s="171"/>
      <c r="AF297" s="171"/>
      <c r="AG297" s="171"/>
      <c r="AH297" s="171"/>
      <c r="AI297" s="171"/>
      <c r="AJ297" s="171"/>
      <c r="AK297" s="171"/>
      <c r="AL297" s="171"/>
      <c r="AM297" s="171"/>
      <c r="AN297" s="171"/>
      <c r="AO297" s="171"/>
      <c r="AP297" s="171"/>
      <c r="AQ297" s="171"/>
      <c r="AR297" s="171"/>
      <c r="AS297" s="171"/>
      <c r="AT297" s="171"/>
      <c r="AU297" s="171"/>
    </row>
    <row r="298" spans="1:47" s="620" customFormat="1" hidden="1" x14ac:dyDescent="0.25">
      <c r="A298" s="1504" t="s">
        <v>1683</v>
      </c>
      <c r="B298" s="1505" t="e">
        <f t="shared" ref="B298:G298" ca="1" si="65">ROUNDDOWN(ABS(B296/(B295*B297)-1)*100,2)</f>
        <v>#VALUE!</v>
      </c>
      <c r="C298" s="1505" t="e">
        <f t="shared" ca="1" si="65"/>
        <v>#VALUE!</v>
      </c>
      <c r="D298" s="1505" t="e">
        <f t="shared" ca="1" si="65"/>
        <v>#VALUE!</v>
      </c>
      <c r="E298" s="1505" t="e">
        <f t="shared" ca="1" si="65"/>
        <v>#VALUE!</v>
      </c>
      <c r="F298" s="1505" t="e">
        <f t="shared" ca="1" si="65"/>
        <v>#VALUE!</v>
      </c>
      <c r="G298" s="1505" t="e">
        <f t="shared" ca="1" si="65"/>
        <v>#VALUE!</v>
      </c>
      <c r="H298" s="171"/>
      <c r="I298" s="171"/>
      <c r="J298" s="100"/>
      <c r="K298" s="100"/>
      <c r="L298" s="101"/>
      <c r="M298" s="171"/>
      <c r="N298" s="100"/>
      <c r="O298" s="171"/>
      <c r="P298" s="171"/>
      <c r="Q298" s="171"/>
      <c r="R298" s="171"/>
      <c r="S298" s="171"/>
      <c r="T298" s="100"/>
      <c r="U298" s="101"/>
      <c r="V298" s="171"/>
      <c r="W298" s="100"/>
      <c r="X298" s="101"/>
      <c r="Y298" s="171"/>
      <c r="Z298" s="100"/>
      <c r="AA298" s="101"/>
      <c r="AB298" s="171"/>
      <c r="AC298" s="171"/>
      <c r="AD298" s="171"/>
      <c r="AE298" s="171"/>
      <c r="AF298" s="171"/>
      <c r="AG298" s="171"/>
      <c r="AH298" s="171"/>
      <c r="AI298" s="171"/>
      <c r="AJ298" s="171"/>
      <c r="AK298" s="171"/>
      <c r="AL298" s="171"/>
      <c r="AM298" s="171"/>
      <c r="AN298" s="171"/>
      <c r="AO298" s="171"/>
      <c r="AP298" s="171"/>
      <c r="AQ298" s="171"/>
      <c r="AR298" s="171"/>
      <c r="AS298" s="171"/>
      <c r="AT298" s="171"/>
      <c r="AU298" s="171"/>
    </row>
    <row r="299" spans="1:47" s="620" customFormat="1" hidden="1" x14ac:dyDescent="0.25">
      <c r="A299" s="1506" t="str">
        <f>$B$1</f>
        <v>IN 91</v>
      </c>
      <c r="B299" s="1507" t="str">
        <f t="shared" ref="B299:G299" ca="1" si="66">IFERROR(IF(ROUNDDOWN(ABS(B296/(B295*B297)-1),2)&lt;=0.2,"Sim",IF(ROUNDDOWN(ABS(B296/(B295*B297)-1),2)&lt;0.4,"Não","Restrição")),"NPA")</f>
        <v>NPA</v>
      </c>
      <c r="C299" s="1507" t="str">
        <f t="shared" ca="1" si="66"/>
        <v>NPA</v>
      </c>
      <c r="D299" s="1507" t="str">
        <f t="shared" ca="1" si="66"/>
        <v>NPA</v>
      </c>
      <c r="E299" s="1507" t="str">
        <f t="shared" ca="1" si="66"/>
        <v>NPA</v>
      </c>
      <c r="F299" s="1507" t="str">
        <f t="shared" ca="1" si="66"/>
        <v>NPA</v>
      </c>
      <c r="G299" s="1507" t="str">
        <f t="shared" ca="1" si="66"/>
        <v>NPA</v>
      </c>
      <c r="H299" s="171"/>
      <c r="I299" s="171"/>
      <c r="J299" s="101"/>
      <c r="K299" s="171"/>
      <c r="L299" s="101"/>
      <c r="M299" s="171"/>
      <c r="N299" s="100"/>
      <c r="O299" s="171"/>
      <c r="P299" s="171"/>
      <c r="Q299" s="171"/>
      <c r="R299" s="171"/>
      <c r="S299" s="171"/>
      <c r="T299" s="100"/>
      <c r="U299" s="101"/>
      <c r="V299" s="171"/>
      <c r="W299" s="100"/>
      <c r="X299" s="101"/>
      <c r="Y299" s="171"/>
      <c r="Z299" s="100"/>
      <c r="AA299" s="101"/>
      <c r="AB299" s="171"/>
      <c r="AC299" s="171"/>
      <c r="AD299" s="171"/>
      <c r="AE299" s="171"/>
      <c r="AF299" s="171"/>
      <c r="AG299" s="171"/>
      <c r="AH299" s="171"/>
      <c r="AI299" s="171"/>
      <c r="AJ299" s="171"/>
      <c r="AK299" s="171"/>
      <c r="AL299" s="171"/>
      <c r="AM299" s="171"/>
      <c r="AN299" s="171"/>
      <c r="AO299" s="171"/>
      <c r="AP299" s="171"/>
      <c r="AQ299" s="171"/>
      <c r="AR299" s="171"/>
      <c r="AS299" s="171"/>
      <c r="AT299" s="171"/>
      <c r="AU299" s="171"/>
    </row>
    <row r="300" spans="1:47" s="171" customFormat="1" ht="3.6" hidden="1" customHeight="1" x14ac:dyDescent="0.25">
      <c r="A300" s="1508"/>
      <c r="B300" s="1509"/>
      <c r="C300" s="1509"/>
      <c r="D300" s="1509"/>
      <c r="E300" s="1509"/>
      <c r="F300" s="1509"/>
      <c r="G300" s="1510"/>
      <c r="J300" s="101"/>
      <c r="L300" s="101"/>
      <c r="N300" s="100"/>
      <c r="T300" s="100"/>
      <c r="U300" s="101"/>
      <c r="W300" s="100"/>
      <c r="X300" s="101"/>
      <c r="Z300" s="100"/>
      <c r="AA300" s="101"/>
    </row>
    <row r="301" spans="1:47" s="171" customFormat="1" ht="15.75" hidden="1" thickBot="1" x14ac:dyDescent="0.3">
      <c r="A301" s="2524" t="s">
        <v>1659</v>
      </c>
      <c r="B301" s="2525"/>
      <c r="C301" s="2525"/>
      <c r="D301" s="2525"/>
      <c r="E301" s="2525"/>
      <c r="F301" s="2525"/>
      <c r="G301" s="2526"/>
      <c r="J301" s="101"/>
      <c r="L301" s="101"/>
      <c r="N301" s="100"/>
      <c r="T301" s="100"/>
      <c r="U301" s="101"/>
      <c r="W301" s="100"/>
      <c r="X301" s="101"/>
      <c r="Z301" s="100"/>
      <c r="AA301" s="101"/>
    </row>
    <row r="302" spans="1:47" s="171" customFormat="1" hidden="1" x14ac:dyDescent="0.25">
      <c r="A302" s="1511" t="s">
        <v>1660</v>
      </c>
      <c r="B302" s="1512" t="e">
        <f t="shared" ref="B302:G302" ca="1" si="67">ROUNDDOWN(100*ABS((B273/B297*($D$147/$D$144)^2)/B281-1),2)</f>
        <v>#VALUE!</v>
      </c>
      <c r="C302" s="1512" t="e">
        <f t="shared" ca="1" si="67"/>
        <v>#VALUE!</v>
      </c>
      <c r="D302" s="1512" t="e">
        <f t="shared" ca="1" si="67"/>
        <v>#VALUE!</v>
      </c>
      <c r="E302" s="1512" t="e">
        <f t="shared" ca="1" si="67"/>
        <v>#VALUE!</v>
      </c>
      <c r="F302" s="1512" t="e">
        <f t="shared" ca="1" si="67"/>
        <v>#VALUE!</v>
      </c>
      <c r="G302" s="1512" t="e">
        <f t="shared" ca="1" si="67"/>
        <v>#VALUE!</v>
      </c>
      <c r="J302" s="101"/>
      <c r="L302" s="101"/>
      <c r="N302" s="100"/>
      <c r="T302" s="100"/>
      <c r="U302" s="101"/>
      <c r="W302" s="100"/>
      <c r="X302" s="101"/>
      <c r="Z302" s="100"/>
      <c r="AA302" s="101"/>
    </row>
    <row r="303" spans="1:47" s="171" customFormat="1" hidden="1" x14ac:dyDescent="0.25">
      <c r="A303" s="1506" t="str">
        <f>$B$1</f>
        <v>IN 91</v>
      </c>
      <c r="B303" s="1507" t="str">
        <f t="shared" ref="B303:G303" ca="1" si="68">IFERROR(IF(ROUNDDOWN(ABS((B273/B297*($D$147/$D$144)^2)/B281-1),2)&lt;=0.2,"Sim",IF(ROUNDDOWN(ABS((B273/B297*($D$147/$D$144)^2)/B281-1),2)&lt;0.4,"Não","Restrição")),"NPA")</f>
        <v>NPA</v>
      </c>
      <c r="C303" s="1507" t="str">
        <f t="shared" ca="1" si="68"/>
        <v>NPA</v>
      </c>
      <c r="D303" s="1507" t="str">
        <f t="shared" ca="1" si="68"/>
        <v>NPA</v>
      </c>
      <c r="E303" s="1507" t="str">
        <f t="shared" ca="1" si="68"/>
        <v>NPA</v>
      </c>
      <c r="F303" s="1507" t="str">
        <f t="shared" ca="1" si="68"/>
        <v>NPA</v>
      </c>
      <c r="G303" s="1507" t="str">
        <f t="shared" ca="1" si="68"/>
        <v>NPA</v>
      </c>
      <c r="J303" s="101"/>
      <c r="L303" s="101"/>
      <c r="N303" s="100"/>
      <c r="T303" s="100"/>
      <c r="U303" s="101"/>
      <c r="W303" s="100"/>
      <c r="X303" s="101"/>
      <c r="Z303" s="100"/>
      <c r="AA303" s="101"/>
    </row>
    <row r="304" spans="1:47" s="620" customFormat="1" ht="3.6" hidden="1" customHeight="1" thickBot="1" x14ac:dyDescent="0.3">
      <c r="A304" s="1508"/>
      <c r="B304" s="1509"/>
      <c r="C304" s="1509"/>
      <c r="D304" s="1509"/>
      <c r="E304" s="1509"/>
      <c r="F304" s="1509"/>
      <c r="G304" s="1510"/>
      <c r="H304" s="171"/>
      <c r="I304" s="171"/>
      <c r="J304" s="100"/>
      <c r="K304" s="100"/>
      <c r="L304" s="101"/>
      <c r="M304" s="171"/>
      <c r="N304" s="100"/>
      <c r="O304" s="171"/>
      <c r="P304" s="171"/>
      <c r="Q304" s="171"/>
      <c r="R304" s="171"/>
      <c r="S304" s="171"/>
      <c r="T304" s="100"/>
      <c r="U304" s="101"/>
      <c r="V304" s="171"/>
      <c r="W304" s="100"/>
      <c r="X304" s="101"/>
      <c r="Y304" s="171"/>
      <c r="Z304" s="100"/>
      <c r="AA304" s="101"/>
      <c r="AB304" s="171"/>
      <c r="AC304" s="171"/>
      <c r="AD304" s="171"/>
      <c r="AE304" s="171"/>
      <c r="AF304" s="171"/>
      <c r="AG304" s="171"/>
      <c r="AH304" s="171"/>
      <c r="AI304" s="171"/>
      <c r="AJ304" s="171"/>
      <c r="AK304" s="171"/>
      <c r="AL304" s="171"/>
      <c r="AM304" s="171"/>
      <c r="AN304" s="171"/>
      <c r="AO304" s="171"/>
      <c r="AP304" s="171"/>
      <c r="AQ304" s="171"/>
      <c r="AR304" s="171"/>
      <c r="AS304" s="171"/>
      <c r="AT304" s="171"/>
      <c r="AU304" s="171"/>
    </row>
    <row r="305" spans="1:47" s="620" customFormat="1" hidden="1" x14ac:dyDescent="0.25">
      <c r="A305" s="2509" t="s">
        <v>1661</v>
      </c>
      <c r="B305" s="2510"/>
      <c r="C305" s="2510"/>
      <c r="D305" s="2510"/>
      <c r="E305" s="2510"/>
      <c r="F305" s="2510"/>
      <c r="G305" s="2511"/>
      <c r="H305" s="172"/>
      <c r="I305" s="171"/>
      <c r="J305" s="100"/>
      <c r="K305" s="100"/>
      <c r="L305" s="101"/>
      <c r="M305" s="171"/>
      <c r="N305" s="100"/>
      <c r="O305" s="171"/>
      <c r="P305" s="171"/>
      <c r="Q305" s="171"/>
      <c r="R305" s="171"/>
      <c r="S305" s="171"/>
      <c r="T305" s="100"/>
      <c r="U305" s="101"/>
      <c r="V305" s="171"/>
      <c r="W305" s="100"/>
      <c r="X305" s="101"/>
      <c r="Y305" s="171"/>
      <c r="Z305" s="100"/>
      <c r="AA305" s="101"/>
      <c r="AB305" s="171"/>
      <c r="AC305" s="171"/>
      <c r="AD305" s="171"/>
      <c r="AE305" s="171"/>
      <c r="AF305" s="171"/>
      <c r="AG305" s="171"/>
      <c r="AH305" s="171"/>
      <c r="AI305" s="171"/>
      <c r="AJ305" s="171"/>
      <c r="AK305" s="171"/>
      <c r="AL305" s="171"/>
      <c r="AM305" s="171"/>
      <c r="AN305" s="171"/>
      <c r="AO305" s="171"/>
      <c r="AP305" s="171"/>
      <c r="AQ305" s="171"/>
      <c r="AR305" s="171"/>
      <c r="AS305" s="171"/>
      <c r="AT305" s="171"/>
      <c r="AU305" s="171"/>
    </row>
    <row r="306" spans="1:47" s="620" customFormat="1" hidden="1" x14ac:dyDescent="0.25">
      <c r="A306" s="1513" t="s">
        <v>1662</v>
      </c>
      <c r="B306" s="1504" t="str">
        <f ca="1">IFERROR(ROUNDDOWN(B274/B297*60*($D$147/$D$144)^2,1),"NPA")</f>
        <v>NPA</v>
      </c>
      <c r="C306" s="1504" t="str">
        <f ca="1">IFERROR(ROUNDDOWN(C274*60*($D$147/$D$144)^2,1),"NPA")</f>
        <v>NPA</v>
      </c>
      <c r="D306" s="1504" t="str">
        <f ca="1">IFERROR(ROUNDDOWN(D274*60*($D$147/$D$144)^2,1),"NPA")</f>
        <v>NPA</v>
      </c>
      <c r="E306" s="1504" t="str">
        <f ca="1">IFERROR(ROUNDDOWN(E274*60*($D$147/$D$144)^2,1),"NPA")</f>
        <v>NPA</v>
      </c>
      <c r="F306" s="1504" t="str">
        <f ca="1">IFERROR(ROUNDDOWN(F274*60*($D$147/$D$144)^2,1),"NPA")</f>
        <v>NPA</v>
      </c>
      <c r="G306" s="1504" t="str">
        <f ca="1">IFERROR(ROUNDDOWN(G274*60*($D$147/$D$144)^2,1),"NPA")</f>
        <v>NPA</v>
      </c>
      <c r="H306" s="171"/>
      <c r="I306" s="171"/>
      <c r="J306" s="100"/>
      <c r="K306" s="100"/>
      <c r="L306" s="101"/>
      <c r="M306" s="171"/>
      <c r="N306" s="100"/>
      <c r="O306" s="171"/>
      <c r="P306" s="171"/>
      <c r="Q306" s="171"/>
      <c r="R306" s="171"/>
      <c r="S306" s="171"/>
      <c r="T306" s="100"/>
      <c r="U306" s="101"/>
      <c r="V306" s="171"/>
      <c r="W306" s="100"/>
      <c r="X306" s="101"/>
      <c r="Y306" s="171"/>
      <c r="Z306" s="100"/>
      <c r="AA306" s="101"/>
      <c r="AB306" s="171"/>
      <c r="AC306" s="171"/>
      <c r="AD306" s="171"/>
      <c r="AE306" s="171"/>
      <c r="AF306" s="171"/>
      <c r="AG306" s="171"/>
      <c r="AH306" s="171"/>
      <c r="AI306" s="171"/>
      <c r="AJ306" s="171"/>
      <c r="AK306" s="171"/>
      <c r="AL306" s="171"/>
      <c r="AM306" s="171"/>
      <c r="AN306" s="171"/>
      <c r="AO306" s="171"/>
      <c r="AP306" s="171"/>
      <c r="AQ306" s="171"/>
      <c r="AR306" s="171"/>
      <c r="AS306" s="171"/>
      <c r="AT306" s="171"/>
      <c r="AU306" s="171"/>
    </row>
    <row r="307" spans="1:47" s="620" customFormat="1" hidden="1" x14ac:dyDescent="0.25">
      <c r="A307" s="1506" t="str">
        <f>$B$1</f>
        <v>IN 91</v>
      </c>
      <c r="B307" s="1507" t="str">
        <f t="shared" ref="B307:G307" ca="1" si="69">IF(B306="NPA","NPA",IF(B306&gt;176,"Restrição",IF(AND(A259="Modo Normal",B306&gt;88),"Não","Sim")))</f>
        <v>NPA</v>
      </c>
      <c r="C307" s="1507" t="str">
        <f t="shared" ca="1" si="69"/>
        <v>NPA</v>
      </c>
      <c r="D307" s="1507" t="str">
        <f t="shared" ca="1" si="69"/>
        <v>NPA</v>
      </c>
      <c r="E307" s="1507" t="str">
        <f t="shared" ca="1" si="69"/>
        <v>NPA</v>
      </c>
      <c r="F307" s="1507" t="str">
        <f t="shared" ca="1" si="69"/>
        <v>NPA</v>
      </c>
      <c r="G307" s="1507" t="str">
        <f t="shared" ca="1" si="69"/>
        <v>NPA</v>
      </c>
      <c r="H307" s="171"/>
      <c r="I307" s="171"/>
      <c r="J307" s="100"/>
      <c r="K307" s="100"/>
      <c r="L307" s="101"/>
      <c r="M307" s="171"/>
      <c r="N307" s="100"/>
      <c r="O307" s="171"/>
      <c r="P307" s="171"/>
      <c r="Q307" s="171"/>
      <c r="R307" s="171"/>
      <c r="S307" s="171"/>
      <c r="T307" s="100"/>
      <c r="U307" s="101"/>
      <c r="V307" s="171"/>
      <c r="W307" s="100"/>
      <c r="X307" s="101"/>
      <c r="Y307" s="171"/>
      <c r="Z307" s="100"/>
      <c r="AA307" s="101"/>
      <c r="AB307" s="171"/>
      <c r="AC307" s="171"/>
      <c r="AD307" s="171"/>
      <c r="AE307" s="171"/>
      <c r="AF307" s="171"/>
      <c r="AG307" s="171"/>
      <c r="AH307" s="171"/>
      <c r="AI307" s="171"/>
      <c r="AJ307" s="171"/>
      <c r="AK307" s="171"/>
      <c r="AL307" s="171"/>
      <c r="AM307" s="171"/>
      <c r="AN307" s="171"/>
      <c r="AO307" s="171"/>
      <c r="AP307" s="171"/>
      <c r="AQ307" s="171"/>
      <c r="AR307" s="171"/>
      <c r="AS307" s="171"/>
      <c r="AT307" s="171"/>
      <c r="AU307" s="171"/>
    </row>
    <row r="308" spans="1:47" s="620" customFormat="1" ht="19.5" thickBot="1" x14ac:dyDescent="0.45">
      <c r="A308" s="1790" t="s">
        <v>1897</v>
      </c>
      <c r="B308" s="87"/>
      <c r="C308" s="171"/>
      <c r="D308" s="171"/>
      <c r="E308" s="171"/>
      <c r="F308" s="171"/>
      <c r="G308" s="101"/>
      <c r="H308" s="171"/>
      <c r="I308" s="171"/>
      <c r="J308" s="100"/>
      <c r="K308" s="100"/>
      <c r="L308" s="101"/>
      <c r="M308" s="171"/>
      <c r="N308" s="100"/>
      <c r="O308" s="171"/>
      <c r="P308" s="171"/>
      <c r="Q308" s="171"/>
      <c r="R308" s="171"/>
      <c r="S308" s="171"/>
      <c r="T308" s="100"/>
      <c r="U308" s="101"/>
      <c r="V308" s="171"/>
      <c r="W308" s="100"/>
      <c r="X308" s="101"/>
      <c r="Y308" s="171"/>
      <c r="Z308" s="100"/>
      <c r="AA308" s="101"/>
      <c r="AB308" s="171"/>
      <c r="AC308" s="171"/>
      <c r="AD308" s="171"/>
      <c r="AE308" s="171"/>
      <c r="AF308" s="171"/>
      <c r="AG308" s="171"/>
      <c r="AH308" s="171"/>
      <c r="AI308" s="171"/>
      <c r="AJ308" s="171"/>
      <c r="AK308" s="171"/>
      <c r="AL308" s="171"/>
      <c r="AM308" s="171"/>
      <c r="AN308" s="171"/>
      <c r="AO308" s="171"/>
      <c r="AP308" s="171"/>
      <c r="AQ308" s="171"/>
      <c r="AR308" s="171"/>
      <c r="AS308" s="171"/>
      <c r="AT308" s="171"/>
      <c r="AU308" s="171"/>
    </row>
    <row r="309" spans="1:47" s="171" customFormat="1" ht="15.75" thickBot="1" x14ac:dyDescent="0.3">
      <c r="A309" s="2496" t="s">
        <v>1793</v>
      </c>
      <c r="B309" s="2497"/>
      <c r="C309" s="2497"/>
      <c r="D309" s="2497"/>
      <c r="E309" s="2497"/>
      <c r="F309" s="2497"/>
      <c r="G309" s="2498"/>
      <c r="J309" s="100"/>
      <c r="K309" s="100"/>
      <c r="L309" s="101"/>
      <c r="N309" s="100"/>
      <c r="T309" s="100"/>
      <c r="U309" s="101"/>
      <c r="W309" s="100"/>
      <c r="X309" s="101"/>
      <c r="Z309" s="100"/>
      <c r="AA309" s="101"/>
    </row>
    <row r="310" spans="1:47" s="620" customFormat="1" x14ac:dyDescent="0.25">
      <c r="A310" s="1492" t="s">
        <v>1663</v>
      </c>
      <c r="B310" s="2499" t="s">
        <v>1673</v>
      </c>
      <c r="C310" s="2500"/>
      <c r="D310" s="2500"/>
      <c r="E310" s="2501"/>
      <c r="F310" s="1628" t="s">
        <v>1792</v>
      </c>
      <c r="G310" s="1629"/>
      <c r="H310" s="171"/>
      <c r="I310" s="171"/>
      <c r="J310" s="100"/>
      <c r="K310" s="100"/>
      <c r="L310" s="101"/>
      <c r="M310" s="171"/>
      <c r="N310" s="100"/>
      <c r="O310" s="171"/>
      <c r="P310" s="171"/>
      <c r="Q310" s="171"/>
      <c r="R310" s="171"/>
      <c r="S310" s="171"/>
      <c r="T310" s="100"/>
      <c r="U310" s="101"/>
      <c r="V310" s="171"/>
      <c r="W310" s="100"/>
      <c r="X310" s="101"/>
      <c r="Y310" s="171"/>
      <c r="Z310" s="100"/>
      <c r="AA310" s="101"/>
      <c r="AB310" s="171"/>
      <c r="AC310" s="171"/>
      <c r="AD310" s="171"/>
      <c r="AE310" s="171"/>
      <c r="AF310" s="171"/>
      <c r="AG310" s="171"/>
      <c r="AH310" s="171"/>
      <c r="AI310" s="171"/>
      <c r="AJ310" s="171"/>
      <c r="AK310" s="171"/>
      <c r="AL310" s="171"/>
      <c r="AM310" s="171"/>
      <c r="AN310" s="171"/>
      <c r="AO310" s="171"/>
      <c r="AP310" s="171"/>
      <c r="AQ310" s="171"/>
      <c r="AR310" s="171"/>
      <c r="AS310" s="171"/>
      <c r="AT310" s="171"/>
      <c r="AU310" s="171"/>
    </row>
    <row r="311" spans="1:47" s="620" customFormat="1" x14ac:dyDescent="0.25">
      <c r="A311" s="1480" t="str">
        <f>CONCATENATE("tamanho do campo (",$B$129,")")</f>
        <v>tamanho do campo (cm)</v>
      </c>
      <c r="B311" s="1518">
        <f>$B$130</f>
        <v>23</v>
      </c>
      <c r="C311" s="1518">
        <f>$C$130</f>
        <v>0</v>
      </c>
      <c r="D311" s="1518">
        <f>$D$130</f>
        <v>0</v>
      </c>
      <c r="E311" s="1518">
        <f>$E$130</f>
        <v>0</v>
      </c>
      <c r="F311" s="1518">
        <f>$F$130</f>
        <v>0</v>
      </c>
      <c r="G311" s="1518">
        <f>$G$130</f>
        <v>0</v>
      </c>
      <c r="H311" s="171"/>
      <c r="I311" s="171"/>
      <c r="J311" s="100"/>
      <c r="K311" s="100"/>
      <c r="L311" s="101"/>
      <c r="M311" s="171"/>
      <c r="N311" s="100"/>
      <c r="O311" s="171"/>
      <c r="P311" s="171"/>
      <c r="Q311" s="171"/>
      <c r="R311" s="171"/>
      <c r="S311" s="171"/>
      <c r="T311" s="100"/>
      <c r="U311" s="101"/>
      <c r="V311" s="171"/>
      <c r="W311" s="100"/>
      <c r="X311" s="101"/>
      <c r="Y311" s="171"/>
      <c r="Z311" s="100"/>
      <c r="AA311" s="101"/>
      <c r="AB311" s="171"/>
      <c r="AC311" s="171"/>
      <c r="AD311" s="171"/>
      <c r="AE311" s="171"/>
      <c r="AF311" s="171"/>
      <c r="AG311" s="171"/>
      <c r="AH311" s="171"/>
      <c r="AI311" s="171"/>
      <c r="AJ311" s="171"/>
      <c r="AK311" s="171"/>
      <c r="AL311" s="171"/>
      <c r="AM311" s="171"/>
      <c r="AN311" s="171"/>
      <c r="AO311" s="171"/>
      <c r="AP311" s="171"/>
      <c r="AQ311" s="171"/>
      <c r="AR311" s="171"/>
      <c r="AS311" s="171"/>
      <c r="AT311" s="171"/>
      <c r="AU311" s="171"/>
    </row>
    <row r="312" spans="1:47" s="620" customFormat="1" x14ac:dyDescent="0.25">
      <c r="A312" s="1481" t="s">
        <v>1425</v>
      </c>
      <c r="B312" s="584"/>
      <c r="C312" s="584"/>
      <c r="D312" s="584"/>
      <c r="E312" s="584"/>
      <c r="F312" s="584"/>
      <c r="G312" s="584"/>
      <c r="H312" s="171"/>
      <c r="I312" s="171"/>
      <c r="J312" s="100"/>
      <c r="K312" s="100"/>
      <c r="L312" s="101"/>
      <c r="M312" s="171"/>
      <c r="N312" s="100"/>
      <c r="O312" s="171"/>
      <c r="P312" s="171"/>
      <c r="Q312" s="171"/>
      <c r="R312" s="171"/>
      <c r="S312" s="171"/>
      <c r="T312" s="100"/>
      <c r="U312" s="101"/>
      <c r="V312" s="171"/>
      <c r="W312" s="100"/>
      <c r="X312" s="101"/>
      <c r="Y312" s="171"/>
      <c r="Z312" s="100"/>
      <c r="AA312" s="101"/>
      <c r="AB312" s="171"/>
      <c r="AC312" s="171"/>
      <c r="AD312" s="171"/>
      <c r="AE312" s="171"/>
      <c r="AF312" s="171"/>
      <c r="AG312" s="171"/>
      <c r="AH312" s="171"/>
      <c r="AI312" s="171"/>
      <c r="AJ312" s="171"/>
      <c r="AK312" s="171"/>
      <c r="AL312" s="171"/>
      <c r="AM312" s="171"/>
      <c r="AN312" s="171"/>
      <c r="AO312" s="171"/>
      <c r="AP312" s="171"/>
      <c r="AQ312" s="171"/>
      <c r="AR312" s="171"/>
      <c r="AS312" s="171"/>
      <c r="AT312" s="171"/>
      <c r="AU312" s="171"/>
    </row>
    <row r="313" spans="1:47" s="620" customFormat="1" x14ac:dyDescent="0.25">
      <c r="A313" s="1481" t="s">
        <v>1421</v>
      </c>
      <c r="B313" s="584"/>
      <c r="C313" s="584"/>
      <c r="D313" s="584"/>
      <c r="E313" s="584"/>
      <c r="F313" s="584"/>
      <c r="G313" s="584"/>
      <c r="H313" s="171"/>
      <c r="I313" s="171"/>
      <c r="J313" s="100"/>
      <c r="K313" s="100"/>
      <c r="L313" s="101"/>
      <c r="M313" s="171"/>
      <c r="N313" s="100"/>
      <c r="O313" s="171"/>
      <c r="P313" s="171"/>
      <c r="Q313" s="171"/>
      <c r="R313" s="171"/>
      <c r="S313" s="171"/>
      <c r="T313" s="100"/>
      <c r="U313" s="101"/>
      <c r="V313" s="171"/>
      <c r="W313" s="100"/>
      <c r="X313" s="101"/>
      <c r="Y313" s="171"/>
      <c r="Z313" s="100"/>
      <c r="AA313" s="101"/>
      <c r="AB313" s="171"/>
      <c r="AC313" s="171"/>
      <c r="AD313" s="171"/>
      <c r="AE313" s="171"/>
      <c r="AF313" s="171"/>
      <c r="AG313" s="171"/>
      <c r="AH313" s="171"/>
      <c r="AI313" s="171"/>
      <c r="AJ313" s="171"/>
      <c r="AK313" s="171"/>
      <c r="AL313" s="171"/>
      <c r="AM313" s="171"/>
      <c r="AN313" s="171"/>
      <c r="AO313" s="171"/>
      <c r="AP313" s="171"/>
      <c r="AQ313" s="171"/>
      <c r="AR313" s="171"/>
      <c r="AS313" s="171"/>
      <c r="AT313" s="171"/>
      <c r="AU313" s="171"/>
    </row>
    <row r="314" spans="1:47" s="171" customFormat="1" ht="4.5" hidden="1" customHeight="1" x14ac:dyDescent="0.25">
      <c r="A314" s="1482"/>
      <c r="B314" s="1483"/>
      <c r="C314" s="1483"/>
      <c r="D314" s="1483"/>
      <c r="E314" s="1483"/>
      <c r="F314" s="1483"/>
      <c r="G314" s="1484"/>
      <c r="J314" s="100"/>
      <c r="K314" s="100"/>
      <c r="L314" s="101"/>
      <c r="N314" s="100"/>
      <c r="T314" s="100"/>
      <c r="U314" s="101"/>
      <c r="W314" s="100"/>
      <c r="X314" s="101"/>
      <c r="Z314" s="100"/>
      <c r="AA314" s="101"/>
    </row>
    <row r="315" spans="1:47" s="620" customFormat="1" ht="17.25" hidden="1" x14ac:dyDescent="0.25">
      <c r="A315" s="1481" t="s">
        <v>1429</v>
      </c>
      <c r="B315" s="584"/>
      <c r="C315" s="584"/>
      <c r="D315" s="584"/>
      <c r="E315" s="584"/>
      <c r="F315" s="584"/>
      <c r="G315" s="584"/>
      <c r="H315" s="171"/>
      <c r="I315" s="171"/>
      <c r="J315" s="100"/>
      <c r="K315" s="100"/>
      <c r="L315" s="101"/>
      <c r="M315" s="171"/>
      <c r="N315" s="100"/>
      <c r="O315" s="171"/>
      <c r="P315" s="171"/>
      <c r="Q315" s="171"/>
      <c r="R315" s="171"/>
      <c r="S315" s="171"/>
      <c r="T315" s="100"/>
      <c r="U315" s="101"/>
      <c r="V315" s="171"/>
      <c r="W315" s="100"/>
      <c r="X315" s="101"/>
      <c r="Y315" s="171"/>
      <c r="Z315" s="100"/>
      <c r="AA315" s="101"/>
      <c r="AB315" s="171"/>
      <c r="AC315" s="171"/>
      <c r="AD315" s="171"/>
      <c r="AE315" s="171"/>
      <c r="AF315" s="171"/>
      <c r="AG315" s="171"/>
      <c r="AH315" s="171"/>
      <c r="AI315" s="171"/>
      <c r="AJ315" s="171"/>
      <c r="AK315" s="171"/>
      <c r="AL315" s="171"/>
      <c r="AM315" s="171"/>
      <c r="AN315" s="171"/>
      <c r="AO315" s="171"/>
      <c r="AP315" s="171"/>
      <c r="AQ315" s="171"/>
      <c r="AR315" s="171"/>
      <c r="AS315" s="171"/>
      <c r="AT315" s="171"/>
      <c r="AU315" s="171"/>
    </row>
    <row r="316" spans="1:47" s="620" customFormat="1" hidden="1" x14ac:dyDescent="0.25">
      <c r="A316" s="1184" t="s">
        <v>1430</v>
      </c>
      <c r="B316" s="1417"/>
      <c r="C316" s="1417"/>
      <c r="D316" s="1417"/>
      <c r="E316" s="1417"/>
      <c r="F316" s="1417"/>
      <c r="G316" s="1417"/>
      <c r="H316" s="171"/>
      <c r="I316" s="1183"/>
      <c r="J316" s="1183"/>
      <c r="K316" s="1183"/>
      <c r="L316" s="1183"/>
      <c r="M316" s="1183"/>
      <c r="N316" s="1183"/>
      <c r="O316" s="171"/>
      <c r="P316" s="171"/>
      <c r="Q316" s="171"/>
      <c r="R316" s="171"/>
      <c r="S316" s="171"/>
      <c r="T316" s="100"/>
      <c r="U316" s="101"/>
      <c r="V316" s="171"/>
      <c r="W316" s="100"/>
      <c r="X316" s="101"/>
      <c r="Y316" s="171"/>
      <c r="Z316" s="100"/>
      <c r="AA316" s="101"/>
      <c r="AB316" s="171"/>
      <c r="AC316" s="171"/>
      <c r="AD316" s="171"/>
      <c r="AE316" s="171"/>
      <c r="AF316" s="171"/>
      <c r="AG316" s="171"/>
      <c r="AH316" s="171"/>
      <c r="AI316" s="171"/>
      <c r="AJ316" s="171"/>
      <c r="AK316" s="171"/>
      <c r="AL316" s="171"/>
      <c r="AM316" s="171"/>
      <c r="AN316" s="171"/>
      <c r="AO316" s="171"/>
      <c r="AP316" s="171"/>
      <c r="AQ316" s="171"/>
      <c r="AR316" s="171"/>
      <c r="AS316" s="171"/>
      <c r="AT316" s="171"/>
      <c r="AU316" s="171"/>
    </row>
    <row r="317" spans="1:47" s="171" customFormat="1" ht="4.5" hidden="1" customHeight="1" x14ac:dyDescent="0.25">
      <c r="A317" s="1485"/>
      <c r="B317" s="1486"/>
      <c r="C317" s="1486"/>
      <c r="D317" s="1486"/>
      <c r="E317" s="1486"/>
      <c r="F317" s="1486"/>
      <c r="G317" s="1487"/>
      <c r="I317" s="1183"/>
      <c r="J317" s="1183"/>
      <c r="K317" s="1183"/>
      <c r="L317" s="1183"/>
      <c r="M317" s="1183"/>
      <c r="N317" s="1183"/>
      <c r="T317" s="100"/>
      <c r="U317" s="101"/>
      <c r="W317" s="100"/>
      <c r="X317" s="101"/>
      <c r="Z317" s="100"/>
      <c r="AA317" s="101"/>
    </row>
    <row r="318" spans="1:47" s="620" customFormat="1" hidden="1" x14ac:dyDescent="0.25">
      <c r="A318" s="1481" t="s">
        <v>1649</v>
      </c>
      <c r="B318" s="653" t="e">
        <f ca="1">IF(Cabeçalho!$G$28="unfors",INDIRECT(ADDRESS(B320,3,1,1,"medidas Unfors"),1),INDIRECT(ADDRESS(B320,4,1,1,"medidas Fluke"),1)/1000)</f>
        <v>#VALUE!</v>
      </c>
      <c r="C318" s="653" t="e">
        <f ca="1">IF(Cabeçalho!$G$28="unfors",INDIRECT(ADDRESS(C320,3,1,1,"medidas Unfors"),1),INDIRECT(ADDRESS(C320,4,1,1,"medidas Fluke"),1)/1000)</f>
        <v>#VALUE!</v>
      </c>
      <c r="D318" s="653" t="e">
        <f ca="1">IF(Cabeçalho!$G$28="unfors",INDIRECT(ADDRESS(D320,3,1,1,"medidas Unfors"),1),INDIRECT(ADDRESS(D320,4,1,1,"medidas Fluke"),1)/1000)</f>
        <v>#VALUE!</v>
      </c>
      <c r="E318" s="653" t="e">
        <f ca="1">IF(Cabeçalho!$G$28="unfors",INDIRECT(ADDRESS(E320,3,1,1,"medidas Unfors"),1),INDIRECT(ADDRESS(E320,4,1,1,"medidas Fluke"),1)/1000)</f>
        <v>#VALUE!</v>
      </c>
      <c r="F318" s="653" t="e">
        <f ca="1">IF(Cabeçalho!$G$28="unfors",INDIRECT(ADDRESS(F320,3,1,1,"medidas Unfors"),1),INDIRECT(ADDRESS(F320,4,1,1,"medidas Fluke"),1)/1000)</f>
        <v>#VALUE!</v>
      </c>
      <c r="G318" s="653" t="e">
        <f ca="1">IF(Cabeçalho!$G$28="unfors",INDIRECT(ADDRESS(G320,3,1,1,"medidas Unfors"),1),INDIRECT(ADDRESS(G320,4,1,1,"medidas Fluke"),1)/1000)</f>
        <v>#VALUE!</v>
      </c>
      <c r="H318" s="171"/>
      <c r="I318" s="171"/>
      <c r="J318" s="100"/>
      <c r="K318" s="100"/>
      <c r="L318" s="101"/>
      <c r="M318" s="171"/>
      <c r="N318" s="100"/>
      <c r="O318" s="171"/>
      <c r="P318" s="171"/>
      <c r="Q318" s="171"/>
      <c r="R318" s="171"/>
      <c r="S318" s="171"/>
      <c r="T318" s="100"/>
      <c r="U318" s="101"/>
      <c r="V318" s="171"/>
      <c r="W318" s="100"/>
      <c r="X318" s="101"/>
      <c r="Y318" s="171"/>
      <c r="Z318" s="100"/>
      <c r="AA318" s="101"/>
      <c r="AB318" s="171"/>
      <c r="AC318" s="171"/>
      <c r="AD318" s="171"/>
      <c r="AE318" s="171"/>
      <c r="AF318" s="171"/>
      <c r="AG318" s="171"/>
      <c r="AH318" s="171"/>
      <c r="AI318" s="171"/>
      <c r="AJ318" s="171"/>
      <c r="AK318" s="171"/>
      <c r="AL318" s="171"/>
      <c r="AM318" s="171"/>
      <c r="AN318" s="171"/>
      <c r="AO318" s="171"/>
      <c r="AP318" s="171"/>
      <c r="AQ318" s="171"/>
      <c r="AR318" s="171"/>
      <c r="AS318" s="171"/>
      <c r="AT318" s="171"/>
      <c r="AU318" s="171"/>
    </row>
    <row r="319" spans="1:47" s="620" customFormat="1" ht="15.75" hidden="1" thickBot="1" x14ac:dyDescent="0.3">
      <c r="A319" s="1480" t="s">
        <v>1652</v>
      </c>
      <c r="B319" s="1489" t="e">
        <f ca="1">IF(Cabeçalho!$G$28="Unfors",INDIRECT(ADDRESS(B320,5,1,1,"medidas Unfors"),1),INDIRECT(ADDRESS(B320,5,1,1,"medidas Fluke"),1)/1000)</f>
        <v>#VALUE!</v>
      </c>
      <c r="C319" s="1489" t="e">
        <f ca="1">IF(Cabeçalho!$G$28="Unfors",INDIRECT(ADDRESS(C320,5,1,1,"medidas Unfors"),1),INDIRECT(ADDRESS(C320,5,1,1,"medidas Fluke"),1)/1000)</f>
        <v>#VALUE!</v>
      </c>
      <c r="D319" s="1489" t="e">
        <f ca="1">IF(Cabeçalho!$G$28="Unfors",INDIRECT(ADDRESS(D320,5,1,1,"medidas Unfors"),1),INDIRECT(ADDRESS(D320,5,1,1,"medidas Fluke"),1)/1000)</f>
        <v>#VALUE!</v>
      </c>
      <c r="E319" s="1489" t="e">
        <f ca="1">IF(Cabeçalho!$G$28="Unfors",INDIRECT(ADDRESS(E320,5,1,1,"medidas Unfors"),1),INDIRECT(ADDRESS(E320,5,1,1,"medidas Fluke"),1)/1000)</f>
        <v>#VALUE!</v>
      </c>
      <c r="F319" s="1489" t="e">
        <f ca="1">IF(Cabeçalho!$G$28="Unfors",INDIRECT(ADDRESS(F320,5,1,1,"medidas Unfors"),1),INDIRECT(ADDRESS(F320,5,1,1,"medidas Fluke"),1)/1000)</f>
        <v>#VALUE!</v>
      </c>
      <c r="G319" s="1489" t="e">
        <f ca="1">IF(Cabeçalho!$G$28="Unfors",INDIRECT(ADDRESS(G320,5,1,1,"medidas Unfors"),1),INDIRECT(ADDRESS(G320,5,1,1,"medidas Fluke"),1)/1000)</f>
        <v>#VALUE!</v>
      </c>
      <c r="H319" s="171"/>
      <c r="I319" s="171"/>
      <c r="J319" s="100"/>
      <c r="K319" s="100"/>
      <c r="L319" s="101"/>
      <c r="M319" s="171"/>
      <c r="N319" s="100"/>
      <c r="O319" s="171"/>
      <c r="P319" s="171"/>
      <c r="Q319" s="171"/>
      <c r="R319" s="171"/>
      <c r="S319" s="171"/>
      <c r="T319" s="100"/>
      <c r="U319" s="101"/>
      <c r="V319" s="171"/>
      <c r="W319" s="100"/>
      <c r="X319" s="101"/>
      <c r="Y319" s="171"/>
      <c r="Z319" s="100"/>
      <c r="AA319" s="101"/>
      <c r="AB319" s="171"/>
      <c r="AC319" s="171"/>
      <c r="AD319" s="171"/>
      <c r="AE319" s="171"/>
      <c r="AF319" s="171"/>
      <c r="AG319" s="171"/>
      <c r="AH319" s="171"/>
      <c r="AI319" s="171"/>
      <c r="AJ319" s="171"/>
      <c r="AK319" s="171"/>
      <c r="AL319" s="171"/>
      <c r="AM319" s="171"/>
      <c r="AN319" s="171"/>
      <c r="AO319" s="171"/>
      <c r="AP319" s="171"/>
      <c r="AQ319" s="171"/>
      <c r="AR319" s="171"/>
      <c r="AS319" s="171"/>
      <c r="AT319" s="171"/>
      <c r="AU319" s="171"/>
    </row>
    <row r="320" spans="1:47" s="620" customFormat="1" ht="15.75" hidden="1" thickBot="1" x14ac:dyDescent="0.3">
      <c r="A320" s="1418" t="s">
        <v>1427</v>
      </c>
      <c r="B320" s="1419"/>
      <c r="C320" s="1419"/>
      <c r="D320" s="1419"/>
      <c r="E320" s="1419"/>
      <c r="F320" s="1419"/>
      <c r="G320" s="1420"/>
      <c r="H320" s="171"/>
      <c r="I320" s="171"/>
      <c r="J320" s="100"/>
      <c r="K320" s="100"/>
      <c r="L320" s="101"/>
      <c r="M320" s="171"/>
      <c r="N320" s="100"/>
      <c r="O320" s="171"/>
      <c r="P320" s="171"/>
      <c r="Q320" s="171"/>
      <c r="R320" s="171"/>
      <c r="S320" s="171"/>
      <c r="T320" s="100"/>
      <c r="U320" s="101"/>
      <c r="V320" s="171"/>
      <c r="W320" s="100"/>
      <c r="X320" s="101"/>
      <c r="Y320" s="171"/>
      <c r="Z320" s="100"/>
      <c r="AA320" s="101"/>
      <c r="AB320" s="171"/>
      <c r="AC320" s="171"/>
      <c r="AD320" s="171"/>
      <c r="AE320" s="171"/>
      <c r="AF320" s="171"/>
      <c r="AG320" s="171"/>
      <c r="AH320" s="171"/>
      <c r="AI320" s="171"/>
      <c r="AJ320" s="171"/>
      <c r="AK320" s="171"/>
      <c r="AL320" s="171"/>
      <c r="AM320" s="171"/>
      <c r="AN320" s="171"/>
      <c r="AO320" s="171"/>
      <c r="AP320" s="171"/>
      <c r="AQ320" s="171"/>
      <c r="AR320" s="171"/>
      <c r="AS320" s="171"/>
      <c r="AT320" s="171"/>
      <c r="AU320" s="171"/>
    </row>
    <row r="321" spans="1:47" s="620" customFormat="1" ht="17.25" hidden="1" x14ac:dyDescent="0.25">
      <c r="A321" s="1481" t="s">
        <v>1433</v>
      </c>
      <c r="B321" s="584"/>
      <c r="C321" s="584"/>
      <c r="D321" s="584"/>
      <c r="E321" s="584"/>
      <c r="F321" s="584"/>
      <c r="G321" s="584"/>
      <c r="H321" s="171"/>
      <c r="I321" s="171"/>
      <c r="J321" s="100"/>
      <c r="K321" s="100"/>
      <c r="L321" s="101"/>
      <c r="M321" s="171"/>
      <c r="N321" s="100"/>
      <c r="O321" s="171"/>
      <c r="P321" s="171"/>
      <c r="Q321" s="171"/>
      <c r="R321" s="171"/>
      <c r="S321" s="171"/>
      <c r="T321" s="100"/>
      <c r="U321" s="101"/>
      <c r="V321" s="171"/>
      <c r="W321" s="100"/>
      <c r="X321" s="101"/>
      <c r="Y321" s="171"/>
      <c r="Z321" s="100"/>
      <c r="AA321" s="101"/>
      <c r="AB321" s="171"/>
      <c r="AC321" s="171"/>
      <c r="AD321" s="171"/>
      <c r="AE321" s="171"/>
      <c r="AF321" s="171"/>
      <c r="AG321" s="171"/>
      <c r="AH321" s="171"/>
      <c r="AI321" s="171"/>
      <c r="AJ321" s="171"/>
      <c r="AK321" s="171"/>
      <c r="AL321" s="171"/>
      <c r="AM321" s="171"/>
      <c r="AN321" s="171"/>
      <c r="AO321" s="171"/>
      <c r="AP321" s="171"/>
      <c r="AQ321" s="171"/>
      <c r="AR321" s="171"/>
      <c r="AS321" s="171"/>
      <c r="AT321" s="171"/>
      <c r="AU321" s="171"/>
    </row>
    <row r="322" spans="1:47" s="620" customFormat="1" hidden="1" x14ac:dyDescent="0.25">
      <c r="A322" s="1184" t="s">
        <v>1431</v>
      </c>
      <c r="B322" s="1417"/>
      <c r="C322" s="1417"/>
      <c r="D322" s="1417"/>
      <c r="E322" s="1417"/>
      <c r="F322" s="1417"/>
      <c r="G322" s="1417"/>
      <c r="H322" s="171"/>
      <c r="I322" s="171"/>
      <c r="J322" s="100"/>
      <c r="K322" s="100"/>
      <c r="L322" s="101"/>
      <c r="M322" s="171"/>
      <c r="N322" s="100"/>
      <c r="O322" s="171"/>
      <c r="P322" s="171"/>
      <c r="Q322" s="171"/>
      <c r="R322" s="171"/>
      <c r="S322" s="171"/>
      <c r="T322" s="100"/>
      <c r="U322" s="101"/>
      <c r="V322" s="171"/>
      <c r="W322" s="100"/>
      <c r="X322" s="101"/>
      <c r="Y322" s="171"/>
      <c r="Z322" s="100"/>
      <c r="AA322" s="101"/>
      <c r="AB322" s="171"/>
      <c r="AC322" s="171"/>
      <c r="AD322" s="171"/>
      <c r="AE322" s="171"/>
      <c r="AF322" s="171"/>
      <c r="AG322" s="171"/>
      <c r="AH322" s="171"/>
      <c r="AI322" s="171"/>
      <c r="AJ322" s="171"/>
      <c r="AK322" s="171"/>
      <c r="AL322" s="171"/>
      <c r="AM322" s="171"/>
      <c r="AN322" s="171"/>
      <c r="AO322" s="171"/>
      <c r="AP322" s="171"/>
      <c r="AQ322" s="171"/>
      <c r="AR322" s="171"/>
      <c r="AS322" s="171"/>
      <c r="AT322" s="171"/>
      <c r="AU322" s="171"/>
    </row>
    <row r="323" spans="1:47" s="620" customFormat="1" ht="4.5" hidden="1" customHeight="1" x14ac:dyDescent="0.25">
      <c r="A323" s="1485"/>
      <c r="B323" s="1486"/>
      <c r="C323" s="1486"/>
      <c r="D323" s="1486"/>
      <c r="E323" s="1486"/>
      <c r="F323" s="1486"/>
      <c r="G323" s="1487"/>
      <c r="H323" s="171"/>
      <c r="I323" s="171"/>
      <c r="J323" s="100"/>
      <c r="K323" s="100"/>
      <c r="L323" s="101"/>
      <c r="M323" s="171"/>
      <c r="N323" s="100"/>
      <c r="O323" s="171"/>
      <c r="P323" s="171"/>
      <c r="Q323" s="171"/>
      <c r="R323" s="171"/>
      <c r="S323" s="171"/>
      <c r="T323" s="100"/>
      <c r="U323" s="101"/>
      <c r="V323" s="171"/>
      <c r="W323" s="100"/>
      <c r="X323" s="101"/>
      <c r="Y323" s="171"/>
      <c r="Z323" s="100"/>
      <c r="AA323" s="101"/>
      <c r="AB323" s="171"/>
      <c r="AC323" s="171"/>
      <c r="AD323" s="171"/>
      <c r="AE323" s="171"/>
      <c r="AF323" s="171"/>
      <c r="AG323" s="171"/>
      <c r="AH323" s="171"/>
      <c r="AI323" s="171"/>
      <c r="AJ323" s="171"/>
      <c r="AK323" s="171"/>
      <c r="AL323" s="171"/>
      <c r="AM323" s="171"/>
      <c r="AN323" s="171"/>
      <c r="AO323" s="171"/>
      <c r="AP323" s="171"/>
      <c r="AQ323" s="171"/>
      <c r="AR323" s="171"/>
      <c r="AS323" s="171"/>
      <c r="AT323" s="171"/>
      <c r="AU323" s="171"/>
    </row>
    <row r="324" spans="1:47" s="620" customFormat="1" hidden="1" x14ac:dyDescent="0.25">
      <c r="A324" s="1481" t="s">
        <v>1650</v>
      </c>
      <c r="B324" s="653">
        <f ca="1">IF(Cabeçalho!$G$28="unfors",INDIRECT(ADDRESS(B326,3,1,1,"medidas Unfors"),1),INDIRECT(ADDRESS(B326,4,1,1,"medidas Fluke"),1)/1000)</f>
        <v>0</v>
      </c>
      <c r="C324" s="653" t="e">
        <f ca="1">IF(Cabeçalho!$G$28="unfors",INDIRECT(ADDRESS(C326,3,1,1,"medidas Unfors"),1),INDIRECT(ADDRESS(C326,4,1,1,"medidas Fluke"),1)/1000)</f>
        <v>#VALUE!</v>
      </c>
      <c r="D324" s="653" t="e">
        <f ca="1">IF(Cabeçalho!$G$28="unfors",INDIRECT(ADDRESS(D326,3,1,1,"medidas Unfors"),1),INDIRECT(ADDRESS(D326,4,1,1,"medidas Fluke"),1)/1000)</f>
        <v>#VALUE!</v>
      </c>
      <c r="E324" s="653" t="e">
        <f ca="1">IF(Cabeçalho!$G$28="unfors",INDIRECT(ADDRESS(E326,3,1,1,"medidas Unfors"),1),INDIRECT(ADDRESS(E326,4,1,1,"medidas Fluke"),1)/1000)</f>
        <v>#VALUE!</v>
      </c>
      <c r="F324" s="653" t="e">
        <f ca="1">IF(Cabeçalho!$G$28="unfors",INDIRECT(ADDRESS(F326,3,1,1,"medidas Unfors"),1),INDIRECT(ADDRESS(F326,4,1,1,"medidas Fluke"),1)/1000)</f>
        <v>#VALUE!</v>
      </c>
      <c r="G324" s="653" t="e">
        <f ca="1">IF(Cabeçalho!$G$28="unfors",INDIRECT(ADDRESS(G326,3,1,1,"medidas Unfors"),1),INDIRECT(ADDRESS(G326,4,1,1,"medidas Fluke"),1)/1000)</f>
        <v>#VALUE!</v>
      </c>
      <c r="H324" s="171"/>
      <c r="I324" s="171"/>
      <c r="J324" s="100"/>
      <c r="K324" s="100"/>
      <c r="L324" s="101"/>
      <c r="M324" s="171"/>
      <c r="N324" s="100"/>
      <c r="O324" s="171"/>
      <c r="P324" s="171"/>
      <c r="Q324" s="171"/>
      <c r="R324" s="171"/>
      <c r="S324" s="171"/>
      <c r="T324" s="100"/>
      <c r="U324" s="101"/>
      <c r="V324" s="171"/>
      <c r="W324" s="100"/>
      <c r="X324" s="101"/>
      <c r="Y324" s="171"/>
      <c r="Z324" s="100"/>
      <c r="AA324" s="101"/>
      <c r="AB324" s="171"/>
      <c r="AC324" s="171"/>
      <c r="AD324" s="171"/>
      <c r="AE324" s="171"/>
      <c r="AF324" s="171"/>
      <c r="AG324" s="171"/>
      <c r="AH324" s="171"/>
      <c r="AI324" s="171"/>
      <c r="AJ324" s="171"/>
      <c r="AK324" s="171"/>
      <c r="AL324" s="171"/>
      <c r="AM324" s="171"/>
      <c r="AN324" s="171"/>
      <c r="AO324" s="171"/>
      <c r="AP324" s="171"/>
      <c r="AQ324" s="171"/>
      <c r="AR324" s="171"/>
      <c r="AS324" s="171"/>
      <c r="AT324" s="171"/>
      <c r="AU324" s="171"/>
    </row>
    <row r="325" spans="1:47" s="620" customFormat="1" ht="15.75" thickBot="1" x14ac:dyDescent="0.3">
      <c r="A325" s="1480" t="s">
        <v>1653</v>
      </c>
      <c r="B325" s="1489">
        <f ca="1">IF(Cabeçalho!$G$28="Unfors",INDIRECT(ADDRESS(B326,5,1,1,"medidas Unfors"),1),INDIRECT(ADDRESS(B326,5,1,1,"medidas Fluke"),1)/1000)</f>
        <v>0</v>
      </c>
      <c r="C325" s="1489" t="e">
        <f ca="1">IF(Cabeçalho!$G$28="Unfors",INDIRECT(ADDRESS(C326,5,1,1,"medidas Unfors"),1),INDIRECT(ADDRESS(C326,5,1,1,"medidas Fluke"),1)/1000)</f>
        <v>#VALUE!</v>
      </c>
      <c r="D325" s="1489" t="e">
        <f ca="1">IF(Cabeçalho!$G$28="Unfors",INDIRECT(ADDRESS(D326,5,1,1,"medidas Unfors"),1),INDIRECT(ADDRESS(D326,5,1,1,"medidas Fluke"),1)/1000)</f>
        <v>#VALUE!</v>
      </c>
      <c r="E325" s="1489" t="e">
        <f ca="1">IF(Cabeçalho!$G$28="Unfors",INDIRECT(ADDRESS(E326,5,1,1,"medidas Unfors"),1),INDIRECT(ADDRESS(E326,5,1,1,"medidas Fluke"),1)/1000)</f>
        <v>#VALUE!</v>
      </c>
      <c r="F325" s="1489" t="e">
        <f ca="1">IF(Cabeçalho!$G$28="Unfors",INDIRECT(ADDRESS(F326,5,1,1,"medidas Unfors"),1),INDIRECT(ADDRESS(F326,5,1,1,"medidas Fluke"),1)/1000)</f>
        <v>#VALUE!</v>
      </c>
      <c r="G325" s="1489" t="e">
        <f ca="1">IF(Cabeçalho!$G$28="Unfors",INDIRECT(ADDRESS(G326,5,1,1,"medidas Unfors"),1),INDIRECT(ADDRESS(G326,5,1,1,"medidas Fluke"),1)/1000)</f>
        <v>#VALUE!</v>
      </c>
      <c r="H325" s="171"/>
      <c r="I325" s="171"/>
      <c r="J325" s="100"/>
      <c r="K325" s="100"/>
      <c r="L325" s="101"/>
      <c r="M325" s="171"/>
      <c r="N325" s="100"/>
      <c r="O325" s="171"/>
      <c r="P325" s="171"/>
      <c r="Q325" s="171"/>
      <c r="R325" s="171"/>
      <c r="S325" s="171"/>
      <c r="T325" s="100"/>
      <c r="U325" s="101"/>
      <c r="V325" s="171"/>
      <c r="W325" s="100"/>
      <c r="X325" s="101"/>
      <c r="Y325" s="171"/>
      <c r="Z325" s="100"/>
      <c r="AA325" s="101"/>
      <c r="AB325" s="171"/>
      <c r="AC325" s="171"/>
      <c r="AD325" s="171"/>
      <c r="AE325" s="171"/>
      <c r="AF325" s="171"/>
      <c r="AG325" s="171"/>
      <c r="AH325" s="171"/>
      <c r="AI325" s="171"/>
      <c r="AJ325" s="171"/>
      <c r="AK325" s="171"/>
      <c r="AL325" s="171"/>
      <c r="AM325" s="171"/>
      <c r="AN325" s="171"/>
      <c r="AO325" s="171"/>
      <c r="AP325" s="171"/>
      <c r="AQ325" s="171"/>
      <c r="AR325" s="171"/>
      <c r="AS325" s="171"/>
      <c r="AT325" s="171"/>
      <c r="AU325" s="171"/>
    </row>
    <row r="326" spans="1:47" s="620" customFormat="1" ht="15.75" thickBot="1" x14ac:dyDescent="0.3">
      <c r="A326" s="1418" t="s">
        <v>1428</v>
      </c>
      <c r="B326" s="1419">
        <v>1</v>
      </c>
      <c r="C326" s="1419"/>
      <c r="D326" s="1419"/>
      <c r="E326" s="1419"/>
      <c r="F326" s="1419"/>
      <c r="G326" s="1420"/>
      <c r="H326" s="171"/>
      <c r="I326" s="171"/>
      <c r="J326" s="100"/>
      <c r="K326" s="100"/>
      <c r="L326" s="101"/>
      <c r="M326" s="171"/>
      <c r="N326" s="100"/>
      <c r="O326" s="171"/>
      <c r="P326" s="171"/>
      <c r="Q326" s="171"/>
      <c r="R326" s="171"/>
      <c r="S326" s="171"/>
      <c r="T326" s="100"/>
      <c r="U326" s="101"/>
      <c r="V326" s="171"/>
      <c r="W326" s="100"/>
      <c r="X326" s="101"/>
      <c r="Y326" s="171"/>
      <c r="Z326" s="100"/>
      <c r="AA326" s="101"/>
      <c r="AB326" s="171"/>
      <c r="AC326" s="171"/>
      <c r="AD326" s="171"/>
      <c r="AE326" s="171"/>
      <c r="AF326" s="171"/>
      <c r="AG326" s="171"/>
      <c r="AH326" s="171"/>
      <c r="AI326" s="171"/>
      <c r="AJ326" s="171"/>
      <c r="AK326" s="171"/>
      <c r="AL326" s="171"/>
      <c r="AM326" s="171"/>
      <c r="AN326" s="171"/>
      <c r="AO326" s="171"/>
      <c r="AP326" s="171"/>
      <c r="AQ326" s="171"/>
      <c r="AR326" s="171"/>
      <c r="AS326" s="171"/>
      <c r="AT326" s="171"/>
      <c r="AU326" s="171"/>
    </row>
    <row r="327" spans="1:47" s="620" customFormat="1" ht="17.25" hidden="1" x14ac:dyDescent="0.25">
      <c r="A327" s="1481" t="s">
        <v>1434</v>
      </c>
      <c r="B327" s="584"/>
      <c r="C327" s="584"/>
      <c r="D327" s="584"/>
      <c r="E327" s="584"/>
      <c r="F327" s="584"/>
      <c r="G327" s="584"/>
      <c r="H327" s="171"/>
      <c r="I327" s="171"/>
      <c r="J327" s="100"/>
      <c r="K327" s="100"/>
      <c r="L327" s="101"/>
      <c r="M327" s="171"/>
      <c r="N327" s="100"/>
      <c r="O327" s="171"/>
      <c r="P327" s="171"/>
      <c r="Q327" s="171"/>
      <c r="R327" s="171"/>
      <c r="S327" s="171"/>
      <c r="T327" s="100"/>
      <c r="U327" s="101"/>
      <c r="V327" s="171"/>
      <c r="W327" s="100"/>
      <c r="X327" s="101"/>
      <c r="Y327" s="171"/>
      <c r="Z327" s="100"/>
      <c r="AA327" s="101"/>
      <c r="AB327" s="171"/>
      <c r="AC327" s="171"/>
      <c r="AD327" s="171"/>
      <c r="AE327" s="171"/>
      <c r="AF327" s="171"/>
      <c r="AG327" s="171"/>
      <c r="AH327" s="171"/>
      <c r="AI327" s="171"/>
      <c r="AJ327" s="171"/>
      <c r="AK327" s="171"/>
      <c r="AL327" s="171"/>
      <c r="AM327" s="171"/>
      <c r="AN327" s="171"/>
      <c r="AO327" s="171"/>
      <c r="AP327" s="171"/>
      <c r="AQ327" s="171"/>
      <c r="AR327" s="171"/>
      <c r="AS327" s="171"/>
      <c r="AT327" s="171"/>
      <c r="AU327" s="171"/>
    </row>
    <row r="328" spans="1:47" s="620" customFormat="1" hidden="1" x14ac:dyDescent="0.25">
      <c r="A328" s="1481" t="s">
        <v>1432</v>
      </c>
      <c r="B328" s="584"/>
      <c r="C328" s="584"/>
      <c r="D328" s="584"/>
      <c r="E328" s="584"/>
      <c r="F328" s="584"/>
      <c r="G328" s="584"/>
      <c r="H328" s="171"/>
      <c r="I328" s="171"/>
      <c r="J328" s="100"/>
      <c r="K328" s="100"/>
      <c r="L328" s="101"/>
      <c r="M328" s="171"/>
      <c r="N328" s="100"/>
      <c r="O328" s="171"/>
      <c r="P328" s="171"/>
      <c r="Q328" s="171"/>
      <c r="R328" s="171"/>
      <c r="S328" s="171"/>
      <c r="T328" s="100"/>
      <c r="U328" s="101"/>
      <c r="V328" s="171"/>
      <c r="W328" s="100"/>
      <c r="X328" s="101"/>
      <c r="Y328" s="171"/>
      <c r="Z328" s="100"/>
      <c r="AA328" s="101"/>
      <c r="AB328" s="171"/>
      <c r="AC328" s="171"/>
      <c r="AD328" s="171"/>
      <c r="AE328" s="171"/>
      <c r="AF328" s="171"/>
      <c r="AG328" s="171"/>
      <c r="AH328" s="171"/>
      <c r="AI328" s="171"/>
      <c r="AJ328" s="171"/>
      <c r="AK328" s="171"/>
      <c r="AL328" s="171"/>
      <c r="AM328" s="171"/>
      <c r="AN328" s="171"/>
      <c r="AO328" s="171"/>
      <c r="AP328" s="171"/>
      <c r="AQ328" s="171"/>
      <c r="AR328" s="171"/>
      <c r="AS328" s="171"/>
      <c r="AT328" s="171"/>
      <c r="AU328" s="171"/>
    </row>
    <row r="329" spans="1:47" s="620" customFormat="1" hidden="1" x14ac:dyDescent="0.25">
      <c r="A329" s="1481" t="s">
        <v>1435</v>
      </c>
      <c r="B329" s="653">
        <f t="shared" ref="B329:G329" si="70">ABS(B321-B315)</f>
        <v>0</v>
      </c>
      <c r="C329" s="653">
        <f t="shared" si="70"/>
        <v>0</v>
      </c>
      <c r="D329" s="653">
        <f t="shared" si="70"/>
        <v>0</v>
      </c>
      <c r="E329" s="653">
        <f t="shared" si="70"/>
        <v>0</v>
      </c>
      <c r="F329" s="653">
        <f t="shared" si="70"/>
        <v>0</v>
      </c>
      <c r="G329" s="653">
        <f t="shared" si="70"/>
        <v>0</v>
      </c>
      <c r="H329" s="171"/>
      <c r="I329" s="171"/>
      <c r="J329" s="100"/>
      <c r="K329" s="100"/>
      <c r="L329" s="101"/>
      <c r="M329" s="171"/>
      <c r="N329" s="100"/>
      <c r="O329" s="171"/>
      <c r="P329" s="171"/>
      <c r="Q329" s="171"/>
      <c r="R329" s="171"/>
      <c r="S329" s="171"/>
      <c r="T329" s="100"/>
      <c r="U329" s="101"/>
      <c r="V329" s="171"/>
      <c r="W329" s="100"/>
      <c r="X329" s="101"/>
      <c r="Y329" s="171"/>
      <c r="Z329" s="100"/>
      <c r="AA329" s="101"/>
      <c r="AB329" s="171"/>
      <c r="AC329" s="171"/>
      <c r="AD329" s="171"/>
      <c r="AE329" s="171"/>
      <c r="AF329" s="171"/>
      <c r="AG329" s="171"/>
      <c r="AH329" s="171"/>
      <c r="AI329" s="171"/>
      <c r="AJ329" s="171"/>
      <c r="AK329" s="171"/>
      <c r="AL329" s="171"/>
      <c r="AM329" s="171"/>
      <c r="AN329" s="171"/>
      <c r="AO329" s="171"/>
      <c r="AP329" s="171"/>
      <c r="AQ329" s="171"/>
      <c r="AR329" s="171"/>
      <c r="AS329" s="171"/>
      <c r="AT329" s="171"/>
      <c r="AU329" s="171"/>
    </row>
    <row r="330" spans="1:47" s="620" customFormat="1" hidden="1" x14ac:dyDescent="0.25">
      <c r="A330" s="1481" t="s">
        <v>1437</v>
      </c>
      <c r="B330" s="653">
        <f t="shared" ref="B330:G330" si="71">ABS(B327-B321)</f>
        <v>0</v>
      </c>
      <c r="C330" s="653">
        <f t="shared" si="71"/>
        <v>0</v>
      </c>
      <c r="D330" s="653">
        <f t="shared" si="71"/>
        <v>0</v>
      </c>
      <c r="E330" s="653">
        <f t="shared" si="71"/>
        <v>0</v>
      </c>
      <c r="F330" s="653">
        <f t="shared" si="71"/>
        <v>0</v>
      </c>
      <c r="G330" s="653">
        <f t="shared" si="71"/>
        <v>0</v>
      </c>
      <c r="H330" s="171"/>
      <c r="I330" s="171"/>
      <c r="J330" s="100"/>
      <c r="K330" s="100"/>
      <c r="L330" s="101"/>
      <c r="M330" s="171"/>
      <c r="N330" s="100"/>
      <c r="O330" s="171"/>
      <c r="P330" s="171"/>
      <c r="Q330" s="171"/>
      <c r="R330" s="171"/>
      <c r="S330" s="171"/>
      <c r="T330" s="100"/>
      <c r="U330" s="101"/>
      <c r="V330" s="171"/>
      <c r="W330" s="100"/>
      <c r="X330" s="101"/>
      <c r="Y330" s="171"/>
      <c r="Z330" s="100"/>
      <c r="AA330" s="101"/>
      <c r="AB330" s="171"/>
      <c r="AC330" s="171"/>
      <c r="AD330" s="171"/>
      <c r="AE330" s="171"/>
      <c r="AF330" s="171"/>
      <c r="AG330" s="171"/>
      <c r="AH330" s="171"/>
      <c r="AI330" s="171"/>
      <c r="AJ330" s="171"/>
      <c r="AK330" s="171"/>
      <c r="AL330" s="171"/>
      <c r="AM330" s="171"/>
      <c r="AN330" s="171"/>
      <c r="AO330" s="171"/>
      <c r="AP330" s="171"/>
      <c r="AQ330" s="171"/>
      <c r="AR330" s="171"/>
      <c r="AS330" s="171"/>
      <c r="AT330" s="171"/>
      <c r="AU330" s="171"/>
    </row>
    <row r="331" spans="1:47" s="620" customFormat="1" hidden="1" x14ac:dyDescent="0.25">
      <c r="A331" s="1481" t="s">
        <v>1436</v>
      </c>
      <c r="B331" s="653">
        <f t="shared" ref="B331:G331" si="72">ABS(B322-B316)</f>
        <v>0</v>
      </c>
      <c r="C331" s="653">
        <f t="shared" si="72"/>
        <v>0</v>
      </c>
      <c r="D331" s="653">
        <f t="shared" si="72"/>
        <v>0</v>
      </c>
      <c r="E331" s="653">
        <f t="shared" si="72"/>
        <v>0</v>
      </c>
      <c r="F331" s="653">
        <f t="shared" si="72"/>
        <v>0</v>
      </c>
      <c r="G331" s="653">
        <f t="shared" si="72"/>
        <v>0</v>
      </c>
      <c r="H331" s="171"/>
      <c r="I331" s="171"/>
      <c r="J331" s="100"/>
      <c r="K331" s="100"/>
      <c r="L331" s="101"/>
      <c r="M331" s="171"/>
      <c r="N331" s="100"/>
      <c r="O331" s="171"/>
      <c r="P331" s="171"/>
      <c r="Q331" s="171"/>
      <c r="R331" s="171"/>
      <c r="S331" s="171"/>
      <c r="T331" s="100"/>
      <c r="U331" s="101"/>
      <c r="V331" s="171"/>
      <c r="W331" s="100"/>
      <c r="X331" s="101"/>
      <c r="Y331" s="171"/>
      <c r="Z331" s="100"/>
      <c r="AA331" s="101"/>
      <c r="AB331" s="171"/>
      <c r="AC331" s="171"/>
      <c r="AD331" s="171"/>
      <c r="AE331" s="171"/>
      <c r="AF331" s="171"/>
      <c r="AG331" s="171"/>
      <c r="AH331" s="171"/>
      <c r="AI331" s="171"/>
      <c r="AJ331" s="171"/>
      <c r="AK331" s="171"/>
      <c r="AL331" s="171"/>
      <c r="AM331" s="171"/>
      <c r="AN331" s="171"/>
      <c r="AO331" s="171"/>
      <c r="AP331" s="171"/>
      <c r="AQ331" s="171"/>
      <c r="AR331" s="171"/>
      <c r="AS331" s="171"/>
      <c r="AT331" s="171"/>
      <c r="AU331" s="171"/>
    </row>
    <row r="332" spans="1:47" s="620" customFormat="1" ht="15.75" hidden="1" thickBot="1" x14ac:dyDescent="0.3">
      <c r="A332" s="1184" t="s">
        <v>1438</v>
      </c>
      <c r="B332" s="1185">
        <f t="shared" ref="B332:G332" si="73">ABS(B328-B322)</f>
        <v>0</v>
      </c>
      <c r="C332" s="1185">
        <f t="shared" si="73"/>
        <v>0</v>
      </c>
      <c r="D332" s="1185">
        <f t="shared" si="73"/>
        <v>0</v>
      </c>
      <c r="E332" s="1185">
        <f t="shared" si="73"/>
        <v>0</v>
      </c>
      <c r="F332" s="1185">
        <f t="shared" si="73"/>
        <v>0</v>
      </c>
      <c r="G332" s="1185">
        <f t="shared" si="73"/>
        <v>0</v>
      </c>
      <c r="H332" s="171"/>
      <c r="I332" s="171"/>
      <c r="J332" s="100"/>
      <c r="K332" s="100"/>
      <c r="L332" s="101"/>
      <c r="M332" s="171"/>
      <c r="N332" s="100"/>
      <c r="O332" s="171"/>
      <c r="P332" s="171"/>
      <c r="Q332" s="171"/>
      <c r="R332" s="171"/>
      <c r="S332" s="171"/>
      <c r="T332" s="100"/>
      <c r="U332" s="101"/>
      <c r="V332" s="171"/>
      <c r="W332" s="100"/>
      <c r="X332" s="101"/>
      <c r="Y332" s="171"/>
      <c r="Z332" s="100"/>
      <c r="AA332" s="101"/>
      <c r="AB332" s="171"/>
      <c r="AC332" s="171"/>
      <c r="AD332" s="171"/>
      <c r="AE332" s="171"/>
      <c r="AF332" s="171"/>
      <c r="AG332" s="171"/>
      <c r="AH332" s="171"/>
      <c r="AI332" s="171"/>
      <c r="AJ332" s="171"/>
      <c r="AK332" s="171"/>
      <c r="AL332" s="171"/>
      <c r="AM332" s="171"/>
      <c r="AN332" s="171"/>
      <c r="AO332" s="171"/>
      <c r="AP332" s="171"/>
      <c r="AQ332" s="171"/>
      <c r="AR332" s="171"/>
      <c r="AS332" s="171"/>
      <c r="AT332" s="171"/>
      <c r="AU332" s="171"/>
    </row>
    <row r="333" spans="1:47" s="620" customFormat="1" hidden="1" x14ac:dyDescent="0.25">
      <c r="A333" s="1186" t="s">
        <v>1439</v>
      </c>
      <c r="B333" s="1187" t="e">
        <f t="shared" ref="B333:G333" si="74">B329/B331</f>
        <v>#DIV/0!</v>
      </c>
      <c r="C333" s="1187" t="e">
        <f t="shared" si="74"/>
        <v>#DIV/0!</v>
      </c>
      <c r="D333" s="1187" t="e">
        <f t="shared" si="74"/>
        <v>#DIV/0!</v>
      </c>
      <c r="E333" s="1187" t="e">
        <f t="shared" si="74"/>
        <v>#DIV/0!</v>
      </c>
      <c r="F333" s="1187" t="e">
        <f t="shared" si="74"/>
        <v>#DIV/0!</v>
      </c>
      <c r="G333" s="1188" t="e">
        <f t="shared" si="74"/>
        <v>#DIV/0!</v>
      </c>
      <c r="H333" s="171"/>
      <c r="I333" s="171"/>
      <c r="J333" s="100"/>
      <c r="K333" s="100"/>
      <c r="L333" s="101"/>
      <c r="M333" s="171"/>
      <c r="N333" s="100"/>
      <c r="O333" s="171"/>
      <c r="P333" s="171"/>
      <c r="Q333" s="171"/>
      <c r="R333" s="171"/>
      <c r="S333" s="171"/>
      <c r="T333" s="100"/>
      <c r="U333" s="101"/>
      <c r="V333" s="171"/>
      <c r="W333" s="100"/>
      <c r="X333" s="101"/>
      <c r="Y333" s="171"/>
      <c r="Z333" s="100"/>
      <c r="AA333" s="101"/>
      <c r="AB333" s="171"/>
      <c r="AC333" s="171"/>
      <c r="AD333" s="171"/>
      <c r="AE333" s="171"/>
      <c r="AF333" s="171"/>
      <c r="AG333" s="171"/>
      <c r="AH333" s="171"/>
      <c r="AI333" s="171"/>
      <c r="AJ333" s="171"/>
      <c r="AK333" s="171"/>
      <c r="AL333" s="171"/>
      <c r="AM333" s="171"/>
      <c r="AN333" s="171"/>
      <c r="AO333" s="171"/>
      <c r="AP333" s="171"/>
      <c r="AQ333" s="171"/>
      <c r="AR333" s="171"/>
      <c r="AS333" s="171"/>
      <c r="AT333" s="171"/>
      <c r="AU333" s="171"/>
    </row>
    <row r="334" spans="1:47" s="620" customFormat="1" hidden="1" x14ac:dyDescent="0.25">
      <c r="A334" s="1189" t="s">
        <v>1440</v>
      </c>
      <c r="B334" s="653" t="e">
        <f t="shared" ref="B334:G334" si="75">B330/B332</f>
        <v>#DIV/0!</v>
      </c>
      <c r="C334" s="653" t="e">
        <f t="shared" si="75"/>
        <v>#DIV/0!</v>
      </c>
      <c r="D334" s="653" t="e">
        <f t="shared" si="75"/>
        <v>#DIV/0!</v>
      </c>
      <c r="E334" s="653" t="e">
        <f t="shared" si="75"/>
        <v>#DIV/0!</v>
      </c>
      <c r="F334" s="653" t="e">
        <f t="shared" si="75"/>
        <v>#DIV/0!</v>
      </c>
      <c r="G334" s="1190" t="e">
        <f t="shared" si="75"/>
        <v>#DIV/0!</v>
      </c>
      <c r="H334" s="171"/>
      <c r="I334" s="171"/>
      <c r="J334" s="100"/>
      <c r="K334" s="100"/>
      <c r="L334" s="101"/>
      <c r="M334" s="171"/>
      <c r="N334" s="100"/>
      <c r="O334" s="171"/>
      <c r="P334" s="171"/>
      <c r="Q334" s="171"/>
      <c r="R334" s="171"/>
      <c r="S334" s="171"/>
      <c r="T334" s="100"/>
      <c r="U334" s="101"/>
      <c r="V334" s="171"/>
      <c r="W334" s="100"/>
      <c r="X334" s="101"/>
      <c r="Y334" s="171"/>
      <c r="Z334" s="100"/>
      <c r="AA334" s="101"/>
      <c r="AB334" s="171"/>
      <c r="AC334" s="171"/>
      <c r="AD334" s="171"/>
      <c r="AE334" s="171"/>
      <c r="AF334" s="171"/>
      <c r="AG334" s="171"/>
      <c r="AH334" s="171"/>
      <c r="AI334" s="171"/>
      <c r="AJ334" s="171"/>
      <c r="AK334" s="171"/>
      <c r="AL334" s="171"/>
      <c r="AM334" s="171"/>
      <c r="AN334" s="171"/>
      <c r="AO334" s="171"/>
      <c r="AP334" s="171"/>
      <c r="AQ334" s="171"/>
      <c r="AR334" s="171"/>
      <c r="AS334" s="171"/>
      <c r="AT334" s="171"/>
      <c r="AU334" s="171"/>
    </row>
    <row r="335" spans="1:47" s="620" customFormat="1" hidden="1" x14ac:dyDescent="0.25">
      <c r="A335" s="1189" t="s">
        <v>1639</v>
      </c>
      <c r="B335" s="653">
        <f t="shared" ref="B335:G335" si="76">IF($D$141="Quadrado",B$132^2,PI()*(B$132/2)^2)</f>
        <v>0</v>
      </c>
      <c r="C335" s="653" t="e">
        <f t="shared" si="76"/>
        <v>#VALUE!</v>
      </c>
      <c r="D335" s="653" t="e">
        <f t="shared" si="76"/>
        <v>#VALUE!</v>
      </c>
      <c r="E335" s="653" t="e">
        <f t="shared" si="76"/>
        <v>#VALUE!</v>
      </c>
      <c r="F335" s="653" t="e">
        <f t="shared" si="76"/>
        <v>#VALUE!</v>
      </c>
      <c r="G335" s="653" t="e">
        <f t="shared" si="76"/>
        <v>#VALUE!</v>
      </c>
      <c r="H335" s="171"/>
      <c r="I335" s="171"/>
      <c r="J335" s="100"/>
      <c r="K335" s="100"/>
      <c r="L335" s="101"/>
      <c r="M335" s="171"/>
      <c r="N335" s="100"/>
      <c r="O335" s="171"/>
      <c r="P335" s="171"/>
      <c r="Q335" s="171"/>
      <c r="R335" s="171"/>
      <c r="S335" s="171"/>
      <c r="T335" s="100"/>
      <c r="U335" s="101"/>
      <c r="V335" s="171"/>
      <c r="W335" s="100"/>
      <c r="X335" s="101"/>
      <c r="Y335" s="171"/>
      <c r="Z335" s="100"/>
      <c r="AA335" s="101"/>
      <c r="AB335" s="171"/>
      <c r="AC335" s="171"/>
      <c r="AD335" s="171"/>
      <c r="AE335" s="171"/>
      <c r="AF335" s="171"/>
      <c r="AG335" s="171"/>
      <c r="AH335" s="171"/>
      <c r="AI335" s="171"/>
      <c r="AJ335" s="171"/>
      <c r="AK335" s="171"/>
      <c r="AL335" s="171"/>
      <c r="AM335" s="171"/>
      <c r="AN335" s="171"/>
      <c r="AO335" s="171"/>
      <c r="AP335" s="171"/>
      <c r="AQ335" s="171"/>
      <c r="AR335" s="171"/>
      <c r="AS335" s="171"/>
      <c r="AT335" s="171"/>
      <c r="AU335" s="171"/>
    </row>
    <row r="336" spans="1:47" s="620" customFormat="1" ht="18" hidden="1" thickBot="1" x14ac:dyDescent="0.3">
      <c r="A336" s="1415" t="s">
        <v>1640</v>
      </c>
      <c r="B336" s="1416">
        <f t="shared" ref="B336:G336" si="77">IF($D$141="Quadrado",B311^2,PI()*(B311/2)^2)</f>
        <v>415.47562843725012</v>
      </c>
      <c r="C336" s="1191">
        <f t="shared" si="77"/>
        <v>0</v>
      </c>
      <c r="D336" s="1191">
        <f t="shared" si="77"/>
        <v>0</v>
      </c>
      <c r="E336" s="1191">
        <f t="shared" si="77"/>
        <v>0</v>
      </c>
      <c r="F336" s="1191">
        <f t="shared" si="77"/>
        <v>0</v>
      </c>
      <c r="G336" s="1192">
        <f t="shared" si="77"/>
        <v>0</v>
      </c>
      <c r="H336" s="171"/>
      <c r="I336" s="171"/>
      <c r="J336" s="100"/>
      <c r="K336" s="100"/>
      <c r="L336" s="101"/>
      <c r="M336" s="171"/>
      <c r="N336" s="100"/>
      <c r="O336" s="171"/>
      <c r="P336" s="171"/>
      <c r="Q336" s="171"/>
      <c r="R336" s="171"/>
      <c r="S336" s="171"/>
      <c r="T336" s="100"/>
      <c r="U336" s="101"/>
      <c r="V336" s="171"/>
      <c r="W336" s="100"/>
      <c r="X336" s="101"/>
      <c r="Y336" s="171"/>
      <c r="Z336" s="100"/>
      <c r="AA336" s="101"/>
      <c r="AB336" s="171"/>
      <c r="AC336" s="171"/>
      <c r="AD336" s="171"/>
      <c r="AE336" s="171"/>
      <c r="AF336" s="171"/>
      <c r="AG336" s="171"/>
      <c r="AH336" s="171"/>
      <c r="AI336" s="171"/>
      <c r="AJ336" s="171"/>
      <c r="AK336" s="171"/>
      <c r="AL336" s="171"/>
      <c r="AM336" s="171"/>
      <c r="AN336" s="171"/>
      <c r="AO336" s="171"/>
      <c r="AP336" s="171"/>
      <c r="AQ336" s="171"/>
      <c r="AR336" s="171"/>
      <c r="AS336" s="171"/>
      <c r="AT336" s="171"/>
      <c r="AU336" s="171"/>
    </row>
    <row r="337" spans="1:47" s="620" customFormat="1" ht="17.25" hidden="1" x14ac:dyDescent="0.25">
      <c r="A337" s="1498" t="s">
        <v>1684</v>
      </c>
      <c r="B337" s="1187" t="str">
        <f t="shared" ref="B337:G337" ca="1" si="78">IFERROR(B333*B318,"NPA")</f>
        <v>NPA</v>
      </c>
      <c r="C337" s="1187" t="str">
        <f t="shared" ca="1" si="78"/>
        <v>NPA</v>
      </c>
      <c r="D337" s="1187" t="str">
        <f t="shared" ca="1" si="78"/>
        <v>NPA</v>
      </c>
      <c r="E337" s="1187" t="str">
        <f t="shared" ca="1" si="78"/>
        <v>NPA</v>
      </c>
      <c r="F337" s="1187" t="str">
        <f t="shared" ca="1" si="78"/>
        <v>NPA</v>
      </c>
      <c r="G337" s="1187" t="str">
        <f t="shared" ca="1" si="78"/>
        <v>NPA</v>
      </c>
      <c r="H337" s="171"/>
      <c r="I337" s="171"/>
      <c r="J337" s="100"/>
      <c r="K337" s="100"/>
      <c r="L337" s="101"/>
      <c r="M337" s="171"/>
      <c r="N337" s="100"/>
      <c r="O337" s="171"/>
      <c r="P337" s="171"/>
      <c r="Q337" s="171"/>
      <c r="R337" s="171"/>
      <c r="S337" s="171"/>
      <c r="T337" s="100"/>
      <c r="U337" s="101"/>
      <c r="V337" s="171"/>
      <c r="W337" s="100"/>
      <c r="X337" s="101"/>
      <c r="Y337" s="171"/>
      <c r="Z337" s="100"/>
      <c r="AA337" s="101"/>
      <c r="AB337" s="171"/>
      <c r="AC337" s="171"/>
      <c r="AD337" s="171"/>
      <c r="AE337" s="171"/>
      <c r="AF337" s="171"/>
      <c r="AG337" s="171"/>
      <c r="AH337" s="171"/>
      <c r="AI337" s="171"/>
      <c r="AJ337" s="171"/>
      <c r="AK337" s="171"/>
      <c r="AL337" s="171"/>
      <c r="AM337" s="171"/>
      <c r="AN337" s="171"/>
      <c r="AO337" s="171"/>
      <c r="AP337" s="171"/>
      <c r="AQ337" s="171"/>
      <c r="AR337" s="171"/>
      <c r="AS337" s="171"/>
      <c r="AT337" s="171"/>
      <c r="AU337" s="171"/>
    </row>
    <row r="338" spans="1:47" s="620" customFormat="1" ht="17.25" hidden="1" x14ac:dyDescent="0.25">
      <c r="A338" s="1499" t="s">
        <v>1686</v>
      </c>
      <c r="B338" s="653" t="str">
        <f t="shared" ref="B338:G338" ca="1" si="79">IFERROR(B318*B335,"NPA")</f>
        <v>NPA</v>
      </c>
      <c r="C338" s="653" t="str">
        <f t="shared" ca="1" si="79"/>
        <v>NPA</v>
      </c>
      <c r="D338" s="653" t="str">
        <f t="shared" ca="1" si="79"/>
        <v>NPA</v>
      </c>
      <c r="E338" s="653" t="str">
        <f t="shared" ca="1" si="79"/>
        <v>NPA</v>
      </c>
      <c r="F338" s="653" t="str">
        <f t="shared" ca="1" si="79"/>
        <v>NPA</v>
      </c>
      <c r="G338" s="653" t="str">
        <f t="shared" ca="1" si="79"/>
        <v>NPA</v>
      </c>
      <c r="H338" s="171"/>
      <c r="I338" s="171"/>
      <c r="J338" s="100"/>
      <c r="K338" s="100"/>
      <c r="L338" s="101"/>
      <c r="M338" s="171"/>
      <c r="N338" s="100"/>
      <c r="O338" s="171"/>
      <c r="P338" s="171"/>
      <c r="Q338" s="171"/>
      <c r="R338" s="171"/>
      <c r="S338" s="171"/>
      <c r="T338" s="100"/>
      <c r="U338" s="101"/>
      <c r="V338" s="171"/>
      <c r="W338" s="100"/>
      <c r="X338" s="101"/>
      <c r="Y338" s="171"/>
      <c r="Z338" s="100"/>
      <c r="AA338" s="101"/>
      <c r="AB338" s="171"/>
      <c r="AC338" s="171"/>
      <c r="AD338" s="171"/>
      <c r="AE338" s="171"/>
      <c r="AF338" s="171"/>
      <c r="AG338" s="171"/>
      <c r="AH338" s="171"/>
      <c r="AI338" s="171"/>
      <c r="AJ338" s="171"/>
      <c r="AK338" s="171"/>
      <c r="AL338" s="171"/>
      <c r="AM338" s="171"/>
      <c r="AN338" s="171"/>
      <c r="AO338" s="171"/>
      <c r="AP338" s="171"/>
      <c r="AQ338" s="171"/>
      <c r="AR338" s="171"/>
      <c r="AS338" s="171"/>
      <c r="AT338" s="171"/>
      <c r="AU338" s="171"/>
    </row>
    <row r="339" spans="1:47" s="620" customFormat="1" ht="17.25" hidden="1" x14ac:dyDescent="0.25">
      <c r="A339" s="1499" t="s">
        <v>1688</v>
      </c>
      <c r="B339" s="653" t="str">
        <f t="shared" ref="B339:G339" ca="1" si="80">IFERROR(B318*B336,"NPA")</f>
        <v>NPA</v>
      </c>
      <c r="C339" s="653" t="str">
        <f t="shared" ca="1" si="80"/>
        <v>NPA</v>
      </c>
      <c r="D339" s="653" t="str">
        <f t="shared" ca="1" si="80"/>
        <v>NPA</v>
      </c>
      <c r="E339" s="653" t="str">
        <f t="shared" ca="1" si="80"/>
        <v>NPA</v>
      </c>
      <c r="F339" s="653" t="str">
        <f t="shared" ca="1" si="80"/>
        <v>NPA</v>
      </c>
      <c r="G339" s="653" t="str">
        <f t="shared" ca="1" si="80"/>
        <v>NPA</v>
      </c>
      <c r="H339" s="171"/>
      <c r="I339" s="171"/>
      <c r="J339" s="100"/>
      <c r="K339" s="100"/>
      <c r="L339" s="101"/>
      <c r="M339" s="171"/>
      <c r="N339" s="100"/>
      <c r="O339" s="171"/>
      <c r="P339" s="171"/>
      <c r="Q339" s="171"/>
      <c r="R339" s="171"/>
      <c r="S339" s="171"/>
      <c r="T339" s="100"/>
      <c r="U339" s="101"/>
      <c r="V339" s="171"/>
      <c r="W339" s="100"/>
      <c r="X339" s="101"/>
      <c r="Y339" s="171"/>
      <c r="Z339" s="100"/>
      <c r="AA339" s="101"/>
      <c r="AB339" s="171"/>
      <c r="AC339" s="171"/>
      <c r="AD339" s="171"/>
      <c r="AE339" s="171"/>
      <c r="AF339" s="171"/>
      <c r="AG339" s="171"/>
      <c r="AH339" s="171"/>
      <c r="AI339" s="171"/>
      <c r="AJ339" s="171"/>
      <c r="AK339" s="171"/>
      <c r="AL339" s="171"/>
      <c r="AM339" s="171"/>
      <c r="AN339" s="171"/>
      <c r="AO339" s="171"/>
      <c r="AP339" s="171"/>
      <c r="AQ339" s="171"/>
      <c r="AR339" s="171"/>
      <c r="AS339" s="171"/>
      <c r="AT339" s="171"/>
      <c r="AU339" s="171"/>
    </row>
    <row r="340" spans="1:47" s="620" customFormat="1" ht="17.25" hidden="1" x14ac:dyDescent="0.25">
      <c r="A340" s="1500" t="s">
        <v>1685</v>
      </c>
      <c r="B340" s="653" t="str">
        <f t="shared" ref="B340:G340" ca="1" si="81">IFERROR(B334*B324,"NPA")</f>
        <v>NPA</v>
      </c>
      <c r="C340" s="653" t="str">
        <f t="shared" ca="1" si="81"/>
        <v>NPA</v>
      </c>
      <c r="D340" s="653" t="str">
        <f t="shared" ca="1" si="81"/>
        <v>NPA</v>
      </c>
      <c r="E340" s="653" t="str">
        <f t="shared" ca="1" si="81"/>
        <v>NPA</v>
      </c>
      <c r="F340" s="653" t="str">
        <f t="shared" ca="1" si="81"/>
        <v>NPA</v>
      </c>
      <c r="G340" s="653" t="str">
        <f t="shared" ca="1" si="81"/>
        <v>NPA</v>
      </c>
      <c r="H340" s="171"/>
      <c r="I340" s="171"/>
      <c r="J340" s="100"/>
      <c r="K340" s="100"/>
      <c r="L340" s="101"/>
      <c r="M340" s="171"/>
      <c r="N340" s="100"/>
      <c r="O340" s="171"/>
      <c r="P340" s="171"/>
      <c r="Q340" s="171"/>
      <c r="R340" s="171"/>
      <c r="S340" s="171"/>
      <c r="T340" s="100"/>
      <c r="U340" s="101"/>
      <c r="V340" s="171"/>
      <c r="W340" s="100"/>
      <c r="X340" s="101"/>
      <c r="Y340" s="171"/>
      <c r="Z340" s="100"/>
      <c r="AA340" s="101"/>
      <c r="AB340" s="171"/>
      <c r="AC340" s="171"/>
      <c r="AD340" s="171"/>
      <c r="AE340" s="171"/>
      <c r="AF340" s="171"/>
      <c r="AG340" s="171"/>
      <c r="AH340" s="171"/>
      <c r="AI340" s="171"/>
      <c r="AJ340" s="171"/>
      <c r="AK340" s="171"/>
      <c r="AL340" s="171"/>
      <c r="AM340" s="171"/>
      <c r="AN340" s="171"/>
      <c r="AO340" s="171"/>
      <c r="AP340" s="171"/>
      <c r="AQ340" s="171"/>
      <c r="AR340" s="171"/>
      <c r="AS340" s="171"/>
      <c r="AT340" s="171"/>
      <c r="AU340" s="171"/>
    </row>
    <row r="341" spans="1:47" s="620" customFormat="1" ht="17.25" hidden="1" x14ac:dyDescent="0.25">
      <c r="A341" s="1500" t="s">
        <v>1687</v>
      </c>
      <c r="B341" s="653">
        <f t="shared" ref="B341:G341" ca="1" si="82">IFERROR(B324*B335,"NPA")</f>
        <v>0</v>
      </c>
      <c r="C341" s="653" t="str">
        <f t="shared" ca="1" si="82"/>
        <v>NPA</v>
      </c>
      <c r="D341" s="653" t="str">
        <f t="shared" ca="1" si="82"/>
        <v>NPA</v>
      </c>
      <c r="E341" s="653" t="str">
        <f t="shared" ca="1" si="82"/>
        <v>NPA</v>
      </c>
      <c r="F341" s="653" t="str">
        <f t="shared" ca="1" si="82"/>
        <v>NPA</v>
      </c>
      <c r="G341" s="653" t="str">
        <f t="shared" ca="1" si="82"/>
        <v>NPA</v>
      </c>
      <c r="H341" s="171"/>
      <c r="I341" s="171"/>
      <c r="J341" s="100"/>
      <c r="K341" s="100"/>
      <c r="L341" s="101"/>
      <c r="M341" s="171"/>
      <c r="N341" s="100"/>
      <c r="O341" s="171"/>
      <c r="P341" s="171"/>
      <c r="Q341" s="171"/>
      <c r="R341" s="171"/>
      <c r="S341" s="171"/>
      <c r="T341" s="100"/>
      <c r="U341" s="101"/>
      <c r="V341" s="171"/>
      <c r="W341" s="100"/>
      <c r="X341" s="101"/>
      <c r="Y341" s="171"/>
      <c r="Z341" s="100"/>
      <c r="AA341" s="101"/>
      <c r="AB341" s="171"/>
      <c r="AC341" s="171"/>
      <c r="AD341" s="171"/>
      <c r="AE341" s="171"/>
      <c r="AF341" s="171"/>
      <c r="AG341" s="171"/>
      <c r="AH341" s="171"/>
      <c r="AI341" s="171"/>
      <c r="AJ341" s="171"/>
      <c r="AK341" s="171"/>
      <c r="AL341" s="171"/>
      <c r="AM341" s="171"/>
      <c r="AN341" s="171"/>
      <c r="AO341" s="171"/>
      <c r="AP341" s="171"/>
      <c r="AQ341" s="171"/>
      <c r="AR341" s="171"/>
      <c r="AS341" s="171"/>
      <c r="AT341" s="171"/>
      <c r="AU341" s="171"/>
    </row>
    <row r="342" spans="1:47" s="620" customFormat="1" ht="18" hidden="1" thickBot="1" x14ac:dyDescent="0.3">
      <c r="A342" s="1501" t="s">
        <v>1689</v>
      </c>
      <c r="B342" s="1191">
        <f t="shared" ref="B342:G342" ca="1" si="83">IFERROR(B324*B336,"NPA")</f>
        <v>0</v>
      </c>
      <c r="C342" s="1191" t="str">
        <f t="shared" ca="1" si="83"/>
        <v>NPA</v>
      </c>
      <c r="D342" s="1191" t="str">
        <f t="shared" ca="1" si="83"/>
        <v>NPA</v>
      </c>
      <c r="E342" s="1191" t="str">
        <f t="shared" ca="1" si="83"/>
        <v>NPA</v>
      </c>
      <c r="F342" s="1191" t="str">
        <f t="shared" ca="1" si="83"/>
        <v>NPA</v>
      </c>
      <c r="G342" s="1191" t="str">
        <f t="shared" ca="1" si="83"/>
        <v>NPA</v>
      </c>
      <c r="H342" s="171"/>
      <c r="I342" s="171"/>
      <c r="J342" s="100"/>
      <c r="K342" s="100"/>
      <c r="L342" s="101"/>
      <c r="M342" s="171"/>
      <c r="N342" s="100"/>
      <c r="O342" s="171"/>
      <c r="P342" s="171"/>
      <c r="Q342" s="171"/>
      <c r="R342" s="171"/>
      <c r="S342" s="171"/>
      <c r="T342" s="100"/>
      <c r="U342" s="101"/>
      <c r="V342" s="171"/>
      <c r="W342" s="100"/>
      <c r="X342" s="101"/>
      <c r="Y342" s="171"/>
      <c r="Z342" s="100"/>
      <c r="AA342" s="101"/>
      <c r="AB342" s="171"/>
      <c r="AC342" s="171"/>
      <c r="AD342" s="171"/>
      <c r="AE342" s="171"/>
      <c r="AF342" s="171"/>
      <c r="AG342" s="171"/>
      <c r="AH342" s="171"/>
      <c r="AI342" s="171"/>
      <c r="AJ342" s="171"/>
      <c r="AK342" s="171"/>
      <c r="AL342" s="171"/>
      <c r="AM342" s="171"/>
      <c r="AN342" s="171"/>
      <c r="AO342" s="171"/>
      <c r="AP342" s="171"/>
      <c r="AQ342" s="171"/>
      <c r="AR342" s="171"/>
      <c r="AS342" s="171"/>
      <c r="AT342" s="171"/>
      <c r="AU342" s="171"/>
    </row>
    <row r="343" spans="1:47" s="620" customFormat="1" ht="4.5" hidden="1" customHeight="1" thickBot="1" x14ac:dyDescent="0.3">
      <c r="A343" s="1193"/>
      <c r="B343" s="1194"/>
      <c r="C343" s="1194"/>
      <c r="D343" s="1194"/>
      <c r="E343" s="1194"/>
      <c r="F343" s="1194"/>
      <c r="G343" s="1195"/>
      <c r="H343" s="171"/>
      <c r="I343" s="171"/>
      <c r="J343" s="100"/>
      <c r="K343" s="100"/>
      <c r="L343" s="101"/>
      <c r="M343" s="171"/>
      <c r="N343" s="100"/>
      <c r="O343" s="171"/>
      <c r="P343" s="171"/>
      <c r="Q343" s="171"/>
      <c r="R343" s="171"/>
      <c r="S343" s="171"/>
      <c r="T343" s="100"/>
      <c r="U343" s="101"/>
      <c r="V343" s="171"/>
      <c r="W343" s="100"/>
      <c r="X343" s="101"/>
      <c r="Y343" s="171"/>
      <c r="Z343" s="100"/>
      <c r="AA343" s="101"/>
      <c r="AB343" s="171"/>
      <c r="AC343" s="171"/>
      <c r="AD343" s="171"/>
      <c r="AE343" s="171"/>
      <c r="AF343" s="171"/>
      <c r="AG343" s="171"/>
      <c r="AH343" s="171"/>
      <c r="AI343" s="171"/>
      <c r="AJ343" s="171"/>
      <c r="AK343" s="171"/>
      <c r="AL343" s="171"/>
      <c r="AM343" s="171"/>
      <c r="AN343" s="171"/>
      <c r="AO343" s="171"/>
      <c r="AP343" s="171"/>
      <c r="AQ343" s="171"/>
      <c r="AR343" s="171"/>
      <c r="AS343" s="171"/>
      <c r="AT343" s="171"/>
      <c r="AU343" s="171"/>
    </row>
    <row r="344" spans="1:47" s="620" customFormat="1" ht="15.75" hidden="1" thickBot="1" x14ac:dyDescent="0.3">
      <c r="A344" s="2496" t="s">
        <v>1654</v>
      </c>
      <c r="B344" s="2497"/>
      <c r="C344" s="2497"/>
      <c r="D344" s="2497"/>
      <c r="E344" s="2497"/>
      <c r="F344" s="2497"/>
      <c r="G344" s="2498"/>
      <c r="H344" s="171"/>
      <c r="I344" s="171"/>
      <c r="J344" s="100"/>
      <c r="K344" s="100"/>
      <c r="L344" s="101"/>
      <c r="M344" s="171"/>
      <c r="N344" s="100"/>
      <c r="O344" s="171"/>
      <c r="P344" s="171"/>
      <c r="Q344" s="171"/>
      <c r="R344" s="171"/>
      <c r="S344" s="171"/>
      <c r="T344" s="100"/>
      <c r="U344" s="101"/>
      <c r="V344" s="171"/>
      <c r="W344" s="100"/>
      <c r="X344" s="101"/>
      <c r="Y344" s="171"/>
      <c r="Z344" s="100"/>
      <c r="AA344" s="101"/>
      <c r="AB344" s="171"/>
      <c r="AC344" s="171"/>
      <c r="AD344" s="171"/>
      <c r="AE344" s="171"/>
      <c r="AF344" s="171"/>
      <c r="AG344" s="171"/>
      <c r="AH344" s="171"/>
      <c r="AI344" s="171"/>
      <c r="AJ344" s="171"/>
      <c r="AK344" s="171"/>
      <c r="AL344" s="171"/>
      <c r="AM344" s="171"/>
      <c r="AN344" s="171"/>
      <c r="AO344" s="171"/>
      <c r="AP344" s="171"/>
      <c r="AQ344" s="171"/>
      <c r="AR344" s="171"/>
      <c r="AS344" s="171"/>
      <c r="AT344" s="171"/>
      <c r="AU344" s="171"/>
    </row>
    <row r="345" spans="1:47" s="620" customFormat="1" hidden="1" x14ac:dyDescent="0.25">
      <c r="A345" s="1193" t="s">
        <v>1656</v>
      </c>
      <c r="B345" s="1497" t="str">
        <f>B294</f>
        <v>mGy.cm2 calculado Ddisp1.A10</v>
      </c>
      <c r="C345" s="1491" t="str">
        <f>B345</f>
        <v>mGy.cm2 calculado Ddisp1.A10</v>
      </c>
      <c r="D345" s="1491" t="str">
        <f>C345</f>
        <v>mGy.cm2 calculado Ddisp1.A10</v>
      </c>
      <c r="E345" s="1491" t="str">
        <f>D345</f>
        <v>mGy.cm2 calculado Ddisp1.A10</v>
      </c>
      <c r="F345" s="1491" t="str">
        <f>E345</f>
        <v>mGy.cm2 calculado Ddisp1.A10</v>
      </c>
      <c r="G345" s="1491" t="str">
        <f>F345</f>
        <v>mGy.cm2 calculado Ddisp1.A10</v>
      </c>
      <c r="H345" s="171"/>
      <c r="I345" s="171"/>
      <c r="J345" s="100"/>
      <c r="K345" s="100"/>
      <c r="L345" s="101"/>
      <c r="M345" s="171"/>
      <c r="N345" s="100"/>
      <c r="O345" s="171"/>
      <c r="P345" s="171"/>
      <c r="Q345" s="171"/>
      <c r="R345" s="171"/>
      <c r="S345" s="171"/>
      <c r="T345" s="100"/>
      <c r="U345" s="101"/>
      <c r="V345" s="171"/>
      <c r="W345" s="100"/>
      <c r="X345" s="101"/>
      <c r="Y345" s="171"/>
      <c r="Z345" s="100"/>
      <c r="AA345" s="101"/>
      <c r="AB345" s="171"/>
      <c r="AC345" s="171"/>
      <c r="AD345" s="171"/>
      <c r="AE345" s="171"/>
      <c r="AF345" s="171"/>
      <c r="AG345" s="171"/>
      <c r="AH345" s="171"/>
      <c r="AI345" s="171"/>
      <c r="AJ345" s="171"/>
      <c r="AK345" s="171"/>
      <c r="AL345" s="171"/>
      <c r="AM345" s="171"/>
      <c r="AN345" s="171"/>
      <c r="AO345" s="171"/>
      <c r="AP345" s="171"/>
      <c r="AQ345" s="171"/>
      <c r="AR345" s="171"/>
      <c r="AS345" s="171"/>
      <c r="AT345" s="171"/>
      <c r="AU345" s="171"/>
    </row>
    <row r="346" spans="1:47" s="620" customFormat="1" ht="17.25" hidden="1" x14ac:dyDescent="0.25">
      <c r="A346" s="1480" t="s">
        <v>1657</v>
      </c>
      <c r="B346" s="1213">
        <f t="shared" ref="B346:G346" si="84">B330</f>
        <v>0</v>
      </c>
      <c r="C346" s="1213">
        <f t="shared" si="84"/>
        <v>0</v>
      </c>
      <c r="D346" s="1213">
        <f t="shared" si="84"/>
        <v>0</v>
      </c>
      <c r="E346" s="1213">
        <f t="shared" si="84"/>
        <v>0</v>
      </c>
      <c r="F346" s="1213">
        <f t="shared" si="84"/>
        <v>0</v>
      </c>
      <c r="G346" s="1213">
        <f t="shared" si="84"/>
        <v>0</v>
      </c>
      <c r="H346" s="171"/>
      <c r="I346" s="171"/>
      <c r="J346" s="100"/>
      <c r="K346" s="100"/>
      <c r="L346" s="101"/>
      <c r="M346" s="171"/>
      <c r="N346" s="100"/>
      <c r="O346" s="171"/>
      <c r="P346" s="171"/>
      <c r="Q346" s="171"/>
      <c r="R346" s="171"/>
      <c r="S346" s="171"/>
      <c r="T346" s="100"/>
      <c r="U346" s="101"/>
      <c r="V346" s="171"/>
      <c r="W346" s="100"/>
      <c r="X346" s="101"/>
      <c r="Y346" s="171"/>
      <c r="Z346" s="100"/>
      <c r="AA346" s="101"/>
      <c r="AB346" s="171"/>
      <c r="AC346" s="171"/>
      <c r="AD346" s="171"/>
      <c r="AE346" s="171"/>
      <c r="AF346" s="171"/>
      <c r="AG346" s="171"/>
      <c r="AH346" s="171"/>
      <c r="AI346" s="171"/>
      <c r="AJ346" s="171"/>
      <c r="AK346" s="171"/>
      <c r="AL346" s="171"/>
      <c r="AM346" s="171"/>
      <c r="AN346" s="171"/>
      <c r="AO346" s="171"/>
      <c r="AP346" s="171"/>
      <c r="AQ346" s="171"/>
      <c r="AR346" s="171"/>
      <c r="AS346" s="171"/>
      <c r="AT346" s="171"/>
      <c r="AU346" s="171"/>
    </row>
    <row r="347" spans="1:47" s="620" customFormat="1" ht="17.25" hidden="1" x14ac:dyDescent="0.25">
      <c r="A347" s="1481" t="s">
        <v>1658</v>
      </c>
      <c r="B347" s="1196" t="str">
        <f t="shared" ref="B347:G347" ca="1" si="85">VLOOKUP($B345,$A337:$G342,COLUMN())</f>
        <v>NPA</v>
      </c>
      <c r="C347" s="1196" t="str">
        <f t="shared" ca="1" si="85"/>
        <v>NPA</v>
      </c>
      <c r="D347" s="1196" t="str">
        <f t="shared" ca="1" si="85"/>
        <v>NPA</v>
      </c>
      <c r="E347" s="1196" t="str">
        <f t="shared" ca="1" si="85"/>
        <v>NPA</v>
      </c>
      <c r="F347" s="1196" t="str">
        <f t="shared" ca="1" si="85"/>
        <v>NPA</v>
      </c>
      <c r="G347" s="1196" t="str">
        <f t="shared" ca="1" si="85"/>
        <v>NPA</v>
      </c>
      <c r="H347" s="171"/>
      <c r="I347" s="171"/>
      <c r="J347" s="100"/>
      <c r="K347" s="100"/>
      <c r="L347" s="101"/>
      <c r="M347" s="171"/>
      <c r="N347" s="100"/>
      <c r="O347" s="171"/>
      <c r="P347" s="171"/>
      <c r="Q347" s="171"/>
      <c r="R347" s="171"/>
      <c r="S347" s="171"/>
      <c r="T347" s="100"/>
      <c r="U347" s="101"/>
      <c r="V347" s="171"/>
      <c r="W347" s="100"/>
      <c r="X347" s="101"/>
      <c r="Y347" s="171"/>
      <c r="Z347" s="100"/>
      <c r="AA347" s="101"/>
      <c r="AB347" s="171"/>
      <c r="AC347" s="171"/>
      <c r="AD347" s="171"/>
      <c r="AE347" s="171"/>
      <c r="AF347" s="171"/>
      <c r="AG347" s="171"/>
      <c r="AH347" s="171"/>
      <c r="AI347" s="171"/>
      <c r="AJ347" s="171"/>
      <c r="AK347" s="171"/>
      <c r="AL347" s="171"/>
      <c r="AM347" s="171"/>
      <c r="AN347" s="171"/>
      <c r="AO347" s="171"/>
      <c r="AP347" s="171"/>
      <c r="AQ347" s="171"/>
      <c r="AR347" s="171"/>
      <c r="AS347" s="171"/>
      <c r="AT347" s="171"/>
      <c r="AU347" s="171"/>
    </row>
    <row r="348" spans="1:47" s="620" customFormat="1" x14ac:dyDescent="0.25">
      <c r="A348" s="140" t="s">
        <v>1700</v>
      </c>
      <c r="B348" s="1196">
        <v>1</v>
      </c>
      <c r="C348" s="1196">
        <f>B348</f>
        <v>1</v>
      </c>
      <c r="D348" s="1196">
        <f>C348</f>
        <v>1</v>
      </c>
      <c r="E348" s="1196">
        <f>D348</f>
        <v>1</v>
      </c>
      <c r="F348" s="1196">
        <f>E348</f>
        <v>1</v>
      </c>
      <c r="G348" s="1196">
        <f>F348</f>
        <v>1</v>
      </c>
      <c r="H348" s="171" t="s">
        <v>1647</v>
      </c>
      <c r="J348" s="100"/>
      <c r="K348" s="100"/>
      <c r="L348" s="101"/>
      <c r="M348" s="171"/>
      <c r="N348" s="100"/>
      <c r="O348" s="171"/>
      <c r="P348" s="171"/>
      <c r="Q348" s="171"/>
      <c r="R348" s="171"/>
      <c r="S348" s="171"/>
      <c r="T348" s="100"/>
      <c r="U348" s="101"/>
      <c r="V348" s="171"/>
      <c r="W348" s="100"/>
      <c r="X348" s="101"/>
      <c r="Y348" s="171"/>
      <c r="Z348" s="100"/>
      <c r="AA348" s="101"/>
      <c r="AB348" s="171"/>
      <c r="AC348" s="171"/>
      <c r="AD348" s="171"/>
      <c r="AE348" s="171"/>
      <c r="AF348" s="171"/>
      <c r="AG348" s="171"/>
      <c r="AH348" s="171"/>
      <c r="AI348" s="171"/>
      <c r="AJ348" s="171"/>
      <c r="AK348" s="171"/>
      <c r="AL348" s="171"/>
      <c r="AM348" s="171"/>
      <c r="AN348" s="171"/>
      <c r="AO348" s="171"/>
      <c r="AP348" s="171"/>
      <c r="AQ348" s="171"/>
      <c r="AR348" s="171"/>
      <c r="AS348" s="171"/>
      <c r="AT348" s="171"/>
      <c r="AU348" s="171"/>
    </row>
    <row r="349" spans="1:47" s="620" customFormat="1" hidden="1" x14ac:dyDescent="0.25">
      <c r="A349" s="1504" t="s">
        <v>1683</v>
      </c>
      <c r="B349" s="1505" t="e">
        <f t="shared" ref="B349:G349" ca="1" si="86">ROUNDDOWN(ABS(B347/(B346*B348)-1)*100,2)</f>
        <v>#VALUE!</v>
      </c>
      <c r="C349" s="1505" t="e">
        <f t="shared" ca="1" si="86"/>
        <v>#VALUE!</v>
      </c>
      <c r="D349" s="1505" t="e">
        <f t="shared" ca="1" si="86"/>
        <v>#VALUE!</v>
      </c>
      <c r="E349" s="1505" t="e">
        <f t="shared" ca="1" si="86"/>
        <v>#VALUE!</v>
      </c>
      <c r="F349" s="1505" t="e">
        <f t="shared" ca="1" si="86"/>
        <v>#VALUE!</v>
      </c>
      <c r="G349" s="1505" t="e">
        <f t="shared" ca="1" si="86"/>
        <v>#VALUE!</v>
      </c>
      <c r="H349" s="171"/>
      <c r="I349" s="171"/>
      <c r="J349" s="100"/>
      <c r="K349" s="100"/>
      <c r="L349" s="101"/>
      <c r="M349" s="171"/>
      <c r="N349" s="100"/>
      <c r="O349" s="171"/>
      <c r="P349" s="171"/>
      <c r="Q349" s="171"/>
      <c r="R349" s="171"/>
      <c r="S349" s="171"/>
      <c r="T349" s="100"/>
      <c r="U349" s="101"/>
      <c r="V349" s="171"/>
      <c r="W349" s="100"/>
      <c r="X349" s="101"/>
      <c r="Y349" s="171"/>
      <c r="Z349" s="100"/>
      <c r="AA349" s="101"/>
      <c r="AB349" s="171"/>
      <c r="AC349" s="171"/>
      <c r="AD349" s="171"/>
      <c r="AE349" s="171"/>
      <c r="AF349" s="171"/>
      <c r="AG349" s="171"/>
      <c r="AH349" s="171"/>
      <c r="AI349" s="171"/>
      <c r="AJ349" s="171"/>
      <c r="AK349" s="171"/>
      <c r="AL349" s="171"/>
      <c r="AM349" s="171"/>
      <c r="AN349" s="171"/>
      <c r="AO349" s="171"/>
      <c r="AP349" s="171"/>
      <c r="AQ349" s="171"/>
      <c r="AR349" s="171"/>
      <c r="AS349" s="171"/>
      <c r="AT349" s="171"/>
      <c r="AU349" s="171"/>
    </row>
    <row r="350" spans="1:47" s="620" customFormat="1" hidden="1" x14ac:dyDescent="0.25">
      <c r="A350" s="1506" t="str">
        <f>$B$1</f>
        <v>IN 91</v>
      </c>
      <c r="B350" s="1507" t="str">
        <f t="shared" ref="B350:G350" ca="1" si="87">IFERROR(IF(ROUNDDOWN(ABS(B347/(B346*B348)-1),2)&lt;=0.2,"Sim",IF(ROUNDDOWN(ABS(B347/(B346*B348)-1),2)&lt;0.4,"Não","Restrição")),"NPA")</f>
        <v>NPA</v>
      </c>
      <c r="C350" s="1507" t="str">
        <f t="shared" ca="1" si="87"/>
        <v>NPA</v>
      </c>
      <c r="D350" s="1507" t="str">
        <f t="shared" ca="1" si="87"/>
        <v>NPA</v>
      </c>
      <c r="E350" s="1507" t="str">
        <f t="shared" ca="1" si="87"/>
        <v>NPA</v>
      </c>
      <c r="F350" s="1507" t="str">
        <f t="shared" ca="1" si="87"/>
        <v>NPA</v>
      </c>
      <c r="G350" s="1507" t="str">
        <f t="shared" ca="1" si="87"/>
        <v>NPA</v>
      </c>
      <c r="H350" s="171"/>
      <c r="I350" s="171"/>
      <c r="J350" s="101"/>
      <c r="K350" s="171"/>
      <c r="L350" s="101"/>
      <c r="M350" s="171"/>
      <c r="N350" s="100"/>
      <c r="O350" s="171"/>
      <c r="P350" s="171"/>
      <c r="Q350" s="171"/>
      <c r="R350" s="171"/>
      <c r="S350" s="171"/>
      <c r="T350" s="100"/>
      <c r="U350" s="101"/>
      <c r="V350" s="171"/>
      <c r="W350" s="100"/>
      <c r="X350" s="101"/>
      <c r="Y350" s="171"/>
      <c r="Z350" s="100"/>
      <c r="AA350" s="101"/>
      <c r="AB350" s="171"/>
      <c r="AC350" s="171"/>
      <c r="AD350" s="171"/>
      <c r="AE350" s="171"/>
      <c r="AF350" s="171"/>
      <c r="AG350" s="171"/>
      <c r="AH350" s="171"/>
      <c r="AI350" s="171"/>
      <c r="AJ350" s="171"/>
      <c r="AK350" s="171"/>
      <c r="AL350" s="171"/>
      <c r="AM350" s="171"/>
      <c r="AN350" s="171"/>
      <c r="AO350" s="171"/>
      <c r="AP350" s="171"/>
      <c r="AQ350" s="171"/>
      <c r="AR350" s="171"/>
      <c r="AS350" s="171"/>
      <c r="AT350" s="171"/>
      <c r="AU350" s="171"/>
    </row>
    <row r="351" spans="1:47" s="171" customFormat="1" ht="3.6" hidden="1" customHeight="1" x14ac:dyDescent="0.25">
      <c r="A351" s="1508"/>
      <c r="B351" s="1509"/>
      <c r="C351" s="1509"/>
      <c r="D351" s="1509"/>
      <c r="E351" s="1509"/>
      <c r="F351" s="1509"/>
      <c r="G351" s="1510"/>
      <c r="J351" s="101"/>
      <c r="L351" s="101"/>
      <c r="N351" s="100"/>
      <c r="T351" s="100"/>
      <c r="U351" s="101"/>
      <c r="W351" s="100"/>
      <c r="X351" s="101"/>
      <c r="Z351" s="100"/>
      <c r="AA351" s="101"/>
    </row>
    <row r="352" spans="1:47" s="171" customFormat="1" ht="15.75" hidden="1" thickBot="1" x14ac:dyDescent="0.3">
      <c r="A352" s="2524" t="s">
        <v>1659</v>
      </c>
      <c r="B352" s="2525"/>
      <c r="C352" s="2525"/>
      <c r="D352" s="2525"/>
      <c r="E352" s="2525"/>
      <c r="F352" s="2525"/>
      <c r="G352" s="2526"/>
      <c r="J352" s="101"/>
      <c r="L352" s="101"/>
      <c r="N352" s="100"/>
      <c r="T352" s="100"/>
      <c r="U352" s="101"/>
      <c r="W352" s="100"/>
      <c r="X352" s="101"/>
      <c r="Z352" s="100"/>
      <c r="AA352" s="101"/>
    </row>
    <row r="353" spans="1:47" s="171" customFormat="1" hidden="1" x14ac:dyDescent="0.25">
      <c r="A353" s="1511" t="s">
        <v>1660</v>
      </c>
      <c r="B353" s="1512" t="e">
        <f t="shared" ref="B353:G353" ca="1" si="88">ROUNDDOWN(100*ABS((B324/B348*($D$147/$D$144)^2)/B332-1),2)</f>
        <v>#DIV/0!</v>
      </c>
      <c r="C353" s="1512" t="e">
        <f t="shared" ca="1" si="88"/>
        <v>#VALUE!</v>
      </c>
      <c r="D353" s="1512" t="e">
        <f t="shared" ca="1" si="88"/>
        <v>#VALUE!</v>
      </c>
      <c r="E353" s="1512" t="e">
        <f t="shared" ca="1" si="88"/>
        <v>#VALUE!</v>
      </c>
      <c r="F353" s="1512" t="e">
        <f t="shared" ca="1" si="88"/>
        <v>#VALUE!</v>
      </c>
      <c r="G353" s="1512" t="e">
        <f t="shared" ca="1" si="88"/>
        <v>#VALUE!</v>
      </c>
      <c r="J353" s="101"/>
      <c r="L353" s="101"/>
      <c r="N353" s="100"/>
      <c r="T353" s="100"/>
      <c r="U353" s="101"/>
      <c r="W353" s="100"/>
      <c r="X353" s="101"/>
      <c r="Z353" s="100"/>
      <c r="AA353" s="101"/>
    </row>
    <row r="354" spans="1:47" s="171" customFormat="1" hidden="1" x14ac:dyDescent="0.25">
      <c r="A354" s="1506" t="str">
        <f>$B$1</f>
        <v>IN 91</v>
      </c>
      <c r="B354" s="1507" t="str">
        <f t="shared" ref="B354:G354" ca="1" si="89">IFERROR(IF(ROUNDDOWN(ABS((B324/B348*($D$147/$D$144)^2)/B332-1),2)&lt;=0.2,"Sim",IF(ROUNDDOWN(ABS((B324/B348*($D$147/$D$144)^2)/B332-1),2)&lt;0.4,"Não","Restrição")),"NPA")</f>
        <v>NPA</v>
      </c>
      <c r="C354" s="1507" t="str">
        <f t="shared" ca="1" si="89"/>
        <v>NPA</v>
      </c>
      <c r="D354" s="1507" t="str">
        <f t="shared" ca="1" si="89"/>
        <v>NPA</v>
      </c>
      <c r="E354" s="1507" t="str">
        <f t="shared" ca="1" si="89"/>
        <v>NPA</v>
      </c>
      <c r="F354" s="1507" t="str">
        <f t="shared" ca="1" si="89"/>
        <v>NPA</v>
      </c>
      <c r="G354" s="1507" t="str">
        <f t="shared" ca="1" si="89"/>
        <v>NPA</v>
      </c>
      <c r="J354" s="101"/>
      <c r="L354" s="101"/>
      <c r="N354" s="100"/>
      <c r="T354" s="100"/>
      <c r="U354" s="101"/>
      <c r="W354" s="100"/>
      <c r="X354" s="101"/>
      <c r="Z354" s="100"/>
      <c r="AA354" s="101"/>
    </row>
    <row r="355" spans="1:47" s="620" customFormat="1" ht="3.6" hidden="1" customHeight="1" thickBot="1" x14ac:dyDescent="0.3">
      <c r="A355" s="1508"/>
      <c r="B355" s="1509"/>
      <c r="C355" s="1509"/>
      <c r="D355" s="1509"/>
      <c r="E355" s="1509"/>
      <c r="F355" s="1509"/>
      <c r="G355" s="1510"/>
      <c r="H355" s="171"/>
      <c r="I355" s="171"/>
      <c r="J355" s="100"/>
      <c r="K355" s="100"/>
      <c r="L355" s="101"/>
      <c r="M355" s="171"/>
      <c r="N355" s="100"/>
      <c r="O355" s="171"/>
      <c r="P355" s="171"/>
      <c r="Q355" s="171"/>
      <c r="R355" s="171"/>
      <c r="S355" s="171"/>
      <c r="T355" s="100"/>
      <c r="U355" s="101"/>
      <c r="V355" s="171"/>
      <c r="W355" s="100"/>
      <c r="X355" s="101"/>
      <c r="Y355" s="171"/>
      <c r="Z355" s="100"/>
      <c r="AA355" s="101"/>
      <c r="AB355" s="171"/>
      <c r="AC355" s="171"/>
      <c r="AD355" s="171"/>
      <c r="AE355" s="171"/>
      <c r="AF355" s="171"/>
      <c r="AG355" s="171"/>
      <c r="AH355" s="171"/>
      <c r="AI355" s="171"/>
      <c r="AJ355" s="171"/>
      <c r="AK355" s="171"/>
      <c r="AL355" s="171"/>
      <c r="AM355" s="171"/>
      <c r="AN355" s="171"/>
      <c r="AO355" s="171"/>
      <c r="AP355" s="171"/>
      <c r="AQ355" s="171"/>
      <c r="AR355" s="171"/>
      <c r="AS355" s="171"/>
      <c r="AT355" s="171"/>
      <c r="AU355" s="171"/>
    </row>
    <row r="356" spans="1:47" s="620" customFormat="1" hidden="1" x14ac:dyDescent="0.25">
      <c r="A356" s="2509" t="s">
        <v>1661</v>
      </c>
      <c r="B356" s="2510"/>
      <c r="C356" s="2510"/>
      <c r="D356" s="2510"/>
      <c r="E356" s="2510"/>
      <c r="F356" s="2510"/>
      <c r="G356" s="2511"/>
      <c r="H356" s="172"/>
      <c r="I356" s="171"/>
      <c r="J356" s="100"/>
      <c r="K356" s="100"/>
      <c r="L356" s="101"/>
      <c r="M356" s="171"/>
      <c r="N356" s="100"/>
      <c r="O356" s="171"/>
      <c r="P356" s="171"/>
      <c r="Q356" s="171"/>
      <c r="R356" s="171"/>
      <c r="S356" s="171"/>
      <c r="T356" s="100"/>
      <c r="U356" s="101"/>
      <c r="V356" s="171"/>
      <c r="W356" s="100"/>
      <c r="X356" s="101"/>
      <c r="Y356" s="171"/>
      <c r="Z356" s="100"/>
      <c r="AA356" s="101"/>
      <c r="AB356" s="171"/>
      <c r="AC356" s="171"/>
      <c r="AD356" s="171"/>
      <c r="AE356" s="171"/>
      <c r="AF356" s="171"/>
      <c r="AG356" s="171"/>
      <c r="AH356" s="171"/>
      <c r="AI356" s="171"/>
      <c r="AJ356" s="171"/>
      <c r="AK356" s="171"/>
      <c r="AL356" s="171"/>
      <c r="AM356" s="171"/>
      <c r="AN356" s="171"/>
      <c r="AO356" s="171"/>
      <c r="AP356" s="171"/>
      <c r="AQ356" s="171"/>
      <c r="AR356" s="171"/>
      <c r="AS356" s="171"/>
      <c r="AT356" s="171"/>
      <c r="AU356" s="171"/>
    </row>
    <row r="357" spans="1:47" s="620" customFormat="1" x14ac:dyDescent="0.25">
      <c r="A357" s="1513" t="s">
        <v>1662</v>
      </c>
      <c r="B357" s="1504">
        <f ca="1">IFERROR(ROUNDDOWN(B325/B348*60*($D$147/$D$144)^2,1),"NPA")</f>
        <v>0</v>
      </c>
      <c r="C357" s="1504" t="str">
        <f ca="1">IFERROR(ROUNDDOWN(C325*60*($D$147/$D$144)^2,1),"NPA")</f>
        <v>NPA</v>
      </c>
      <c r="D357" s="1504" t="str">
        <f ca="1">IFERROR(ROUNDDOWN(D325*60*($D$147/$D$144)^2,1),"NPA")</f>
        <v>NPA</v>
      </c>
      <c r="E357" s="1504" t="str">
        <f ca="1">IFERROR(ROUNDDOWN(E325*60*($D$147/$D$144)^2,1),"NPA")</f>
        <v>NPA</v>
      </c>
      <c r="F357" s="1504" t="str">
        <f ca="1">IFERROR(ROUNDDOWN(F325*60*($D$147/$D$144)^2,1),"NPA")</f>
        <v>NPA</v>
      </c>
      <c r="G357" s="1504" t="str">
        <f ca="1">IFERROR(ROUNDDOWN(G325*60*($D$147/$D$144)^2,1),"NPA")</f>
        <v>NPA</v>
      </c>
      <c r="H357" s="171"/>
      <c r="I357" s="171"/>
      <c r="J357" s="100"/>
      <c r="K357" s="100"/>
      <c r="L357" s="101"/>
      <c r="M357" s="171"/>
      <c r="N357" s="100"/>
      <c r="O357" s="171"/>
      <c r="P357" s="171"/>
      <c r="Q357" s="171"/>
      <c r="R357" s="171"/>
      <c r="S357" s="171"/>
      <c r="T357" s="100"/>
      <c r="U357" s="101"/>
      <c r="V357" s="171"/>
      <c r="W357" s="100"/>
      <c r="X357" s="101"/>
      <c r="Y357" s="171"/>
      <c r="Z357" s="100"/>
      <c r="AA357" s="101"/>
      <c r="AB357" s="171"/>
      <c r="AC357" s="171"/>
      <c r="AD357" s="171"/>
      <c r="AE357" s="171"/>
      <c r="AF357" s="171"/>
      <c r="AG357" s="171"/>
      <c r="AH357" s="171"/>
      <c r="AI357" s="171"/>
      <c r="AJ357" s="171"/>
      <c r="AK357" s="171"/>
      <c r="AL357" s="171"/>
      <c r="AM357" s="171"/>
      <c r="AN357" s="171"/>
      <c r="AO357" s="171"/>
      <c r="AP357" s="171"/>
      <c r="AQ357" s="171"/>
      <c r="AR357" s="171"/>
      <c r="AS357" s="171"/>
      <c r="AT357" s="171"/>
      <c r="AU357" s="171"/>
    </row>
    <row r="358" spans="1:47" s="620" customFormat="1" x14ac:dyDescent="0.25">
      <c r="A358" s="1506" t="str">
        <f>$B$1</f>
        <v>IN 91</v>
      </c>
      <c r="B358" s="1507" t="str">
        <f ca="1">IF(B357="NPA","NPA",IF(B357&gt;176,"Restrição",IF(AND($A$310="Modo Normal",B357&gt;88),"Não","Sim")))</f>
        <v>Sim</v>
      </c>
      <c r="C358" s="1507" t="str">
        <f t="shared" ref="C358:G358" ca="1" si="90">IF(C357="NPA","NPA",IF(C357&gt;176,"Restrição",IF(AND($A$310="Modo Normal",C357&gt;88),"Não","Sim")))</f>
        <v>NPA</v>
      </c>
      <c r="D358" s="1507" t="str">
        <f t="shared" ca="1" si="90"/>
        <v>NPA</v>
      </c>
      <c r="E358" s="1507" t="str">
        <f t="shared" ca="1" si="90"/>
        <v>NPA</v>
      </c>
      <c r="F358" s="1507" t="str">
        <f t="shared" ca="1" si="90"/>
        <v>NPA</v>
      </c>
      <c r="G358" s="1507" t="str">
        <f t="shared" ca="1" si="90"/>
        <v>NPA</v>
      </c>
      <c r="H358" s="171"/>
      <c r="I358" s="171"/>
      <c r="J358" s="100"/>
      <c r="K358" s="100"/>
      <c r="L358" s="101"/>
      <c r="M358" s="171"/>
      <c r="N358" s="100"/>
      <c r="O358" s="171"/>
      <c r="P358" s="171"/>
      <c r="Q358" s="171"/>
      <c r="R358" s="171"/>
      <c r="S358" s="171"/>
      <c r="T358" s="100"/>
      <c r="U358" s="101"/>
      <c r="V358" s="171"/>
      <c r="W358" s="100"/>
      <c r="X358" s="101"/>
      <c r="Y358" s="171"/>
      <c r="Z358" s="100"/>
      <c r="AA358" s="101"/>
      <c r="AB358" s="171"/>
      <c r="AC358" s="171"/>
      <c r="AD358" s="171"/>
      <c r="AE358" s="171"/>
      <c r="AF358" s="171"/>
      <c r="AG358" s="171"/>
      <c r="AH358" s="171"/>
      <c r="AI358" s="171"/>
      <c r="AJ358" s="171"/>
      <c r="AK358" s="171"/>
      <c r="AL358" s="171"/>
      <c r="AM358" s="171"/>
      <c r="AN358" s="171"/>
      <c r="AO358" s="171"/>
      <c r="AP358" s="171"/>
      <c r="AQ358" s="171"/>
      <c r="AR358" s="171"/>
      <c r="AS358" s="171"/>
      <c r="AT358" s="171"/>
      <c r="AU358" s="171"/>
    </row>
    <row r="359" spans="1:47" s="620" customFormat="1" x14ac:dyDescent="0.25">
      <c r="A359" s="100"/>
      <c r="B359" s="87"/>
      <c r="C359" s="171"/>
      <c r="D359" s="171"/>
      <c r="E359" s="171"/>
      <c r="F359" s="171"/>
      <c r="G359" s="101"/>
      <c r="H359" s="171"/>
      <c r="I359" s="171"/>
      <c r="J359" s="100"/>
      <c r="K359" s="100"/>
      <c r="L359" s="101"/>
      <c r="M359" s="171"/>
      <c r="N359" s="100"/>
      <c r="O359" s="171"/>
      <c r="P359" s="171"/>
      <c r="Q359" s="171"/>
      <c r="R359" s="171"/>
      <c r="S359" s="171"/>
      <c r="T359" s="100"/>
      <c r="U359" s="101"/>
      <c r="V359" s="171"/>
      <c r="W359" s="100"/>
      <c r="X359" s="101"/>
      <c r="Y359" s="171"/>
      <c r="Z359" s="100"/>
      <c r="AA359" s="101"/>
      <c r="AB359" s="171"/>
      <c r="AC359" s="171"/>
      <c r="AD359" s="171"/>
      <c r="AE359" s="171"/>
      <c r="AF359" s="171"/>
      <c r="AG359" s="171"/>
      <c r="AH359" s="171"/>
      <c r="AI359" s="171"/>
      <c r="AJ359" s="171"/>
      <c r="AK359" s="171"/>
      <c r="AL359" s="171"/>
      <c r="AM359" s="171"/>
      <c r="AN359" s="171"/>
      <c r="AO359" s="171"/>
      <c r="AP359" s="171"/>
      <c r="AQ359" s="171"/>
      <c r="AR359" s="171"/>
      <c r="AS359" s="171"/>
      <c r="AT359" s="171"/>
      <c r="AU359" s="171"/>
    </row>
    <row r="360" spans="1:47" s="171" customFormat="1" hidden="1" x14ac:dyDescent="0.25">
      <c r="A360" s="1421"/>
      <c r="B360" s="1479"/>
      <c r="C360" s="1479"/>
      <c r="D360" s="1479"/>
      <c r="E360" s="172"/>
      <c r="G360" s="101"/>
      <c r="J360" s="100"/>
      <c r="K360" s="100"/>
      <c r="L360" s="101"/>
      <c r="N360" s="100"/>
      <c r="T360" s="100"/>
      <c r="U360" s="101"/>
      <c r="W360" s="100"/>
      <c r="X360" s="101"/>
      <c r="Z360" s="100"/>
      <c r="AA360" s="101"/>
    </row>
    <row r="361" spans="1:47" s="620" customFormat="1" x14ac:dyDescent="0.25">
      <c r="A361" s="1492" t="s">
        <v>1670</v>
      </c>
      <c r="B361" s="2493" t="s">
        <v>1674</v>
      </c>
      <c r="C361" s="2494"/>
      <c r="D361" s="2494"/>
      <c r="E361" s="2495"/>
      <c r="F361" s="1628" t="s">
        <v>1792</v>
      </c>
      <c r="G361" s="1629"/>
      <c r="H361" s="171"/>
      <c r="I361" s="171"/>
      <c r="J361" s="100"/>
      <c r="K361" s="100"/>
      <c r="L361" s="101"/>
      <c r="M361" s="171"/>
      <c r="N361" s="100"/>
      <c r="O361" s="171"/>
      <c r="P361" s="171"/>
      <c r="Q361" s="171"/>
      <c r="R361" s="171"/>
      <c r="S361" s="171"/>
      <c r="T361" s="100"/>
      <c r="U361" s="101"/>
      <c r="V361" s="171"/>
      <c r="W361" s="100"/>
      <c r="X361" s="101"/>
      <c r="Y361" s="171"/>
      <c r="Z361" s="100"/>
      <c r="AA361" s="101"/>
      <c r="AB361" s="171"/>
      <c r="AC361" s="171"/>
      <c r="AD361" s="171"/>
      <c r="AE361" s="171"/>
      <c r="AF361" s="171"/>
      <c r="AG361" s="171"/>
      <c r="AH361" s="171"/>
      <c r="AI361" s="171"/>
      <c r="AJ361" s="171"/>
      <c r="AK361" s="171"/>
      <c r="AL361" s="171"/>
      <c r="AM361" s="171"/>
      <c r="AN361" s="171"/>
      <c r="AO361" s="171"/>
      <c r="AP361" s="171"/>
      <c r="AQ361" s="171"/>
      <c r="AR361" s="171"/>
      <c r="AS361" s="171"/>
      <c r="AT361" s="171"/>
      <c r="AU361" s="171"/>
    </row>
    <row r="362" spans="1:47" s="620" customFormat="1" x14ac:dyDescent="0.25">
      <c r="A362" s="1480" t="str">
        <f>CONCATENATE("tamanho do campo (",$B$129,")")</f>
        <v>tamanho do campo (cm)</v>
      </c>
      <c r="B362" s="1518">
        <f>$B$130</f>
        <v>23</v>
      </c>
      <c r="C362" s="1518">
        <f>$C$130</f>
        <v>0</v>
      </c>
      <c r="D362" s="1518">
        <f>$D$130</f>
        <v>0</v>
      </c>
      <c r="E362" s="1518">
        <f>$E$130</f>
        <v>0</v>
      </c>
      <c r="F362" s="1518">
        <f>$F$130</f>
        <v>0</v>
      </c>
      <c r="G362" s="1518">
        <f>$G$130</f>
        <v>0</v>
      </c>
      <c r="H362" s="171"/>
      <c r="I362" s="171"/>
      <c r="J362" s="100"/>
      <c r="K362" s="100"/>
      <c r="L362" s="101"/>
      <c r="M362" s="171"/>
      <c r="N362" s="100"/>
      <c r="O362" s="171"/>
      <c r="P362" s="171"/>
      <c r="Q362" s="171"/>
      <c r="R362" s="171"/>
      <c r="S362" s="171"/>
      <c r="T362" s="100"/>
      <c r="U362" s="101"/>
      <c r="V362" s="171"/>
      <c r="W362" s="100"/>
      <c r="X362" s="101"/>
      <c r="Y362" s="171"/>
      <c r="Z362" s="100"/>
      <c r="AA362" s="101"/>
      <c r="AB362" s="171"/>
      <c r="AC362" s="171"/>
      <c r="AD362" s="171"/>
      <c r="AE362" s="171"/>
      <c r="AF362" s="171"/>
      <c r="AG362" s="171"/>
      <c r="AH362" s="171"/>
      <c r="AI362" s="171"/>
      <c r="AJ362" s="171"/>
      <c r="AK362" s="171"/>
      <c r="AL362" s="171"/>
      <c r="AM362" s="171"/>
      <c r="AN362" s="171"/>
      <c r="AO362" s="171"/>
      <c r="AP362" s="171"/>
      <c r="AQ362" s="171"/>
      <c r="AR362" s="171"/>
      <c r="AS362" s="171"/>
      <c r="AT362" s="171"/>
      <c r="AU362" s="171"/>
    </row>
    <row r="363" spans="1:47" s="620" customFormat="1" x14ac:dyDescent="0.25">
      <c r="A363" s="1481" t="s">
        <v>1425</v>
      </c>
      <c r="B363" s="584"/>
      <c r="C363" s="584"/>
      <c r="D363" s="584"/>
      <c r="E363" s="584"/>
      <c r="F363" s="584"/>
      <c r="G363" s="584"/>
      <c r="H363" s="171"/>
      <c r="I363" s="171"/>
      <c r="J363" s="100"/>
      <c r="K363" s="100"/>
      <c r="L363" s="101"/>
      <c r="M363" s="171"/>
      <c r="N363" s="100"/>
      <c r="O363" s="171"/>
      <c r="P363" s="171"/>
      <c r="Q363" s="171"/>
      <c r="R363" s="171"/>
      <c r="S363" s="171"/>
      <c r="T363" s="100"/>
      <c r="U363" s="101"/>
      <c r="V363" s="171"/>
      <c r="W363" s="100"/>
      <c r="X363" s="101"/>
      <c r="Y363" s="171"/>
      <c r="Z363" s="100"/>
      <c r="AA363" s="101"/>
      <c r="AB363" s="171"/>
      <c r="AC363" s="171"/>
      <c r="AD363" s="171"/>
      <c r="AE363" s="171"/>
      <c r="AF363" s="171"/>
      <c r="AG363" s="171"/>
      <c r="AH363" s="171"/>
      <c r="AI363" s="171"/>
      <c r="AJ363" s="171"/>
      <c r="AK363" s="171"/>
      <c r="AL363" s="171"/>
      <c r="AM363" s="171"/>
      <c r="AN363" s="171"/>
      <c r="AO363" s="171"/>
      <c r="AP363" s="171"/>
      <c r="AQ363" s="171"/>
      <c r="AR363" s="171"/>
      <c r="AS363" s="171"/>
      <c r="AT363" s="171"/>
      <c r="AU363" s="171"/>
    </row>
    <row r="364" spans="1:47" s="620" customFormat="1" x14ac:dyDescent="0.25">
      <c r="A364" s="1481" t="s">
        <v>1421</v>
      </c>
      <c r="B364" s="584"/>
      <c r="C364" s="584"/>
      <c r="D364" s="584"/>
      <c r="E364" s="584"/>
      <c r="F364" s="584"/>
      <c r="G364" s="584"/>
      <c r="H364" s="171"/>
      <c r="I364" s="171"/>
      <c r="J364" s="100"/>
      <c r="K364" s="100"/>
      <c r="L364" s="101"/>
      <c r="M364" s="171"/>
      <c r="N364" s="100"/>
      <c r="O364" s="171"/>
      <c r="P364" s="171"/>
      <c r="Q364" s="171"/>
      <c r="R364" s="171"/>
      <c r="S364" s="171"/>
      <c r="T364" s="100"/>
      <c r="U364" s="101"/>
      <c r="V364" s="171"/>
      <c r="W364" s="100"/>
      <c r="X364" s="101"/>
      <c r="Y364" s="171"/>
      <c r="Z364" s="100"/>
      <c r="AA364" s="101"/>
      <c r="AB364" s="171"/>
      <c r="AC364" s="171"/>
      <c r="AD364" s="171"/>
      <c r="AE364" s="171"/>
      <c r="AF364" s="171"/>
      <c r="AG364" s="171"/>
      <c r="AH364" s="171"/>
      <c r="AI364" s="171"/>
      <c r="AJ364" s="171"/>
      <c r="AK364" s="171"/>
      <c r="AL364" s="171"/>
      <c r="AM364" s="171"/>
      <c r="AN364" s="171"/>
      <c r="AO364" s="171"/>
      <c r="AP364" s="171"/>
      <c r="AQ364" s="171"/>
      <c r="AR364" s="171"/>
      <c r="AS364" s="171"/>
      <c r="AT364" s="171"/>
      <c r="AU364" s="171"/>
    </row>
    <row r="365" spans="1:47" s="171" customFormat="1" ht="4.5" hidden="1" customHeight="1" x14ac:dyDescent="0.25">
      <c r="A365" s="1482"/>
      <c r="B365" s="1483"/>
      <c r="C365" s="1483"/>
      <c r="D365" s="1483"/>
      <c r="E365" s="1483"/>
      <c r="F365" s="1483"/>
      <c r="G365" s="1484"/>
      <c r="J365" s="100"/>
      <c r="K365" s="100"/>
      <c r="L365" s="101"/>
      <c r="N365" s="100"/>
      <c r="T365" s="100"/>
      <c r="U365" s="101"/>
      <c r="W365" s="100"/>
      <c r="X365" s="101"/>
      <c r="Z365" s="100"/>
      <c r="AA365" s="101"/>
    </row>
    <row r="366" spans="1:47" s="620" customFormat="1" ht="17.25" hidden="1" x14ac:dyDescent="0.25">
      <c r="A366" s="1481" t="s">
        <v>1429</v>
      </c>
      <c r="B366" s="584"/>
      <c r="C366" s="584"/>
      <c r="D366" s="584"/>
      <c r="E366" s="584"/>
      <c r="F366" s="584"/>
      <c r="G366" s="584"/>
      <c r="H366" s="171"/>
      <c r="I366" s="171"/>
      <c r="J366" s="100"/>
      <c r="K366" s="100"/>
      <c r="L366" s="101"/>
      <c r="M366" s="171"/>
      <c r="N366" s="100"/>
      <c r="O366" s="171"/>
      <c r="P366" s="171"/>
      <c r="Q366" s="171"/>
      <c r="R366" s="171"/>
      <c r="S366" s="171"/>
      <c r="T366" s="100"/>
      <c r="U366" s="101"/>
      <c r="V366" s="171"/>
      <c r="W366" s="100"/>
      <c r="X366" s="101"/>
      <c r="Y366" s="171"/>
      <c r="Z366" s="100"/>
      <c r="AA366" s="101"/>
      <c r="AB366" s="171"/>
      <c r="AC366" s="171"/>
      <c r="AD366" s="171"/>
      <c r="AE366" s="171"/>
      <c r="AF366" s="171"/>
      <c r="AG366" s="171"/>
      <c r="AH366" s="171"/>
      <c r="AI366" s="171"/>
      <c r="AJ366" s="171"/>
      <c r="AK366" s="171"/>
      <c r="AL366" s="171"/>
      <c r="AM366" s="171"/>
      <c r="AN366" s="171"/>
      <c r="AO366" s="171"/>
      <c r="AP366" s="171"/>
      <c r="AQ366" s="171"/>
      <c r="AR366" s="171"/>
      <c r="AS366" s="171"/>
      <c r="AT366" s="171"/>
      <c r="AU366" s="171"/>
    </row>
    <row r="367" spans="1:47" s="620" customFormat="1" hidden="1" x14ac:dyDescent="0.25">
      <c r="A367" s="1184" t="s">
        <v>1430</v>
      </c>
      <c r="B367" s="1417"/>
      <c r="C367" s="1417"/>
      <c r="D367" s="1417"/>
      <c r="E367" s="1417"/>
      <c r="F367" s="1417"/>
      <c r="G367" s="1417"/>
      <c r="H367" s="171"/>
      <c r="I367" s="1183"/>
      <c r="J367" s="1183"/>
      <c r="K367" s="1183"/>
      <c r="L367" s="1183"/>
      <c r="M367" s="1183"/>
      <c r="N367" s="1183"/>
      <c r="O367" s="171"/>
      <c r="P367" s="171"/>
      <c r="Q367" s="171"/>
      <c r="R367" s="171"/>
      <c r="S367" s="171"/>
      <c r="T367" s="100"/>
      <c r="U367" s="101"/>
      <c r="V367" s="171"/>
      <c r="W367" s="100"/>
      <c r="X367" s="101"/>
      <c r="Y367" s="171"/>
      <c r="Z367" s="100"/>
      <c r="AA367" s="101"/>
      <c r="AB367" s="171"/>
      <c r="AC367" s="171"/>
      <c r="AD367" s="171"/>
      <c r="AE367" s="171"/>
      <c r="AF367" s="171"/>
      <c r="AG367" s="171"/>
      <c r="AH367" s="171"/>
      <c r="AI367" s="171"/>
      <c r="AJ367" s="171"/>
      <c r="AK367" s="171"/>
      <c r="AL367" s="171"/>
      <c r="AM367" s="171"/>
      <c r="AN367" s="171"/>
      <c r="AO367" s="171"/>
      <c r="AP367" s="171"/>
      <c r="AQ367" s="171"/>
      <c r="AR367" s="171"/>
      <c r="AS367" s="171"/>
      <c r="AT367" s="171"/>
      <c r="AU367" s="171"/>
    </row>
    <row r="368" spans="1:47" s="171" customFormat="1" ht="4.5" hidden="1" customHeight="1" x14ac:dyDescent="0.25">
      <c r="A368" s="1485"/>
      <c r="B368" s="1486"/>
      <c r="C368" s="1486"/>
      <c r="D368" s="1486"/>
      <c r="E368" s="1486"/>
      <c r="F368" s="1486"/>
      <c r="G368" s="1487"/>
      <c r="I368" s="1183"/>
      <c r="J368" s="1183"/>
      <c r="K368" s="1183"/>
      <c r="L368" s="1183"/>
      <c r="M368" s="1183"/>
      <c r="N368" s="1183"/>
      <c r="T368" s="100"/>
      <c r="U368" s="101"/>
      <c r="W368" s="100"/>
      <c r="X368" s="101"/>
      <c r="Z368" s="100"/>
      <c r="AA368" s="101"/>
    </row>
    <row r="369" spans="1:47" s="620" customFormat="1" hidden="1" x14ac:dyDescent="0.25">
      <c r="A369" s="1481" t="s">
        <v>1649</v>
      </c>
      <c r="B369" s="653" t="e">
        <f ca="1">IF(Cabeçalho!$G$28="unfors",INDIRECT(ADDRESS(B371,3,1,1,"medidas Unfors"),1),INDIRECT(ADDRESS(B371,4,1,1,"medidas Fluke"),1)/1000)</f>
        <v>#VALUE!</v>
      </c>
      <c r="C369" s="653" t="e">
        <f ca="1">IF(Cabeçalho!$G$28="unfors",INDIRECT(ADDRESS(C371,3,1,1,"medidas Unfors"),1),INDIRECT(ADDRESS(C371,4,1,1,"medidas Fluke"),1)/1000)</f>
        <v>#VALUE!</v>
      </c>
      <c r="D369" s="653" t="e">
        <f ca="1">IF(Cabeçalho!$G$28="unfors",INDIRECT(ADDRESS(D371,3,1,1,"medidas Unfors"),1),INDIRECT(ADDRESS(D371,4,1,1,"medidas Fluke"),1)/1000)</f>
        <v>#VALUE!</v>
      </c>
      <c r="E369" s="653" t="e">
        <f ca="1">IF(Cabeçalho!$G$28="unfors",INDIRECT(ADDRESS(E371,3,1,1,"medidas Unfors"),1),INDIRECT(ADDRESS(E371,4,1,1,"medidas Fluke"),1)/1000)</f>
        <v>#VALUE!</v>
      </c>
      <c r="F369" s="653" t="e">
        <f ca="1">IF(Cabeçalho!$G$28="unfors",INDIRECT(ADDRESS(F371,3,1,1,"medidas Unfors"),1),INDIRECT(ADDRESS(F371,4,1,1,"medidas Fluke"),1)/1000)</f>
        <v>#VALUE!</v>
      </c>
      <c r="G369" s="653" t="e">
        <f ca="1">IF(Cabeçalho!$G$28="unfors",INDIRECT(ADDRESS(G371,3,1,1,"medidas Unfors"),1),INDIRECT(ADDRESS(G371,4,1,1,"medidas Fluke"),1)/1000)</f>
        <v>#VALUE!</v>
      </c>
      <c r="H369" s="171"/>
      <c r="I369" s="171"/>
      <c r="J369" s="100"/>
      <c r="K369" s="100"/>
      <c r="L369" s="101"/>
      <c r="M369" s="171"/>
      <c r="N369" s="100"/>
      <c r="O369" s="171"/>
      <c r="P369" s="171"/>
      <c r="Q369" s="171"/>
      <c r="R369" s="171"/>
      <c r="S369" s="171"/>
      <c r="T369" s="100"/>
      <c r="U369" s="101"/>
      <c r="V369" s="171"/>
      <c r="W369" s="100"/>
      <c r="X369" s="101"/>
      <c r="Y369" s="171"/>
      <c r="Z369" s="100"/>
      <c r="AA369" s="101"/>
      <c r="AB369" s="171"/>
      <c r="AC369" s="171"/>
      <c r="AD369" s="171"/>
      <c r="AE369" s="171"/>
      <c r="AF369" s="171"/>
      <c r="AG369" s="171"/>
      <c r="AH369" s="171"/>
      <c r="AI369" s="171"/>
      <c r="AJ369" s="171"/>
      <c r="AK369" s="171"/>
      <c r="AL369" s="171"/>
      <c r="AM369" s="171"/>
      <c r="AN369" s="171"/>
      <c r="AO369" s="171"/>
      <c r="AP369" s="171"/>
      <c r="AQ369" s="171"/>
      <c r="AR369" s="171"/>
      <c r="AS369" s="171"/>
      <c r="AT369" s="171"/>
      <c r="AU369" s="171"/>
    </row>
    <row r="370" spans="1:47" s="620" customFormat="1" ht="15.75" hidden="1" thickBot="1" x14ac:dyDescent="0.3">
      <c r="A370" s="1480" t="s">
        <v>1652</v>
      </c>
      <c r="B370" s="1489" t="e">
        <f ca="1">IF(Cabeçalho!$G$28="Unfors",INDIRECT(ADDRESS(B371,5,1,1,"medidas Unfors"),1),INDIRECT(ADDRESS(B371,5,1,1,"medidas Fluke"),1)/1000)</f>
        <v>#VALUE!</v>
      </c>
      <c r="C370" s="1489" t="e">
        <f ca="1">IF(Cabeçalho!$G$28="Unfors",INDIRECT(ADDRESS(C371,5,1,1,"medidas Unfors"),1),INDIRECT(ADDRESS(C371,5,1,1,"medidas Fluke"),1)/1000)</f>
        <v>#VALUE!</v>
      </c>
      <c r="D370" s="1489" t="e">
        <f ca="1">IF(Cabeçalho!$G$28="Unfors",INDIRECT(ADDRESS(D371,5,1,1,"medidas Unfors"),1),INDIRECT(ADDRESS(D371,5,1,1,"medidas Fluke"),1)/1000)</f>
        <v>#VALUE!</v>
      </c>
      <c r="E370" s="1489" t="e">
        <f ca="1">IF(Cabeçalho!$G$28="Unfors",INDIRECT(ADDRESS(E371,5,1,1,"medidas Unfors"),1),INDIRECT(ADDRESS(E371,5,1,1,"medidas Fluke"),1)/1000)</f>
        <v>#VALUE!</v>
      </c>
      <c r="F370" s="1489" t="e">
        <f ca="1">IF(Cabeçalho!$G$28="Unfors",INDIRECT(ADDRESS(F371,5,1,1,"medidas Unfors"),1),INDIRECT(ADDRESS(F371,5,1,1,"medidas Fluke"),1)/1000)</f>
        <v>#VALUE!</v>
      </c>
      <c r="G370" s="1489" t="e">
        <f ca="1">IF(Cabeçalho!$G$28="Unfors",INDIRECT(ADDRESS(G371,5,1,1,"medidas Unfors"),1),INDIRECT(ADDRESS(G371,5,1,1,"medidas Fluke"),1)/1000)</f>
        <v>#VALUE!</v>
      </c>
      <c r="H370" s="171"/>
      <c r="I370" s="171"/>
      <c r="J370" s="100"/>
      <c r="K370" s="100"/>
      <c r="L370" s="101"/>
      <c r="M370" s="171"/>
      <c r="N370" s="100"/>
      <c r="O370" s="171"/>
      <c r="P370" s="171"/>
      <c r="Q370" s="171"/>
      <c r="R370" s="171"/>
      <c r="S370" s="171"/>
      <c r="T370" s="100"/>
      <c r="U370" s="101"/>
      <c r="V370" s="171"/>
      <c r="W370" s="100"/>
      <c r="X370" s="101"/>
      <c r="Y370" s="171"/>
      <c r="Z370" s="100"/>
      <c r="AA370" s="101"/>
      <c r="AB370" s="171"/>
      <c r="AC370" s="171"/>
      <c r="AD370" s="171"/>
      <c r="AE370" s="171"/>
      <c r="AF370" s="171"/>
      <c r="AG370" s="171"/>
      <c r="AH370" s="171"/>
      <c r="AI370" s="171"/>
      <c r="AJ370" s="171"/>
      <c r="AK370" s="171"/>
      <c r="AL370" s="171"/>
      <c r="AM370" s="171"/>
      <c r="AN370" s="171"/>
      <c r="AO370" s="171"/>
      <c r="AP370" s="171"/>
      <c r="AQ370" s="171"/>
      <c r="AR370" s="171"/>
      <c r="AS370" s="171"/>
      <c r="AT370" s="171"/>
      <c r="AU370" s="171"/>
    </row>
    <row r="371" spans="1:47" s="620" customFormat="1" ht="15.75" hidden="1" thickBot="1" x14ac:dyDescent="0.3">
      <c r="A371" s="1418" t="s">
        <v>1427</v>
      </c>
      <c r="B371" s="1419"/>
      <c r="C371" s="1419"/>
      <c r="D371" s="1419"/>
      <c r="E371" s="1419"/>
      <c r="F371" s="1419"/>
      <c r="G371" s="1420"/>
      <c r="H371" s="171"/>
      <c r="I371" s="171"/>
      <c r="J371" s="100"/>
      <c r="K371" s="100"/>
      <c r="L371" s="101"/>
      <c r="M371" s="171"/>
      <c r="N371" s="100"/>
      <c r="O371" s="171"/>
      <c r="P371" s="171"/>
      <c r="Q371" s="171"/>
      <c r="R371" s="171"/>
      <c r="S371" s="171"/>
      <c r="T371" s="100"/>
      <c r="U371" s="101"/>
      <c r="V371" s="171"/>
      <c r="W371" s="100"/>
      <c r="X371" s="101"/>
      <c r="Y371" s="171"/>
      <c r="Z371" s="100"/>
      <c r="AA371" s="101"/>
      <c r="AB371" s="171"/>
      <c r="AC371" s="171"/>
      <c r="AD371" s="171"/>
      <c r="AE371" s="171"/>
      <c r="AF371" s="171"/>
      <c r="AG371" s="171"/>
      <c r="AH371" s="171"/>
      <c r="AI371" s="171"/>
      <c r="AJ371" s="171"/>
      <c r="AK371" s="171"/>
      <c r="AL371" s="171"/>
      <c r="AM371" s="171"/>
      <c r="AN371" s="171"/>
      <c r="AO371" s="171"/>
      <c r="AP371" s="171"/>
      <c r="AQ371" s="171"/>
      <c r="AR371" s="171"/>
      <c r="AS371" s="171"/>
      <c r="AT371" s="171"/>
      <c r="AU371" s="171"/>
    </row>
    <row r="372" spans="1:47" s="620" customFormat="1" ht="17.25" hidden="1" x14ac:dyDescent="0.25">
      <c r="A372" s="1481" t="s">
        <v>1433</v>
      </c>
      <c r="B372" s="584"/>
      <c r="C372" s="584"/>
      <c r="D372" s="584"/>
      <c r="E372" s="584"/>
      <c r="F372" s="584"/>
      <c r="G372" s="584"/>
      <c r="H372" s="171"/>
      <c r="I372" s="171"/>
      <c r="J372" s="100"/>
      <c r="K372" s="100"/>
      <c r="L372" s="101"/>
      <c r="M372" s="171"/>
      <c r="N372" s="100"/>
      <c r="O372" s="171"/>
      <c r="P372" s="171"/>
      <c r="Q372" s="171"/>
      <c r="R372" s="171"/>
      <c r="S372" s="171"/>
      <c r="T372" s="100"/>
      <c r="U372" s="101"/>
      <c r="V372" s="171"/>
      <c r="W372" s="100"/>
      <c r="X372" s="101"/>
      <c r="Y372" s="171"/>
      <c r="Z372" s="100"/>
      <c r="AA372" s="101"/>
      <c r="AB372" s="171"/>
      <c r="AC372" s="171"/>
      <c r="AD372" s="171"/>
      <c r="AE372" s="171"/>
      <c r="AF372" s="171"/>
      <c r="AG372" s="171"/>
      <c r="AH372" s="171"/>
      <c r="AI372" s="171"/>
      <c r="AJ372" s="171"/>
      <c r="AK372" s="171"/>
      <c r="AL372" s="171"/>
      <c r="AM372" s="171"/>
      <c r="AN372" s="171"/>
      <c r="AO372" s="171"/>
      <c r="AP372" s="171"/>
      <c r="AQ372" s="171"/>
      <c r="AR372" s="171"/>
      <c r="AS372" s="171"/>
      <c r="AT372" s="171"/>
      <c r="AU372" s="171"/>
    </row>
    <row r="373" spans="1:47" s="620" customFormat="1" hidden="1" x14ac:dyDescent="0.25">
      <c r="A373" s="1184" t="s">
        <v>1431</v>
      </c>
      <c r="B373" s="1417"/>
      <c r="C373" s="1417"/>
      <c r="D373" s="1417"/>
      <c r="E373" s="1417"/>
      <c r="F373" s="1417"/>
      <c r="G373" s="1417"/>
      <c r="H373" s="171"/>
      <c r="I373" s="171"/>
      <c r="J373" s="100"/>
      <c r="K373" s="100"/>
      <c r="L373" s="101"/>
      <c r="M373" s="171"/>
      <c r="N373" s="100"/>
      <c r="O373" s="171"/>
      <c r="P373" s="171"/>
      <c r="Q373" s="171"/>
      <c r="R373" s="171"/>
      <c r="S373" s="171"/>
      <c r="T373" s="100"/>
      <c r="U373" s="101"/>
      <c r="V373" s="171"/>
      <c r="W373" s="100"/>
      <c r="X373" s="101"/>
      <c r="Y373" s="171"/>
      <c r="Z373" s="100"/>
      <c r="AA373" s="101"/>
      <c r="AB373" s="171"/>
      <c r="AC373" s="171"/>
      <c r="AD373" s="171"/>
      <c r="AE373" s="171"/>
      <c r="AF373" s="171"/>
      <c r="AG373" s="171"/>
      <c r="AH373" s="171"/>
      <c r="AI373" s="171"/>
      <c r="AJ373" s="171"/>
      <c r="AK373" s="171"/>
      <c r="AL373" s="171"/>
      <c r="AM373" s="171"/>
      <c r="AN373" s="171"/>
      <c r="AO373" s="171"/>
      <c r="AP373" s="171"/>
      <c r="AQ373" s="171"/>
      <c r="AR373" s="171"/>
      <c r="AS373" s="171"/>
      <c r="AT373" s="171"/>
      <c r="AU373" s="171"/>
    </row>
    <row r="374" spans="1:47" s="620" customFormat="1" ht="4.5" hidden="1" customHeight="1" x14ac:dyDescent="0.25">
      <c r="A374" s="1485"/>
      <c r="B374" s="1486"/>
      <c r="C374" s="1486"/>
      <c r="D374" s="1486"/>
      <c r="E374" s="1486"/>
      <c r="F374" s="1486"/>
      <c r="G374" s="1487"/>
      <c r="H374" s="171"/>
      <c r="I374" s="171"/>
      <c r="J374" s="100"/>
      <c r="K374" s="100"/>
      <c r="L374" s="101"/>
      <c r="M374" s="171"/>
      <c r="N374" s="100"/>
      <c r="O374" s="171"/>
      <c r="P374" s="171"/>
      <c r="Q374" s="171"/>
      <c r="R374" s="171"/>
      <c r="S374" s="171"/>
      <c r="T374" s="100"/>
      <c r="U374" s="101"/>
      <c r="V374" s="171"/>
      <c r="W374" s="100"/>
      <c r="X374" s="101"/>
      <c r="Y374" s="171"/>
      <c r="Z374" s="100"/>
      <c r="AA374" s="101"/>
      <c r="AB374" s="171"/>
      <c r="AC374" s="171"/>
      <c r="AD374" s="171"/>
      <c r="AE374" s="171"/>
      <c r="AF374" s="171"/>
      <c r="AG374" s="171"/>
      <c r="AH374" s="171"/>
      <c r="AI374" s="171"/>
      <c r="AJ374" s="171"/>
      <c r="AK374" s="171"/>
      <c r="AL374" s="171"/>
      <c r="AM374" s="171"/>
      <c r="AN374" s="171"/>
      <c r="AO374" s="171"/>
      <c r="AP374" s="171"/>
      <c r="AQ374" s="171"/>
      <c r="AR374" s="171"/>
      <c r="AS374" s="171"/>
      <c r="AT374" s="171"/>
      <c r="AU374" s="171"/>
    </row>
    <row r="375" spans="1:47" s="620" customFormat="1" hidden="1" x14ac:dyDescent="0.25">
      <c r="A375" s="1481" t="s">
        <v>1650</v>
      </c>
      <c r="B375" s="653">
        <f ca="1">IF(Cabeçalho!$G$28="unfors",INDIRECT(ADDRESS(B377,3,1,1,"medidas Unfors"),1),INDIRECT(ADDRESS(B377,4,1,1,"medidas Fluke"),1)/1000)</f>
        <v>0</v>
      </c>
      <c r="C375" s="653" t="e">
        <f ca="1">IF(Cabeçalho!$G$28="unfors",INDIRECT(ADDRESS(C377,3,1,1,"medidas Unfors"),1),INDIRECT(ADDRESS(C377,4,1,1,"medidas Fluke"),1)/1000)</f>
        <v>#VALUE!</v>
      </c>
      <c r="D375" s="653" t="e">
        <f ca="1">IF(Cabeçalho!$G$28="unfors",INDIRECT(ADDRESS(D377,3,1,1,"medidas Unfors"),1),INDIRECT(ADDRESS(D377,4,1,1,"medidas Fluke"),1)/1000)</f>
        <v>#VALUE!</v>
      </c>
      <c r="E375" s="653" t="e">
        <f ca="1">IF(Cabeçalho!$G$28="unfors",INDIRECT(ADDRESS(E377,3,1,1,"medidas Unfors"),1),INDIRECT(ADDRESS(E377,4,1,1,"medidas Fluke"),1)/1000)</f>
        <v>#VALUE!</v>
      </c>
      <c r="F375" s="653" t="e">
        <f ca="1">IF(Cabeçalho!$G$28="unfors",INDIRECT(ADDRESS(F377,3,1,1,"medidas Unfors"),1),INDIRECT(ADDRESS(F377,4,1,1,"medidas Fluke"),1)/1000)</f>
        <v>#VALUE!</v>
      </c>
      <c r="G375" s="653" t="e">
        <f ca="1">IF(Cabeçalho!$G$28="unfors",INDIRECT(ADDRESS(G377,3,1,1,"medidas Unfors"),1),INDIRECT(ADDRESS(G377,4,1,1,"medidas Fluke"),1)/1000)</f>
        <v>#VALUE!</v>
      </c>
      <c r="H375" s="171"/>
      <c r="I375" s="171"/>
      <c r="J375" s="100"/>
      <c r="K375" s="100"/>
      <c r="L375" s="101"/>
      <c r="M375" s="171"/>
      <c r="N375" s="100"/>
      <c r="O375" s="171"/>
      <c r="P375" s="171"/>
      <c r="Q375" s="171"/>
      <c r="R375" s="171"/>
      <c r="S375" s="171"/>
      <c r="T375" s="100"/>
      <c r="U375" s="101"/>
      <c r="V375" s="171"/>
      <c r="W375" s="100"/>
      <c r="X375" s="101"/>
      <c r="Y375" s="171"/>
      <c r="Z375" s="100"/>
      <c r="AA375" s="101"/>
      <c r="AB375" s="171"/>
      <c r="AC375" s="171"/>
      <c r="AD375" s="171"/>
      <c r="AE375" s="171"/>
      <c r="AF375" s="171"/>
      <c r="AG375" s="171"/>
      <c r="AH375" s="171"/>
      <c r="AI375" s="171"/>
      <c r="AJ375" s="171"/>
      <c r="AK375" s="171"/>
      <c r="AL375" s="171"/>
      <c r="AM375" s="171"/>
      <c r="AN375" s="171"/>
      <c r="AO375" s="171"/>
      <c r="AP375" s="171"/>
      <c r="AQ375" s="171"/>
      <c r="AR375" s="171"/>
      <c r="AS375" s="171"/>
      <c r="AT375" s="171"/>
      <c r="AU375" s="171"/>
    </row>
    <row r="376" spans="1:47" s="620" customFormat="1" ht="15.75" thickBot="1" x14ac:dyDescent="0.3">
      <c r="A376" s="1480" t="s">
        <v>1653</v>
      </c>
      <c r="B376" s="1489">
        <f ca="1">IF(Cabeçalho!$G$28="Unfors",INDIRECT(ADDRESS(B377,5,1,1,"medidas Unfors"),1),INDIRECT(ADDRESS(B377,5,1,1,"medidas Fluke"),1)/1000)</f>
        <v>0</v>
      </c>
      <c r="C376" s="1489" t="e">
        <f ca="1">IF(Cabeçalho!$G$28="Unfors",INDIRECT(ADDRESS(C377,5,1,1,"medidas Unfors"),1),INDIRECT(ADDRESS(C377,5,1,1,"medidas Fluke"),1)/1000)</f>
        <v>#VALUE!</v>
      </c>
      <c r="D376" s="1489" t="e">
        <f ca="1">IF(Cabeçalho!$G$28="Unfors",INDIRECT(ADDRESS(D377,5,1,1,"medidas Unfors"),1),INDIRECT(ADDRESS(D377,5,1,1,"medidas Fluke"),1)/1000)</f>
        <v>#VALUE!</v>
      </c>
      <c r="E376" s="1489" t="e">
        <f ca="1">IF(Cabeçalho!$G$28="Unfors",INDIRECT(ADDRESS(E377,5,1,1,"medidas Unfors"),1),INDIRECT(ADDRESS(E377,5,1,1,"medidas Fluke"),1)/1000)</f>
        <v>#VALUE!</v>
      </c>
      <c r="F376" s="1489" t="e">
        <f ca="1">IF(Cabeçalho!$G$28="Unfors",INDIRECT(ADDRESS(F377,5,1,1,"medidas Unfors"),1),INDIRECT(ADDRESS(F377,5,1,1,"medidas Fluke"),1)/1000)</f>
        <v>#VALUE!</v>
      </c>
      <c r="G376" s="1489" t="e">
        <f ca="1">IF(Cabeçalho!$G$28="Unfors",INDIRECT(ADDRESS(G377,5,1,1,"medidas Unfors"),1),INDIRECT(ADDRESS(G377,5,1,1,"medidas Fluke"),1)/1000)</f>
        <v>#VALUE!</v>
      </c>
      <c r="H376" s="171"/>
      <c r="I376" s="171"/>
      <c r="J376" s="100"/>
      <c r="K376" s="100"/>
      <c r="L376" s="101"/>
      <c r="M376" s="171"/>
      <c r="N376" s="100"/>
      <c r="O376" s="171"/>
      <c r="P376" s="171"/>
      <c r="Q376" s="171"/>
      <c r="R376" s="171"/>
      <c r="S376" s="171"/>
      <c r="T376" s="100"/>
      <c r="U376" s="101"/>
      <c r="V376" s="171"/>
      <c r="W376" s="100"/>
      <c r="X376" s="101"/>
      <c r="Y376" s="171"/>
      <c r="Z376" s="100"/>
      <c r="AA376" s="101"/>
      <c r="AB376" s="171"/>
      <c r="AC376" s="171"/>
      <c r="AD376" s="171"/>
      <c r="AE376" s="171"/>
      <c r="AF376" s="171"/>
      <c r="AG376" s="171"/>
      <c r="AH376" s="171"/>
      <c r="AI376" s="171"/>
      <c r="AJ376" s="171"/>
      <c r="AK376" s="171"/>
      <c r="AL376" s="171"/>
      <c r="AM376" s="171"/>
      <c r="AN376" s="171"/>
      <c r="AO376" s="171"/>
      <c r="AP376" s="171"/>
      <c r="AQ376" s="171"/>
      <c r="AR376" s="171"/>
      <c r="AS376" s="171"/>
      <c r="AT376" s="171"/>
      <c r="AU376" s="171"/>
    </row>
    <row r="377" spans="1:47" s="620" customFormat="1" ht="15.75" thickBot="1" x14ac:dyDescent="0.3">
      <c r="A377" s="1418" t="s">
        <v>1428</v>
      </c>
      <c r="B377" s="1419">
        <v>1</v>
      </c>
      <c r="C377" s="1419"/>
      <c r="D377" s="1419"/>
      <c r="E377" s="1419"/>
      <c r="F377" s="1419"/>
      <c r="G377" s="1420"/>
      <c r="H377" s="171"/>
      <c r="I377" s="171"/>
      <c r="J377" s="100"/>
      <c r="K377" s="100"/>
      <c r="L377" s="101"/>
      <c r="M377" s="171"/>
      <c r="N377" s="100"/>
      <c r="O377" s="171"/>
      <c r="P377" s="171"/>
      <c r="Q377" s="171"/>
      <c r="R377" s="171"/>
      <c r="S377" s="171"/>
      <c r="T377" s="100"/>
      <c r="U377" s="101"/>
      <c r="V377" s="171"/>
      <c r="W377" s="100"/>
      <c r="X377" s="101"/>
      <c r="Y377" s="171"/>
      <c r="Z377" s="100"/>
      <c r="AA377" s="101"/>
      <c r="AB377" s="171"/>
      <c r="AC377" s="171"/>
      <c r="AD377" s="171"/>
      <c r="AE377" s="171"/>
      <c r="AF377" s="171"/>
      <c r="AG377" s="171"/>
      <c r="AH377" s="171"/>
      <c r="AI377" s="171"/>
      <c r="AJ377" s="171"/>
      <c r="AK377" s="171"/>
      <c r="AL377" s="171"/>
      <c r="AM377" s="171"/>
      <c r="AN377" s="171"/>
      <c r="AO377" s="171"/>
      <c r="AP377" s="171"/>
      <c r="AQ377" s="171"/>
      <c r="AR377" s="171"/>
      <c r="AS377" s="171"/>
      <c r="AT377" s="171"/>
      <c r="AU377" s="171"/>
    </row>
    <row r="378" spans="1:47" s="620" customFormat="1" ht="17.25" hidden="1" x14ac:dyDescent="0.25">
      <c r="A378" s="1481" t="s">
        <v>1434</v>
      </c>
      <c r="B378" s="584"/>
      <c r="C378" s="584"/>
      <c r="D378" s="584"/>
      <c r="E378" s="584"/>
      <c r="F378" s="584"/>
      <c r="G378" s="584"/>
      <c r="H378" s="171"/>
      <c r="I378" s="171"/>
      <c r="J378" s="100"/>
      <c r="K378" s="100"/>
      <c r="L378" s="101"/>
      <c r="M378" s="171"/>
      <c r="N378" s="100"/>
      <c r="O378" s="171"/>
      <c r="P378" s="171"/>
      <c r="Q378" s="171"/>
      <c r="R378" s="171"/>
      <c r="S378" s="171"/>
      <c r="T378" s="100"/>
      <c r="U378" s="101"/>
      <c r="V378" s="171"/>
      <c r="W378" s="100"/>
      <c r="X378" s="101"/>
      <c r="Y378" s="171"/>
      <c r="Z378" s="100"/>
      <c r="AA378" s="101"/>
      <c r="AB378" s="171"/>
      <c r="AC378" s="171"/>
      <c r="AD378" s="171"/>
      <c r="AE378" s="171"/>
      <c r="AF378" s="171"/>
      <c r="AG378" s="171"/>
      <c r="AH378" s="171"/>
      <c r="AI378" s="171"/>
      <c r="AJ378" s="171"/>
      <c r="AK378" s="171"/>
      <c r="AL378" s="171"/>
      <c r="AM378" s="171"/>
      <c r="AN378" s="171"/>
      <c r="AO378" s="171"/>
      <c r="AP378" s="171"/>
      <c r="AQ378" s="171"/>
      <c r="AR378" s="171"/>
      <c r="AS378" s="171"/>
      <c r="AT378" s="171"/>
      <c r="AU378" s="171"/>
    </row>
    <row r="379" spans="1:47" s="620" customFormat="1" hidden="1" x14ac:dyDescent="0.25">
      <c r="A379" s="1481" t="s">
        <v>1432</v>
      </c>
      <c r="B379" s="584"/>
      <c r="C379" s="584"/>
      <c r="D379" s="584"/>
      <c r="E379" s="584"/>
      <c r="F379" s="584"/>
      <c r="G379" s="584"/>
      <c r="H379" s="171"/>
      <c r="I379" s="171"/>
      <c r="J379" s="100"/>
      <c r="K379" s="100"/>
      <c r="L379" s="101"/>
      <c r="M379" s="171"/>
      <c r="N379" s="100"/>
      <c r="O379" s="171"/>
      <c r="P379" s="171"/>
      <c r="Q379" s="171"/>
      <c r="R379" s="171"/>
      <c r="S379" s="171"/>
      <c r="T379" s="100"/>
      <c r="U379" s="101"/>
      <c r="V379" s="171"/>
      <c r="W379" s="100"/>
      <c r="X379" s="101"/>
      <c r="Y379" s="171"/>
      <c r="Z379" s="100"/>
      <c r="AA379" s="101"/>
      <c r="AB379" s="171"/>
      <c r="AC379" s="171"/>
      <c r="AD379" s="171"/>
      <c r="AE379" s="171"/>
      <c r="AF379" s="171"/>
      <c r="AG379" s="171"/>
      <c r="AH379" s="171"/>
      <c r="AI379" s="171"/>
      <c r="AJ379" s="171"/>
      <c r="AK379" s="171"/>
      <c r="AL379" s="171"/>
      <c r="AM379" s="171"/>
      <c r="AN379" s="171"/>
      <c r="AO379" s="171"/>
      <c r="AP379" s="171"/>
      <c r="AQ379" s="171"/>
      <c r="AR379" s="171"/>
      <c r="AS379" s="171"/>
      <c r="AT379" s="171"/>
      <c r="AU379" s="171"/>
    </row>
    <row r="380" spans="1:47" s="620" customFormat="1" hidden="1" x14ac:dyDescent="0.25">
      <c r="A380" s="1481" t="s">
        <v>1435</v>
      </c>
      <c r="B380" s="653">
        <f t="shared" ref="B380:G380" si="91">ABS(B372-B366)</f>
        <v>0</v>
      </c>
      <c r="C380" s="653">
        <f t="shared" si="91"/>
        <v>0</v>
      </c>
      <c r="D380" s="653">
        <f t="shared" si="91"/>
        <v>0</v>
      </c>
      <c r="E380" s="653">
        <f t="shared" si="91"/>
        <v>0</v>
      </c>
      <c r="F380" s="653">
        <f t="shared" si="91"/>
        <v>0</v>
      </c>
      <c r="G380" s="653">
        <f t="shared" si="91"/>
        <v>0</v>
      </c>
      <c r="H380" s="171"/>
      <c r="I380" s="171"/>
      <c r="J380" s="100"/>
      <c r="K380" s="100"/>
      <c r="L380" s="101"/>
      <c r="M380" s="171"/>
      <c r="N380" s="100"/>
      <c r="O380" s="171"/>
      <c r="P380" s="171"/>
      <c r="Q380" s="171"/>
      <c r="R380" s="171"/>
      <c r="S380" s="171"/>
      <c r="T380" s="100"/>
      <c r="U380" s="101"/>
      <c r="V380" s="171"/>
      <c r="W380" s="100"/>
      <c r="X380" s="101"/>
      <c r="Y380" s="171"/>
      <c r="Z380" s="100"/>
      <c r="AA380" s="101"/>
      <c r="AB380" s="171"/>
      <c r="AC380" s="171"/>
      <c r="AD380" s="171"/>
      <c r="AE380" s="171"/>
      <c r="AF380" s="171"/>
      <c r="AG380" s="171"/>
      <c r="AH380" s="171"/>
      <c r="AI380" s="171"/>
      <c r="AJ380" s="171"/>
      <c r="AK380" s="171"/>
      <c r="AL380" s="171"/>
      <c r="AM380" s="171"/>
      <c r="AN380" s="171"/>
      <c r="AO380" s="171"/>
      <c r="AP380" s="171"/>
      <c r="AQ380" s="171"/>
      <c r="AR380" s="171"/>
      <c r="AS380" s="171"/>
      <c r="AT380" s="171"/>
      <c r="AU380" s="171"/>
    </row>
    <row r="381" spans="1:47" s="620" customFormat="1" hidden="1" x14ac:dyDescent="0.25">
      <c r="A381" s="1481" t="s">
        <v>1437</v>
      </c>
      <c r="B381" s="653">
        <f t="shared" ref="B381:G381" si="92">ABS(B378-B372)</f>
        <v>0</v>
      </c>
      <c r="C381" s="653">
        <f t="shared" si="92"/>
        <v>0</v>
      </c>
      <c r="D381" s="653">
        <f t="shared" si="92"/>
        <v>0</v>
      </c>
      <c r="E381" s="653">
        <f t="shared" si="92"/>
        <v>0</v>
      </c>
      <c r="F381" s="653">
        <f t="shared" si="92"/>
        <v>0</v>
      </c>
      <c r="G381" s="653">
        <f t="shared" si="92"/>
        <v>0</v>
      </c>
      <c r="H381" s="171"/>
      <c r="I381" s="171"/>
      <c r="J381" s="100"/>
      <c r="K381" s="100"/>
      <c r="L381" s="101"/>
      <c r="M381" s="171"/>
      <c r="N381" s="100"/>
      <c r="O381" s="171"/>
      <c r="P381" s="171"/>
      <c r="Q381" s="171"/>
      <c r="R381" s="171"/>
      <c r="S381" s="171"/>
      <c r="T381" s="100"/>
      <c r="U381" s="101"/>
      <c r="V381" s="171"/>
      <c r="W381" s="100"/>
      <c r="X381" s="101"/>
      <c r="Y381" s="171"/>
      <c r="Z381" s="100"/>
      <c r="AA381" s="101"/>
      <c r="AB381" s="171"/>
      <c r="AC381" s="171"/>
      <c r="AD381" s="171"/>
      <c r="AE381" s="171"/>
      <c r="AF381" s="171"/>
      <c r="AG381" s="171"/>
      <c r="AH381" s="171"/>
      <c r="AI381" s="171"/>
      <c r="AJ381" s="171"/>
      <c r="AK381" s="171"/>
      <c r="AL381" s="171"/>
      <c r="AM381" s="171"/>
      <c r="AN381" s="171"/>
      <c r="AO381" s="171"/>
      <c r="AP381" s="171"/>
      <c r="AQ381" s="171"/>
      <c r="AR381" s="171"/>
      <c r="AS381" s="171"/>
      <c r="AT381" s="171"/>
      <c r="AU381" s="171"/>
    </row>
    <row r="382" spans="1:47" s="620" customFormat="1" hidden="1" x14ac:dyDescent="0.25">
      <c r="A382" s="1481" t="s">
        <v>1436</v>
      </c>
      <c r="B382" s="653">
        <f t="shared" ref="B382:G382" si="93">ABS(B373-B367)</f>
        <v>0</v>
      </c>
      <c r="C382" s="653">
        <f t="shared" si="93"/>
        <v>0</v>
      </c>
      <c r="D382" s="653">
        <f t="shared" si="93"/>
        <v>0</v>
      </c>
      <c r="E382" s="653">
        <f t="shared" si="93"/>
        <v>0</v>
      </c>
      <c r="F382" s="653">
        <f t="shared" si="93"/>
        <v>0</v>
      </c>
      <c r="G382" s="653">
        <f t="shared" si="93"/>
        <v>0</v>
      </c>
      <c r="H382" s="171"/>
      <c r="I382" s="171"/>
      <c r="J382" s="100"/>
      <c r="K382" s="100"/>
      <c r="L382" s="101"/>
      <c r="M382" s="171"/>
      <c r="N382" s="100"/>
      <c r="O382" s="171"/>
      <c r="P382" s="171"/>
      <c r="Q382" s="171"/>
      <c r="R382" s="171"/>
      <c r="S382" s="171"/>
      <c r="T382" s="100"/>
      <c r="U382" s="101"/>
      <c r="V382" s="171"/>
      <c r="W382" s="100"/>
      <c r="X382" s="101"/>
      <c r="Y382" s="171"/>
      <c r="Z382" s="100"/>
      <c r="AA382" s="101"/>
      <c r="AB382" s="171"/>
      <c r="AC382" s="171"/>
      <c r="AD382" s="171"/>
      <c r="AE382" s="171"/>
      <c r="AF382" s="171"/>
      <c r="AG382" s="171"/>
      <c r="AH382" s="171"/>
      <c r="AI382" s="171"/>
      <c r="AJ382" s="171"/>
      <c r="AK382" s="171"/>
      <c r="AL382" s="171"/>
      <c r="AM382" s="171"/>
      <c r="AN382" s="171"/>
      <c r="AO382" s="171"/>
      <c r="AP382" s="171"/>
      <c r="AQ382" s="171"/>
      <c r="AR382" s="171"/>
      <c r="AS382" s="171"/>
      <c r="AT382" s="171"/>
      <c r="AU382" s="171"/>
    </row>
    <row r="383" spans="1:47" s="620" customFormat="1" ht="15.75" hidden="1" thickBot="1" x14ac:dyDescent="0.3">
      <c r="A383" s="1184" t="s">
        <v>1438</v>
      </c>
      <c r="B383" s="1185">
        <f t="shared" ref="B383:G383" si="94">ABS(B379-B373)</f>
        <v>0</v>
      </c>
      <c r="C383" s="1185">
        <f t="shared" si="94"/>
        <v>0</v>
      </c>
      <c r="D383" s="1185">
        <f t="shared" si="94"/>
        <v>0</v>
      </c>
      <c r="E383" s="1185">
        <f t="shared" si="94"/>
        <v>0</v>
      </c>
      <c r="F383" s="1185">
        <f t="shared" si="94"/>
        <v>0</v>
      </c>
      <c r="G383" s="1185">
        <f t="shared" si="94"/>
        <v>0</v>
      </c>
      <c r="H383" s="171"/>
      <c r="I383" s="171"/>
      <c r="J383" s="100"/>
      <c r="K383" s="100"/>
      <c r="L383" s="101"/>
      <c r="M383" s="171"/>
      <c r="N383" s="100"/>
      <c r="O383" s="171"/>
      <c r="P383" s="171"/>
      <c r="Q383" s="171"/>
      <c r="R383" s="171"/>
      <c r="S383" s="171"/>
      <c r="T383" s="100"/>
      <c r="U383" s="101"/>
      <c r="V383" s="171"/>
      <c r="W383" s="100"/>
      <c r="X383" s="101"/>
      <c r="Y383" s="171"/>
      <c r="Z383" s="100"/>
      <c r="AA383" s="101"/>
      <c r="AB383" s="171"/>
      <c r="AC383" s="171"/>
      <c r="AD383" s="171"/>
      <c r="AE383" s="171"/>
      <c r="AF383" s="171"/>
      <c r="AG383" s="171"/>
      <c r="AH383" s="171"/>
      <c r="AI383" s="171"/>
      <c r="AJ383" s="171"/>
      <c r="AK383" s="171"/>
      <c r="AL383" s="171"/>
      <c r="AM383" s="171"/>
      <c r="AN383" s="171"/>
      <c r="AO383" s="171"/>
      <c r="AP383" s="171"/>
      <c r="AQ383" s="171"/>
      <c r="AR383" s="171"/>
      <c r="AS383" s="171"/>
      <c r="AT383" s="171"/>
      <c r="AU383" s="171"/>
    </row>
    <row r="384" spans="1:47" s="620" customFormat="1" hidden="1" x14ac:dyDescent="0.25">
      <c r="A384" s="1186" t="s">
        <v>1439</v>
      </c>
      <c r="B384" s="1187" t="e">
        <f t="shared" ref="B384:G384" si="95">B380/B382</f>
        <v>#DIV/0!</v>
      </c>
      <c r="C384" s="1187" t="e">
        <f t="shared" si="95"/>
        <v>#DIV/0!</v>
      </c>
      <c r="D384" s="1187" t="e">
        <f t="shared" si="95"/>
        <v>#DIV/0!</v>
      </c>
      <c r="E384" s="1187" t="e">
        <f t="shared" si="95"/>
        <v>#DIV/0!</v>
      </c>
      <c r="F384" s="1187" t="e">
        <f t="shared" si="95"/>
        <v>#DIV/0!</v>
      </c>
      <c r="G384" s="1188" t="e">
        <f t="shared" si="95"/>
        <v>#DIV/0!</v>
      </c>
      <c r="H384" s="171"/>
      <c r="I384" s="171"/>
      <c r="J384" s="100"/>
      <c r="K384" s="100"/>
      <c r="L384" s="101"/>
      <c r="M384" s="171"/>
      <c r="N384" s="100"/>
      <c r="O384" s="171"/>
      <c r="P384" s="171"/>
      <c r="Q384" s="171"/>
      <c r="R384" s="171"/>
      <c r="S384" s="171"/>
      <c r="T384" s="100"/>
      <c r="U384" s="101"/>
      <c r="V384" s="171"/>
      <c r="W384" s="100"/>
      <c r="X384" s="101"/>
      <c r="Y384" s="171"/>
      <c r="Z384" s="100"/>
      <c r="AA384" s="101"/>
      <c r="AB384" s="171"/>
      <c r="AC384" s="171"/>
      <c r="AD384" s="171"/>
      <c r="AE384" s="171"/>
      <c r="AF384" s="171"/>
      <c r="AG384" s="171"/>
      <c r="AH384" s="171"/>
      <c r="AI384" s="171"/>
      <c r="AJ384" s="171"/>
      <c r="AK384" s="171"/>
      <c r="AL384" s="171"/>
      <c r="AM384" s="171"/>
      <c r="AN384" s="171"/>
      <c r="AO384" s="171"/>
      <c r="AP384" s="171"/>
      <c r="AQ384" s="171"/>
      <c r="AR384" s="171"/>
      <c r="AS384" s="171"/>
      <c r="AT384" s="171"/>
      <c r="AU384" s="171"/>
    </row>
    <row r="385" spans="1:47" s="620" customFormat="1" hidden="1" x14ac:dyDescent="0.25">
      <c r="A385" s="1189" t="s">
        <v>1440</v>
      </c>
      <c r="B385" s="653" t="e">
        <f t="shared" ref="B385:G385" si="96">B381/B383</f>
        <v>#DIV/0!</v>
      </c>
      <c r="C385" s="653" t="e">
        <f t="shared" si="96"/>
        <v>#DIV/0!</v>
      </c>
      <c r="D385" s="653" t="e">
        <f t="shared" si="96"/>
        <v>#DIV/0!</v>
      </c>
      <c r="E385" s="653" t="e">
        <f t="shared" si="96"/>
        <v>#DIV/0!</v>
      </c>
      <c r="F385" s="653" t="e">
        <f t="shared" si="96"/>
        <v>#DIV/0!</v>
      </c>
      <c r="G385" s="1190" t="e">
        <f t="shared" si="96"/>
        <v>#DIV/0!</v>
      </c>
      <c r="H385" s="171"/>
      <c r="I385" s="171"/>
      <c r="J385" s="100"/>
      <c r="K385" s="100"/>
      <c r="L385" s="101"/>
      <c r="M385" s="171"/>
      <c r="N385" s="100"/>
      <c r="O385" s="171"/>
      <c r="P385" s="171"/>
      <c r="Q385" s="171"/>
      <c r="R385" s="171"/>
      <c r="S385" s="171"/>
      <c r="T385" s="100"/>
      <c r="U385" s="101"/>
      <c r="V385" s="171"/>
      <c r="W385" s="100"/>
      <c r="X385" s="101"/>
      <c r="Y385" s="171"/>
      <c r="Z385" s="100"/>
      <c r="AA385" s="101"/>
      <c r="AB385" s="171"/>
      <c r="AC385" s="171"/>
      <c r="AD385" s="171"/>
      <c r="AE385" s="171"/>
      <c r="AF385" s="171"/>
      <c r="AG385" s="171"/>
      <c r="AH385" s="171"/>
      <c r="AI385" s="171"/>
      <c r="AJ385" s="171"/>
      <c r="AK385" s="171"/>
      <c r="AL385" s="171"/>
      <c r="AM385" s="171"/>
      <c r="AN385" s="171"/>
      <c r="AO385" s="171"/>
      <c r="AP385" s="171"/>
      <c r="AQ385" s="171"/>
      <c r="AR385" s="171"/>
      <c r="AS385" s="171"/>
      <c r="AT385" s="171"/>
      <c r="AU385" s="171"/>
    </row>
    <row r="386" spans="1:47" s="620" customFormat="1" hidden="1" x14ac:dyDescent="0.25">
      <c r="A386" s="1189" t="s">
        <v>1639</v>
      </c>
      <c r="B386" s="653">
        <f t="shared" ref="B386:G386" si="97">IF($D$141="Quadrado",B$132^2,PI()*(B$132/2)^2)</f>
        <v>0</v>
      </c>
      <c r="C386" s="653" t="e">
        <f t="shared" si="97"/>
        <v>#VALUE!</v>
      </c>
      <c r="D386" s="653" t="e">
        <f t="shared" si="97"/>
        <v>#VALUE!</v>
      </c>
      <c r="E386" s="653" t="e">
        <f t="shared" si="97"/>
        <v>#VALUE!</v>
      </c>
      <c r="F386" s="653" t="e">
        <f t="shared" si="97"/>
        <v>#VALUE!</v>
      </c>
      <c r="G386" s="653" t="e">
        <f t="shared" si="97"/>
        <v>#VALUE!</v>
      </c>
      <c r="H386" s="171"/>
      <c r="I386" s="171"/>
      <c r="J386" s="100"/>
      <c r="K386" s="100"/>
      <c r="L386" s="101"/>
      <c r="M386" s="171"/>
      <c r="N386" s="100"/>
      <c r="O386" s="171"/>
      <c r="P386" s="171"/>
      <c r="Q386" s="171"/>
      <c r="R386" s="171"/>
      <c r="S386" s="171"/>
      <c r="T386" s="100"/>
      <c r="U386" s="101"/>
      <c r="V386" s="171"/>
      <c r="W386" s="100"/>
      <c r="X386" s="101"/>
      <c r="Y386" s="171"/>
      <c r="Z386" s="100"/>
      <c r="AA386" s="101"/>
      <c r="AB386" s="171"/>
      <c r="AC386" s="171"/>
      <c r="AD386" s="171"/>
      <c r="AE386" s="171"/>
      <c r="AF386" s="171"/>
      <c r="AG386" s="171"/>
      <c r="AH386" s="171"/>
      <c r="AI386" s="171"/>
      <c r="AJ386" s="171"/>
      <c r="AK386" s="171"/>
      <c r="AL386" s="171"/>
      <c r="AM386" s="171"/>
      <c r="AN386" s="171"/>
      <c r="AO386" s="171"/>
      <c r="AP386" s="171"/>
      <c r="AQ386" s="171"/>
      <c r="AR386" s="171"/>
      <c r="AS386" s="171"/>
      <c r="AT386" s="171"/>
      <c r="AU386" s="171"/>
    </row>
    <row r="387" spans="1:47" s="620" customFormat="1" ht="18" hidden="1" thickBot="1" x14ac:dyDescent="0.3">
      <c r="A387" s="1415" t="s">
        <v>1640</v>
      </c>
      <c r="B387" s="1416">
        <f t="shared" ref="B387:G387" si="98">IF($D$141="Quadrado",B362^2,PI()*(B362/2)^2)</f>
        <v>415.47562843725012</v>
      </c>
      <c r="C387" s="1191">
        <f t="shared" si="98"/>
        <v>0</v>
      </c>
      <c r="D387" s="1191">
        <f t="shared" si="98"/>
        <v>0</v>
      </c>
      <c r="E387" s="1191">
        <f t="shared" si="98"/>
        <v>0</v>
      </c>
      <c r="F387" s="1191">
        <f t="shared" si="98"/>
        <v>0</v>
      </c>
      <c r="G387" s="1192">
        <f t="shared" si="98"/>
        <v>0</v>
      </c>
      <c r="H387" s="171"/>
      <c r="I387" s="171"/>
      <c r="J387" s="100"/>
      <c r="K387" s="100"/>
      <c r="L387" s="101"/>
      <c r="M387" s="171"/>
      <c r="N387" s="100"/>
      <c r="O387" s="171"/>
      <c r="P387" s="171"/>
      <c r="Q387" s="171"/>
      <c r="R387" s="171"/>
      <c r="S387" s="171"/>
      <c r="T387" s="100"/>
      <c r="U387" s="101"/>
      <c r="V387" s="171"/>
      <c r="W387" s="100"/>
      <c r="X387" s="101"/>
      <c r="Y387" s="171"/>
      <c r="Z387" s="100"/>
      <c r="AA387" s="101"/>
      <c r="AB387" s="171"/>
      <c r="AC387" s="171"/>
      <c r="AD387" s="171"/>
      <c r="AE387" s="171"/>
      <c r="AF387" s="171"/>
      <c r="AG387" s="171"/>
      <c r="AH387" s="171"/>
      <c r="AI387" s="171"/>
      <c r="AJ387" s="171"/>
      <c r="AK387" s="171"/>
      <c r="AL387" s="171"/>
      <c r="AM387" s="171"/>
      <c r="AN387" s="171"/>
      <c r="AO387" s="171"/>
      <c r="AP387" s="171"/>
      <c r="AQ387" s="171"/>
      <c r="AR387" s="171"/>
      <c r="AS387" s="171"/>
      <c r="AT387" s="171"/>
      <c r="AU387" s="171"/>
    </row>
    <row r="388" spans="1:47" s="620" customFormat="1" ht="17.25" hidden="1" x14ac:dyDescent="0.25">
      <c r="A388" s="1498" t="s">
        <v>1684</v>
      </c>
      <c r="B388" s="1187" t="str">
        <f t="shared" ref="B388:G388" ca="1" si="99">IFERROR(B384*B369,"NPA")</f>
        <v>NPA</v>
      </c>
      <c r="C388" s="1187" t="str">
        <f t="shared" ca="1" si="99"/>
        <v>NPA</v>
      </c>
      <c r="D388" s="1187" t="str">
        <f t="shared" ca="1" si="99"/>
        <v>NPA</v>
      </c>
      <c r="E388" s="1187" t="str">
        <f t="shared" ca="1" si="99"/>
        <v>NPA</v>
      </c>
      <c r="F388" s="1187" t="str">
        <f t="shared" ca="1" si="99"/>
        <v>NPA</v>
      </c>
      <c r="G388" s="1187" t="str">
        <f t="shared" ca="1" si="99"/>
        <v>NPA</v>
      </c>
      <c r="H388" s="171"/>
      <c r="I388" s="171"/>
      <c r="J388" s="100"/>
      <c r="K388" s="100"/>
      <c r="L388" s="101"/>
      <c r="M388" s="171"/>
      <c r="N388" s="100"/>
      <c r="O388" s="171"/>
      <c r="P388" s="171"/>
      <c r="Q388" s="171"/>
      <c r="R388" s="171"/>
      <c r="S388" s="171"/>
      <c r="T388" s="100"/>
      <c r="U388" s="101"/>
      <c r="V388" s="171"/>
      <c r="W388" s="100"/>
      <c r="X388" s="101"/>
      <c r="Y388" s="171"/>
      <c r="Z388" s="100"/>
      <c r="AA388" s="101"/>
      <c r="AB388" s="171"/>
      <c r="AC388" s="171"/>
      <c r="AD388" s="171"/>
      <c r="AE388" s="171"/>
      <c r="AF388" s="171"/>
      <c r="AG388" s="171"/>
      <c r="AH388" s="171"/>
      <c r="AI388" s="171"/>
      <c r="AJ388" s="171"/>
      <c r="AK388" s="171"/>
      <c r="AL388" s="171"/>
      <c r="AM388" s="171"/>
      <c r="AN388" s="171"/>
      <c r="AO388" s="171"/>
      <c r="AP388" s="171"/>
      <c r="AQ388" s="171"/>
      <c r="AR388" s="171"/>
      <c r="AS388" s="171"/>
      <c r="AT388" s="171"/>
      <c r="AU388" s="171"/>
    </row>
    <row r="389" spans="1:47" s="620" customFormat="1" ht="17.25" hidden="1" x14ac:dyDescent="0.25">
      <c r="A389" s="1499" t="s">
        <v>1686</v>
      </c>
      <c r="B389" s="653" t="str">
        <f t="shared" ref="B389:G389" ca="1" si="100">IFERROR(B369*B386,"NPA")</f>
        <v>NPA</v>
      </c>
      <c r="C389" s="653" t="str">
        <f t="shared" ca="1" si="100"/>
        <v>NPA</v>
      </c>
      <c r="D389" s="653" t="str">
        <f t="shared" ca="1" si="100"/>
        <v>NPA</v>
      </c>
      <c r="E389" s="653" t="str">
        <f t="shared" ca="1" si="100"/>
        <v>NPA</v>
      </c>
      <c r="F389" s="653" t="str">
        <f t="shared" ca="1" si="100"/>
        <v>NPA</v>
      </c>
      <c r="G389" s="653" t="str">
        <f t="shared" ca="1" si="100"/>
        <v>NPA</v>
      </c>
      <c r="H389" s="171"/>
      <c r="I389" s="171"/>
      <c r="J389" s="100"/>
      <c r="K389" s="100"/>
      <c r="L389" s="101"/>
      <c r="M389" s="171"/>
      <c r="N389" s="100"/>
      <c r="O389" s="171"/>
      <c r="P389" s="171"/>
      <c r="Q389" s="171"/>
      <c r="R389" s="171"/>
      <c r="S389" s="171"/>
      <c r="T389" s="100"/>
      <c r="U389" s="101"/>
      <c r="V389" s="171"/>
      <c r="W389" s="100"/>
      <c r="X389" s="101"/>
      <c r="Y389" s="171"/>
      <c r="Z389" s="100"/>
      <c r="AA389" s="101"/>
      <c r="AB389" s="171"/>
      <c r="AC389" s="171"/>
      <c r="AD389" s="171"/>
      <c r="AE389" s="171"/>
      <c r="AF389" s="171"/>
      <c r="AG389" s="171"/>
      <c r="AH389" s="171"/>
      <c r="AI389" s="171"/>
      <c r="AJ389" s="171"/>
      <c r="AK389" s="171"/>
      <c r="AL389" s="171"/>
      <c r="AM389" s="171"/>
      <c r="AN389" s="171"/>
      <c r="AO389" s="171"/>
      <c r="AP389" s="171"/>
      <c r="AQ389" s="171"/>
      <c r="AR389" s="171"/>
      <c r="AS389" s="171"/>
      <c r="AT389" s="171"/>
      <c r="AU389" s="171"/>
    </row>
    <row r="390" spans="1:47" s="620" customFormat="1" ht="17.25" hidden="1" x14ac:dyDescent="0.25">
      <c r="A390" s="1499" t="s">
        <v>1688</v>
      </c>
      <c r="B390" s="653" t="str">
        <f t="shared" ref="B390:G390" ca="1" si="101">IFERROR(B369*B387,"NPA")</f>
        <v>NPA</v>
      </c>
      <c r="C390" s="653" t="str">
        <f t="shared" ca="1" si="101"/>
        <v>NPA</v>
      </c>
      <c r="D390" s="653" t="str">
        <f t="shared" ca="1" si="101"/>
        <v>NPA</v>
      </c>
      <c r="E390" s="653" t="str">
        <f t="shared" ca="1" si="101"/>
        <v>NPA</v>
      </c>
      <c r="F390" s="653" t="str">
        <f t="shared" ca="1" si="101"/>
        <v>NPA</v>
      </c>
      <c r="G390" s="653" t="str">
        <f t="shared" ca="1" si="101"/>
        <v>NPA</v>
      </c>
      <c r="H390" s="171"/>
      <c r="I390" s="171"/>
      <c r="J390" s="100"/>
      <c r="K390" s="100"/>
      <c r="L390" s="101"/>
      <c r="M390" s="171"/>
      <c r="N390" s="100"/>
      <c r="O390" s="171"/>
      <c r="P390" s="171"/>
      <c r="Q390" s="171"/>
      <c r="R390" s="171"/>
      <c r="S390" s="171"/>
      <c r="T390" s="100"/>
      <c r="U390" s="101"/>
      <c r="V390" s="171"/>
      <c r="W390" s="100"/>
      <c r="X390" s="101"/>
      <c r="Y390" s="171"/>
      <c r="Z390" s="100"/>
      <c r="AA390" s="101"/>
      <c r="AB390" s="171"/>
      <c r="AC390" s="171"/>
      <c r="AD390" s="171"/>
      <c r="AE390" s="171"/>
      <c r="AF390" s="171"/>
      <c r="AG390" s="171"/>
      <c r="AH390" s="171"/>
      <c r="AI390" s="171"/>
      <c r="AJ390" s="171"/>
      <c r="AK390" s="171"/>
      <c r="AL390" s="171"/>
      <c r="AM390" s="171"/>
      <c r="AN390" s="171"/>
      <c r="AO390" s="171"/>
      <c r="AP390" s="171"/>
      <c r="AQ390" s="171"/>
      <c r="AR390" s="171"/>
      <c r="AS390" s="171"/>
      <c r="AT390" s="171"/>
      <c r="AU390" s="171"/>
    </row>
    <row r="391" spans="1:47" s="620" customFormat="1" ht="17.25" hidden="1" x14ac:dyDescent="0.25">
      <c r="A391" s="1500" t="s">
        <v>1685</v>
      </c>
      <c r="B391" s="653" t="str">
        <f t="shared" ref="B391:G391" ca="1" si="102">IFERROR(B385*B375,"NPA")</f>
        <v>NPA</v>
      </c>
      <c r="C391" s="653" t="str">
        <f t="shared" ca="1" si="102"/>
        <v>NPA</v>
      </c>
      <c r="D391" s="653" t="str">
        <f t="shared" ca="1" si="102"/>
        <v>NPA</v>
      </c>
      <c r="E391" s="653" t="str">
        <f t="shared" ca="1" si="102"/>
        <v>NPA</v>
      </c>
      <c r="F391" s="653" t="str">
        <f t="shared" ca="1" si="102"/>
        <v>NPA</v>
      </c>
      <c r="G391" s="653" t="str">
        <f t="shared" ca="1" si="102"/>
        <v>NPA</v>
      </c>
      <c r="H391" s="171"/>
      <c r="I391" s="171"/>
      <c r="J391" s="100"/>
      <c r="K391" s="100"/>
      <c r="L391" s="101"/>
      <c r="M391" s="171"/>
      <c r="N391" s="100"/>
      <c r="O391" s="171"/>
      <c r="P391" s="171"/>
      <c r="Q391" s="171"/>
      <c r="R391" s="171"/>
      <c r="S391" s="171"/>
      <c r="T391" s="100"/>
      <c r="U391" s="101"/>
      <c r="V391" s="171"/>
      <c r="W391" s="100"/>
      <c r="X391" s="101"/>
      <c r="Y391" s="171"/>
      <c r="Z391" s="100"/>
      <c r="AA391" s="101"/>
      <c r="AB391" s="171"/>
      <c r="AC391" s="171"/>
      <c r="AD391" s="171"/>
      <c r="AE391" s="171"/>
      <c r="AF391" s="171"/>
      <c r="AG391" s="171"/>
      <c r="AH391" s="171"/>
      <c r="AI391" s="171"/>
      <c r="AJ391" s="171"/>
      <c r="AK391" s="171"/>
      <c r="AL391" s="171"/>
      <c r="AM391" s="171"/>
      <c r="AN391" s="171"/>
      <c r="AO391" s="171"/>
      <c r="AP391" s="171"/>
      <c r="AQ391" s="171"/>
      <c r="AR391" s="171"/>
      <c r="AS391" s="171"/>
      <c r="AT391" s="171"/>
      <c r="AU391" s="171"/>
    </row>
    <row r="392" spans="1:47" s="620" customFormat="1" ht="17.25" hidden="1" x14ac:dyDescent="0.25">
      <c r="A392" s="1500" t="s">
        <v>1687</v>
      </c>
      <c r="B392" s="653">
        <f t="shared" ref="B392:G392" ca="1" si="103">IFERROR(B375*B386,"NPA")</f>
        <v>0</v>
      </c>
      <c r="C392" s="653" t="str">
        <f t="shared" ca="1" si="103"/>
        <v>NPA</v>
      </c>
      <c r="D392" s="653" t="str">
        <f t="shared" ca="1" si="103"/>
        <v>NPA</v>
      </c>
      <c r="E392" s="653" t="str">
        <f t="shared" ca="1" si="103"/>
        <v>NPA</v>
      </c>
      <c r="F392" s="653" t="str">
        <f t="shared" ca="1" si="103"/>
        <v>NPA</v>
      </c>
      <c r="G392" s="653" t="str">
        <f t="shared" ca="1" si="103"/>
        <v>NPA</v>
      </c>
      <c r="H392" s="171"/>
      <c r="I392" s="171"/>
      <c r="J392" s="100"/>
      <c r="K392" s="100"/>
      <c r="L392" s="101"/>
      <c r="M392" s="171"/>
      <c r="N392" s="100"/>
      <c r="O392" s="171"/>
      <c r="P392" s="171"/>
      <c r="Q392" s="171"/>
      <c r="R392" s="171"/>
      <c r="S392" s="171"/>
      <c r="T392" s="100"/>
      <c r="U392" s="101"/>
      <c r="V392" s="171"/>
      <c r="W392" s="100"/>
      <c r="X392" s="101"/>
      <c r="Y392" s="171"/>
      <c r="Z392" s="100"/>
      <c r="AA392" s="101"/>
      <c r="AB392" s="171"/>
      <c r="AC392" s="171"/>
      <c r="AD392" s="171"/>
      <c r="AE392" s="171"/>
      <c r="AF392" s="171"/>
      <c r="AG392" s="171"/>
      <c r="AH392" s="171"/>
      <c r="AI392" s="171"/>
      <c r="AJ392" s="171"/>
      <c r="AK392" s="171"/>
      <c r="AL392" s="171"/>
      <c r="AM392" s="171"/>
      <c r="AN392" s="171"/>
      <c r="AO392" s="171"/>
      <c r="AP392" s="171"/>
      <c r="AQ392" s="171"/>
      <c r="AR392" s="171"/>
      <c r="AS392" s="171"/>
      <c r="AT392" s="171"/>
      <c r="AU392" s="171"/>
    </row>
    <row r="393" spans="1:47" s="620" customFormat="1" ht="18" hidden="1" thickBot="1" x14ac:dyDescent="0.3">
      <c r="A393" s="1501" t="s">
        <v>1689</v>
      </c>
      <c r="B393" s="1191">
        <f t="shared" ref="B393:G393" ca="1" si="104">IFERROR(B375*B387,"NPA")</f>
        <v>0</v>
      </c>
      <c r="C393" s="1191" t="str">
        <f t="shared" ca="1" si="104"/>
        <v>NPA</v>
      </c>
      <c r="D393" s="1191" t="str">
        <f t="shared" ca="1" si="104"/>
        <v>NPA</v>
      </c>
      <c r="E393" s="1191" t="str">
        <f t="shared" ca="1" si="104"/>
        <v>NPA</v>
      </c>
      <c r="F393" s="1191" t="str">
        <f t="shared" ca="1" si="104"/>
        <v>NPA</v>
      </c>
      <c r="G393" s="1191" t="str">
        <f t="shared" ca="1" si="104"/>
        <v>NPA</v>
      </c>
      <c r="H393" s="171"/>
      <c r="I393" s="171"/>
      <c r="J393" s="100"/>
      <c r="K393" s="100"/>
      <c r="L393" s="101"/>
      <c r="M393" s="171"/>
      <c r="N393" s="100"/>
      <c r="O393" s="171"/>
      <c r="P393" s="171"/>
      <c r="Q393" s="171"/>
      <c r="R393" s="171"/>
      <c r="S393" s="171"/>
      <c r="T393" s="100"/>
      <c r="U393" s="101"/>
      <c r="V393" s="171"/>
      <c r="W393" s="100"/>
      <c r="X393" s="101"/>
      <c r="Y393" s="171"/>
      <c r="Z393" s="100"/>
      <c r="AA393" s="101"/>
      <c r="AB393" s="171"/>
      <c r="AC393" s="171"/>
      <c r="AD393" s="171"/>
      <c r="AE393" s="171"/>
      <c r="AF393" s="171"/>
      <c r="AG393" s="171"/>
      <c r="AH393" s="171"/>
      <c r="AI393" s="171"/>
      <c r="AJ393" s="171"/>
      <c r="AK393" s="171"/>
      <c r="AL393" s="171"/>
      <c r="AM393" s="171"/>
      <c r="AN393" s="171"/>
      <c r="AO393" s="171"/>
      <c r="AP393" s="171"/>
      <c r="AQ393" s="171"/>
      <c r="AR393" s="171"/>
      <c r="AS393" s="171"/>
      <c r="AT393" s="171"/>
      <c r="AU393" s="171"/>
    </row>
    <row r="394" spans="1:47" s="620" customFormat="1" ht="4.5" hidden="1" customHeight="1" thickBot="1" x14ac:dyDescent="0.3">
      <c r="A394" s="1193"/>
      <c r="B394" s="1194"/>
      <c r="C394" s="1194"/>
      <c r="D394" s="1194"/>
      <c r="E394" s="1194"/>
      <c r="F394" s="1194"/>
      <c r="G394" s="1195"/>
      <c r="H394" s="171"/>
      <c r="I394" s="171"/>
      <c r="J394" s="100"/>
      <c r="K394" s="100"/>
      <c r="L394" s="101"/>
      <c r="M394" s="171"/>
      <c r="N394" s="100"/>
      <c r="O394" s="171"/>
      <c r="P394" s="171"/>
      <c r="Q394" s="171"/>
      <c r="R394" s="171"/>
      <c r="S394" s="171"/>
      <c r="T394" s="100"/>
      <c r="U394" s="101"/>
      <c r="V394" s="171"/>
      <c r="W394" s="100"/>
      <c r="X394" s="101"/>
      <c r="Y394" s="171"/>
      <c r="Z394" s="100"/>
      <c r="AA394" s="101"/>
      <c r="AB394" s="171"/>
      <c r="AC394" s="171"/>
      <c r="AD394" s="171"/>
      <c r="AE394" s="171"/>
      <c r="AF394" s="171"/>
      <c r="AG394" s="171"/>
      <c r="AH394" s="171"/>
      <c r="AI394" s="171"/>
      <c r="AJ394" s="171"/>
      <c r="AK394" s="171"/>
      <c r="AL394" s="171"/>
      <c r="AM394" s="171"/>
      <c r="AN394" s="171"/>
      <c r="AO394" s="171"/>
      <c r="AP394" s="171"/>
      <c r="AQ394" s="171"/>
      <c r="AR394" s="171"/>
      <c r="AS394" s="171"/>
      <c r="AT394" s="171"/>
      <c r="AU394" s="171"/>
    </row>
    <row r="395" spans="1:47" s="620" customFormat="1" ht="15.75" hidden="1" thickBot="1" x14ac:dyDescent="0.3">
      <c r="A395" s="2496" t="s">
        <v>1654</v>
      </c>
      <c r="B395" s="2497"/>
      <c r="C395" s="2497"/>
      <c r="D395" s="2497"/>
      <c r="E395" s="2497"/>
      <c r="F395" s="2497"/>
      <c r="G395" s="2498"/>
      <c r="H395" s="171"/>
      <c r="I395" s="171"/>
      <c r="J395" s="100"/>
      <c r="K395" s="100"/>
      <c r="L395" s="101"/>
      <c r="M395" s="171"/>
      <c r="N395" s="100"/>
      <c r="O395" s="171"/>
      <c r="P395" s="171"/>
      <c r="Q395" s="171"/>
      <c r="R395" s="171"/>
      <c r="S395" s="171"/>
      <c r="T395" s="100"/>
      <c r="U395" s="101"/>
      <c r="V395" s="171"/>
      <c r="W395" s="100"/>
      <c r="X395" s="101"/>
      <c r="Y395" s="171"/>
      <c r="Z395" s="100"/>
      <c r="AA395" s="101"/>
      <c r="AB395" s="171"/>
      <c r="AC395" s="171"/>
      <c r="AD395" s="171"/>
      <c r="AE395" s="171"/>
      <c r="AF395" s="171"/>
      <c r="AG395" s="171"/>
      <c r="AH395" s="171"/>
      <c r="AI395" s="171"/>
      <c r="AJ395" s="171"/>
      <c r="AK395" s="171"/>
      <c r="AL395" s="171"/>
      <c r="AM395" s="171"/>
      <c r="AN395" s="171"/>
      <c r="AO395" s="171"/>
      <c r="AP395" s="171"/>
      <c r="AQ395" s="171"/>
      <c r="AR395" s="171"/>
      <c r="AS395" s="171"/>
      <c r="AT395" s="171"/>
      <c r="AU395" s="171"/>
    </row>
    <row r="396" spans="1:47" s="620" customFormat="1" hidden="1" x14ac:dyDescent="0.25">
      <c r="A396" s="1193" t="s">
        <v>1656</v>
      </c>
      <c r="B396" s="1497" t="str">
        <f>B345</f>
        <v>mGy.cm2 calculado Ddisp1.A10</v>
      </c>
      <c r="C396" s="1491" t="str">
        <f>B396</f>
        <v>mGy.cm2 calculado Ddisp1.A10</v>
      </c>
      <c r="D396" s="1491" t="str">
        <f>C396</f>
        <v>mGy.cm2 calculado Ddisp1.A10</v>
      </c>
      <c r="E396" s="1491" t="str">
        <f>D396</f>
        <v>mGy.cm2 calculado Ddisp1.A10</v>
      </c>
      <c r="F396" s="1491" t="str">
        <f>E396</f>
        <v>mGy.cm2 calculado Ddisp1.A10</v>
      </c>
      <c r="G396" s="1491" t="str">
        <f>F396</f>
        <v>mGy.cm2 calculado Ddisp1.A10</v>
      </c>
      <c r="H396" s="171"/>
      <c r="I396" s="171"/>
      <c r="J396" s="100"/>
      <c r="K396" s="100"/>
      <c r="L396" s="101"/>
      <c r="M396" s="171"/>
      <c r="N396" s="100"/>
      <c r="O396" s="171"/>
      <c r="P396" s="171"/>
      <c r="Q396" s="171"/>
      <c r="R396" s="171"/>
      <c r="S396" s="171"/>
      <c r="T396" s="100"/>
      <c r="U396" s="101"/>
      <c r="V396" s="171"/>
      <c r="W396" s="100"/>
      <c r="X396" s="101"/>
      <c r="Y396" s="171"/>
      <c r="Z396" s="100"/>
      <c r="AA396" s="101"/>
      <c r="AB396" s="171"/>
      <c r="AC396" s="171"/>
      <c r="AD396" s="171"/>
      <c r="AE396" s="171"/>
      <c r="AF396" s="171"/>
      <c r="AG396" s="171"/>
      <c r="AH396" s="171"/>
      <c r="AI396" s="171"/>
      <c r="AJ396" s="171"/>
      <c r="AK396" s="171"/>
      <c r="AL396" s="171"/>
      <c r="AM396" s="171"/>
      <c r="AN396" s="171"/>
      <c r="AO396" s="171"/>
      <c r="AP396" s="171"/>
      <c r="AQ396" s="171"/>
      <c r="AR396" s="171"/>
      <c r="AS396" s="171"/>
      <c r="AT396" s="171"/>
      <c r="AU396" s="171"/>
    </row>
    <row r="397" spans="1:47" s="620" customFormat="1" ht="17.25" hidden="1" x14ac:dyDescent="0.25">
      <c r="A397" s="1480" t="s">
        <v>1657</v>
      </c>
      <c r="B397" s="1213">
        <f t="shared" ref="B397:G397" si="105">B381</f>
        <v>0</v>
      </c>
      <c r="C397" s="1213">
        <f t="shared" si="105"/>
        <v>0</v>
      </c>
      <c r="D397" s="1213">
        <f t="shared" si="105"/>
        <v>0</v>
      </c>
      <c r="E397" s="1213">
        <f t="shared" si="105"/>
        <v>0</v>
      </c>
      <c r="F397" s="1213">
        <f t="shared" si="105"/>
        <v>0</v>
      </c>
      <c r="G397" s="1213">
        <f t="shared" si="105"/>
        <v>0</v>
      </c>
      <c r="H397" s="171"/>
      <c r="I397" s="171"/>
      <c r="J397" s="100"/>
      <c r="K397" s="100"/>
      <c r="L397" s="101"/>
      <c r="M397" s="171"/>
      <c r="N397" s="100"/>
      <c r="O397" s="171"/>
      <c r="P397" s="171"/>
      <c r="Q397" s="171"/>
      <c r="R397" s="171"/>
      <c r="S397" s="171"/>
      <c r="T397" s="100"/>
      <c r="U397" s="101"/>
      <c r="V397" s="171"/>
      <c r="W397" s="100"/>
      <c r="X397" s="101"/>
      <c r="Y397" s="171"/>
      <c r="Z397" s="100"/>
      <c r="AA397" s="101"/>
      <c r="AB397" s="171"/>
      <c r="AC397" s="171"/>
      <c r="AD397" s="171"/>
      <c r="AE397" s="171"/>
      <c r="AF397" s="171"/>
      <c r="AG397" s="171"/>
      <c r="AH397" s="171"/>
      <c r="AI397" s="171"/>
      <c r="AJ397" s="171"/>
      <c r="AK397" s="171"/>
      <c r="AL397" s="171"/>
      <c r="AM397" s="171"/>
      <c r="AN397" s="171"/>
      <c r="AO397" s="171"/>
      <c r="AP397" s="171"/>
      <c r="AQ397" s="171"/>
      <c r="AR397" s="171"/>
      <c r="AS397" s="171"/>
      <c r="AT397" s="171"/>
      <c r="AU397" s="171"/>
    </row>
    <row r="398" spans="1:47" s="620" customFormat="1" ht="17.25" hidden="1" x14ac:dyDescent="0.25">
      <c r="A398" s="1481" t="s">
        <v>1658</v>
      </c>
      <c r="B398" s="1196" t="str">
        <f t="shared" ref="B398:G398" ca="1" si="106">VLOOKUP($B396,$A388:$G393,COLUMN())</f>
        <v>NPA</v>
      </c>
      <c r="C398" s="1196" t="str">
        <f t="shared" ca="1" si="106"/>
        <v>NPA</v>
      </c>
      <c r="D398" s="1196" t="str">
        <f t="shared" ca="1" si="106"/>
        <v>NPA</v>
      </c>
      <c r="E398" s="1196" t="str">
        <f t="shared" ca="1" si="106"/>
        <v>NPA</v>
      </c>
      <c r="F398" s="1196" t="str">
        <f t="shared" ca="1" si="106"/>
        <v>NPA</v>
      </c>
      <c r="G398" s="1196" t="str">
        <f t="shared" ca="1" si="106"/>
        <v>NPA</v>
      </c>
      <c r="H398" s="171"/>
      <c r="I398" s="171"/>
      <c r="J398" s="100"/>
      <c r="K398" s="100"/>
      <c r="L398" s="101"/>
      <c r="M398" s="171"/>
      <c r="N398" s="100"/>
      <c r="O398" s="171"/>
      <c r="P398" s="171"/>
      <c r="Q398" s="171"/>
      <c r="R398" s="171"/>
      <c r="S398" s="171"/>
      <c r="T398" s="100"/>
      <c r="U398" s="101"/>
      <c r="V398" s="171"/>
      <c r="W398" s="100"/>
      <c r="X398" s="101"/>
      <c r="Y398" s="171"/>
      <c r="Z398" s="100"/>
      <c r="AA398" s="101"/>
      <c r="AB398" s="171"/>
      <c r="AC398" s="171"/>
      <c r="AD398" s="171"/>
      <c r="AE398" s="171"/>
      <c r="AF398" s="171"/>
      <c r="AG398" s="171"/>
      <c r="AH398" s="171"/>
      <c r="AI398" s="171"/>
      <c r="AJ398" s="171"/>
      <c r="AK398" s="171"/>
      <c r="AL398" s="171"/>
      <c r="AM398" s="171"/>
      <c r="AN398" s="171"/>
      <c r="AO398" s="171"/>
      <c r="AP398" s="171"/>
      <c r="AQ398" s="171"/>
      <c r="AR398" s="171"/>
      <c r="AS398" s="171"/>
      <c r="AT398" s="171"/>
      <c r="AU398" s="171"/>
    </row>
    <row r="399" spans="1:47" s="620" customFormat="1" x14ac:dyDescent="0.25">
      <c r="A399" s="140" t="s">
        <v>1700</v>
      </c>
      <c r="B399" s="1196">
        <f t="shared" ref="B399:G399" si="107">B195</f>
        <v>0</v>
      </c>
      <c r="C399" s="1196">
        <f t="shared" si="107"/>
        <v>1</v>
      </c>
      <c r="D399" s="1196">
        <f t="shared" si="107"/>
        <v>1</v>
      </c>
      <c r="E399" s="1196">
        <f t="shared" si="107"/>
        <v>1</v>
      </c>
      <c r="F399" s="1196">
        <f t="shared" si="107"/>
        <v>1</v>
      </c>
      <c r="G399" s="1196">
        <f t="shared" si="107"/>
        <v>1</v>
      </c>
      <c r="H399" s="171" t="s">
        <v>1647</v>
      </c>
      <c r="J399" s="100"/>
      <c r="K399" s="100"/>
      <c r="L399" s="101"/>
      <c r="M399" s="171"/>
      <c r="N399" s="100"/>
      <c r="O399" s="171"/>
      <c r="P399" s="171"/>
      <c r="Q399" s="171"/>
      <c r="R399" s="171"/>
      <c r="S399" s="171"/>
      <c r="T399" s="100"/>
      <c r="U399" s="101"/>
      <c r="V399" s="171"/>
      <c r="W399" s="100"/>
      <c r="X399" s="101"/>
      <c r="Y399" s="171"/>
      <c r="Z399" s="100"/>
      <c r="AA399" s="101"/>
      <c r="AB399" s="171"/>
      <c r="AC399" s="171"/>
      <c r="AD399" s="171"/>
      <c r="AE399" s="171"/>
      <c r="AF399" s="171"/>
      <c r="AG399" s="171"/>
      <c r="AH399" s="171"/>
      <c r="AI399" s="171"/>
      <c r="AJ399" s="171"/>
      <c r="AK399" s="171"/>
      <c r="AL399" s="171"/>
      <c r="AM399" s="171"/>
      <c r="AN399" s="171"/>
      <c r="AO399" s="171"/>
      <c r="AP399" s="171"/>
      <c r="AQ399" s="171"/>
      <c r="AR399" s="171"/>
      <c r="AS399" s="171"/>
      <c r="AT399" s="171"/>
      <c r="AU399" s="171"/>
    </row>
    <row r="400" spans="1:47" s="620" customFormat="1" hidden="1" x14ac:dyDescent="0.25">
      <c r="A400" s="1504" t="s">
        <v>1683</v>
      </c>
      <c r="B400" s="1505" t="e">
        <f t="shared" ref="B400:G400" ca="1" si="108">ROUNDDOWN(ABS(B398/(B397*B399)-1)*100,2)</f>
        <v>#VALUE!</v>
      </c>
      <c r="C400" s="1505" t="e">
        <f t="shared" ca="1" si="108"/>
        <v>#VALUE!</v>
      </c>
      <c r="D400" s="1505" t="e">
        <f t="shared" ca="1" si="108"/>
        <v>#VALUE!</v>
      </c>
      <c r="E400" s="1505" t="e">
        <f t="shared" ca="1" si="108"/>
        <v>#VALUE!</v>
      </c>
      <c r="F400" s="1505" t="e">
        <f t="shared" ca="1" si="108"/>
        <v>#VALUE!</v>
      </c>
      <c r="G400" s="1505" t="e">
        <f t="shared" ca="1" si="108"/>
        <v>#VALUE!</v>
      </c>
      <c r="H400" s="171"/>
      <c r="I400" s="171"/>
      <c r="J400" s="100"/>
      <c r="K400" s="100"/>
      <c r="L400" s="101"/>
      <c r="M400" s="171"/>
      <c r="N400" s="100"/>
      <c r="O400" s="171"/>
      <c r="P400" s="171"/>
      <c r="Q400" s="171"/>
      <c r="R400" s="171"/>
      <c r="S400" s="171"/>
      <c r="T400" s="100"/>
      <c r="U400" s="101"/>
      <c r="V400" s="171"/>
      <c r="W400" s="100"/>
      <c r="X400" s="101"/>
      <c r="Y400" s="171"/>
      <c r="Z400" s="100"/>
      <c r="AA400" s="101"/>
      <c r="AB400" s="171"/>
      <c r="AC400" s="171"/>
      <c r="AD400" s="171"/>
      <c r="AE400" s="171"/>
      <c r="AF400" s="171"/>
      <c r="AG400" s="171"/>
      <c r="AH400" s="171"/>
      <c r="AI400" s="171"/>
      <c r="AJ400" s="171"/>
      <c r="AK400" s="171"/>
      <c r="AL400" s="171"/>
      <c r="AM400" s="171"/>
      <c r="AN400" s="171"/>
      <c r="AO400" s="171"/>
      <c r="AP400" s="171"/>
      <c r="AQ400" s="171"/>
      <c r="AR400" s="171"/>
      <c r="AS400" s="171"/>
      <c r="AT400" s="171"/>
      <c r="AU400" s="171"/>
    </row>
    <row r="401" spans="1:47" s="620" customFormat="1" hidden="1" x14ac:dyDescent="0.25">
      <c r="A401" s="1506" t="str">
        <f>$B$1</f>
        <v>IN 91</v>
      </c>
      <c r="B401" s="1507" t="str">
        <f t="shared" ref="B401:G401" ca="1" si="109">IFERROR(IF(ROUNDDOWN(ABS(B398/(B397*B399)-1),2)&lt;=0.2,"Sim",IF(ROUNDDOWN(ABS(B398/(B397*B399)-1),2)&lt;0.4,"Não","Restrição")),"NPA")</f>
        <v>NPA</v>
      </c>
      <c r="C401" s="1507" t="str">
        <f t="shared" ca="1" si="109"/>
        <v>NPA</v>
      </c>
      <c r="D401" s="1507" t="str">
        <f t="shared" ca="1" si="109"/>
        <v>NPA</v>
      </c>
      <c r="E401" s="1507" t="str">
        <f t="shared" ca="1" si="109"/>
        <v>NPA</v>
      </c>
      <c r="F401" s="1507" t="str">
        <f t="shared" ca="1" si="109"/>
        <v>NPA</v>
      </c>
      <c r="G401" s="1507" t="str">
        <f t="shared" ca="1" si="109"/>
        <v>NPA</v>
      </c>
      <c r="H401" s="171"/>
      <c r="I401" s="171"/>
      <c r="J401" s="101"/>
      <c r="K401" s="171"/>
      <c r="L401" s="101"/>
      <c r="M401" s="171"/>
      <c r="N401" s="100"/>
      <c r="O401" s="171"/>
      <c r="P401" s="171"/>
      <c r="Q401" s="171"/>
      <c r="R401" s="171"/>
      <c r="S401" s="171"/>
      <c r="T401" s="100"/>
      <c r="U401" s="101"/>
      <c r="V401" s="171"/>
      <c r="W401" s="100"/>
      <c r="X401" s="101"/>
      <c r="Y401" s="171"/>
      <c r="Z401" s="100"/>
      <c r="AA401" s="101"/>
      <c r="AB401" s="171"/>
      <c r="AC401" s="171"/>
      <c r="AD401" s="171"/>
      <c r="AE401" s="171"/>
      <c r="AF401" s="171"/>
      <c r="AG401" s="171"/>
      <c r="AH401" s="171"/>
      <c r="AI401" s="171"/>
      <c r="AJ401" s="171"/>
      <c r="AK401" s="171"/>
      <c r="AL401" s="171"/>
      <c r="AM401" s="171"/>
      <c r="AN401" s="171"/>
      <c r="AO401" s="171"/>
      <c r="AP401" s="171"/>
      <c r="AQ401" s="171"/>
      <c r="AR401" s="171"/>
      <c r="AS401" s="171"/>
      <c r="AT401" s="171"/>
      <c r="AU401" s="171"/>
    </row>
    <row r="402" spans="1:47" s="171" customFormat="1" ht="3.6" hidden="1" customHeight="1" x14ac:dyDescent="0.25">
      <c r="A402" s="1508"/>
      <c r="B402" s="1509"/>
      <c r="C402" s="1509"/>
      <c r="D402" s="1509"/>
      <c r="E402" s="1509"/>
      <c r="F402" s="1509"/>
      <c r="G402" s="1510"/>
      <c r="J402" s="101"/>
      <c r="L402" s="101"/>
      <c r="N402" s="100"/>
      <c r="T402" s="100"/>
      <c r="U402" s="101"/>
      <c r="W402" s="100"/>
      <c r="X402" s="101"/>
      <c r="Z402" s="100"/>
      <c r="AA402" s="101"/>
    </row>
    <row r="403" spans="1:47" s="171" customFormat="1" ht="15.75" hidden="1" thickBot="1" x14ac:dyDescent="0.3">
      <c r="A403" s="2524" t="s">
        <v>1659</v>
      </c>
      <c r="B403" s="2525"/>
      <c r="C403" s="2525"/>
      <c r="D403" s="2525"/>
      <c r="E403" s="2525"/>
      <c r="F403" s="2525"/>
      <c r="G403" s="2526"/>
      <c r="J403" s="101"/>
      <c r="L403" s="101"/>
      <c r="N403" s="100"/>
      <c r="T403" s="100"/>
      <c r="U403" s="101"/>
      <c r="W403" s="100"/>
      <c r="X403" s="101"/>
      <c r="Z403" s="100"/>
      <c r="AA403" s="101"/>
    </row>
    <row r="404" spans="1:47" s="171" customFormat="1" hidden="1" x14ac:dyDescent="0.25">
      <c r="A404" s="1511" t="s">
        <v>1660</v>
      </c>
      <c r="B404" s="1512" t="e">
        <f t="shared" ref="B404:G404" ca="1" si="110">ROUNDDOWN(100*ABS((B375/B399*($D$147/$D$144)^2)/B383-1),2)</f>
        <v>#DIV/0!</v>
      </c>
      <c r="C404" s="1512" t="e">
        <f t="shared" ca="1" si="110"/>
        <v>#VALUE!</v>
      </c>
      <c r="D404" s="1512" t="e">
        <f t="shared" ca="1" si="110"/>
        <v>#VALUE!</v>
      </c>
      <c r="E404" s="1512" t="e">
        <f t="shared" ca="1" si="110"/>
        <v>#VALUE!</v>
      </c>
      <c r="F404" s="1512" t="e">
        <f t="shared" ca="1" si="110"/>
        <v>#VALUE!</v>
      </c>
      <c r="G404" s="1512" t="e">
        <f t="shared" ca="1" si="110"/>
        <v>#VALUE!</v>
      </c>
      <c r="J404" s="101"/>
      <c r="L404" s="101"/>
      <c r="N404" s="100"/>
      <c r="T404" s="100"/>
      <c r="U404" s="101"/>
      <c r="W404" s="100"/>
      <c r="X404" s="101"/>
      <c r="Z404" s="100"/>
      <c r="AA404" s="101"/>
    </row>
    <row r="405" spans="1:47" s="171" customFormat="1" hidden="1" x14ac:dyDescent="0.25">
      <c r="A405" s="1506" t="str">
        <f>$B$1</f>
        <v>IN 91</v>
      </c>
      <c r="B405" s="1507" t="str">
        <f t="shared" ref="B405:G405" ca="1" si="111">IFERROR(IF(ROUNDDOWN(ABS((B375/B399*($D$147/$D$144)^2)/B383-1),2)&lt;=0.2,"Sim",IF(ROUNDDOWN(ABS((B375/B399*($D$147/$D$144)^2)/B383-1),2)&lt;0.4,"Não","Restrição")),"NPA")</f>
        <v>NPA</v>
      </c>
      <c r="C405" s="1507" t="str">
        <f t="shared" ca="1" si="111"/>
        <v>NPA</v>
      </c>
      <c r="D405" s="1507" t="str">
        <f t="shared" ca="1" si="111"/>
        <v>NPA</v>
      </c>
      <c r="E405" s="1507" t="str">
        <f t="shared" ca="1" si="111"/>
        <v>NPA</v>
      </c>
      <c r="F405" s="1507" t="str">
        <f t="shared" ca="1" si="111"/>
        <v>NPA</v>
      </c>
      <c r="G405" s="1507" t="str">
        <f t="shared" ca="1" si="111"/>
        <v>NPA</v>
      </c>
      <c r="J405" s="101"/>
      <c r="L405" s="101"/>
      <c r="N405" s="100"/>
      <c r="T405" s="100"/>
      <c r="U405" s="101"/>
      <c r="W405" s="100"/>
      <c r="X405" s="101"/>
      <c r="Z405" s="100"/>
      <c r="AA405" s="101"/>
    </row>
    <row r="406" spans="1:47" s="620" customFormat="1" ht="3.6" hidden="1" customHeight="1" thickBot="1" x14ac:dyDescent="0.3">
      <c r="A406" s="1508"/>
      <c r="B406" s="1509"/>
      <c r="C406" s="1509"/>
      <c r="D406" s="1509"/>
      <c r="E406" s="1509"/>
      <c r="F406" s="1509"/>
      <c r="G406" s="1510"/>
      <c r="H406" s="171"/>
      <c r="I406" s="171"/>
      <c r="J406" s="100"/>
      <c r="K406" s="100"/>
      <c r="L406" s="101"/>
      <c r="M406" s="171"/>
      <c r="N406" s="100"/>
      <c r="O406" s="171"/>
      <c r="P406" s="171"/>
      <c r="Q406" s="171"/>
      <c r="R406" s="171"/>
      <c r="S406" s="171"/>
      <c r="T406" s="100"/>
      <c r="U406" s="101"/>
      <c r="V406" s="171"/>
      <c r="W406" s="100"/>
      <c r="X406" s="101"/>
      <c r="Y406" s="171"/>
      <c r="Z406" s="100"/>
      <c r="AA406" s="10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row>
    <row r="407" spans="1:47" s="620" customFormat="1" hidden="1" x14ac:dyDescent="0.25">
      <c r="A407" s="2509" t="s">
        <v>1661</v>
      </c>
      <c r="B407" s="2510"/>
      <c r="C407" s="2510"/>
      <c r="D407" s="2510"/>
      <c r="E407" s="2510"/>
      <c r="F407" s="2510"/>
      <c r="G407" s="2511"/>
      <c r="H407" s="172"/>
      <c r="I407" s="171"/>
      <c r="J407" s="100"/>
      <c r="K407" s="100"/>
      <c r="L407" s="101"/>
      <c r="M407" s="171"/>
      <c r="N407" s="100"/>
      <c r="O407" s="171"/>
      <c r="P407" s="171"/>
      <c r="Q407" s="171"/>
      <c r="R407" s="171"/>
      <c r="S407" s="171"/>
      <c r="T407" s="100"/>
      <c r="U407" s="101"/>
      <c r="V407" s="171"/>
      <c r="W407" s="100"/>
      <c r="X407" s="101"/>
      <c r="Y407" s="171"/>
      <c r="Z407" s="100"/>
      <c r="AA407" s="101"/>
      <c r="AB407" s="171"/>
      <c r="AC407" s="171"/>
      <c r="AD407" s="171"/>
      <c r="AE407" s="171"/>
      <c r="AF407" s="171"/>
      <c r="AG407" s="171"/>
      <c r="AH407" s="171"/>
      <c r="AI407" s="171"/>
      <c r="AJ407" s="171"/>
      <c r="AK407" s="171"/>
      <c r="AL407" s="171"/>
      <c r="AM407" s="171"/>
      <c r="AN407" s="171"/>
      <c r="AO407" s="171"/>
      <c r="AP407" s="171"/>
      <c r="AQ407" s="171"/>
      <c r="AR407" s="171"/>
      <c r="AS407" s="171"/>
      <c r="AT407" s="171"/>
      <c r="AU407" s="171"/>
    </row>
    <row r="408" spans="1:47" s="620" customFormat="1" x14ac:dyDescent="0.25">
      <c r="A408" s="1513" t="s">
        <v>1662</v>
      </c>
      <c r="B408" s="1504" t="str">
        <f ca="1">IFERROR(ROUNDDOWN(B376/B399*60*($D$147/$D$144)^2,1),"NPA")</f>
        <v>NPA</v>
      </c>
      <c r="C408" s="1504" t="str">
        <f ca="1">IFERROR(ROUNDDOWN(C376*60*($D$147/$D$144)^2,1),"NPA")</f>
        <v>NPA</v>
      </c>
      <c r="D408" s="1504" t="str">
        <f ca="1">IFERROR(ROUNDDOWN(D376*60*($D$147/$D$144)^2,1),"NPA")</f>
        <v>NPA</v>
      </c>
      <c r="E408" s="1504" t="str">
        <f ca="1">IFERROR(ROUNDDOWN(E376*60*($D$147/$D$144)^2,1),"NPA")</f>
        <v>NPA</v>
      </c>
      <c r="F408" s="1504" t="str">
        <f ca="1">IFERROR(ROUNDDOWN(F376*60*($D$147/$D$144)^2,1),"NPA")</f>
        <v>NPA</v>
      </c>
      <c r="G408" s="1504" t="str">
        <f ca="1">IFERROR(ROUNDDOWN(G376*60*($D$147/$D$144)^2,1),"NPA")</f>
        <v>NPA</v>
      </c>
      <c r="H408" s="171"/>
      <c r="I408" s="171"/>
      <c r="J408" s="100"/>
      <c r="K408" s="100"/>
      <c r="L408" s="101"/>
      <c r="M408" s="171"/>
      <c r="N408" s="100"/>
      <c r="O408" s="171"/>
      <c r="P408" s="171"/>
      <c r="Q408" s="171"/>
      <c r="R408" s="171"/>
      <c r="S408" s="171"/>
      <c r="T408" s="100"/>
      <c r="U408" s="101"/>
      <c r="V408" s="171"/>
      <c r="W408" s="100"/>
      <c r="X408" s="101"/>
      <c r="Y408" s="171"/>
      <c r="Z408" s="100"/>
      <c r="AA408" s="101"/>
      <c r="AB408" s="171"/>
      <c r="AC408" s="171"/>
      <c r="AD408" s="171"/>
      <c r="AE408" s="171"/>
      <c r="AF408" s="171"/>
      <c r="AG408" s="171"/>
      <c r="AH408" s="171"/>
      <c r="AI408" s="171"/>
      <c r="AJ408" s="171"/>
      <c r="AK408" s="171"/>
      <c r="AL408" s="171"/>
      <c r="AM408" s="171"/>
      <c r="AN408" s="171"/>
      <c r="AO408" s="171"/>
      <c r="AP408" s="171"/>
      <c r="AQ408" s="171"/>
      <c r="AR408" s="171"/>
      <c r="AS408" s="171"/>
      <c r="AT408" s="171"/>
      <c r="AU408" s="171"/>
    </row>
    <row r="409" spans="1:47" s="620" customFormat="1" x14ac:dyDescent="0.25">
      <c r="A409" s="1506" t="str">
        <f>$B$1</f>
        <v>IN 91</v>
      </c>
      <c r="B409" s="1507" t="str">
        <f ca="1">IF(B408="NPA","NPA",IF(B408&gt;176,"Restrição",IF(AND($A$361="Modo Normal",B408&gt;88),"Não","Sim")))</f>
        <v>NPA</v>
      </c>
      <c r="C409" s="1507" t="str">
        <f t="shared" ref="C409:G409" ca="1" si="112">IF(C408="NPA","NPA",IF(C408&gt;176,"Restrição",IF(AND($A$361="Modo Normal",C408&gt;88),"Não","Sim")))</f>
        <v>NPA</v>
      </c>
      <c r="D409" s="1507" t="str">
        <f t="shared" ca="1" si="112"/>
        <v>NPA</v>
      </c>
      <c r="E409" s="1507" t="str">
        <f t="shared" ca="1" si="112"/>
        <v>NPA</v>
      </c>
      <c r="F409" s="1507" t="str">
        <f t="shared" ca="1" si="112"/>
        <v>NPA</v>
      </c>
      <c r="G409" s="1507" t="str">
        <f t="shared" ca="1" si="112"/>
        <v>NPA</v>
      </c>
      <c r="H409" s="171"/>
      <c r="I409" s="171"/>
      <c r="J409" s="100"/>
      <c r="K409" s="100"/>
      <c r="L409" s="101"/>
      <c r="M409" s="171"/>
      <c r="N409" s="100"/>
      <c r="O409" s="171"/>
      <c r="P409" s="171"/>
      <c r="Q409" s="171"/>
      <c r="R409" s="171"/>
      <c r="S409" s="171"/>
      <c r="T409" s="100"/>
      <c r="U409" s="101"/>
      <c r="V409" s="171"/>
      <c r="W409" s="100"/>
      <c r="X409" s="101"/>
      <c r="Y409" s="171"/>
      <c r="Z409" s="100"/>
      <c r="AA409" s="101"/>
      <c r="AB409" s="171"/>
      <c r="AC409" s="171"/>
      <c r="AD409" s="171"/>
      <c r="AE409" s="171"/>
      <c r="AF409" s="171"/>
      <c r="AG409" s="171"/>
      <c r="AH409" s="171"/>
      <c r="AI409" s="171"/>
      <c r="AJ409" s="171"/>
      <c r="AK409" s="171"/>
      <c r="AL409" s="171"/>
      <c r="AM409" s="171"/>
      <c r="AN409" s="171"/>
      <c r="AO409" s="171"/>
      <c r="AP409" s="171"/>
      <c r="AQ409" s="171"/>
      <c r="AR409" s="171"/>
      <c r="AS409" s="171"/>
      <c r="AT409" s="171"/>
      <c r="AU409" s="171"/>
    </row>
    <row r="410" spans="1:47" s="620" customFormat="1" ht="15" customHeight="1" x14ac:dyDescent="0.25">
      <c r="A410" s="100"/>
      <c r="B410" s="87"/>
      <c r="C410" s="171"/>
      <c r="D410" s="171"/>
      <c r="E410" s="171"/>
      <c r="F410" s="171"/>
      <c r="G410" s="101"/>
      <c r="H410" s="171"/>
      <c r="I410" s="171"/>
      <c r="J410" s="100"/>
      <c r="K410" s="100"/>
      <c r="L410" s="101"/>
      <c r="M410" s="171"/>
      <c r="N410" s="100"/>
      <c r="O410" s="171"/>
      <c r="P410" s="171"/>
      <c r="Q410" s="171"/>
      <c r="R410" s="171"/>
      <c r="S410" s="171"/>
      <c r="T410" s="100"/>
      <c r="U410" s="101"/>
      <c r="V410" s="171"/>
      <c r="W410" s="100"/>
      <c r="X410" s="101"/>
      <c r="Y410" s="171"/>
      <c r="Z410" s="100"/>
      <c r="AA410" s="101"/>
      <c r="AB410" s="171"/>
      <c r="AC410" s="171"/>
      <c r="AD410" s="171"/>
      <c r="AE410" s="171"/>
      <c r="AF410" s="171"/>
      <c r="AG410" s="171"/>
      <c r="AH410" s="171"/>
      <c r="AI410" s="171"/>
      <c r="AJ410" s="171"/>
      <c r="AK410" s="171"/>
      <c r="AL410" s="171"/>
      <c r="AM410" s="171"/>
      <c r="AN410" s="171"/>
      <c r="AO410" s="171"/>
      <c r="AP410" s="171"/>
      <c r="AQ410" s="171"/>
      <c r="AR410" s="171"/>
      <c r="AS410" s="171"/>
      <c r="AT410" s="171"/>
      <c r="AU410" s="171"/>
    </row>
    <row r="411" spans="1:47" s="171" customFormat="1" ht="15" hidden="1" customHeight="1" x14ac:dyDescent="0.25">
      <c r="A411" s="1421"/>
      <c r="B411" s="1479"/>
      <c r="C411" s="1479"/>
      <c r="D411" s="1479"/>
      <c r="E411" s="172"/>
      <c r="G411" s="101"/>
      <c r="J411" s="100"/>
      <c r="K411" s="100"/>
      <c r="L411" s="101"/>
      <c r="N411" s="100"/>
      <c r="T411" s="100"/>
      <c r="U411" s="101"/>
      <c r="W411" s="100"/>
      <c r="X411" s="101"/>
      <c r="Z411" s="100"/>
      <c r="AA411" s="101"/>
    </row>
    <row r="412" spans="1:47" s="620" customFormat="1" ht="15" customHeight="1" x14ac:dyDescent="0.25">
      <c r="A412" s="1492" t="s">
        <v>1672</v>
      </c>
      <c r="B412" s="2493" t="s">
        <v>1675</v>
      </c>
      <c r="C412" s="2494"/>
      <c r="D412" s="2494"/>
      <c r="E412" s="2495"/>
      <c r="F412" s="1628" t="s">
        <v>1792</v>
      </c>
      <c r="G412" s="1629"/>
      <c r="H412" s="171"/>
      <c r="I412" s="171"/>
      <c r="J412" s="100"/>
      <c r="K412" s="100"/>
      <c r="L412" s="101"/>
      <c r="M412" s="171"/>
      <c r="N412" s="100"/>
      <c r="O412" s="171"/>
      <c r="P412" s="171"/>
      <c r="Q412" s="171"/>
      <c r="R412" s="171"/>
      <c r="S412" s="171"/>
      <c r="T412" s="100"/>
      <c r="U412" s="101"/>
      <c r="V412" s="171"/>
      <c r="W412" s="100"/>
      <c r="X412" s="101"/>
      <c r="Y412" s="171"/>
      <c r="Z412" s="100"/>
      <c r="AA412" s="10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row>
    <row r="413" spans="1:47" s="620" customFormat="1" ht="15" customHeight="1" x14ac:dyDescent="0.25">
      <c r="A413" s="1480" t="str">
        <f>CONCATENATE("tamanho do campo (",$B$129,")")</f>
        <v>tamanho do campo (cm)</v>
      </c>
      <c r="B413" s="1518">
        <f>$B$130</f>
        <v>23</v>
      </c>
      <c r="C413" s="1518">
        <f>$C$130</f>
        <v>0</v>
      </c>
      <c r="D413" s="1518">
        <f>$D$130</f>
        <v>0</v>
      </c>
      <c r="E413" s="1518">
        <f>$E$130</f>
        <v>0</v>
      </c>
      <c r="F413" s="1518">
        <f>$F$130</f>
        <v>0</v>
      </c>
      <c r="G413" s="1518">
        <f>$G$130</f>
        <v>0</v>
      </c>
      <c r="H413" s="171"/>
      <c r="I413" s="171"/>
      <c r="J413" s="100"/>
      <c r="K413" s="100"/>
      <c r="L413" s="101"/>
      <c r="M413" s="171"/>
      <c r="N413" s="100"/>
      <c r="O413" s="171"/>
      <c r="P413" s="171"/>
      <c r="Q413" s="171"/>
      <c r="R413" s="171"/>
      <c r="S413" s="171"/>
      <c r="T413" s="100"/>
      <c r="U413" s="101"/>
      <c r="V413" s="171"/>
      <c r="W413" s="100"/>
      <c r="X413" s="101"/>
      <c r="Y413" s="171"/>
      <c r="Z413" s="100"/>
      <c r="AA413" s="101"/>
      <c r="AB413" s="171"/>
      <c r="AC413" s="171"/>
      <c r="AD413" s="171"/>
      <c r="AE413" s="171"/>
      <c r="AF413" s="171"/>
      <c r="AG413" s="171"/>
      <c r="AH413" s="171"/>
      <c r="AI413" s="171"/>
      <c r="AJ413" s="171"/>
      <c r="AK413" s="171"/>
      <c r="AL413" s="171"/>
      <c r="AM413" s="171"/>
      <c r="AN413" s="171"/>
      <c r="AO413" s="171"/>
      <c r="AP413" s="171"/>
      <c r="AQ413" s="171"/>
      <c r="AR413" s="171"/>
      <c r="AS413" s="171"/>
      <c r="AT413" s="171"/>
      <c r="AU413" s="171"/>
    </row>
    <row r="414" spans="1:47" s="620" customFormat="1" ht="15" customHeight="1" x14ac:dyDescent="0.25">
      <c r="A414" s="1481" t="s">
        <v>1425</v>
      </c>
      <c r="B414" s="584"/>
      <c r="C414" s="584"/>
      <c r="D414" s="584"/>
      <c r="E414" s="584"/>
      <c r="F414" s="584"/>
      <c r="G414" s="584"/>
      <c r="H414" s="171"/>
      <c r="I414" s="171"/>
      <c r="J414" s="100"/>
      <c r="K414" s="100"/>
      <c r="L414" s="101"/>
      <c r="M414" s="171"/>
      <c r="N414" s="100"/>
      <c r="O414" s="171"/>
      <c r="P414" s="171"/>
      <c r="Q414" s="171"/>
      <c r="R414" s="171"/>
      <c r="S414" s="171"/>
      <c r="T414" s="100"/>
      <c r="U414" s="101"/>
      <c r="V414" s="171"/>
      <c r="W414" s="100"/>
      <c r="X414" s="101"/>
      <c r="Y414" s="171"/>
      <c r="Z414" s="100"/>
      <c r="AA414" s="101"/>
      <c r="AB414" s="171"/>
      <c r="AC414" s="171"/>
      <c r="AD414" s="171"/>
      <c r="AE414" s="171"/>
      <c r="AF414" s="171"/>
      <c r="AG414" s="171"/>
      <c r="AH414" s="171"/>
      <c r="AI414" s="171"/>
      <c r="AJ414" s="171"/>
      <c r="AK414" s="171"/>
      <c r="AL414" s="171"/>
      <c r="AM414" s="171"/>
      <c r="AN414" s="171"/>
      <c r="AO414" s="171"/>
      <c r="AP414" s="171"/>
      <c r="AQ414" s="171"/>
      <c r="AR414" s="171"/>
      <c r="AS414" s="171"/>
      <c r="AT414" s="171"/>
      <c r="AU414" s="171"/>
    </row>
    <row r="415" spans="1:47" s="620" customFormat="1" ht="15" customHeight="1" x14ac:dyDescent="0.25">
      <c r="A415" s="1481" t="s">
        <v>1421</v>
      </c>
      <c r="B415" s="584"/>
      <c r="C415" s="584"/>
      <c r="D415" s="584"/>
      <c r="E415" s="584"/>
      <c r="F415" s="584"/>
      <c r="G415" s="584"/>
      <c r="H415" s="171"/>
      <c r="I415" s="171"/>
      <c r="J415" s="100"/>
      <c r="K415" s="100"/>
      <c r="L415" s="101"/>
      <c r="M415" s="171"/>
      <c r="N415" s="100"/>
      <c r="O415" s="171"/>
      <c r="P415" s="171"/>
      <c r="Q415" s="171"/>
      <c r="R415" s="171"/>
      <c r="S415" s="171"/>
      <c r="T415" s="100"/>
      <c r="U415" s="101"/>
      <c r="V415" s="171"/>
      <c r="W415" s="100"/>
      <c r="X415" s="101"/>
      <c r="Y415" s="171"/>
      <c r="Z415" s="100"/>
      <c r="AA415" s="101"/>
      <c r="AB415" s="171"/>
      <c r="AC415" s="171"/>
      <c r="AD415" s="171"/>
      <c r="AE415" s="171"/>
      <c r="AF415" s="171"/>
      <c r="AG415" s="171"/>
      <c r="AH415" s="171"/>
      <c r="AI415" s="171"/>
      <c r="AJ415" s="171"/>
      <c r="AK415" s="171"/>
      <c r="AL415" s="171"/>
      <c r="AM415" s="171"/>
      <c r="AN415" s="171"/>
      <c r="AO415" s="171"/>
      <c r="AP415" s="171"/>
      <c r="AQ415" s="171"/>
      <c r="AR415" s="171"/>
      <c r="AS415" s="171"/>
      <c r="AT415" s="171"/>
      <c r="AU415" s="171"/>
    </row>
    <row r="416" spans="1:47" s="171" customFormat="1" ht="4.5" hidden="1" customHeight="1" x14ac:dyDescent="0.25">
      <c r="A416" s="1482"/>
      <c r="B416" s="1483"/>
      <c r="C416" s="1483"/>
      <c r="D416" s="1483"/>
      <c r="E416" s="1483"/>
      <c r="F416" s="1483"/>
      <c r="G416" s="1484"/>
      <c r="J416" s="100"/>
      <c r="K416" s="100"/>
      <c r="L416" s="101"/>
      <c r="N416" s="100"/>
      <c r="T416" s="100"/>
      <c r="U416" s="101"/>
      <c r="W416" s="100"/>
      <c r="X416" s="101"/>
      <c r="Z416" s="100"/>
      <c r="AA416" s="101"/>
    </row>
    <row r="417" spans="1:47" s="620" customFormat="1" ht="17.25" hidden="1" customHeight="1" x14ac:dyDescent="0.25">
      <c r="A417" s="1481" t="s">
        <v>1429</v>
      </c>
      <c r="B417" s="584"/>
      <c r="C417" s="584"/>
      <c r="D417" s="584"/>
      <c r="E417" s="584"/>
      <c r="F417" s="584"/>
      <c r="G417" s="584"/>
      <c r="H417" s="171"/>
      <c r="I417" s="171"/>
      <c r="J417" s="100"/>
      <c r="K417" s="100"/>
      <c r="L417" s="101"/>
      <c r="M417" s="171"/>
      <c r="N417" s="100"/>
      <c r="O417" s="171"/>
      <c r="P417" s="171"/>
      <c r="Q417" s="171"/>
      <c r="R417" s="171"/>
      <c r="S417" s="171"/>
      <c r="T417" s="100"/>
      <c r="U417" s="101"/>
      <c r="V417" s="171"/>
      <c r="W417" s="100"/>
      <c r="X417" s="101"/>
      <c r="Y417" s="171"/>
      <c r="Z417" s="100"/>
      <c r="AA417" s="101"/>
      <c r="AB417" s="171"/>
      <c r="AC417" s="171"/>
      <c r="AD417" s="171"/>
      <c r="AE417" s="171"/>
      <c r="AF417" s="171"/>
      <c r="AG417" s="171"/>
      <c r="AH417" s="171"/>
      <c r="AI417" s="171"/>
      <c r="AJ417" s="171"/>
      <c r="AK417" s="171"/>
      <c r="AL417" s="171"/>
      <c r="AM417" s="171"/>
      <c r="AN417" s="171"/>
      <c r="AO417" s="171"/>
      <c r="AP417" s="171"/>
      <c r="AQ417" s="171"/>
      <c r="AR417" s="171"/>
      <c r="AS417" s="171"/>
      <c r="AT417" s="171"/>
      <c r="AU417" s="171"/>
    </row>
    <row r="418" spans="1:47" s="620" customFormat="1" ht="15" hidden="1" customHeight="1" x14ac:dyDescent="0.25">
      <c r="A418" s="1184" t="s">
        <v>1430</v>
      </c>
      <c r="B418" s="1417"/>
      <c r="C418" s="1417"/>
      <c r="D418" s="1417"/>
      <c r="E418" s="1417"/>
      <c r="F418" s="1417"/>
      <c r="G418" s="1417"/>
      <c r="H418" s="171"/>
      <c r="I418" s="1183"/>
      <c r="J418" s="1183"/>
      <c r="K418" s="1183"/>
      <c r="L418" s="1183"/>
      <c r="M418" s="1183"/>
      <c r="N418" s="1183"/>
      <c r="O418" s="171"/>
      <c r="P418" s="171"/>
      <c r="Q418" s="171"/>
      <c r="R418" s="171"/>
      <c r="S418" s="171"/>
      <c r="T418" s="100"/>
      <c r="U418" s="101"/>
      <c r="V418" s="171"/>
      <c r="W418" s="100"/>
      <c r="X418" s="101"/>
      <c r="Y418" s="171"/>
      <c r="Z418" s="100"/>
      <c r="AA418" s="101"/>
      <c r="AB418" s="171"/>
      <c r="AC418" s="171"/>
      <c r="AD418" s="171"/>
      <c r="AE418" s="171"/>
      <c r="AF418" s="171"/>
      <c r="AG418" s="171"/>
      <c r="AH418" s="171"/>
      <c r="AI418" s="171"/>
      <c r="AJ418" s="171"/>
      <c r="AK418" s="171"/>
      <c r="AL418" s="171"/>
      <c r="AM418" s="171"/>
      <c r="AN418" s="171"/>
      <c r="AO418" s="171"/>
      <c r="AP418" s="171"/>
      <c r="AQ418" s="171"/>
      <c r="AR418" s="171"/>
      <c r="AS418" s="171"/>
      <c r="AT418" s="171"/>
      <c r="AU418" s="171"/>
    </row>
    <row r="419" spans="1:47" s="171" customFormat="1" ht="4.5" hidden="1" customHeight="1" x14ac:dyDescent="0.25">
      <c r="A419" s="1485"/>
      <c r="B419" s="1486"/>
      <c r="C419" s="1486"/>
      <c r="D419" s="1486"/>
      <c r="E419" s="1486"/>
      <c r="F419" s="1486"/>
      <c r="G419" s="1487"/>
      <c r="I419" s="1183"/>
      <c r="J419" s="1183"/>
      <c r="K419" s="1183"/>
      <c r="L419" s="1183"/>
      <c r="M419" s="1183"/>
      <c r="N419" s="1183"/>
      <c r="T419" s="100"/>
      <c r="U419" s="101"/>
      <c r="W419" s="100"/>
      <c r="X419" s="101"/>
      <c r="Z419" s="100"/>
      <c r="AA419" s="101"/>
    </row>
    <row r="420" spans="1:47" s="620" customFormat="1" ht="15" hidden="1" customHeight="1" x14ac:dyDescent="0.25">
      <c r="A420" s="1481" t="s">
        <v>1649</v>
      </c>
      <c r="B420" s="653" t="e">
        <f ca="1">IF(Cabeçalho!$G$28="unfors",INDIRECT(ADDRESS(B422,3,1,1,"medidas Unfors"),1),INDIRECT(ADDRESS(B422,4,1,1,"medidas Fluke"),1)/1000)</f>
        <v>#VALUE!</v>
      </c>
      <c r="C420" s="653" t="e">
        <f ca="1">IF(Cabeçalho!$G$28="unfors",INDIRECT(ADDRESS(C422,3,1,1,"medidas Unfors"),1),INDIRECT(ADDRESS(C422,4,1,1,"medidas Fluke"),1)/1000)</f>
        <v>#VALUE!</v>
      </c>
      <c r="D420" s="653" t="e">
        <f ca="1">IF(Cabeçalho!$G$28="unfors",INDIRECT(ADDRESS(D422,3,1,1,"medidas Unfors"),1),INDIRECT(ADDRESS(D422,4,1,1,"medidas Fluke"),1)/1000)</f>
        <v>#VALUE!</v>
      </c>
      <c r="E420" s="653" t="e">
        <f ca="1">IF(Cabeçalho!$G$28="unfors",INDIRECT(ADDRESS(E422,3,1,1,"medidas Unfors"),1),INDIRECT(ADDRESS(E422,4,1,1,"medidas Fluke"),1)/1000)</f>
        <v>#VALUE!</v>
      </c>
      <c r="F420" s="653" t="e">
        <f ca="1">IF(Cabeçalho!$G$28="unfors",INDIRECT(ADDRESS(F422,3,1,1,"medidas Unfors"),1),INDIRECT(ADDRESS(F422,4,1,1,"medidas Fluke"),1)/1000)</f>
        <v>#VALUE!</v>
      </c>
      <c r="G420" s="653" t="e">
        <f ca="1">IF(Cabeçalho!$G$28="unfors",INDIRECT(ADDRESS(G422,3,1,1,"medidas Unfors"),1),INDIRECT(ADDRESS(G422,4,1,1,"medidas Fluke"),1)/1000)</f>
        <v>#VALUE!</v>
      </c>
      <c r="H420" s="171"/>
      <c r="I420" s="171"/>
      <c r="J420" s="100"/>
      <c r="K420" s="100"/>
      <c r="L420" s="101"/>
      <c r="M420" s="171"/>
      <c r="N420" s="100"/>
      <c r="O420" s="171"/>
      <c r="P420" s="171"/>
      <c r="Q420" s="171"/>
      <c r="R420" s="171"/>
      <c r="S420" s="171"/>
      <c r="T420" s="100"/>
      <c r="U420" s="101"/>
      <c r="V420" s="171"/>
      <c r="W420" s="100"/>
      <c r="X420" s="101"/>
      <c r="Y420" s="171"/>
      <c r="Z420" s="100"/>
      <c r="AA420" s="101"/>
      <c r="AB420" s="171"/>
      <c r="AC420" s="171"/>
      <c r="AD420" s="171"/>
      <c r="AE420" s="171"/>
      <c r="AF420" s="171"/>
      <c r="AG420" s="171"/>
      <c r="AH420" s="171"/>
      <c r="AI420" s="171"/>
      <c r="AJ420" s="171"/>
      <c r="AK420" s="171"/>
      <c r="AL420" s="171"/>
      <c r="AM420" s="171"/>
      <c r="AN420" s="171"/>
      <c r="AO420" s="171"/>
      <c r="AP420" s="171"/>
      <c r="AQ420" s="171"/>
      <c r="AR420" s="171"/>
      <c r="AS420" s="171"/>
      <c r="AT420" s="171"/>
      <c r="AU420" s="171"/>
    </row>
    <row r="421" spans="1:47" s="620" customFormat="1" ht="15.75" hidden="1" customHeight="1" thickBot="1" x14ac:dyDescent="0.3">
      <c r="A421" s="1480" t="s">
        <v>1652</v>
      </c>
      <c r="B421" s="1489" t="e">
        <f ca="1">IF(Cabeçalho!$G$28="Unfors",INDIRECT(ADDRESS(B422,5,1,1,"medidas Unfors"),1),INDIRECT(ADDRESS(B422,5,1,1,"medidas Fluke"),1)/1000)</f>
        <v>#VALUE!</v>
      </c>
      <c r="C421" s="1489" t="e">
        <f ca="1">IF(Cabeçalho!$G$28="Unfors",INDIRECT(ADDRESS(C422,5,1,1,"medidas Unfors"),1),INDIRECT(ADDRESS(C422,5,1,1,"medidas Fluke"),1)/1000)</f>
        <v>#VALUE!</v>
      </c>
      <c r="D421" s="1489" t="e">
        <f ca="1">IF(Cabeçalho!$G$28="Unfors",INDIRECT(ADDRESS(D422,5,1,1,"medidas Unfors"),1),INDIRECT(ADDRESS(D422,5,1,1,"medidas Fluke"),1)/1000)</f>
        <v>#VALUE!</v>
      </c>
      <c r="E421" s="1489" t="e">
        <f ca="1">IF(Cabeçalho!$G$28="Unfors",INDIRECT(ADDRESS(E422,5,1,1,"medidas Unfors"),1),INDIRECT(ADDRESS(E422,5,1,1,"medidas Fluke"),1)/1000)</f>
        <v>#VALUE!</v>
      </c>
      <c r="F421" s="1489" t="e">
        <f ca="1">IF(Cabeçalho!$G$28="Unfors",INDIRECT(ADDRESS(F422,5,1,1,"medidas Unfors"),1),INDIRECT(ADDRESS(F422,5,1,1,"medidas Fluke"),1)/1000)</f>
        <v>#VALUE!</v>
      </c>
      <c r="G421" s="1489" t="e">
        <f ca="1">IF(Cabeçalho!$G$28="Unfors",INDIRECT(ADDRESS(G422,5,1,1,"medidas Unfors"),1),INDIRECT(ADDRESS(G422,5,1,1,"medidas Fluke"),1)/1000)</f>
        <v>#VALUE!</v>
      </c>
      <c r="H421" s="171"/>
      <c r="I421" s="171"/>
      <c r="J421" s="100"/>
      <c r="K421" s="100"/>
      <c r="L421" s="101"/>
      <c r="M421" s="171"/>
      <c r="N421" s="100"/>
      <c r="O421" s="171"/>
      <c r="P421" s="171"/>
      <c r="Q421" s="171"/>
      <c r="R421" s="171"/>
      <c r="S421" s="171"/>
      <c r="T421" s="100"/>
      <c r="U421" s="101"/>
      <c r="V421" s="171"/>
      <c r="W421" s="100"/>
      <c r="X421" s="101"/>
      <c r="Y421" s="171"/>
      <c r="Z421" s="100"/>
      <c r="AA421" s="101"/>
      <c r="AB421" s="171"/>
      <c r="AC421" s="171"/>
      <c r="AD421" s="171"/>
      <c r="AE421" s="171"/>
      <c r="AF421" s="171"/>
      <c r="AG421" s="171"/>
      <c r="AH421" s="171"/>
      <c r="AI421" s="171"/>
      <c r="AJ421" s="171"/>
      <c r="AK421" s="171"/>
      <c r="AL421" s="171"/>
      <c r="AM421" s="171"/>
      <c r="AN421" s="171"/>
      <c r="AO421" s="171"/>
      <c r="AP421" s="171"/>
      <c r="AQ421" s="171"/>
      <c r="AR421" s="171"/>
      <c r="AS421" s="171"/>
      <c r="AT421" s="171"/>
      <c r="AU421" s="171"/>
    </row>
    <row r="422" spans="1:47" s="620" customFormat="1" ht="15.75" hidden="1" customHeight="1" thickBot="1" x14ac:dyDescent="0.3">
      <c r="A422" s="1418" t="s">
        <v>1427</v>
      </c>
      <c r="B422" s="1419"/>
      <c r="C422" s="1419"/>
      <c r="D422" s="1419"/>
      <c r="E422" s="1419"/>
      <c r="F422" s="1419"/>
      <c r="G422" s="1420"/>
      <c r="H422" s="171"/>
      <c r="I422" s="171"/>
      <c r="J422" s="100"/>
      <c r="K422" s="100"/>
      <c r="L422" s="101"/>
      <c r="M422" s="171"/>
      <c r="N422" s="100"/>
      <c r="O422" s="171"/>
      <c r="P422" s="171"/>
      <c r="Q422" s="171"/>
      <c r="R422" s="171"/>
      <c r="S422" s="171"/>
      <c r="T422" s="100"/>
      <c r="U422" s="101"/>
      <c r="V422" s="171"/>
      <c r="W422" s="100"/>
      <c r="X422" s="101"/>
      <c r="Y422" s="171"/>
      <c r="Z422" s="100"/>
      <c r="AA422" s="101"/>
      <c r="AB422" s="171"/>
      <c r="AC422" s="171"/>
      <c r="AD422" s="171"/>
      <c r="AE422" s="171"/>
      <c r="AF422" s="171"/>
      <c r="AG422" s="171"/>
      <c r="AH422" s="171"/>
      <c r="AI422" s="171"/>
      <c r="AJ422" s="171"/>
      <c r="AK422" s="171"/>
      <c r="AL422" s="171"/>
      <c r="AM422" s="171"/>
      <c r="AN422" s="171"/>
      <c r="AO422" s="171"/>
      <c r="AP422" s="171"/>
      <c r="AQ422" s="171"/>
      <c r="AR422" s="171"/>
      <c r="AS422" s="171"/>
      <c r="AT422" s="171"/>
      <c r="AU422" s="171"/>
    </row>
    <row r="423" spans="1:47" s="620" customFormat="1" ht="17.25" hidden="1" customHeight="1" x14ac:dyDescent="0.25">
      <c r="A423" s="1481" t="s">
        <v>1433</v>
      </c>
      <c r="B423" s="584"/>
      <c r="C423" s="584"/>
      <c r="D423" s="584"/>
      <c r="E423" s="584"/>
      <c r="F423" s="584"/>
      <c r="G423" s="584"/>
      <c r="H423" s="171"/>
      <c r="I423" s="171"/>
      <c r="J423" s="100"/>
      <c r="K423" s="100"/>
      <c r="L423" s="101"/>
      <c r="M423" s="171"/>
      <c r="N423" s="100"/>
      <c r="O423" s="171"/>
      <c r="P423" s="171"/>
      <c r="Q423" s="171"/>
      <c r="R423" s="171"/>
      <c r="S423" s="171"/>
      <c r="T423" s="100"/>
      <c r="U423" s="101"/>
      <c r="V423" s="171"/>
      <c r="W423" s="100"/>
      <c r="X423" s="101"/>
      <c r="Y423" s="171"/>
      <c r="Z423" s="100"/>
      <c r="AA423" s="101"/>
      <c r="AB423" s="171"/>
      <c r="AC423" s="171"/>
      <c r="AD423" s="171"/>
      <c r="AE423" s="171"/>
      <c r="AF423" s="171"/>
      <c r="AG423" s="171"/>
      <c r="AH423" s="171"/>
      <c r="AI423" s="171"/>
      <c r="AJ423" s="171"/>
      <c r="AK423" s="171"/>
      <c r="AL423" s="171"/>
      <c r="AM423" s="171"/>
      <c r="AN423" s="171"/>
      <c r="AO423" s="171"/>
      <c r="AP423" s="171"/>
      <c r="AQ423" s="171"/>
      <c r="AR423" s="171"/>
      <c r="AS423" s="171"/>
      <c r="AT423" s="171"/>
      <c r="AU423" s="171"/>
    </row>
    <row r="424" spans="1:47" s="620" customFormat="1" ht="15" hidden="1" customHeight="1" x14ac:dyDescent="0.25">
      <c r="A424" s="1184" t="s">
        <v>1431</v>
      </c>
      <c r="B424" s="1417"/>
      <c r="C424" s="1417"/>
      <c r="D424" s="1417"/>
      <c r="E424" s="1417"/>
      <c r="F424" s="1417"/>
      <c r="G424" s="1417"/>
      <c r="H424" s="171"/>
      <c r="I424" s="171"/>
      <c r="J424" s="100"/>
      <c r="K424" s="100"/>
      <c r="L424" s="101"/>
      <c r="M424" s="171"/>
      <c r="N424" s="100"/>
      <c r="O424" s="171"/>
      <c r="P424" s="171"/>
      <c r="Q424" s="171"/>
      <c r="R424" s="171"/>
      <c r="S424" s="171"/>
      <c r="T424" s="100"/>
      <c r="U424" s="101"/>
      <c r="V424" s="171"/>
      <c r="W424" s="100"/>
      <c r="X424" s="101"/>
      <c r="Y424" s="171"/>
      <c r="Z424" s="100"/>
      <c r="AA424" s="101"/>
      <c r="AB424" s="171"/>
      <c r="AC424" s="171"/>
      <c r="AD424" s="171"/>
      <c r="AE424" s="171"/>
      <c r="AF424" s="171"/>
      <c r="AG424" s="171"/>
      <c r="AH424" s="171"/>
      <c r="AI424" s="171"/>
      <c r="AJ424" s="171"/>
      <c r="AK424" s="171"/>
      <c r="AL424" s="171"/>
      <c r="AM424" s="171"/>
      <c r="AN424" s="171"/>
      <c r="AO424" s="171"/>
      <c r="AP424" s="171"/>
      <c r="AQ424" s="171"/>
      <c r="AR424" s="171"/>
      <c r="AS424" s="171"/>
      <c r="AT424" s="171"/>
      <c r="AU424" s="171"/>
    </row>
    <row r="425" spans="1:47" s="620" customFormat="1" ht="4.5" hidden="1" customHeight="1" x14ac:dyDescent="0.25">
      <c r="A425" s="1485"/>
      <c r="B425" s="1486"/>
      <c r="C425" s="1486"/>
      <c r="D425" s="1486"/>
      <c r="E425" s="1486"/>
      <c r="F425" s="1486"/>
      <c r="G425" s="1487"/>
      <c r="H425" s="171"/>
      <c r="I425" s="171"/>
      <c r="J425" s="100"/>
      <c r="K425" s="100"/>
      <c r="L425" s="101"/>
      <c r="M425" s="171"/>
      <c r="N425" s="100"/>
      <c r="O425" s="171"/>
      <c r="P425" s="171"/>
      <c r="Q425" s="171"/>
      <c r="R425" s="171"/>
      <c r="S425" s="171"/>
      <c r="T425" s="100"/>
      <c r="U425" s="101"/>
      <c r="V425" s="171"/>
      <c r="W425" s="100"/>
      <c r="X425" s="101"/>
      <c r="Y425" s="171"/>
      <c r="Z425" s="100"/>
      <c r="AA425" s="101"/>
      <c r="AB425" s="171"/>
      <c r="AC425" s="171"/>
      <c r="AD425" s="171"/>
      <c r="AE425" s="171"/>
      <c r="AF425" s="171"/>
      <c r="AG425" s="171"/>
      <c r="AH425" s="171"/>
      <c r="AI425" s="171"/>
      <c r="AJ425" s="171"/>
      <c r="AK425" s="171"/>
      <c r="AL425" s="171"/>
      <c r="AM425" s="171"/>
      <c r="AN425" s="171"/>
      <c r="AO425" s="171"/>
      <c r="AP425" s="171"/>
      <c r="AQ425" s="171"/>
      <c r="AR425" s="171"/>
      <c r="AS425" s="171"/>
      <c r="AT425" s="171"/>
      <c r="AU425" s="171"/>
    </row>
    <row r="426" spans="1:47" s="620" customFormat="1" ht="15" hidden="1" customHeight="1" x14ac:dyDescent="0.25">
      <c r="A426" s="1481" t="s">
        <v>1650</v>
      </c>
      <c r="B426" s="653" t="e">
        <f ca="1">IF(Cabeçalho!$G$28="unfors",INDIRECT(ADDRESS(B428,3,1,1,"medidas Unfors"),1),INDIRECT(ADDRESS(B428,4,1,1,"medidas Fluke"),1)/1000)</f>
        <v>#VALUE!</v>
      </c>
      <c r="C426" s="653" t="e">
        <f ca="1">IF(Cabeçalho!$G$28="unfors",INDIRECT(ADDRESS(C428,3,1,1,"medidas Unfors"),1),INDIRECT(ADDRESS(C428,4,1,1,"medidas Fluke"),1)/1000)</f>
        <v>#VALUE!</v>
      </c>
      <c r="D426" s="653" t="e">
        <f ca="1">IF(Cabeçalho!$G$28="unfors",INDIRECT(ADDRESS(D428,3,1,1,"medidas Unfors"),1),INDIRECT(ADDRESS(D428,4,1,1,"medidas Fluke"),1)/1000)</f>
        <v>#VALUE!</v>
      </c>
      <c r="E426" s="653" t="e">
        <f ca="1">IF(Cabeçalho!$G$28="unfors",INDIRECT(ADDRESS(E428,3,1,1,"medidas Unfors"),1),INDIRECT(ADDRESS(E428,4,1,1,"medidas Fluke"),1)/1000)</f>
        <v>#VALUE!</v>
      </c>
      <c r="F426" s="653" t="e">
        <f ca="1">IF(Cabeçalho!$G$28="unfors",INDIRECT(ADDRESS(F428,3,1,1,"medidas Unfors"),1),INDIRECT(ADDRESS(F428,4,1,1,"medidas Fluke"),1)/1000)</f>
        <v>#VALUE!</v>
      </c>
      <c r="G426" s="653" t="e">
        <f ca="1">IF(Cabeçalho!$G$28="unfors",INDIRECT(ADDRESS(G428,3,1,1,"medidas Unfors"),1),INDIRECT(ADDRESS(G428,4,1,1,"medidas Fluke"),1)/1000)</f>
        <v>#VALUE!</v>
      </c>
      <c r="H426" s="171"/>
      <c r="I426" s="171"/>
      <c r="J426" s="100"/>
      <c r="K426" s="100"/>
      <c r="L426" s="101"/>
      <c r="M426" s="171"/>
      <c r="N426" s="100"/>
      <c r="O426" s="171"/>
      <c r="P426" s="171"/>
      <c r="Q426" s="171"/>
      <c r="R426" s="171"/>
      <c r="S426" s="171"/>
      <c r="T426" s="100"/>
      <c r="U426" s="101"/>
      <c r="V426" s="171"/>
      <c r="W426" s="100"/>
      <c r="X426" s="101"/>
      <c r="Y426" s="171"/>
      <c r="Z426" s="100"/>
      <c r="AA426" s="101"/>
      <c r="AB426" s="171"/>
      <c r="AC426" s="171"/>
      <c r="AD426" s="171"/>
      <c r="AE426" s="171"/>
      <c r="AF426" s="171"/>
      <c r="AG426" s="171"/>
      <c r="AH426" s="171"/>
      <c r="AI426" s="171"/>
      <c r="AJ426" s="171"/>
      <c r="AK426" s="171"/>
      <c r="AL426" s="171"/>
      <c r="AM426" s="171"/>
      <c r="AN426" s="171"/>
      <c r="AO426" s="171"/>
      <c r="AP426" s="171"/>
      <c r="AQ426" s="171"/>
      <c r="AR426" s="171"/>
      <c r="AS426" s="171"/>
      <c r="AT426" s="171"/>
      <c r="AU426" s="171"/>
    </row>
    <row r="427" spans="1:47" s="620" customFormat="1" ht="15.75" customHeight="1" thickBot="1" x14ac:dyDescent="0.3">
      <c r="A427" s="1480" t="s">
        <v>1653</v>
      </c>
      <c r="B427" s="1489" t="e">
        <f ca="1">IF(Cabeçalho!$G$28="Unfors",INDIRECT(ADDRESS(B428,5,1,1,"medidas Unfors"),1),INDIRECT(ADDRESS(B428,5,1,1,"medidas Fluke"),1)/1000)</f>
        <v>#VALUE!</v>
      </c>
      <c r="C427" s="1489" t="e">
        <f ca="1">IF(Cabeçalho!$G$28="Unfors",INDIRECT(ADDRESS(C428,5,1,1,"medidas Unfors"),1),INDIRECT(ADDRESS(C428,5,1,1,"medidas Fluke"),1)/1000)</f>
        <v>#VALUE!</v>
      </c>
      <c r="D427" s="1489" t="e">
        <f ca="1">IF(Cabeçalho!$G$28="Unfors",INDIRECT(ADDRESS(D428,5,1,1,"medidas Unfors"),1),INDIRECT(ADDRESS(D428,5,1,1,"medidas Fluke"),1)/1000)</f>
        <v>#VALUE!</v>
      </c>
      <c r="E427" s="1489" t="e">
        <f ca="1">IF(Cabeçalho!$G$28="Unfors",INDIRECT(ADDRESS(E428,5,1,1,"medidas Unfors"),1),INDIRECT(ADDRESS(E428,5,1,1,"medidas Fluke"),1)/1000)</f>
        <v>#VALUE!</v>
      </c>
      <c r="F427" s="1489" t="e">
        <f ca="1">IF(Cabeçalho!$G$28="Unfors",INDIRECT(ADDRESS(F428,5,1,1,"medidas Unfors"),1),INDIRECT(ADDRESS(F428,5,1,1,"medidas Fluke"),1)/1000)</f>
        <v>#VALUE!</v>
      </c>
      <c r="G427" s="1489" t="e">
        <f ca="1">IF(Cabeçalho!$G$28="Unfors",INDIRECT(ADDRESS(G428,5,1,1,"medidas Unfors"),1),INDIRECT(ADDRESS(G428,5,1,1,"medidas Fluke"),1)/1000)</f>
        <v>#VALUE!</v>
      </c>
      <c r="H427" s="171"/>
      <c r="I427" s="171"/>
      <c r="J427" s="100"/>
      <c r="K427" s="100"/>
      <c r="L427" s="101"/>
      <c r="M427" s="171"/>
      <c r="N427" s="100"/>
      <c r="O427" s="171"/>
      <c r="P427" s="171"/>
      <c r="Q427" s="171"/>
      <c r="R427" s="171"/>
      <c r="S427" s="171"/>
      <c r="T427" s="100"/>
      <c r="U427" s="101"/>
      <c r="V427" s="171"/>
      <c r="W427" s="100"/>
      <c r="X427" s="101"/>
      <c r="Y427" s="171"/>
      <c r="Z427" s="100"/>
      <c r="AA427" s="101"/>
      <c r="AB427" s="171"/>
      <c r="AC427" s="171"/>
      <c r="AD427" s="171"/>
      <c r="AE427" s="171"/>
      <c r="AF427" s="171"/>
      <c r="AG427" s="171"/>
      <c r="AH427" s="171"/>
      <c r="AI427" s="171"/>
      <c r="AJ427" s="171"/>
      <c r="AK427" s="171"/>
      <c r="AL427" s="171"/>
      <c r="AM427" s="171"/>
      <c r="AN427" s="171"/>
      <c r="AO427" s="171"/>
      <c r="AP427" s="171"/>
      <c r="AQ427" s="171"/>
      <c r="AR427" s="171"/>
      <c r="AS427" s="171"/>
      <c r="AT427" s="171"/>
      <c r="AU427" s="171"/>
    </row>
    <row r="428" spans="1:47" s="620" customFormat="1" ht="15.75" customHeight="1" thickBot="1" x14ac:dyDescent="0.3">
      <c r="A428" s="1418" t="s">
        <v>1428</v>
      </c>
      <c r="B428" s="1419"/>
      <c r="C428" s="1419"/>
      <c r="D428" s="1419"/>
      <c r="E428" s="1419"/>
      <c r="F428" s="1419"/>
      <c r="G428" s="1420"/>
      <c r="H428" s="171"/>
      <c r="I428" s="171"/>
      <c r="J428" s="100"/>
      <c r="K428" s="100"/>
      <c r="L428" s="101"/>
      <c r="M428" s="171"/>
      <c r="N428" s="100"/>
      <c r="O428" s="171"/>
      <c r="P428" s="171"/>
      <c r="Q428" s="171"/>
      <c r="R428" s="171"/>
      <c r="S428" s="171"/>
      <c r="T428" s="100"/>
      <c r="U428" s="101"/>
      <c r="V428" s="171"/>
      <c r="W428" s="100"/>
      <c r="X428" s="101"/>
      <c r="Y428" s="171"/>
      <c r="Z428" s="100"/>
      <c r="AA428" s="101"/>
      <c r="AB428" s="171"/>
      <c r="AC428" s="171"/>
      <c r="AD428" s="171"/>
      <c r="AE428" s="171"/>
      <c r="AF428" s="171"/>
      <c r="AG428" s="171"/>
      <c r="AH428" s="171"/>
      <c r="AI428" s="171"/>
      <c r="AJ428" s="171"/>
      <c r="AK428" s="171"/>
      <c r="AL428" s="171"/>
      <c r="AM428" s="171"/>
      <c r="AN428" s="171"/>
      <c r="AO428" s="171"/>
      <c r="AP428" s="171"/>
      <c r="AQ428" s="171"/>
      <c r="AR428" s="171"/>
      <c r="AS428" s="171"/>
      <c r="AT428" s="171"/>
      <c r="AU428" s="171"/>
    </row>
    <row r="429" spans="1:47" s="620" customFormat="1" ht="17.25" hidden="1" customHeight="1" x14ac:dyDescent="0.25">
      <c r="A429" s="1481" t="s">
        <v>1434</v>
      </c>
      <c r="B429" s="584"/>
      <c r="C429" s="584"/>
      <c r="D429" s="584"/>
      <c r="E429" s="584"/>
      <c r="F429" s="584"/>
      <c r="G429" s="584"/>
      <c r="H429" s="171"/>
      <c r="I429" s="171"/>
      <c r="J429" s="100"/>
      <c r="K429" s="100"/>
      <c r="L429" s="101"/>
      <c r="M429" s="171"/>
      <c r="N429" s="100"/>
      <c r="O429" s="171"/>
      <c r="P429" s="171"/>
      <c r="Q429" s="171"/>
      <c r="R429" s="171"/>
      <c r="S429" s="171"/>
      <c r="T429" s="100"/>
      <c r="U429" s="101"/>
      <c r="V429" s="171"/>
      <c r="W429" s="100"/>
      <c r="X429" s="101"/>
      <c r="Y429" s="171"/>
      <c r="Z429" s="100"/>
      <c r="AA429" s="101"/>
      <c r="AB429" s="171"/>
      <c r="AC429" s="171"/>
      <c r="AD429" s="171"/>
      <c r="AE429" s="171"/>
      <c r="AF429" s="171"/>
      <c r="AG429" s="171"/>
      <c r="AH429" s="171"/>
      <c r="AI429" s="171"/>
      <c r="AJ429" s="171"/>
      <c r="AK429" s="171"/>
      <c r="AL429" s="171"/>
      <c r="AM429" s="171"/>
      <c r="AN429" s="171"/>
      <c r="AO429" s="171"/>
      <c r="AP429" s="171"/>
      <c r="AQ429" s="171"/>
      <c r="AR429" s="171"/>
      <c r="AS429" s="171"/>
      <c r="AT429" s="171"/>
      <c r="AU429" s="171"/>
    </row>
    <row r="430" spans="1:47" s="620" customFormat="1" ht="15" hidden="1" customHeight="1" x14ac:dyDescent="0.25">
      <c r="A430" s="1481" t="s">
        <v>1432</v>
      </c>
      <c r="B430" s="584"/>
      <c r="C430" s="584"/>
      <c r="D430" s="584"/>
      <c r="E430" s="584"/>
      <c r="F430" s="584"/>
      <c r="G430" s="584"/>
      <c r="H430" s="171"/>
      <c r="I430" s="171"/>
      <c r="J430" s="100"/>
      <c r="K430" s="100"/>
      <c r="L430" s="101"/>
      <c r="M430" s="171"/>
      <c r="N430" s="100"/>
      <c r="O430" s="171"/>
      <c r="P430" s="171"/>
      <c r="Q430" s="171"/>
      <c r="R430" s="171"/>
      <c r="S430" s="171"/>
      <c r="T430" s="100"/>
      <c r="U430" s="101"/>
      <c r="V430" s="171"/>
      <c r="W430" s="100"/>
      <c r="X430" s="101"/>
      <c r="Y430" s="171"/>
      <c r="Z430" s="100"/>
      <c r="AA430" s="101"/>
      <c r="AB430" s="171"/>
      <c r="AC430" s="171"/>
      <c r="AD430" s="171"/>
      <c r="AE430" s="171"/>
      <c r="AF430" s="171"/>
      <c r="AG430" s="171"/>
      <c r="AH430" s="171"/>
      <c r="AI430" s="171"/>
      <c r="AJ430" s="171"/>
      <c r="AK430" s="171"/>
      <c r="AL430" s="171"/>
      <c r="AM430" s="171"/>
      <c r="AN430" s="171"/>
      <c r="AO430" s="171"/>
      <c r="AP430" s="171"/>
      <c r="AQ430" s="171"/>
      <c r="AR430" s="171"/>
      <c r="AS430" s="171"/>
      <c r="AT430" s="171"/>
      <c r="AU430" s="171"/>
    </row>
    <row r="431" spans="1:47" s="620" customFormat="1" ht="15" hidden="1" customHeight="1" x14ac:dyDescent="0.25">
      <c r="A431" s="1481" t="s">
        <v>1435</v>
      </c>
      <c r="B431" s="653">
        <f t="shared" ref="B431:G431" si="113">ABS(B423-B417)</f>
        <v>0</v>
      </c>
      <c r="C431" s="653">
        <f t="shared" si="113"/>
        <v>0</v>
      </c>
      <c r="D431" s="653">
        <f t="shared" si="113"/>
        <v>0</v>
      </c>
      <c r="E431" s="653">
        <f t="shared" si="113"/>
        <v>0</v>
      </c>
      <c r="F431" s="653">
        <f t="shared" si="113"/>
        <v>0</v>
      </c>
      <c r="G431" s="653">
        <f t="shared" si="113"/>
        <v>0</v>
      </c>
      <c r="H431" s="171"/>
      <c r="I431" s="171"/>
      <c r="J431" s="100"/>
      <c r="K431" s="100"/>
      <c r="L431" s="101"/>
      <c r="M431" s="171"/>
      <c r="N431" s="100"/>
      <c r="O431" s="171"/>
      <c r="P431" s="171"/>
      <c r="Q431" s="171"/>
      <c r="R431" s="171"/>
      <c r="S431" s="171"/>
      <c r="T431" s="100"/>
      <c r="U431" s="101"/>
      <c r="V431" s="171"/>
      <c r="W431" s="100"/>
      <c r="X431" s="101"/>
      <c r="Y431" s="171"/>
      <c r="Z431" s="100"/>
      <c r="AA431" s="101"/>
      <c r="AB431" s="171"/>
      <c r="AC431" s="171"/>
      <c r="AD431" s="171"/>
      <c r="AE431" s="171"/>
      <c r="AF431" s="171"/>
      <c r="AG431" s="171"/>
      <c r="AH431" s="171"/>
      <c r="AI431" s="171"/>
      <c r="AJ431" s="171"/>
      <c r="AK431" s="171"/>
      <c r="AL431" s="171"/>
      <c r="AM431" s="171"/>
      <c r="AN431" s="171"/>
      <c r="AO431" s="171"/>
      <c r="AP431" s="171"/>
      <c r="AQ431" s="171"/>
      <c r="AR431" s="171"/>
      <c r="AS431" s="171"/>
      <c r="AT431" s="171"/>
      <c r="AU431" s="171"/>
    </row>
    <row r="432" spans="1:47" s="620" customFormat="1" ht="15" hidden="1" customHeight="1" x14ac:dyDescent="0.25">
      <c r="A432" s="1481" t="s">
        <v>1437</v>
      </c>
      <c r="B432" s="653">
        <f t="shared" ref="B432:G432" si="114">ABS(B429-B423)</f>
        <v>0</v>
      </c>
      <c r="C432" s="653">
        <f t="shared" si="114"/>
        <v>0</v>
      </c>
      <c r="D432" s="653">
        <f t="shared" si="114"/>
        <v>0</v>
      </c>
      <c r="E432" s="653">
        <f t="shared" si="114"/>
        <v>0</v>
      </c>
      <c r="F432" s="653">
        <f t="shared" si="114"/>
        <v>0</v>
      </c>
      <c r="G432" s="653">
        <f t="shared" si="114"/>
        <v>0</v>
      </c>
      <c r="H432" s="171"/>
      <c r="I432" s="171"/>
      <c r="J432" s="100"/>
      <c r="K432" s="100"/>
      <c r="L432" s="101"/>
      <c r="M432" s="171"/>
      <c r="N432" s="100"/>
      <c r="O432" s="171"/>
      <c r="P432" s="171"/>
      <c r="Q432" s="171"/>
      <c r="R432" s="171"/>
      <c r="S432" s="171"/>
      <c r="T432" s="100"/>
      <c r="U432" s="101"/>
      <c r="V432" s="171"/>
      <c r="W432" s="100"/>
      <c r="X432" s="101"/>
      <c r="Y432" s="171"/>
      <c r="Z432" s="100"/>
      <c r="AA432" s="101"/>
      <c r="AB432" s="171"/>
      <c r="AC432" s="171"/>
      <c r="AD432" s="171"/>
      <c r="AE432" s="171"/>
      <c r="AF432" s="171"/>
      <c r="AG432" s="171"/>
      <c r="AH432" s="171"/>
      <c r="AI432" s="171"/>
      <c r="AJ432" s="171"/>
      <c r="AK432" s="171"/>
      <c r="AL432" s="171"/>
      <c r="AM432" s="171"/>
      <c r="AN432" s="171"/>
      <c r="AO432" s="171"/>
      <c r="AP432" s="171"/>
      <c r="AQ432" s="171"/>
      <c r="AR432" s="171"/>
      <c r="AS432" s="171"/>
      <c r="AT432" s="171"/>
      <c r="AU432" s="171"/>
    </row>
    <row r="433" spans="1:47" s="620" customFormat="1" ht="15" hidden="1" customHeight="1" x14ac:dyDescent="0.25">
      <c r="A433" s="1481" t="s">
        <v>1436</v>
      </c>
      <c r="B433" s="653">
        <f t="shared" ref="B433:G433" si="115">ABS(B424-B418)</f>
        <v>0</v>
      </c>
      <c r="C433" s="653">
        <f t="shared" si="115"/>
        <v>0</v>
      </c>
      <c r="D433" s="653">
        <f t="shared" si="115"/>
        <v>0</v>
      </c>
      <c r="E433" s="653">
        <f t="shared" si="115"/>
        <v>0</v>
      </c>
      <c r="F433" s="653">
        <f t="shared" si="115"/>
        <v>0</v>
      </c>
      <c r="G433" s="653">
        <f t="shared" si="115"/>
        <v>0</v>
      </c>
      <c r="H433" s="171"/>
      <c r="I433" s="171"/>
      <c r="J433" s="100"/>
      <c r="K433" s="100"/>
      <c r="L433" s="101"/>
      <c r="M433" s="171"/>
      <c r="N433" s="100"/>
      <c r="O433" s="171"/>
      <c r="P433" s="171"/>
      <c r="Q433" s="171"/>
      <c r="R433" s="171"/>
      <c r="S433" s="171"/>
      <c r="T433" s="100"/>
      <c r="U433" s="101"/>
      <c r="V433" s="171"/>
      <c r="W433" s="100"/>
      <c r="X433" s="101"/>
      <c r="Y433" s="171"/>
      <c r="Z433" s="100"/>
      <c r="AA433" s="101"/>
      <c r="AB433" s="171"/>
      <c r="AC433" s="171"/>
      <c r="AD433" s="171"/>
      <c r="AE433" s="171"/>
      <c r="AF433" s="171"/>
      <c r="AG433" s="171"/>
      <c r="AH433" s="171"/>
      <c r="AI433" s="171"/>
      <c r="AJ433" s="171"/>
      <c r="AK433" s="171"/>
      <c r="AL433" s="171"/>
      <c r="AM433" s="171"/>
      <c r="AN433" s="171"/>
      <c r="AO433" s="171"/>
      <c r="AP433" s="171"/>
      <c r="AQ433" s="171"/>
      <c r="AR433" s="171"/>
      <c r="AS433" s="171"/>
      <c r="AT433" s="171"/>
      <c r="AU433" s="171"/>
    </row>
    <row r="434" spans="1:47" s="620" customFormat="1" ht="15.75" hidden="1" customHeight="1" thickBot="1" x14ac:dyDescent="0.3">
      <c r="A434" s="1184" t="s">
        <v>1438</v>
      </c>
      <c r="B434" s="1185">
        <f t="shared" ref="B434:G434" si="116">ABS(B430-B424)</f>
        <v>0</v>
      </c>
      <c r="C434" s="1185">
        <f t="shared" si="116"/>
        <v>0</v>
      </c>
      <c r="D434" s="1185">
        <f t="shared" si="116"/>
        <v>0</v>
      </c>
      <c r="E434" s="1185">
        <f t="shared" si="116"/>
        <v>0</v>
      </c>
      <c r="F434" s="1185">
        <f t="shared" si="116"/>
        <v>0</v>
      </c>
      <c r="G434" s="1185">
        <f t="shared" si="116"/>
        <v>0</v>
      </c>
      <c r="H434" s="171"/>
      <c r="I434" s="171"/>
      <c r="J434" s="100"/>
      <c r="K434" s="100"/>
      <c r="L434" s="101"/>
      <c r="M434" s="171"/>
      <c r="N434" s="100"/>
      <c r="O434" s="171"/>
      <c r="P434" s="171"/>
      <c r="Q434" s="171"/>
      <c r="R434" s="171"/>
      <c r="S434" s="171"/>
      <c r="T434" s="100"/>
      <c r="U434" s="101"/>
      <c r="V434" s="171"/>
      <c r="W434" s="100"/>
      <c r="X434" s="101"/>
      <c r="Y434" s="171"/>
      <c r="Z434" s="100"/>
      <c r="AA434" s="101"/>
      <c r="AB434" s="171"/>
      <c r="AC434" s="171"/>
      <c r="AD434" s="171"/>
      <c r="AE434" s="171"/>
      <c r="AF434" s="171"/>
      <c r="AG434" s="171"/>
      <c r="AH434" s="171"/>
      <c r="AI434" s="171"/>
      <c r="AJ434" s="171"/>
      <c r="AK434" s="171"/>
      <c r="AL434" s="171"/>
      <c r="AM434" s="171"/>
      <c r="AN434" s="171"/>
      <c r="AO434" s="171"/>
      <c r="AP434" s="171"/>
      <c r="AQ434" s="171"/>
      <c r="AR434" s="171"/>
      <c r="AS434" s="171"/>
      <c r="AT434" s="171"/>
      <c r="AU434" s="171"/>
    </row>
    <row r="435" spans="1:47" s="620" customFormat="1" ht="15" hidden="1" customHeight="1" x14ac:dyDescent="0.25">
      <c r="A435" s="1186" t="s">
        <v>1439</v>
      </c>
      <c r="B435" s="1187" t="e">
        <f t="shared" ref="B435:G435" si="117">B431/B433</f>
        <v>#DIV/0!</v>
      </c>
      <c r="C435" s="1187" t="e">
        <f t="shared" si="117"/>
        <v>#DIV/0!</v>
      </c>
      <c r="D435" s="1187" t="e">
        <f t="shared" si="117"/>
        <v>#DIV/0!</v>
      </c>
      <c r="E435" s="1187" t="e">
        <f t="shared" si="117"/>
        <v>#DIV/0!</v>
      </c>
      <c r="F435" s="1187" t="e">
        <f t="shared" si="117"/>
        <v>#DIV/0!</v>
      </c>
      <c r="G435" s="1188" t="e">
        <f t="shared" si="117"/>
        <v>#DIV/0!</v>
      </c>
      <c r="H435" s="171"/>
      <c r="I435" s="171"/>
      <c r="J435" s="100"/>
      <c r="K435" s="100"/>
      <c r="L435" s="101"/>
      <c r="M435" s="171"/>
      <c r="N435" s="100"/>
      <c r="O435" s="171"/>
      <c r="P435" s="171"/>
      <c r="Q435" s="171"/>
      <c r="R435" s="171"/>
      <c r="S435" s="171"/>
      <c r="T435" s="100"/>
      <c r="U435" s="101"/>
      <c r="V435" s="171"/>
      <c r="W435" s="100"/>
      <c r="X435" s="101"/>
      <c r="Y435" s="171"/>
      <c r="Z435" s="100"/>
      <c r="AA435" s="101"/>
      <c r="AB435" s="171"/>
      <c r="AC435" s="171"/>
      <c r="AD435" s="171"/>
      <c r="AE435" s="171"/>
      <c r="AF435" s="171"/>
      <c r="AG435" s="171"/>
      <c r="AH435" s="171"/>
      <c r="AI435" s="171"/>
      <c r="AJ435" s="171"/>
      <c r="AK435" s="171"/>
      <c r="AL435" s="171"/>
      <c r="AM435" s="171"/>
      <c r="AN435" s="171"/>
      <c r="AO435" s="171"/>
      <c r="AP435" s="171"/>
      <c r="AQ435" s="171"/>
      <c r="AR435" s="171"/>
      <c r="AS435" s="171"/>
      <c r="AT435" s="171"/>
      <c r="AU435" s="171"/>
    </row>
    <row r="436" spans="1:47" s="620" customFormat="1" ht="15" hidden="1" customHeight="1" x14ac:dyDescent="0.25">
      <c r="A436" s="1189" t="s">
        <v>1440</v>
      </c>
      <c r="B436" s="653" t="e">
        <f t="shared" ref="B436:G436" si="118">B432/B434</f>
        <v>#DIV/0!</v>
      </c>
      <c r="C436" s="653" t="e">
        <f t="shared" si="118"/>
        <v>#DIV/0!</v>
      </c>
      <c r="D436" s="653" t="e">
        <f t="shared" si="118"/>
        <v>#DIV/0!</v>
      </c>
      <c r="E436" s="653" t="e">
        <f t="shared" si="118"/>
        <v>#DIV/0!</v>
      </c>
      <c r="F436" s="653" t="e">
        <f t="shared" si="118"/>
        <v>#DIV/0!</v>
      </c>
      <c r="G436" s="1190" t="e">
        <f t="shared" si="118"/>
        <v>#DIV/0!</v>
      </c>
      <c r="H436" s="171"/>
      <c r="I436" s="171"/>
      <c r="J436" s="100"/>
      <c r="K436" s="100"/>
      <c r="L436" s="101"/>
      <c r="M436" s="171"/>
      <c r="N436" s="100"/>
      <c r="O436" s="171"/>
      <c r="P436" s="171"/>
      <c r="Q436" s="171"/>
      <c r="R436" s="171"/>
      <c r="S436" s="171"/>
      <c r="T436" s="100"/>
      <c r="U436" s="101"/>
      <c r="V436" s="171"/>
      <c r="W436" s="100"/>
      <c r="X436" s="101"/>
      <c r="Y436" s="171"/>
      <c r="Z436" s="100"/>
      <c r="AA436" s="101"/>
      <c r="AB436" s="171"/>
      <c r="AC436" s="171"/>
      <c r="AD436" s="171"/>
      <c r="AE436" s="171"/>
      <c r="AF436" s="171"/>
      <c r="AG436" s="171"/>
      <c r="AH436" s="171"/>
      <c r="AI436" s="171"/>
      <c r="AJ436" s="171"/>
      <c r="AK436" s="171"/>
      <c r="AL436" s="171"/>
      <c r="AM436" s="171"/>
      <c r="AN436" s="171"/>
      <c r="AO436" s="171"/>
      <c r="AP436" s="171"/>
      <c r="AQ436" s="171"/>
      <c r="AR436" s="171"/>
      <c r="AS436" s="171"/>
      <c r="AT436" s="171"/>
      <c r="AU436" s="171"/>
    </row>
    <row r="437" spans="1:47" s="620" customFormat="1" ht="15" hidden="1" customHeight="1" x14ac:dyDescent="0.25">
      <c r="A437" s="1189" t="s">
        <v>1639</v>
      </c>
      <c r="B437" s="653">
        <f t="shared" ref="B437:G437" si="119">IF($D$141="Quadrado",B$132^2,PI()*(B$132/2)^2)</f>
        <v>0</v>
      </c>
      <c r="C437" s="653" t="e">
        <f t="shared" si="119"/>
        <v>#VALUE!</v>
      </c>
      <c r="D437" s="653" t="e">
        <f t="shared" si="119"/>
        <v>#VALUE!</v>
      </c>
      <c r="E437" s="653" t="e">
        <f t="shared" si="119"/>
        <v>#VALUE!</v>
      </c>
      <c r="F437" s="653" t="e">
        <f t="shared" si="119"/>
        <v>#VALUE!</v>
      </c>
      <c r="G437" s="653" t="e">
        <f t="shared" si="119"/>
        <v>#VALUE!</v>
      </c>
      <c r="H437" s="171"/>
      <c r="I437" s="171"/>
      <c r="J437" s="100"/>
      <c r="K437" s="100"/>
      <c r="L437" s="101"/>
      <c r="M437" s="171"/>
      <c r="N437" s="100"/>
      <c r="O437" s="171"/>
      <c r="P437" s="171"/>
      <c r="Q437" s="171"/>
      <c r="R437" s="171"/>
      <c r="S437" s="171"/>
      <c r="T437" s="100"/>
      <c r="U437" s="101"/>
      <c r="V437" s="171"/>
      <c r="W437" s="100"/>
      <c r="X437" s="101"/>
      <c r="Y437" s="171"/>
      <c r="Z437" s="100"/>
      <c r="AA437" s="101"/>
      <c r="AB437" s="171"/>
      <c r="AC437" s="171"/>
      <c r="AD437" s="171"/>
      <c r="AE437" s="171"/>
      <c r="AF437" s="171"/>
      <c r="AG437" s="171"/>
      <c r="AH437" s="171"/>
      <c r="AI437" s="171"/>
      <c r="AJ437" s="171"/>
      <c r="AK437" s="171"/>
      <c r="AL437" s="171"/>
      <c r="AM437" s="171"/>
      <c r="AN437" s="171"/>
      <c r="AO437" s="171"/>
      <c r="AP437" s="171"/>
      <c r="AQ437" s="171"/>
      <c r="AR437" s="171"/>
      <c r="AS437" s="171"/>
      <c r="AT437" s="171"/>
      <c r="AU437" s="171"/>
    </row>
    <row r="438" spans="1:47" s="620" customFormat="1" ht="18" hidden="1" customHeight="1" thickBot="1" x14ac:dyDescent="0.3">
      <c r="A438" s="1415" t="s">
        <v>1640</v>
      </c>
      <c r="B438" s="1416">
        <f t="shared" ref="B438:G438" si="120">IF($D$141="Quadrado",B413^2,PI()*(B413/2)^2)</f>
        <v>415.47562843725012</v>
      </c>
      <c r="C438" s="1191">
        <f t="shared" si="120"/>
        <v>0</v>
      </c>
      <c r="D438" s="1191">
        <f t="shared" si="120"/>
        <v>0</v>
      </c>
      <c r="E438" s="1191">
        <f t="shared" si="120"/>
        <v>0</v>
      </c>
      <c r="F438" s="1191">
        <f t="shared" si="120"/>
        <v>0</v>
      </c>
      <c r="G438" s="1192">
        <f t="shared" si="120"/>
        <v>0</v>
      </c>
      <c r="H438" s="171"/>
      <c r="I438" s="171"/>
      <c r="J438" s="100"/>
      <c r="K438" s="100"/>
      <c r="L438" s="101"/>
      <c r="M438" s="171"/>
      <c r="N438" s="100"/>
      <c r="O438" s="171"/>
      <c r="P438" s="171"/>
      <c r="Q438" s="171"/>
      <c r="R438" s="171"/>
      <c r="S438" s="171"/>
      <c r="T438" s="100"/>
      <c r="U438" s="101"/>
      <c r="V438" s="171"/>
      <c r="W438" s="100"/>
      <c r="X438" s="101"/>
      <c r="Y438" s="171"/>
      <c r="Z438" s="100"/>
      <c r="AA438" s="101"/>
      <c r="AB438" s="171"/>
      <c r="AC438" s="171"/>
      <c r="AD438" s="171"/>
      <c r="AE438" s="171"/>
      <c r="AF438" s="171"/>
      <c r="AG438" s="171"/>
      <c r="AH438" s="171"/>
      <c r="AI438" s="171"/>
      <c r="AJ438" s="171"/>
      <c r="AK438" s="171"/>
      <c r="AL438" s="171"/>
      <c r="AM438" s="171"/>
      <c r="AN438" s="171"/>
      <c r="AO438" s="171"/>
      <c r="AP438" s="171"/>
      <c r="AQ438" s="171"/>
      <c r="AR438" s="171"/>
      <c r="AS438" s="171"/>
      <c r="AT438" s="171"/>
      <c r="AU438" s="171"/>
    </row>
    <row r="439" spans="1:47" s="620" customFormat="1" ht="17.25" hidden="1" customHeight="1" x14ac:dyDescent="0.25">
      <c r="A439" s="1498" t="s">
        <v>1684</v>
      </c>
      <c r="B439" s="1187" t="str">
        <f t="shared" ref="B439:G439" ca="1" si="121">IFERROR(B435*B420,"NPA")</f>
        <v>NPA</v>
      </c>
      <c r="C439" s="1187" t="str">
        <f t="shared" ca="1" si="121"/>
        <v>NPA</v>
      </c>
      <c r="D439" s="1187" t="str">
        <f t="shared" ca="1" si="121"/>
        <v>NPA</v>
      </c>
      <c r="E439" s="1187" t="str">
        <f t="shared" ca="1" si="121"/>
        <v>NPA</v>
      </c>
      <c r="F439" s="1187" t="str">
        <f t="shared" ca="1" si="121"/>
        <v>NPA</v>
      </c>
      <c r="G439" s="1187" t="str">
        <f t="shared" ca="1" si="121"/>
        <v>NPA</v>
      </c>
      <c r="H439" s="171"/>
      <c r="I439" s="171"/>
      <c r="J439" s="100"/>
      <c r="K439" s="100"/>
      <c r="L439" s="101"/>
      <c r="M439" s="171"/>
      <c r="N439" s="100"/>
      <c r="O439" s="171"/>
      <c r="P439" s="171"/>
      <c r="Q439" s="171"/>
      <c r="R439" s="171"/>
      <c r="S439" s="171"/>
      <c r="T439" s="100"/>
      <c r="U439" s="101"/>
      <c r="V439" s="171"/>
      <c r="W439" s="100"/>
      <c r="X439" s="101"/>
      <c r="Y439" s="171"/>
      <c r="Z439" s="100"/>
      <c r="AA439" s="101"/>
      <c r="AB439" s="171"/>
      <c r="AC439" s="171"/>
      <c r="AD439" s="171"/>
      <c r="AE439" s="171"/>
      <c r="AF439" s="171"/>
      <c r="AG439" s="171"/>
      <c r="AH439" s="171"/>
      <c r="AI439" s="171"/>
      <c r="AJ439" s="171"/>
      <c r="AK439" s="171"/>
      <c r="AL439" s="171"/>
      <c r="AM439" s="171"/>
      <c r="AN439" s="171"/>
      <c r="AO439" s="171"/>
      <c r="AP439" s="171"/>
      <c r="AQ439" s="171"/>
      <c r="AR439" s="171"/>
      <c r="AS439" s="171"/>
      <c r="AT439" s="171"/>
      <c r="AU439" s="171"/>
    </row>
    <row r="440" spans="1:47" s="620" customFormat="1" ht="17.25" hidden="1" customHeight="1" x14ac:dyDescent="0.25">
      <c r="A440" s="1499" t="s">
        <v>1686</v>
      </c>
      <c r="B440" s="653" t="str">
        <f t="shared" ref="B440:G440" ca="1" si="122">IFERROR(B420*B437,"NPA")</f>
        <v>NPA</v>
      </c>
      <c r="C440" s="653" t="str">
        <f t="shared" ca="1" si="122"/>
        <v>NPA</v>
      </c>
      <c r="D440" s="653" t="str">
        <f t="shared" ca="1" si="122"/>
        <v>NPA</v>
      </c>
      <c r="E440" s="653" t="str">
        <f t="shared" ca="1" si="122"/>
        <v>NPA</v>
      </c>
      <c r="F440" s="653" t="str">
        <f t="shared" ca="1" si="122"/>
        <v>NPA</v>
      </c>
      <c r="G440" s="653" t="str">
        <f t="shared" ca="1" si="122"/>
        <v>NPA</v>
      </c>
      <c r="H440" s="171"/>
      <c r="I440" s="171"/>
      <c r="J440" s="100"/>
      <c r="K440" s="100"/>
      <c r="L440" s="101"/>
      <c r="M440" s="171"/>
      <c r="N440" s="100"/>
      <c r="O440" s="171"/>
      <c r="P440" s="171"/>
      <c r="Q440" s="171"/>
      <c r="R440" s="171"/>
      <c r="S440" s="171"/>
      <c r="T440" s="100"/>
      <c r="U440" s="101"/>
      <c r="V440" s="171"/>
      <c r="W440" s="100"/>
      <c r="X440" s="101"/>
      <c r="Y440" s="171"/>
      <c r="Z440" s="100"/>
      <c r="AA440" s="101"/>
      <c r="AB440" s="171"/>
      <c r="AC440" s="171"/>
      <c r="AD440" s="171"/>
      <c r="AE440" s="171"/>
      <c r="AF440" s="171"/>
      <c r="AG440" s="171"/>
      <c r="AH440" s="171"/>
      <c r="AI440" s="171"/>
      <c r="AJ440" s="171"/>
      <c r="AK440" s="171"/>
      <c r="AL440" s="171"/>
      <c r="AM440" s="171"/>
      <c r="AN440" s="171"/>
      <c r="AO440" s="171"/>
      <c r="AP440" s="171"/>
      <c r="AQ440" s="171"/>
      <c r="AR440" s="171"/>
      <c r="AS440" s="171"/>
      <c r="AT440" s="171"/>
      <c r="AU440" s="171"/>
    </row>
    <row r="441" spans="1:47" s="620" customFormat="1" ht="17.25" hidden="1" customHeight="1" x14ac:dyDescent="0.25">
      <c r="A441" s="1499" t="s">
        <v>1688</v>
      </c>
      <c r="B441" s="653" t="str">
        <f t="shared" ref="B441:G441" ca="1" si="123">IFERROR(B420*B438,"NPA")</f>
        <v>NPA</v>
      </c>
      <c r="C441" s="653" t="str">
        <f t="shared" ca="1" si="123"/>
        <v>NPA</v>
      </c>
      <c r="D441" s="653" t="str">
        <f t="shared" ca="1" si="123"/>
        <v>NPA</v>
      </c>
      <c r="E441" s="653" t="str">
        <f t="shared" ca="1" si="123"/>
        <v>NPA</v>
      </c>
      <c r="F441" s="653" t="str">
        <f t="shared" ca="1" si="123"/>
        <v>NPA</v>
      </c>
      <c r="G441" s="653" t="str">
        <f t="shared" ca="1" si="123"/>
        <v>NPA</v>
      </c>
      <c r="H441" s="171"/>
      <c r="I441" s="171"/>
      <c r="J441" s="100"/>
      <c r="K441" s="100"/>
      <c r="L441" s="101"/>
      <c r="M441" s="171"/>
      <c r="N441" s="100"/>
      <c r="O441" s="171"/>
      <c r="P441" s="171"/>
      <c r="Q441" s="171"/>
      <c r="R441" s="171"/>
      <c r="S441" s="171"/>
      <c r="T441" s="100"/>
      <c r="U441" s="101"/>
      <c r="V441" s="171"/>
      <c r="W441" s="100"/>
      <c r="X441" s="101"/>
      <c r="Y441" s="171"/>
      <c r="Z441" s="100"/>
      <c r="AA441" s="101"/>
      <c r="AB441" s="171"/>
      <c r="AC441" s="171"/>
      <c r="AD441" s="171"/>
      <c r="AE441" s="171"/>
      <c r="AF441" s="171"/>
      <c r="AG441" s="171"/>
      <c r="AH441" s="171"/>
      <c r="AI441" s="171"/>
      <c r="AJ441" s="171"/>
      <c r="AK441" s="171"/>
      <c r="AL441" s="171"/>
      <c r="AM441" s="171"/>
      <c r="AN441" s="171"/>
      <c r="AO441" s="171"/>
      <c r="AP441" s="171"/>
      <c r="AQ441" s="171"/>
      <c r="AR441" s="171"/>
      <c r="AS441" s="171"/>
      <c r="AT441" s="171"/>
      <c r="AU441" s="171"/>
    </row>
    <row r="442" spans="1:47" s="620" customFormat="1" ht="17.25" hidden="1" customHeight="1" x14ac:dyDescent="0.25">
      <c r="A442" s="1500" t="s">
        <v>1685</v>
      </c>
      <c r="B442" s="653" t="str">
        <f t="shared" ref="B442:G442" ca="1" si="124">IFERROR(B436*B426,"NPA")</f>
        <v>NPA</v>
      </c>
      <c r="C442" s="653" t="str">
        <f t="shared" ca="1" si="124"/>
        <v>NPA</v>
      </c>
      <c r="D442" s="653" t="str">
        <f t="shared" ca="1" si="124"/>
        <v>NPA</v>
      </c>
      <c r="E442" s="653" t="str">
        <f t="shared" ca="1" si="124"/>
        <v>NPA</v>
      </c>
      <c r="F442" s="653" t="str">
        <f t="shared" ca="1" si="124"/>
        <v>NPA</v>
      </c>
      <c r="G442" s="653" t="str">
        <f t="shared" ca="1" si="124"/>
        <v>NPA</v>
      </c>
      <c r="H442" s="171"/>
      <c r="I442" s="171"/>
      <c r="J442" s="100"/>
      <c r="K442" s="100"/>
      <c r="L442" s="101"/>
      <c r="M442" s="171"/>
      <c r="N442" s="100"/>
      <c r="O442" s="171"/>
      <c r="P442" s="171"/>
      <c r="Q442" s="171"/>
      <c r="R442" s="171"/>
      <c r="S442" s="171"/>
      <c r="T442" s="100"/>
      <c r="U442" s="101"/>
      <c r="V442" s="171"/>
      <c r="W442" s="100"/>
      <c r="X442" s="101"/>
      <c r="Y442" s="171"/>
      <c r="Z442" s="100"/>
      <c r="AA442" s="101"/>
      <c r="AB442" s="171"/>
      <c r="AC442" s="171"/>
      <c r="AD442" s="171"/>
      <c r="AE442" s="171"/>
      <c r="AF442" s="171"/>
      <c r="AG442" s="171"/>
      <c r="AH442" s="171"/>
      <c r="AI442" s="171"/>
      <c r="AJ442" s="171"/>
      <c r="AK442" s="171"/>
      <c r="AL442" s="171"/>
      <c r="AM442" s="171"/>
      <c r="AN442" s="171"/>
      <c r="AO442" s="171"/>
      <c r="AP442" s="171"/>
      <c r="AQ442" s="171"/>
      <c r="AR442" s="171"/>
      <c r="AS442" s="171"/>
      <c r="AT442" s="171"/>
      <c r="AU442" s="171"/>
    </row>
    <row r="443" spans="1:47" s="620" customFormat="1" ht="17.25" hidden="1" customHeight="1" x14ac:dyDescent="0.25">
      <c r="A443" s="1500" t="s">
        <v>1687</v>
      </c>
      <c r="B443" s="653" t="str">
        <f t="shared" ref="B443:G443" ca="1" si="125">IFERROR(B426*B437,"NPA")</f>
        <v>NPA</v>
      </c>
      <c r="C443" s="653" t="str">
        <f t="shared" ca="1" si="125"/>
        <v>NPA</v>
      </c>
      <c r="D443" s="653" t="str">
        <f t="shared" ca="1" si="125"/>
        <v>NPA</v>
      </c>
      <c r="E443" s="653" t="str">
        <f t="shared" ca="1" si="125"/>
        <v>NPA</v>
      </c>
      <c r="F443" s="653" t="str">
        <f t="shared" ca="1" si="125"/>
        <v>NPA</v>
      </c>
      <c r="G443" s="653" t="str">
        <f t="shared" ca="1" si="125"/>
        <v>NPA</v>
      </c>
      <c r="H443" s="171"/>
      <c r="I443" s="171"/>
      <c r="J443" s="100"/>
      <c r="K443" s="100"/>
      <c r="L443" s="101"/>
      <c r="M443" s="171"/>
      <c r="N443" s="100"/>
      <c r="O443" s="171"/>
      <c r="P443" s="171"/>
      <c r="Q443" s="171"/>
      <c r="R443" s="171"/>
      <c r="S443" s="171"/>
      <c r="T443" s="100"/>
      <c r="U443" s="101"/>
      <c r="V443" s="171"/>
      <c r="W443" s="100"/>
      <c r="X443" s="101"/>
      <c r="Y443" s="171"/>
      <c r="Z443" s="100"/>
      <c r="AA443" s="101"/>
      <c r="AB443" s="171"/>
      <c r="AC443" s="171"/>
      <c r="AD443" s="171"/>
      <c r="AE443" s="171"/>
      <c r="AF443" s="171"/>
      <c r="AG443" s="171"/>
      <c r="AH443" s="171"/>
      <c r="AI443" s="171"/>
      <c r="AJ443" s="171"/>
      <c r="AK443" s="171"/>
      <c r="AL443" s="171"/>
      <c r="AM443" s="171"/>
      <c r="AN443" s="171"/>
      <c r="AO443" s="171"/>
      <c r="AP443" s="171"/>
      <c r="AQ443" s="171"/>
      <c r="AR443" s="171"/>
      <c r="AS443" s="171"/>
      <c r="AT443" s="171"/>
      <c r="AU443" s="171"/>
    </row>
    <row r="444" spans="1:47" s="620" customFormat="1" ht="18" hidden="1" customHeight="1" thickBot="1" x14ac:dyDescent="0.3">
      <c r="A444" s="1501" t="s">
        <v>1689</v>
      </c>
      <c r="B444" s="1191" t="str">
        <f t="shared" ref="B444:G444" ca="1" si="126">IFERROR(B426*B438,"NPA")</f>
        <v>NPA</v>
      </c>
      <c r="C444" s="1191" t="str">
        <f t="shared" ca="1" si="126"/>
        <v>NPA</v>
      </c>
      <c r="D444" s="1191" t="str">
        <f t="shared" ca="1" si="126"/>
        <v>NPA</v>
      </c>
      <c r="E444" s="1191" t="str">
        <f t="shared" ca="1" si="126"/>
        <v>NPA</v>
      </c>
      <c r="F444" s="1191" t="str">
        <f t="shared" ca="1" si="126"/>
        <v>NPA</v>
      </c>
      <c r="G444" s="1191" t="str">
        <f t="shared" ca="1" si="126"/>
        <v>NPA</v>
      </c>
      <c r="H444" s="171"/>
      <c r="I444" s="171"/>
      <c r="J444" s="100"/>
      <c r="K444" s="100"/>
      <c r="L444" s="101"/>
      <c r="M444" s="171"/>
      <c r="N444" s="100"/>
      <c r="O444" s="171"/>
      <c r="P444" s="171"/>
      <c r="Q444" s="171"/>
      <c r="R444" s="171"/>
      <c r="S444" s="171"/>
      <c r="T444" s="100"/>
      <c r="U444" s="101"/>
      <c r="V444" s="171"/>
      <c r="W444" s="100"/>
      <c r="X444" s="101"/>
      <c r="Y444" s="171"/>
      <c r="Z444" s="100"/>
      <c r="AA444" s="101"/>
      <c r="AB444" s="171"/>
      <c r="AC444" s="171"/>
      <c r="AD444" s="171"/>
      <c r="AE444" s="171"/>
      <c r="AF444" s="171"/>
      <c r="AG444" s="171"/>
      <c r="AH444" s="171"/>
      <c r="AI444" s="171"/>
      <c r="AJ444" s="171"/>
      <c r="AK444" s="171"/>
      <c r="AL444" s="171"/>
      <c r="AM444" s="171"/>
      <c r="AN444" s="171"/>
      <c r="AO444" s="171"/>
      <c r="AP444" s="171"/>
      <c r="AQ444" s="171"/>
      <c r="AR444" s="171"/>
      <c r="AS444" s="171"/>
      <c r="AT444" s="171"/>
      <c r="AU444" s="171"/>
    </row>
    <row r="445" spans="1:47" s="620" customFormat="1" ht="4.5" hidden="1" customHeight="1" thickBot="1" x14ac:dyDescent="0.3">
      <c r="A445" s="1193"/>
      <c r="B445" s="1194"/>
      <c r="C445" s="1194"/>
      <c r="D445" s="1194"/>
      <c r="E445" s="1194"/>
      <c r="F445" s="1194"/>
      <c r="G445" s="1195"/>
      <c r="H445" s="171"/>
      <c r="I445" s="171"/>
      <c r="J445" s="100"/>
      <c r="K445" s="100"/>
      <c r="L445" s="101"/>
      <c r="M445" s="171"/>
      <c r="N445" s="100"/>
      <c r="O445" s="171"/>
      <c r="P445" s="171"/>
      <c r="Q445" s="171"/>
      <c r="R445" s="171"/>
      <c r="S445" s="171"/>
      <c r="T445" s="100"/>
      <c r="U445" s="101"/>
      <c r="V445" s="171"/>
      <c r="W445" s="100"/>
      <c r="X445" s="101"/>
      <c r="Y445" s="171"/>
      <c r="Z445" s="100"/>
      <c r="AA445" s="101"/>
      <c r="AB445" s="171"/>
      <c r="AC445" s="171"/>
      <c r="AD445" s="171"/>
      <c r="AE445" s="171"/>
      <c r="AF445" s="171"/>
      <c r="AG445" s="171"/>
      <c r="AH445" s="171"/>
      <c r="AI445" s="171"/>
      <c r="AJ445" s="171"/>
      <c r="AK445" s="171"/>
      <c r="AL445" s="171"/>
      <c r="AM445" s="171"/>
      <c r="AN445" s="171"/>
      <c r="AO445" s="171"/>
      <c r="AP445" s="171"/>
      <c r="AQ445" s="171"/>
      <c r="AR445" s="171"/>
      <c r="AS445" s="171"/>
      <c r="AT445" s="171"/>
      <c r="AU445" s="171"/>
    </row>
    <row r="446" spans="1:47" s="620" customFormat="1" ht="15.75" hidden="1" customHeight="1" thickBot="1" x14ac:dyDescent="0.3">
      <c r="A446" s="2496" t="s">
        <v>1654</v>
      </c>
      <c r="B446" s="2497"/>
      <c r="C446" s="2497"/>
      <c r="D446" s="2497"/>
      <c r="E446" s="2497"/>
      <c r="F446" s="2497"/>
      <c r="G446" s="2498"/>
      <c r="H446" s="171"/>
      <c r="I446" s="171"/>
      <c r="J446" s="100"/>
      <c r="K446" s="100"/>
      <c r="L446" s="101"/>
      <c r="M446" s="171"/>
      <c r="N446" s="100"/>
      <c r="O446" s="171"/>
      <c r="P446" s="171"/>
      <c r="Q446" s="171"/>
      <c r="R446" s="171"/>
      <c r="S446" s="171"/>
      <c r="T446" s="100"/>
      <c r="U446" s="101"/>
      <c r="V446" s="171"/>
      <c r="W446" s="100"/>
      <c r="X446" s="101"/>
      <c r="Y446" s="171"/>
      <c r="Z446" s="100"/>
      <c r="AA446" s="101"/>
      <c r="AB446" s="171"/>
      <c r="AC446" s="171"/>
      <c r="AD446" s="171"/>
      <c r="AE446" s="171"/>
      <c r="AF446" s="171"/>
      <c r="AG446" s="171"/>
      <c r="AH446" s="171"/>
      <c r="AI446" s="171"/>
      <c r="AJ446" s="171"/>
      <c r="AK446" s="171"/>
      <c r="AL446" s="171"/>
      <c r="AM446" s="171"/>
      <c r="AN446" s="171"/>
      <c r="AO446" s="171"/>
      <c r="AP446" s="171"/>
      <c r="AQ446" s="171"/>
      <c r="AR446" s="171"/>
      <c r="AS446" s="171"/>
      <c r="AT446" s="171"/>
      <c r="AU446" s="171"/>
    </row>
    <row r="447" spans="1:47" s="620" customFormat="1" ht="15" hidden="1" customHeight="1" x14ac:dyDescent="0.25">
      <c r="A447" s="1193" t="s">
        <v>1656</v>
      </c>
      <c r="B447" s="1497" t="str">
        <f>B396</f>
        <v>mGy.cm2 calculado Ddisp1.A10</v>
      </c>
      <c r="C447" s="1491" t="str">
        <f>B447</f>
        <v>mGy.cm2 calculado Ddisp1.A10</v>
      </c>
      <c r="D447" s="1491" t="str">
        <f>C447</f>
        <v>mGy.cm2 calculado Ddisp1.A10</v>
      </c>
      <c r="E447" s="1491" t="str">
        <f>D447</f>
        <v>mGy.cm2 calculado Ddisp1.A10</v>
      </c>
      <c r="F447" s="1491" t="str">
        <f>E447</f>
        <v>mGy.cm2 calculado Ddisp1.A10</v>
      </c>
      <c r="G447" s="1491" t="str">
        <f>F447</f>
        <v>mGy.cm2 calculado Ddisp1.A10</v>
      </c>
      <c r="H447" s="171"/>
      <c r="I447" s="171"/>
      <c r="J447" s="100"/>
      <c r="K447" s="100"/>
      <c r="L447" s="101"/>
      <c r="M447" s="171"/>
      <c r="N447" s="100"/>
      <c r="O447" s="171"/>
      <c r="P447" s="171"/>
      <c r="Q447" s="171"/>
      <c r="R447" s="171"/>
      <c r="S447" s="171"/>
      <c r="T447" s="100"/>
      <c r="U447" s="101"/>
      <c r="V447" s="171"/>
      <c r="W447" s="100"/>
      <c r="X447" s="101"/>
      <c r="Y447" s="171"/>
      <c r="Z447" s="100"/>
      <c r="AA447" s="101"/>
      <c r="AB447" s="171"/>
      <c r="AC447" s="171"/>
      <c r="AD447" s="171"/>
      <c r="AE447" s="171"/>
      <c r="AF447" s="171"/>
      <c r="AG447" s="171"/>
      <c r="AH447" s="171"/>
      <c r="AI447" s="171"/>
      <c r="AJ447" s="171"/>
      <c r="AK447" s="171"/>
      <c r="AL447" s="171"/>
      <c r="AM447" s="171"/>
      <c r="AN447" s="171"/>
      <c r="AO447" s="171"/>
      <c r="AP447" s="171"/>
      <c r="AQ447" s="171"/>
      <c r="AR447" s="171"/>
      <c r="AS447" s="171"/>
      <c r="AT447" s="171"/>
      <c r="AU447" s="171"/>
    </row>
    <row r="448" spans="1:47" s="620" customFormat="1" ht="17.25" hidden="1" customHeight="1" x14ac:dyDescent="0.25">
      <c r="A448" s="1480" t="s">
        <v>1657</v>
      </c>
      <c r="B448" s="1213">
        <f t="shared" ref="B448:G448" si="127">B432</f>
        <v>0</v>
      </c>
      <c r="C448" s="1213">
        <f t="shared" si="127"/>
        <v>0</v>
      </c>
      <c r="D448" s="1213">
        <f t="shared" si="127"/>
        <v>0</v>
      </c>
      <c r="E448" s="1213">
        <f t="shared" si="127"/>
        <v>0</v>
      </c>
      <c r="F448" s="1213">
        <f t="shared" si="127"/>
        <v>0</v>
      </c>
      <c r="G448" s="1213">
        <f t="shared" si="127"/>
        <v>0</v>
      </c>
      <c r="H448" s="171"/>
      <c r="I448" s="171"/>
      <c r="J448" s="100"/>
      <c r="K448" s="100"/>
      <c r="L448" s="101"/>
      <c r="M448" s="171"/>
      <c r="N448" s="100"/>
      <c r="O448" s="171"/>
      <c r="P448" s="171"/>
      <c r="Q448" s="171"/>
      <c r="R448" s="171"/>
      <c r="S448" s="171"/>
      <c r="T448" s="100"/>
      <c r="U448" s="101"/>
      <c r="V448" s="171"/>
      <c r="W448" s="100"/>
      <c r="X448" s="101"/>
      <c r="Y448" s="171"/>
      <c r="Z448" s="100"/>
      <c r="AA448" s="101"/>
      <c r="AB448" s="171"/>
      <c r="AC448" s="171"/>
      <c r="AD448" s="171"/>
      <c r="AE448" s="171"/>
      <c r="AF448" s="171"/>
      <c r="AG448" s="171"/>
      <c r="AH448" s="171"/>
      <c r="AI448" s="171"/>
      <c r="AJ448" s="171"/>
      <c r="AK448" s="171"/>
      <c r="AL448" s="171"/>
      <c r="AM448" s="171"/>
      <c r="AN448" s="171"/>
      <c r="AO448" s="171"/>
      <c r="AP448" s="171"/>
      <c r="AQ448" s="171"/>
      <c r="AR448" s="171"/>
      <c r="AS448" s="171"/>
      <c r="AT448" s="171"/>
      <c r="AU448" s="171"/>
    </row>
    <row r="449" spans="1:47" s="620" customFormat="1" ht="17.25" hidden="1" customHeight="1" x14ac:dyDescent="0.25">
      <c r="A449" s="1481" t="s">
        <v>1658</v>
      </c>
      <c r="B449" s="1196" t="str">
        <f t="shared" ref="B449:G449" ca="1" si="128">VLOOKUP($B447,$A439:$G444,COLUMN())</f>
        <v>NPA</v>
      </c>
      <c r="C449" s="1196" t="str">
        <f t="shared" ca="1" si="128"/>
        <v>NPA</v>
      </c>
      <c r="D449" s="1196" t="str">
        <f t="shared" ca="1" si="128"/>
        <v>NPA</v>
      </c>
      <c r="E449" s="1196" t="str">
        <f t="shared" ca="1" si="128"/>
        <v>NPA</v>
      </c>
      <c r="F449" s="1196" t="str">
        <f t="shared" ca="1" si="128"/>
        <v>NPA</v>
      </c>
      <c r="G449" s="1196" t="str">
        <f t="shared" ca="1" si="128"/>
        <v>NPA</v>
      </c>
      <c r="H449" s="171"/>
      <c r="I449" s="171"/>
      <c r="J449" s="100"/>
      <c r="K449" s="100"/>
      <c r="L449" s="101"/>
      <c r="M449" s="171"/>
      <c r="N449" s="100"/>
      <c r="O449" s="171"/>
      <c r="P449" s="171"/>
      <c r="Q449" s="171"/>
      <c r="R449" s="171"/>
      <c r="S449" s="171"/>
      <c r="T449" s="100"/>
      <c r="U449" s="101"/>
      <c r="V449" s="171"/>
      <c r="W449" s="100"/>
      <c r="X449" s="101"/>
      <c r="Y449" s="171"/>
      <c r="Z449" s="100"/>
      <c r="AA449" s="101"/>
      <c r="AB449" s="171"/>
      <c r="AC449" s="171"/>
      <c r="AD449" s="171"/>
      <c r="AE449" s="171"/>
      <c r="AF449" s="171"/>
      <c r="AG449" s="171"/>
      <c r="AH449" s="171"/>
      <c r="AI449" s="171"/>
      <c r="AJ449" s="171"/>
      <c r="AK449" s="171"/>
      <c r="AL449" s="171"/>
      <c r="AM449" s="171"/>
      <c r="AN449" s="171"/>
      <c r="AO449" s="171"/>
      <c r="AP449" s="171"/>
      <c r="AQ449" s="171"/>
      <c r="AR449" s="171"/>
      <c r="AS449" s="171"/>
      <c r="AT449" s="171"/>
      <c r="AU449" s="171"/>
    </row>
    <row r="450" spans="1:47" s="620" customFormat="1" ht="15" customHeight="1" x14ac:dyDescent="0.25">
      <c r="A450" s="140" t="s">
        <v>1700</v>
      </c>
      <c r="B450" s="1196">
        <v>0.8</v>
      </c>
      <c r="C450" s="1196">
        <f>B450</f>
        <v>0.8</v>
      </c>
      <c r="D450" s="1196">
        <f>C450</f>
        <v>0.8</v>
      </c>
      <c r="E450" s="1196">
        <f>D450</f>
        <v>0.8</v>
      </c>
      <c r="F450" s="1196">
        <f>E450</f>
        <v>0.8</v>
      </c>
      <c r="G450" s="1196">
        <f>F450</f>
        <v>0.8</v>
      </c>
      <c r="H450" s="171" t="s">
        <v>1647</v>
      </c>
      <c r="J450" s="100"/>
      <c r="K450" s="100"/>
      <c r="L450" s="101"/>
      <c r="M450" s="171"/>
      <c r="N450" s="100"/>
      <c r="O450" s="171"/>
      <c r="P450" s="171"/>
      <c r="Q450" s="171"/>
      <c r="R450" s="171"/>
      <c r="S450" s="171"/>
      <c r="T450" s="100"/>
      <c r="U450" s="101"/>
      <c r="V450" s="171"/>
      <c r="W450" s="100"/>
      <c r="X450" s="101"/>
      <c r="Y450" s="171"/>
      <c r="Z450" s="100"/>
      <c r="AA450" s="101"/>
      <c r="AB450" s="171"/>
      <c r="AC450" s="171"/>
      <c r="AD450" s="171"/>
      <c r="AE450" s="171"/>
      <c r="AF450" s="171"/>
      <c r="AG450" s="171"/>
      <c r="AH450" s="171"/>
      <c r="AI450" s="171"/>
      <c r="AJ450" s="171"/>
      <c r="AK450" s="171"/>
      <c r="AL450" s="171"/>
      <c r="AM450" s="171"/>
      <c r="AN450" s="171"/>
      <c r="AO450" s="171"/>
      <c r="AP450" s="171"/>
      <c r="AQ450" s="171"/>
      <c r="AR450" s="171"/>
      <c r="AS450" s="171"/>
      <c r="AT450" s="171"/>
      <c r="AU450" s="171"/>
    </row>
    <row r="451" spans="1:47" s="620" customFormat="1" ht="15" hidden="1" customHeight="1" x14ac:dyDescent="0.25">
      <c r="A451" s="1504" t="s">
        <v>1683</v>
      </c>
      <c r="B451" s="1505" t="e">
        <f t="shared" ref="B451:G451" ca="1" si="129">ROUNDDOWN(ABS(B449/(B448*B450)-1)*100,2)</f>
        <v>#VALUE!</v>
      </c>
      <c r="C451" s="1505" t="e">
        <f t="shared" ca="1" si="129"/>
        <v>#VALUE!</v>
      </c>
      <c r="D451" s="1505" t="e">
        <f t="shared" ca="1" si="129"/>
        <v>#VALUE!</v>
      </c>
      <c r="E451" s="1505" t="e">
        <f t="shared" ca="1" si="129"/>
        <v>#VALUE!</v>
      </c>
      <c r="F451" s="1505" t="e">
        <f t="shared" ca="1" si="129"/>
        <v>#VALUE!</v>
      </c>
      <c r="G451" s="1505" t="e">
        <f t="shared" ca="1" si="129"/>
        <v>#VALUE!</v>
      </c>
      <c r="H451" s="171"/>
      <c r="I451" s="171"/>
      <c r="J451" s="100"/>
      <c r="K451" s="100"/>
      <c r="L451" s="101"/>
      <c r="M451" s="171"/>
      <c r="N451" s="100"/>
      <c r="O451" s="171"/>
      <c r="P451" s="171"/>
      <c r="Q451" s="171"/>
      <c r="R451" s="171"/>
      <c r="S451" s="171"/>
      <c r="T451" s="100"/>
      <c r="U451" s="101"/>
      <c r="V451" s="171"/>
      <c r="W451" s="100"/>
      <c r="X451" s="101"/>
      <c r="Y451" s="171"/>
      <c r="Z451" s="100"/>
      <c r="AA451" s="101"/>
      <c r="AB451" s="171"/>
      <c r="AC451" s="171"/>
      <c r="AD451" s="171"/>
      <c r="AE451" s="171"/>
      <c r="AF451" s="171"/>
      <c r="AG451" s="171"/>
      <c r="AH451" s="171"/>
      <c r="AI451" s="171"/>
      <c r="AJ451" s="171"/>
      <c r="AK451" s="171"/>
      <c r="AL451" s="171"/>
      <c r="AM451" s="171"/>
      <c r="AN451" s="171"/>
      <c r="AO451" s="171"/>
      <c r="AP451" s="171"/>
      <c r="AQ451" s="171"/>
      <c r="AR451" s="171"/>
      <c r="AS451" s="171"/>
      <c r="AT451" s="171"/>
      <c r="AU451" s="171"/>
    </row>
    <row r="452" spans="1:47" s="620" customFormat="1" ht="15" hidden="1" customHeight="1" x14ac:dyDescent="0.25">
      <c r="A452" s="1506" t="str">
        <f>$B$1</f>
        <v>IN 91</v>
      </c>
      <c r="B452" s="1507" t="str">
        <f t="shared" ref="B452:G452" ca="1" si="130">IFERROR(IF(ROUNDDOWN(ABS(B449/(B448*B450)-1),2)&lt;=0.2,"Sim",IF(ROUNDDOWN(ABS(B449/(B448*B450)-1),2)&lt;0.4,"Não","Restrição")),"NPA")</f>
        <v>NPA</v>
      </c>
      <c r="C452" s="1507" t="str">
        <f t="shared" ca="1" si="130"/>
        <v>NPA</v>
      </c>
      <c r="D452" s="1507" t="str">
        <f t="shared" ca="1" si="130"/>
        <v>NPA</v>
      </c>
      <c r="E452" s="1507" t="str">
        <f t="shared" ca="1" si="130"/>
        <v>NPA</v>
      </c>
      <c r="F452" s="1507" t="str">
        <f t="shared" ca="1" si="130"/>
        <v>NPA</v>
      </c>
      <c r="G452" s="1507" t="str">
        <f t="shared" ca="1" si="130"/>
        <v>NPA</v>
      </c>
      <c r="H452" s="171"/>
      <c r="I452" s="171"/>
      <c r="J452" s="101"/>
      <c r="K452" s="171"/>
      <c r="L452" s="101"/>
      <c r="M452" s="171"/>
      <c r="N452" s="100"/>
      <c r="O452" s="171"/>
      <c r="P452" s="171"/>
      <c r="Q452" s="171"/>
      <c r="R452" s="171"/>
      <c r="S452" s="171"/>
      <c r="T452" s="100"/>
      <c r="U452" s="101"/>
      <c r="V452" s="171"/>
      <c r="W452" s="100"/>
      <c r="X452" s="101"/>
      <c r="Y452" s="171"/>
      <c r="Z452" s="100"/>
      <c r="AA452" s="101"/>
      <c r="AB452" s="171"/>
      <c r="AC452" s="171"/>
      <c r="AD452" s="171"/>
      <c r="AE452" s="171"/>
      <c r="AF452" s="171"/>
      <c r="AG452" s="171"/>
      <c r="AH452" s="171"/>
      <c r="AI452" s="171"/>
      <c r="AJ452" s="171"/>
      <c r="AK452" s="171"/>
      <c r="AL452" s="171"/>
      <c r="AM452" s="171"/>
      <c r="AN452" s="171"/>
      <c r="AO452" s="171"/>
      <c r="AP452" s="171"/>
      <c r="AQ452" s="171"/>
      <c r="AR452" s="171"/>
      <c r="AS452" s="171"/>
      <c r="AT452" s="171"/>
      <c r="AU452" s="171"/>
    </row>
    <row r="453" spans="1:47" s="171" customFormat="1" ht="3.6" hidden="1" customHeight="1" x14ac:dyDescent="0.25">
      <c r="A453" s="1508"/>
      <c r="B453" s="1509"/>
      <c r="C453" s="1509"/>
      <c r="D453" s="1509"/>
      <c r="E453" s="1509"/>
      <c r="F453" s="1509"/>
      <c r="G453" s="1510"/>
      <c r="J453" s="101"/>
      <c r="L453" s="101"/>
      <c r="N453" s="100"/>
      <c r="T453" s="100"/>
      <c r="U453" s="101"/>
      <c r="W453" s="100"/>
      <c r="X453" s="101"/>
      <c r="Z453" s="100"/>
      <c r="AA453" s="101"/>
    </row>
    <row r="454" spans="1:47" s="171" customFormat="1" ht="15.75" hidden="1" customHeight="1" thickBot="1" x14ac:dyDescent="0.3">
      <c r="A454" s="2524" t="s">
        <v>1659</v>
      </c>
      <c r="B454" s="2525"/>
      <c r="C454" s="2525"/>
      <c r="D454" s="2525"/>
      <c r="E454" s="2525"/>
      <c r="F454" s="2525"/>
      <c r="G454" s="2526"/>
      <c r="J454" s="101"/>
      <c r="L454" s="101"/>
      <c r="N454" s="100"/>
      <c r="T454" s="100"/>
      <c r="U454" s="101"/>
      <c r="W454" s="100"/>
      <c r="X454" s="101"/>
      <c r="Z454" s="100"/>
      <c r="AA454" s="101"/>
    </row>
    <row r="455" spans="1:47" s="171" customFormat="1" ht="15" hidden="1" customHeight="1" x14ac:dyDescent="0.25">
      <c r="A455" s="1511" t="s">
        <v>1660</v>
      </c>
      <c r="B455" s="1512" t="e">
        <f t="shared" ref="B455:G455" ca="1" si="131">ROUNDDOWN(100*ABS((B426/B450*($D$147/$D$144)^2)/B434-1),2)</f>
        <v>#VALUE!</v>
      </c>
      <c r="C455" s="1512" t="e">
        <f t="shared" ca="1" si="131"/>
        <v>#VALUE!</v>
      </c>
      <c r="D455" s="1512" t="e">
        <f t="shared" ca="1" si="131"/>
        <v>#VALUE!</v>
      </c>
      <c r="E455" s="1512" t="e">
        <f t="shared" ca="1" si="131"/>
        <v>#VALUE!</v>
      </c>
      <c r="F455" s="1512" t="e">
        <f t="shared" ca="1" si="131"/>
        <v>#VALUE!</v>
      </c>
      <c r="G455" s="1512" t="e">
        <f t="shared" ca="1" si="131"/>
        <v>#VALUE!</v>
      </c>
      <c r="J455" s="101"/>
      <c r="L455" s="101"/>
      <c r="N455" s="100"/>
      <c r="T455" s="100"/>
      <c r="U455" s="101"/>
      <c r="W455" s="100"/>
      <c r="X455" s="101"/>
      <c r="Z455" s="100"/>
      <c r="AA455" s="101"/>
    </row>
    <row r="456" spans="1:47" s="171" customFormat="1" ht="15" hidden="1" customHeight="1" x14ac:dyDescent="0.25">
      <c r="A456" s="1506" t="str">
        <f>$B$1</f>
        <v>IN 91</v>
      </c>
      <c r="B456" s="1507" t="str">
        <f t="shared" ref="B456:G456" ca="1" si="132">IFERROR(IF(ROUNDDOWN(ABS((B426/B450*($D$147/$D$144)^2)/B434-1),2)&lt;=0.2,"Sim",IF(ROUNDDOWN(ABS((B426/B450*($D$147/$D$144)^2)/B434-1),2)&lt;0.4,"Não","Restrição")),"NPA")</f>
        <v>NPA</v>
      </c>
      <c r="C456" s="1507" t="str">
        <f t="shared" ca="1" si="132"/>
        <v>NPA</v>
      </c>
      <c r="D456" s="1507" t="str">
        <f t="shared" ca="1" si="132"/>
        <v>NPA</v>
      </c>
      <c r="E456" s="1507" t="str">
        <f t="shared" ca="1" si="132"/>
        <v>NPA</v>
      </c>
      <c r="F456" s="1507" t="str">
        <f t="shared" ca="1" si="132"/>
        <v>NPA</v>
      </c>
      <c r="G456" s="1507" t="str">
        <f t="shared" ca="1" si="132"/>
        <v>NPA</v>
      </c>
      <c r="J456" s="101"/>
      <c r="L456" s="101"/>
      <c r="N456" s="100"/>
      <c r="T456" s="100"/>
      <c r="U456" s="101"/>
      <c r="W456" s="100"/>
      <c r="X456" s="101"/>
      <c r="Z456" s="100"/>
      <c r="AA456" s="101"/>
    </row>
    <row r="457" spans="1:47" s="620" customFormat="1" ht="3.6" hidden="1" customHeight="1" thickBot="1" x14ac:dyDescent="0.3">
      <c r="A457" s="1508"/>
      <c r="B457" s="1509"/>
      <c r="C457" s="1509"/>
      <c r="D457" s="1509"/>
      <c r="E457" s="1509"/>
      <c r="F457" s="1509"/>
      <c r="G457" s="1510"/>
      <c r="H457" s="171"/>
      <c r="I457" s="171"/>
      <c r="J457" s="100"/>
      <c r="K457" s="100"/>
      <c r="L457" s="101"/>
      <c r="M457" s="171"/>
      <c r="N457" s="100"/>
      <c r="O457" s="171"/>
      <c r="P457" s="171"/>
      <c r="Q457" s="171"/>
      <c r="R457" s="171"/>
      <c r="S457" s="171"/>
      <c r="T457" s="100"/>
      <c r="U457" s="101"/>
      <c r="V457" s="171"/>
      <c r="W457" s="100"/>
      <c r="X457" s="101"/>
      <c r="Y457" s="171"/>
      <c r="Z457" s="100"/>
      <c r="AA457" s="101"/>
      <c r="AB457" s="171"/>
      <c r="AC457" s="171"/>
      <c r="AD457" s="171"/>
      <c r="AE457" s="171"/>
      <c r="AF457" s="171"/>
      <c r="AG457" s="171"/>
      <c r="AH457" s="171"/>
      <c r="AI457" s="171"/>
      <c r="AJ457" s="171"/>
      <c r="AK457" s="171"/>
      <c r="AL457" s="171"/>
      <c r="AM457" s="171"/>
      <c r="AN457" s="171"/>
      <c r="AO457" s="171"/>
      <c r="AP457" s="171"/>
      <c r="AQ457" s="171"/>
      <c r="AR457" s="171"/>
      <c r="AS457" s="171"/>
      <c r="AT457" s="171"/>
      <c r="AU457" s="171"/>
    </row>
    <row r="458" spans="1:47" s="620" customFormat="1" ht="15" hidden="1" customHeight="1" x14ac:dyDescent="0.25">
      <c r="A458" s="2509" t="s">
        <v>1661</v>
      </c>
      <c r="B458" s="2510"/>
      <c r="C458" s="2510"/>
      <c r="D458" s="2510"/>
      <c r="E458" s="2510"/>
      <c r="F458" s="2510"/>
      <c r="G458" s="2511"/>
      <c r="H458" s="172"/>
      <c r="I458" s="171"/>
      <c r="J458" s="100"/>
      <c r="K458" s="100"/>
      <c r="L458" s="101"/>
      <c r="M458" s="171"/>
      <c r="N458" s="100"/>
      <c r="O458" s="171"/>
      <c r="P458" s="171"/>
      <c r="Q458" s="171"/>
      <c r="R458" s="171"/>
      <c r="S458" s="171"/>
      <c r="T458" s="100"/>
      <c r="U458" s="101"/>
      <c r="V458" s="171"/>
      <c r="W458" s="100"/>
      <c r="X458" s="101"/>
      <c r="Y458" s="171"/>
      <c r="Z458" s="100"/>
      <c r="AA458" s="101"/>
      <c r="AB458" s="171"/>
      <c r="AC458" s="171"/>
      <c r="AD458" s="171"/>
      <c r="AE458" s="171"/>
      <c r="AF458" s="171"/>
      <c r="AG458" s="171"/>
      <c r="AH458" s="171"/>
      <c r="AI458" s="171"/>
      <c r="AJ458" s="171"/>
      <c r="AK458" s="171"/>
      <c r="AL458" s="171"/>
      <c r="AM458" s="171"/>
      <c r="AN458" s="171"/>
      <c r="AO458" s="171"/>
      <c r="AP458" s="171"/>
      <c r="AQ458" s="171"/>
      <c r="AR458" s="171"/>
      <c r="AS458" s="171"/>
      <c r="AT458" s="171"/>
      <c r="AU458" s="171"/>
    </row>
    <row r="459" spans="1:47" s="620" customFormat="1" ht="15" customHeight="1" x14ac:dyDescent="0.25">
      <c r="A459" s="1513" t="s">
        <v>1662</v>
      </c>
      <c r="B459" s="1504" t="str">
        <f ca="1">IFERROR(ROUNDDOWN(B427/B450*60*($D$147/$D$144)^2,1),"NPA")</f>
        <v>NPA</v>
      </c>
      <c r="C459" s="1504" t="str">
        <f ca="1">IFERROR(ROUNDDOWN(C427*60*($D$147/$D$144)^2,1),"NPA")</f>
        <v>NPA</v>
      </c>
      <c r="D459" s="1504" t="str">
        <f ca="1">IFERROR(ROUNDDOWN(D427*60*($D$147/$D$144)^2,1),"NPA")</f>
        <v>NPA</v>
      </c>
      <c r="E459" s="1504" t="str">
        <f ca="1">IFERROR(ROUNDDOWN(E427*60*($D$147/$D$144)^2,1),"NPA")</f>
        <v>NPA</v>
      </c>
      <c r="F459" s="1504" t="str">
        <f ca="1">IFERROR(ROUNDDOWN(F427*60*($D$147/$D$144)^2,1),"NPA")</f>
        <v>NPA</v>
      </c>
      <c r="G459" s="1504" t="str">
        <f ca="1">IFERROR(ROUNDDOWN(G427*60*($D$147/$D$144)^2,1),"NPA")</f>
        <v>NPA</v>
      </c>
      <c r="H459" s="171"/>
      <c r="I459" s="171"/>
      <c r="J459" s="100"/>
      <c r="K459" s="100"/>
      <c r="L459" s="101"/>
      <c r="M459" s="171"/>
      <c r="N459" s="100"/>
      <c r="O459" s="171"/>
      <c r="P459" s="171"/>
      <c r="Q459" s="171"/>
      <c r="R459" s="171"/>
      <c r="S459" s="171"/>
      <c r="T459" s="100"/>
      <c r="U459" s="101"/>
      <c r="V459" s="171"/>
      <c r="W459" s="100"/>
      <c r="X459" s="101"/>
      <c r="Y459" s="171"/>
      <c r="Z459" s="100"/>
      <c r="AA459" s="101"/>
      <c r="AB459" s="171"/>
      <c r="AC459" s="171"/>
      <c r="AD459" s="171"/>
      <c r="AE459" s="171"/>
      <c r="AF459" s="171"/>
      <c r="AG459" s="171"/>
      <c r="AH459" s="171"/>
      <c r="AI459" s="171"/>
      <c r="AJ459" s="171"/>
      <c r="AK459" s="171"/>
      <c r="AL459" s="171"/>
      <c r="AM459" s="171"/>
      <c r="AN459" s="171"/>
      <c r="AO459" s="171"/>
      <c r="AP459" s="171"/>
      <c r="AQ459" s="171"/>
      <c r="AR459" s="171"/>
      <c r="AS459" s="171"/>
      <c r="AT459" s="171"/>
      <c r="AU459" s="171"/>
    </row>
    <row r="460" spans="1:47" s="620" customFormat="1" ht="15" customHeight="1" x14ac:dyDescent="0.25">
      <c r="A460" s="1506" t="str">
        <f>$B$1</f>
        <v>IN 91</v>
      </c>
      <c r="B460" s="1507" t="str">
        <f ca="1">IF(B459="NPA","NPA",IF(B459&gt;176,"Restrição",IF(AND($A$412="Modo Normal",B459&gt;88),"Não","Sim")))</f>
        <v>NPA</v>
      </c>
      <c r="C460" s="1507" t="str">
        <f t="shared" ref="C460:G460" ca="1" si="133">IF(C459="NPA","NPA",IF(C459&gt;176,"Restrição",IF(AND($A$412="Modo Normal",C459&gt;88),"Não","Sim")))</f>
        <v>NPA</v>
      </c>
      <c r="D460" s="1507" t="str">
        <f t="shared" ca="1" si="133"/>
        <v>NPA</v>
      </c>
      <c r="E460" s="1507" t="str">
        <f t="shared" ca="1" si="133"/>
        <v>NPA</v>
      </c>
      <c r="F460" s="1507" t="str">
        <f t="shared" ca="1" si="133"/>
        <v>NPA</v>
      </c>
      <c r="G460" s="1507" t="str">
        <f t="shared" ca="1" si="133"/>
        <v>NPA</v>
      </c>
      <c r="H460" s="171"/>
      <c r="I460" s="171"/>
      <c r="J460" s="100"/>
      <c r="K460" s="100"/>
      <c r="L460" s="101"/>
      <c r="M460" s="171"/>
      <c r="N460" s="100"/>
      <c r="O460" s="171"/>
      <c r="P460" s="171"/>
      <c r="Q460" s="171"/>
      <c r="R460" s="171"/>
      <c r="S460" s="171"/>
      <c r="T460" s="100"/>
      <c r="U460" s="101"/>
      <c r="V460" s="171"/>
      <c r="W460" s="100"/>
      <c r="X460" s="101"/>
      <c r="Y460" s="171"/>
      <c r="Z460" s="100"/>
      <c r="AA460" s="101"/>
      <c r="AB460" s="171"/>
      <c r="AC460" s="171"/>
      <c r="AD460" s="171"/>
      <c r="AE460" s="171"/>
      <c r="AF460" s="171"/>
      <c r="AG460" s="171"/>
      <c r="AH460" s="171"/>
      <c r="AI460" s="171"/>
      <c r="AJ460" s="171"/>
      <c r="AK460" s="171"/>
      <c r="AL460" s="171"/>
      <c r="AM460" s="171"/>
      <c r="AN460" s="171"/>
      <c r="AO460" s="171"/>
      <c r="AP460" s="171"/>
      <c r="AQ460" s="171"/>
      <c r="AR460" s="171"/>
      <c r="AS460" s="171"/>
      <c r="AT460" s="171"/>
      <c r="AU460" s="171"/>
    </row>
    <row r="461" spans="1:47" s="620" customFormat="1" ht="15.75" customHeight="1" x14ac:dyDescent="0.25">
      <c r="A461" s="100"/>
      <c r="B461" s="87"/>
      <c r="C461" s="171"/>
      <c r="D461" s="171"/>
      <c r="E461" s="171"/>
      <c r="F461" s="171"/>
      <c r="G461" s="101"/>
      <c r="H461" s="171"/>
      <c r="I461" s="171"/>
      <c r="J461" s="100"/>
      <c r="K461" s="100"/>
      <c r="L461" s="101"/>
      <c r="M461" s="171"/>
      <c r="N461" s="100"/>
      <c r="O461" s="171"/>
      <c r="P461" s="171"/>
      <c r="Q461" s="171"/>
      <c r="R461" s="171"/>
      <c r="S461" s="171"/>
      <c r="T461" s="100"/>
      <c r="U461" s="101"/>
      <c r="V461" s="171"/>
      <c r="W461" s="100"/>
      <c r="X461" s="101"/>
      <c r="Y461" s="171"/>
      <c r="Z461" s="100"/>
      <c r="AA461" s="101"/>
      <c r="AB461" s="171"/>
      <c r="AC461" s="171"/>
      <c r="AD461" s="171"/>
      <c r="AE461" s="171"/>
      <c r="AF461" s="171"/>
      <c r="AG461" s="171"/>
      <c r="AH461" s="171"/>
      <c r="AI461" s="171"/>
      <c r="AJ461" s="171"/>
      <c r="AK461" s="171"/>
      <c r="AL461" s="171"/>
      <c r="AM461" s="171"/>
      <c r="AN461" s="171"/>
      <c r="AO461" s="171"/>
      <c r="AP461" s="171"/>
      <c r="AQ461" s="171"/>
      <c r="AR461" s="171"/>
      <c r="AS461" s="171"/>
      <c r="AT461" s="171"/>
      <c r="AU461" s="171"/>
    </row>
    <row r="462" spans="1:47" s="620" customFormat="1" ht="15.75" customHeight="1" x14ac:dyDescent="0.25">
      <c r="A462" s="100"/>
      <c r="B462" s="87"/>
      <c r="C462" s="171"/>
      <c r="D462" s="171"/>
      <c r="E462" s="171"/>
      <c r="F462" s="171"/>
      <c r="G462" s="101"/>
      <c r="H462" s="171"/>
      <c r="I462" s="171"/>
      <c r="J462" s="100"/>
      <c r="K462" s="100"/>
      <c r="L462" s="101"/>
      <c r="M462" s="171"/>
      <c r="N462" s="100"/>
      <c r="O462" s="171"/>
      <c r="P462" s="171"/>
      <c r="Q462" s="171"/>
      <c r="R462" s="171"/>
      <c r="S462" s="171"/>
      <c r="T462" s="100"/>
      <c r="U462" s="101"/>
      <c r="V462" s="171"/>
      <c r="W462" s="100"/>
      <c r="X462" s="101"/>
      <c r="Y462" s="171"/>
      <c r="Z462" s="100"/>
      <c r="AA462" s="101"/>
      <c r="AB462" s="171"/>
      <c r="AC462" s="171"/>
      <c r="AD462" s="171"/>
      <c r="AE462" s="171"/>
      <c r="AF462" s="171"/>
      <c r="AG462" s="171"/>
      <c r="AH462" s="171"/>
      <c r="AI462" s="171"/>
      <c r="AJ462" s="171"/>
      <c r="AK462" s="171"/>
      <c r="AL462" s="171"/>
      <c r="AM462" s="171"/>
      <c r="AN462" s="171"/>
      <c r="AO462" s="171"/>
      <c r="AP462" s="171"/>
      <c r="AQ462" s="171"/>
      <c r="AR462" s="171"/>
      <c r="AS462" s="171"/>
      <c r="AT462" s="171"/>
      <c r="AU462" s="171"/>
    </row>
    <row r="463" spans="1:47" s="620" customFormat="1" ht="15.75" customHeight="1" thickBot="1" x14ac:dyDescent="0.3">
      <c r="A463" s="100"/>
      <c r="B463" s="87"/>
      <c r="C463" s="171"/>
      <c r="D463" s="171"/>
      <c r="E463" s="171"/>
      <c r="F463" s="171"/>
      <c r="G463" s="101"/>
      <c r="H463" s="171"/>
      <c r="I463" s="171"/>
      <c r="J463" s="100"/>
      <c r="K463" s="100"/>
      <c r="L463" s="101"/>
      <c r="M463" s="171"/>
      <c r="N463" s="100"/>
      <c r="O463" s="171"/>
      <c r="P463" s="171"/>
      <c r="Q463" s="171"/>
      <c r="R463" s="171"/>
      <c r="S463" s="171"/>
      <c r="T463" s="100"/>
      <c r="U463" s="101"/>
      <c r="V463" s="171"/>
      <c r="W463" s="100"/>
      <c r="X463" s="101"/>
      <c r="Y463" s="171"/>
      <c r="Z463" s="100"/>
      <c r="AA463" s="101"/>
      <c r="AB463" s="171"/>
      <c r="AC463" s="171"/>
      <c r="AD463" s="171"/>
      <c r="AE463" s="171"/>
      <c r="AF463" s="171"/>
      <c r="AG463" s="171"/>
      <c r="AH463" s="171"/>
      <c r="AI463" s="171"/>
      <c r="AJ463" s="171"/>
      <c r="AK463" s="171"/>
      <c r="AL463" s="171"/>
      <c r="AM463" s="171"/>
      <c r="AN463" s="171"/>
      <c r="AO463" s="171"/>
      <c r="AP463" s="171"/>
      <c r="AQ463" s="171"/>
      <c r="AR463" s="171"/>
      <c r="AS463" s="171"/>
      <c r="AT463" s="171"/>
      <c r="AU463" s="171"/>
    </row>
    <row r="464" spans="1:47" s="620" customFormat="1" x14ac:dyDescent="0.25">
      <c r="A464" s="2520" t="s">
        <v>1664</v>
      </c>
      <c r="B464" s="2521"/>
      <c r="C464" s="2521"/>
      <c r="D464" s="2521"/>
      <c r="E464" s="2521"/>
      <c r="F464" s="2521"/>
      <c r="G464" s="2522"/>
      <c r="H464" s="171"/>
      <c r="I464" s="171"/>
      <c r="J464" s="100"/>
      <c r="K464" s="100"/>
      <c r="L464" s="101"/>
      <c r="M464" s="171"/>
      <c r="N464" s="100"/>
      <c r="O464" s="101"/>
      <c r="P464" s="171"/>
      <c r="Q464" s="100"/>
      <c r="R464" s="101"/>
      <c r="S464" s="171"/>
      <c r="T464" s="100"/>
      <c r="U464" s="101"/>
      <c r="V464" s="171"/>
      <c r="W464" s="100"/>
      <c r="X464" s="101"/>
      <c r="Y464" s="171"/>
      <c r="Z464" s="100"/>
      <c r="AA464" s="101"/>
      <c r="AB464" s="171"/>
      <c r="AC464" s="171"/>
      <c r="AD464" s="171"/>
      <c r="AE464" s="171"/>
      <c r="AF464" s="171"/>
      <c r="AG464" s="171"/>
      <c r="AH464" s="171"/>
      <c r="AI464" s="171"/>
      <c r="AJ464" s="171"/>
      <c r="AK464" s="171"/>
      <c r="AL464" s="171"/>
      <c r="AM464" s="171"/>
      <c r="AN464" s="171"/>
      <c r="AO464" s="171"/>
      <c r="AP464" s="171"/>
      <c r="AQ464" s="171"/>
      <c r="AR464" s="171"/>
      <c r="AS464" s="171"/>
      <c r="AT464" s="171"/>
      <c r="AU464" s="171"/>
    </row>
    <row r="465" spans="1:47" s="620" customFormat="1" x14ac:dyDescent="0.25">
      <c r="A465" s="2517" t="s">
        <v>1677</v>
      </c>
      <c r="B465" s="2518"/>
      <c r="C465" s="2518"/>
      <c r="D465" s="2518"/>
      <c r="E465" s="2518"/>
      <c r="F465" s="2518"/>
      <c r="G465" s="2519"/>
      <c r="H465" s="171"/>
      <c r="I465" s="171"/>
      <c r="J465" s="100"/>
      <c r="K465" s="100"/>
      <c r="L465" s="101"/>
      <c r="M465" s="171"/>
      <c r="N465" s="100"/>
      <c r="O465" s="171"/>
      <c r="P465" s="171"/>
      <c r="Q465" s="171"/>
      <c r="R465" s="171"/>
      <c r="S465" s="171"/>
      <c r="T465" s="100"/>
      <c r="U465" s="101"/>
      <c r="V465" s="171"/>
      <c r="W465" s="100"/>
      <c r="X465" s="101"/>
      <c r="Y465" s="171"/>
      <c r="Z465" s="100"/>
      <c r="AA465" s="101"/>
      <c r="AB465" s="171"/>
      <c r="AC465" s="171"/>
      <c r="AD465" s="171"/>
      <c r="AE465" s="171"/>
      <c r="AF465" s="171"/>
      <c r="AG465" s="171"/>
      <c r="AH465" s="171"/>
      <c r="AI465" s="171"/>
      <c r="AJ465" s="171"/>
      <c r="AK465" s="171"/>
      <c r="AL465" s="171"/>
      <c r="AM465" s="171"/>
      <c r="AN465" s="171"/>
      <c r="AO465" s="171"/>
      <c r="AP465" s="171"/>
      <c r="AQ465" s="171"/>
      <c r="AR465" s="171"/>
      <c r="AS465" s="171"/>
      <c r="AT465" s="171"/>
      <c r="AU465" s="171"/>
    </row>
    <row r="466" spans="1:47" s="620" customFormat="1" x14ac:dyDescent="0.25">
      <c r="A466" s="1791" t="s">
        <v>1665</v>
      </c>
      <c r="B466" s="1792" t="e">
        <f t="shared" ref="B466:G466" ca="1" si="134">ROUNDDOWN(B490/B486,2)</f>
        <v>#VALUE!</v>
      </c>
      <c r="C466" s="1792" t="e">
        <f t="shared" ca="1" si="134"/>
        <v>#VALUE!</v>
      </c>
      <c r="D466" s="1792" t="e">
        <f t="shared" ca="1" si="134"/>
        <v>#VALUE!</v>
      </c>
      <c r="E466" s="1792" t="e">
        <f t="shared" ca="1" si="134"/>
        <v>#VALUE!</v>
      </c>
      <c r="F466" s="1792" t="e">
        <f t="shared" ca="1" si="134"/>
        <v>#VALUE!</v>
      </c>
      <c r="G466" s="1792" t="e">
        <f t="shared" ca="1" si="134"/>
        <v>#VALUE!</v>
      </c>
    </row>
    <row r="467" spans="1:47" s="620" customFormat="1" x14ac:dyDescent="0.25">
      <c r="A467" s="1793" t="str">
        <f>$B$1</f>
        <v>IN 91</v>
      </c>
      <c r="B467" s="1794" t="str">
        <f t="shared" ref="B467:G467" ca="1" si="135">IFERROR(IF(B466&lt;=0.5,"Sim",IF(B466&lt;=1,"Restrição","Não")),"NPA")</f>
        <v>NPA</v>
      </c>
      <c r="C467" s="1794" t="str">
        <f t="shared" ca="1" si="135"/>
        <v>NPA</v>
      </c>
      <c r="D467" s="1794" t="str">
        <f t="shared" ca="1" si="135"/>
        <v>NPA</v>
      </c>
      <c r="E467" s="1794" t="str">
        <f t="shared" ca="1" si="135"/>
        <v>NPA</v>
      </c>
      <c r="F467" s="1794" t="str">
        <f t="shared" ca="1" si="135"/>
        <v>NPA</v>
      </c>
      <c r="G467" s="1794" t="str">
        <f t="shared" ca="1" si="135"/>
        <v>NPA</v>
      </c>
    </row>
    <row r="468" spans="1:47" s="620" customFormat="1" hidden="1" x14ac:dyDescent="0.25">
      <c r="A468" s="2517" t="s">
        <v>1676</v>
      </c>
      <c r="B468" s="2518"/>
      <c r="C468" s="2518"/>
      <c r="D468" s="2518"/>
      <c r="E468" s="2518"/>
      <c r="F468" s="2518"/>
      <c r="G468" s="2519"/>
    </row>
    <row r="469" spans="1:47" s="171" customFormat="1" hidden="1" x14ac:dyDescent="0.25">
      <c r="A469" s="1791" t="s">
        <v>1665</v>
      </c>
      <c r="B469" s="1792" t="e">
        <f t="shared" ref="B469:G469" ca="1" si="136">ROUNDDOWN(B511/B507,2)</f>
        <v>#VALUE!</v>
      </c>
      <c r="C469" s="1792" t="e">
        <f t="shared" ca="1" si="136"/>
        <v>#VALUE!</v>
      </c>
      <c r="D469" s="1792" t="e">
        <f t="shared" ca="1" si="136"/>
        <v>#VALUE!</v>
      </c>
      <c r="E469" s="1792" t="e">
        <f t="shared" ca="1" si="136"/>
        <v>#VALUE!</v>
      </c>
      <c r="F469" s="1792" t="e">
        <f t="shared" ca="1" si="136"/>
        <v>#VALUE!</v>
      </c>
      <c r="G469" s="1792" t="e">
        <f t="shared" ca="1" si="136"/>
        <v>#VALUE!</v>
      </c>
      <c r="J469" s="100"/>
      <c r="K469" s="100"/>
      <c r="L469" s="101"/>
      <c r="N469" s="100"/>
      <c r="O469" s="101"/>
      <c r="Q469" s="100"/>
      <c r="R469" s="101"/>
      <c r="T469" s="100"/>
      <c r="U469" s="101"/>
      <c r="W469" s="100"/>
      <c r="X469" s="101"/>
      <c r="Z469" s="100"/>
      <c r="AA469" s="101"/>
    </row>
    <row r="470" spans="1:47" s="171" customFormat="1" hidden="1" x14ac:dyDescent="0.25">
      <c r="A470" s="1793" t="str">
        <f>$B$1</f>
        <v>IN 91</v>
      </c>
      <c r="B470" s="1794" t="str">
        <f t="shared" ref="B470:G470" ca="1" si="137">IFERROR(IF(B469&lt;=0.5,"Sim",IF(B469&lt;=1,"Restrição","Não")),"NPA")</f>
        <v>NPA</v>
      </c>
      <c r="C470" s="1794" t="str">
        <f t="shared" ca="1" si="137"/>
        <v>NPA</v>
      </c>
      <c r="D470" s="1794" t="str">
        <f t="shared" ca="1" si="137"/>
        <v>NPA</v>
      </c>
      <c r="E470" s="1794" t="str">
        <f t="shared" ca="1" si="137"/>
        <v>NPA</v>
      </c>
      <c r="F470" s="1794" t="str">
        <f t="shared" ca="1" si="137"/>
        <v>NPA</v>
      </c>
      <c r="G470" s="1794" t="str">
        <f t="shared" ca="1" si="137"/>
        <v>NPA</v>
      </c>
      <c r="J470" s="100"/>
      <c r="K470" s="100"/>
      <c r="L470" s="101"/>
      <c r="N470" s="100"/>
      <c r="O470" s="101"/>
      <c r="Q470" s="100"/>
      <c r="R470" s="101"/>
      <c r="T470" s="100"/>
      <c r="U470" s="101"/>
      <c r="W470" s="100"/>
      <c r="X470" s="101"/>
      <c r="Z470" s="100"/>
      <c r="AA470" s="101"/>
    </row>
    <row r="471" spans="1:47" s="620" customFormat="1" ht="15.75" thickBot="1" x14ac:dyDescent="0.3">
      <c r="A471" s="1795"/>
      <c r="B471" s="1796"/>
      <c r="C471" s="1797"/>
      <c r="D471" s="1797"/>
      <c r="E471" s="1797"/>
      <c r="F471" s="1797"/>
      <c r="G471" s="1798"/>
      <c r="H471" s="171"/>
      <c r="I471" s="171"/>
      <c r="J471" s="100"/>
      <c r="K471" s="100"/>
      <c r="L471" s="101"/>
      <c r="M471" s="171"/>
      <c r="N471" s="100"/>
      <c r="O471" s="171"/>
      <c r="P471" s="171"/>
      <c r="Q471" s="171"/>
      <c r="R471" s="171"/>
      <c r="S471" s="171"/>
      <c r="T471" s="100"/>
      <c r="U471" s="101"/>
      <c r="V471" s="171"/>
      <c r="W471" s="100"/>
      <c r="X471" s="101"/>
      <c r="Y471" s="171"/>
      <c r="Z471" s="100"/>
      <c r="AA471" s="10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row>
    <row r="472" spans="1:47" s="171" customFormat="1" x14ac:dyDescent="0.25">
      <c r="A472" s="2520" t="s">
        <v>1678</v>
      </c>
      <c r="B472" s="2521"/>
      <c r="C472" s="2521"/>
      <c r="D472" s="2521"/>
      <c r="E472" s="2521"/>
      <c r="F472" s="2521"/>
      <c r="G472" s="2522"/>
      <c r="J472" s="100"/>
      <c r="K472" s="100"/>
      <c r="L472" s="101"/>
      <c r="N472" s="100"/>
      <c r="O472" s="101"/>
      <c r="Q472" s="100"/>
      <c r="R472" s="101"/>
      <c r="T472" s="100"/>
      <c r="U472" s="101"/>
      <c r="W472" s="100"/>
      <c r="X472" s="101"/>
      <c r="Z472" s="100"/>
      <c r="AA472" s="101"/>
    </row>
    <row r="473" spans="1:47" s="171" customFormat="1" x14ac:dyDescent="0.25">
      <c r="A473" s="2523" t="s">
        <v>1677</v>
      </c>
      <c r="B473" s="2523"/>
      <c r="C473" s="2523"/>
      <c r="D473" s="2523"/>
      <c r="E473" s="2523"/>
      <c r="F473" s="2523"/>
      <c r="G473" s="2523"/>
      <c r="H473" s="1809" t="s">
        <v>658</v>
      </c>
      <c r="I473" s="1809">
        <f ca="1">COUNTIF($B$474:$G$493,H473)</f>
        <v>0</v>
      </c>
      <c r="J473" s="100"/>
      <c r="K473" s="100"/>
      <c r="L473" s="101"/>
      <c r="N473" s="100"/>
      <c r="O473" s="101"/>
      <c r="Q473" s="100"/>
      <c r="R473" s="101"/>
      <c r="T473" s="100"/>
      <c r="U473" s="101"/>
      <c r="W473" s="100"/>
      <c r="X473" s="101"/>
      <c r="Z473" s="100"/>
      <c r="AA473" s="101"/>
    </row>
    <row r="474" spans="1:47" s="171" customFormat="1" x14ac:dyDescent="0.25">
      <c r="A474" s="1799" t="s">
        <v>1691</v>
      </c>
      <c r="B474" s="1800" t="e">
        <f t="shared" ref="B474:G474" ca="1" si="138">IF(ISNUMBER(B196),ROUNDDOWN(B196,1),B196)</f>
        <v>#VALUE!</v>
      </c>
      <c r="C474" s="1800" t="e">
        <f t="shared" ca="1" si="138"/>
        <v>#VALUE!</v>
      </c>
      <c r="D474" s="1800" t="e">
        <f t="shared" ca="1" si="138"/>
        <v>#VALUE!</v>
      </c>
      <c r="E474" s="1800" t="e">
        <f t="shared" ca="1" si="138"/>
        <v>#VALUE!</v>
      </c>
      <c r="F474" s="1800" t="e">
        <f t="shared" ca="1" si="138"/>
        <v>#VALUE!</v>
      </c>
      <c r="G474" s="1800" t="e">
        <f t="shared" ca="1" si="138"/>
        <v>#VALUE!</v>
      </c>
      <c r="H474" s="1809" t="s">
        <v>273</v>
      </c>
      <c r="I474" s="1809">
        <f ca="1">COUNTIF($B$474:$G$493,H474)</f>
        <v>0</v>
      </c>
      <c r="J474" s="100"/>
      <c r="K474" s="100"/>
      <c r="L474" s="101"/>
      <c r="N474" s="100"/>
      <c r="O474" s="101"/>
      <c r="Q474" s="100"/>
      <c r="R474" s="101"/>
      <c r="T474" s="100"/>
      <c r="U474" s="101"/>
      <c r="W474" s="100"/>
      <c r="X474" s="101"/>
      <c r="Z474" s="100"/>
      <c r="AA474" s="101"/>
    </row>
    <row r="475" spans="1:47" s="171" customFormat="1" x14ac:dyDescent="0.25">
      <c r="A475" s="1801" t="str">
        <f>$B$1</f>
        <v>IN 91</v>
      </c>
      <c r="B475" s="1801" t="str">
        <f t="shared" ref="B475:G475" ca="1" si="139">B197</f>
        <v>NPA</v>
      </c>
      <c r="C475" s="1801" t="str">
        <f t="shared" ca="1" si="139"/>
        <v>NPA</v>
      </c>
      <c r="D475" s="1801" t="str">
        <f t="shared" ca="1" si="139"/>
        <v>NPA</v>
      </c>
      <c r="E475" s="1801" t="str">
        <f t="shared" ca="1" si="139"/>
        <v>NPA</v>
      </c>
      <c r="F475" s="1801" t="str">
        <f t="shared" ca="1" si="139"/>
        <v>NPA</v>
      </c>
      <c r="G475" s="1801" t="str">
        <f t="shared" ca="1" si="139"/>
        <v>NPA</v>
      </c>
      <c r="J475" s="100"/>
      <c r="K475" s="100"/>
      <c r="L475" s="101"/>
      <c r="N475" s="100"/>
      <c r="O475" s="101"/>
      <c r="Q475" s="100"/>
      <c r="R475" s="101"/>
      <c r="T475" s="100"/>
      <c r="U475" s="101"/>
      <c r="W475" s="100"/>
      <c r="X475" s="101"/>
      <c r="Z475" s="100"/>
      <c r="AA475" s="101"/>
    </row>
    <row r="476" spans="1:47" s="171" customFormat="1" x14ac:dyDescent="0.25">
      <c r="A476" s="1802" t="s">
        <v>1692</v>
      </c>
      <c r="B476" s="1800" t="e">
        <f t="shared" ref="B476:G476" ca="1" si="140">IF(ISNUMBER(B247),ROUNDDOWN(B247,1),B247)</f>
        <v>#VALUE!</v>
      </c>
      <c r="C476" s="1800" t="e">
        <f t="shared" ca="1" si="140"/>
        <v>#VALUE!</v>
      </c>
      <c r="D476" s="1800" t="e">
        <f t="shared" ca="1" si="140"/>
        <v>#VALUE!</v>
      </c>
      <c r="E476" s="1800" t="e">
        <f t="shared" ca="1" si="140"/>
        <v>#VALUE!</v>
      </c>
      <c r="F476" s="1800" t="e">
        <f t="shared" ca="1" si="140"/>
        <v>#VALUE!</v>
      </c>
      <c r="G476" s="1800" t="e">
        <f t="shared" ca="1" si="140"/>
        <v>#VALUE!</v>
      </c>
      <c r="J476" s="100"/>
      <c r="K476" s="100"/>
      <c r="L476" s="101"/>
      <c r="N476" s="100"/>
      <c r="O476" s="101"/>
      <c r="Q476" s="100"/>
      <c r="R476" s="101"/>
      <c r="T476" s="100"/>
      <c r="U476" s="101"/>
      <c r="W476" s="100"/>
      <c r="X476" s="101"/>
      <c r="Z476" s="100"/>
      <c r="AA476" s="101"/>
    </row>
    <row r="477" spans="1:47" s="171" customFormat="1" x14ac:dyDescent="0.25">
      <c r="A477" s="1801" t="str">
        <f>$B$1</f>
        <v>IN 91</v>
      </c>
      <c r="B477" s="1801" t="str">
        <f t="shared" ref="B477:G477" ca="1" si="141">B248</f>
        <v>NPA</v>
      </c>
      <c r="C477" s="1801" t="str">
        <f t="shared" ca="1" si="141"/>
        <v>NPA</v>
      </c>
      <c r="D477" s="1801" t="str">
        <f t="shared" ca="1" si="141"/>
        <v>NPA</v>
      </c>
      <c r="E477" s="1801" t="str">
        <f t="shared" ca="1" si="141"/>
        <v>NPA</v>
      </c>
      <c r="F477" s="1801" t="str">
        <f t="shared" ca="1" si="141"/>
        <v>NPA</v>
      </c>
      <c r="G477" s="1801" t="str">
        <f t="shared" ca="1" si="141"/>
        <v>NPA</v>
      </c>
      <c r="J477" s="100"/>
      <c r="K477" s="100"/>
      <c r="L477" s="101"/>
      <c r="N477" s="100"/>
      <c r="O477" s="101"/>
      <c r="Q477" s="100"/>
      <c r="R477" s="101"/>
      <c r="T477" s="100"/>
      <c r="U477" s="101"/>
      <c r="W477" s="100"/>
      <c r="X477" s="101"/>
      <c r="Z477" s="100"/>
      <c r="AA477" s="101"/>
    </row>
    <row r="478" spans="1:47" s="171" customFormat="1" x14ac:dyDescent="0.25">
      <c r="A478" s="1802" t="s">
        <v>1693</v>
      </c>
      <c r="B478" s="1800" t="e">
        <f t="shared" ref="B478:G478" ca="1" si="142">IF(ISNUMBER(B298),ROUNDDOWN(B298,1),B298)</f>
        <v>#VALUE!</v>
      </c>
      <c r="C478" s="1800" t="e">
        <f t="shared" ca="1" si="142"/>
        <v>#VALUE!</v>
      </c>
      <c r="D478" s="1800" t="e">
        <f t="shared" ca="1" si="142"/>
        <v>#VALUE!</v>
      </c>
      <c r="E478" s="1800" t="e">
        <f t="shared" ca="1" si="142"/>
        <v>#VALUE!</v>
      </c>
      <c r="F478" s="1800" t="e">
        <f t="shared" ca="1" si="142"/>
        <v>#VALUE!</v>
      </c>
      <c r="G478" s="1800" t="e">
        <f t="shared" ca="1" si="142"/>
        <v>#VALUE!</v>
      </c>
      <c r="J478" s="100"/>
      <c r="K478" s="100"/>
      <c r="L478" s="101"/>
      <c r="N478" s="100"/>
      <c r="O478" s="101"/>
      <c r="Q478" s="100"/>
      <c r="R478" s="101"/>
      <c r="T478" s="100"/>
      <c r="U478" s="101"/>
      <c r="W478" s="100"/>
      <c r="X478" s="101"/>
      <c r="Z478" s="100"/>
      <c r="AA478" s="101"/>
    </row>
    <row r="479" spans="1:47" s="171" customFormat="1" x14ac:dyDescent="0.25">
      <c r="A479" s="1801" t="str">
        <f>$B$1</f>
        <v>IN 91</v>
      </c>
      <c r="B479" s="1801" t="str">
        <f t="shared" ref="B479:G479" ca="1" si="143">B299</f>
        <v>NPA</v>
      </c>
      <c r="C479" s="1801" t="str">
        <f t="shared" ca="1" si="143"/>
        <v>NPA</v>
      </c>
      <c r="D479" s="1801" t="str">
        <f t="shared" ca="1" si="143"/>
        <v>NPA</v>
      </c>
      <c r="E479" s="1801" t="str">
        <f t="shared" ca="1" si="143"/>
        <v>NPA</v>
      </c>
      <c r="F479" s="1801" t="str">
        <f t="shared" ca="1" si="143"/>
        <v>NPA</v>
      </c>
      <c r="G479" s="1801" t="str">
        <f t="shared" ca="1" si="143"/>
        <v>NPA</v>
      </c>
      <c r="J479" s="100"/>
      <c r="K479" s="100"/>
      <c r="L479" s="101"/>
      <c r="N479" s="100"/>
      <c r="O479" s="101"/>
      <c r="Q479" s="100"/>
      <c r="R479" s="101"/>
      <c r="T479" s="100"/>
      <c r="U479" s="101"/>
      <c r="W479" s="100"/>
      <c r="X479" s="101"/>
      <c r="Z479" s="100"/>
      <c r="AA479" s="101"/>
    </row>
    <row r="480" spans="1:47" s="171" customFormat="1" x14ac:dyDescent="0.25">
      <c r="A480" s="1803" t="s">
        <v>1694</v>
      </c>
      <c r="B480" s="1801" t="e">
        <f t="shared" ref="B480:G480" ca="1" si="144">IF(ISNUMBER(B200),ROUNDDOWN(B200,1),B200)</f>
        <v>#VALUE!</v>
      </c>
      <c r="C480" s="1801" t="e">
        <f t="shared" ca="1" si="144"/>
        <v>#VALUE!</v>
      </c>
      <c r="D480" s="1801" t="e">
        <f t="shared" ca="1" si="144"/>
        <v>#VALUE!</v>
      </c>
      <c r="E480" s="1801" t="e">
        <f t="shared" ca="1" si="144"/>
        <v>#VALUE!</v>
      </c>
      <c r="F480" s="1801" t="e">
        <f t="shared" ca="1" si="144"/>
        <v>#VALUE!</v>
      </c>
      <c r="G480" s="1801" t="e">
        <f t="shared" ca="1" si="144"/>
        <v>#VALUE!</v>
      </c>
      <c r="J480" s="100"/>
      <c r="K480" s="100"/>
      <c r="L480" s="101"/>
      <c r="N480" s="100"/>
      <c r="O480" s="101"/>
      <c r="Q480" s="100"/>
      <c r="R480" s="101"/>
      <c r="T480" s="100"/>
      <c r="U480" s="101"/>
      <c r="W480" s="100"/>
      <c r="X480" s="101"/>
      <c r="Z480" s="100"/>
      <c r="AA480" s="101"/>
    </row>
    <row r="481" spans="1:47" s="171" customFormat="1" x14ac:dyDescent="0.25">
      <c r="A481" s="1801" t="str">
        <f>$B$1</f>
        <v>IN 91</v>
      </c>
      <c r="B481" s="1801" t="str">
        <f t="shared" ref="B481:G481" ca="1" si="145">B201</f>
        <v>NPA</v>
      </c>
      <c r="C481" s="1801" t="str">
        <f t="shared" ca="1" si="145"/>
        <v>NPA</v>
      </c>
      <c r="D481" s="1801" t="str">
        <f t="shared" ca="1" si="145"/>
        <v>NPA</v>
      </c>
      <c r="E481" s="1801" t="str">
        <f t="shared" ca="1" si="145"/>
        <v>NPA</v>
      </c>
      <c r="F481" s="1801" t="str">
        <f t="shared" ca="1" si="145"/>
        <v>NPA</v>
      </c>
      <c r="G481" s="1801" t="str">
        <f t="shared" ca="1" si="145"/>
        <v>NPA</v>
      </c>
      <c r="J481" s="100"/>
      <c r="K481" s="100"/>
      <c r="L481" s="101"/>
      <c r="N481" s="100"/>
      <c r="O481" s="101"/>
      <c r="Q481" s="100"/>
      <c r="R481" s="101"/>
      <c r="T481" s="100"/>
      <c r="U481" s="101"/>
      <c r="W481" s="100"/>
      <c r="X481" s="101"/>
      <c r="Z481" s="100"/>
      <c r="AA481" s="101"/>
    </row>
    <row r="482" spans="1:47" s="171" customFormat="1" x14ac:dyDescent="0.25">
      <c r="A482" s="1801" t="s">
        <v>1695</v>
      </c>
      <c r="B482" s="1801" t="e">
        <f t="shared" ref="B482:G482" ca="1" si="146">IF(ISNUMBER(B251),ROUNDDOWN(B251,1),B251)</f>
        <v>#VALUE!</v>
      </c>
      <c r="C482" s="1801" t="e">
        <f t="shared" ca="1" si="146"/>
        <v>#VALUE!</v>
      </c>
      <c r="D482" s="1801" t="e">
        <f t="shared" ca="1" si="146"/>
        <v>#VALUE!</v>
      </c>
      <c r="E482" s="1801" t="e">
        <f t="shared" ca="1" si="146"/>
        <v>#VALUE!</v>
      </c>
      <c r="F482" s="1801" t="e">
        <f t="shared" ca="1" si="146"/>
        <v>#VALUE!</v>
      </c>
      <c r="G482" s="1801" t="e">
        <f t="shared" ca="1" si="146"/>
        <v>#VALUE!</v>
      </c>
      <c r="J482" s="100"/>
      <c r="K482" s="100"/>
      <c r="L482" s="101"/>
      <c r="N482" s="100"/>
      <c r="O482" s="101"/>
      <c r="Q482" s="100"/>
      <c r="R482" s="101"/>
      <c r="T482" s="100"/>
      <c r="U482" s="101"/>
      <c r="W482" s="100"/>
      <c r="X482" s="101"/>
      <c r="Z482" s="100"/>
      <c r="AA482" s="101"/>
    </row>
    <row r="483" spans="1:47" s="171" customFormat="1" x14ac:dyDescent="0.25">
      <c r="A483" s="1801" t="str">
        <f>$B$1</f>
        <v>IN 91</v>
      </c>
      <c r="B483" s="1801" t="str">
        <f t="shared" ref="B483:G483" ca="1" si="147">B252</f>
        <v>NPA</v>
      </c>
      <c r="C483" s="1801" t="str">
        <f t="shared" ca="1" si="147"/>
        <v>NPA</v>
      </c>
      <c r="D483" s="1801" t="str">
        <f t="shared" ca="1" si="147"/>
        <v>NPA</v>
      </c>
      <c r="E483" s="1801" t="str">
        <f t="shared" ca="1" si="147"/>
        <v>NPA</v>
      </c>
      <c r="F483" s="1801" t="str">
        <f t="shared" ca="1" si="147"/>
        <v>NPA</v>
      </c>
      <c r="G483" s="1801" t="str">
        <f t="shared" ca="1" si="147"/>
        <v>NPA</v>
      </c>
      <c r="J483" s="100"/>
      <c r="K483" s="100"/>
      <c r="L483" s="101"/>
      <c r="N483" s="100"/>
      <c r="O483" s="101"/>
      <c r="Q483" s="100"/>
      <c r="R483" s="101"/>
      <c r="T483" s="100"/>
      <c r="U483" s="101"/>
      <c r="W483" s="100"/>
      <c r="X483" s="101"/>
      <c r="Z483" s="100"/>
      <c r="AA483" s="101"/>
    </row>
    <row r="484" spans="1:47" s="171" customFormat="1" x14ac:dyDescent="0.25">
      <c r="A484" s="1801" t="s">
        <v>1696</v>
      </c>
      <c r="B484" s="1801" t="e">
        <f t="shared" ref="B484:G484" ca="1" si="148">IF(ISNUMBER(B302),ROUNDDOWN(B302,1),B302)</f>
        <v>#VALUE!</v>
      </c>
      <c r="C484" s="1801" t="e">
        <f t="shared" ca="1" si="148"/>
        <v>#VALUE!</v>
      </c>
      <c r="D484" s="1801" t="e">
        <f t="shared" ca="1" si="148"/>
        <v>#VALUE!</v>
      </c>
      <c r="E484" s="1801" t="e">
        <f t="shared" ca="1" si="148"/>
        <v>#VALUE!</v>
      </c>
      <c r="F484" s="1801" t="e">
        <f t="shared" ca="1" si="148"/>
        <v>#VALUE!</v>
      </c>
      <c r="G484" s="1801" t="e">
        <f t="shared" ca="1" si="148"/>
        <v>#VALUE!</v>
      </c>
      <c r="J484" s="100"/>
      <c r="K484" s="100"/>
      <c r="L484" s="101"/>
      <c r="N484" s="100"/>
      <c r="O484" s="101"/>
      <c r="Q484" s="100"/>
      <c r="R484" s="101"/>
      <c r="T484" s="100"/>
      <c r="U484" s="101"/>
      <c r="W484" s="100"/>
      <c r="X484" s="101"/>
      <c r="Z484" s="100"/>
      <c r="AA484" s="101"/>
    </row>
    <row r="485" spans="1:47" s="171" customFormat="1" x14ac:dyDescent="0.25">
      <c r="A485" s="1801" t="str">
        <f>$B$1</f>
        <v>IN 91</v>
      </c>
      <c r="B485" s="1801" t="str">
        <f t="shared" ref="B485:G485" ca="1" si="149">B303</f>
        <v>NPA</v>
      </c>
      <c r="C485" s="1801" t="str">
        <f t="shared" ca="1" si="149"/>
        <v>NPA</v>
      </c>
      <c r="D485" s="1801" t="str">
        <f t="shared" ca="1" si="149"/>
        <v>NPA</v>
      </c>
      <c r="E485" s="1801" t="str">
        <f t="shared" ca="1" si="149"/>
        <v>NPA</v>
      </c>
      <c r="F485" s="1801" t="str">
        <f t="shared" ca="1" si="149"/>
        <v>NPA</v>
      </c>
      <c r="G485" s="1801" t="str">
        <f t="shared" ca="1" si="149"/>
        <v>NPA</v>
      </c>
      <c r="J485" s="100"/>
      <c r="K485" s="100"/>
      <c r="L485" s="101"/>
      <c r="N485" s="100"/>
      <c r="O485" s="101"/>
      <c r="Q485" s="100"/>
      <c r="R485" s="101"/>
      <c r="T485" s="100"/>
      <c r="U485" s="101"/>
      <c r="W485" s="100"/>
      <c r="X485" s="101"/>
      <c r="Z485" s="100"/>
      <c r="AA485" s="101"/>
    </row>
    <row r="486" spans="1:47" s="620" customFormat="1" x14ac:dyDescent="0.25">
      <c r="A486" s="1799" t="s">
        <v>1667</v>
      </c>
      <c r="B486" s="1801">
        <f ca="1">B357</f>
        <v>0</v>
      </c>
      <c r="C486" s="1801" t="str">
        <f t="shared" ref="C486:G486" ca="1" si="150">C357</f>
        <v>NPA</v>
      </c>
      <c r="D486" s="1801" t="str">
        <f t="shared" ca="1" si="150"/>
        <v>NPA</v>
      </c>
      <c r="E486" s="1801" t="str">
        <f t="shared" ca="1" si="150"/>
        <v>NPA</v>
      </c>
      <c r="F486" s="1801" t="str">
        <f t="shared" ca="1" si="150"/>
        <v>NPA</v>
      </c>
      <c r="G486" s="1801" t="str">
        <f t="shared" ca="1" si="150"/>
        <v>NPA</v>
      </c>
      <c r="H486" s="171"/>
      <c r="I486" s="171"/>
      <c r="J486" s="100"/>
      <c r="K486" s="100"/>
      <c r="L486" s="101"/>
      <c r="M486" s="171"/>
      <c r="N486" s="100"/>
      <c r="O486" s="171"/>
      <c r="P486" s="171"/>
      <c r="Q486" s="171"/>
      <c r="R486" s="171"/>
      <c r="S486" s="171"/>
      <c r="T486" s="100"/>
      <c r="U486" s="101"/>
      <c r="V486" s="171"/>
      <c r="W486" s="100"/>
      <c r="X486" s="101"/>
      <c r="Y486" s="171"/>
      <c r="Z486" s="100"/>
      <c r="AA486" s="101"/>
      <c r="AB486" s="171"/>
      <c r="AC486" s="171"/>
      <c r="AD486" s="171"/>
      <c r="AE486" s="171"/>
      <c r="AF486" s="171"/>
      <c r="AG486" s="171"/>
      <c r="AH486" s="171"/>
      <c r="AI486" s="171"/>
      <c r="AJ486" s="171"/>
      <c r="AK486" s="171"/>
      <c r="AL486" s="171"/>
      <c r="AM486" s="171"/>
      <c r="AN486" s="171"/>
      <c r="AO486" s="171"/>
      <c r="AP486" s="171"/>
      <c r="AQ486" s="171"/>
      <c r="AR486" s="171"/>
      <c r="AS486" s="171"/>
      <c r="AT486" s="171"/>
      <c r="AU486" s="171"/>
    </row>
    <row r="487" spans="1:47" s="620" customFormat="1" x14ac:dyDescent="0.25">
      <c r="A487" s="1801" t="str">
        <f>$B$1</f>
        <v>IN 91</v>
      </c>
      <c r="B487" s="1801" t="str">
        <f ca="1">B358</f>
        <v>Sim</v>
      </c>
      <c r="C487" s="1801" t="str">
        <f t="shared" ref="C487:G487" ca="1" si="151">C358</f>
        <v>NPA</v>
      </c>
      <c r="D487" s="1801" t="str">
        <f t="shared" ca="1" si="151"/>
        <v>NPA</v>
      </c>
      <c r="E487" s="1801" t="str">
        <f t="shared" ca="1" si="151"/>
        <v>NPA</v>
      </c>
      <c r="F487" s="1801" t="str">
        <f t="shared" ca="1" si="151"/>
        <v>NPA</v>
      </c>
      <c r="G487" s="1801" t="str">
        <f t="shared" ca="1" si="151"/>
        <v>NPA</v>
      </c>
      <c r="H487" s="171"/>
      <c r="I487" s="171"/>
      <c r="J487" s="100"/>
      <c r="K487" s="100"/>
      <c r="L487" s="101"/>
      <c r="M487" s="171"/>
      <c r="N487" s="100"/>
      <c r="O487" s="171"/>
      <c r="P487" s="171"/>
      <c r="Q487" s="171"/>
      <c r="R487" s="171"/>
      <c r="S487" s="171"/>
      <c r="T487" s="100"/>
      <c r="U487" s="101"/>
      <c r="V487" s="171"/>
      <c r="W487" s="100"/>
      <c r="X487" s="101"/>
      <c r="Y487" s="171"/>
      <c r="Z487" s="100"/>
      <c r="AA487" s="10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row>
    <row r="488" spans="1:47" s="620" customFormat="1" x14ac:dyDescent="0.25">
      <c r="A488" s="1802" t="s">
        <v>1668</v>
      </c>
      <c r="B488" s="1801" t="str">
        <f ca="1">B408</f>
        <v>NPA</v>
      </c>
      <c r="C488" s="1801" t="str">
        <f t="shared" ref="C488:G488" ca="1" si="152">C408</f>
        <v>NPA</v>
      </c>
      <c r="D488" s="1801" t="str">
        <f t="shared" ca="1" si="152"/>
        <v>NPA</v>
      </c>
      <c r="E488" s="1801" t="str">
        <f t="shared" ca="1" si="152"/>
        <v>NPA</v>
      </c>
      <c r="F488" s="1801" t="str">
        <f t="shared" ca="1" si="152"/>
        <v>NPA</v>
      </c>
      <c r="G488" s="1801" t="str">
        <f t="shared" ca="1" si="152"/>
        <v>NPA</v>
      </c>
      <c r="H488" s="171"/>
      <c r="I488" s="171"/>
      <c r="J488" s="100"/>
      <c r="K488" s="100"/>
      <c r="L488" s="101"/>
      <c r="M488" s="171"/>
      <c r="N488" s="100"/>
      <c r="O488" s="171"/>
      <c r="P488" s="171"/>
      <c r="Q488" s="171"/>
      <c r="R488" s="171"/>
      <c r="S488" s="171"/>
      <c r="T488" s="100"/>
      <c r="U488" s="101"/>
      <c r="V488" s="171"/>
      <c r="W488" s="100"/>
      <c r="X488" s="101"/>
      <c r="Y488" s="171"/>
      <c r="Z488" s="100"/>
      <c r="AA488" s="101"/>
      <c r="AB488" s="171"/>
      <c r="AC488" s="171"/>
      <c r="AD488" s="171"/>
      <c r="AE488" s="171"/>
      <c r="AF488" s="171"/>
      <c r="AG488" s="171"/>
      <c r="AH488" s="171"/>
      <c r="AI488" s="171"/>
      <c r="AJ488" s="171"/>
      <c r="AK488" s="171"/>
      <c r="AL488" s="171"/>
      <c r="AM488" s="171"/>
      <c r="AN488" s="171"/>
      <c r="AO488" s="171"/>
      <c r="AP488" s="171"/>
      <c r="AQ488" s="171"/>
      <c r="AR488" s="171"/>
      <c r="AS488" s="171"/>
      <c r="AT488" s="171"/>
      <c r="AU488" s="171"/>
    </row>
    <row r="489" spans="1:47" s="620" customFormat="1" x14ac:dyDescent="0.25">
      <c r="A489" s="1801" t="str">
        <f>$B$1</f>
        <v>IN 91</v>
      </c>
      <c r="B489" s="1801" t="str">
        <f ca="1">B409</f>
        <v>NPA</v>
      </c>
      <c r="C489" s="1801" t="str">
        <f t="shared" ref="C489:G489" ca="1" si="153">C256</f>
        <v>NPA</v>
      </c>
      <c r="D489" s="1801" t="str">
        <f t="shared" ca="1" si="153"/>
        <v>NPA</v>
      </c>
      <c r="E489" s="1801" t="str">
        <f t="shared" ca="1" si="153"/>
        <v>NPA</v>
      </c>
      <c r="F489" s="1801" t="str">
        <f t="shared" ca="1" si="153"/>
        <v>NPA</v>
      </c>
      <c r="G489" s="1801" t="str">
        <f t="shared" ca="1" si="153"/>
        <v>NPA</v>
      </c>
      <c r="H489" s="171"/>
      <c r="I489" s="171"/>
      <c r="J489" s="100"/>
      <c r="K489" s="100"/>
      <c r="L489" s="101"/>
      <c r="M489" s="171"/>
      <c r="N489" s="100"/>
      <c r="O489" s="171"/>
      <c r="P489" s="171"/>
      <c r="Q489" s="171"/>
      <c r="R489" s="171"/>
      <c r="S489" s="171"/>
      <c r="T489" s="100"/>
      <c r="U489" s="101"/>
      <c r="V489" s="171"/>
      <c r="W489" s="100"/>
      <c r="X489" s="101"/>
      <c r="Y489" s="171"/>
      <c r="Z489" s="100"/>
      <c r="AA489" s="101"/>
      <c r="AB489" s="171"/>
      <c r="AC489" s="171"/>
      <c r="AD489" s="171"/>
      <c r="AE489" s="171"/>
      <c r="AF489" s="171"/>
      <c r="AG489" s="171"/>
      <c r="AH489" s="171"/>
      <c r="AI489" s="171"/>
      <c r="AJ489" s="171"/>
      <c r="AK489" s="171"/>
      <c r="AL489" s="171"/>
      <c r="AM489" s="171"/>
      <c r="AN489" s="171"/>
      <c r="AO489" s="171"/>
      <c r="AP489" s="171"/>
      <c r="AQ489" s="171"/>
      <c r="AR489" s="171"/>
      <c r="AS489" s="171"/>
      <c r="AT489" s="171"/>
      <c r="AU489" s="171"/>
    </row>
    <row r="490" spans="1:47" x14ac:dyDescent="0.25">
      <c r="A490" s="1802" t="s">
        <v>1666</v>
      </c>
      <c r="B490" s="1801" t="str">
        <f ca="1">B459</f>
        <v>NPA</v>
      </c>
      <c r="C490" s="1801" t="str">
        <f t="shared" ref="C490:G490" ca="1" si="154">C459</f>
        <v>NPA</v>
      </c>
      <c r="D490" s="1801" t="str">
        <f t="shared" ca="1" si="154"/>
        <v>NPA</v>
      </c>
      <c r="E490" s="1801" t="str">
        <f t="shared" ca="1" si="154"/>
        <v>NPA</v>
      </c>
      <c r="F490" s="1801" t="str">
        <f t="shared" ca="1" si="154"/>
        <v>NPA</v>
      </c>
      <c r="G490" s="1801" t="str">
        <f t="shared" ca="1" si="154"/>
        <v>NPA</v>
      </c>
    </row>
    <row r="491" spans="1:47" s="171" customFormat="1" x14ac:dyDescent="0.25">
      <c r="A491" s="1801" t="str">
        <f>$B$1</f>
        <v>IN 91</v>
      </c>
      <c r="B491" s="1801" t="str">
        <f ca="1">B460</f>
        <v>NPA</v>
      </c>
      <c r="C491" s="1801" t="str">
        <f t="shared" ref="C491:G491" ca="1" si="155">C460</f>
        <v>NPA</v>
      </c>
      <c r="D491" s="1801" t="str">
        <f t="shared" ca="1" si="155"/>
        <v>NPA</v>
      </c>
      <c r="E491" s="1801" t="str">
        <f t="shared" ca="1" si="155"/>
        <v>NPA</v>
      </c>
      <c r="F491" s="1801" t="str">
        <f t="shared" ca="1" si="155"/>
        <v>NPA</v>
      </c>
      <c r="G491" s="1801" t="str">
        <f t="shared" ca="1" si="155"/>
        <v>NPA</v>
      </c>
      <c r="J491" s="100"/>
      <c r="K491" s="100"/>
      <c r="L491" s="101"/>
      <c r="N491" s="100"/>
      <c r="O491" s="101"/>
      <c r="Q491" s="100"/>
      <c r="R491" s="101"/>
      <c r="T491" s="100"/>
      <c r="U491" s="101"/>
      <c r="W491" s="100"/>
      <c r="X491" s="101"/>
      <c r="Z491" s="100"/>
      <c r="AA491" s="101"/>
    </row>
    <row r="492" spans="1:47" s="171" customFormat="1" x14ac:dyDescent="0.25">
      <c r="A492" s="1799" t="s">
        <v>1665</v>
      </c>
      <c r="B492" s="1801" t="e">
        <f t="shared" ref="B492:G493" ca="1" si="156">B466</f>
        <v>#VALUE!</v>
      </c>
      <c r="C492" s="1801" t="e">
        <f t="shared" ca="1" si="156"/>
        <v>#VALUE!</v>
      </c>
      <c r="D492" s="1801" t="e">
        <f t="shared" ca="1" si="156"/>
        <v>#VALUE!</v>
      </c>
      <c r="E492" s="1801" t="e">
        <f t="shared" ca="1" si="156"/>
        <v>#VALUE!</v>
      </c>
      <c r="F492" s="1801" t="e">
        <f t="shared" ca="1" si="156"/>
        <v>#VALUE!</v>
      </c>
      <c r="G492" s="1801" t="e">
        <f t="shared" ca="1" si="156"/>
        <v>#VALUE!</v>
      </c>
      <c r="J492" s="100"/>
      <c r="K492" s="100"/>
      <c r="L492" s="101"/>
      <c r="N492" s="100"/>
      <c r="O492" s="101"/>
      <c r="Q492" s="100"/>
      <c r="R492" s="101"/>
      <c r="T492" s="100"/>
      <c r="U492" s="101"/>
      <c r="W492" s="100"/>
      <c r="X492" s="101"/>
      <c r="Z492" s="100"/>
      <c r="AA492" s="101"/>
    </row>
    <row r="493" spans="1:47" s="171" customFormat="1" x14ac:dyDescent="0.25">
      <c r="A493" s="1801" t="str">
        <f>$B$1</f>
        <v>IN 91</v>
      </c>
      <c r="B493" s="1801" t="str">
        <f t="shared" ca="1" si="156"/>
        <v>NPA</v>
      </c>
      <c r="C493" s="1801" t="str">
        <f t="shared" ca="1" si="156"/>
        <v>NPA</v>
      </c>
      <c r="D493" s="1801" t="str">
        <f t="shared" ca="1" si="156"/>
        <v>NPA</v>
      </c>
      <c r="E493" s="1801" t="str">
        <f t="shared" ca="1" si="156"/>
        <v>NPA</v>
      </c>
      <c r="F493" s="1801" t="str">
        <f t="shared" ca="1" si="156"/>
        <v>NPA</v>
      </c>
      <c r="G493" s="1801" t="str">
        <f t="shared" ca="1" si="156"/>
        <v>NPA</v>
      </c>
      <c r="J493" s="100"/>
      <c r="K493" s="100"/>
      <c r="L493" s="101"/>
      <c r="N493" s="100"/>
      <c r="O493" s="101"/>
      <c r="Q493" s="100"/>
      <c r="R493" s="101"/>
      <c r="T493" s="100"/>
      <c r="U493" s="101"/>
      <c r="W493" s="100"/>
      <c r="X493" s="101"/>
      <c r="Z493" s="100"/>
      <c r="AA493" s="101"/>
    </row>
    <row r="494" spans="1:47" s="171" customFormat="1" x14ac:dyDescent="0.25">
      <c r="A494" s="2523" t="s">
        <v>1676</v>
      </c>
      <c r="B494" s="2523"/>
      <c r="C494" s="2523"/>
      <c r="D494" s="2523"/>
      <c r="E494" s="2523"/>
      <c r="F494" s="2523"/>
      <c r="G494" s="2523"/>
      <c r="J494" s="100"/>
      <c r="K494" s="100"/>
      <c r="L494" s="101"/>
      <c r="N494" s="100"/>
      <c r="O494" s="101"/>
      <c r="Q494" s="100"/>
      <c r="R494" s="101"/>
      <c r="T494" s="100"/>
      <c r="U494" s="101"/>
      <c r="W494" s="100"/>
      <c r="X494" s="101"/>
      <c r="Z494" s="100"/>
      <c r="AA494" s="101"/>
    </row>
    <row r="495" spans="1:47" s="171" customFormat="1" hidden="1" x14ac:dyDescent="0.25">
      <c r="A495" s="1799" t="s">
        <v>1691</v>
      </c>
      <c r="B495" s="1800" t="e">
        <f t="shared" ref="B495:G495" ca="1" si="157">IF(ISNUMBER(B349)*ROUNDDOWN(B349,1),B349)</f>
        <v>#VALUE!</v>
      </c>
      <c r="C495" s="1800" t="e">
        <f t="shared" ca="1" si="157"/>
        <v>#VALUE!</v>
      </c>
      <c r="D495" s="1800" t="e">
        <f t="shared" ca="1" si="157"/>
        <v>#VALUE!</v>
      </c>
      <c r="E495" s="1800" t="e">
        <f t="shared" ca="1" si="157"/>
        <v>#VALUE!</v>
      </c>
      <c r="F495" s="1800" t="e">
        <f t="shared" ca="1" si="157"/>
        <v>#VALUE!</v>
      </c>
      <c r="G495" s="1800" t="e">
        <f t="shared" ca="1" si="157"/>
        <v>#VALUE!</v>
      </c>
      <c r="H495" s="1517" t="s">
        <v>658</v>
      </c>
      <c r="I495" s="1517">
        <f ca="1">COUNTIF($B$495:$G$514,H495)</f>
        <v>0</v>
      </c>
      <c r="J495" s="100"/>
      <c r="K495" s="100"/>
      <c r="L495" s="101"/>
      <c r="N495" s="100"/>
      <c r="O495" s="101"/>
      <c r="Q495" s="100"/>
      <c r="R495" s="101"/>
      <c r="T495" s="100"/>
      <c r="U495" s="101"/>
      <c r="W495" s="100"/>
      <c r="X495" s="101"/>
      <c r="Z495" s="100"/>
      <c r="AA495" s="101"/>
    </row>
    <row r="496" spans="1:47" s="171" customFormat="1" hidden="1" x14ac:dyDescent="0.25">
      <c r="A496" s="1801" t="str">
        <f>$B$1</f>
        <v>IN 91</v>
      </c>
      <c r="B496" s="1801" t="str">
        <f t="shared" ref="B496:G496" ca="1" si="158">B350</f>
        <v>NPA</v>
      </c>
      <c r="C496" s="1801" t="str">
        <f t="shared" ca="1" si="158"/>
        <v>NPA</v>
      </c>
      <c r="D496" s="1801" t="str">
        <f t="shared" ca="1" si="158"/>
        <v>NPA</v>
      </c>
      <c r="E496" s="1801" t="str">
        <f t="shared" ca="1" si="158"/>
        <v>NPA</v>
      </c>
      <c r="F496" s="1801" t="str">
        <f t="shared" ca="1" si="158"/>
        <v>NPA</v>
      </c>
      <c r="G496" s="1801" t="str">
        <f t="shared" ca="1" si="158"/>
        <v>NPA</v>
      </c>
      <c r="H496" s="1517" t="s">
        <v>273</v>
      </c>
      <c r="I496" s="1517">
        <f ca="1">COUNTIF($B$495:$G$514,H496)</f>
        <v>0</v>
      </c>
      <c r="J496" s="100"/>
      <c r="K496" s="100"/>
      <c r="L496" s="101"/>
      <c r="N496" s="100"/>
      <c r="O496" s="101"/>
      <c r="Q496" s="100"/>
      <c r="R496" s="101"/>
      <c r="T496" s="100"/>
      <c r="U496" s="101"/>
      <c r="W496" s="100"/>
      <c r="X496" s="101"/>
      <c r="Z496" s="100"/>
      <c r="AA496" s="101"/>
    </row>
    <row r="497" spans="1:47" s="171" customFormat="1" hidden="1" x14ac:dyDescent="0.25">
      <c r="A497" s="1802" t="s">
        <v>1692</v>
      </c>
      <c r="B497" s="1800" t="e">
        <f t="shared" ref="B497:G497" ca="1" si="159">IF(ISNUMBER(B400),ROUNDDOWN(B400,1),B400)</f>
        <v>#VALUE!</v>
      </c>
      <c r="C497" s="1800" t="e">
        <f t="shared" ca="1" si="159"/>
        <v>#VALUE!</v>
      </c>
      <c r="D497" s="1800" t="e">
        <f t="shared" ca="1" si="159"/>
        <v>#VALUE!</v>
      </c>
      <c r="E497" s="1800" t="e">
        <f t="shared" ca="1" si="159"/>
        <v>#VALUE!</v>
      </c>
      <c r="F497" s="1800" t="e">
        <f t="shared" ca="1" si="159"/>
        <v>#VALUE!</v>
      </c>
      <c r="G497" s="1800" t="e">
        <f t="shared" ca="1" si="159"/>
        <v>#VALUE!</v>
      </c>
      <c r="J497" s="100"/>
      <c r="K497" s="100"/>
      <c r="L497" s="101"/>
      <c r="N497" s="100"/>
      <c r="O497" s="101"/>
      <c r="Q497" s="100"/>
      <c r="R497" s="101"/>
      <c r="T497" s="100"/>
      <c r="U497" s="101"/>
      <c r="W497" s="100"/>
      <c r="X497" s="101"/>
      <c r="Z497" s="100"/>
      <c r="AA497" s="101"/>
    </row>
    <row r="498" spans="1:47" s="171" customFormat="1" hidden="1" x14ac:dyDescent="0.25">
      <c r="A498" s="1801" t="str">
        <f>$B$1</f>
        <v>IN 91</v>
      </c>
      <c r="B498" s="1801" t="str">
        <f t="shared" ref="B498:G498" ca="1" si="160">B401</f>
        <v>NPA</v>
      </c>
      <c r="C498" s="1801" t="str">
        <f t="shared" ca="1" si="160"/>
        <v>NPA</v>
      </c>
      <c r="D498" s="1801" t="str">
        <f t="shared" ca="1" si="160"/>
        <v>NPA</v>
      </c>
      <c r="E498" s="1801" t="str">
        <f t="shared" ca="1" si="160"/>
        <v>NPA</v>
      </c>
      <c r="F498" s="1801" t="str">
        <f t="shared" ca="1" si="160"/>
        <v>NPA</v>
      </c>
      <c r="G498" s="1801" t="str">
        <f t="shared" ca="1" si="160"/>
        <v>NPA</v>
      </c>
      <c r="J498" s="100"/>
      <c r="K498" s="100"/>
      <c r="L498" s="101"/>
      <c r="N498" s="100"/>
      <c r="O498" s="101"/>
      <c r="Q498" s="100"/>
      <c r="R498" s="101"/>
      <c r="T498" s="100"/>
      <c r="U498" s="101"/>
      <c r="W498" s="100"/>
      <c r="X498" s="101"/>
      <c r="Z498" s="100"/>
      <c r="AA498" s="101"/>
    </row>
    <row r="499" spans="1:47" s="171" customFormat="1" hidden="1" x14ac:dyDescent="0.25">
      <c r="A499" s="1802" t="s">
        <v>1693</v>
      </c>
      <c r="B499" s="1800" t="e">
        <f t="shared" ref="B499:G499" ca="1" si="161">IF(ISNUMBER(B451),ROUNDDOWN(B451,1),B451)</f>
        <v>#VALUE!</v>
      </c>
      <c r="C499" s="1800" t="e">
        <f t="shared" ca="1" si="161"/>
        <v>#VALUE!</v>
      </c>
      <c r="D499" s="1800" t="e">
        <f t="shared" ca="1" si="161"/>
        <v>#VALUE!</v>
      </c>
      <c r="E499" s="1800" t="e">
        <f t="shared" ca="1" si="161"/>
        <v>#VALUE!</v>
      </c>
      <c r="F499" s="1800" t="e">
        <f t="shared" ca="1" si="161"/>
        <v>#VALUE!</v>
      </c>
      <c r="G499" s="1800" t="e">
        <f t="shared" ca="1" si="161"/>
        <v>#VALUE!</v>
      </c>
      <c r="J499" s="100"/>
      <c r="K499" s="100"/>
      <c r="L499" s="101"/>
      <c r="N499" s="100"/>
      <c r="O499" s="101"/>
      <c r="Q499" s="100"/>
      <c r="R499" s="101"/>
      <c r="T499" s="100"/>
      <c r="U499" s="101"/>
      <c r="W499" s="100"/>
      <c r="X499" s="101"/>
      <c r="Z499" s="100"/>
      <c r="AA499" s="101"/>
    </row>
    <row r="500" spans="1:47" s="171" customFormat="1" hidden="1" x14ac:dyDescent="0.25">
      <c r="A500" s="1801" t="str">
        <f>$B$1</f>
        <v>IN 91</v>
      </c>
      <c r="B500" s="1801" t="str">
        <f t="shared" ref="B500:G500" ca="1" si="162">B452</f>
        <v>NPA</v>
      </c>
      <c r="C500" s="1801" t="str">
        <f t="shared" ca="1" si="162"/>
        <v>NPA</v>
      </c>
      <c r="D500" s="1801" t="str">
        <f t="shared" ca="1" si="162"/>
        <v>NPA</v>
      </c>
      <c r="E500" s="1801" t="str">
        <f t="shared" ca="1" si="162"/>
        <v>NPA</v>
      </c>
      <c r="F500" s="1801" t="str">
        <f t="shared" ca="1" si="162"/>
        <v>NPA</v>
      </c>
      <c r="G500" s="1801" t="str">
        <f t="shared" ca="1" si="162"/>
        <v>NPA</v>
      </c>
      <c r="J500" s="100"/>
      <c r="K500" s="100"/>
      <c r="L500" s="101"/>
      <c r="N500" s="100"/>
      <c r="O500" s="101"/>
      <c r="Q500" s="100"/>
      <c r="R500" s="101"/>
      <c r="T500" s="100"/>
      <c r="U500" s="101"/>
      <c r="W500" s="100"/>
      <c r="X500" s="101"/>
      <c r="Z500" s="100"/>
      <c r="AA500" s="101"/>
    </row>
    <row r="501" spans="1:47" s="171" customFormat="1" hidden="1" x14ac:dyDescent="0.25">
      <c r="A501" s="1803" t="s">
        <v>1694</v>
      </c>
      <c r="B501" s="1801" t="e">
        <f t="shared" ref="B501:G501" ca="1" si="163">IF(ISNUMBER(B353),ROUNDDOWN(B353,1),B353)</f>
        <v>#DIV/0!</v>
      </c>
      <c r="C501" s="1801" t="e">
        <f t="shared" ca="1" si="163"/>
        <v>#VALUE!</v>
      </c>
      <c r="D501" s="1801" t="e">
        <f t="shared" ca="1" si="163"/>
        <v>#VALUE!</v>
      </c>
      <c r="E501" s="1801" t="e">
        <f t="shared" ca="1" si="163"/>
        <v>#VALUE!</v>
      </c>
      <c r="F501" s="1801" t="e">
        <f t="shared" ca="1" si="163"/>
        <v>#VALUE!</v>
      </c>
      <c r="G501" s="1801" t="e">
        <f t="shared" ca="1" si="163"/>
        <v>#VALUE!</v>
      </c>
      <c r="J501" s="100"/>
      <c r="K501" s="100"/>
      <c r="L501" s="101"/>
      <c r="N501" s="100"/>
      <c r="O501" s="101"/>
      <c r="Q501" s="100"/>
      <c r="R501" s="101"/>
      <c r="T501" s="100"/>
      <c r="U501" s="101"/>
      <c r="W501" s="100"/>
      <c r="X501" s="101"/>
      <c r="Z501" s="100"/>
      <c r="AA501" s="101"/>
    </row>
    <row r="502" spans="1:47" s="171" customFormat="1" hidden="1" x14ac:dyDescent="0.25">
      <c r="A502" s="1801" t="str">
        <f>$B$1</f>
        <v>IN 91</v>
      </c>
      <c r="B502" s="1801" t="str">
        <f t="shared" ref="B502:G502" ca="1" si="164">B354</f>
        <v>NPA</v>
      </c>
      <c r="C502" s="1801" t="str">
        <f t="shared" ca="1" si="164"/>
        <v>NPA</v>
      </c>
      <c r="D502" s="1801" t="str">
        <f t="shared" ca="1" si="164"/>
        <v>NPA</v>
      </c>
      <c r="E502" s="1801" t="str">
        <f t="shared" ca="1" si="164"/>
        <v>NPA</v>
      </c>
      <c r="F502" s="1801" t="str">
        <f t="shared" ca="1" si="164"/>
        <v>NPA</v>
      </c>
      <c r="G502" s="1801" t="str">
        <f t="shared" ca="1" si="164"/>
        <v>NPA</v>
      </c>
      <c r="J502" s="100"/>
      <c r="K502" s="100"/>
      <c r="L502" s="101"/>
      <c r="N502" s="100"/>
      <c r="O502" s="101"/>
      <c r="Q502" s="100"/>
      <c r="R502" s="101"/>
      <c r="T502" s="100"/>
      <c r="U502" s="101"/>
      <c r="W502" s="100"/>
      <c r="X502" s="101"/>
      <c r="Z502" s="100"/>
      <c r="AA502" s="101"/>
    </row>
    <row r="503" spans="1:47" s="171" customFormat="1" hidden="1" x14ac:dyDescent="0.25">
      <c r="A503" s="1801" t="s">
        <v>1695</v>
      </c>
      <c r="B503" s="1801" t="e">
        <f t="shared" ref="B503:G503" ca="1" si="165">IF(ISNUMBER(B404),ROUNDDOWN(B404,1),B404)</f>
        <v>#DIV/0!</v>
      </c>
      <c r="C503" s="1801" t="e">
        <f t="shared" ca="1" si="165"/>
        <v>#VALUE!</v>
      </c>
      <c r="D503" s="1801" t="e">
        <f t="shared" ca="1" si="165"/>
        <v>#VALUE!</v>
      </c>
      <c r="E503" s="1801" t="e">
        <f t="shared" ca="1" si="165"/>
        <v>#VALUE!</v>
      </c>
      <c r="F503" s="1801" t="e">
        <f t="shared" ca="1" si="165"/>
        <v>#VALUE!</v>
      </c>
      <c r="G503" s="1801" t="e">
        <f t="shared" ca="1" si="165"/>
        <v>#VALUE!</v>
      </c>
      <c r="J503" s="100"/>
      <c r="K503" s="100"/>
      <c r="L503" s="101"/>
      <c r="N503" s="100"/>
      <c r="O503" s="101"/>
      <c r="Q503" s="100"/>
      <c r="R503" s="101"/>
      <c r="T503" s="100"/>
      <c r="U503" s="101"/>
      <c r="W503" s="100"/>
      <c r="X503" s="101"/>
      <c r="Z503" s="100"/>
      <c r="AA503" s="101"/>
    </row>
    <row r="504" spans="1:47" s="171" customFormat="1" hidden="1" x14ac:dyDescent="0.25">
      <c r="A504" s="1801" t="str">
        <f>$B$1</f>
        <v>IN 91</v>
      </c>
      <c r="B504" s="1801" t="str">
        <f t="shared" ref="B504:G504" ca="1" si="166">B405</f>
        <v>NPA</v>
      </c>
      <c r="C504" s="1801" t="str">
        <f t="shared" ca="1" si="166"/>
        <v>NPA</v>
      </c>
      <c r="D504" s="1801" t="str">
        <f t="shared" ca="1" si="166"/>
        <v>NPA</v>
      </c>
      <c r="E504" s="1801" t="str">
        <f t="shared" ca="1" si="166"/>
        <v>NPA</v>
      </c>
      <c r="F504" s="1801" t="str">
        <f t="shared" ca="1" si="166"/>
        <v>NPA</v>
      </c>
      <c r="G504" s="1801" t="str">
        <f t="shared" ca="1" si="166"/>
        <v>NPA</v>
      </c>
      <c r="J504" s="100"/>
      <c r="K504" s="100"/>
      <c r="L504" s="101"/>
      <c r="N504" s="100"/>
      <c r="O504" s="101"/>
      <c r="Q504" s="100"/>
      <c r="R504" s="101"/>
      <c r="T504" s="100"/>
      <c r="U504" s="101"/>
      <c r="W504" s="100"/>
      <c r="X504" s="101"/>
      <c r="Z504" s="100"/>
      <c r="AA504" s="101"/>
    </row>
    <row r="505" spans="1:47" s="171" customFormat="1" hidden="1" x14ac:dyDescent="0.25">
      <c r="A505" s="1801" t="s">
        <v>1696</v>
      </c>
      <c r="B505" s="1801" t="e">
        <f t="shared" ref="B505:G505" ca="1" si="167">IF(ISNUMBER(B455),ROUNDDOWN(B455,1),B455)</f>
        <v>#VALUE!</v>
      </c>
      <c r="C505" s="1801" t="e">
        <f t="shared" ca="1" si="167"/>
        <v>#VALUE!</v>
      </c>
      <c r="D505" s="1801" t="e">
        <f t="shared" ca="1" si="167"/>
        <v>#VALUE!</v>
      </c>
      <c r="E505" s="1801" t="e">
        <f t="shared" ca="1" si="167"/>
        <v>#VALUE!</v>
      </c>
      <c r="F505" s="1801" t="e">
        <f t="shared" ca="1" si="167"/>
        <v>#VALUE!</v>
      </c>
      <c r="G505" s="1801" t="e">
        <f t="shared" ca="1" si="167"/>
        <v>#VALUE!</v>
      </c>
      <c r="J505" s="100"/>
      <c r="K505" s="100"/>
      <c r="L505" s="101"/>
      <c r="N505" s="100"/>
      <c r="O505" s="101"/>
      <c r="Q505" s="100"/>
      <c r="R505" s="101"/>
      <c r="T505" s="100"/>
      <c r="U505" s="101"/>
      <c r="W505" s="100"/>
      <c r="X505" s="101"/>
      <c r="Z505" s="100"/>
      <c r="AA505" s="101"/>
    </row>
    <row r="506" spans="1:47" s="171" customFormat="1" hidden="1" x14ac:dyDescent="0.25">
      <c r="A506" s="1801" t="str">
        <f>$B$1</f>
        <v>IN 91</v>
      </c>
      <c r="B506" s="1801" t="str">
        <f t="shared" ref="B506:G506" ca="1" si="168">B456</f>
        <v>NPA</v>
      </c>
      <c r="C506" s="1801" t="str">
        <f t="shared" ca="1" si="168"/>
        <v>NPA</v>
      </c>
      <c r="D506" s="1801" t="str">
        <f t="shared" ca="1" si="168"/>
        <v>NPA</v>
      </c>
      <c r="E506" s="1801" t="str">
        <f t="shared" ca="1" si="168"/>
        <v>NPA</v>
      </c>
      <c r="F506" s="1801" t="str">
        <f t="shared" ca="1" si="168"/>
        <v>NPA</v>
      </c>
      <c r="G506" s="1801" t="str">
        <f t="shared" ca="1" si="168"/>
        <v>NPA</v>
      </c>
      <c r="J506" s="100"/>
      <c r="K506" s="100"/>
      <c r="L506" s="101"/>
      <c r="N506" s="100"/>
      <c r="O506" s="101"/>
      <c r="Q506" s="100"/>
      <c r="R506" s="101"/>
      <c r="T506" s="100"/>
      <c r="U506" s="101"/>
      <c r="W506" s="100"/>
      <c r="X506" s="101"/>
      <c r="Z506" s="100"/>
      <c r="AA506" s="101"/>
    </row>
    <row r="507" spans="1:47" s="171" customFormat="1" x14ac:dyDescent="0.25">
      <c r="A507" s="1804" t="s">
        <v>1667</v>
      </c>
      <c r="B507" s="1805">
        <f t="shared" ref="B507:G508" ca="1" si="169">B357</f>
        <v>0</v>
      </c>
      <c r="C507" s="1805" t="str">
        <f t="shared" ca="1" si="169"/>
        <v>NPA</v>
      </c>
      <c r="D507" s="1805" t="str">
        <f t="shared" ca="1" si="169"/>
        <v>NPA</v>
      </c>
      <c r="E507" s="1805" t="str">
        <f t="shared" ca="1" si="169"/>
        <v>NPA</v>
      </c>
      <c r="F507" s="1805" t="str">
        <f t="shared" ca="1" si="169"/>
        <v>NPA</v>
      </c>
      <c r="G507" s="1805" t="str">
        <f t="shared" ca="1" si="169"/>
        <v>NPA</v>
      </c>
      <c r="J507" s="100"/>
      <c r="K507" s="100"/>
      <c r="L507" s="101"/>
      <c r="N507" s="100"/>
      <c r="O507" s="101"/>
      <c r="Q507" s="100"/>
      <c r="R507" s="101"/>
      <c r="T507" s="100"/>
      <c r="U507" s="101"/>
      <c r="W507" s="100"/>
      <c r="X507" s="101"/>
      <c r="Z507" s="100"/>
      <c r="AA507" s="101"/>
    </row>
    <row r="508" spans="1:47" s="620" customFormat="1" x14ac:dyDescent="0.25">
      <c r="A508" s="1805" t="str">
        <f>$B$1</f>
        <v>IN 91</v>
      </c>
      <c r="B508" s="1805" t="str">
        <f t="shared" ca="1" si="169"/>
        <v>Sim</v>
      </c>
      <c r="C508" s="1805" t="str">
        <f t="shared" ca="1" si="169"/>
        <v>NPA</v>
      </c>
      <c r="D508" s="1805" t="str">
        <f t="shared" ca="1" si="169"/>
        <v>NPA</v>
      </c>
      <c r="E508" s="1805" t="str">
        <f t="shared" ca="1" si="169"/>
        <v>NPA</v>
      </c>
      <c r="F508" s="1805" t="str">
        <f t="shared" ca="1" si="169"/>
        <v>NPA</v>
      </c>
      <c r="G508" s="1805" t="str">
        <f t="shared" ca="1" si="169"/>
        <v>NPA</v>
      </c>
      <c r="H508" s="171"/>
      <c r="I508" s="171"/>
      <c r="J508" s="100"/>
      <c r="K508" s="100"/>
      <c r="L508" s="101"/>
      <c r="M508" s="171"/>
      <c r="N508" s="100"/>
      <c r="O508" s="171"/>
      <c r="P508" s="171"/>
      <c r="Q508" s="171"/>
      <c r="R508" s="171"/>
      <c r="S508" s="171"/>
      <c r="T508" s="100"/>
      <c r="U508" s="101"/>
      <c r="V508" s="171"/>
      <c r="W508" s="100"/>
      <c r="X508" s="101"/>
      <c r="Y508" s="171"/>
      <c r="Z508" s="100"/>
      <c r="AA508" s="101"/>
      <c r="AB508" s="171"/>
      <c r="AC508" s="171"/>
      <c r="AD508" s="171"/>
      <c r="AE508" s="171"/>
      <c r="AF508" s="171"/>
      <c r="AG508" s="171"/>
      <c r="AH508" s="171"/>
      <c r="AI508" s="171"/>
      <c r="AJ508" s="171"/>
      <c r="AK508" s="171"/>
      <c r="AL508" s="171"/>
      <c r="AM508" s="171"/>
      <c r="AN508" s="171"/>
      <c r="AO508" s="171"/>
      <c r="AP508" s="171"/>
      <c r="AQ508" s="171"/>
      <c r="AR508" s="171"/>
      <c r="AS508" s="171"/>
      <c r="AT508" s="171"/>
      <c r="AU508" s="171"/>
    </row>
    <row r="509" spans="1:47" s="171" customFormat="1" x14ac:dyDescent="0.25">
      <c r="A509" s="1804" t="s">
        <v>1668</v>
      </c>
      <c r="B509" s="1805" t="str">
        <f t="shared" ref="B509:G510" ca="1" si="170">B408</f>
        <v>NPA</v>
      </c>
      <c r="C509" s="1805" t="str">
        <f t="shared" ca="1" si="170"/>
        <v>NPA</v>
      </c>
      <c r="D509" s="1805" t="str">
        <f t="shared" ca="1" si="170"/>
        <v>NPA</v>
      </c>
      <c r="E509" s="1805" t="str">
        <f t="shared" ca="1" si="170"/>
        <v>NPA</v>
      </c>
      <c r="F509" s="1805" t="str">
        <f t="shared" ca="1" si="170"/>
        <v>NPA</v>
      </c>
      <c r="G509" s="1805" t="str">
        <f t="shared" ca="1" si="170"/>
        <v>NPA</v>
      </c>
      <c r="J509" s="100"/>
      <c r="K509" s="100"/>
      <c r="L509" s="101"/>
      <c r="N509" s="100"/>
      <c r="O509" s="101"/>
      <c r="Q509" s="100"/>
      <c r="R509" s="101"/>
      <c r="T509" s="100"/>
      <c r="U509" s="101"/>
      <c r="W509" s="100"/>
      <c r="X509" s="101"/>
      <c r="Z509" s="100"/>
      <c r="AA509" s="101"/>
    </row>
    <row r="510" spans="1:47" s="620" customFormat="1" x14ac:dyDescent="0.25">
      <c r="A510" s="1805" t="str">
        <f>$B$1</f>
        <v>IN 91</v>
      </c>
      <c r="B510" s="1805" t="str">
        <f t="shared" ca="1" si="170"/>
        <v>NPA</v>
      </c>
      <c r="C510" s="1805" t="str">
        <f t="shared" ca="1" si="170"/>
        <v>NPA</v>
      </c>
      <c r="D510" s="1805" t="str">
        <f t="shared" ca="1" si="170"/>
        <v>NPA</v>
      </c>
      <c r="E510" s="1805" t="str">
        <f t="shared" ca="1" si="170"/>
        <v>NPA</v>
      </c>
      <c r="F510" s="1805" t="str">
        <f t="shared" ca="1" si="170"/>
        <v>NPA</v>
      </c>
      <c r="G510" s="1805" t="str">
        <f t="shared" ca="1" si="170"/>
        <v>NPA</v>
      </c>
      <c r="H510" s="171"/>
      <c r="I510" s="171"/>
      <c r="J510" s="100"/>
      <c r="K510" s="100"/>
      <c r="L510" s="101"/>
      <c r="M510" s="171"/>
      <c r="N510" s="100"/>
      <c r="O510" s="171"/>
      <c r="P510" s="171"/>
      <c r="Q510" s="171"/>
      <c r="R510" s="171"/>
      <c r="S510" s="171"/>
      <c r="T510" s="100"/>
      <c r="U510" s="101"/>
      <c r="V510" s="171"/>
      <c r="W510" s="100"/>
      <c r="X510" s="101"/>
      <c r="Y510" s="171"/>
      <c r="Z510" s="100"/>
      <c r="AA510" s="101"/>
      <c r="AB510" s="171"/>
      <c r="AC510" s="171"/>
      <c r="AD510" s="171"/>
      <c r="AE510" s="171"/>
      <c r="AF510" s="171"/>
      <c r="AG510" s="171"/>
      <c r="AH510" s="171"/>
      <c r="AI510" s="171"/>
      <c r="AJ510" s="171"/>
      <c r="AK510" s="171"/>
      <c r="AL510" s="171"/>
      <c r="AM510" s="171"/>
      <c r="AN510" s="171"/>
      <c r="AO510" s="171"/>
      <c r="AP510" s="171"/>
      <c r="AQ510" s="171"/>
      <c r="AR510" s="171"/>
      <c r="AS510" s="171"/>
      <c r="AT510" s="171"/>
      <c r="AU510" s="171"/>
    </row>
    <row r="511" spans="1:47" s="171" customFormat="1" hidden="1" x14ac:dyDescent="0.25">
      <c r="A511" s="1799" t="s">
        <v>1666</v>
      </c>
      <c r="B511" s="1801" t="str">
        <f t="shared" ref="B511:G512" ca="1" si="171">B459</f>
        <v>NPA</v>
      </c>
      <c r="C511" s="1801" t="str">
        <f t="shared" ca="1" si="171"/>
        <v>NPA</v>
      </c>
      <c r="D511" s="1801" t="str">
        <f t="shared" ca="1" si="171"/>
        <v>NPA</v>
      </c>
      <c r="E511" s="1801" t="str">
        <f t="shared" ca="1" si="171"/>
        <v>NPA</v>
      </c>
      <c r="F511" s="1801" t="str">
        <f t="shared" ca="1" si="171"/>
        <v>NPA</v>
      </c>
      <c r="G511" s="1801" t="str">
        <f t="shared" ca="1" si="171"/>
        <v>NPA</v>
      </c>
      <c r="J511" s="100"/>
      <c r="K511" s="100"/>
      <c r="L511" s="101"/>
      <c r="N511" s="100"/>
      <c r="O511" s="101"/>
      <c r="Q511" s="100"/>
      <c r="R511" s="101"/>
      <c r="T511" s="100"/>
      <c r="U511" s="101"/>
      <c r="W511" s="100"/>
      <c r="X511" s="101"/>
      <c r="Z511" s="100"/>
      <c r="AA511" s="101"/>
    </row>
    <row r="512" spans="1:47" s="171" customFormat="1" hidden="1" x14ac:dyDescent="0.25">
      <c r="A512" s="1801" t="str">
        <f>$B$1</f>
        <v>IN 91</v>
      </c>
      <c r="B512" s="1801" t="str">
        <f t="shared" ca="1" si="171"/>
        <v>NPA</v>
      </c>
      <c r="C512" s="1801" t="str">
        <f t="shared" ca="1" si="171"/>
        <v>NPA</v>
      </c>
      <c r="D512" s="1801" t="str">
        <f t="shared" ca="1" si="171"/>
        <v>NPA</v>
      </c>
      <c r="E512" s="1801" t="str">
        <f t="shared" ca="1" si="171"/>
        <v>NPA</v>
      </c>
      <c r="F512" s="1801" t="str">
        <f t="shared" ca="1" si="171"/>
        <v>NPA</v>
      </c>
      <c r="G512" s="1801" t="str">
        <f t="shared" ca="1" si="171"/>
        <v>NPA</v>
      </c>
      <c r="J512" s="100"/>
      <c r="K512" s="100"/>
      <c r="L512" s="101"/>
      <c r="N512" s="100"/>
      <c r="O512" s="101"/>
      <c r="Q512" s="100"/>
      <c r="R512" s="101"/>
      <c r="T512" s="100"/>
      <c r="U512" s="101"/>
      <c r="W512" s="100"/>
      <c r="X512" s="101"/>
      <c r="Z512" s="100"/>
      <c r="AA512" s="101"/>
    </row>
    <row r="513" spans="1:27" s="171" customFormat="1" hidden="1" x14ac:dyDescent="0.25">
      <c r="A513" s="1799" t="s">
        <v>1665</v>
      </c>
      <c r="B513" s="1801" t="e">
        <f t="shared" ref="B513:G514" ca="1" si="172">B469</f>
        <v>#VALUE!</v>
      </c>
      <c r="C513" s="1801" t="e">
        <f t="shared" ca="1" si="172"/>
        <v>#VALUE!</v>
      </c>
      <c r="D513" s="1801" t="e">
        <f t="shared" ca="1" si="172"/>
        <v>#VALUE!</v>
      </c>
      <c r="E513" s="1801" t="e">
        <f t="shared" ca="1" si="172"/>
        <v>#VALUE!</v>
      </c>
      <c r="F513" s="1801" t="e">
        <f t="shared" ca="1" si="172"/>
        <v>#VALUE!</v>
      </c>
      <c r="G513" s="1801" t="e">
        <f t="shared" ca="1" si="172"/>
        <v>#VALUE!</v>
      </c>
      <c r="J513" s="100"/>
      <c r="K513" s="100"/>
      <c r="L513" s="101"/>
      <c r="N513" s="100"/>
      <c r="O513" s="101"/>
      <c r="Q513" s="100"/>
      <c r="R513" s="101"/>
      <c r="T513" s="100"/>
      <c r="U513" s="101"/>
      <c r="W513" s="100"/>
      <c r="X513" s="101"/>
      <c r="Z513" s="100"/>
      <c r="AA513" s="101"/>
    </row>
    <row r="514" spans="1:27" s="171" customFormat="1" hidden="1" x14ac:dyDescent="0.25">
      <c r="A514" s="1801" t="str">
        <f>$B$1</f>
        <v>IN 91</v>
      </c>
      <c r="B514" s="1801" t="str">
        <f t="shared" ca="1" si="172"/>
        <v>NPA</v>
      </c>
      <c r="C514" s="1801" t="str">
        <f t="shared" ca="1" si="172"/>
        <v>NPA</v>
      </c>
      <c r="D514" s="1801" t="str">
        <f t="shared" ca="1" si="172"/>
        <v>NPA</v>
      </c>
      <c r="E514" s="1801" t="str">
        <f t="shared" ca="1" si="172"/>
        <v>NPA</v>
      </c>
      <c r="F514" s="1801" t="str">
        <f t="shared" ca="1" si="172"/>
        <v>NPA</v>
      </c>
      <c r="G514" s="1801" t="str">
        <f t="shared" ca="1" si="172"/>
        <v>NPA</v>
      </c>
      <c r="J514" s="100"/>
      <c r="K514" s="100"/>
      <c r="L514" s="101"/>
      <c r="N514" s="100"/>
      <c r="O514" s="101"/>
      <c r="Q514" s="100"/>
      <c r="R514" s="101"/>
      <c r="T514" s="100"/>
      <c r="U514" s="101"/>
      <c r="W514" s="100"/>
      <c r="X514" s="101"/>
      <c r="Z514" s="100"/>
      <c r="AA514" s="101"/>
    </row>
    <row r="515" spans="1:27" s="171" customFormat="1" ht="15.75" thickBot="1" x14ac:dyDescent="0.3">
      <c r="A515" s="1806"/>
      <c r="B515" s="1807"/>
      <c r="C515" s="1807"/>
      <c r="D515" s="1807"/>
      <c r="E515" s="1807"/>
      <c r="F515" s="1807"/>
      <c r="G515" s="1807"/>
      <c r="J515" s="100"/>
      <c r="K515" s="100"/>
      <c r="L515" s="101"/>
      <c r="N515" s="100"/>
      <c r="O515" s="101"/>
      <c r="Q515" s="100"/>
      <c r="R515" s="101"/>
      <c r="T515" s="100"/>
      <c r="U515" s="101"/>
      <c r="W515" s="100"/>
      <c r="X515" s="101"/>
      <c r="Z515" s="100"/>
      <c r="AA515" s="101"/>
    </row>
    <row r="516" spans="1:27" s="171" customFormat="1" x14ac:dyDescent="0.25">
      <c r="A516" s="1808" t="s">
        <v>1679</v>
      </c>
      <c r="B516" s="2528" t="s">
        <v>1791</v>
      </c>
      <c r="C516" s="2528"/>
      <c r="D516" s="2528"/>
      <c r="E516" s="2528"/>
      <c r="F516" s="2528"/>
      <c r="G516" s="2529"/>
      <c r="H516" s="1809" t="s">
        <v>658</v>
      </c>
      <c r="I516" s="1809">
        <f ca="1">COUNTIF($B$517:$G$537,H516)</f>
        <v>0</v>
      </c>
      <c r="J516" s="100"/>
      <c r="K516" s="100"/>
      <c r="L516" s="101"/>
      <c r="N516" s="100"/>
      <c r="O516" s="101"/>
      <c r="Q516" s="100"/>
      <c r="R516" s="101"/>
      <c r="T516" s="100"/>
      <c r="U516" s="101"/>
      <c r="W516" s="100"/>
      <c r="X516" s="101"/>
      <c r="Z516" s="100"/>
      <c r="AA516" s="101"/>
    </row>
    <row r="517" spans="1:27" s="138" customFormat="1" x14ac:dyDescent="0.25">
      <c r="A517" s="1803" t="s">
        <v>1398</v>
      </c>
      <c r="B517" s="1803">
        <f t="shared" ref="B517:G517" si="173">B130</f>
        <v>23</v>
      </c>
      <c r="C517" s="1803">
        <f t="shared" si="173"/>
        <v>0</v>
      </c>
      <c r="D517" s="1803">
        <f t="shared" si="173"/>
        <v>0</v>
      </c>
      <c r="E517" s="1803">
        <f t="shared" si="173"/>
        <v>0</v>
      </c>
      <c r="F517" s="1803">
        <f t="shared" si="173"/>
        <v>0</v>
      </c>
      <c r="G517" s="1803">
        <f t="shared" si="173"/>
        <v>0</v>
      </c>
      <c r="H517" s="1809" t="s">
        <v>273</v>
      </c>
      <c r="I517" s="1809">
        <f ca="1">COUNTIF($B$517:$G$537,H517)</f>
        <v>0</v>
      </c>
      <c r="J517" s="1495"/>
      <c r="K517" s="1495"/>
      <c r="L517" s="1495"/>
      <c r="M517" s="1495"/>
      <c r="N517" s="1495"/>
      <c r="O517" s="1495"/>
      <c r="P517" s="1495"/>
      <c r="Q517" s="100"/>
      <c r="R517" s="101"/>
      <c r="T517" s="1493"/>
      <c r="U517" s="1494"/>
      <c r="W517" s="1493"/>
      <c r="X517" s="1494"/>
      <c r="Z517" s="1493"/>
      <c r="AA517" s="1494"/>
    </row>
    <row r="518" spans="1:27" s="171" customFormat="1" x14ac:dyDescent="0.25">
      <c r="A518" s="1799" t="s">
        <v>1691</v>
      </c>
      <c r="B518" s="1801" t="e">
        <f t="shared" ref="B518:G518" ca="1" si="174">IF($B$516="Colimador todo aberto",B474,B495)</f>
        <v>#VALUE!</v>
      </c>
      <c r="C518" s="1801" t="e">
        <f t="shared" ca="1" si="174"/>
        <v>#VALUE!</v>
      </c>
      <c r="D518" s="1801" t="e">
        <f t="shared" ca="1" si="174"/>
        <v>#VALUE!</v>
      </c>
      <c r="E518" s="1801" t="e">
        <f t="shared" ca="1" si="174"/>
        <v>#VALUE!</v>
      </c>
      <c r="F518" s="1801" t="e">
        <f t="shared" ca="1" si="174"/>
        <v>#VALUE!</v>
      </c>
      <c r="G518" s="1801" t="e">
        <f t="shared" ca="1" si="174"/>
        <v>#VALUE!</v>
      </c>
      <c r="J518" s="100"/>
      <c r="K518" s="100"/>
      <c r="L518" s="101"/>
      <c r="N518" s="100"/>
      <c r="O518" s="101"/>
      <c r="Q518" s="100"/>
      <c r="R518" s="101"/>
      <c r="T518" s="100"/>
      <c r="U518" s="101"/>
      <c r="W518" s="100"/>
      <c r="X518" s="101"/>
      <c r="Z518" s="100"/>
      <c r="AA518" s="101"/>
    </row>
    <row r="519" spans="1:27" s="171" customFormat="1" x14ac:dyDescent="0.25">
      <c r="A519" s="1801" t="str">
        <f>$B$1</f>
        <v>IN 91</v>
      </c>
      <c r="B519" s="1801" t="str">
        <f t="shared" ref="B519:G519" ca="1" si="175">IF($B$516="Colimador todo aberto",B475,B496)</f>
        <v>NPA</v>
      </c>
      <c r="C519" s="1801" t="str">
        <f t="shared" ca="1" si="175"/>
        <v>NPA</v>
      </c>
      <c r="D519" s="1801" t="str">
        <f t="shared" ca="1" si="175"/>
        <v>NPA</v>
      </c>
      <c r="E519" s="1801" t="str">
        <f t="shared" ca="1" si="175"/>
        <v>NPA</v>
      </c>
      <c r="F519" s="1801" t="str">
        <f t="shared" ca="1" si="175"/>
        <v>NPA</v>
      </c>
      <c r="G519" s="1801" t="str">
        <f t="shared" ca="1" si="175"/>
        <v>NPA</v>
      </c>
      <c r="J519" s="100"/>
      <c r="K519" s="100"/>
      <c r="L519" s="101"/>
      <c r="N519" s="100"/>
      <c r="O519" s="101"/>
      <c r="Q519" s="100"/>
      <c r="R519" s="101"/>
      <c r="T519" s="100"/>
      <c r="U519" s="101"/>
      <c r="W519" s="100"/>
      <c r="X519" s="101"/>
      <c r="Z519" s="100"/>
      <c r="AA519" s="101"/>
    </row>
    <row r="520" spans="1:27" s="171" customFormat="1" x14ac:dyDescent="0.25">
      <c r="A520" s="1802" t="s">
        <v>1692</v>
      </c>
      <c r="B520" s="1801" t="e">
        <f t="shared" ref="B520:G520" ca="1" si="176">IF($B$516="Colimador todo aberto",B476,B497)</f>
        <v>#VALUE!</v>
      </c>
      <c r="C520" s="1801" t="e">
        <f t="shared" ca="1" si="176"/>
        <v>#VALUE!</v>
      </c>
      <c r="D520" s="1801" t="e">
        <f t="shared" ca="1" si="176"/>
        <v>#VALUE!</v>
      </c>
      <c r="E520" s="1801" t="e">
        <f t="shared" ca="1" si="176"/>
        <v>#VALUE!</v>
      </c>
      <c r="F520" s="1801" t="e">
        <f t="shared" ca="1" si="176"/>
        <v>#VALUE!</v>
      </c>
      <c r="G520" s="1801" t="e">
        <f t="shared" ca="1" si="176"/>
        <v>#VALUE!</v>
      </c>
      <c r="J520" s="100"/>
      <c r="K520" s="100"/>
      <c r="L520" s="101"/>
      <c r="N520" s="100"/>
      <c r="O520" s="101"/>
      <c r="Q520" s="100"/>
      <c r="R520" s="101"/>
      <c r="T520" s="100"/>
      <c r="U520" s="101"/>
      <c r="W520" s="100"/>
      <c r="X520" s="101"/>
      <c r="Z520" s="100"/>
      <c r="AA520" s="101"/>
    </row>
    <row r="521" spans="1:27" s="171" customFormat="1" x14ac:dyDescent="0.25">
      <c r="A521" s="1801" t="str">
        <f>$B$1</f>
        <v>IN 91</v>
      </c>
      <c r="B521" s="1801" t="str">
        <f t="shared" ref="B521:G521" ca="1" si="177">IF($B$516="Colimador todo aberto",B477,B498)</f>
        <v>NPA</v>
      </c>
      <c r="C521" s="1801" t="str">
        <f t="shared" ca="1" si="177"/>
        <v>NPA</v>
      </c>
      <c r="D521" s="1801" t="str">
        <f t="shared" ca="1" si="177"/>
        <v>NPA</v>
      </c>
      <c r="E521" s="1801" t="str">
        <f t="shared" ca="1" si="177"/>
        <v>NPA</v>
      </c>
      <c r="F521" s="1801" t="str">
        <f t="shared" ca="1" si="177"/>
        <v>NPA</v>
      </c>
      <c r="G521" s="1801" t="str">
        <f t="shared" ca="1" si="177"/>
        <v>NPA</v>
      </c>
      <c r="J521" s="100"/>
      <c r="K521" s="100"/>
      <c r="L521" s="101"/>
      <c r="N521" s="100"/>
      <c r="O521" s="101"/>
      <c r="Q521" s="100"/>
      <c r="R521" s="101"/>
      <c r="T521" s="100"/>
      <c r="U521" s="101"/>
      <c r="W521" s="100"/>
      <c r="X521" s="101"/>
      <c r="Z521" s="100"/>
      <c r="AA521" s="101"/>
    </row>
    <row r="522" spans="1:27" s="171" customFormat="1" x14ac:dyDescent="0.25">
      <c r="A522" s="1802" t="s">
        <v>1693</v>
      </c>
      <c r="B522" s="1801" t="e">
        <f t="shared" ref="B522:G522" ca="1" si="178">IF($B$516="Colimador todo aberto",B478,B499)</f>
        <v>#VALUE!</v>
      </c>
      <c r="C522" s="1801" t="e">
        <f t="shared" ca="1" si="178"/>
        <v>#VALUE!</v>
      </c>
      <c r="D522" s="1801" t="e">
        <f t="shared" ca="1" si="178"/>
        <v>#VALUE!</v>
      </c>
      <c r="E522" s="1801" t="e">
        <f t="shared" ca="1" si="178"/>
        <v>#VALUE!</v>
      </c>
      <c r="F522" s="1801" t="e">
        <f t="shared" ca="1" si="178"/>
        <v>#VALUE!</v>
      </c>
      <c r="G522" s="1801" t="e">
        <f t="shared" ca="1" si="178"/>
        <v>#VALUE!</v>
      </c>
      <c r="J522" s="100"/>
      <c r="K522" s="100"/>
      <c r="L522" s="101"/>
      <c r="N522" s="100"/>
      <c r="O522" s="101"/>
      <c r="Q522" s="100"/>
      <c r="R522" s="101"/>
      <c r="T522" s="100"/>
      <c r="U522" s="101"/>
      <c r="W522" s="100"/>
      <c r="X522" s="101"/>
      <c r="Z522" s="100"/>
      <c r="AA522" s="101"/>
    </row>
    <row r="523" spans="1:27" s="171" customFormat="1" x14ac:dyDescent="0.25">
      <c r="A523" s="1801" t="str">
        <f>$B$1</f>
        <v>IN 91</v>
      </c>
      <c r="B523" s="1801" t="str">
        <f t="shared" ref="B523:G523" ca="1" si="179">IF($B$516="Colimador todo aberto",B479,B500)</f>
        <v>NPA</v>
      </c>
      <c r="C523" s="1801" t="str">
        <f t="shared" ca="1" si="179"/>
        <v>NPA</v>
      </c>
      <c r="D523" s="1801" t="str">
        <f t="shared" ca="1" si="179"/>
        <v>NPA</v>
      </c>
      <c r="E523" s="1801" t="str">
        <f t="shared" ca="1" si="179"/>
        <v>NPA</v>
      </c>
      <c r="F523" s="1801" t="str">
        <f t="shared" ca="1" si="179"/>
        <v>NPA</v>
      </c>
      <c r="G523" s="1801" t="str">
        <f t="shared" ca="1" si="179"/>
        <v>NPA</v>
      </c>
      <c r="J523" s="100"/>
      <c r="K523" s="100"/>
      <c r="L523" s="101"/>
      <c r="N523" s="100"/>
      <c r="O523" s="101"/>
      <c r="Q523" s="100"/>
      <c r="R523" s="101"/>
      <c r="T523" s="100"/>
      <c r="U523" s="101"/>
      <c r="W523" s="100"/>
      <c r="X523" s="101"/>
      <c r="Z523" s="100"/>
      <c r="AA523" s="101"/>
    </row>
    <row r="524" spans="1:27" s="171" customFormat="1" x14ac:dyDescent="0.25">
      <c r="A524" s="1803" t="s">
        <v>1694</v>
      </c>
      <c r="B524" s="1801" t="e">
        <f t="shared" ref="B524:G524" ca="1" si="180">IF($B$516="Colimador todo aberto",B480,B501)</f>
        <v>#VALUE!</v>
      </c>
      <c r="C524" s="1801" t="e">
        <f t="shared" ca="1" si="180"/>
        <v>#VALUE!</v>
      </c>
      <c r="D524" s="1801" t="e">
        <f t="shared" ca="1" si="180"/>
        <v>#VALUE!</v>
      </c>
      <c r="E524" s="1801" t="e">
        <f t="shared" ca="1" si="180"/>
        <v>#VALUE!</v>
      </c>
      <c r="F524" s="1801" t="e">
        <f t="shared" ca="1" si="180"/>
        <v>#VALUE!</v>
      </c>
      <c r="G524" s="1801" t="e">
        <f t="shared" ca="1" si="180"/>
        <v>#VALUE!</v>
      </c>
      <c r="J524" s="100"/>
      <c r="K524" s="100"/>
      <c r="L524" s="101"/>
      <c r="N524" s="100"/>
      <c r="O524" s="101"/>
      <c r="Q524" s="100"/>
      <c r="R524" s="101"/>
      <c r="T524" s="100"/>
      <c r="U524" s="101"/>
      <c r="W524" s="100"/>
      <c r="X524" s="101"/>
      <c r="Z524" s="100"/>
      <c r="AA524" s="101"/>
    </row>
    <row r="525" spans="1:27" s="171" customFormat="1" x14ac:dyDescent="0.25">
      <c r="A525" s="1801" t="str">
        <f>$B$1</f>
        <v>IN 91</v>
      </c>
      <c r="B525" s="1801" t="str">
        <f t="shared" ref="B525:G525" ca="1" si="181">IF($B$516="Colimador todo aberto",B481,B502)</f>
        <v>NPA</v>
      </c>
      <c r="C525" s="1801" t="str">
        <f t="shared" ca="1" si="181"/>
        <v>NPA</v>
      </c>
      <c r="D525" s="1801" t="str">
        <f t="shared" ca="1" si="181"/>
        <v>NPA</v>
      </c>
      <c r="E525" s="1801" t="str">
        <f t="shared" ca="1" si="181"/>
        <v>NPA</v>
      </c>
      <c r="F525" s="1801" t="str">
        <f t="shared" ca="1" si="181"/>
        <v>NPA</v>
      </c>
      <c r="G525" s="1801" t="str">
        <f t="shared" ca="1" si="181"/>
        <v>NPA</v>
      </c>
      <c r="J525" s="100"/>
      <c r="K525" s="100"/>
      <c r="L525" s="101"/>
      <c r="N525" s="100"/>
      <c r="O525" s="101"/>
      <c r="Q525" s="100"/>
      <c r="R525" s="101"/>
      <c r="T525" s="100"/>
      <c r="U525" s="101"/>
      <c r="W525" s="100"/>
      <c r="X525" s="101"/>
      <c r="Z525" s="100"/>
      <c r="AA525" s="101"/>
    </row>
    <row r="526" spans="1:27" s="171" customFormat="1" x14ac:dyDescent="0.25">
      <c r="A526" s="1801" t="s">
        <v>1695</v>
      </c>
      <c r="B526" s="1801" t="e">
        <f t="shared" ref="B526:G526" ca="1" si="182">IF($B$516="Colimador todo aberto",B482,B503)</f>
        <v>#VALUE!</v>
      </c>
      <c r="C526" s="1801" t="e">
        <f t="shared" ca="1" si="182"/>
        <v>#VALUE!</v>
      </c>
      <c r="D526" s="1801" t="e">
        <f t="shared" ca="1" si="182"/>
        <v>#VALUE!</v>
      </c>
      <c r="E526" s="1801" t="e">
        <f t="shared" ca="1" si="182"/>
        <v>#VALUE!</v>
      </c>
      <c r="F526" s="1801" t="e">
        <f t="shared" ca="1" si="182"/>
        <v>#VALUE!</v>
      </c>
      <c r="G526" s="1801" t="e">
        <f t="shared" ca="1" si="182"/>
        <v>#VALUE!</v>
      </c>
      <c r="J526" s="100"/>
      <c r="K526" s="100"/>
      <c r="L526" s="101"/>
      <c r="N526" s="100"/>
      <c r="O526" s="101"/>
      <c r="Q526" s="100"/>
      <c r="R526" s="101"/>
      <c r="T526" s="100"/>
      <c r="U526" s="101"/>
      <c r="W526" s="100"/>
      <c r="X526" s="101"/>
      <c r="Z526" s="100"/>
      <c r="AA526" s="101"/>
    </row>
    <row r="527" spans="1:27" s="171" customFormat="1" x14ac:dyDescent="0.25">
      <c r="A527" s="1801" t="str">
        <f>$B$1</f>
        <v>IN 91</v>
      </c>
      <c r="B527" s="1801" t="str">
        <f t="shared" ref="B527:G527" ca="1" si="183">IF($B$516="Colimador todo aberto",B483,B504)</f>
        <v>NPA</v>
      </c>
      <c r="C527" s="1801" t="str">
        <f t="shared" ca="1" si="183"/>
        <v>NPA</v>
      </c>
      <c r="D527" s="1801" t="str">
        <f t="shared" ca="1" si="183"/>
        <v>NPA</v>
      </c>
      <c r="E527" s="1801" t="str">
        <f t="shared" ca="1" si="183"/>
        <v>NPA</v>
      </c>
      <c r="F527" s="1801" t="str">
        <f t="shared" ca="1" si="183"/>
        <v>NPA</v>
      </c>
      <c r="G527" s="1801" t="str">
        <f t="shared" ca="1" si="183"/>
        <v>NPA</v>
      </c>
      <c r="J527" s="100"/>
      <c r="K527" s="100"/>
      <c r="L527" s="101"/>
      <c r="N527" s="100"/>
      <c r="O527" s="101"/>
      <c r="Q527" s="100"/>
      <c r="R527" s="101"/>
      <c r="T527" s="100"/>
      <c r="U527" s="101"/>
      <c r="W527" s="100"/>
      <c r="X527" s="101"/>
      <c r="Z527" s="100"/>
      <c r="AA527" s="101"/>
    </row>
    <row r="528" spans="1:27" s="171" customFormat="1" x14ac:dyDescent="0.25">
      <c r="A528" s="1801" t="s">
        <v>1696</v>
      </c>
      <c r="B528" s="1801" t="e">
        <f t="shared" ref="B528:G528" ca="1" si="184">IF($B$516="Colimador todo aberto",B484,B505)</f>
        <v>#VALUE!</v>
      </c>
      <c r="C528" s="1801" t="e">
        <f t="shared" ca="1" si="184"/>
        <v>#VALUE!</v>
      </c>
      <c r="D528" s="1801" t="e">
        <f t="shared" ca="1" si="184"/>
        <v>#VALUE!</v>
      </c>
      <c r="E528" s="1801" t="e">
        <f t="shared" ca="1" si="184"/>
        <v>#VALUE!</v>
      </c>
      <c r="F528" s="1801" t="e">
        <f t="shared" ca="1" si="184"/>
        <v>#VALUE!</v>
      </c>
      <c r="G528" s="1801" t="e">
        <f t="shared" ca="1" si="184"/>
        <v>#VALUE!</v>
      </c>
      <c r="J528" s="100"/>
      <c r="K528" s="100"/>
      <c r="L528" s="101"/>
      <c r="N528" s="100"/>
      <c r="O528" s="101"/>
      <c r="Q528" s="100"/>
      <c r="R528" s="101"/>
      <c r="T528" s="100"/>
      <c r="U528" s="101"/>
      <c r="W528" s="100"/>
      <c r="X528" s="101"/>
      <c r="Z528" s="100"/>
      <c r="AA528" s="101"/>
    </row>
    <row r="529" spans="1:47" s="171" customFormat="1" x14ac:dyDescent="0.25">
      <c r="A529" s="1801" t="str">
        <f>$B$1</f>
        <v>IN 91</v>
      </c>
      <c r="B529" s="1801" t="str">
        <f t="shared" ref="B529:G529" ca="1" si="185">IF($B$516="Colimador todo aberto",B485,B506)</f>
        <v>NPA</v>
      </c>
      <c r="C529" s="1801" t="str">
        <f t="shared" ca="1" si="185"/>
        <v>NPA</v>
      </c>
      <c r="D529" s="1801" t="str">
        <f t="shared" ca="1" si="185"/>
        <v>NPA</v>
      </c>
      <c r="E529" s="1801" t="str">
        <f t="shared" ca="1" si="185"/>
        <v>NPA</v>
      </c>
      <c r="F529" s="1801" t="str">
        <f t="shared" ca="1" si="185"/>
        <v>NPA</v>
      </c>
      <c r="G529" s="1801" t="str">
        <f t="shared" ca="1" si="185"/>
        <v>NPA</v>
      </c>
      <c r="J529" s="100"/>
      <c r="K529" s="100"/>
      <c r="L529" s="101"/>
      <c r="N529" s="100"/>
      <c r="O529" s="101"/>
      <c r="Q529" s="100"/>
      <c r="R529" s="101"/>
      <c r="T529" s="100"/>
      <c r="U529" s="101"/>
      <c r="W529" s="100"/>
      <c r="X529" s="101"/>
      <c r="Z529" s="100"/>
      <c r="AA529" s="101"/>
    </row>
    <row r="530" spans="1:47" s="138" customFormat="1" x14ac:dyDescent="0.25">
      <c r="A530" s="1804" t="s">
        <v>1667</v>
      </c>
      <c r="B530" s="1805">
        <f t="shared" ref="B530:G530" ca="1" si="186">B507</f>
        <v>0</v>
      </c>
      <c r="C530" s="1805" t="str">
        <f t="shared" ca="1" si="186"/>
        <v>NPA</v>
      </c>
      <c r="D530" s="1805" t="str">
        <f t="shared" ca="1" si="186"/>
        <v>NPA</v>
      </c>
      <c r="E530" s="1805" t="str">
        <f t="shared" ca="1" si="186"/>
        <v>NPA</v>
      </c>
      <c r="F530" s="1805" t="str">
        <f t="shared" ca="1" si="186"/>
        <v>NPA</v>
      </c>
      <c r="G530" s="1805" t="str">
        <f t="shared" ca="1" si="186"/>
        <v>NPA</v>
      </c>
      <c r="J530" s="1493"/>
      <c r="K530" s="1493"/>
      <c r="L530" s="1494"/>
      <c r="N530" s="1493"/>
      <c r="O530" s="1494"/>
      <c r="Q530" s="1493"/>
      <c r="R530" s="1494"/>
      <c r="T530" s="1493"/>
      <c r="U530" s="1494"/>
      <c r="W530" s="1493"/>
      <c r="X530" s="1494"/>
      <c r="Z530" s="1493"/>
      <c r="AA530" s="1494"/>
    </row>
    <row r="531" spans="1:47" s="138" customFormat="1" x14ac:dyDescent="0.25">
      <c r="A531" s="1805" t="str">
        <f>$B$1</f>
        <v>IN 91</v>
      </c>
      <c r="B531" s="1805" t="str">
        <f t="shared" ref="B531:G533" ca="1" si="187">B508</f>
        <v>Sim</v>
      </c>
      <c r="C531" s="1805" t="str">
        <f t="shared" ca="1" si="187"/>
        <v>NPA</v>
      </c>
      <c r="D531" s="1805" t="str">
        <f t="shared" ca="1" si="187"/>
        <v>NPA</v>
      </c>
      <c r="E531" s="1805" t="str">
        <f t="shared" ca="1" si="187"/>
        <v>NPA</v>
      </c>
      <c r="F531" s="1805" t="str">
        <f t="shared" ca="1" si="187"/>
        <v>NPA</v>
      </c>
      <c r="G531" s="1805" t="str">
        <f t="shared" ca="1" si="187"/>
        <v>NPA</v>
      </c>
      <c r="J531" s="1493"/>
      <c r="K531" s="1493"/>
      <c r="L531" s="1494"/>
      <c r="N531" s="1493"/>
      <c r="T531" s="1493"/>
      <c r="U531" s="1494"/>
      <c r="W531" s="1493"/>
      <c r="X531" s="1494"/>
      <c r="Z531" s="1493"/>
      <c r="AA531" s="1494"/>
    </row>
    <row r="532" spans="1:47" s="138" customFormat="1" x14ac:dyDescent="0.25">
      <c r="A532" s="1804" t="s">
        <v>1668</v>
      </c>
      <c r="B532" s="1805" t="str">
        <f t="shared" ca="1" si="187"/>
        <v>NPA</v>
      </c>
      <c r="C532" s="1805" t="str">
        <f t="shared" ca="1" si="187"/>
        <v>NPA</v>
      </c>
      <c r="D532" s="1805" t="str">
        <f t="shared" ca="1" si="187"/>
        <v>NPA</v>
      </c>
      <c r="E532" s="1805" t="str">
        <f t="shared" ca="1" si="187"/>
        <v>NPA</v>
      </c>
      <c r="F532" s="1805" t="str">
        <f t="shared" ca="1" si="187"/>
        <v>NPA</v>
      </c>
      <c r="G532" s="1805" t="str">
        <f t="shared" ca="1" si="187"/>
        <v>NPA</v>
      </c>
      <c r="J532" s="1493"/>
      <c r="K532" s="1493"/>
      <c r="L532" s="1494"/>
      <c r="N532" s="1493"/>
      <c r="O532" s="1494"/>
      <c r="Q532" s="1493"/>
      <c r="R532" s="1494"/>
      <c r="T532" s="1493"/>
      <c r="U532" s="1494"/>
      <c r="W532" s="1493"/>
      <c r="X532" s="1494"/>
      <c r="Z532" s="1493"/>
      <c r="AA532" s="1494"/>
    </row>
    <row r="533" spans="1:47" s="138" customFormat="1" x14ac:dyDescent="0.25">
      <c r="A533" s="1805" t="str">
        <f>$B$1</f>
        <v>IN 91</v>
      </c>
      <c r="B533" s="1805" t="str">
        <f t="shared" ca="1" si="187"/>
        <v>NPA</v>
      </c>
      <c r="C533" s="1805" t="str">
        <f t="shared" ca="1" si="187"/>
        <v>NPA</v>
      </c>
      <c r="D533" s="1805" t="str">
        <f t="shared" ca="1" si="187"/>
        <v>NPA</v>
      </c>
      <c r="E533" s="1805" t="str">
        <f t="shared" ca="1" si="187"/>
        <v>NPA</v>
      </c>
      <c r="F533" s="1805" t="str">
        <f t="shared" ca="1" si="187"/>
        <v>NPA</v>
      </c>
      <c r="G533" s="1805" t="str">
        <f t="shared" ca="1" si="187"/>
        <v>NPA</v>
      </c>
      <c r="J533" s="1493"/>
      <c r="K533" s="1493"/>
      <c r="L533" s="1494"/>
      <c r="N533" s="1493"/>
      <c r="T533" s="1493"/>
      <c r="U533" s="1494"/>
      <c r="W533" s="1493"/>
      <c r="X533" s="1494"/>
      <c r="Z533" s="1493"/>
      <c r="AA533" s="1494"/>
    </row>
    <row r="534" spans="1:47" s="171" customFormat="1" x14ac:dyDescent="0.25">
      <c r="A534" s="1799" t="s">
        <v>1666</v>
      </c>
      <c r="B534" s="1801" t="str">
        <f t="shared" ref="B534:G534" ca="1" si="188">IF($B$516="Colimador todo aberto",B490,B511)</f>
        <v>NPA</v>
      </c>
      <c r="C534" s="1801" t="str">
        <f t="shared" ca="1" si="188"/>
        <v>NPA</v>
      </c>
      <c r="D534" s="1801" t="str">
        <f t="shared" ca="1" si="188"/>
        <v>NPA</v>
      </c>
      <c r="E534" s="1801" t="str">
        <f t="shared" ca="1" si="188"/>
        <v>NPA</v>
      </c>
      <c r="F534" s="1801" t="str">
        <f t="shared" ca="1" si="188"/>
        <v>NPA</v>
      </c>
      <c r="G534" s="1801" t="str">
        <f t="shared" ca="1" si="188"/>
        <v>NPA</v>
      </c>
      <c r="J534" s="100"/>
      <c r="K534" s="100"/>
      <c r="L534" s="101"/>
      <c r="N534" s="100"/>
      <c r="O534" s="101"/>
      <c r="Q534" s="100"/>
      <c r="R534" s="101"/>
      <c r="T534" s="100"/>
      <c r="U534" s="101"/>
      <c r="W534" s="100"/>
      <c r="X534" s="101"/>
      <c r="Z534" s="100"/>
      <c r="AA534" s="101"/>
    </row>
    <row r="535" spans="1:47" s="171" customFormat="1" x14ac:dyDescent="0.25">
      <c r="A535" s="1801" t="str">
        <f>$B$1</f>
        <v>IN 91</v>
      </c>
      <c r="B535" s="1801" t="str">
        <f t="shared" ref="B535:G535" ca="1" si="189">IF($B$516="Colimador todo aberto",B491,B512)</f>
        <v>NPA</v>
      </c>
      <c r="C535" s="1801" t="str">
        <f t="shared" ca="1" si="189"/>
        <v>NPA</v>
      </c>
      <c r="D535" s="1801" t="str">
        <f t="shared" ca="1" si="189"/>
        <v>NPA</v>
      </c>
      <c r="E535" s="1801" t="str">
        <f t="shared" ca="1" si="189"/>
        <v>NPA</v>
      </c>
      <c r="F535" s="1801" t="str">
        <f t="shared" ca="1" si="189"/>
        <v>NPA</v>
      </c>
      <c r="G535" s="1801" t="str">
        <f t="shared" ca="1" si="189"/>
        <v>NPA</v>
      </c>
      <c r="J535" s="100"/>
      <c r="K535" s="100"/>
      <c r="L535" s="101"/>
      <c r="N535" s="100"/>
      <c r="O535" s="101"/>
      <c r="Q535" s="100"/>
      <c r="R535" s="101"/>
      <c r="T535" s="100"/>
      <c r="U535" s="101"/>
      <c r="W535" s="100"/>
      <c r="X535" s="101"/>
      <c r="Z535" s="100"/>
      <c r="AA535" s="101"/>
    </row>
    <row r="536" spans="1:47" s="171" customFormat="1" x14ac:dyDescent="0.25">
      <c r="A536" s="1799" t="s">
        <v>1665</v>
      </c>
      <c r="B536" s="1801" t="e">
        <f t="shared" ref="B536:G536" ca="1" si="190">ROUND(IF($B$516="Colimador todo aberto",B492,B513),2)</f>
        <v>#VALUE!</v>
      </c>
      <c r="C536" s="1801" t="e">
        <f t="shared" ca="1" si="190"/>
        <v>#VALUE!</v>
      </c>
      <c r="D536" s="1801" t="e">
        <f t="shared" ca="1" si="190"/>
        <v>#VALUE!</v>
      </c>
      <c r="E536" s="1801" t="e">
        <f t="shared" ca="1" si="190"/>
        <v>#VALUE!</v>
      </c>
      <c r="F536" s="1801" t="e">
        <f t="shared" ca="1" si="190"/>
        <v>#VALUE!</v>
      </c>
      <c r="G536" s="1801" t="e">
        <f t="shared" ca="1" si="190"/>
        <v>#VALUE!</v>
      </c>
      <c r="J536" s="100"/>
      <c r="K536" s="100"/>
      <c r="L536" s="101"/>
      <c r="N536" s="100"/>
      <c r="O536" s="101"/>
      <c r="Q536" s="100"/>
      <c r="R536" s="101"/>
      <c r="T536" s="100"/>
      <c r="U536" s="101"/>
      <c r="W536" s="100"/>
      <c r="X536" s="101"/>
      <c r="Z536" s="100"/>
      <c r="AA536" s="101"/>
    </row>
    <row r="537" spans="1:47" s="171" customFormat="1" x14ac:dyDescent="0.25">
      <c r="A537" s="1801" t="str">
        <f>$B$1</f>
        <v>IN 91</v>
      </c>
      <c r="B537" s="1801" t="str">
        <f t="shared" ref="B537:G537" ca="1" si="191">IF($B$516="Colimador todo aberto",B493,B514)</f>
        <v>NPA</v>
      </c>
      <c r="C537" s="1801" t="str">
        <f t="shared" ca="1" si="191"/>
        <v>NPA</v>
      </c>
      <c r="D537" s="1801" t="str">
        <f t="shared" ca="1" si="191"/>
        <v>NPA</v>
      </c>
      <c r="E537" s="1801" t="str">
        <f t="shared" ca="1" si="191"/>
        <v>NPA</v>
      </c>
      <c r="F537" s="1801" t="str">
        <f t="shared" ca="1" si="191"/>
        <v>NPA</v>
      </c>
      <c r="G537" s="1801" t="str">
        <f t="shared" ca="1" si="191"/>
        <v>NPA</v>
      </c>
      <c r="J537" s="100"/>
      <c r="K537" s="100"/>
      <c r="L537" s="101"/>
      <c r="N537" s="100"/>
      <c r="O537" s="101"/>
      <c r="Q537" s="100"/>
      <c r="R537" s="101"/>
      <c r="T537" s="100"/>
      <c r="U537" s="101"/>
      <c r="W537" s="100"/>
      <c r="X537" s="101"/>
      <c r="Z537" s="100"/>
      <c r="AA537" s="101"/>
    </row>
    <row r="538" spans="1:47" s="171" customFormat="1" x14ac:dyDescent="0.25">
      <c r="A538" s="106"/>
      <c r="B538" s="111"/>
      <c r="C538" s="111"/>
      <c r="D538" s="111"/>
      <c r="E538" s="111"/>
      <c r="F538" s="111"/>
      <c r="G538" s="111"/>
      <c r="J538" s="100"/>
      <c r="K538" s="100"/>
      <c r="L538" s="101"/>
      <c r="N538" s="100"/>
      <c r="O538" s="101"/>
      <c r="Q538" s="100"/>
      <c r="R538" s="101"/>
      <c r="T538" s="100"/>
      <c r="U538" s="101"/>
      <c r="W538" s="100"/>
      <c r="X538" s="101"/>
      <c r="Z538" s="100"/>
      <c r="AA538" s="101"/>
    </row>
    <row r="539" spans="1:47" s="620" customFormat="1" ht="15.75" thickBot="1" x14ac:dyDescent="0.3">
      <c r="A539" s="1167"/>
      <c r="B539" s="1198"/>
      <c r="C539" s="101"/>
      <c r="D539" s="101"/>
      <c r="E539" s="101"/>
      <c r="F539" s="101"/>
      <c r="G539" s="101"/>
      <c r="H539" s="171"/>
      <c r="I539" s="171"/>
      <c r="J539" s="100"/>
      <c r="K539" s="100"/>
      <c r="L539" s="101"/>
      <c r="M539" s="171"/>
      <c r="N539" s="100"/>
      <c r="O539" s="101"/>
      <c r="P539" s="171"/>
      <c r="Q539" s="100"/>
      <c r="R539" s="101"/>
      <c r="S539" s="171"/>
      <c r="T539" s="100"/>
      <c r="U539" s="101"/>
      <c r="V539" s="171"/>
      <c r="W539" s="100"/>
      <c r="X539" s="101"/>
      <c r="Y539" s="171"/>
      <c r="Z539" s="100"/>
      <c r="AA539" s="101"/>
      <c r="AB539" s="171"/>
      <c r="AC539" s="171"/>
      <c r="AD539" s="171"/>
      <c r="AE539" s="171"/>
      <c r="AF539" s="171"/>
      <c r="AG539" s="171"/>
      <c r="AH539" s="171"/>
      <c r="AI539" s="171"/>
      <c r="AJ539" s="171"/>
      <c r="AK539" s="171"/>
      <c r="AL539" s="171"/>
      <c r="AM539" s="171"/>
      <c r="AN539" s="171"/>
      <c r="AO539" s="171"/>
      <c r="AP539" s="171"/>
      <c r="AQ539" s="171"/>
      <c r="AR539" s="171"/>
      <c r="AS539" s="171"/>
      <c r="AT539" s="171"/>
      <c r="AU539" s="171"/>
    </row>
    <row r="540" spans="1:47" ht="15.75" thickBot="1" x14ac:dyDescent="0.3">
      <c r="A540" s="2496" t="s">
        <v>99</v>
      </c>
      <c r="B540" s="2497"/>
      <c r="C540" s="2497"/>
      <c r="D540" s="2497"/>
      <c r="E540" s="2497"/>
      <c r="F540" s="2497"/>
      <c r="G540" s="2498"/>
      <c r="H540" s="50"/>
      <c r="I540" s="123"/>
      <c r="J540" s="87"/>
      <c r="K540" s="87"/>
      <c r="L540" s="85"/>
      <c r="M540" s="85"/>
      <c r="N540" s="123"/>
      <c r="O540" s="50"/>
      <c r="P540" s="50"/>
      <c r="Q540" s="50"/>
      <c r="R540" s="50"/>
      <c r="S540" s="50"/>
      <c r="T540" s="50"/>
      <c r="U540" s="50"/>
      <c r="V540" s="50"/>
      <c r="W540" s="50"/>
      <c r="X540" s="50"/>
      <c r="Y540" s="50"/>
      <c r="Z540" s="50"/>
      <c r="AA540" s="50"/>
      <c r="AB540" s="50"/>
      <c r="AC540" s="50"/>
      <c r="AD540" s="50"/>
      <c r="AE540" s="50"/>
      <c r="AF540" s="50"/>
      <c r="AG540" s="50"/>
      <c r="AH540" s="50"/>
      <c r="AI540" s="50"/>
      <c r="AJ540" s="50"/>
      <c r="AK540" s="50"/>
      <c r="AL540" s="50"/>
      <c r="AM540" s="50"/>
      <c r="AN540" s="50"/>
      <c r="AO540" s="50"/>
      <c r="AP540" s="50"/>
      <c r="AQ540" s="50"/>
      <c r="AR540" s="50"/>
      <c r="AS540" s="50"/>
      <c r="AT540" s="50"/>
      <c r="AU540" s="50"/>
    </row>
    <row r="541" spans="1:47" x14ac:dyDescent="0.25">
      <c r="A541" s="96" t="s">
        <v>307</v>
      </c>
      <c r="B541" s="1199" t="s">
        <v>308</v>
      </c>
      <c r="C541" s="124"/>
      <c r="D541" s="124"/>
      <c r="E541" s="50"/>
      <c r="F541" s="50"/>
      <c r="G541" s="50"/>
      <c r="H541" s="50"/>
      <c r="I541" s="123"/>
      <c r="J541" s="87"/>
      <c r="K541" s="87"/>
      <c r="L541" s="85"/>
      <c r="M541" s="85"/>
      <c r="N541" s="123"/>
      <c r="O541" s="50"/>
      <c r="P541" s="50"/>
      <c r="Q541" s="50"/>
      <c r="R541" s="50"/>
      <c r="S541" s="50"/>
      <c r="T541" s="50"/>
      <c r="U541" s="50"/>
      <c r="V541" s="50"/>
      <c r="W541" s="50"/>
      <c r="X541" s="50"/>
      <c r="Y541" s="50"/>
      <c r="Z541" s="50"/>
      <c r="AA541" s="50"/>
      <c r="AB541" s="50"/>
      <c r="AC541" s="50"/>
      <c r="AD541" s="50"/>
      <c r="AE541" s="50"/>
      <c r="AF541" s="50"/>
      <c r="AG541" s="50"/>
      <c r="AH541" s="50"/>
      <c r="AI541" s="50"/>
      <c r="AJ541" s="50"/>
      <c r="AK541" s="50"/>
      <c r="AL541" s="50"/>
      <c r="AM541" s="50"/>
      <c r="AN541" s="50"/>
      <c r="AO541" s="50"/>
      <c r="AP541" s="50"/>
      <c r="AQ541" s="50"/>
      <c r="AR541" s="50"/>
      <c r="AS541" s="50"/>
      <c r="AT541" s="50"/>
      <c r="AU541" s="50"/>
    </row>
    <row r="542" spans="1:47" x14ac:dyDescent="0.25">
      <c r="A542" s="96" t="s">
        <v>1135</v>
      </c>
      <c r="B542" s="814" t="s">
        <v>1136</v>
      </c>
      <c r="F542" s="50"/>
      <c r="G542" s="101"/>
      <c r="H542" s="50"/>
      <c r="I542" s="50"/>
      <c r="J542" s="100"/>
      <c r="K542" s="100"/>
      <c r="L542" s="101"/>
      <c r="M542" s="50"/>
      <c r="N542" s="100"/>
      <c r="O542" s="101"/>
      <c r="P542" s="50"/>
      <c r="Q542" s="100"/>
      <c r="R542" s="101"/>
      <c r="S542" s="50"/>
      <c r="T542" s="100"/>
      <c r="U542" s="101"/>
      <c r="V542" s="50"/>
      <c r="W542" s="100"/>
      <c r="X542" s="101"/>
      <c r="Y542" s="50"/>
      <c r="Z542" s="100"/>
      <c r="AA542" s="101"/>
      <c r="AB542" s="50"/>
      <c r="AC542" s="50"/>
      <c r="AD542" s="50"/>
      <c r="AE542" s="50"/>
      <c r="AF542" s="50"/>
      <c r="AG542" s="50"/>
      <c r="AH542" s="50"/>
      <c r="AI542" s="50"/>
      <c r="AJ542" s="50"/>
      <c r="AK542" s="50"/>
      <c r="AL542" s="50"/>
      <c r="AM542" s="50"/>
      <c r="AN542" s="50"/>
      <c r="AO542" s="50"/>
      <c r="AP542" s="50"/>
      <c r="AQ542" s="50"/>
      <c r="AR542" s="50"/>
      <c r="AS542" s="50"/>
      <c r="AT542" s="50"/>
      <c r="AU542" s="50"/>
    </row>
    <row r="543" spans="1:47" ht="15.75" thickBot="1" x14ac:dyDescent="0.3">
      <c r="A543" s="96"/>
      <c r="B543" s="123"/>
      <c r="C543" s="124"/>
      <c r="D543" s="124"/>
      <c r="E543" s="50"/>
      <c r="F543" s="50"/>
      <c r="G543" s="50"/>
      <c r="H543" s="50"/>
      <c r="I543" s="123"/>
      <c r="J543" s="87"/>
      <c r="K543" s="87"/>
      <c r="L543" s="85"/>
      <c r="M543" s="85"/>
      <c r="N543" s="123"/>
      <c r="O543" s="50"/>
      <c r="P543" s="50"/>
      <c r="Q543" s="50"/>
      <c r="R543" s="50"/>
      <c r="S543" s="50"/>
      <c r="T543" s="50"/>
      <c r="U543" s="50"/>
      <c r="V543" s="50"/>
      <c r="W543" s="50"/>
      <c r="X543" s="50"/>
      <c r="Y543" s="50"/>
      <c r="Z543" s="50"/>
      <c r="AA543" s="50"/>
      <c r="AB543" s="50"/>
      <c r="AC543" s="50"/>
      <c r="AD543" s="50"/>
      <c r="AE543" s="50"/>
      <c r="AF543" s="50"/>
      <c r="AG543" s="50"/>
      <c r="AH543" s="50"/>
      <c r="AI543" s="50"/>
      <c r="AJ543" s="50"/>
      <c r="AK543" s="50"/>
      <c r="AL543" s="50"/>
      <c r="AM543" s="50"/>
      <c r="AN543" s="50"/>
      <c r="AO543" s="50"/>
      <c r="AP543" s="50"/>
      <c r="AQ543" s="50"/>
      <c r="AR543" s="50"/>
      <c r="AS543" s="50"/>
      <c r="AT543" s="50"/>
      <c r="AU543" s="50"/>
    </row>
    <row r="544" spans="1:47" ht="15.75" thickBot="1" x14ac:dyDescent="0.3">
      <c r="A544" s="2496" t="s">
        <v>1443</v>
      </c>
      <c r="B544" s="2497"/>
      <c r="C544" s="2497"/>
      <c r="D544" s="2497"/>
      <c r="E544" s="2497"/>
      <c r="F544" s="2497"/>
      <c r="G544" s="2498"/>
      <c r="H544" s="87"/>
      <c r="I544" s="87"/>
      <c r="J544" s="87"/>
      <c r="K544" s="87"/>
      <c r="L544" s="85"/>
      <c r="M544" s="85"/>
      <c r="N544" s="61"/>
      <c r="O544" s="50"/>
      <c r="P544" s="50"/>
      <c r="Q544" s="50"/>
      <c r="R544" s="50"/>
      <c r="S544" s="50"/>
      <c r="T544" s="50"/>
      <c r="U544" s="50"/>
      <c r="V544" s="50"/>
      <c r="W544" s="50"/>
      <c r="X544" s="50"/>
      <c r="Y544" s="50"/>
      <c r="Z544" s="50"/>
      <c r="AA544" s="50"/>
      <c r="AB544" s="50"/>
      <c r="AC544" s="50"/>
      <c r="AD544" s="50"/>
      <c r="AE544" s="50"/>
      <c r="AF544" s="50"/>
      <c r="AG544" s="50"/>
      <c r="AH544" s="50"/>
      <c r="AI544" s="50"/>
      <c r="AJ544" s="50"/>
      <c r="AK544" s="50"/>
      <c r="AL544" s="50"/>
      <c r="AM544" s="50"/>
      <c r="AN544" s="50"/>
      <c r="AO544" s="50"/>
      <c r="AP544" s="50"/>
      <c r="AQ544" s="50"/>
      <c r="AR544" s="50"/>
      <c r="AS544" s="50"/>
      <c r="AT544" s="50"/>
      <c r="AU544" s="50"/>
    </row>
    <row r="545" spans="1:47" x14ac:dyDescent="0.25">
      <c r="A545" s="125" t="str">
        <f>CONCATENATE("tamanho do campo (",$B$129,")")</f>
        <v>tamanho do campo (cm)</v>
      </c>
      <c r="B545" s="583">
        <f t="shared" ref="B545:G545" si="192">B517</f>
        <v>23</v>
      </c>
      <c r="C545" s="583">
        <f t="shared" si="192"/>
        <v>0</v>
      </c>
      <c r="D545" s="583">
        <f t="shared" si="192"/>
        <v>0</v>
      </c>
      <c r="E545" s="583">
        <f t="shared" si="192"/>
        <v>0</v>
      </c>
      <c r="F545" s="583">
        <f t="shared" si="192"/>
        <v>0</v>
      </c>
      <c r="G545" s="583">
        <f t="shared" si="192"/>
        <v>0</v>
      </c>
      <c r="H545" s="50"/>
      <c r="I545" s="50"/>
      <c r="J545" s="100"/>
      <c r="K545" s="100"/>
      <c r="L545" s="101"/>
      <c r="M545" s="50"/>
      <c r="N545" s="100"/>
      <c r="O545" s="101"/>
      <c r="P545" s="50"/>
      <c r="Q545" s="100"/>
      <c r="R545" s="101"/>
      <c r="S545" s="50"/>
      <c r="T545" s="100"/>
      <c r="U545" s="101"/>
      <c r="V545" s="50"/>
      <c r="W545" s="100"/>
      <c r="X545" s="101"/>
      <c r="Y545" s="50"/>
      <c r="Z545" s="100"/>
      <c r="AA545" s="101"/>
      <c r="AB545" s="50"/>
      <c r="AC545" s="50"/>
      <c r="AD545" s="50"/>
      <c r="AE545" s="50"/>
      <c r="AF545" s="50"/>
      <c r="AG545" s="50"/>
      <c r="AH545" s="50"/>
      <c r="AI545" s="50"/>
      <c r="AJ545" s="50"/>
      <c r="AK545" s="50"/>
      <c r="AL545" s="50"/>
      <c r="AM545" s="50"/>
      <c r="AN545" s="50"/>
      <c r="AO545" s="50"/>
      <c r="AP545" s="50"/>
      <c r="AQ545" s="50"/>
      <c r="AR545" s="50"/>
      <c r="AS545" s="50"/>
      <c r="AT545" s="50"/>
      <c r="AU545" s="50"/>
    </row>
    <row r="546" spans="1:47" x14ac:dyDescent="0.25">
      <c r="A546" s="125" t="s">
        <v>1794</v>
      </c>
      <c r="B546" s="584"/>
      <c r="C546" s="584"/>
      <c r="D546" s="584"/>
      <c r="E546" s="584"/>
      <c r="F546" s="584"/>
      <c r="G546" s="584"/>
      <c r="H546" s="50"/>
      <c r="I546" s="50"/>
      <c r="J546" s="100"/>
      <c r="K546" s="100"/>
      <c r="L546" s="101"/>
      <c r="M546" s="50"/>
      <c r="N546" s="100"/>
      <c r="O546" s="101"/>
      <c r="P546" s="50"/>
      <c r="Q546" s="100"/>
      <c r="R546" s="101"/>
      <c r="S546" s="50"/>
      <c r="T546" s="100"/>
      <c r="U546" s="101"/>
      <c r="V546" s="50"/>
      <c r="W546" s="100"/>
      <c r="X546" s="101"/>
      <c r="Y546" s="50"/>
      <c r="Z546" s="100"/>
      <c r="AA546" s="101"/>
      <c r="AB546" s="50"/>
      <c r="AC546" s="50"/>
      <c r="AD546" s="50"/>
      <c r="AE546" s="50"/>
      <c r="AF546" s="50"/>
      <c r="AG546" s="50"/>
      <c r="AH546" s="50"/>
      <c r="AI546" s="50"/>
      <c r="AJ546" s="50"/>
      <c r="AK546" s="50"/>
      <c r="AL546" s="50"/>
      <c r="AM546" s="50"/>
      <c r="AN546" s="50"/>
      <c r="AO546" s="50"/>
      <c r="AP546" s="50"/>
      <c r="AQ546" s="50"/>
      <c r="AR546" s="50"/>
      <c r="AS546" s="50"/>
      <c r="AT546" s="50"/>
      <c r="AU546" s="50"/>
    </row>
    <row r="547" spans="1:47" x14ac:dyDescent="0.25">
      <c r="A547" s="125" t="s">
        <v>1421</v>
      </c>
      <c r="B547" s="584"/>
      <c r="C547" s="584"/>
      <c r="D547" s="584"/>
      <c r="E547" s="584"/>
      <c r="F547" s="584"/>
      <c r="G547" s="584"/>
      <c r="H547" s="50"/>
      <c r="I547" s="50"/>
      <c r="J547" s="100"/>
      <c r="K547" s="100"/>
      <c r="L547" s="101"/>
      <c r="M547" s="50"/>
      <c r="N547" s="100"/>
      <c r="O547" s="101"/>
      <c r="P547" s="50"/>
      <c r="Q547" s="100"/>
      <c r="R547" s="101"/>
      <c r="S547" s="50"/>
      <c r="T547" s="100"/>
      <c r="U547" s="101"/>
      <c r="V547" s="50"/>
      <c r="W547" s="100"/>
      <c r="X547" s="101"/>
      <c r="Y547" s="50"/>
      <c r="Z547" s="100"/>
      <c r="AA547" s="101"/>
      <c r="AB547" s="50"/>
      <c r="AC547" s="50"/>
      <c r="AD547" s="50"/>
      <c r="AE547" s="50"/>
      <c r="AF547" s="50"/>
      <c r="AG547" s="50"/>
      <c r="AH547" s="50"/>
      <c r="AI547" s="50"/>
      <c r="AJ547" s="50"/>
      <c r="AK547" s="50"/>
      <c r="AL547" s="50"/>
      <c r="AM547" s="50"/>
      <c r="AN547" s="50"/>
      <c r="AO547" s="50"/>
      <c r="AP547" s="50"/>
      <c r="AQ547" s="50"/>
      <c r="AR547" s="50"/>
      <c r="AS547" s="50"/>
      <c r="AT547" s="50"/>
      <c r="AU547" s="50"/>
    </row>
    <row r="548" spans="1:47" x14ac:dyDescent="0.25">
      <c r="A548" s="125" t="str">
        <f>IF(B541="TOR","Conjuntos de barras visíveis","Linhas/polegadas visíveis")</f>
        <v>Conjuntos de barras visíveis</v>
      </c>
      <c r="B548" s="584"/>
      <c r="C548" s="584"/>
      <c r="D548" s="584"/>
      <c r="E548" s="584"/>
      <c r="F548" s="584"/>
      <c r="G548" s="584"/>
      <c r="H548" s="50"/>
      <c r="I548" s="50"/>
      <c r="J548" s="100"/>
      <c r="K548" s="100"/>
      <c r="L548" s="101"/>
      <c r="M548" s="50"/>
      <c r="N548" s="100"/>
      <c r="O548" s="101"/>
      <c r="P548" s="50"/>
      <c r="Q548" s="100"/>
      <c r="R548" s="101"/>
      <c r="S548" s="50"/>
      <c r="T548" s="100"/>
      <c r="U548" s="101"/>
      <c r="V548" s="50"/>
      <c r="W548" s="100"/>
      <c r="X548" s="101"/>
      <c r="Y548" s="50"/>
      <c r="Z548" s="100"/>
      <c r="AA548" s="101"/>
      <c r="AB548" s="50"/>
      <c r="AC548" s="50"/>
      <c r="AD548" s="50"/>
      <c r="AE548" s="50"/>
      <c r="AF548" s="50"/>
      <c r="AG548" s="50"/>
      <c r="AH548" s="50"/>
      <c r="AI548" s="50"/>
      <c r="AJ548" s="50"/>
      <c r="AK548" s="50"/>
      <c r="AL548" s="50"/>
      <c r="AM548" s="50"/>
      <c r="AN548" s="50"/>
      <c r="AO548" s="50"/>
      <c r="AP548" s="50"/>
      <c r="AQ548" s="50"/>
      <c r="AR548" s="50"/>
      <c r="AS548" s="50"/>
      <c r="AT548" s="50"/>
      <c r="AU548" s="50"/>
    </row>
    <row r="549" spans="1:47" x14ac:dyDescent="0.25">
      <c r="A549" s="125" t="s">
        <v>380</v>
      </c>
      <c r="B549" s="2" t="str">
        <f>IFERROR(IF($B$541="TOR",VLOOKUP(B548,TOR18FG_REspacial[],2),B548*0.5/25),"Não visível")</f>
        <v>Não visível</v>
      </c>
      <c r="C549" s="1128" t="str">
        <f>IFERROR(IF($B$541="TOR",VLOOKUP(C548,TOR18FG_REspacial[],2),C548*0.5/25),"Não visível")</f>
        <v>Não visível</v>
      </c>
      <c r="D549" s="1128" t="str">
        <f>IFERROR(IF($B$541="TOR",VLOOKUP(D548,TOR18FG_REspacial[],2),D548*0.5/25),"Não visível")</f>
        <v>Não visível</v>
      </c>
      <c r="E549" s="1128" t="str">
        <f>IFERROR(IF($B$541="TOR",VLOOKUP(E548,TOR18FG_REspacial[],2),E548*0.5/25),"Não visível")</f>
        <v>Não visível</v>
      </c>
      <c r="F549" s="1128" t="str">
        <f>IFERROR(IF($B$541="TOR",VLOOKUP(F548,TOR18FG_REspacial[],2),F548*0.5/25),"Não visível")</f>
        <v>Não visível</v>
      </c>
      <c r="G549" s="1128" t="str">
        <f>IFERROR(IF($B$541="TOR",VLOOKUP(G548,TOR18FG_REspacial[],2),G548*0.5/25),"Não visível")</f>
        <v>Não visível</v>
      </c>
      <c r="H549" s="50"/>
      <c r="I549" s="50"/>
      <c r="J549" s="100"/>
      <c r="K549" s="100"/>
      <c r="L549" s="101"/>
      <c r="M549" s="50"/>
      <c r="N549" s="100"/>
      <c r="O549" s="101"/>
      <c r="P549" s="50"/>
      <c r="Q549" s="100"/>
      <c r="R549" s="101"/>
      <c r="S549" s="50"/>
      <c r="T549" s="100"/>
      <c r="U549" s="101"/>
      <c r="V549" s="50"/>
      <c r="W549" s="100"/>
      <c r="X549" s="101"/>
      <c r="Y549" s="50"/>
      <c r="Z549" s="100"/>
      <c r="AA549" s="101"/>
      <c r="AB549" s="50"/>
      <c r="AC549" s="50"/>
      <c r="AD549" s="50"/>
      <c r="AE549" s="50"/>
      <c r="AF549" s="50"/>
      <c r="AG549" s="50"/>
      <c r="AH549" s="50"/>
      <c r="AI549" s="50"/>
      <c r="AJ549" s="50"/>
      <c r="AK549" s="50"/>
      <c r="AL549" s="50"/>
      <c r="AM549" s="50"/>
      <c r="AN549" s="50"/>
      <c r="AO549" s="50"/>
      <c r="AP549" s="50"/>
      <c r="AQ549" s="50"/>
      <c r="AR549" s="50"/>
      <c r="AS549" s="50"/>
      <c r="AT549" s="50"/>
      <c r="AU549" s="50"/>
    </row>
    <row r="550" spans="1:47" x14ac:dyDescent="0.25">
      <c r="A550" s="98" t="str">
        <f>B1</f>
        <v>IN 91</v>
      </c>
      <c r="B550" s="12" t="str">
        <f t="shared" ref="B550:G550" si="193">IF(B545=0,"",IF(AND(B545&gt;25,$B$129="cm"),IF(B549&gt;1,"Sim",IF(B549&gt;=0.6,"Não","Restrição")),IF(AND(B545&lt;=25,$B$129="cm"),IF(B549&gt;1.2,"Sim",IF(B549&gt;=0.8,"Não","Restrição")),IF(AND(B545&gt;10,$B$129="pol"),IF(B549&gt;1,"Sim",IF(B549&gt;=0.6,"Não","Restrição")),IF(AND(B545&lt;=10,$B$129="pol"),IF(B549&gt;1.2,"Sim",IF(B549&gt;=0.8,"Não","Restrição")),"NA")))))</f>
        <v>Sim</v>
      </c>
      <c r="C550" s="12" t="str">
        <f t="shared" si="193"/>
        <v/>
      </c>
      <c r="D550" s="12" t="str">
        <f t="shared" si="193"/>
        <v/>
      </c>
      <c r="E550" s="12" t="str">
        <f t="shared" si="193"/>
        <v/>
      </c>
      <c r="F550" s="12" t="str">
        <f t="shared" si="193"/>
        <v/>
      </c>
      <c r="G550" s="12" t="str">
        <f t="shared" si="193"/>
        <v/>
      </c>
      <c r="H550" s="50"/>
      <c r="I550" s="50"/>
      <c r="J550" s="100"/>
      <c r="K550" s="100"/>
      <c r="L550" s="101"/>
      <c r="M550" s="50"/>
      <c r="N550" s="100"/>
      <c r="O550" s="101"/>
      <c r="P550" s="50"/>
      <c r="Q550" s="100"/>
      <c r="R550" s="101"/>
      <c r="S550" s="50"/>
      <c r="T550" s="100"/>
      <c r="U550" s="101"/>
      <c r="V550" s="50"/>
      <c r="W550" s="100"/>
      <c r="X550" s="101"/>
      <c r="Y550" s="50"/>
      <c r="Z550" s="100"/>
      <c r="AA550" s="101"/>
      <c r="AB550" s="50"/>
      <c r="AC550" s="50"/>
      <c r="AD550" s="50"/>
      <c r="AE550" s="50"/>
      <c r="AF550" s="50"/>
      <c r="AG550" s="50"/>
      <c r="AH550" s="50"/>
      <c r="AI550" s="50"/>
      <c r="AJ550" s="50"/>
      <c r="AK550" s="50"/>
      <c r="AL550" s="50"/>
      <c r="AM550" s="50"/>
      <c r="AN550" s="50"/>
      <c r="AO550" s="50"/>
      <c r="AP550" s="50"/>
      <c r="AQ550" s="50"/>
      <c r="AR550" s="50"/>
      <c r="AS550" s="50"/>
      <c r="AT550" s="50"/>
      <c r="AU550" s="50"/>
    </row>
    <row r="551" spans="1:47" x14ac:dyDescent="0.25">
      <c r="A551" s="12"/>
      <c r="B551" s="12"/>
      <c r="F551" s="50"/>
      <c r="G551" s="101"/>
      <c r="H551" s="50"/>
      <c r="I551" s="50"/>
      <c r="J551" s="100"/>
      <c r="K551" s="100"/>
      <c r="L551" s="101"/>
      <c r="M551" s="50"/>
      <c r="N551" s="100"/>
      <c r="O551" s="101"/>
      <c r="P551" s="50"/>
      <c r="Q551" s="100"/>
      <c r="R551" s="101"/>
      <c r="S551" s="50"/>
      <c r="T551" s="100"/>
      <c r="U551" s="101"/>
      <c r="V551" s="50"/>
      <c r="W551" s="100"/>
      <c r="X551" s="101"/>
      <c r="Y551" s="50"/>
      <c r="Z551" s="100"/>
      <c r="AA551" s="101"/>
      <c r="AB551" s="50"/>
      <c r="AC551" s="50"/>
      <c r="AD551" s="50"/>
      <c r="AE551" s="50"/>
      <c r="AF551" s="50"/>
      <c r="AG551" s="50"/>
      <c r="AH551" s="50"/>
      <c r="AI551" s="50"/>
      <c r="AJ551" s="50"/>
      <c r="AK551" s="50"/>
      <c r="AL551" s="50"/>
      <c r="AM551" s="50"/>
      <c r="AN551" s="50"/>
      <c r="AO551" s="50"/>
      <c r="AP551" s="50"/>
      <c r="AQ551" s="50"/>
      <c r="AR551" s="50"/>
      <c r="AS551" s="50"/>
      <c r="AT551" s="50"/>
      <c r="AU551" s="50"/>
    </row>
    <row r="552" spans="1:47" s="620" customFormat="1" ht="15.75" thickBot="1" x14ac:dyDescent="0.3">
      <c r="A552" s="171"/>
      <c r="B552" s="171"/>
      <c r="C552" s="171"/>
      <c r="D552" s="171"/>
      <c r="E552" s="171"/>
      <c r="F552" s="171"/>
      <c r="G552" s="171"/>
      <c r="H552" s="171"/>
      <c r="I552" s="171"/>
      <c r="J552" s="100"/>
      <c r="K552" s="100"/>
      <c r="L552" s="101"/>
      <c r="M552" s="171"/>
      <c r="N552" s="100"/>
      <c r="O552" s="101"/>
      <c r="P552" s="171"/>
      <c r="Q552" s="100"/>
      <c r="R552" s="101"/>
      <c r="S552" s="171"/>
      <c r="T552" s="100"/>
      <c r="U552" s="101"/>
      <c r="V552" s="171"/>
      <c r="W552" s="100"/>
      <c r="X552" s="101"/>
      <c r="Y552" s="171"/>
      <c r="Z552" s="100"/>
      <c r="AA552" s="101"/>
      <c r="AB552" s="171"/>
      <c r="AC552" s="171"/>
      <c r="AD552" s="171"/>
      <c r="AE552" s="171"/>
      <c r="AF552" s="171"/>
      <c r="AG552" s="171"/>
      <c r="AH552" s="171"/>
      <c r="AI552" s="171"/>
      <c r="AJ552" s="171"/>
      <c r="AK552" s="171"/>
      <c r="AL552" s="171"/>
      <c r="AM552" s="171"/>
      <c r="AN552" s="171"/>
      <c r="AO552" s="171"/>
      <c r="AP552" s="171"/>
      <c r="AQ552" s="171"/>
      <c r="AR552" s="171"/>
      <c r="AS552" s="171"/>
      <c r="AT552" s="171"/>
      <c r="AU552" s="171"/>
    </row>
    <row r="553" spans="1:47" ht="15.75" thickBot="1" x14ac:dyDescent="0.3">
      <c r="A553" s="2514" t="s">
        <v>1444</v>
      </c>
      <c r="B553" s="2515"/>
      <c r="C553" s="2515"/>
      <c r="D553" s="2515"/>
      <c r="E553" s="2515"/>
      <c r="F553" s="2515"/>
      <c r="G553" s="2516"/>
      <c r="H553" s="50"/>
      <c r="I553" s="50"/>
      <c r="J553" s="100"/>
      <c r="K553" s="100"/>
      <c r="L553" s="101"/>
      <c r="M553" s="50"/>
      <c r="N553" s="100"/>
      <c r="O553" s="101"/>
      <c r="P553" s="50"/>
      <c r="Q553" s="100"/>
      <c r="R553" s="101"/>
      <c r="S553" s="50"/>
      <c r="T553" s="100"/>
      <c r="U553" s="101"/>
      <c r="V553" s="50"/>
      <c r="W553" s="100"/>
      <c r="X553" s="101"/>
      <c r="Y553" s="50"/>
      <c r="Z553" s="100"/>
      <c r="AA553" s="101"/>
      <c r="AB553" s="50"/>
      <c r="AC553" s="50"/>
      <c r="AD553" s="50"/>
      <c r="AE553" s="50"/>
      <c r="AF553" s="50"/>
      <c r="AG553" s="50"/>
      <c r="AH553" s="50"/>
      <c r="AI553" s="50"/>
      <c r="AJ553" s="50"/>
      <c r="AK553" s="50"/>
      <c r="AL553" s="50"/>
      <c r="AM553" s="50"/>
      <c r="AN553" s="50"/>
      <c r="AO553" s="50"/>
      <c r="AP553" s="50"/>
      <c r="AQ553" s="50"/>
      <c r="AR553" s="50"/>
      <c r="AS553" s="50"/>
      <c r="AT553" s="50"/>
      <c r="AU553" s="50"/>
    </row>
    <row r="554" spans="1:47" ht="15" customHeight="1" x14ac:dyDescent="0.25">
      <c r="A554" s="1168" t="str">
        <f>CONCATENATE("tamanho do campo (",$B$129,")")</f>
        <v>tamanho do campo (cm)</v>
      </c>
      <c r="B554" s="686">
        <f t="shared" ref="B554:G554" si="194">B517</f>
        <v>23</v>
      </c>
      <c r="C554" s="686">
        <f t="shared" si="194"/>
        <v>0</v>
      </c>
      <c r="D554" s="686">
        <f t="shared" si="194"/>
        <v>0</v>
      </c>
      <c r="E554" s="686">
        <f t="shared" si="194"/>
        <v>0</v>
      </c>
      <c r="F554" s="686">
        <f t="shared" si="194"/>
        <v>0</v>
      </c>
      <c r="G554" s="686">
        <f t="shared" si="194"/>
        <v>0</v>
      </c>
      <c r="H554" s="50"/>
      <c r="I554" s="50"/>
      <c r="J554" s="100"/>
      <c r="K554" s="100"/>
      <c r="L554" s="101"/>
      <c r="M554" s="50"/>
      <c r="N554" s="100"/>
      <c r="O554" s="101"/>
      <c r="P554" s="50"/>
      <c r="Q554" s="100"/>
      <c r="R554" s="101"/>
      <c r="S554" s="50"/>
      <c r="T554" s="100"/>
      <c r="U554" s="101"/>
      <c r="V554" s="50"/>
      <c r="W554" s="100"/>
      <c r="X554" s="101"/>
      <c r="Y554" s="50"/>
      <c r="Z554" s="100"/>
      <c r="AA554" s="101"/>
      <c r="AB554" s="50"/>
      <c r="AC554" s="50"/>
      <c r="AD554" s="50"/>
      <c r="AE554" s="50"/>
      <c r="AF554" s="50"/>
      <c r="AG554" s="50"/>
      <c r="AH554" s="50"/>
      <c r="AI554" s="50"/>
      <c r="AJ554" s="50"/>
      <c r="AK554" s="50"/>
      <c r="AL554" s="50"/>
      <c r="AM554" s="50"/>
      <c r="AN554" s="50"/>
      <c r="AO554" s="50"/>
      <c r="AP554" s="50"/>
      <c r="AQ554" s="50"/>
      <c r="AR554" s="50"/>
      <c r="AS554" s="50"/>
      <c r="AT554" s="50"/>
      <c r="AU554" s="50"/>
    </row>
    <row r="555" spans="1:47" ht="15" customHeight="1" x14ac:dyDescent="0.25">
      <c r="A555" s="800" t="s">
        <v>1794</v>
      </c>
      <c r="B555" s="584"/>
      <c r="C555" s="584"/>
      <c r="D555" s="584"/>
      <c r="E555" s="584"/>
      <c r="F555" s="584"/>
      <c r="G555" s="584"/>
      <c r="H555" s="50"/>
      <c r="I555" s="50"/>
      <c r="J555" s="100"/>
      <c r="K555" s="100"/>
      <c r="L555" s="101"/>
      <c r="M555" s="50"/>
      <c r="N555" s="100"/>
      <c r="O555" s="101"/>
      <c r="P555" s="50"/>
      <c r="Q555" s="100"/>
      <c r="R555" s="101"/>
      <c r="S555" s="50"/>
      <c r="T555" s="100"/>
      <c r="U555" s="101"/>
      <c r="V555" s="50"/>
      <c r="W555" s="100"/>
      <c r="X555" s="101"/>
      <c r="Y555" s="50"/>
      <c r="Z555" s="100"/>
      <c r="AA555" s="101"/>
      <c r="AB555" s="50"/>
      <c r="AC555" s="50"/>
      <c r="AD555" s="50"/>
      <c r="AE555" s="50"/>
      <c r="AF555" s="50"/>
      <c r="AG555" s="50"/>
      <c r="AH555" s="50"/>
      <c r="AI555" s="50"/>
      <c r="AJ555" s="50"/>
      <c r="AK555" s="50"/>
      <c r="AL555" s="50"/>
      <c r="AM555" s="50"/>
      <c r="AN555" s="50"/>
      <c r="AO555" s="50"/>
      <c r="AP555" s="50"/>
      <c r="AQ555" s="50"/>
      <c r="AR555" s="50"/>
      <c r="AS555" s="50"/>
      <c r="AT555" s="50"/>
      <c r="AU555" s="50"/>
    </row>
    <row r="556" spans="1:47" ht="15" customHeight="1" x14ac:dyDescent="0.25">
      <c r="A556" s="800" t="s">
        <v>1421</v>
      </c>
      <c r="B556" s="584"/>
      <c r="C556" s="584"/>
      <c r="D556" s="584"/>
      <c r="E556" s="584"/>
      <c r="F556" s="584"/>
      <c r="G556" s="584"/>
      <c r="H556" s="50"/>
      <c r="I556" s="50"/>
      <c r="J556" s="100"/>
      <c r="K556" s="100"/>
      <c r="L556" s="101"/>
      <c r="M556" s="50"/>
      <c r="N556" s="100"/>
      <c r="O556" s="101"/>
      <c r="P556" s="50"/>
      <c r="Q556" s="100"/>
      <c r="R556" s="101"/>
      <c r="S556" s="50"/>
      <c r="T556" s="100"/>
      <c r="U556" s="101"/>
      <c r="V556" s="50"/>
      <c r="W556" s="100"/>
      <c r="X556" s="101"/>
      <c r="Y556" s="50"/>
      <c r="Z556" s="100"/>
      <c r="AA556" s="101"/>
      <c r="AB556" s="50"/>
      <c r="AC556" s="50"/>
      <c r="AD556" s="50"/>
      <c r="AE556" s="50"/>
      <c r="AF556" s="50"/>
      <c r="AG556" s="50"/>
      <c r="AH556" s="50"/>
      <c r="AI556" s="50"/>
      <c r="AJ556" s="50"/>
      <c r="AK556" s="50"/>
      <c r="AL556" s="50"/>
      <c r="AM556" s="50"/>
      <c r="AN556" s="50"/>
      <c r="AO556" s="50"/>
      <c r="AP556" s="50"/>
      <c r="AQ556" s="50"/>
      <c r="AR556" s="50"/>
      <c r="AS556" s="50"/>
      <c r="AT556" s="50"/>
      <c r="AU556" s="50"/>
    </row>
    <row r="557" spans="1:47" ht="15" customHeight="1" x14ac:dyDescent="0.25">
      <c r="A557" s="800" t="str">
        <f>IF(B541="TOR","Discos visíveis","Discos placa A")</f>
        <v>Discos visíveis</v>
      </c>
      <c r="B557" s="584"/>
      <c r="C557" s="584"/>
      <c r="D557" s="584"/>
      <c r="E557" s="584"/>
      <c r="F557" s="584"/>
      <c r="G557" s="584"/>
      <c r="H557" s="50"/>
      <c r="I557" s="50"/>
      <c r="J557" s="100"/>
      <c r="K557" s="100"/>
      <c r="L557" s="101"/>
      <c r="M557" s="50"/>
      <c r="N557" s="100"/>
      <c r="O557" s="101"/>
      <c r="P557" s="50"/>
      <c r="Q557" s="100"/>
      <c r="R557" s="101"/>
      <c r="S557" s="50"/>
      <c r="T557" s="100"/>
      <c r="U557" s="101"/>
      <c r="V557" s="50"/>
      <c r="W557" s="100"/>
      <c r="X557" s="101"/>
      <c r="Y557" s="50"/>
      <c r="Z557" s="100"/>
      <c r="AA557" s="101"/>
      <c r="AB557" s="50"/>
      <c r="AC557" s="50"/>
      <c r="AD557" s="50"/>
      <c r="AE557" s="50"/>
      <c r="AF557" s="50"/>
      <c r="AG557" s="50"/>
      <c r="AH557" s="50"/>
      <c r="AI557" s="50"/>
      <c r="AJ557" s="50"/>
      <c r="AK557" s="50"/>
      <c r="AL557" s="50"/>
      <c r="AM557" s="50"/>
      <c r="AN557" s="50"/>
      <c r="AO557" s="50"/>
      <c r="AP557" s="50"/>
      <c r="AQ557" s="50"/>
      <c r="AR557" s="50"/>
      <c r="AS557" s="50"/>
      <c r="AT557" s="50"/>
      <c r="AU557" s="50"/>
    </row>
    <row r="558" spans="1:47" ht="15" customHeight="1" x14ac:dyDescent="0.25">
      <c r="A558" s="800" t="str">
        <f>IF(B541="TOR","não usar esta linha","Discos placa B")</f>
        <v>não usar esta linha</v>
      </c>
      <c r="B558" s="584"/>
      <c r="C558" s="584"/>
      <c r="D558" s="584"/>
      <c r="E558" s="584"/>
      <c r="F558" s="584"/>
      <c r="G558" s="584"/>
      <c r="H558" s="50"/>
      <c r="I558" s="50"/>
      <c r="J558" s="100"/>
      <c r="K558" s="100"/>
      <c r="L558" s="101"/>
      <c r="M558" s="50"/>
      <c r="N558" s="100"/>
      <c r="O558" s="101"/>
      <c r="P558" s="50"/>
      <c r="Q558" s="100"/>
      <c r="R558" s="101"/>
      <c r="S558" s="50"/>
      <c r="T558" s="100"/>
      <c r="U558" s="101"/>
      <c r="V558" s="50"/>
      <c r="W558" s="100"/>
      <c r="X558" s="101"/>
      <c r="Y558" s="50"/>
      <c r="Z558" s="100"/>
      <c r="AA558" s="101"/>
      <c r="AB558" s="50"/>
      <c r="AC558" s="50"/>
      <c r="AD558" s="50"/>
      <c r="AE558" s="50"/>
      <c r="AF558" s="50"/>
      <c r="AG558" s="50"/>
      <c r="AH558" s="50"/>
      <c r="AI558" s="50"/>
      <c r="AJ558" s="50"/>
      <c r="AK558" s="50"/>
      <c r="AL558" s="50"/>
      <c r="AM558" s="50"/>
      <c r="AN558" s="50"/>
      <c r="AO558" s="50"/>
      <c r="AP558" s="50"/>
      <c r="AQ558" s="50"/>
      <c r="AR558" s="50"/>
      <c r="AS558" s="50"/>
      <c r="AT558" s="50"/>
      <c r="AU558" s="50"/>
    </row>
    <row r="559" spans="1:47" x14ac:dyDescent="0.25">
      <c r="A559" s="125"/>
      <c r="B559" s="87">
        <f t="shared" ref="B559:G559" si="195">10-B557</f>
        <v>10</v>
      </c>
      <c r="C559" s="87">
        <f t="shared" si="195"/>
        <v>10</v>
      </c>
      <c r="D559" s="87">
        <f t="shared" si="195"/>
        <v>10</v>
      </c>
      <c r="E559" s="87">
        <f t="shared" si="195"/>
        <v>10</v>
      </c>
      <c r="F559" s="87">
        <f t="shared" si="195"/>
        <v>10</v>
      </c>
      <c r="G559" s="87">
        <f t="shared" si="195"/>
        <v>10</v>
      </c>
      <c r="H559" s="50"/>
      <c r="I559" s="50"/>
      <c r="J559" s="100"/>
      <c r="K559" s="100"/>
      <c r="L559" s="101"/>
      <c r="M559" s="50"/>
      <c r="N559" s="100"/>
      <c r="O559" s="101"/>
      <c r="P559" s="50"/>
      <c r="Q559" s="100"/>
      <c r="R559" s="101"/>
      <c r="S559" s="50"/>
      <c r="T559" s="100"/>
      <c r="U559" s="101"/>
      <c r="V559" s="50"/>
      <c r="W559" s="100"/>
      <c r="X559" s="101"/>
      <c r="Y559" s="50"/>
      <c r="Z559" s="100"/>
      <c r="AA559" s="101"/>
      <c r="AB559" s="50"/>
      <c r="AC559" s="50"/>
      <c r="AD559" s="50"/>
      <c r="AE559" s="50"/>
      <c r="AF559" s="50"/>
      <c r="AG559" s="50"/>
      <c r="AH559" s="50"/>
      <c r="AI559" s="50"/>
      <c r="AJ559" s="50"/>
      <c r="AK559" s="50"/>
      <c r="AL559" s="50"/>
      <c r="AM559" s="50"/>
      <c r="AN559" s="50"/>
      <c r="AO559" s="50"/>
      <c r="AP559" s="50"/>
      <c r="AQ559" s="50"/>
      <c r="AR559" s="50"/>
      <c r="AS559" s="50"/>
      <c r="AT559" s="50"/>
      <c r="AU559" s="50"/>
    </row>
    <row r="560" spans="1:47" x14ac:dyDescent="0.25">
      <c r="A560" s="125"/>
      <c r="B560" s="87">
        <f t="shared" ref="B560:G560" si="196">9.5-B558</f>
        <v>9.5</v>
      </c>
      <c r="C560" s="87">
        <f t="shared" si="196"/>
        <v>9.5</v>
      </c>
      <c r="D560" s="87">
        <f t="shared" si="196"/>
        <v>9.5</v>
      </c>
      <c r="E560" s="87">
        <f t="shared" si="196"/>
        <v>9.5</v>
      </c>
      <c r="F560" s="87">
        <f t="shared" si="196"/>
        <v>9.5</v>
      </c>
      <c r="G560" s="87">
        <f t="shared" si="196"/>
        <v>9.5</v>
      </c>
      <c r="H560" s="50"/>
      <c r="I560" s="50"/>
      <c r="J560" s="100"/>
      <c r="K560" s="100"/>
      <c r="L560" s="101"/>
      <c r="M560" s="50"/>
      <c r="N560" s="100"/>
      <c r="O560" s="101"/>
      <c r="P560" s="50"/>
      <c r="Q560" s="100"/>
      <c r="R560" s="101"/>
      <c r="S560" s="50"/>
      <c r="T560" s="100"/>
      <c r="U560" s="101"/>
      <c r="V560" s="50"/>
      <c r="W560" s="100"/>
      <c r="X560" s="101"/>
      <c r="Y560" s="50"/>
      <c r="Z560" s="100"/>
      <c r="AA560" s="101"/>
      <c r="AB560" s="50"/>
      <c r="AC560" s="50"/>
      <c r="AD560" s="50"/>
      <c r="AE560" s="50"/>
      <c r="AF560" s="50"/>
      <c r="AG560" s="50"/>
      <c r="AH560" s="50"/>
      <c r="AI560" s="50"/>
      <c r="AJ560" s="50"/>
      <c r="AK560" s="50"/>
      <c r="AL560" s="50"/>
      <c r="AM560" s="50"/>
      <c r="AN560" s="50"/>
      <c r="AO560" s="50"/>
      <c r="AP560" s="50"/>
      <c r="AQ560" s="50"/>
      <c r="AR560" s="50"/>
      <c r="AS560" s="50"/>
      <c r="AT560" s="50"/>
      <c r="AU560" s="50"/>
    </row>
    <row r="561" spans="1:47" x14ac:dyDescent="0.25">
      <c r="A561" s="125" t="s">
        <v>10</v>
      </c>
      <c r="B561" s="3" t="str">
        <f>IF($B$541="TOR",IF(B557=0,"Não visível",VLOOKUP(B557,Tabelas!$E$82:$F$99,2,FALSE)*100),IF(B555=80,SMALL(B559:B560,1),ROUND(SMALL(B559:B560,1)*2.13832*EXP(-0.00900941*B555),1)))</f>
        <v>Não visível</v>
      </c>
      <c r="C561" s="3" t="str">
        <f>IF($B$541="TOR",IF(C557=0,"Não visível",VLOOKUP(C557,Tabelas!$E$82:$F$99,2,FALSE)*100),IF(C555=80,SMALL(C559:C560,1),ROUND(SMALL(C559:C560,1)*2.13832*EXP(-0.00900941*C555),1)))</f>
        <v>Não visível</v>
      </c>
      <c r="D561" s="3" t="str">
        <f>IF($B$541="TOR",IF(D557=0,"Não visível",VLOOKUP(D557,Tabelas!$E$82:$F$99,2,FALSE)*100),IF(D555=80,SMALL(D559:D560,1),ROUND(SMALL(D559:D560,1)*2.13832*EXP(-0.00900941*D555),1)))</f>
        <v>Não visível</v>
      </c>
      <c r="E561" s="3" t="str">
        <f>IF($B$541="TOR",IF(E557=0,"Não visível",VLOOKUP(E557,Tabelas!$E$82:$F$99,2,FALSE)*100),IF(E555=80,SMALL(E559:E560,1),ROUND(SMALL(E559:E560,1)*2.13832*EXP(-0.00900941*E555),1)))</f>
        <v>Não visível</v>
      </c>
      <c r="F561" s="3" t="str">
        <f>IF($B$541="TOR",IF(F557=0,"Não visível",VLOOKUP(F557,Tabelas!$E$82:$F$99,2,FALSE)*100),IF(F555=80,SMALL(F559:F560,1),ROUND(SMALL(F559:F560,1)*2.13832*EXP(-0.00900941*F555),1)))</f>
        <v>Não visível</v>
      </c>
      <c r="G561" s="3" t="str">
        <f>IF($B$541="TOR",IF(G557=0,"Não visível",VLOOKUP(G557,Tabelas!$E$82:$F$99,2,FALSE)*100),IF(G555=80,SMALL(G559:G560,1),ROUND(SMALL(G559:G560,1)*2.13832*EXP(-0.00900941*G555),1)))</f>
        <v>Não visível</v>
      </c>
      <c r="H561" s="50"/>
      <c r="I561" s="50"/>
      <c r="J561" s="100"/>
      <c r="K561" s="100"/>
      <c r="L561" s="101"/>
      <c r="M561" s="50"/>
      <c r="N561" s="100"/>
      <c r="O561" s="101"/>
      <c r="P561" s="50"/>
      <c r="Q561" s="100"/>
      <c r="R561" s="101"/>
      <c r="S561" s="50"/>
      <c r="T561" s="100"/>
      <c r="U561" s="101"/>
      <c r="V561" s="50"/>
      <c r="W561" s="100"/>
      <c r="X561" s="101"/>
      <c r="Y561" s="50"/>
      <c r="Z561" s="100"/>
      <c r="AA561" s="101"/>
      <c r="AB561" s="50"/>
      <c r="AC561" s="50"/>
      <c r="AD561" s="50"/>
      <c r="AE561" s="50"/>
      <c r="AF561" s="50"/>
      <c r="AG561" s="50"/>
      <c r="AH561" s="50"/>
      <c r="AI561" s="50"/>
      <c r="AJ561" s="50"/>
      <c r="AK561" s="50"/>
      <c r="AL561" s="50"/>
      <c r="AM561" s="50"/>
      <c r="AN561" s="50"/>
      <c r="AO561" s="50"/>
      <c r="AP561" s="50"/>
      <c r="AQ561" s="50"/>
      <c r="AR561" s="50"/>
      <c r="AS561" s="50"/>
      <c r="AT561" s="50"/>
      <c r="AU561" s="50"/>
    </row>
    <row r="562" spans="1:47" x14ac:dyDescent="0.25">
      <c r="A562" s="98" t="str">
        <f>B1</f>
        <v>IN 91</v>
      </c>
      <c r="B562" s="12" t="str">
        <f t="shared" ref="B562:G562" si="197">IF(B554=0,"",IF(AND(B554&gt;25,$B$129="cm"),IF(B561&lt;4,"Sim",IF(B561&lt;=6,"Não","Restrição")),IF(AND(B554&lt;=25,$B$129="cm"),IF(B561&lt;3,"Sim",IF(B561&lt;=5,"Não","Restrição")),IF(AND(B554&gt;10,$B$129="pol"),IF(B561&lt;4,"Sim",IF(B561&lt;=6,"Não","Restrição")),IF(AND(B554&lt;=10,$B$129="pol"),IF(B561&lt;3,"Sim",IF(B561&lt;=5,"Não","Restrição")),"NA")))))</f>
        <v>Restrição</v>
      </c>
      <c r="C562" s="12" t="str">
        <f t="shared" si="197"/>
        <v/>
      </c>
      <c r="D562" s="12" t="str">
        <f t="shared" si="197"/>
        <v/>
      </c>
      <c r="E562" s="12" t="str">
        <f t="shared" si="197"/>
        <v/>
      </c>
      <c r="F562" s="12" t="str">
        <f t="shared" si="197"/>
        <v/>
      </c>
      <c r="G562" s="12" t="str">
        <f t="shared" si="197"/>
        <v/>
      </c>
      <c r="H562" s="50"/>
      <c r="I562" s="50"/>
      <c r="J562" s="100"/>
      <c r="K562" s="100"/>
      <c r="L562" s="101"/>
      <c r="M562" s="50"/>
      <c r="N562" s="100"/>
      <c r="O562" s="101"/>
      <c r="P562" s="50"/>
      <c r="Q562" s="100"/>
      <c r="R562" s="101"/>
      <c r="S562" s="50"/>
      <c r="T562" s="100"/>
      <c r="U562" s="101"/>
      <c r="V562" s="50"/>
      <c r="W562" s="100"/>
      <c r="X562" s="101"/>
      <c r="Y562" s="50"/>
      <c r="Z562" s="100"/>
      <c r="AA562" s="101"/>
      <c r="AB562" s="50"/>
      <c r="AC562" s="50"/>
      <c r="AD562" s="50"/>
      <c r="AE562" s="50"/>
      <c r="AF562" s="50"/>
      <c r="AG562" s="50"/>
      <c r="AH562" s="50"/>
      <c r="AI562" s="50"/>
      <c r="AJ562" s="50"/>
      <c r="AK562" s="50"/>
      <c r="AL562" s="50"/>
      <c r="AM562" s="50"/>
      <c r="AN562" s="50"/>
      <c r="AO562" s="50"/>
      <c r="AP562" s="50"/>
      <c r="AQ562" s="50"/>
      <c r="AR562" s="50"/>
      <c r="AS562" s="50"/>
      <c r="AT562" s="50"/>
      <c r="AU562" s="50"/>
    </row>
    <row r="563" spans="1:47" ht="15.75" thickBot="1" x14ac:dyDescent="0.3">
      <c r="A563" s="12"/>
      <c r="B563" s="12"/>
      <c r="F563" s="50"/>
      <c r="G563" s="101"/>
      <c r="H563" s="50"/>
      <c r="I563" s="50"/>
      <c r="J563" s="100"/>
      <c r="K563" s="100"/>
      <c r="L563" s="101"/>
      <c r="M563" s="50"/>
      <c r="N563" s="100"/>
      <c r="O563" s="101"/>
      <c r="P563" s="50"/>
      <c r="Q563" s="100"/>
      <c r="R563" s="101"/>
      <c r="S563" s="50"/>
      <c r="T563" s="100"/>
      <c r="U563" s="101"/>
      <c r="V563" s="50"/>
      <c r="W563" s="100"/>
      <c r="X563" s="101"/>
      <c r="Y563" s="50"/>
      <c r="Z563" s="100"/>
      <c r="AA563" s="101"/>
      <c r="AB563" s="50"/>
      <c r="AC563" s="50"/>
      <c r="AD563" s="50"/>
      <c r="AE563" s="50"/>
      <c r="AF563" s="50"/>
      <c r="AG563" s="50"/>
      <c r="AH563" s="50"/>
      <c r="AI563" s="50"/>
      <c r="AJ563" s="50"/>
      <c r="AK563" s="50"/>
      <c r="AL563" s="50"/>
      <c r="AM563" s="50"/>
      <c r="AN563" s="50"/>
      <c r="AO563" s="50"/>
      <c r="AP563" s="50"/>
      <c r="AQ563" s="50"/>
      <c r="AR563" s="50"/>
      <c r="AS563" s="50"/>
      <c r="AT563" s="50"/>
      <c r="AU563" s="50"/>
    </row>
    <row r="564" spans="1:47" s="620" customFormat="1" ht="15.75" thickBot="1" x14ac:dyDescent="0.3">
      <c r="A564" s="2496" t="s">
        <v>1137</v>
      </c>
      <c r="B564" s="2497"/>
      <c r="C564" s="2497"/>
      <c r="D564" s="2497"/>
      <c r="E564" s="2497"/>
      <c r="F564" s="2497"/>
      <c r="G564" s="2498"/>
      <c r="H564" s="171"/>
      <c r="I564" s="171"/>
      <c r="J564" s="100"/>
      <c r="K564" s="100"/>
      <c r="L564" s="101"/>
      <c r="M564" s="171"/>
      <c r="N564" s="100"/>
      <c r="O564" s="101"/>
      <c r="P564" s="171"/>
      <c r="Q564" s="100"/>
      <c r="R564" s="101"/>
      <c r="S564" s="171"/>
      <c r="T564" s="100"/>
      <c r="U564" s="101"/>
      <c r="V564" s="171"/>
      <c r="W564" s="100"/>
      <c r="X564" s="101"/>
      <c r="Y564" s="171"/>
      <c r="Z564" s="100"/>
      <c r="AA564" s="101"/>
      <c r="AB564" s="171"/>
      <c r="AC564" s="171"/>
      <c r="AD564" s="171"/>
      <c r="AE564" s="171"/>
      <c r="AF564" s="171"/>
      <c r="AG564" s="171"/>
      <c r="AH564" s="171"/>
      <c r="AI564" s="171"/>
      <c r="AJ564" s="171"/>
      <c r="AK564" s="171"/>
      <c r="AL564" s="171"/>
      <c r="AM564" s="171"/>
      <c r="AN564" s="171"/>
      <c r="AO564" s="171"/>
      <c r="AP564" s="171"/>
      <c r="AQ564" s="171"/>
      <c r="AR564" s="171"/>
      <c r="AS564" s="171"/>
      <c r="AT564" s="171"/>
      <c r="AU564" s="171"/>
    </row>
    <row r="565" spans="1:47" x14ac:dyDescent="0.25">
      <c r="A565" s="1200" t="s">
        <v>1643</v>
      </c>
      <c r="B565" s="175"/>
      <c r="C565" s="102" t="s">
        <v>12</v>
      </c>
      <c r="D565" s="101"/>
      <c r="E565" s="101"/>
      <c r="F565" s="101"/>
      <c r="G565" s="101"/>
      <c r="H565" s="50"/>
      <c r="I565" s="50"/>
      <c r="J565" s="100"/>
      <c r="K565" s="100"/>
      <c r="L565" s="101"/>
      <c r="M565" s="50"/>
      <c r="N565" s="100"/>
      <c r="O565" s="101"/>
      <c r="P565" s="50"/>
      <c r="Q565" s="100"/>
      <c r="R565" s="101"/>
      <c r="S565" s="50"/>
      <c r="T565" s="100"/>
      <c r="U565" s="101"/>
      <c r="V565" s="50"/>
      <c r="W565" s="100"/>
      <c r="X565" s="101"/>
      <c r="Y565" s="50"/>
      <c r="Z565" s="100"/>
      <c r="AA565" s="101"/>
      <c r="AB565" s="50"/>
      <c r="AC565" s="50"/>
      <c r="AD565" s="50"/>
      <c r="AE565" s="50"/>
      <c r="AF565" s="50"/>
      <c r="AG565" s="50"/>
      <c r="AH565" s="50"/>
      <c r="AI565" s="50"/>
      <c r="AJ565" s="50"/>
      <c r="AK565" s="50"/>
      <c r="AL565" s="50"/>
      <c r="AM565" s="50"/>
      <c r="AN565" s="50"/>
      <c r="AO565" s="50"/>
      <c r="AP565" s="50"/>
      <c r="AQ565" s="50"/>
      <c r="AR565" s="50"/>
      <c r="AS565" s="50"/>
      <c r="AT565" s="50"/>
      <c r="AU565" s="50"/>
    </row>
    <row r="566" spans="1:47" x14ac:dyDescent="0.25">
      <c r="A566" s="125" t="s">
        <v>454</v>
      </c>
      <c r="B566" s="585"/>
      <c r="C566" s="585"/>
      <c r="D566" s="585"/>
      <c r="E566" s="585"/>
      <c r="F566" s="585"/>
      <c r="G566" s="585"/>
      <c r="H566" s="50"/>
      <c r="I566" s="619" t="str">
        <f>B1</f>
        <v>IN 91</v>
      </c>
      <c r="J566" s="100"/>
      <c r="K566" s="100"/>
      <c r="L566" s="101"/>
      <c r="M566" s="50"/>
      <c r="N566" s="100"/>
      <c r="O566" s="101"/>
      <c r="P566" s="50"/>
      <c r="Q566" s="100"/>
      <c r="R566" s="101"/>
      <c r="S566" s="50"/>
      <c r="T566" s="100"/>
      <c r="U566" s="101"/>
      <c r="V566" s="50"/>
      <c r="W566" s="100"/>
      <c r="X566" s="101"/>
      <c r="Y566" s="50"/>
      <c r="Z566" s="100"/>
      <c r="AA566" s="101"/>
      <c r="AB566" s="50"/>
      <c r="AC566" s="50"/>
      <c r="AD566" s="50"/>
      <c r="AE566" s="50"/>
      <c r="AF566" s="50"/>
      <c r="AG566" s="50"/>
      <c r="AH566" s="50"/>
      <c r="AI566" s="50"/>
      <c r="AJ566" s="50"/>
      <c r="AK566" s="50"/>
      <c r="AL566" s="50"/>
      <c r="AM566" s="50"/>
      <c r="AN566" s="50"/>
      <c r="AO566" s="50"/>
      <c r="AP566" s="50"/>
      <c r="AQ566" s="50"/>
      <c r="AR566" s="50"/>
      <c r="AS566" s="50"/>
      <c r="AT566" s="50"/>
      <c r="AU566" s="50"/>
    </row>
    <row r="567" spans="1:47" ht="15.75" thickBot="1" x14ac:dyDescent="0.3">
      <c r="A567" s="139" t="s">
        <v>455</v>
      </c>
      <c r="B567" s="114" t="e">
        <f t="shared" ref="B567:G567" si="198">ROUND(180/PI()*ATAN(B566/$B$565/10),1)</f>
        <v>#DIV/0!</v>
      </c>
      <c r="C567" s="114" t="e">
        <f t="shared" si="198"/>
        <v>#DIV/0!</v>
      </c>
      <c r="D567" s="114" t="e">
        <f>ROUND(180/PI()*ATAN(D566/$B$565/10),1)</f>
        <v>#DIV/0!</v>
      </c>
      <c r="E567" s="114" t="e">
        <f t="shared" si="198"/>
        <v>#DIV/0!</v>
      </c>
      <c r="F567" s="114" t="e">
        <f t="shared" si="198"/>
        <v>#DIV/0!</v>
      </c>
      <c r="G567" s="114" t="e">
        <f t="shared" si="198"/>
        <v>#DIV/0!</v>
      </c>
      <c r="H567" s="50"/>
      <c r="I567" s="50"/>
      <c r="J567" s="100"/>
      <c r="K567" s="100"/>
      <c r="L567" s="101"/>
      <c r="M567" s="50"/>
      <c r="N567" s="100"/>
      <c r="O567" s="101"/>
      <c r="P567" s="50"/>
      <c r="Q567" s="100"/>
      <c r="R567" s="101"/>
      <c r="S567" s="50"/>
      <c r="T567" s="100"/>
      <c r="U567" s="101"/>
      <c r="V567" s="50"/>
      <c r="W567" s="100"/>
      <c r="X567" s="101"/>
      <c r="Y567" s="50"/>
      <c r="Z567" s="100"/>
      <c r="AA567" s="101"/>
      <c r="AB567" s="50"/>
      <c r="AC567" s="50"/>
      <c r="AD567" s="50"/>
      <c r="AE567" s="50"/>
      <c r="AF567" s="50"/>
      <c r="AG567" s="50"/>
      <c r="AH567" s="50"/>
      <c r="AI567" s="50"/>
      <c r="AJ567" s="50"/>
      <c r="AK567" s="50"/>
      <c r="AL567" s="50"/>
      <c r="AM567" s="50"/>
      <c r="AN567" s="50"/>
      <c r="AO567" s="50"/>
      <c r="AP567" s="50"/>
      <c r="AQ567" s="50"/>
      <c r="AR567" s="50"/>
      <c r="AS567" s="50"/>
      <c r="AT567" s="50"/>
      <c r="AU567" s="50"/>
    </row>
    <row r="568" spans="1:47" ht="15.75" thickBot="1" x14ac:dyDescent="0.3">
      <c r="A568" s="98" t="str">
        <f>B1</f>
        <v>IN 91</v>
      </c>
      <c r="B568" s="12" t="e">
        <f t="shared" ref="B568:G568" si="199">IF(B567&lt;1.5,"Sim",IF(B567&lt;=3,"Não","Restrição"))</f>
        <v>#DIV/0!</v>
      </c>
      <c r="C568" s="12" t="e">
        <f t="shared" si="199"/>
        <v>#DIV/0!</v>
      </c>
      <c r="D568" s="12" t="e">
        <f t="shared" si="199"/>
        <v>#DIV/0!</v>
      </c>
      <c r="E568" s="12" t="e">
        <f t="shared" si="199"/>
        <v>#DIV/0!</v>
      </c>
      <c r="F568" s="12" t="e">
        <f t="shared" si="199"/>
        <v>#DIV/0!</v>
      </c>
      <c r="G568" s="12" t="e">
        <f t="shared" si="199"/>
        <v>#DIV/0!</v>
      </c>
      <c r="H568" s="50"/>
      <c r="I568" s="136" t="e">
        <f>IF(OR(B568="Restrição",C568="Restrição",D568="Restrição",E568="Restrição",F568="Restrição",G568="Restrição"),"Restrição",IF(OR(B568="Não",C568="Não",D568="Não",E568="Não",F568="Não",G568="Não"),"Não","Sim"))</f>
        <v>#DIV/0!</v>
      </c>
      <c r="J568" s="100"/>
      <c r="K568" s="100"/>
      <c r="L568" s="101"/>
      <c r="M568" s="50"/>
      <c r="N568" s="100"/>
      <c r="O568" s="101"/>
      <c r="P568" s="50"/>
      <c r="Q568" s="100"/>
      <c r="R568" s="101"/>
      <c r="S568" s="50"/>
      <c r="T568" s="100"/>
      <c r="U568" s="101"/>
      <c r="V568" s="50"/>
      <c r="W568" s="100"/>
      <c r="X568" s="101"/>
      <c r="Y568" s="50"/>
      <c r="Z568" s="100"/>
      <c r="AA568" s="101"/>
      <c r="AB568" s="50"/>
      <c r="AC568" s="50"/>
      <c r="AD568" s="50"/>
      <c r="AE568" s="50"/>
      <c r="AF568" s="50"/>
      <c r="AG568" s="50"/>
      <c r="AH568" s="50"/>
      <c r="AI568" s="50"/>
      <c r="AJ568" s="50"/>
      <c r="AK568" s="50"/>
      <c r="AL568" s="50"/>
      <c r="AM568" s="50"/>
      <c r="AN568" s="50"/>
      <c r="AO568" s="50"/>
      <c r="AP568" s="50"/>
      <c r="AQ568" s="50"/>
      <c r="AR568" s="50"/>
      <c r="AS568" s="50"/>
      <c r="AT568" s="50"/>
      <c r="AU568" s="50"/>
    </row>
    <row r="569" spans="1:47" s="815" customFormat="1" ht="15.75" thickBot="1" x14ac:dyDescent="0.3">
      <c r="A569" s="818"/>
      <c r="B569" s="817"/>
      <c r="C569" s="817"/>
      <c r="D569" s="817"/>
      <c r="E569" s="817"/>
      <c r="F569" s="817"/>
      <c r="G569" s="817"/>
      <c r="J569" s="816"/>
      <c r="K569" s="816"/>
      <c r="L569" s="817"/>
      <c r="N569" s="816"/>
      <c r="O569" s="817"/>
      <c r="Q569" s="816"/>
      <c r="R569" s="817"/>
      <c r="T569" s="816"/>
      <c r="U569" s="817"/>
      <c r="W569" s="816"/>
      <c r="X569" s="817"/>
      <c r="Z569" s="816"/>
      <c r="AA569" s="817"/>
    </row>
    <row r="570" spans="1:47" ht="15.75" thickBot="1" x14ac:dyDescent="0.3">
      <c r="A570" s="2496" t="s">
        <v>452</v>
      </c>
      <c r="B570" s="2497"/>
      <c r="C570" s="2497"/>
      <c r="D570" s="2497"/>
      <c r="E570" s="2497"/>
      <c r="F570" s="2497"/>
      <c r="G570" s="2498"/>
      <c r="H570" s="50"/>
      <c r="I570" s="50"/>
      <c r="J570" s="100"/>
      <c r="K570" s="100"/>
      <c r="L570" s="101"/>
      <c r="M570" s="50"/>
      <c r="N570" s="100"/>
      <c r="O570" s="101"/>
      <c r="P570" s="50"/>
      <c r="Q570" s="100"/>
      <c r="R570" s="101"/>
      <c r="S570" s="50"/>
      <c r="T570" s="100"/>
      <c r="U570" s="101"/>
      <c r="V570" s="50"/>
      <c r="W570" s="100"/>
      <c r="X570" s="101"/>
      <c r="Y570" s="50"/>
      <c r="Z570" s="100"/>
      <c r="AA570" s="101"/>
      <c r="AB570" s="50"/>
      <c r="AC570" s="50"/>
      <c r="AD570" s="50"/>
      <c r="AE570" s="50"/>
      <c r="AF570" s="50"/>
      <c r="AG570" s="50"/>
      <c r="AH570" s="50"/>
      <c r="AI570" s="50"/>
      <c r="AJ570" s="50"/>
      <c r="AK570" s="50"/>
      <c r="AL570" s="50"/>
      <c r="AM570" s="50"/>
      <c r="AN570" s="50"/>
      <c r="AO570" s="50"/>
      <c r="AP570" s="50"/>
      <c r="AQ570" s="50"/>
      <c r="AR570" s="50"/>
      <c r="AS570" s="50"/>
      <c r="AT570" s="50"/>
      <c r="AU570" s="50"/>
    </row>
    <row r="571" spans="1:47" s="171" customFormat="1" x14ac:dyDescent="0.25">
      <c r="A571" s="106" t="s">
        <v>1446</v>
      </c>
      <c r="B571" s="1201"/>
      <c r="C571" s="1201"/>
      <c r="D571" s="1201"/>
      <c r="E571" s="1201"/>
      <c r="F571" s="1201"/>
      <c r="G571" s="1201"/>
      <c r="J571" s="100"/>
      <c r="K571" s="100"/>
      <c r="L571" s="101"/>
      <c r="N571" s="100"/>
      <c r="O571" s="101"/>
      <c r="Q571" s="100"/>
      <c r="R571" s="101"/>
      <c r="T571" s="100"/>
      <c r="U571" s="101"/>
      <c r="W571" s="100"/>
      <c r="X571" s="101"/>
      <c r="Z571" s="100"/>
      <c r="AA571" s="101"/>
    </row>
    <row r="572" spans="1:47" s="171" customFormat="1" x14ac:dyDescent="0.25">
      <c r="A572" s="2504" t="s">
        <v>1456</v>
      </c>
      <c r="B572" s="2504"/>
      <c r="C572" s="585"/>
      <c r="D572" s="1202" t="s">
        <v>1074</v>
      </c>
      <c r="E572" s="2512" t="s">
        <v>1701</v>
      </c>
      <c r="F572" s="2512"/>
      <c r="G572" s="2512"/>
      <c r="J572" s="100"/>
      <c r="K572" s="100"/>
      <c r="L572" s="101"/>
      <c r="N572" s="100"/>
      <c r="O572" s="101"/>
      <c r="Q572" s="100"/>
      <c r="R572" s="101"/>
      <c r="T572" s="100"/>
      <c r="U572" s="101"/>
      <c r="W572" s="100"/>
      <c r="X572" s="101"/>
      <c r="Z572" s="100"/>
      <c r="AA572" s="101"/>
    </row>
    <row r="573" spans="1:47" s="171" customFormat="1" x14ac:dyDescent="0.25">
      <c r="A573" s="2504" t="s">
        <v>1447</v>
      </c>
      <c r="B573" s="2504"/>
      <c r="C573" s="585"/>
      <c r="D573" s="1202" t="s">
        <v>1074</v>
      </c>
      <c r="E573" s="2512"/>
      <c r="F573" s="2512"/>
      <c r="G573" s="2512"/>
      <c r="J573" s="100"/>
      <c r="K573" s="100"/>
      <c r="L573" s="101"/>
      <c r="N573" s="100"/>
      <c r="O573" s="101"/>
      <c r="Q573" s="100"/>
      <c r="R573" s="101"/>
      <c r="T573" s="100"/>
      <c r="U573" s="101"/>
      <c r="W573" s="100"/>
      <c r="X573" s="101"/>
      <c r="Z573" s="100"/>
      <c r="AA573" s="101"/>
    </row>
    <row r="574" spans="1:47" s="171" customFormat="1" x14ac:dyDescent="0.25">
      <c r="A574" s="2504" t="s">
        <v>1448</v>
      </c>
      <c r="B574" s="2504"/>
      <c r="C574" s="585"/>
      <c r="D574" s="1202" t="s">
        <v>1074</v>
      </c>
      <c r="E574" s="2512"/>
      <c r="F574" s="2512"/>
      <c r="G574" s="2512"/>
      <c r="J574" s="100"/>
      <c r="K574" s="100"/>
      <c r="L574" s="101"/>
      <c r="N574" s="100"/>
      <c r="O574" s="101"/>
      <c r="Q574" s="100"/>
      <c r="R574" s="101"/>
      <c r="T574" s="100"/>
      <c r="U574" s="101"/>
      <c r="W574" s="100"/>
      <c r="X574" s="101"/>
      <c r="Z574" s="100"/>
      <c r="AA574" s="101"/>
    </row>
    <row r="575" spans="1:47" s="171" customFormat="1" x14ac:dyDescent="0.25">
      <c r="A575" s="2504" t="s">
        <v>1449</v>
      </c>
      <c r="B575" s="2504"/>
      <c r="C575" s="585"/>
      <c r="D575" s="1202" t="s">
        <v>1074</v>
      </c>
      <c r="E575" s="2512"/>
      <c r="F575" s="2512"/>
      <c r="G575" s="2512"/>
      <c r="J575" s="100"/>
      <c r="K575" s="100"/>
      <c r="L575" s="101"/>
      <c r="N575" s="100"/>
      <c r="O575" s="101"/>
      <c r="Q575" s="100"/>
      <c r="R575" s="101"/>
      <c r="T575" s="100"/>
      <c r="U575" s="101"/>
      <c r="W575" s="100"/>
      <c r="X575" s="101"/>
      <c r="Z575" s="100"/>
      <c r="AA575" s="101"/>
    </row>
    <row r="576" spans="1:47" s="171" customFormat="1" x14ac:dyDescent="0.25">
      <c r="A576" s="2504" t="s">
        <v>1450</v>
      </c>
      <c r="B576" s="2504"/>
      <c r="C576" s="585"/>
      <c r="D576" s="1202" t="s">
        <v>1074</v>
      </c>
      <c r="E576" s="2512"/>
      <c r="F576" s="2512"/>
      <c r="G576" s="2512"/>
      <c r="J576" s="100"/>
      <c r="K576" s="100"/>
      <c r="L576" s="101"/>
      <c r="N576" s="100"/>
      <c r="O576" s="101"/>
      <c r="Q576" s="100"/>
      <c r="R576" s="101"/>
      <c r="T576" s="100"/>
      <c r="U576" s="101"/>
      <c r="W576" s="100"/>
      <c r="X576" s="101"/>
      <c r="Z576" s="100"/>
      <c r="AA576" s="101"/>
    </row>
    <row r="577" spans="1:47" s="171" customFormat="1" x14ac:dyDescent="0.25">
      <c r="A577" s="2504" t="s">
        <v>1709</v>
      </c>
      <c r="B577" s="2504"/>
      <c r="C577" s="1522" t="e">
        <f>LARGE(B582:G582,1)/C572</f>
        <v>#NUM!</v>
      </c>
      <c r="D577" s="1201" t="s">
        <v>1707</v>
      </c>
      <c r="E577" s="1201"/>
      <c r="F577" s="1201"/>
      <c r="G577" s="1201"/>
      <c r="J577" s="100"/>
      <c r="K577" s="100"/>
      <c r="L577" s="101"/>
      <c r="N577" s="100"/>
      <c r="O577" s="101"/>
      <c r="Q577" s="100"/>
      <c r="R577" s="101"/>
      <c r="T577" s="100"/>
      <c r="U577" s="101"/>
      <c r="W577" s="100"/>
      <c r="X577" s="101"/>
      <c r="Z577" s="100"/>
      <c r="AA577" s="101"/>
    </row>
    <row r="578" spans="1:47" s="171" customFormat="1" x14ac:dyDescent="0.25">
      <c r="A578" s="2504" t="s">
        <v>1708</v>
      </c>
      <c r="B578" s="2504"/>
      <c r="C578" s="1522" t="e">
        <f ca="1">LARGE(B584:G584,1)/LARGE(B585:G585,1)</f>
        <v>#NUM!</v>
      </c>
      <c r="D578" s="1522" t="s">
        <v>1707</v>
      </c>
      <c r="E578" s="1522"/>
      <c r="F578" s="1522"/>
      <c r="G578" s="1522"/>
      <c r="J578" s="100"/>
      <c r="K578" s="100"/>
      <c r="L578" s="101"/>
      <c r="N578" s="100"/>
      <c r="O578" s="101"/>
      <c r="Q578" s="100"/>
      <c r="R578" s="101"/>
      <c r="T578" s="100"/>
      <c r="U578" s="101"/>
      <c r="W578" s="100"/>
      <c r="X578" s="101"/>
      <c r="Z578" s="100"/>
      <c r="AA578" s="101"/>
    </row>
    <row r="579" spans="1:47" s="171" customFormat="1" x14ac:dyDescent="0.25">
      <c r="A579" s="1522"/>
      <c r="B579" s="1522"/>
      <c r="C579" s="1522"/>
      <c r="D579" s="1522"/>
      <c r="E579" s="1522"/>
      <c r="F579" s="1522"/>
      <c r="G579" s="1522"/>
      <c r="J579" s="100"/>
      <c r="K579" s="100"/>
      <c r="L579" s="101"/>
      <c r="N579" s="100"/>
      <c r="O579" s="101"/>
      <c r="Q579" s="100"/>
      <c r="R579" s="101"/>
      <c r="T579" s="100"/>
      <c r="U579" s="101"/>
      <c r="W579" s="100"/>
      <c r="X579" s="101"/>
      <c r="Z579" s="100"/>
      <c r="AA579" s="101"/>
    </row>
    <row r="580" spans="1:47" s="171" customFormat="1" x14ac:dyDescent="0.25">
      <c r="A580" s="106" t="s">
        <v>1644</v>
      </c>
      <c r="B580" s="1201"/>
      <c r="C580" s="1201"/>
      <c r="D580" s="1201"/>
      <c r="E580" s="1201"/>
      <c r="F580" s="1201"/>
      <c r="G580" s="1201"/>
      <c r="J580" s="100"/>
      <c r="K580" s="100"/>
      <c r="L580" s="101"/>
      <c r="N580" s="100"/>
      <c r="O580" s="101"/>
      <c r="Q580" s="100"/>
      <c r="R580" s="101"/>
      <c r="T580" s="100"/>
      <c r="U580" s="101"/>
      <c r="W580" s="100"/>
      <c r="X580" s="101"/>
      <c r="Z580" s="100"/>
      <c r="AA580" s="101"/>
    </row>
    <row r="581" spans="1:47" x14ac:dyDescent="0.25">
      <c r="A581" s="1169" t="str">
        <f>CONCATENATE("tamanho do campo (",$B$129,")")</f>
        <v>tamanho do campo (cm)</v>
      </c>
      <c r="B581" s="583">
        <f>IFERROR(LARGE(B130:G130,1),0)</f>
        <v>23</v>
      </c>
      <c r="C581" s="1678"/>
      <c r="D581" s="1678"/>
      <c r="E581" s="1678"/>
      <c r="F581" s="1678"/>
      <c r="G581" s="1678"/>
      <c r="H581" s="50"/>
      <c r="I581" s="50"/>
      <c r="J581" s="100"/>
      <c r="K581" s="100"/>
      <c r="L581" s="101"/>
      <c r="M581" s="50"/>
      <c r="N581" s="100"/>
      <c r="O581" s="101"/>
      <c r="P581" s="50"/>
      <c r="Q581" s="100"/>
      <c r="R581" s="101"/>
      <c r="S581" s="50"/>
      <c r="T581" s="100"/>
      <c r="U581" s="101"/>
      <c r="V581" s="50"/>
      <c r="W581" s="100"/>
      <c r="X581" s="101"/>
      <c r="Y581" s="50"/>
      <c r="Z581" s="100"/>
      <c r="AA581" s="101"/>
      <c r="AB581" s="50"/>
      <c r="AC581" s="50"/>
      <c r="AD581" s="50"/>
      <c r="AE581" s="50"/>
      <c r="AF581" s="50"/>
      <c r="AG581" s="50"/>
      <c r="AH581" s="50"/>
      <c r="AI581" s="50"/>
      <c r="AJ581" s="50"/>
      <c r="AK581" s="50"/>
      <c r="AL581" s="50"/>
      <c r="AM581" s="50"/>
      <c r="AN581" s="50"/>
      <c r="AO581" s="50"/>
      <c r="AP581" s="50"/>
      <c r="AQ581" s="50"/>
      <c r="AR581" s="50"/>
      <c r="AS581" s="50"/>
      <c r="AT581" s="50"/>
      <c r="AU581" s="50"/>
    </row>
    <row r="582" spans="1:47" x14ac:dyDescent="0.25">
      <c r="A582" s="1169" t="s">
        <v>1451</v>
      </c>
      <c r="B582" s="585"/>
      <c r="C582" s="1679"/>
      <c r="D582" s="1679"/>
      <c r="E582" s="1679"/>
      <c r="F582" s="1679"/>
      <c r="G582" s="1679"/>
      <c r="H582" s="50"/>
      <c r="I582" s="50"/>
      <c r="J582" s="100"/>
      <c r="K582" s="100"/>
      <c r="L582" s="101"/>
      <c r="M582" s="50"/>
      <c r="N582" s="100"/>
      <c r="O582" s="101"/>
      <c r="P582" s="50"/>
      <c r="Q582" s="100"/>
      <c r="R582" s="101"/>
      <c r="S582" s="50"/>
      <c r="T582" s="100"/>
      <c r="U582" s="101"/>
      <c r="V582" s="50"/>
      <c r="W582" s="100"/>
      <c r="X582" s="101"/>
      <c r="Y582" s="50"/>
      <c r="Z582" s="100"/>
      <c r="AA582" s="101"/>
      <c r="AB582" s="50"/>
      <c r="AC582" s="50"/>
      <c r="AD582" s="50"/>
      <c r="AE582" s="50"/>
      <c r="AF582" s="50"/>
      <c r="AG582" s="50"/>
      <c r="AH582" s="50"/>
      <c r="AI582" s="50"/>
      <c r="AJ582" s="50"/>
      <c r="AK582" s="50"/>
      <c r="AL582" s="50"/>
      <c r="AM582" s="50"/>
      <c r="AN582" s="50"/>
      <c r="AO582" s="50"/>
      <c r="AP582" s="50"/>
      <c r="AQ582" s="50"/>
      <c r="AR582" s="50"/>
      <c r="AS582" s="50"/>
      <c r="AT582" s="50"/>
      <c r="AU582" s="50"/>
    </row>
    <row r="583" spans="1:47" x14ac:dyDescent="0.25">
      <c r="A583" s="1169" t="s">
        <v>1453</v>
      </c>
      <c r="B583" s="585"/>
      <c r="C583" s="1679"/>
      <c r="D583" s="1679"/>
      <c r="E583" s="1679"/>
      <c r="F583" s="1679"/>
      <c r="G583" s="1679"/>
      <c r="H583" s="50"/>
      <c r="I583" s="50"/>
      <c r="J583" s="100"/>
      <c r="K583" s="100"/>
      <c r="L583" s="101"/>
      <c r="M583" s="50"/>
      <c r="N583" s="100"/>
      <c r="O583" s="101"/>
      <c r="P583" s="50"/>
      <c r="Q583" s="100"/>
      <c r="R583" s="101"/>
      <c r="S583" s="50"/>
      <c r="T583" s="100"/>
      <c r="U583" s="101"/>
      <c r="V583" s="50"/>
      <c r="W583" s="100"/>
      <c r="X583" s="101"/>
      <c r="Y583" s="50"/>
      <c r="Z583" s="100"/>
      <c r="AA583" s="101"/>
      <c r="AB583" s="50"/>
      <c r="AC583" s="50"/>
      <c r="AD583" s="50"/>
      <c r="AE583" s="50"/>
      <c r="AF583" s="50"/>
      <c r="AG583" s="50"/>
      <c r="AH583" s="50"/>
      <c r="AI583" s="50"/>
      <c r="AJ583" s="50"/>
      <c r="AK583" s="50"/>
      <c r="AL583" s="50"/>
      <c r="AM583" s="50"/>
      <c r="AN583" s="50"/>
      <c r="AO583" s="50"/>
      <c r="AP583" s="50"/>
      <c r="AQ583" s="50"/>
      <c r="AR583" s="50"/>
      <c r="AS583" s="50"/>
      <c r="AT583" s="50"/>
      <c r="AU583" s="50"/>
    </row>
    <row r="584" spans="1:47" s="620" customFormat="1" x14ac:dyDescent="0.25">
      <c r="A584" s="1169" t="s">
        <v>1452</v>
      </c>
      <c r="B584" s="585"/>
      <c r="C584" s="1679"/>
      <c r="D584" s="1679"/>
      <c r="E584" s="1679"/>
      <c r="F584" s="1679"/>
      <c r="G584" s="1679"/>
      <c r="H584" s="171"/>
      <c r="I584" s="171"/>
      <c r="J584" s="100"/>
      <c r="K584" s="100"/>
      <c r="L584" s="101"/>
      <c r="M584" s="171"/>
      <c r="N584" s="100"/>
      <c r="O584" s="101"/>
      <c r="P584" s="171"/>
      <c r="Q584" s="100"/>
      <c r="R584" s="101"/>
      <c r="S584" s="171"/>
      <c r="T584" s="100"/>
      <c r="U584" s="101"/>
      <c r="V584" s="171"/>
      <c r="W584" s="100"/>
      <c r="X584" s="101"/>
      <c r="Y584" s="171"/>
      <c r="Z584" s="100"/>
      <c r="AA584" s="101"/>
      <c r="AB584" s="171"/>
      <c r="AC584" s="171"/>
      <c r="AD584" s="171"/>
      <c r="AE584" s="171"/>
      <c r="AF584" s="171"/>
      <c r="AG584" s="171"/>
      <c r="AH584" s="171"/>
      <c r="AI584" s="171"/>
      <c r="AJ584" s="171"/>
      <c r="AK584" s="171"/>
      <c r="AL584" s="171"/>
      <c r="AM584" s="171"/>
      <c r="AN584" s="171"/>
      <c r="AO584" s="171"/>
      <c r="AP584" s="171"/>
      <c r="AQ584" s="171"/>
      <c r="AR584" s="171"/>
      <c r="AS584" s="171"/>
      <c r="AT584" s="171"/>
      <c r="AU584" s="171"/>
    </row>
    <row r="585" spans="1:47" s="620" customFormat="1" x14ac:dyDescent="0.25">
      <c r="A585" s="140" t="s">
        <v>1457</v>
      </c>
      <c r="B585" s="140">
        <f t="shared" ref="B585:G585" ca="1" si="200">INDIRECT(ADDRESS(ROW($A$572)+B583,3,1,0),FALSE)</f>
        <v>0</v>
      </c>
      <c r="C585" s="1676">
        <f t="shared" ca="1" si="200"/>
        <v>0</v>
      </c>
      <c r="D585" s="1676">
        <f t="shared" ca="1" si="200"/>
        <v>0</v>
      </c>
      <c r="E585" s="1676">
        <f t="shared" ca="1" si="200"/>
        <v>0</v>
      </c>
      <c r="F585" s="1676">
        <f t="shared" ca="1" si="200"/>
        <v>0</v>
      </c>
      <c r="G585" s="1676">
        <f t="shared" ca="1" si="200"/>
        <v>0</v>
      </c>
      <c r="H585" s="171"/>
      <c r="I585" s="171"/>
      <c r="J585" s="100"/>
      <c r="K585" s="100"/>
      <c r="L585" s="101"/>
      <c r="M585" s="171"/>
      <c r="N585" s="100"/>
      <c r="O585" s="101"/>
      <c r="P585" s="171"/>
      <c r="Q585" s="100"/>
      <c r="R585" s="101"/>
      <c r="S585" s="171"/>
      <c r="T585" s="100"/>
      <c r="U585" s="101"/>
      <c r="V585" s="171"/>
      <c r="W585" s="100"/>
      <c r="X585" s="101"/>
      <c r="Y585" s="171"/>
      <c r="Z585" s="100"/>
      <c r="AA585" s="101"/>
      <c r="AB585" s="171"/>
      <c r="AC585" s="171"/>
      <c r="AD585" s="171"/>
      <c r="AE585" s="171"/>
      <c r="AF585" s="171"/>
      <c r="AG585" s="171"/>
      <c r="AH585" s="171"/>
      <c r="AI585" s="171"/>
      <c r="AJ585" s="171"/>
      <c r="AK585" s="171"/>
      <c r="AL585" s="171"/>
      <c r="AM585" s="171"/>
      <c r="AN585" s="171"/>
      <c r="AO585" s="171"/>
      <c r="AP585" s="171"/>
      <c r="AQ585" s="171"/>
      <c r="AR585" s="171"/>
      <c r="AS585" s="171"/>
      <c r="AT585" s="171"/>
      <c r="AU585" s="171"/>
    </row>
    <row r="586" spans="1:47" s="620" customFormat="1" x14ac:dyDescent="0.25">
      <c r="A586" s="1169" t="s">
        <v>1455</v>
      </c>
      <c r="B586" s="1227" t="str">
        <f t="shared" ref="B586:G586" si="201">IFERROR(ABS(ROUND(($C$572/B582-1)*100,1)),"NPA")</f>
        <v>NPA</v>
      </c>
      <c r="C586" s="739" t="str">
        <f t="shared" si="201"/>
        <v>NPA</v>
      </c>
      <c r="D586" s="739" t="str">
        <f t="shared" si="201"/>
        <v>NPA</v>
      </c>
      <c r="E586" s="739" t="str">
        <f t="shared" si="201"/>
        <v>NPA</v>
      </c>
      <c r="F586" s="739" t="str">
        <f t="shared" si="201"/>
        <v>NPA</v>
      </c>
      <c r="G586" s="739" t="str">
        <f t="shared" si="201"/>
        <v>NPA</v>
      </c>
      <c r="H586" s="171"/>
      <c r="I586" s="171"/>
      <c r="J586" s="100"/>
      <c r="K586" s="100"/>
      <c r="L586" s="101"/>
      <c r="M586" s="171"/>
      <c r="N586" s="100"/>
      <c r="O586" s="101"/>
      <c r="P586" s="171"/>
      <c r="Q586" s="100"/>
      <c r="R586" s="101"/>
      <c r="S586" s="171"/>
      <c r="T586" s="100"/>
      <c r="U586" s="101"/>
      <c r="V586" s="171"/>
      <c r="W586" s="100"/>
      <c r="X586" s="101"/>
      <c r="Y586" s="171"/>
      <c r="Z586" s="100"/>
      <c r="AA586" s="101"/>
      <c r="AB586" s="171"/>
      <c r="AC586" s="171"/>
      <c r="AD586" s="171"/>
      <c r="AE586" s="171"/>
      <c r="AF586" s="171"/>
      <c r="AG586" s="171"/>
      <c r="AH586" s="171"/>
      <c r="AI586" s="171"/>
      <c r="AJ586" s="171"/>
      <c r="AK586" s="171"/>
      <c r="AL586" s="171"/>
      <c r="AM586" s="171"/>
      <c r="AN586" s="171"/>
      <c r="AO586" s="171"/>
      <c r="AP586" s="171"/>
      <c r="AQ586" s="171"/>
      <c r="AR586" s="171"/>
      <c r="AS586" s="171"/>
      <c r="AT586" s="171"/>
      <c r="AU586" s="171"/>
    </row>
    <row r="587" spans="1:47" x14ac:dyDescent="0.25">
      <c r="A587" s="1169" t="s">
        <v>1454</v>
      </c>
      <c r="B587" s="1227" t="str">
        <f t="shared" ref="B587:G587" ca="1" si="202">IFERROR(ABS(ROUND((B585/B584-1)*100,1)),"NPA")</f>
        <v>NPA</v>
      </c>
      <c r="C587" s="739" t="str">
        <f t="shared" ca="1" si="202"/>
        <v>NPA</v>
      </c>
      <c r="D587" s="739" t="str">
        <f t="shared" ca="1" si="202"/>
        <v>NPA</v>
      </c>
      <c r="E587" s="739" t="str">
        <f t="shared" ca="1" si="202"/>
        <v>NPA</v>
      </c>
      <c r="F587" s="739" t="str">
        <f t="shared" ca="1" si="202"/>
        <v>NPA</v>
      </c>
      <c r="G587" s="739" t="str">
        <f t="shared" ca="1" si="202"/>
        <v>NPA</v>
      </c>
      <c r="H587" s="50"/>
      <c r="I587" s="50"/>
      <c r="J587" s="100"/>
      <c r="K587" s="100"/>
      <c r="L587" s="101"/>
      <c r="M587" s="50"/>
      <c r="N587" s="100"/>
      <c r="O587" s="101"/>
      <c r="P587" s="50"/>
      <c r="Q587" s="100"/>
      <c r="R587" s="101"/>
      <c r="S587" s="50"/>
      <c r="T587" s="100"/>
      <c r="U587" s="101"/>
      <c r="V587" s="50"/>
      <c r="W587" s="100"/>
      <c r="X587" s="101"/>
      <c r="Y587" s="50"/>
      <c r="Z587" s="100"/>
      <c r="AA587" s="101"/>
      <c r="AB587" s="50"/>
      <c r="AC587" s="50"/>
      <c r="AD587" s="50"/>
      <c r="AE587" s="50"/>
      <c r="AF587" s="50"/>
      <c r="AG587" s="50"/>
      <c r="AH587" s="50"/>
      <c r="AI587" s="50"/>
      <c r="AJ587" s="50"/>
      <c r="AK587" s="50"/>
      <c r="AL587" s="50"/>
      <c r="AM587" s="50"/>
      <c r="AN587" s="50"/>
      <c r="AO587" s="50"/>
      <c r="AP587" s="50"/>
      <c r="AQ587" s="50"/>
      <c r="AR587" s="50"/>
      <c r="AS587" s="50"/>
      <c r="AT587" s="50"/>
      <c r="AU587" s="50"/>
    </row>
    <row r="588" spans="1:47" s="620" customFormat="1" x14ac:dyDescent="0.25">
      <c r="A588" s="1231" t="s">
        <v>1488</v>
      </c>
      <c r="B588" s="1227" t="str">
        <f t="shared" ref="B588:G588" ca="1" si="203">IFERROR(LARGE(B586:B587,1),"NPA")</f>
        <v>NPA</v>
      </c>
      <c r="C588" s="739" t="str">
        <f t="shared" ca="1" si="203"/>
        <v>NPA</v>
      </c>
      <c r="D588" s="739" t="str">
        <f t="shared" ca="1" si="203"/>
        <v>NPA</v>
      </c>
      <c r="E588" s="739" t="str">
        <f t="shared" ca="1" si="203"/>
        <v>NPA</v>
      </c>
      <c r="F588" s="739" t="str">
        <f t="shared" ca="1" si="203"/>
        <v>NPA</v>
      </c>
      <c r="G588" s="739" t="str">
        <f t="shared" ca="1" si="203"/>
        <v>NPA</v>
      </c>
      <c r="H588" s="171"/>
      <c r="I588" s="171"/>
      <c r="J588" s="100"/>
      <c r="K588" s="100"/>
      <c r="L588" s="101"/>
      <c r="M588" s="171"/>
      <c r="N588" s="100"/>
      <c r="O588" s="101"/>
      <c r="P588" s="171"/>
      <c r="Q588" s="100"/>
      <c r="R588" s="101"/>
      <c r="S588" s="171"/>
      <c r="T588" s="100"/>
      <c r="U588" s="101"/>
      <c r="V588" s="171"/>
      <c r="W588" s="100"/>
      <c r="X588" s="101"/>
      <c r="Y588" s="171"/>
      <c r="Z588" s="100"/>
      <c r="AA588" s="101"/>
      <c r="AB588" s="171"/>
      <c r="AC588" s="171"/>
      <c r="AD588" s="171"/>
      <c r="AE588" s="171"/>
      <c r="AF588" s="171"/>
      <c r="AG588" s="171"/>
      <c r="AH588" s="171"/>
      <c r="AI588" s="171"/>
      <c r="AJ588" s="171"/>
      <c r="AK588" s="171"/>
      <c r="AL588" s="171"/>
      <c r="AM588" s="171"/>
      <c r="AN588" s="171"/>
      <c r="AO588" s="171"/>
      <c r="AP588" s="171"/>
      <c r="AQ588" s="171"/>
      <c r="AR588" s="171"/>
      <c r="AS588" s="171"/>
      <c r="AT588" s="171"/>
      <c r="AU588" s="171"/>
    </row>
    <row r="589" spans="1:47" x14ac:dyDescent="0.25">
      <c r="A589" s="1179" t="str">
        <f>B1</f>
        <v>IN 91</v>
      </c>
      <c r="B589" s="1166" t="str">
        <f ca="1">IF(B588="NPA","NPA",IF(B588&lt;=10,"Sim",IF(B588&lt;20,"Não","Restrição")))</f>
        <v>NPA</v>
      </c>
      <c r="C589" s="1677" t="str">
        <f ca="1">IF(AND(C586="NPA",C587="NPA"),"NPA",IF(MAX(C586:C587)&lt;=10,"Sim",IF(MAX(C586:C587)&lt;20,"Não","Restrição")))</f>
        <v>NPA</v>
      </c>
      <c r="D589" s="1677" t="str">
        <f ca="1">IF(AND(D586="NPA",D587="NPA"),"NPA",IF(MAX(D586:D587)&lt;=10,"Sim",IF(MAX(D586:D587)&lt;20,"Não","Restrição")))</f>
        <v>NPA</v>
      </c>
      <c r="E589" s="1677" t="str">
        <f ca="1">IF(AND(E586="NPA",E587="NPA"),"NPA",IF(MAX(E586:E587)&lt;=10,"Sim",IF(MAX(E586:E587)&lt;20,"Não","Restrição")))</f>
        <v>NPA</v>
      </c>
      <c r="F589" s="1677" t="str">
        <f ca="1">IF(AND(F586="NPA",F587="NPA"),"NPA",IF(MAX(F586:F587)&lt;=10,"Sim",IF(MAX(F586:F587)&lt;20,"Não","Restrição")))</f>
        <v>NPA</v>
      </c>
      <c r="G589" s="1677" t="str">
        <f ca="1">IF(AND(G586="NPA",G587="NPA"),"NPA",IF(MAX(G586:G587)&lt;=10,"Sim",IF(MAX(G586:G587)&lt;20,"Não","Restrição")))</f>
        <v>NPA</v>
      </c>
      <c r="H589" s="50"/>
      <c r="I589" s="50"/>
      <c r="J589" s="100"/>
      <c r="K589" s="100"/>
      <c r="L589" s="101"/>
      <c r="M589" s="50"/>
      <c r="N589" s="100"/>
      <c r="O589" s="101"/>
      <c r="P589" s="50"/>
      <c r="Q589" s="100"/>
      <c r="R589" s="101"/>
      <c r="S589" s="50"/>
      <c r="T589" s="100"/>
      <c r="U589" s="101"/>
      <c r="V589" s="50"/>
      <c r="W589" s="100"/>
      <c r="X589" s="101"/>
      <c r="Y589" s="50"/>
      <c r="Z589" s="100"/>
      <c r="AA589" s="101"/>
      <c r="AB589" s="50"/>
      <c r="AC589" s="50"/>
      <c r="AD589" s="50"/>
      <c r="AE589" s="50"/>
      <c r="AF589" s="50"/>
      <c r="AG589" s="50"/>
      <c r="AH589" s="50"/>
      <c r="AI589" s="50"/>
      <c r="AJ589" s="50"/>
      <c r="AK589" s="50"/>
      <c r="AL589" s="50"/>
      <c r="AM589" s="50"/>
      <c r="AN589" s="50"/>
      <c r="AO589" s="50"/>
      <c r="AP589" s="50"/>
      <c r="AQ589" s="50"/>
      <c r="AR589" s="50"/>
      <c r="AS589" s="50"/>
      <c r="AT589" s="50"/>
      <c r="AU589" s="50"/>
    </row>
    <row r="590" spans="1:47" hidden="1" x14ac:dyDescent="0.25">
      <c r="A590" s="12"/>
      <c r="B590" s="12"/>
      <c r="F590" s="50"/>
      <c r="G590" s="101"/>
      <c r="H590" s="50"/>
      <c r="I590" s="50"/>
      <c r="J590" s="100"/>
      <c r="K590" s="100"/>
      <c r="L590" s="101"/>
      <c r="M590" s="50"/>
      <c r="N590" s="100"/>
      <c r="O590" s="101"/>
      <c r="P590" s="50"/>
      <c r="Q590" s="100"/>
      <c r="R590" s="101"/>
      <c r="S590" s="50"/>
      <c r="T590" s="100"/>
      <c r="U590" s="101"/>
      <c r="V590" s="50"/>
      <c r="W590" s="100"/>
      <c r="X590" s="101"/>
      <c r="Y590" s="50"/>
      <c r="Z590" s="100"/>
      <c r="AA590" s="101"/>
      <c r="AB590" s="50"/>
      <c r="AC590" s="50"/>
      <c r="AD590" s="50"/>
      <c r="AE590" s="50"/>
      <c r="AF590" s="50"/>
      <c r="AG590" s="50"/>
      <c r="AH590" s="50"/>
      <c r="AI590" s="50"/>
      <c r="AJ590" s="50"/>
      <c r="AK590" s="50"/>
      <c r="AL590" s="50"/>
      <c r="AM590" s="50"/>
      <c r="AN590" s="50"/>
      <c r="AO590" s="50"/>
      <c r="AP590" s="50"/>
      <c r="AQ590" s="50"/>
      <c r="AR590" s="50"/>
      <c r="AS590" s="50"/>
      <c r="AT590" s="50"/>
      <c r="AU590" s="50"/>
    </row>
    <row r="591" spans="1:47" hidden="1" x14ac:dyDescent="0.25"/>
    <row r="592" spans="1:47" hidden="1" x14ac:dyDescent="0.25"/>
    <row r="593" hidden="1" x14ac:dyDescent="0.25"/>
    <row r="594" hidden="1" x14ac:dyDescent="0.25"/>
    <row r="595" hidden="1" x14ac:dyDescent="0.25"/>
    <row r="596" s="171" customFormat="1" x14ac:dyDescent="0.25"/>
    <row r="597" s="171" customFormat="1"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sheetData>
  <sheetProtection selectLockedCells="1" autoFilter="0"/>
  <sortState ref="A180:G184">
    <sortCondition ref="A179"/>
  </sortState>
  <mergeCells count="99">
    <mergeCell ref="A19:E19"/>
    <mergeCell ref="A17:E17"/>
    <mergeCell ref="A18:E18"/>
    <mergeCell ref="A23:E23"/>
    <mergeCell ref="A21:E21"/>
    <mergeCell ref="A6:B6"/>
    <mergeCell ref="A2:C2"/>
    <mergeCell ref="A10:B10"/>
    <mergeCell ref="A11:B11"/>
    <mergeCell ref="A16:E16"/>
    <mergeCell ref="A15:F15"/>
    <mergeCell ref="A13:F13"/>
    <mergeCell ref="A26:E26"/>
    <mergeCell ref="A30:E30"/>
    <mergeCell ref="C51:D51"/>
    <mergeCell ref="C59:D59"/>
    <mergeCell ref="A40:E40"/>
    <mergeCell ref="C41:D41"/>
    <mergeCell ref="A49:E49"/>
    <mergeCell ref="C50:E50"/>
    <mergeCell ref="A27:E27"/>
    <mergeCell ref="A31:F31"/>
    <mergeCell ref="A36:B36"/>
    <mergeCell ref="A35:D35"/>
    <mergeCell ref="AB110:AC110"/>
    <mergeCell ref="C110:D110"/>
    <mergeCell ref="H110:I110"/>
    <mergeCell ref="O127:R127"/>
    <mergeCell ref="B153:D153"/>
    <mergeCell ref="A144:C144"/>
    <mergeCell ref="A123:E123"/>
    <mergeCell ref="A147:C147"/>
    <mergeCell ref="A141:C141"/>
    <mergeCell ref="I142:L151"/>
    <mergeCell ref="A140:G140"/>
    <mergeCell ref="A149:C149"/>
    <mergeCell ref="A576:B576"/>
    <mergeCell ref="A143:C143"/>
    <mergeCell ref="A85:E85"/>
    <mergeCell ref="C86:D86"/>
    <mergeCell ref="A113:D113"/>
    <mergeCell ref="A145:C145"/>
    <mergeCell ref="C97:E97"/>
    <mergeCell ref="A96:E96"/>
    <mergeCell ref="A124:E124"/>
    <mergeCell ref="A570:G570"/>
    <mergeCell ref="A126:G126"/>
    <mergeCell ref="C98:D98"/>
    <mergeCell ref="A464:G464"/>
    <mergeCell ref="A575:B575"/>
    <mergeCell ref="A250:G250"/>
    <mergeCell ref="A254:G254"/>
    <mergeCell ref="A574:B574"/>
    <mergeCell ref="A293:G293"/>
    <mergeCell ref="A301:G301"/>
    <mergeCell ref="A142:C142"/>
    <mergeCell ref="A146:C146"/>
    <mergeCell ref="A191:G191"/>
    <mergeCell ref="A199:G199"/>
    <mergeCell ref="A540:G540"/>
    <mergeCell ref="A395:G395"/>
    <mergeCell ref="A403:G403"/>
    <mergeCell ref="A352:G352"/>
    <mergeCell ref="A242:G242"/>
    <mergeCell ref="A572:B572"/>
    <mergeCell ref="A344:G344"/>
    <mergeCell ref="B516:G516"/>
    <mergeCell ref="A407:G407"/>
    <mergeCell ref="A468:G468"/>
    <mergeCell ref="A472:G472"/>
    <mergeCell ref="A473:G473"/>
    <mergeCell ref="A494:G494"/>
    <mergeCell ref="B361:E361"/>
    <mergeCell ref="A446:G446"/>
    <mergeCell ref="A454:G454"/>
    <mergeCell ref="A458:G458"/>
    <mergeCell ref="A465:G465"/>
    <mergeCell ref="B412:E412"/>
    <mergeCell ref="H63:I63"/>
    <mergeCell ref="A577:B577"/>
    <mergeCell ref="A578:B578"/>
    <mergeCell ref="A66:D66"/>
    <mergeCell ref="C106:D106"/>
    <mergeCell ref="C63:D63"/>
    <mergeCell ref="A76:D76"/>
    <mergeCell ref="A203:G203"/>
    <mergeCell ref="A564:G564"/>
    <mergeCell ref="A544:G544"/>
    <mergeCell ref="E572:G576"/>
    <mergeCell ref="A573:B573"/>
    <mergeCell ref="I197:L203"/>
    <mergeCell ref="A305:G305"/>
    <mergeCell ref="A553:G553"/>
    <mergeCell ref="A356:G356"/>
    <mergeCell ref="B156:E156"/>
    <mergeCell ref="B208:E208"/>
    <mergeCell ref="B259:E259"/>
    <mergeCell ref="A309:G309"/>
    <mergeCell ref="B310:E310"/>
  </mergeCells>
  <conditionalFormatting sqref="B492:G493 B513:G514 A494:G494 B474:G485 A507:G512 B495:G506 A486:G491">
    <cfRule type="cellIs" dxfId="1095" priority="21" operator="equal">
      <formula>"Restrição"</formula>
    </cfRule>
    <cfRule type="cellIs" dxfId="1094" priority="22" operator="equal">
      <formula>"Não"</formula>
    </cfRule>
  </conditionalFormatting>
  <conditionalFormatting sqref="B536:G537 A518:G535">
    <cfRule type="cellIs" dxfId="1093" priority="19" operator="equal">
      <formula>"Restrição"</formula>
    </cfRule>
    <cfRule type="cellIs" dxfId="1092" priority="20" operator="equal">
      <formula>"Não"</formula>
    </cfRule>
  </conditionalFormatting>
  <conditionalFormatting sqref="A537">
    <cfRule type="cellIs" dxfId="1091" priority="17" operator="equal">
      <formula>"Restrição"</formula>
    </cfRule>
    <cfRule type="cellIs" dxfId="1090" priority="18" operator="equal">
      <formula>"Não"</formula>
    </cfRule>
  </conditionalFormatting>
  <conditionalFormatting sqref="A493">
    <cfRule type="cellIs" dxfId="1089" priority="7" operator="equal">
      <formula>"Restrição"</formula>
    </cfRule>
    <cfRule type="cellIs" dxfId="1088" priority="8" operator="equal">
      <formula>"Não"</formula>
    </cfRule>
  </conditionalFormatting>
  <conditionalFormatting sqref="A514">
    <cfRule type="cellIs" dxfId="1087" priority="5" operator="equal">
      <formula>"Restrição"</formula>
    </cfRule>
    <cfRule type="cellIs" dxfId="1086" priority="6" operator="equal">
      <formula>"Não"</formula>
    </cfRule>
  </conditionalFormatting>
  <conditionalFormatting sqref="A474:A485">
    <cfRule type="cellIs" dxfId="1085" priority="3" operator="equal">
      <formula>"Restrição"</formula>
    </cfRule>
    <cfRule type="cellIs" dxfId="1084" priority="4" operator="equal">
      <formula>"Não"</formula>
    </cfRule>
  </conditionalFormatting>
  <conditionalFormatting sqref="A495:A506">
    <cfRule type="cellIs" dxfId="1083" priority="1" operator="equal">
      <formula>"Restrição"</formula>
    </cfRule>
    <cfRule type="cellIs" dxfId="1082" priority="2" operator="equal">
      <formula>"Não"</formula>
    </cfRule>
  </conditionalFormatting>
  <dataValidations count="10">
    <dataValidation type="list" allowBlank="1" showInputMessage="1" showErrorMessage="1" sqref="B133:G133">
      <formula1>"Sim,Não"</formula1>
    </dataValidation>
    <dataValidation type="list" allowBlank="1" showInputMessage="1" showErrorMessage="1" sqref="B542">
      <formula1>"Placa bem circular na imagem,Círculo distorcido na imagem"</formula1>
    </dataValidation>
    <dataValidation type="list" allowBlank="1" showInputMessage="1" showErrorMessage="1" sqref="B7">
      <formula1>"Angiografia,Arco Cirúrgico,Hemodinâmica,Litotripsia,Telecomandado"</formula1>
    </dataValidation>
    <dataValidation type="list" allowBlank="1" showInputMessage="1" showErrorMessage="1" sqref="B193:G193 B244:G244 B295:G295 B346:G346 B397:G397 B448:G448">
      <formula1>B176:B177</formula1>
    </dataValidation>
    <dataValidation type="list" allowBlank="1" showInputMessage="1" showErrorMessage="1" sqref="B583:G583">
      <formula1>"1,2,3,4"</formula1>
    </dataValidation>
    <dataValidation type="list" allowBlank="1" showInputMessage="1" showErrorMessage="1" sqref="B192:G192 B243:G243 B294:G294 B345:G345 B396:G396 B447:G447">
      <formula1>$A$184:$A$189</formula1>
    </dataValidation>
    <dataValidation type="list" allowBlank="1" showInputMessage="1" showErrorMessage="1" sqref="B516:G516">
      <formula1>"Colimador todo aberto,Colimador nas bordas do fantoma"</formula1>
    </dataValidation>
    <dataValidation type="decimal" operator="greaterThanOrEqual" allowBlank="1" showInputMessage="1" showErrorMessage="1" sqref="B148">
      <formula1>0</formula1>
    </dataValidation>
    <dataValidation type="list" allowBlank="1" showInputMessage="1" showErrorMessage="1" sqref="D148">
      <formula1>"receptor de imagem,foco"</formula1>
    </dataValidation>
    <dataValidation type="list" allowBlank="1" showInputMessage="1" showErrorMessage="1" sqref="F18:F19">
      <formula1>"Sim,Não,NA"</formula1>
    </dataValidation>
  </dataValidations>
  <hyperlinks>
    <hyperlink ref="B153:D153" r:id="rId1" display="http://veltcamp.blogspot.com/2011/06/dap-converter.html"/>
  </hyperlinks>
  <pageMargins left="0.511811024" right="0.511811024" top="0.78740157499999996" bottom="0.78740157499999996" header="0.31496062000000002" footer="0.31496062000000002"/>
  <pageSetup paperSize="9" orientation="portrait" r:id="rId2"/>
  <drawing r:id="rId3"/>
  <extLst>
    <ext xmlns:x14="http://schemas.microsoft.com/office/spreadsheetml/2009/9/main" uri="{CCE6A557-97BC-4b89-ADB6-D9C93CAAB3DF}">
      <x14:dataValidations xmlns:xm="http://schemas.microsoft.com/office/excel/2006/main" count="6">
        <x14:dataValidation type="list" allowBlank="1" showInputMessage="1" showErrorMessage="1">
          <x14:formula1>
            <xm:f>Tabelas2!$D$13:$D$15</xm:f>
          </x14:formula1>
          <xm:sqref>B129</xm:sqref>
        </x14:dataValidation>
        <x14:dataValidation type="list" allowBlank="1" showInputMessage="1" showErrorMessage="1">
          <x14:formula1>
            <xm:f>Tabelas2!$D$4:$D$6</xm:f>
          </x14:formula1>
          <xm:sqref>F26:F27</xm:sqref>
        </x14:dataValidation>
        <x14:dataValidation type="list" allowBlank="1" showInputMessage="1" showErrorMessage="1">
          <x14:formula1>
            <xm:f>Tabelas2!$D$5:$D$6</xm:f>
          </x14:formula1>
          <xm:sqref>F30 D145 F23 F16:F17</xm:sqref>
        </x14:dataValidation>
        <x14:dataValidation type="list" allowBlank="1" showInputMessage="1" showErrorMessage="1">
          <x14:formula1>
            <xm:f>Tabelas2!$I$2:$I$3</xm:f>
          </x14:formula1>
          <xm:sqref>B541</xm:sqref>
        </x14:dataValidation>
        <x14:dataValidation type="list" allowBlank="1" showInputMessage="1" showErrorMessage="1">
          <x14:formula1>
            <xm:f>Tabelas2!$F$13:$F$14</xm:f>
          </x14:formula1>
          <xm:sqref>B128</xm:sqref>
        </x14:dataValidation>
        <x14:dataValidation type="list" allowBlank="1" showInputMessage="1" showErrorMessage="1">
          <x14:formula1>
            <xm:f>Tabelas2!$G$6:$G$8</xm:f>
          </x14:formula1>
          <xm:sqref>B127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4"/>
  <dimension ref="A1:Q541"/>
  <sheetViews>
    <sheetView view="pageBreakPreview" zoomScale="115" zoomScaleNormal="100" zoomScaleSheetLayoutView="115" workbookViewId="0">
      <pane ySplit="1" topLeftCell="A347" activePane="bottomLeft" state="frozen"/>
      <selection activeCell="V21" sqref="V21"/>
      <selection pane="bottomLeft" activeCell="I368" sqref="I368"/>
    </sheetView>
  </sheetViews>
  <sheetFormatPr defaultColWidth="9.140625" defaultRowHeight="15" customHeight="1" x14ac:dyDescent="0.25"/>
  <cols>
    <col min="1" max="10" width="9.140625" style="2137" customWidth="1"/>
    <col min="11" max="11" width="11.5703125" style="2137" customWidth="1"/>
    <col min="12" max="12" width="15.5703125" style="2137" customWidth="1"/>
    <col min="13" max="13" width="10.42578125" style="2137" bestFit="1" customWidth="1"/>
    <col min="14" max="16384" width="9.140625" style="2137"/>
  </cols>
  <sheetData>
    <row r="1" spans="1:11" s="2147" customFormat="1" ht="15" customHeight="1" x14ac:dyDescent="0.25">
      <c r="A1" s="2580" t="e">
        <f>Cabeçalho!B6</f>
        <v>#N/A</v>
      </c>
      <c r="B1" s="2580"/>
      <c r="C1" s="2580"/>
      <c r="D1" s="2580"/>
      <c r="E1" s="2480" t="e">
        <f>IF(Cabeçalho!$B$15="",CONCATENATE(LOOKUP(Cabeçalho!$B$14,Tabelas2!$A$23:$A$32,Tabelas2!$B$23:$B$32),IF(Cabeçalho!$B$16&lt;&gt;0," - ",""),UPPER(Cabeçalho!$B$16)),CONCATENATE(LOOKUP(Cabeçalho!$B$14,Tabelas2!$A$23:$A$32,Tabelas2!$B$23:$B$32)," - ",Cabeçalho!$B$15," - ",UPPER(Cabeçalho!$B$16)))</f>
        <v>#N/A</v>
      </c>
      <c r="F1" s="2480"/>
      <c r="G1" s="2480"/>
      <c r="H1" s="2480"/>
      <c r="I1" s="2170" t="s">
        <v>112</v>
      </c>
      <c r="J1" s="2170" t="e">
        <f>IF(Cabeçalho!B12="","",Cabeçalho!B12)</f>
        <v>#N/A</v>
      </c>
      <c r="K1" s="279" t="s">
        <v>648</v>
      </c>
    </row>
    <row r="3" spans="1:11" ht="15" customHeight="1" x14ac:dyDescent="0.25">
      <c r="A3" s="2483" t="s">
        <v>113</v>
      </c>
      <c r="B3" s="2483"/>
      <c r="C3" s="2483"/>
      <c r="D3" s="2483"/>
      <c r="E3" s="2483"/>
      <c r="F3" s="2483"/>
      <c r="G3" s="2483"/>
      <c r="H3" s="2483"/>
      <c r="I3" s="2483"/>
    </row>
    <row r="5" spans="1:11" ht="15" customHeight="1" x14ac:dyDescent="0.25">
      <c r="A5" s="2483" t="s">
        <v>114</v>
      </c>
      <c r="B5" s="2483"/>
      <c r="C5" s="2483"/>
      <c r="D5" s="2483"/>
      <c r="E5" s="2483"/>
      <c r="F5" s="2483"/>
      <c r="G5" s="2483"/>
      <c r="H5" s="2483"/>
      <c r="I5" s="2483"/>
    </row>
    <row r="9" spans="1:11" ht="15" customHeight="1" x14ac:dyDescent="0.25">
      <c r="C9" s="2581" t="e">
        <f>Cabeçalho!B6</f>
        <v>#N/A</v>
      </c>
      <c r="D9" s="2581"/>
      <c r="E9" s="2581"/>
      <c r="F9" s="2581"/>
      <c r="G9" s="2581"/>
      <c r="H9" s="2581"/>
      <c r="I9" s="2581"/>
      <c r="J9" s="2581"/>
    </row>
    <row r="10" spans="1:11" ht="15" customHeight="1" x14ac:dyDescent="0.25">
      <c r="C10" s="2581"/>
      <c r="D10" s="2581"/>
      <c r="E10" s="2581"/>
      <c r="F10" s="2581"/>
      <c r="G10" s="2581"/>
      <c r="H10" s="2581"/>
      <c r="I10" s="2581"/>
      <c r="J10" s="2581"/>
    </row>
    <row r="11" spans="1:11" ht="15" customHeight="1" x14ac:dyDescent="0.25">
      <c r="B11" s="281"/>
      <c r="C11" s="281"/>
      <c r="D11" s="281"/>
      <c r="E11" s="281"/>
      <c r="F11" s="281"/>
      <c r="G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row>
    <row r="15" spans="1:11" ht="15" customHeight="1" x14ac:dyDescent="0.25">
      <c r="C15" s="280" t="e">
        <f>Cabeçalho!B8</f>
        <v>#N/A</v>
      </c>
      <c r="E15" s="281" t="e">
        <f>CONCATENATE(Cabeçalho!B9,", ",Cabeçalho!B10)</f>
        <v>#N/A</v>
      </c>
      <c r="F15" s="281"/>
      <c r="G15" s="281"/>
    </row>
    <row r="17" spans="1:10" ht="30" customHeight="1" x14ac:dyDescent="0.25">
      <c r="A17" s="2137" t="s">
        <v>115</v>
      </c>
      <c r="C17" s="2478" t="e">
        <f>Cabeçalho!B4</f>
        <v>#N/A</v>
      </c>
      <c r="D17" s="2478"/>
      <c r="E17" s="2478"/>
      <c r="F17" s="2478"/>
      <c r="G17" s="2478"/>
      <c r="H17" s="2478"/>
      <c r="I17" s="2478"/>
      <c r="J17" s="2478"/>
    </row>
    <row r="18" spans="1:10" ht="15" customHeight="1" x14ac:dyDescent="0.25">
      <c r="C18" s="280" t="e">
        <f>Cabeçalho!B5</f>
        <v>#N/A</v>
      </c>
    </row>
    <row r="19" spans="1:10" ht="15" customHeight="1" x14ac:dyDescent="0.25">
      <c r="C19" s="281"/>
    </row>
    <row r="20" spans="1:10" s="2272" customFormat="1" ht="15" customHeight="1" x14ac:dyDescent="0.25">
      <c r="A20" s="2272" t="s">
        <v>2337</v>
      </c>
      <c r="C20" s="281"/>
    </row>
    <row r="21" spans="1:10" s="2272" customFormat="1" ht="15" customHeight="1" x14ac:dyDescent="0.25">
      <c r="C21" s="281"/>
    </row>
    <row r="22" spans="1:10" s="2272" customFormat="1" ht="15" customHeight="1" x14ac:dyDescent="0.25">
      <c r="C22" s="281"/>
    </row>
    <row r="23" spans="1:10" s="2272" customFormat="1" ht="15" customHeight="1" x14ac:dyDescent="0.25">
      <c r="A23" s="2467" t="s">
        <v>2338</v>
      </c>
      <c r="B23" s="2467"/>
      <c r="C23" s="2467"/>
      <c r="D23" s="2467" t="s">
        <v>2339</v>
      </c>
      <c r="E23" s="2467"/>
      <c r="F23" s="2467"/>
      <c r="G23" s="2467" t="s">
        <v>2340</v>
      </c>
      <c r="H23" s="2467"/>
      <c r="I23" s="2467"/>
      <c r="J23" s="2467"/>
    </row>
    <row r="24" spans="1:10" ht="15" customHeight="1" x14ac:dyDescent="0.25">
      <c r="C24" s="282"/>
    </row>
    <row r="25" spans="1:10" ht="15" customHeight="1" x14ac:dyDescent="0.25">
      <c r="A25" s="281" t="s">
        <v>116</v>
      </c>
    </row>
    <row r="26" spans="1:10" ht="15" customHeight="1" x14ac:dyDescent="0.25">
      <c r="A26" s="2469" t="str">
        <f>IntroRDC</f>
        <v xml:space="preserve">               Este Laudo Técnico é parte do Programa de Garantia da Qualidade, conforme Resolução da Diretoria Colegiada - RDC 611/2022 da ANVISA.</v>
      </c>
      <c r="B26" s="2469"/>
      <c r="C26" s="2469"/>
      <c r="D26" s="2469"/>
      <c r="E26" s="2469"/>
      <c r="F26" s="2469"/>
      <c r="G26" s="2469"/>
      <c r="H26" s="2469"/>
      <c r="I26" s="2469"/>
      <c r="J26" s="2469"/>
    </row>
    <row r="27" spans="1:10" ht="15" customHeight="1" x14ac:dyDescent="0.25">
      <c r="A27" s="2469"/>
      <c r="B27" s="2469"/>
      <c r="C27" s="2469"/>
      <c r="D27" s="2469"/>
      <c r="E27" s="2469"/>
      <c r="F27" s="2469"/>
      <c r="G27" s="2469"/>
      <c r="H27" s="2469"/>
      <c r="I27" s="2469"/>
      <c r="J27" s="2469"/>
    </row>
    <row r="28" spans="1:10" ht="15" customHeight="1" x14ac:dyDescent="0.25">
      <c r="A28" s="2469" t="str">
        <f>IntroProtocolo</f>
        <v xml:space="preserve">               A metodologia utilizada atende aos "Protocolos para Execução de Testes em Sistemas de Radiologia Diagnóstica e Intervencionista" do CONFEA.</v>
      </c>
      <c r="B28" s="2469"/>
      <c r="C28" s="2469"/>
      <c r="D28" s="2469"/>
      <c r="E28" s="2469"/>
      <c r="F28" s="2469"/>
      <c r="G28" s="2469"/>
      <c r="H28" s="2469"/>
      <c r="I28" s="2469"/>
      <c r="J28" s="2469"/>
    </row>
    <row r="29" spans="1:10" ht="15" customHeight="1" x14ac:dyDescent="0.25">
      <c r="A29" s="2469"/>
      <c r="B29" s="2469"/>
      <c r="C29" s="2469"/>
      <c r="D29" s="2469"/>
      <c r="E29" s="2469"/>
      <c r="F29" s="2469"/>
      <c r="G29" s="2469"/>
      <c r="H29" s="2469"/>
      <c r="I29" s="2469"/>
      <c r="J29" s="2469"/>
    </row>
    <row r="30" spans="1:10" ht="15" customHeight="1" x14ac:dyDescent="0.25">
      <c r="A30" s="2469" t="str">
        <f>IntroNR32</f>
        <v xml:space="preserve">               Serve para comprovação e/ou como subsídio para atendimento da Norma Regulamentadora NR-32 do MTb.</v>
      </c>
      <c r="B30" s="2469"/>
      <c r="C30" s="2469"/>
      <c r="D30" s="2469"/>
      <c r="E30" s="2469"/>
      <c r="F30" s="2469"/>
      <c r="G30" s="2469"/>
      <c r="H30" s="2469"/>
      <c r="I30" s="2469"/>
      <c r="J30" s="2469"/>
    </row>
    <row r="31" spans="1:10" ht="15" customHeight="1" x14ac:dyDescent="0.25">
      <c r="A31" s="2469"/>
      <c r="B31" s="2469"/>
      <c r="C31" s="2469"/>
      <c r="D31" s="2469"/>
      <c r="E31" s="2469"/>
      <c r="F31" s="2469"/>
      <c r="G31" s="2469"/>
      <c r="H31" s="2469"/>
      <c r="I31" s="2469"/>
      <c r="J31" s="2469"/>
    </row>
    <row r="33" spans="1:11" ht="15" customHeight="1" x14ac:dyDescent="0.25">
      <c r="A33" s="281" t="s">
        <v>117</v>
      </c>
    </row>
    <row r="34" spans="1:11" ht="15" customHeight="1" x14ac:dyDescent="0.25">
      <c r="A34" s="2469" t="str">
        <f>IF(Cabeçalho!B14="Fluoroscopia","                 Verificar parâmetros técnicos e condições de desempenho do equipamento de raios X e a conformidade do mesmo com a Instrução Normativa "&amp;VLOOKUP("Fluoroscopia",IN_ANVISA[],2)&amp;"/"&amp;VLOOKUP("Fluoroscopia",IN_ANVISA[],3)&amp;" da ANVISA e a Norma Regulamentadora NR-32 do MTb.","                 Verificar parâmetros técnicos e condições de desempenho do equipamento de raios X e a conformidade do mesmo com as Instruções Normativas "&amp;VLOOKUP("Raios X Convencional",IN_ANVISA[],2)&amp;"/"&amp;VLOOKUP("Raios X convencional",IN_ANVISA[],3)&amp;" e "&amp;VLOOKUP("Fluoroscopia",IN_ANVISA[],2)&amp;"/"&amp;VLOOKUP("Fluoroscopia",IN_ANVISA[],3)&amp;" da ANVISA e a Norma Regulamentadora NR-32 do MTb.")</f>
        <v xml:space="preserve">                 Verificar parâmetros técnicos e condições de desempenho do equipamento de raios X e a conformidade do mesmo com as Instruções Normativas 90/2021 e 91/2021 da ANVISA e a Norma Regulamentadora NR-32 do MTb.</v>
      </c>
      <c r="B34" s="2469"/>
      <c r="C34" s="2469"/>
      <c r="D34" s="2469"/>
      <c r="E34" s="2469"/>
      <c r="F34" s="2469"/>
      <c r="G34" s="2469"/>
      <c r="H34" s="2469"/>
      <c r="I34" s="2469"/>
      <c r="J34" s="2469"/>
    </row>
    <row r="35" spans="1:11" ht="15" customHeight="1" x14ac:dyDescent="0.25">
      <c r="A35" s="2469"/>
      <c r="B35" s="2469"/>
      <c r="C35" s="2469"/>
      <c r="D35" s="2469"/>
      <c r="E35" s="2469"/>
      <c r="F35" s="2469"/>
      <c r="G35" s="2469"/>
      <c r="H35" s="2469"/>
      <c r="I35" s="2469"/>
      <c r="J35" s="2469"/>
    </row>
    <row r="36" spans="1:11" ht="15" customHeight="1" x14ac:dyDescent="0.25">
      <c r="A36" s="2469"/>
      <c r="B36" s="2469"/>
      <c r="C36" s="2469"/>
      <c r="D36" s="2469"/>
      <c r="E36" s="2469"/>
      <c r="F36" s="2469"/>
      <c r="G36" s="2469"/>
      <c r="H36" s="2469"/>
      <c r="I36" s="2469"/>
      <c r="J36" s="2469"/>
    </row>
    <row r="37" spans="1:11" ht="15" customHeight="1" x14ac:dyDescent="0.25">
      <c r="A37" s="2469" t="str">
        <f>OBJETIVO</f>
        <v xml:space="preserve">                Fornecer elementos para aceitação ou rejeição do equipamento, bem como para corrigir eventuais desvios, falhas e anomalias.</v>
      </c>
      <c r="B37" s="2469"/>
      <c r="C37" s="2469"/>
      <c r="D37" s="2469"/>
      <c r="E37" s="2469"/>
      <c r="F37" s="2469"/>
      <c r="G37" s="2469"/>
      <c r="H37" s="2469"/>
      <c r="I37" s="2469"/>
      <c r="J37" s="2469"/>
    </row>
    <row r="38" spans="1:11" ht="15" customHeight="1" x14ac:dyDescent="0.25">
      <c r="A38" s="2469"/>
      <c r="B38" s="2469"/>
      <c r="C38" s="2469"/>
      <c r="D38" s="2469"/>
      <c r="E38" s="2469"/>
      <c r="F38" s="2469"/>
      <c r="G38" s="2469"/>
      <c r="H38" s="2469"/>
      <c r="I38" s="2469"/>
      <c r="J38" s="2469"/>
    </row>
    <row r="39" spans="1:11" ht="15" customHeight="1" x14ac:dyDescent="0.25">
      <c r="A39" s="2469" t="str">
        <f>ObjetivoCorreções</f>
        <v xml:space="preserve">               Verificar possíveis correções realizadas após o laudo de 00/01/00 deste mesmo equipamento.</v>
      </c>
      <c r="B39" s="2469"/>
      <c r="C39" s="2469"/>
      <c r="D39" s="2469"/>
      <c r="E39" s="2469"/>
      <c r="F39" s="2469"/>
      <c r="G39" s="2469"/>
      <c r="H39" s="2469"/>
      <c r="I39" s="2469"/>
      <c r="J39" s="2469"/>
      <c r="K39" s="2137" t="str">
        <f>IF(Cabeçalho!$B$17="","x","")</f>
        <v>x</v>
      </c>
    </row>
    <row r="40" spans="1:11" ht="15" customHeight="1" x14ac:dyDescent="0.25">
      <c r="A40" s="2469"/>
      <c r="B40" s="2469"/>
      <c r="C40" s="2469"/>
      <c r="D40" s="2469"/>
      <c r="E40" s="2469"/>
      <c r="F40" s="2469"/>
      <c r="G40" s="2469"/>
      <c r="H40" s="2469"/>
      <c r="I40" s="2469"/>
      <c r="J40" s="2469"/>
      <c r="K40" s="2137" t="str">
        <f>K39</f>
        <v>x</v>
      </c>
    </row>
    <row r="42" spans="1:11" ht="15" customHeight="1" x14ac:dyDescent="0.25">
      <c r="A42" s="281" t="s">
        <v>118</v>
      </c>
    </row>
    <row r="43" spans="1:11" ht="15" customHeight="1" x14ac:dyDescent="0.25">
      <c r="A43" s="2465" t="s">
        <v>119</v>
      </c>
      <c r="B43" s="2465"/>
      <c r="C43" s="2465"/>
      <c r="D43" s="2465" t="s">
        <v>120</v>
      </c>
      <c r="E43" s="2465"/>
      <c r="F43" s="2465"/>
      <c r="G43" s="2465" t="s">
        <v>121</v>
      </c>
      <c r="H43" s="2465"/>
      <c r="I43" s="2465" t="s">
        <v>475</v>
      </c>
      <c r="J43" s="2465"/>
    </row>
    <row r="44" spans="1:11" ht="15" customHeight="1" x14ac:dyDescent="0.25">
      <c r="A44" s="2482" t="str">
        <f>IF(Cabeçalho!G3="","*",Cabeçalho!G3)</f>
        <v>*</v>
      </c>
      <c r="B44" s="2482"/>
      <c r="C44" s="2482"/>
      <c r="D44" s="2585" t="str">
        <f>IF(Cabeçalho!G4="","*",Cabeçalho!G4)</f>
        <v>*</v>
      </c>
      <c r="E44" s="2586"/>
      <c r="F44" s="2587"/>
      <c r="G44" s="2585" t="str">
        <f>IF(Cabeçalho!G5="","*",Cabeçalho!G5)</f>
        <v>*</v>
      </c>
      <c r="H44" s="2587"/>
      <c r="I44" s="2585" t="str">
        <f>IF(Cabeçalho!G6="","*",Cabeçalho!G6)</f>
        <v>*</v>
      </c>
      <c r="J44" s="2587"/>
    </row>
    <row r="45" spans="1:11" ht="15" customHeight="1" x14ac:dyDescent="0.25">
      <c r="A45" s="2482"/>
      <c r="B45" s="2482"/>
      <c r="C45" s="2482"/>
      <c r="D45" s="2588"/>
      <c r="E45" s="2589"/>
      <c r="F45" s="2590"/>
      <c r="G45" s="2588"/>
      <c r="H45" s="2590"/>
      <c r="I45" s="2588"/>
      <c r="J45" s="2590"/>
    </row>
    <row r="46" spans="1:11" ht="15" customHeight="1" x14ac:dyDescent="0.25">
      <c r="A46" s="284" t="s">
        <v>835</v>
      </c>
    </row>
    <row r="47" spans="1:11" ht="15" customHeight="1" x14ac:dyDescent="0.25">
      <c r="A47" s="2475" t="s">
        <v>124</v>
      </c>
      <c r="B47" s="2475"/>
      <c r="C47" s="2475"/>
      <c r="D47" s="2475"/>
      <c r="E47" s="2473" t="str">
        <f>IF(Cabeçalho!B14="Fluoroscopia","Raios X para Fluoroscopia","Raios X Convencional com Fluoroscopia")</f>
        <v>Raios X Convencional com Fluoroscopia</v>
      </c>
      <c r="F47" s="2473"/>
      <c r="G47" s="2473"/>
      <c r="H47" s="2473"/>
      <c r="I47" s="2473"/>
      <c r="J47" s="2138"/>
    </row>
    <row r="48" spans="1:11" ht="15" customHeight="1" x14ac:dyDescent="0.25">
      <c r="E48" s="2138"/>
      <c r="F48" s="2138"/>
      <c r="G48" s="2138"/>
      <c r="H48" s="2138"/>
      <c r="I48" s="2138"/>
      <c r="J48" s="2138"/>
    </row>
    <row r="49" spans="1:10" ht="15" customHeight="1" x14ac:dyDescent="0.25">
      <c r="A49" s="2473" t="s">
        <v>367</v>
      </c>
      <c r="B49" s="2473"/>
      <c r="C49" s="2473"/>
      <c r="D49" s="2473"/>
      <c r="E49" s="2473" t="str">
        <f>IF(Cabeçalho!G25=60,"Retificado em meia onda",IF(Cabeçalho!G25=120,"Retificado em onda completa",IF(Cabeçalho!G25="---","Retificado em alta frequência","Descarga capacitiva")))</f>
        <v>Descarga capacitiva</v>
      </c>
      <c r="F49" s="2473"/>
      <c r="G49" s="2473"/>
      <c r="H49" s="2473"/>
      <c r="I49" s="2473"/>
      <c r="J49" s="2473"/>
    </row>
    <row r="50" spans="1:10" ht="15" customHeight="1" x14ac:dyDescent="0.25">
      <c r="A50" s="2138"/>
      <c r="B50" s="2138"/>
      <c r="C50" s="2138"/>
      <c r="D50" s="2138"/>
      <c r="E50" s="2138"/>
      <c r="F50" s="2138"/>
      <c r="G50" s="2138"/>
      <c r="H50" s="2138"/>
      <c r="I50" s="2138"/>
      <c r="J50" s="2138"/>
    </row>
    <row r="51" spans="1:10" ht="15" customHeight="1" x14ac:dyDescent="0.25">
      <c r="A51" s="2138" t="s">
        <v>256</v>
      </c>
      <c r="B51" s="2138"/>
      <c r="C51" s="2138"/>
      <c r="D51" s="2138"/>
      <c r="E51" s="2266">
        <f>Cabeçalho!G24</f>
        <v>0</v>
      </c>
      <c r="F51" s="2138"/>
      <c r="G51" s="2138"/>
      <c r="H51" s="2138"/>
      <c r="I51" s="2138"/>
      <c r="J51" s="2138"/>
    </row>
    <row r="52" spans="1:10" ht="15" customHeight="1" x14ac:dyDescent="0.25">
      <c r="A52" s="2138" t="s">
        <v>1856</v>
      </c>
      <c r="B52" s="2138"/>
      <c r="C52" s="2138"/>
      <c r="D52" s="2138"/>
      <c r="E52" s="2266">
        <f>Cabeçalho!G20</f>
        <v>0</v>
      </c>
      <c r="F52" s="2138"/>
      <c r="G52" s="2138"/>
      <c r="H52" s="2138"/>
      <c r="I52" s="2138"/>
      <c r="J52" s="2138"/>
    </row>
    <row r="53" spans="1:10" ht="15" customHeight="1" x14ac:dyDescent="0.25">
      <c r="A53" s="2473" t="s">
        <v>2349</v>
      </c>
      <c r="B53" s="2473"/>
      <c r="C53" s="2473"/>
      <c r="D53" s="2473"/>
      <c r="E53" s="2266" t="str">
        <f>IF(Cabeçalho!E24&lt;&gt;"",Cabeçalho!E24,"NI")</f>
        <v>NI</v>
      </c>
      <c r="F53" s="2138"/>
      <c r="G53" s="2138"/>
      <c r="H53" s="2138"/>
      <c r="I53" s="2138"/>
      <c r="J53" s="2138"/>
    </row>
    <row r="54" spans="1:10" ht="15" customHeight="1" x14ac:dyDescent="0.25">
      <c r="A54" s="2473" t="s">
        <v>2350</v>
      </c>
      <c r="B54" s="2473"/>
      <c r="C54" s="2473"/>
      <c r="D54" s="2473"/>
      <c r="E54" s="2266" t="str">
        <f>IF(Cabeçalho!G22&lt;&gt;"",Cabeçalho!G22,"NI")</f>
        <v>NI</v>
      </c>
      <c r="F54" s="2138"/>
      <c r="G54" s="2138"/>
      <c r="H54" s="2138"/>
      <c r="I54" s="2138"/>
      <c r="J54" s="2138"/>
    </row>
    <row r="55" spans="1:10" ht="15" customHeight="1" x14ac:dyDescent="0.25">
      <c r="A55" s="2473" t="s">
        <v>2351</v>
      </c>
      <c r="B55" s="2473"/>
      <c r="C55" s="2473"/>
      <c r="D55" s="2473"/>
      <c r="E55" s="2266" t="str">
        <f>IF(Cabeçalho!G23&lt;&gt;"",Cabeçalho!G23,"NI")</f>
        <v>NI</v>
      </c>
      <c r="F55" s="2138"/>
      <c r="G55" s="2138"/>
      <c r="H55" s="2138"/>
      <c r="I55" s="2138"/>
      <c r="J55" s="2138"/>
    </row>
    <row r="56" spans="1:10" ht="15" customHeight="1" x14ac:dyDescent="0.25">
      <c r="A56" s="2137" t="s">
        <v>2352</v>
      </c>
      <c r="E56" s="2266" t="str">
        <f>IF(Cabeçalho!E25&lt;&gt;"",Cabeçalho!E25,"NI")</f>
        <v>NI</v>
      </c>
      <c r="F56" s="2138"/>
      <c r="G56" s="2138"/>
      <c r="H56" s="2138"/>
      <c r="I56" s="2138"/>
      <c r="J56" s="2138"/>
    </row>
    <row r="57" spans="1:10" ht="15" customHeight="1" x14ac:dyDescent="0.25">
      <c r="A57" s="2473" t="s">
        <v>2353</v>
      </c>
      <c r="B57" s="2473"/>
      <c r="C57" s="2473"/>
      <c r="D57" s="2473"/>
      <c r="E57" s="2474" t="str">
        <f>IF(Cabeçalho!E22&lt;&gt;"",Cabeçalho!E22,"NI")</f>
        <v>NI</v>
      </c>
      <c r="F57" s="2474"/>
      <c r="G57" s="2474"/>
      <c r="H57" s="2474"/>
      <c r="I57" s="2474"/>
      <c r="J57" s="2138"/>
    </row>
    <row r="58" spans="1:10" ht="15" customHeight="1" x14ac:dyDescent="0.25">
      <c r="A58" s="2473" t="s">
        <v>2354</v>
      </c>
      <c r="B58" s="2473"/>
      <c r="C58" s="2473"/>
      <c r="D58" s="2473"/>
      <c r="E58" s="2474" t="str">
        <f>IF(Cabeçalho!E23&lt;&gt;"",Cabeçalho!E23,"NI")</f>
        <v>NI</v>
      </c>
      <c r="F58" s="2474"/>
      <c r="G58" s="2474"/>
      <c r="H58" s="2474"/>
      <c r="I58" s="2474"/>
      <c r="J58" s="2138"/>
    </row>
    <row r="59" spans="1:10" ht="15" customHeight="1" x14ac:dyDescent="0.25">
      <c r="A59" s="2473" t="s">
        <v>2355</v>
      </c>
      <c r="B59" s="2473"/>
      <c r="C59" s="2473"/>
      <c r="D59" s="2473"/>
      <c r="E59" s="2266">
        <f>Cabeçalho!B15</f>
        <v>0</v>
      </c>
      <c r="F59" s="2138"/>
      <c r="G59" s="2138"/>
      <c r="H59" s="2138"/>
      <c r="I59" s="2138"/>
      <c r="J59" s="2138"/>
    </row>
    <row r="60" spans="1:10" s="2267" customFormat="1" ht="15" customHeight="1" x14ac:dyDescent="0.25">
      <c r="A60" s="2473" t="s">
        <v>2328</v>
      </c>
      <c r="B60" s="2473"/>
      <c r="C60" s="2473"/>
      <c r="D60" s="2473"/>
      <c r="E60" s="2474" t="str">
        <f>IF(Cabeçalho!E26&lt;&gt;"",Cabeçalho!E26,"NI")</f>
        <v>NI</v>
      </c>
      <c r="F60" s="2474"/>
      <c r="G60" s="2474"/>
      <c r="H60" s="2474"/>
      <c r="I60" s="2474"/>
      <c r="J60" s="2266"/>
    </row>
    <row r="61" spans="1:10" ht="15" customHeight="1" x14ac:dyDescent="0.25">
      <c r="A61" s="2162" t="s">
        <v>2678</v>
      </c>
      <c r="E61" s="2138"/>
      <c r="F61" s="2138"/>
      <c r="G61" s="2138"/>
      <c r="H61" s="2138"/>
      <c r="I61" s="2138"/>
      <c r="J61" s="2138"/>
    </row>
    <row r="62" spans="1:10" ht="15" customHeight="1" x14ac:dyDescent="0.25">
      <c r="A62" s="2138"/>
      <c r="B62" s="2138"/>
      <c r="C62" s="2138"/>
      <c r="D62" s="2138"/>
      <c r="E62" s="2138"/>
      <c r="F62" s="2138"/>
      <c r="G62" s="2138"/>
      <c r="H62" s="2138"/>
      <c r="I62" s="2138"/>
      <c r="J62" s="2138"/>
    </row>
    <row r="63" spans="1:10" ht="15" customHeight="1" x14ac:dyDescent="0.25">
      <c r="E63" s="2138"/>
      <c r="F63" s="2138"/>
      <c r="G63" s="2138"/>
      <c r="H63" s="2138"/>
      <c r="I63" s="2138"/>
    </row>
    <row r="64" spans="1:10" ht="15" customHeight="1" x14ac:dyDescent="0.25">
      <c r="A64" s="281" t="s">
        <v>125</v>
      </c>
    </row>
    <row r="65" spans="1:13" ht="15" customHeight="1" x14ac:dyDescent="0.25">
      <c r="A65" s="2465" t="s">
        <v>129</v>
      </c>
      <c r="B65" s="2465"/>
      <c r="C65" s="2465"/>
      <c r="D65" s="2465"/>
      <c r="E65" s="2465"/>
      <c r="F65" s="2465"/>
      <c r="G65" s="2139" t="s">
        <v>368</v>
      </c>
      <c r="H65" s="2597" t="s">
        <v>369</v>
      </c>
      <c r="I65" s="2598"/>
      <c r="J65" s="2599"/>
    </row>
    <row r="66" spans="1:13" ht="15" customHeight="1" x14ac:dyDescent="0.25">
      <c r="A66" s="2471" t="s">
        <v>127</v>
      </c>
      <c r="B66" s="2471"/>
      <c r="C66" s="2471"/>
      <c r="D66" s="2471"/>
      <c r="E66" s="2471"/>
      <c r="F66" s="2471"/>
      <c r="G66" s="1137" t="str">
        <f>convencional!B1</f>
        <v>IN 90</v>
      </c>
      <c r="H66" s="2600">
        <f>IF(Cabeçalho!B14="Fluoroscopia","NA",convencional!F5)</f>
        <v>0</v>
      </c>
      <c r="I66" s="2601"/>
      <c r="J66" s="2602"/>
      <c r="K66" s="2137" t="str">
        <f>IF(H66=0,"x",IF($E$47="Raios X para Fluoroscopia","x",""))</f>
        <v>x</v>
      </c>
    </row>
    <row r="67" spans="1:13" ht="15" customHeight="1" x14ac:dyDescent="0.25">
      <c r="A67" s="2471" t="s">
        <v>128</v>
      </c>
      <c r="B67" s="2471"/>
      <c r="C67" s="2471"/>
      <c r="D67" s="2471"/>
      <c r="E67" s="2471"/>
      <c r="F67" s="2471"/>
      <c r="G67" s="1137" t="str">
        <f>convencional!B1&amp;" / "&amp;fluor!B1</f>
        <v>IN 90 / IN 91</v>
      </c>
      <c r="H67" s="2582">
        <f>IF(AND(convencional!F5=0,fluor!F23=0),0,IF(OR(convencional!F5="Sim",fluor!F23="Sim"),"Sim","Não"))</f>
        <v>0</v>
      </c>
      <c r="I67" s="2583"/>
      <c r="J67" s="2584"/>
      <c r="K67" s="2137" t="str">
        <f>IF(H67=0,"x","")</f>
        <v>x</v>
      </c>
    </row>
    <row r="68" spans="1:13" ht="15" customHeight="1" x14ac:dyDescent="0.25">
      <c r="A68" s="2575" t="s">
        <v>412</v>
      </c>
      <c r="B68" s="2576"/>
      <c r="C68" s="2576"/>
      <c r="D68" s="2576"/>
      <c r="E68" s="2576"/>
      <c r="F68" s="2577"/>
      <c r="G68" s="1137" t="str">
        <f>fluor!$B$1</f>
        <v>IN 91</v>
      </c>
      <c r="H68" s="2582">
        <f>fluor!F26</f>
        <v>0</v>
      </c>
      <c r="I68" s="2583"/>
      <c r="J68" s="2584"/>
      <c r="K68" s="2137" t="str">
        <f>IF(H68=0,"x","")</f>
        <v>x</v>
      </c>
    </row>
    <row r="69" spans="1:13" ht="15" customHeight="1" x14ac:dyDescent="0.25">
      <c r="A69" s="2575" t="s">
        <v>413</v>
      </c>
      <c r="B69" s="2576"/>
      <c r="C69" s="2576"/>
      <c r="D69" s="2576"/>
      <c r="E69" s="2576"/>
      <c r="F69" s="2577"/>
      <c r="G69" s="1137" t="str">
        <f>fluor!$B$1</f>
        <v>IN 91</v>
      </c>
      <c r="H69" s="2582">
        <f>fluor!F27</f>
        <v>0</v>
      </c>
      <c r="I69" s="2583"/>
      <c r="J69" s="2584"/>
      <c r="K69" s="2137" t="str">
        <f>IF(H69=0,"x","")</f>
        <v>x</v>
      </c>
    </row>
    <row r="70" spans="1:13" ht="15" customHeight="1" x14ac:dyDescent="0.25">
      <c r="A70" s="2575" t="s">
        <v>414</v>
      </c>
      <c r="B70" s="2576"/>
      <c r="C70" s="2576"/>
      <c r="D70" s="2576"/>
      <c r="E70" s="2576"/>
      <c r="F70" s="2577"/>
      <c r="G70" s="1137" t="str">
        <f>fluor!$B$1</f>
        <v>IN 91</v>
      </c>
      <c r="H70" s="2591" t="str">
        <f>IF(fluor!F30=0,0,IF(fluor!C36="","Não acionado após 5 minutos",CONCATENATE("Acionado após ",fluor!C36," minutos")))</f>
        <v>Não acionado após 5 minutos</v>
      </c>
      <c r="I70" s="2592"/>
      <c r="J70" s="2593"/>
      <c r="K70" s="2137" t="str">
        <f>IF(H70=0,"x","")</f>
        <v/>
      </c>
    </row>
    <row r="71" spans="1:13" ht="15" customHeight="1" x14ac:dyDescent="0.25">
      <c r="A71" s="2471" t="s">
        <v>239</v>
      </c>
      <c r="B71" s="2471"/>
      <c r="C71" s="2471"/>
      <c r="D71" s="2471"/>
      <c r="E71" s="2471"/>
      <c r="F71" s="2471"/>
      <c r="G71" s="1137" t="str">
        <f>fluor!$B$1</f>
        <v>IN 91</v>
      </c>
      <c r="H71" s="2594" t="str">
        <f>IF(IF(Cabeçalho!B14="Fluoroscopia",fluor!B127,convencional!B116)=0,fluor!B127,IF(Cabeçalho!B14="Fluoroscopia",fluor!B127,convencional!B116))</f>
        <v>Em condições de funcionamento</v>
      </c>
      <c r="I71" s="2595"/>
      <c r="J71" s="2596"/>
      <c r="K71" s="2137" t="str">
        <f>IF(H71=0,"x","")</f>
        <v/>
      </c>
    </row>
    <row r="72" spans="1:13" ht="15" customHeight="1" x14ac:dyDescent="0.25">
      <c r="A72" s="2575" t="s">
        <v>417</v>
      </c>
      <c r="B72" s="2576"/>
      <c r="C72" s="2576"/>
      <c r="D72" s="2576"/>
      <c r="E72" s="2576"/>
      <c r="F72" s="2577"/>
      <c r="G72" s="1137" t="str">
        <f>fluor!B1&amp;" / NR-32"</f>
        <v>IN 91 / NR-32</v>
      </c>
      <c r="H72" s="2582" t="str">
        <f>fluor!I133</f>
        <v>Sim</v>
      </c>
      <c r="I72" s="2583"/>
      <c r="J72" s="2584"/>
      <c r="K72" s="2137" t="str">
        <f>IF(L72&lt;&gt;"x","",L72)</f>
        <v/>
      </c>
      <c r="L72" s="2137" t="str">
        <f>IF(H72=0,"x",H72)</f>
        <v>Sim</v>
      </c>
    </row>
    <row r="73" spans="1:13" ht="15" customHeight="1" x14ac:dyDescent="0.25">
      <c r="A73" s="2575" t="s">
        <v>415</v>
      </c>
      <c r="B73" s="2576"/>
      <c r="C73" s="2576"/>
      <c r="D73" s="2576"/>
      <c r="E73" s="2576"/>
      <c r="F73" s="2577"/>
      <c r="G73" s="1137" t="str">
        <f>fluor!B1&amp;" / NR-32"</f>
        <v>IN 91 / NR-32</v>
      </c>
      <c r="H73" s="2582" t="str">
        <f>IF(Cabeçalho!G24="Fixo",fluor!F18,"NA")</f>
        <v>NA</v>
      </c>
      <c r="I73" s="2583"/>
      <c r="J73" s="2584"/>
      <c r="K73" s="2137" t="str">
        <f>IF(L73&lt;&gt;"x","",L73)</f>
        <v/>
      </c>
      <c r="L73" s="2137" t="str">
        <f>IF(H73=0,"x",H73)</f>
        <v>NA</v>
      </c>
    </row>
    <row r="74" spans="1:13" ht="15" customHeight="1" x14ac:dyDescent="0.25">
      <c r="A74" s="2575" t="s">
        <v>1787</v>
      </c>
      <c r="B74" s="2576"/>
      <c r="C74" s="2576"/>
      <c r="D74" s="2576"/>
      <c r="E74" s="2576"/>
      <c r="F74" s="2577"/>
      <c r="G74" s="1137" t="str">
        <f>fluor!$B$1</f>
        <v>IN 91</v>
      </c>
      <c r="H74" s="2582" t="str">
        <f>IF(fluor!F19=0,"Sim",fluor!F19)</f>
        <v>NA</v>
      </c>
      <c r="I74" s="2583"/>
      <c r="J74" s="2584"/>
    </row>
    <row r="75" spans="1:13" ht="15" customHeight="1" x14ac:dyDescent="0.25">
      <c r="A75" s="2471" t="s">
        <v>411</v>
      </c>
      <c r="B75" s="2471"/>
      <c r="C75" s="2471"/>
      <c r="D75" s="2471"/>
      <c r="E75" s="2471"/>
      <c r="F75" s="2471"/>
      <c r="G75" s="1137" t="s">
        <v>416</v>
      </c>
      <c r="H75" s="2600" t="str">
        <f>IF(Cabeçalho!$G$24="fixo","NA",IF(fluor!F17="sim","≥ 2 m","&lt; 2 m"))</f>
        <v>&lt; 2 m</v>
      </c>
      <c r="I75" s="2601"/>
      <c r="J75" s="2602"/>
      <c r="L75" s="2137" t="str">
        <f>H75</f>
        <v>&lt; 2 m</v>
      </c>
    </row>
    <row r="76" spans="1:13" ht="15" customHeight="1" x14ac:dyDescent="0.25">
      <c r="A76" s="2481" t="s">
        <v>2247</v>
      </c>
      <c r="B76" s="2481"/>
      <c r="C76" s="2481"/>
      <c r="D76" s="2481"/>
      <c r="E76" s="2481"/>
      <c r="F76" s="2481"/>
      <c r="G76" s="2481"/>
      <c r="H76" s="2481"/>
      <c r="I76" s="2481"/>
    </row>
    <row r="78" spans="1:13" ht="15" customHeight="1" x14ac:dyDescent="0.25">
      <c r="A78" s="281" t="s">
        <v>138</v>
      </c>
    </row>
    <row r="79" spans="1:13" ht="15" customHeight="1" x14ac:dyDescent="0.25">
      <c r="A79" s="281" t="s">
        <v>2747</v>
      </c>
      <c r="K79" s="2267" t="str">
        <f>IF($E$47="Raios X para Fluoroscopia","x",'LAUDO convencional'!K72)</f>
        <v/>
      </c>
      <c r="L79" s="2147"/>
    </row>
    <row r="80" spans="1:13" ht="15" customHeight="1" x14ac:dyDescent="0.25">
      <c r="A80" s="281" t="s">
        <v>164</v>
      </c>
      <c r="K80" s="2267">
        <f>IF($E$47="Raios X para Fluoroscopia","x",'LAUDO convencional'!K73)</f>
        <v>0</v>
      </c>
      <c r="L80" s="2016">
        <f ca="1">IF($E$47="Raios X para Fluoroscopia","x",COUNTIF(B87:I87,"=não")+COUNTIF(B87:I87,"=restrição")+COUNTIF(B93:I93,"=não")+COUNTIF(B93:I93,"=restrição")+COUNTIF(B99:I99,"=não")+COUNTIF(B99:I99,"=restrição")+COUNTIF(B105:I105,"=não")+COUNTIF(B105:I105,"=restrição")+COUNTIF(B111:I111,"=não")+COUNTIF(B111:I111,"=restrição")+COUNTIF(B117:I117,"=não")+COUNTIF(B117:I117,"=restrição"))</f>
        <v>0</v>
      </c>
      <c r="M80" s="2016">
        <f ca="1">COUNTIF(B87:I87,"=restrição")+COUNTIF(B93:I93,"=restrição")+COUNTIF(B99:I99,"=restrição")+COUNTIF(B105:I105,"=restrição")+COUNTIF(B111:I111,"=restrição")+COUNTIF(B117:I117,"=restrição")</f>
        <v>0</v>
      </c>
    </row>
    <row r="81" spans="1:15" ht="15" customHeight="1" x14ac:dyDescent="0.25">
      <c r="A81" s="2137" t="s">
        <v>2356</v>
      </c>
      <c r="C81" s="2130" t="s">
        <v>2548</v>
      </c>
      <c r="K81" s="2267">
        <f>IF($E$47="Raios X para Fluoroscopia","x",'LAUDO convencional'!K74)</f>
        <v>0</v>
      </c>
      <c r="L81" s="2016"/>
      <c r="M81" s="2016"/>
    </row>
    <row r="82" spans="1:15" ht="15" customHeight="1" x14ac:dyDescent="0.25">
      <c r="A82" s="2137" t="s">
        <v>2358</v>
      </c>
      <c r="C82" s="2130" t="s">
        <v>2359</v>
      </c>
      <c r="K82" s="2267">
        <f>IF($E$47="Raios X para Fluoroscopia","x",'LAUDO convencional'!K75)</f>
        <v>0</v>
      </c>
      <c r="L82" s="2016"/>
      <c r="M82" s="2016"/>
    </row>
    <row r="83" spans="1:15" ht="15" customHeight="1" x14ac:dyDescent="0.25">
      <c r="A83" s="2076" t="str">
        <f>'LAUDO convencional'!A76:C76</f>
        <v xml:space="preserve">Foco </v>
      </c>
      <c r="B83" s="2076"/>
      <c r="C83" s="2076"/>
      <c r="K83" s="2137" t="str">
        <f>IF($E$47="Raios X para Fluoroscopia","x",'LAUDO convencional'!K76)</f>
        <v>x</v>
      </c>
    </row>
    <row r="84" spans="1:15" ht="15" customHeight="1" x14ac:dyDescent="0.25">
      <c r="A84" s="2077" t="s">
        <v>201</v>
      </c>
      <c r="B84" s="2078" t="str">
        <f>'LAUDO convencional'!B77</f>
        <v/>
      </c>
      <c r="C84" s="2078" t="str">
        <f>'LAUDO convencional'!C77</f>
        <v/>
      </c>
      <c r="D84" s="2078" t="str">
        <f>'LAUDO convencional'!D77</f>
        <v/>
      </c>
      <c r="E84" s="2078" t="str">
        <f>'LAUDO convencional'!E77</f>
        <v/>
      </c>
      <c r="F84" s="2078" t="str">
        <f>'LAUDO convencional'!F77</f>
        <v/>
      </c>
      <c r="G84" s="2078" t="str">
        <f>'LAUDO convencional'!G77</f>
        <v/>
      </c>
      <c r="H84" s="2078" t="str">
        <f>'LAUDO convencional'!H77</f>
        <v/>
      </c>
      <c r="I84" s="2078" t="str">
        <f>'LAUDO convencional'!I77</f>
        <v/>
      </c>
      <c r="K84" s="2137" t="str">
        <f>IF($E$47="Raios X para Fluoroscopia","x",'LAUDO convencional'!K77)</f>
        <v>x</v>
      </c>
    </row>
    <row r="85" spans="1:15" ht="15" customHeight="1" x14ac:dyDescent="0.25">
      <c r="A85" s="2077" t="s">
        <v>202</v>
      </c>
      <c r="B85" s="1133" t="str">
        <f ca="1">'LAUDO convencional'!B78</f>
        <v/>
      </c>
      <c r="C85" s="1133" t="str">
        <f ca="1">'LAUDO convencional'!C78</f>
        <v/>
      </c>
      <c r="D85" s="1133" t="str">
        <f ca="1">'LAUDO convencional'!D78</f>
        <v/>
      </c>
      <c r="E85" s="1133" t="str">
        <f ca="1">'LAUDO convencional'!E78</f>
        <v/>
      </c>
      <c r="F85" s="1133" t="str">
        <f ca="1">'LAUDO convencional'!F78</f>
        <v/>
      </c>
      <c r="G85" s="1133" t="str">
        <f ca="1">'LAUDO convencional'!G78</f>
        <v/>
      </c>
      <c r="H85" s="1133" t="str">
        <f ca="1">'LAUDO convencional'!H78</f>
        <v/>
      </c>
      <c r="I85" s="1133" t="str">
        <f ca="1">'LAUDO convencional'!I78</f>
        <v/>
      </c>
      <c r="K85" s="2137" t="str">
        <f>IF($E$47="Raios X para Fluoroscopia","x",'LAUDO convencional'!K78)</f>
        <v>x</v>
      </c>
    </row>
    <row r="86" spans="1:15" s="2228" customFormat="1" ht="15" customHeight="1" x14ac:dyDescent="0.25">
      <c r="A86" s="2077" t="s">
        <v>2777</v>
      </c>
      <c r="B86" s="1133" t="str">
        <f ca="1">convencional!$E$14</f>
        <v/>
      </c>
      <c r="C86" s="1133" t="str">
        <f ca="1">convencional!$E$15</f>
        <v/>
      </c>
      <c r="D86" s="1133" t="str">
        <f ca="1">convencional!$E$16</f>
        <v/>
      </c>
      <c r="E86" s="1133" t="str">
        <f ca="1">convencional!$E$17</f>
        <v/>
      </c>
      <c r="F86" s="1133" t="str">
        <f ca="1">convencional!$E$18</f>
        <v/>
      </c>
      <c r="G86" s="1133" t="str">
        <f ca="1">convencional!$E$19</f>
        <v/>
      </c>
      <c r="H86" s="1133" t="str">
        <f ca="1">convencional!$E$20</f>
        <v/>
      </c>
      <c r="I86" s="1133" t="str">
        <f ca="1">convencional!E$21</f>
        <v/>
      </c>
    </row>
    <row r="87" spans="1:15" ht="15" customHeight="1" x14ac:dyDescent="0.25">
      <c r="A87" s="2077" t="str">
        <f>G66</f>
        <v>IN 90</v>
      </c>
      <c r="B87" s="1136" t="str">
        <f ca="1">'LAUDO convencional'!B80</f>
        <v/>
      </c>
      <c r="C87" s="1136" t="str">
        <f ca="1">'LAUDO convencional'!C80</f>
        <v/>
      </c>
      <c r="D87" s="1136" t="str">
        <f ca="1">'LAUDO convencional'!D80</f>
        <v/>
      </c>
      <c r="E87" s="1136" t="str">
        <f ca="1">'LAUDO convencional'!E80</f>
        <v/>
      </c>
      <c r="F87" s="1136" t="str">
        <f ca="1">'LAUDO convencional'!F80</f>
        <v/>
      </c>
      <c r="G87" s="1136" t="str">
        <f ca="1">'LAUDO convencional'!G80</f>
        <v/>
      </c>
      <c r="H87" s="1136" t="str">
        <f ca="1">'LAUDO convencional'!H80</f>
        <v/>
      </c>
      <c r="I87" s="1136" t="str">
        <f ca="1">'LAUDO convencional'!I80</f>
        <v/>
      </c>
      <c r="K87" s="2137" t="str">
        <f>IF($E$47="Raios X para Fluoroscopia","x",'LAUDO convencional'!K80)</f>
        <v>x</v>
      </c>
      <c r="O87" s="2137" t="str">
        <f ca="1">IF(COUNTIF(B87:I87,"Não")&lt;&gt;0,"Não conforme",IF(COUNTIF(B87:I87,"Restrição")&lt;&gt;0,"Não conforme",IF(COUNTIF(B87:I87,"Sim")&lt;&gt;0,"Conforme",IF(COUNTIF(B87:I87,"NPA")&lt;&gt;0,"NPA","NA"))))</f>
        <v>NA</v>
      </c>
    </row>
    <row r="88" spans="1:15" ht="15" customHeight="1" x14ac:dyDescent="0.25">
      <c r="A88" s="281"/>
      <c r="C88" s="2147"/>
      <c r="I88" s="2018"/>
      <c r="K88" s="2137" t="str">
        <f>IF($E$47="Raios X para Fluoroscopia","x",'LAUDO convencional'!K81)</f>
        <v>x</v>
      </c>
    </row>
    <row r="89" spans="1:15" ht="15" customHeight="1" x14ac:dyDescent="0.25">
      <c r="A89" s="2076" t="str">
        <f>'LAUDO convencional'!A82:C82</f>
        <v xml:space="preserve">Foco </v>
      </c>
      <c r="B89" s="2076"/>
      <c r="C89" s="2076"/>
      <c r="K89" s="2137" t="str">
        <f>IF($E$47="Raios X para Fluoroscopia","x",'LAUDO convencional'!K82)</f>
        <v>x</v>
      </c>
    </row>
    <row r="90" spans="1:15" ht="15" customHeight="1" x14ac:dyDescent="0.25">
      <c r="A90" s="2077" t="s">
        <v>201</v>
      </c>
      <c r="B90" s="2078" t="str">
        <f>'LAUDO convencional'!B83</f>
        <v/>
      </c>
      <c r="C90" s="2078" t="str">
        <f>'LAUDO convencional'!C83</f>
        <v/>
      </c>
      <c r="D90" s="2078" t="str">
        <f>'LAUDO convencional'!D83</f>
        <v/>
      </c>
      <c r="E90" s="2078" t="str">
        <f>'LAUDO convencional'!E83</f>
        <v/>
      </c>
      <c r="F90" s="2078" t="str">
        <f>'LAUDO convencional'!F83</f>
        <v/>
      </c>
      <c r="G90" s="2078" t="str">
        <f>'LAUDO convencional'!G83</f>
        <v/>
      </c>
      <c r="H90" s="2078" t="str">
        <f>'LAUDO convencional'!H83</f>
        <v/>
      </c>
      <c r="I90" s="2078" t="str">
        <f>'LAUDO convencional'!I83</f>
        <v/>
      </c>
      <c r="K90" s="2137" t="str">
        <f>IF($E$47="Raios X para Fluoroscopia","x",'LAUDO convencional'!K83)</f>
        <v>x</v>
      </c>
    </row>
    <row r="91" spans="1:15" ht="15" customHeight="1" x14ac:dyDescent="0.25">
      <c r="A91" s="2077" t="s">
        <v>202</v>
      </c>
      <c r="B91" s="1133" t="str">
        <f ca="1">'LAUDO convencional'!B84</f>
        <v/>
      </c>
      <c r="C91" s="1133" t="str">
        <f ca="1">'LAUDO convencional'!C84</f>
        <v/>
      </c>
      <c r="D91" s="1133" t="str">
        <f ca="1">'LAUDO convencional'!D84</f>
        <v/>
      </c>
      <c r="E91" s="1133" t="str">
        <f ca="1">'LAUDO convencional'!E84</f>
        <v/>
      </c>
      <c r="F91" s="1133" t="str">
        <f ca="1">'LAUDO convencional'!F84</f>
        <v/>
      </c>
      <c r="G91" s="1133" t="str">
        <f ca="1">'LAUDO convencional'!G84</f>
        <v/>
      </c>
      <c r="H91" s="1133" t="str">
        <f ca="1">'LAUDO convencional'!H84</f>
        <v/>
      </c>
      <c r="I91" s="1133" t="str">
        <f ca="1">'LAUDO convencional'!I84</f>
        <v/>
      </c>
      <c r="K91" s="2137" t="str">
        <f>IF($E$47="Raios X para Fluoroscopia","x",'LAUDO convencional'!K84)</f>
        <v>x</v>
      </c>
    </row>
    <row r="92" spans="1:15" s="2228" customFormat="1" ht="15" customHeight="1" x14ac:dyDescent="0.25">
      <c r="A92" s="2077" t="s">
        <v>2777</v>
      </c>
      <c r="B92" s="1133" t="str">
        <f ca="1">convencional!$K$14</f>
        <v/>
      </c>
      <c r="C92" s="1133" t="str">
        <f ca="1">convencional!$K$15</f>
        <v/>
      </c>
      <c r="D92" s="1133" t="str">
        <f ca="1">convencional!$K$16</f>
        <v/>
      </c>
      <c r="E92" s="1133" t="str">
        <f ca="1">convencional!$K$17</f>
        <v/>
      </c>
      <c r="F92" s="1133" t="str">
        <f ca="1">convencional!$K$18</f>
        <v/>
      </c>
      <c r="G92" s="1133" t="str">
        <f ca="1">convencional!$K$19</f>
        <v/>
      </c>
      <c r="H92" s="1133" t="str">
        <f ca="1">convencional!$K$20</f>
        <v/>
      </c>
      <c r="I92" s="1133" t="str">
        <f ca="1">convencional!$K$21</f>
        <v/>
      </c>
    </row>
    <row r="93" spans="1:15" ht="15" customHeight="1" x14ac:dyDescent="0.25">
      <c r="A93" s="2077" t="str">
        <f>A87</f>
        <v>IN 90</v>
      </c>
      <c r="B93" s="1136" t="str">
        <f ca="1">'LAUDO convencional'!B86</f>
        <v/>
      </c>
      <c r="C93" s="1136" t="str">
        <f ca="1">'LAUDO convencional'!C86</f>
        <v/>
      </c>
      <c r="D93" s="1136" t="str">
        <f ca="1">'LAUDO convencional'!D86</f>
        <v/>
      </c>
      <c r="E93" s="1136" t="str">
        <f ca="1">'LAUDO convencional'!E86</f>
        <v/>
      </c>
      <c r="F93" s="1136" t="str">
        <f ca="1">'LAUDO convencional'!F86</f>
        <v/>
      </c>
      <c r="G93" s="1136" t="str">
        <f ca="1">'LAUDO convencional'!G86</f>
        <v/>
      </c>
      <c r="H93" s="1136" t="str">
        <f ca="1">'LAUDO convencional'!H86</f>
        <v/>
      </c>
      <c r="I93" s="1136" t="str">
        <f ca="1">'LAUDO convencional'!I86</f>
        <v/>
      </c>
      <c r="K93" s="2137" t="str">
        <f>IF($E$47="Raios X para Fluoroscopia","x",'LAUDO convencional'!K86)</f>
        <v>x</v>
      </c>
      <c r="O93" s="2228" t="str">
        <f ca="1">IF(COUNTIF(B93:I93,"Não")&lt;&gt;0,"Não conforme",IF(COUNTIF(B93:I93,"Restrição")&lt;&gt;0,"Não conforme",IF(COUNTIF(B93:I93,"Sim")&lt;&gt;0,"Conforme",IF(COUNTIF(B93:I93,"NPA")&lt;&gt;0,"NPA","NA"))))</f>
        <v>NA</v>
      </c>
    </row>
    <row r="94" spans="1:15" ht="15" customHeight="1" x14ac:dyDescent="0.25">
      <c r="A94" s="281"/>
      <c r="C94" s="2147"/>
      <c r="I94" s="2018"/>
      <c r="K94" s="2137" t="str">
        <f>IF($E$47="Raios X para Fluoroscopia","x",'LAUDO convencional'!K87)</f>
        <v>x</v>
      </c>
    </row>
    <row r="95" spans="1:15" ht="15" customHeight="1" x14ac:dyDescent="0.25">
      <c r="A95" s="2076" t="str">
        <f>'LAUDO convencional'!A88:C88</f>
        <v xml:space="preserve">Foco </v>
      </c>
      <c r="B95" s="2076"/>
      <c r="C95" s="2076"/>
      <c r="K95" s="2137" t="str">
        <f>IF($E$47="Raios X para Fluoroscopia","x",'LAUDO convencional'!K88)</f>
        <v>x</v>
      </c>
    </row>
    <row r="96" spans="1:15" ht="15" customHeight="1" x14ac:dyDescent="0.25">
      <c r="A96" s="2077" t="s">
        <v>201</v>
      </c>
      <c r="B96" s="2078" t="str">
        <f>'LAUDO convencional'!B89</f>
        <v/>
      </c>
      <c r="C96" s="2078" t="str">
        <f>'LAUDO convencional'!C89</f>
        <v/>
      </c>
      <c r="D96" s="2078" t="str">
        <f>'LAUDO convencional'!D89</f>
        <v/>
      </c>
      <c r="E96" s="2078" t="str">
        <f>'LAUDO convencional'!E89</f>
        <v/>
      </c>
      <c r="F96" s="2078" t="str">
        <f>'LAUDO convencional'!F89</f>
        <v/>
      </c>
      <c r="G96" s="2078" t="str">
        <f>'LAUDO convencional'!G89</f>
        <v/>
      </c>
      <c r="H96" s="2078" t="str">
        <f>'LAUDO convencional'!H89</f>
        <v/>
      </c>
      <c r="I96" s="2078" t="str">
        <f>'LAUDO convencional'!I89</f>
        <v/>
      </c>
      <c r="K96" s="2137" t="str">
        <f>IF($E$47="Raios X para Fluoroscopia","x",'LAUDO convencional'!K89)</f>
        <v>x</v>
      </c>
    </row>
    <row r="97" spans="1:15" ht="15" customHeight="1" x14ac:dyDescent="0.25">
      <c r="A97" s="2077" t="s">
        <v>202</v>
      </c>
      <c r="B97" s="1133" t="str">
        <f ca="1">'LAUDO convencional'!B90</f>
        <v/>
      </c>
      <c r="C97" s="1133" t="str">
        <f ca="1">'LAUDO convencional'!C90</f>
        <v/>
      </c>
      <c r="D97" s="1133" t="str">
        <f ca="1">'LAUDO convencional'!D90</f>
        <v/>
      </c>
      <c r="E97" s="1133" t="str">
        <f ca="1">'LAUDO convencional'!E90</f>
        <v/>
      </c>
      <c r="F97" s="1133" t="str">
        <f ca="1">'LAUDO convencional'!F90</f>
        <v/>
      </c>
      <c r="G97" s="1133" t="str">
        <f ca="1">'LAUDO convencional'!G90</f>
        <v/>
      </c>
      <c r="H97" s="1133" t="str">
        <f ca="1">'LAUDO convencional'!H90</f>
        <v/>
      </c>
      <c r="I97" s="1133" t="str">
        <f ca="1">'LAUDO convencional'!I90</f>
        <v/>
      </c>
      <c r="K97" s="2137" t="str">
        <f>IF($E$47="Raios X para Fluoroscopia","x",'LAUDO convencional'!K90)</f>
        <v>x</v>
      </c>
    </row>
    <row r="98" spans="1:15" s="2228" customFormat="1" ht="15" customHeight="1" x14ac:dyDescent="0.25">
      <c r="A98" s="2077" t="s">
        <v>2777</v>
      </c>
      <c r="B98" s="1133" t="str">
        <f ca="1">convencional!$Q$14</f>
        <v/>
      </c>
      <c r="C98" s="1133" t="str">
        <f ca="1">convencional!$Q$15</f>
        <v/>
      </c>
      <c r="D98" s="1133" t="str">
        <f ca="1">convencional!$Q$16</f>
        <v/>
      </c>
      <c r="E98" s="1133" t="str">
        <f ca="1">convencional!$Q$17</f>
        <v/>
      </c>
      <c r="F98" s="1133" t="str">
        <f ca="1">convencional!$Q$18</f>
        <v/>
      </c>
      <c r="G98" s="1133" t="str">
        <f ca="1">convencional!$Q$19</f>
        <v/>
      </c>
      <c r="H98" s="1133" t="str">
        <f ca="1">convencional!$Q$20</f>
        <v/>
      </c>
      <c r="I98" s="1133" t="str">
        <f ca="1">convencional!$Q$21</f>
        <v/>
      </c>
    </row>
    <row r="99" spans="1:15" ht="15" customHeight="1" x14ac:dyDescent="0.25">
      <c r="A99" s="2077" t="str">
        <f>A93</f>
        <v>IN 90</v>
      </c>
      <c r="B99" s="1136" t="str">
        <f ca="1">'LAUDO convencional'!B92</f>
        <v/>
      </c>
      <c r="C99" s="1136" t="str">
        <f ca="1">'LAUDO convencional'!C92</f>
        <v/>
      </c>
      <c r="D99" s="1136" t="str">
        <f ca="1">'LAUDO convencional'!D92</f>
        <v/>
      </c>
      <c r="E99" s="1136" t="str">
        <f ca="1">'LAUDO convencional'!E92</f>
        <v/>
      </c>
      <c r="F99" s="1136" t="str">
        <f ca="1">'LAUDO convencional'!F92</f>
        <v/>
      </c>
      <c r="G99" s="1136" t="str">
        <f ca="1">'LAUDO convencional'!G92</f>
        <v/>
      </c>
      <c r="H99" s="1136" t="str">
        <f ca="1">'LAUDO convencional'!H92</f>
        <v/>
      </c>
      <c r="I99" s="1136" t="str">
        <f ca="1">'LAUDO convencional'!I92</f>
        <v/>
      </c>
      <c r="K99" s="2137" t="str">
        <f>IF($E$47="Raios X para Fluoroscopia","x",'LAUDO convencional'!K92)</f>
        <v>x</v>
      </c>
      <c r="O99" s="2228" t="str">
        <f ca="1">IF(COUNTIF(B99:I99,"Não")&lt;&gt;0,"Não conforme",IF(COUNTIF(B99:I99,"Restrição")&lt;&gt;0,"Não conforme",IF(COUNTIF(B99:I99,"Sim")&lt;&gt;0,"Conforme",IF(COUNTIF(B99:I99,"NPA")&lt;&gt;0,"NPA","NA"))))</f>
        <v>NA</v>
      </c>
    </row>
    <row r="100" spans="1:15" ht="15" customHeight="1" x14ac:dyDescent="0.25">
      <c r="A100" s="281"/>
      <c r="C100" s="2147"/>
      <c r="I100" s="2018"/>
      <c r="K100" s="2137" t="str">
        <f>IF($E$47="Raios X para Fluoroscopia","x",'LAUDO convencional'!K93)</f>
        <v>x</v>
      </c>
    </row>
    <row r="101" spans="1:15" ht="15" customHeight="1" x14ac:dyDescent="0.25">
      <c r="A101" s="2076" t="str">
        <f>'LAUDO convencional'!A94:C94</f>
        <v xml:space="preserve">Foco </v>
      </c>
      <c r="B101" s="2076"/>
      <c r="C101" s="2076"/>
      <c r="K101" s="2137" t="str">
        <f>IF($E$47="Raios X para Fluoroscopia","x",'LAUDO convencional'!K94)</f>
        <v>x</v>
      </c>
    </row>
    <row r="102" spans="1:15" ht="15" customHeight="1" x14ac:dyDescent="0.25">
      <c r="A102" s="2077" t="s">
        <v>201</v>
      </c>
      <c r="B102" s="2078" t="str">
        <f>'LAUDO convencional'!B95</f>
        <v/>
      </c>
      <c r="C102" s="2078" t="str">
        <f>'LAUDO convencional'!C95</f>
        <v/>
      </c>
      <c r="D102" s="2078" t="str">
        <f>'LAUDO convencional'!D95</f>
        <v/>
      </c>
      <c r="E102" s="2078" t="str">
        <f>'LAUDO convencional'!E95</f>
        <v/>
      </c>
      <c r="F102" s="2078" t="str">
        <f>'LAUDO convencional'!F95</f>
        <v/>
      </c>
      <c r="G102" s="2078" t="str">
        <f>'LAUDO convencional'!G95</f>
        <v/>
      </c>
      <c r="H102" s="2078" t="str">
        <f>'LAUDO convencional'!H95</f>
        <v/>
      </c>
      <c r="I102" s="2078" t="str">
        <f>'LAUDO convencional'!I95</f>
        <v/>
      </c>
      <c r="K102" s="2137" t="str">
        <f>IF($E$47="Raios X para Fluoroscopia","x",'LAUDO convencional'!K95)</f>
        <v>x</v>
      </c>
    </row>
    <row r="103" spans="1:15" ht="15" customHeight="1" x14ac:dyDescent="0.25">
      <c r="A103" s="2077" t="s">
        <v>202</v>
      </c>
      <c r="B103" s="1133" t="str">
        <f ca="1">'LAUDO convencional'!B96</f>
        <v/>
      </c>
      <c r="C103" s="1133" t="str">
        <f ca="1">'LAUDO convencional'!C96</f>
        <v/>
      </c>
      <c r="D103" s="1133" t="str">
        <f ca="1">'LAUDO convencional'!D96</f>
        <v/>
      </c>
      <c r="E103" s="1133" t="str">
        <f ca="1">'LAUDO convencional'!E96</f>
        <v/>
      </c>
      <c r="F103" s="1133" t="str">
        <f ca="1">'LAUDO convencional'!F96</f>
        <v/>
      </c>
      <c r="G103" s="1133" t="str">
        <f ca="1">'LAUDO convencional'!G96</f>
        <v/>
      </c>
      <c r="H103" s="1133" t="str">
        <f ca="1">'LAUDO convencional'!H96</f>
        <v/>
      </c>
      <c r="I103" s="1133" t="str">
        <f ca="1">'LAUDO convencional'!I96</f>
        <v/>
      </c>
      <c r="K103" s="2137" t="str">
        <f>IF($E$47="Raios X para Fluoroscopia","x",'LAUDO convencional'!K96)</f>
        <v>x</v>
      </c>
    </row>
    <row r="104" spans="1:15" s="2228" customFormat="1" ht="15" customHeight="1" x14ac:dyDescent="0.25">
      <c r="A104" s="2077" t="s">
        <v>2777</v>
      </c>
      <c r="B104" s="1133" t="str">
        <f ca="1">convencional!$W$14</f>
        <v/>
      </c>
      <c r="C104" s="1133" t="str">
        <f ca="1">convencional!$W$15</f>
        <v/>
      </c>
      <c r="D104" s="1133" t="str">
        <f ca="1">convencional!$W$16</f>
        <v/>
      </c>
      <c r="E104" s="1133" t="str">
        <f ca="1">convencional!$W$17</f>
        <v/>
      </c>
      <c r="F104" s="1133" t="str">
        <f ca="1">convencional!$W$18</f>
        <v/>
      </c>
      <c r="G104" s="1133" t="str">
        <f ca="1">convencional!$W$19</f>
        <v/>
      </c>
      <c r="H104" s="1133" t="str">
        <f ca="1">convencional!$W$20</f>
        <v/>
      </c>
      <c r="I104" s="1133" t="str">
        <f ca="1">convencional!$W$21</f>
        <v/>
      </c>
    </row>
    <row r="105" spans="1:15" ht="15" customHeight="1" x14ac:dyDescent="0.25">
      <c r="A105" s="2077" t="str">
        <f>A99</f>
        <v>IN 90</v>
      </c>
      <c r="B105" s="1136" t="str">
        <f ca="1">'LAUDO convencional'!B98</f>
        <v/>
      </c>
      <c r="C105" s="1136" t="str">
        <f ca="1">'LAUDO convencional'!C98</f>
        <v/>
      </c>
      <c r="D105" s="1136" t="str">
        <f ca="1">'LAUDO convencional'!D98</f>
        <v/>
      </c>
      <c r="E105" s="1136" t="str">
        <f ca="1">'LAUDO convencional'!E98</f>
        <v/>
      </c>
      <c r="F105" s="1136" t="str">
        <f ca="1">'LAUDO convencional'!F98</f>
        <v/>
      </c>
      <c r="G105" s="1136" t="str">
        <f ca="1">'LAUDO convencional'!G98</f>
        <v/>
      </c>
      <c r="H105" s="1136" t="str">
        <f ca="1">'LAUDO convencional'!H98</f>
        <v/>
      </c>
      <c r="I105" s="1136" t="str">
        <f ca="1">'LAUDO convencional'!I98</f>
        <v/>
      </c>
      <c r="K105" s="2137" t="str">
        <f>IF($E$47="Raios X para Fluoroscopia","x",'LAUDO convencional'!K98)</f>
        <v>x</v>
      </c>
      <c r="O105" s="2228" t="str">
        <f ca="1">IF(COUNTIF(B105:I105,"Não")&lt;&gt;0,"Não conforme",IF(COUNTIF(B105:I105,"Restrição")&lt;&gt;0,"Não conforme",IF(COUNTIF(B105:I105,"Sim")&lt;&gt;0,"Conforme",IF(COUNTIF(B105:I105,"NPA")&lt;&gt;0,"NPA","NA"))))</f>
        <v>NA</v>
      </c>
    </row>
    <row r="106" spans="1:15" ht="15" customHeight="1" x14ac:dyDescent="0.25">
      <c r="A106" s="281"/>
      <c r="C106" s="2147"/>
      <c r="I106" s="2018"/>
      <c r="K106" s="2137" t="str">
        <f>IF($E$47="Raios X para Fluoroscopia","x",'LAUDO convencional'!K99)</f>
        <v>x</v>
      </c>
    </row>
    <row r="107" spans="1:15" ht="15" customHeight="1" x14ac:dyDescent="0.25">
      <c r="A107" s="2076" t="str">
        <f>'LAUDO convencional'!A100:C100</f>
        <v xml:space="preserve">Foco </v>
      </c>
      <c r="B107" s="2076"/>
      <c r="C107" s="2076"/>
      <c r="K107" s="2137" t="str">
        <f>IF($E$47="Raios X para Fluoroscopia","x",'LAUDO convencional'!K100)</f>
        <v>x</v>
      </c>
    </row>
    <row r="108" spans="1:15" ht="15" customHeight="1" x14ac:dyDescent="0.25">
      <c r="A108" s="2077" t="s">
        <v>201</v>
      </c>
      <c r="B108" s="2078" t="str">
        <f>'LAUDO convencional'!B101</f>
        <v/>
      </c>
      <c r="C108" s="2078" t="str">
        <f>'LAUDO convencional'!C101</f>
        <v/>
      </c>
      <c r="D108" s="2078" t="str">
        <f>'LAUDO convencional'!D101</f>
        <v/>
      </c>
      <c r="E108" s="2078" t="str">
        <f>'LAUDO convencional'!E101</f>
        <v/>
      </c>
      <c r="F108" s="2078" t="str">
        <f>'LAUDO convencional'!F101</f>
        <v/>
      </c>
      <c r="G108" s="2078" t="str">
        <f>'LAUDO convencional'!G101</f>
        <v/>
      </c>
      <c r="H108" s="2078" t="str">
        <f>'LAUDO convencional'!H101</f>
        <v/>
      </c>
      <c r="I108" s="2078" t="str">
        <f>'LAUDO convencional'!I101</f>
        <v/>
      </c>
      <c r="K108" s="2137" t="str">
        <f>IF($E$47="Raios X para Fluoroscopia","x",'LAUDO convencional'!K101)</f>
        <v>x</v>
      </c>
    </row>
    <row r="109" spans="1:15" ht="15" customHeight="1" x14ac:dyDescent="0.25">
      <c r="A109" s="2077" t="s">
        <v>202</v>
      </c>
      <c r="B109" s="1133" t="str">
        <f ca="1">'LAUDO convencional'!B102</f>
        <v/>
      </c>
      <c r="C109" s="1133" t="str">
        <f ca="1">'LAUDO convencional'!C102</f>
        <v/>
      </c>
      <c r="D109" s="1133" t="str">
        <f ca="1">'LAUDO convencional'!D102</f>
        <v/>
      </c>
      <c r="E109" s="1133" t="str">
        <f ca="1">'LAUDO convencional'!E102</f>
        <v/>
      </c>
      <c r="F109" s="1133" t="str">
        <f ca="1">'LAUDO convencional'!F102</f>
        <v/>
      </c>
      <c r="G109" s="1133" t="str">
        <f ca="1">'LAUDO convencional'!G102</f>
        <v/>
      </c>
      <c r="H109" s="1133" t="str">
        <f ca="1">'LAUDO convencional'!H102</f>
        <v/>
      </c>
      <c r="I109" s="1133" t="str">
        <f ca="1">'LAUDO convencional'!I102</f>
        <v/>
      </c>
      <c r="K109" s="2137" t="str">
        <f>IF($E$47="Raios X para Fluoroscopia","x",'LAUDO convencional'!K102)</f>
        <v>x</v>
      </c>
    </row>
    <row r="110" spans="1:15" s="2228" customFormat="1" ht="15" customHeight="1" x14ac:dyDescent="0.25">
      <c r="A110" s="2077" t="s">
        <v>2777</v>
      </c>
      <c r="B110" s="1133" t="str">
        <f ca="1">convencional!$AC$14</f>
        <v/>
      </c>
      <c r="C110" s="1133" t="str">
        <f ca="1">convencional!$AC$15</f>
        <v/>
      </c>
      <c r="D110" s="1133" t="str">
        <f ca="1">convencional!$AC$16</f>
        <v/>
      </c>
      <c r="E110" s="1133" t="str">
        <f ca="1">convencional!$AC$17</f>
        <v/>
      </c>
      <c r="F110" s="1133" t="str">
        <f ca="1">convencional!$AC$18</f>
        <v/>
      </c>
      <c r="G110" s="1133" t="str">
        <f ca="1">convencional!$AC$19</f>
        <v/>
      </c>
      <c r="H110" s="1133" t="str">
        <f ca="1">convencional!$AC$20</f>
        <v/>
      </c>
      <c r="I110" s="1133" t="str">
        <f ca="1">convencional!$AC$21</f>
        <v/>
      </c>
    </row>
    <row r="111" spans="1:15" ht="15" customHeight="1" x14ac:dyDescent="0.25">
      <c r="A111" s="2077" t="str">
        <f>A105</f>
        <v>IN 90</v>
      </c>
      <c r="B111" s="1136" t="str">
        <f ca="1">'LAUDO convencional'!B104</f>
        <v/>
      </c>
      <c r="C111" s="1136" t="str">
        <f ca="1">'LAUDO convencional'!C104</f>
        <v/>
      </c>
      <c r="D111" s="1136" t="str">
        <f ca="1">'LAUDO convencional'!D104</f>
        <v/>
      </c>
      <c r="E111" s="1136" t="str">
        <f ca="1">'LAUDO convencional'!E104</f>
        <v/>
      </c>
      <c r="F111" s="1136" t="str">
        <f ca="1">'LAUDO convencional'!F104</f>
        <v/>
      </c>
      <c r="G111" s="1136" t="str">
        <f ca="1">'LAUDO convencional'!G104</f>
        <v/>
      </c>
      <c r="H111" s="1136" t="str">
        <f ca="1">'LAUDO convencional'!H104</f>
        <v/>
      </c>
      <c r="I111" s="1136" t="str">
        <f ca="1">'LAUDO convencional'!I104</f>
        <v/>
      </c>
      <c r="K111" s="2137" t="str">
        <f>IF($E$47="Raios X para Fluoroscopia","x",'LAUDO convencional'!K104)</f>
        <v>x</v>
      </c>
      <c r="O111" s="2228" t="str">
        <f ca="1">IF(COUNTIF(B111:I111,"Não")&lt;&gt;0,"Não conforme",IF(COUNTIF(B111:I111,"Restrição")&lt;&gt;0,"Não conforme",IF(COUNTIF(B111:I111,"Sim")&lt;&gt;0,"Conforme",IF(COUNTIF(B111:I111,"NPA")&lt;&gt;0,"NPA","NA"))))</f>
        <v>NA</v>
      </c>
    </row>
    <row r="112" spans="1:15" ht="15" customHeight="1" x14ac:dyDescent="0.25">
      <c r="A112" s="281"/>
      <c r="C112" s="2147"/>
      <c r="I112" s="2018"/>
      <c r="K112" s="2137" t="str">
        <f>IF($E$47="Raios X para Fluoroscopia","x",'LAUDO convencional'!K105)</f>
        <v>x</v>
      </c>
    </row>
    <row r="113" spans="1:15" ht="15" customHeight="1" x14ac:dyDescent="0.25">
      <c r="A113" s="2076" t="str">
        <f>'LAUDO convencional'!A106:C106</f>
        <v xml:space="preserve">Foco </v>
      </c>
      <c r="B113" s="2076"/>
      <c r="C113" s="2076"/>
      <c r="K113" s="2137" t="str">
        <f>IF($E$47="Raios X para Fluoroscopia","x",'LAUDO convencional'!K106)</f>
        <v>x</v>
      </c>
    </row>
    <row r="114" spans="1:15" ht="15" customHeight="1" x14ac:dyDescent="0.25">
      <c r="A114" s="2077" t="s">
        <v>201</v>
      </c>
      <c r="B114" s="2078" t="str">
        <f>'LAUDO convencional'!B107</f>
        <v/>
      </c>
      <c r="C114" s="2078" t="str">
        <f>'LAUDO convencional'!C107</f>
        <v/>
      </c>
      <c r="D114" s="2078" t="str">
        <f>'LAUDO convencional'!D107</f>
        <v/>
      </c>
      <c r="E114" s="2078" t="str">
        <f>'LAUDO convencional'!E107</f>
        <v/>
      </c>
      <c r="F114" s="2078" t="str">
        <f>'LAUDO convencional'!F107</f>
        <v/>
      </c>
      <c r="G114" s="2078" t="str">
        <f>'LAUDO convencional'!G107</f>
        <v/>
      </c>
      <c r="H114" s="2078" t="str">
        <f>'LAUDO convencional'!H107</f>
        <v/>
      </c>
      <c r="I114" s="2078" t="str">
        <f>'LAUDO convencional'!I107</f>
        <v/>
      </c>
      <c r="K114" s="2137" t="str">
        <f>IF($E$47="Raios X para Fluoroscopia","x",'LAUDO convencional'!K107)</f>
        <v>x</v>
      </c>
    </row>
    <row r="115" spans="1:15" ht="15" customHeight="1" x14ac:dyDescent="0.25">
      <c r="A115" s="2077" t="s">
        <v>202</v>
      </c>
      <c r="B115" s="1133" t="str">
        <f ca="1">'LAUDO convencional'!B108</f>
        <v/>
      </c>
      <c r="C115" s="1133" t="str">
        <f ca="1">'LAUDO convencional'!C108</f>
        <v/>
      </c>
      <c r="D115" s="1133" t="str">
        <f ca="1">'LAUDO convencional'!D108</f>
        <v/>
      </c>
      <c r="E115" s="1133" t="str">
        <f ca="1">'LAUDO convencional'!E108</f>
        <v/>
      </c>
      <c r="F115" s="1133" t="str">
        <f ca="1">'LAUDO convencional'!F108</f>
        <v/>
      </c>
      <c r="G115" s="1133" t="str">
        <f ca="1">'LAUDO convencional'!G108</f>
        <v/>
      </c>
      <c r="H115" s="1133" t="str">
        <f ca="1">'LAUDO convencional'!H108</f>
        <v/>
      </c>
      <c r="I115" s="1133" t="str">
        <f ca="1">'LAUDO convencional'!I108</f>
        <v/>
      </c>
      <c r="K115" s="2137" t="str">
        <f>IF($E$47="Raios X para Fluoroscopia","x",'LAUDO convencional'!K108)</f>
        <v>x</v>
      </c>
    </row>
    <row r="116" spans="1:15" s="2228" customFormat="1" ht="15" customHeight="1" x14ac:dyDescent="0.25">
      <c r="A116" s="2077" t="s">
        <v>2777</v>
      </c>
      <c r="B116" s="1133" t="str">
        <f ca="1">convencional!$AI$14</f>
        <v/>
      </c>
      <c r="C116" s="1133" t="str">
        <f ca="1">convencional!$AI$15</f>
        <v/>
      </c>
      <c r="D116" s="1133" t="str">
        <f ca="1">convencional!$AI$16</f>
        <v/>
      </c>
      <c r="E116" s="1133" t="str">
        <f ca="1">convencional!$AI$17</f>
        <v/>
      </c>
      <c r="F116" s="1133" t="str">
        <f ca="1">convencional!$AI$18</f>
        <v/>
      </c>
      <c r="G116" s="1133" t="str">
        <f ca="1">convencional!$AI$19</f>
        <v/>
      </c>
      <c r="H116" s="1133" t="str">
        <f ca="1">convencional!$AI$20</f>
        <v/>
      </c>
      <c r="I116" s="1133" t="str">
        <f ca="1">convencional!$AI$21</f>
        <v/>
      </c>
    </row>
    <row r="117" spans="1:15" ht="15" customHeight="1" x14ac:dyDescent="0.25">
      <c r="A117" s="2077" t="str">
        <f>A111</f>
        <v>IN 90</v>
      </c>
      <c r="B117" s="1136" t="str">
        <f ca="1">'LAUDO convencional'!B110</f>
        <v/>
      </c>
      <c r="C117" s="1136" t="str">
        <f ca="1">'LAUDO convencional'!C110</f>
        <v/>
      </c>
      <c r="D117" s="1136" t="str">
        <f ca="1">'LAUDO convencional'!D110</f>
        <v/>
      </c>
      <c r="E117" s="1136" t="str">
        <f ca="1">'LAUDO convencional'!E110</f>
        <v/>
      </c>
      <c r="F117" s="1136" t="str">
        <f ca="1">'LAUDO convencional'!F110</f>
        <v/>
      </c>
      <c r="G117" s="1136" t="str">
        <f ca="1">'LAUDO convencional'!G110</f>
        <v/>
      </c>
      <c r="H117" s="1136" t="str">
        <f ca="1">'LAUDO convencional'!H110</f>
        <v/>
      </c>
      <c r="I117" s="1136" t="str">
        <f ca="1">'LAUDO convencional'!I110</f>
        <v/>
      </c>
      <c r="K117" s="2137" t="str">
        <f>IF($E$47="Raios X para Fluoroscopia","x",'LAUDO convencional'!K110)</f>
        <v>x</v>
      </c>
      <c r="O117" s="2228" t="str">
        <f ca="1">IF(COUNTIF(B117:I117,"Não")&lt;&gt;0,"Não conforme",IF(COUNTIF(B117:I117,"Restrição")&lt;&gt;0,"Não conforme",IF(COUNTIF(B117:I117,"Sim")&lt;&gt;0,"Conforme",IF(COUNTIF(B117:I117,"NPA")&lt;&gt;0,"NPA","NA"))))</f>
        <v>NA</v>
      </c>
    </row>
    <row r="118" spans="1:15" ht="15" customHeight="1" x14ac:dyDescent="0.25">
      <c r="A118" s="2481" t="s">
        <v>2459</v>
      </c>
      <c r="B118" s="2481"/>
      <c r="C118" s="2481"/>
      <c r="D118" s="2481"/>
      <c r="E118" s="2481"/>
      <c r="F118" s="2481"/>
      <c r="G118" s="2481"/>
      <c r="H118" s="2481"/>
      <c r="I118" s="2481"/>
      <c r="K118" s="2137" t="str">
        <f>IF($E$47="Raios X para Fluoroscopia","x",'LAUDO convencional'!K117)</f>
        <v>x</v>
      </c>
    </row>
    <row r="119" spans="1:15" ht="15" customHeight="1" x14ac:dyDescent="0.25">
      <c r="A119" s="2488" t="s">
        <v>2549</v>
      </c>
      <c r="B119" s="2488"/>
      <c r="C119" s="2488"/>
      <c r="D119" s="2488"/>
      <c r="E119" s="2488"/>
      <c r="F119" s="2488"/>
      <c r="G119" s="2488"/>
      <c r="H119" s="2488"/>
      <c r="I119" s="2488"/>
      <c r="J119" s="2488"/>
      <c r="K119" s="2137" t="str">
        <f>IF($E$47="Raios X para Fluoroscopia","x",'LAUDO convencional'!K120)</f>
        <v>x</v>
      </c>
    </row>
    <row r="120" spans="1:15" ht="15" customHeight="1" x14ac:dyDescent="0.25">
      <c r="A120" s="281"/>
    </row>
    <row r="121" spans="1:15" ht="15" customHeight="1" x14ac:dyDescent="0.25">
      <c r="A121" s="281" t="s">
        <v>145</v>
      </c>
      <c r="K121" s="2267" t="str">
        <f>IF($E$47="Raios X para Fluoroscopia","x",'LAUDO convencional'!K122)</f>
        <v>x</v>
      </c>
      <c r="L121" s="2137">
        <f>IF($E$47="Raios X para Fluoroscopia","x",'LAUDO convencional'!L121)</f>
        <v>0</v>
      </c>
      <c r="M121" s="2016">
        <f ca="1">IF(K134="",0,COUNTIF(C127:I127,"Restrição")+COUNTIF(C132:I132,"Restrição"))</f>
        <v>0</v>
      </c>
    </row>
    <row r="122" spans="1:15" ht="15" customHeight="1" x14ac:dyDescent="0.25">
      <c r="A122" s="2137" t="s">
        <v>2356</v>
      </c>
      <c r="C122" s="2137" t="s">
        <v>2550</v>
      </c>
      <c r="K122" s="2267" t="str">
        <f>IF($E$47="Raios X para Fluoroscopia","x",'LAUDO convencional'!K123)</f>
        <v>x</v>
      </c>
      <c r="M122" s="2016"/>
    </row>
    <row r="123" spans="1:15" ht="15" customHeight="1" x14ac:dyDescent="0.25">
      <c r="A123" s="2137" t="s">
        <v>2358</v>
      </c>
      <c r="C123" s="2137" t="s">
        <v>2359</v>
      </c>
      <c r="K123" s="2267" t="str">
        <f>IF($E$47="Raios X para Fluoroscopia","x",'LAUDO convencional'!K124)</f>
        <v>x</v>
      </c>
      <c r="M123" s="2016"/>
    </row>
    <row r="124" spans="1:15" ht="15" customHeight="1" x14ac:dyDescent="0.25">
      <c r="A124" s="2076" t="str">
        <f>'LAUDO convencional'!A125</f>
        <v>Foco Fino</v>
      </c>
      <c r="B124" s="2076"/>
      <c r="C124" s="2076"/>
      <c r="K124" s="2137" t="str">
        <f>IF($E$47="Raios X para Fluoroscopia","x",'LAUDO convencional'!K125)</f>
        <v>x</v>
      </c>
    </row>
    <row r="125" spans="1:15" ht="15" customHeight="1" x14ac:dyDescent="0.25">
      <c r="A125" s="2080" t="str">
        <f>'LAUDO convencional'!A126</f>
        <v>Selecionado (s)</v>
      </c>
      <c r="B125" s="2081"/>
      <c r="C125" s="2082">
        <f>'LAUDO convencional'!C126</f>
        <v>0</v>
      </c>
      <c r="D125" s="2083">
        <f>'LAUDO convencional'!D126</f>
        <v>0</v>
      </c>
      <c r="E125" s="2083">
        <f>'LAUDO convencional'!E126</f>
        <v>0</v>
      </c>
      <c r="F125" s="2083">
        <f>'LAUDO convencional'!F126</f>
        <v>0</v>
      </c>
      <c r="G125" s="2083">
        <f>'LAUDO convencional'!G126</f>
        <v>0</v>
      </c>
      <c r="H125" s="2083">
        <f>'LAUDO convencional'!H126</f>
        <v>0</v>
      </c>
      <c r="I125" s="2083">
        <f>'LAUDO convencional'!I126</f>
        <v>0</v>
      </c>
      <c r="K125" s="2137" t="str">
        <f>IF($E$47="Raios X para Fluoroscopia","x",'LAUDO convencional'!K126)</f>
        <v>x</v>
      </c>
    </row>
    <row r="126" spans="1:15" ht="15" customHeight="1" x14ac:dyDescent="0.25">
      <c r="A126" s="2080" t="str">
        <f>'LAUDO convencional'!A127</f>
        <v>Medido (s)</v>
      </c>
      <c r="B126" s="2081"/>
      <c r="C126" s="1135" t="str">
        <f ca="1">'LAUDO convencional'!C127</f>
        <v/>
      </c>
      <c r="D126" s="1135" t="str">
        <f ca="1">'LAUDO convencional'!D127</f>
        <v/>
      </c>
      <c r="E126" s="1135" t="str">
        <f ca="1">'LAUDO convencional'!E127</f>
        <v/>
      </c>
      <c r="F126" s="1135" t="str">
        <f ca="1">'LAUDO convencional'!F127</f>
        <v/>
      </c>
      <c r="G126" s="1135" t="str">
        <f ca="1">'LAUDO convencional'!G127</f>
        <v/>
      </c>
      <c r="H126" s="1135" t="str">
        <f ca="1">'LAUDO convencional'!H127</f>
        <v/>
      </c>
      <c r="I126" s="1135" t="str">
        <f ca="1">'LAUDO convencional'!I127</f>
        <v/>
      </c>
      <c r="K126" s="2137" t="str">
        <f>IF($E$47="Raios X para Fluoroscopia","x",'LAUDO convencional'!K127)</f>
        <v>x</v>
      </c>
    </row>
    <row r="127" spans="1:15" ht="15" customHeight="1" x14ac:dyDescent="0.25">
      <c r="A127" s="2080" t="str">
        <f>'LAUDO convencional'!A129</f>
        <v>IN 90</v>
      </c>
      <c r="B127" s="2081"/>
      <c r="C127" s="1136" t="str">
        <f ca="1">'LAUDO convencional'!C129</f>
        <v/>
      </c>
      <c r="D127" s="1136" t="str">
        <f ca="1">'LAUDO convencional'!D129</f>
        <v/>
      </c>
      <c r="E127" s="1136" t="str">
        <f ca="1">'LAUDO convencional'!E129</f>
        <v/>
      </c>
      <c r="F127" s="1136" t="str">
        <f ca="1">'LAUDO convencional'!F129</f>
        <v/>
      </c>
      <c r="G127" s="1136" t="str">
        <f ca="1">'LAUDO convencional'!G129</f>
        <v/>
      </c>
      <c r="H127" s="1136" t="str">
        <f ca="1">'LAUDO convencional'!H129</f>
        <v/>
      </c>
      <c r="I127" s="1136" t="str">
        <f ca="1">'LAUDO convencional'!I129</f>
        <v/>
      </c>
      <c r="K127" s="2137" t="str">
        <f>IF($E$47="Raios X para Fluoroscopia","x",'LAUDO convencional'!K129)</f>
        <v>x</v>
      </c>
      <c r="O127" s="2228" t="str">
        <f ca="1">IF(COUNTIF(C127:I127,"Não")&lt;&gt;0,"Não conforme",IF(COUNTIF(C127:I127,"Restrição")&lt;&gt;0,"Não conforme",IF(COUNTIF(C127:I127,"Sim")&lt;&gt;0,"Conforme",IF(COUNTIF(C127:I127,"NPA")&lt;&gt;0,"NPA","NA"))))</f>
        <v>NA</v>
      </c>
    </row>
    <row r="128" spans="1:15" ht="15" customHeight="1" x14ac:dyDescent="0.25">
      <c r="A128" s="2085"/>
      <c r="B128" s="2085"/>
      <c r="C128" s="2086"/>
      <c r="D128" s="1133"/>
      <c r="E128" s="1133"/>
      <c r="F128" s="1133"/>
      <c r="G128" s="1133"/>
      <c r="H128" s="1133"/>
      <c r="I128" s="2087"/>
      <c r="K128" s="2137" t="str">
        <f>IF($E$47="Raios X para Fluoroscopia","x",'LAUDO convencional'!K130)</f>
        <v>x</v>
      </c>
    </row>
    <row r="129" spans="1:16" ht="15" customHeight="1" x14ac:dyDescent="0.25">
      <c r="A129" s="2076" t="str">
        <f>'LAUDO convencional'!A131</f>
        <v>Foco Grosso</v>
      </c>
      <c r="B129" s="2076"/>
      <c r="C129" s="2076"/>
      <c r="K129" s="2137" t="str">
        <f>IF($E$47="Raios X para Fluoroscopia","x",'LAUDO convencional'!K131)</f>
        <v>x</v>
      </c>
    </row>
    <row r="130" spans="1:16" ht="15" customHeight="1" x14ac:dyDescent="0.25">
      <c r="A130" s="2080" t="str">
        <f>'LAUDO convencional'!A132</f>
        <v>Selecionado (s)</v>
      </c>
      <c r="B130" s="2081"/>
      <c r="C130" s="2082">
        <f>'LAUDO convencional'!C132</f>
        <v>0</v>
      </c>
      <c r="D130" s="2083">
        <f>'LAUDO convencional'!D132</f>
        <v>0</v>
      </c>
      <c r="E130" s="2083">
        <f>'LAUDO convencional'!E132</f>
        <v>0</v>
      </c>
      <c r="F130" s="2083">
        <f>'LAUDO convencional'!F132</f>
        <v>0</v>
      </c>
      <c r="G130" s="2083">
        <f>'LAUDO convencional'!G132</f>
        <v>0</v>
      </c>
      <c r="H130" s="2083">
        <f>'LAUDO convencional'!H132</f>
        <v>0</v>
      </c>
      <c r="I130" s="2083">
        <f>'LAUDO convencional'!I132</f>
        <v>0</v>
      </c>
      <c r="K130" s="2137" t="str">
        <f>IF($E$47="Raios X para Fluoroscopia","x",'LAUDO convencional'!K132)</f>
        <v>x</v>
      </c>
    </row>
    <row r="131" spans="1:16" ht="15" customHeight="1" x14ac:dyDescent="0.25">
      <c r="A131" s="2080" t="str">
        <f>'LAUDO convencional'!A133</f>
        <v>Medido (s)</v>
      </c>
      <c r="B131" s="2081"/>
      <c r="C131" s="1135" t="str">
        <f ca="1">'LAUDO convencional'!C133</f>
        <v/>
      </c>
      <c r="D131" s="1135" t="str">
        <f ca="1">'LAUDO convencional'!D133</f>
        <v/>
      </c>
      <c r="E131" s="1135" t="str">
        <f ca="1">'LAUDO convencional'!E133</f>
        <v/>
      </c>
      <c r="F131" s="1135" t="str">
        <f ca="1">'LAUDO convencional'!F133</f>
        <v/>
      </c>
      <c r="G131" s="1135" t="str">
        <f ca="1">'LAUDO convencional'!G133</f>
        <v/>
      </c>
      <c r="H131" s="1135" t="str">
        <f ca="1">'LAUDO convencional'!H133</f>
        <v/>
      </c>
      <c r="I131" s="1135" t="str">
        <f ca="1">'LAUDO convencional'!I133</f>
        <v/>
      </c>
      <c r="K131" s="2137" t="str">
        <f>IF($E$47="Raios X para Fluoroscopia","x",'LAUDO convencional'!K133)</f>
        <v>x</v>
      </c>
    </row>
    <row r="132" spans="1:16" ht="15" customHeight="1" x14ac:dyDescent="0.25">
      <c r="A132" s="2080" t="str">
        <f>'LAUDO convencional'!A135</f>
        <v>IN 90</v>
      </c>
      <c r="B132" s="2081"/>
      <c r="C132" s="1136" t="str">
        <f ca="1">'LAUDO convencional'!C135</f>
        <v/>
      </c>
      <c r="D132" s="1136" t="str">
        <f ca="1">'LAUDO convencional'!D135</f>
        <v/>
      </c>
      <c r="E132" s="1136" t="str">
        <f ca="1">'LAUDO convencional'!E135</f>
        <v/>
      </c>
      <c r="F132" s="1136" t="str">
        <f ca="1">'LAUDO convencional'!F135</f>
        <v/>
      </c>
      <c r="G132" s="1136" t="str">
        <f ca="1">'LAUDO convencional'!G135</f>
        <v/>
      </c>
      <c r="H132" s="1136" t="str">
        <f ca="1">'LAUDO convencional'!H135</f>
        <v/>
      </c>
      <c r="I132" s="1136" t="str">
        <f ca="1">'LAUDO convencional'!I135</f>
        <v/>
      </c>
      <c r="K132" s="2137" t="str">
        <f>IF($E$47="Raios X para Fluoroscopia","x",'LAUDO convencional'!K135)</f>
        <v>x</v>
      </c>
      <c r="O132" s="2228" t="str">
        <f ca="1">IF(COUNTIF(C132:I132,"Não")&lt;&gt;0,"Não conforme",IF(COUNTIF(C132:I132,"Restrição")&lt;&gt;0,"Não conforme",IF(COUNTIF(C132:I132,"Sim")&lt;&gt;0,"Conforme",IF(COUNTIF(C132:I132,"NPA")&lt;&gt;0,"NPA","NA"))))</f>
        <v>NA</v>
      </c>
    </row>
    <row r="133" spans="1:16" ht="15" customHeight="1" x14ac:dyDescent="0.25">
      <c r="A133" s="2202" t="s">
        <v>2748</v>
      </c>
      <c r="K133" s="2137" t="str">
        <f>IF($E$47="Raios X para Fluoroscopia","x",'LAUDO convencional'!K136)</f>
        <v>x</v>
      </c>
    </row>
    <row r="134" spans="1:16" ht="15" customHeight="1" x14ac:dyDescent="0.25">
      <c r="A134" s="2476" t="s">
        <v>287</v>
      </c>
      <c r="B134" s="2476"/>
      <c r="C134" s="2476"/>
      <c r="D134" s="2476"/>
      <c r="E134" s="2476"/>
      <c r="F134" s="2476"/>
      <c r="G134" s="2476"/>
      <c r="H134" s="2476"/>
      <c r="I134" s="2476"/>
      <c r="K134" s="2137">
        <f>IF($E$47="Raios X para Fluoroscopia","x",'LAUDO convencional'!K138)</f>
        <v>0</v>
      </c>
    </row>
    <row r="135" spans="1:16" ht="15" customHeight="1" x14ac:dyDescent="0.25">
      <c r="A135" s="2488" t="s">
        <v>2549</v>
      </c>
      <c r="B135" s="2488"/>
      <c r="C135" s="2488"/>
      <c r="D135" s="2488"/>
      <c r="E135" s="2488"/>
      <c r="F135" s="2488"/>
      <c r="G135" s="2488"/>
      <c r="H135" s="2488"/>
      <c r="I135" s="2488"/>
      <c r="J135" s="2488"/>
      <c r="K135" s="2267">
        <f>IF($E$47="Raios X para Fluoroscopia","x",'LAUDO convencional'!K138)</f>
        <v>0</v>
      </c>
    </row>
    <row r="136" spans="1:16" ht="15" customHeight="1" x14ac:dyDescent="0.25">
      <c r="A136" s="2145"/>
      <c r="B136" s="2145"/>
      <c r="C136" s="2145"/>
      <c r="D136" s="2145"/>
      <c r="E136" s="2145"/>
      <c r="F136" s="2145"/>
      <c r="G136" s="2145"/>
      <c r="H136" s="2145"/>
      <c r="I136" s="2145"/>
      <c r="J136" s="2145"/>
      <c r="K136" s="2267" t="str">
        <f>IF($E$47="Raios X para Fluoroscopia","x",'LAUDO convencional'!K139)</f>
        <v/>
      </c>
    </row>
    <row r="137" spans="1:16" ht="15" customHeight="1" x14ac:dyDescent="0.25">
      <c r="A137" s="281" t="str">
        <f>'LAUDO convencional'!A140</f>
        <v>Rendimento do tubo e Camada Semirredutora @ 80 kVp</v>
      </c>
      <c r="B137" s="2140"/>
      <c r="C137" s="2140"/>
      <c r="D137" s="2140"/>
      <c r="E137" s="2140"/>
      <c r="F137" s="2140"/>
      <c r="G137" s="2140"/>
      <c r="H137" s="2140"/>
      <c r="I137" s="2140"/>
      <c r="K137" s="2267">
        <f>IF($E$47="Raios X para Fluoroscopia","x",'LAUDO convencional'!K138)</f>
        <v>0</v>
      </c>
    </row>
    <row r="138" spans="1:16" ht="15" customHeight="1" x14ac:dyDescent="0.25">
      <c r="A138" s="2137" t="s">
        <v>2356</v>
      </c>
      <c r="B138" s="2140"/>
      <c r="C138" s="2488" t="s">
        <v>2551</v>
      </c>
      <c r="D138" s="2488"/>
      <c r="E138" s="2488"/>
      <c r="F138" s="2488"/>
      <c r="G138" s="2488"/>
      <c r="H138" s="2488"/>
      <c r="I138" s="2488"/>
      <c r="J138" s="2488"/>
      <c r="K138" s="2267">
        <f>IF($E$47="Raios X para Fluoroscopia","x",'LAUDO convencional'!K141)</f>
        <v>0</v>
      </c>
    </row>
    <row r="139" spans="1:16" ht="15" customHeight="1" x14ac:dyDescent="0.25">
      <c r="A139" s="2137" t="s">
        <v>2358</v>
      </c>
      <c r="B139" s="2140"/>
      <c r="C139" s="2140" t="s">
        <v>2359</v>
      </c>
      <c r="D139" s="2140"/>
      <c r="E139" s="2140"/>
      <c r="F139" s="2140"/>
      <c r="G139" s="2140"/>
      <c r="H139" s="2140"/>
      <c r="I139" s="2140"/>
      <c r="K139" s="2267">
        <f>IF($E$47="Raios X para Fluoroscopia","x",'LAUDO convencional'!K142)</f>
        <v>0</v>
      </c>
    </row>
    <row r="140" spans="1:16" ht="15" customHeight="1" x14ac:dyDescent="0.25">
      <c r="A140" s="2174" t="str">
        <f>'LAUDO convencional'!A144</f>
        <v>Selecionado (mA)</v>
      </c>
      <c r="B140" s="2081"/>
      <c r="C140" s="2089">
        <f>'LAUDO convencional'!C144</f>
        <v>0</v>
      </c>
      <c r="D140" s="2089" t="str">
        <f>'LAUDO convencional'!D144</f>
        <v/>
      </c>
      <c r="E140" s="2089" t="str">
        <f>'LAUDO convencional'!E144</f>
        <v/>
      </c>
      <c r="F140" s="2089" t="str">
        <f>'LAUDO convencional'!F144</f>
        <v/>
      </c>
      <c r="G140" s="2089" t="str">
        <f>'LAUDO convencional'!G144</f>
        <v/>
      </c>
      <c r="H140" s="2089" t="str">
        <f>'LAUDO convencional'!H144</f>
        <v/>
      </c>
      <c r="I140" s="2089" t="str">
        <f>'LAUDO convencional'!I144</f>
        <v/>
      </c>
      <c r="K140" s="2267">
        <f>IF($E$47="Raios X para Fluoroscopia","x",'LAUDO convencional'!K143)</f>
        <v>0</v>
      </c>
    </row>
    <row r="141" spans="1:16" ht="15" customHeight="1" x14ac:dyDescent="0.25">
      <c r="A141" s="2174" t="str">
        <f>'LAUDO convencional'!A145</f>
        <v>foco</v>
      </c>
      <c r="B141" s="2081"/>
      <c r="C141" s="1131" t="str">
        <f>'LAUDO convencional'!C145</f>
        <v/>
      </c>
      <c r="D141" s="1131" t="str">
        <f>'LAUDO convencional'!D145</f>
        <v/>
      </c>
      <c r="E141" s="1131" t="str">
        <f>'LAUDO convencional'!E145</f>
        <v/>
      </c>
      <c r="F141" s="1131" t="str">
        <f>'LAUDO convencional'!F145</f>
        <v/>
      </c>
      <c r="G141" s="1131" t="str">
        <f>'LAUDO convencional'!G145</f>
        <v/>
      </c>
      <c r="H141" s="1131" t="str">
        <f>'LAUDO convencional'!H145</f>
        <v/>
      </c>
      <c r="I141" s="1131" t="str">
        <f>'LAUDO convencional'!I145</f>
        <v/>
      </c>
      <c r="K141" s="2267">
        <f>IF($E$47="Raios X para Fluoroscopia","x",'LAUDO convencional'!K142)</f>
        <v>0</v>
      </c>
    </row>
    <row r="142" spans="1:16" ht="15" customHeight="1" x14ac:dyDescent="0.25">
      <c r="A142" s="2174" t="str">
        <f>'LAUDO convencional'!A146</f>
        <v>µGy/mAs à 1 m</v>
      </c>
      <c r="B142" s="2090"/>
      <c r="C142" s="1132" t="str">
        <f ca="1">'LAUDO convencional'!C146</f>
        <v/>
      </c>
      <c r="D142" s="1133" t="str">
        <f ca="1">'LAUDO convencional'!D146</f>
        <v/>
      </c>
      <c r="E142" s="1133" t="str">
        <f ca="1">'LAUDO convencional'!E146</f>
        <v/>
      </c>
      <c r="F142" s="1133" t="str">
        <f ca="1">'LAUDO convencional'!F146</f>
        <v/>
      </c>
      <c r="G142" s="1133" t="str">
        <f ca="1">'LAUDO convencional'!G146</f>
        <v/>
      </c>
      <c r="H142" s="1133" t="str">
        <f ca="1">'LAUDO convencional'!H146</f>
        <v/>
      </c>
      <c r="I142" s="1133" t="str">
        <f ca="1">'LAUDO convencional'!I146</f>
        <v/>
      </c>
      <c r="K142" s="2267">
        <f>IF($E$47="Raios X para Fluoroscopia","x",'LAUDO convencional'!K143)</f>
        <v>0</v>
      </c>
    </row>
    <row r="143" spans="1:16" ht="15" customHeight="1" x14ac:dyDescent="0.25">
      <c r="A143" s="2174" t="str">
        <f>'LAUDO convencional'!A147</f>
        <v>IN 90</v>
      </c>
      <c r="B143" s="2081"/>
      <c r="C143" s="1134" t="str">
        <f ca="1">'LAUDO convencional'!C147</f>
        <v/>
      </c>
      <c r="D143" s="1134" t="str">
        <f ca="1">'LAUDO convencional'!D147</f>
        <v/>
      </c>
      <c r="E143" s="1134" t="str">
        <f ca="1">'LAUDO convencional'!E147</f>
        <v/>
      </c>
      <c r="F143" s="1134" t="str">
        <f ca="1">'LAUDO convencional'!F147</f>
        <v/>
      </c>
      <c r="G143" s="1134" t="str">
        <f ca="1">'LAUDO convencional'!G147</f>
        <v/>
      </c>
      <c r="H143" s="1134" t="str">
        <f ca="1">'LAUDO convencional'!H147</f>
        <v/>
      </c>
      <c r="I143" s="1134" t="str">
        <f ca="1">'LAUDO convencional'!I147</f>
        <v/>
      </c>
      <c r="J143" s="163"/>
      <c r="K143" s="2267" t="str">
        <f>IF($E$47="Raios X para Fluoroscopia","x",'LAUDO convencional'!K144)</f>
        <v/>
      </c>
      <c r="L143" s="2137">
        <f ca="1">COUNTIF(C143:I143,"Restrição")</f>
        <v>0</v>
      </c>
      <c r="O143" s="2228" t="str">
        <f ca="1">IF(COUNTIF(C143:I143,"Não")&lt;&gt;0,"Não conforme",IF(COUNTIF(C143:I143,"Restrição")&lt;&gt;0,"Não conforme",IF(COUNTIF(C143:I143,"Sim")&lt;&gt;0,"Conforme",IF(COUNTIF(C143:I143,"NPA")&lt;&gt;0,"NPA","NA"))))</f>
        <v>NA</v>
      </c>
      <c r="P143" s="2137" t="s">
        <v>565</v>
      </c>
    </row>
    <row r="144" spans="1:16" ht="15" customHeight="1" x14ac:dyDescent="0.25">
      <c r="A144" s="2174" t="str">
        <f>'LAUDO convencional'!A148</f>
        <v>mm Al</v>
      </c>
      <c r="B144" s="2081"/>
      <c r="C144" s="1132" t="str">
        <f ca="1">'LAUDO convencional'!C148</f>
        <v/>
      </c>
      <c r="D144" s="1133" t="str">
        <f ca="1">'LAUDO convencional'!D148</f>
        <v/>
      </c>
      <c r="E144" s="1133" t="str">
        <f ca="1">'LAUDO convencional'!E148</f>
        <v/>
      </c>
      <c r="F144" s="1133" t="str">
        <f ca="1">'LAUDO convencional'!F148</f>
        <v/>
      </c>
      <c r="G144" s="1133" t="str">
        <f ca="1">'LAUDO convencional'!G148</f>
        <v/>
      </c>
      <c r="H144" s="1133" t="str">
        <f ca="1">'LAUDO convencional'!H148</f>
        <v/>
      </c>
      <c r="I144" s="1133" t="str">
        <f ca="1">'LAUDO convencional'!I148</f>
        <v/>
      </c>
      <c r="K144" s="2267" t="str">
        <f>IF($E$47="Raios X para Fluoroscopia","x",'LAUDO convencional'!K145)</f>
        <v/>
      </c>
    </row>
    <row r="145" spans="1:16" ht="15" customHeight="1" x14ac:dyDescent="0.25">
      <c r="A145" s="2174" t="str">
        <f>'LAUDO convencional'!A149</f>
        <v>IN 90</v>
      </c>
      <c r="B145" s="2081"/>
      <c r="C145" s="1134" t="str">
        <f ca="1">'LAUDO convencional'!C149</f>
        <v/>
      </c>
      <c r="D145" s="1134" t="str">
        <f ca="1">'LAUDO convencional'!D149</f>
        <v/>
      </c>
      <c r="E145" s="1134" t="str">
        <f ca="1">'LAUDO convencional'!E149</f>
        <v/>
      </c>
      <c r="F145" s="1134" t="str">
        <f ca="1">'LAUDO convencional'!F149</f>
        <v/>
      </c>
      <c r="G145" s="1134" t="str">
        <f ca="1">'LAUDO convencional'!G149</f>
        <v/>
      </c>
      <c r="H145" s="1134" t="str">
        <f ca="1">'LAUDO convencional'!H149</f>
        <v/>
      </c>
      <c r="I145" s="1134" t="str">
        <f ca="1">'LAUDO convencional'!I149</f>
        <v/>
      </c>
      <c r="J145" s="163"/>
      <c r="K145" s="2267" t="str">
        <f>IF($E$47="Raios X para Fluoroscopia","x",'LAUDO convencional'!K146)</f>
        <v/>
      </c>
      <c r="O145" s="2228" t="str">
        <f ca="1">IF(COUNTIF(C145:I145,"Não")&lt;&gt;0,"Não conforme",IF(COUNTIF(C145:I145,"Restrição")&lt;&gt;0,"Não conforme",IF(COUNTIF(C145:I145,"Sim")&lt;&gt;0,"Conforme",IF(COUNTIF(C145:I145,"NPA")&lt;&gt;0,"NPA","NA"))))</f>
        <v>NA</v>
      </c>
      <c r="P145" s="2137" t="s">
        <v>1842</v>
      </c>
    </row>
    <row r="146" spans="1:16" ht="15" customHeight="1" x14ac:dyDescent="0.25">
      <c r="A146" s="2202" t="s">
        <v>2748</v>
      </c>
      <c r="K146" s="2267" t="str">
        <f>IF($E$47="Raios X para Fluoroscopia","x",'LAUDO convencional'!K147)</f>
        <v/>
      </c>
    </row>
    <row r="147" spans="1:16" ht="15" customHeight="1" x14ac:dyDescent="0.25">
      <c r="A147" s="2488" t="s">
        <v>2552</v>
      </c>
      <c r="B147" s="2488"/>
      <c r="C147" s="2488"/>
      <c r="D147" s="2488"/>
      <c r="E147" s="2488"/>
      <c r="F147" s="2488"/>
      <c r="G147" s="2488"/>
      <c r="H147" s="2488"/>
      <c r="I147" s="2488"/>
      <c r="J147" s="2488"/>
      <c r="K147" s="2267" t="str">
        <f>IF($E$47="Raios X para Fluoroscopia","x",'LAUDO convencional'!K148)</f>
        <v/>
      </c>
    </row>
    <row r="148" spans="1:16" ht="15" customHeight="1" x14ac:dyDescent="0.25">
      <c r="A148" s="284"/>
      <c r="K148" s="2137" t="str">
        <f>IF($E$47="Raios X para Fluoroscopia","x",'LAUDO convencional'!K152)</f>
        <v/>
      </c>
    </row>
    <row r="149" spans="1:16" ht="15" customHeight="1" x14ac:dyDescent="0.25">
      <c r="A149" s="281" t="s">
        <v>144</v>
      </c>
      <c r="K149" s="2267">
        <f>IF(OR($E$47="Raios X para Fluoroscopia",J149="NA",J149="NPA"),"x",'LAUDO convencional'!K154)</f>
        <v>0</v>
      </c>
    </row>
    <row r="150" spans="1:16" ht="15" customHeight="1" x14ac:dyDescent="0.25">
      <c r="A150" s="2597" t="s">
        <v>146</v>
      </c>
      <c r="B150" s="2598"/>
      <c r="C150" s="2599"/>
      <c r="D150" s="2597" t="s">
        <v>2066</v>
      </c>
      <c r="E150" s="2599"/>
      <c r="F150" s="2606" t="s">
        <v>2362</v>
      </c>
      <c r="G150" s="2606"/>
      <c r="H150" s="2465" t="s">
        <v>369</v>
      </c>
      <c r="I150" s="2465"/>
      <c r="J150" s="2139" t="str">
        <f>G66</f>
        <v>IN 90</v>
      </c>
      <c r="K150" s="2267">
        <f>IF(OR($E$47="Raios X para Fluoroscopia",J150="NA",J150="NPA"),"x",'LAUDO convencional'!K155)</f>
        <v>0</v>
      </c>
      <c r="L150" s="2137">
        <f ca="1">COUNTIF(I150:I290,"Restrição")</f>
        <v>0</v>
      </c>
    </row>
    <row r="151" spans="1:16" ht="35.25" customHeight="1" x14ac:dyDescent="0.2">
      <c r="A151" s="2553" t="str">
        <f>'LAUDO convencional'!A156:F156</f>
        <v>Exatidão do indicador de campo luminoso</v>
      </c>
      <c r="B151" s="2554"/>
      <c r="C151" s="2555"/>
      <c r="D151" s="2564" t="s">
        <v>2363</v>
      </c>
      <c r="E151" s="2565"/>
      <c r="F151" s="2466" t="s">
        <v>2575</v>
      </c>
      <c r="G151" s="2466"/>
      <c r="H151" s="2472" t="str">
        <f>'LAUDO convencional'!H156:I156</f>
        <v>NPA</v>
      </c>
      <c r="I151" s="2472"/>
      <c r="J151" s="2141" t="str">
        <f>'LAUDO convencional'!J156</f>
        <v>NPA</v>
      </c>
      <c r="K151" s="2137" t="str">
        <f>IF(OR($E$47="Raios X para Fluoroscopia",J151="NA",J151="NPA"),"x",'LAUDO convencional'!K156)</f>
        <v>x</v>
      </c>
      <c r="O151" s="2228" t="str">
        <f>IF(J151="Não","Não conforme",IF(J151="Restrição","Não conforme",IF(J151="Sim","Conforme",IF(J151="NPA","NPA","NA"))))</f>
        <v>NPA</v>
      </c>
    </row>
    <row r="152" spans="1:16" ht="25.5" customHeight="1" x14ac:dyDescent="0.25">
      <c r="A152" s="2550" t="str">
        <f>'LAUDO convencional'!A157:F157</f>
        <v xml:space="preserve">Alinhamento do eixo central do feixe de raios X             </v>
      </c>
      <c r="B152" s="2551"/>
      <c r="C152" s="2552"/>
      <c r="D152" s="2564" t="s">
        <v>2364</v>
      </c>
      <c r="E152" s="2565"/>
      <c r="F152" s="2466" t="s">
        <v>2576</v>
      </c>
      <c r="G152" s="2466"/>
      <c r="H152" s="2472" t="str">
        <f>'LAUDO convencional'!H157:I157</f>
        <v>NPA</v>
      </c>
      <c r="I152" s="2472"/>
      <c r="J152" s="2141" t="str">
        <f>'LAUDO convencional'!J157</f>
        <v>NPA</v>
      </c>
      <c r="K152" s="2137" t="str">
        <f>IF(OR($E$47="Raios X para Fluoroscopia",J152="NA",J152="NPA"),"x",'LAUDO convencional'!K157)</f>
        <v>x</v>
      </c>
      <c r="O152" s="2228" t="str">
        <f t="shared" ref="O152:O167" si="0">IF(J152="Não","Não conforme",IF(J152="Restrição","Não conforme",IF(J152="Sim","Conforme",IF(J152="NPA","NPA","NA"))))</f>
        <v>NPA</v>
      </c>
    </row>
    <row r="153" spans="1:16" ht="15" customHeight="1" x14ac:dyDescent="0.25">
      <c r="A153" s="2550" t="str">
        <f>'LAUDO convencional'!A158:F158</f>
        <v xml:space="preserve">Alinhamento da grade da mesa          </v>
      </c>
      <c r="B153" s="2551"/>
      <c r="C153" s="2552"/>
      <c r="D153" s="2564" t="s">
        <v>2365</v>
      </c>
      <c r="E153" s="2565"/>
      <c r="F153" s="2556" t="s">
        <v>2382</v>
      </c>
      <c r="G153" s="2557"/>
      <c r="H153" s="2472" t="str">
        <f>'LAUDO convencional'!H158:I158</f>
        <v>NPA</v>
      </c>
      <c r="I153" s="2472"/>
      <c r="J153" s="1130" t="str">
        <f>'LAUDO convencional'!J158</f>
        <v>NPA</v>
      </c>
      <c r="K153" s="2137" t="str">
        <f>IF(OR($E$47="Raios X para Fluoroscopia",J153="NA",J153="NPA",H153=0),"x",'LAUDO convencional'!K158)</f>
        <v>x</v>
      </c>
      <c r="O153" s="2228" t="str">
        <f t="shared" si="0"/>
        <v>NPA</v>
      </c>
    </row>
    <row r="154" spans="1:16" ht="15" customHeight="1" x14ac:dyDescent="0.25">
      <c r="A154" s="2550" t="str">
        <f>'LAUDO convencional'!A159:F159</f>
        <v xml:space="preserve">Alinhamento da grade do bucky mural </v>
      </c>
      <c r="B154" s="2551"/>
      <c r="C154" s="2552"/>
      <c r="D154" s="2564" t="s">
        <v>2365</v>
      </c>
      <c r="E154" s="2565"/>
      <c r="F154" s="2556" t="s">
        <v>2382</v>
      </c>
      <c r="G154" s="2557"/>
      <c r="H154" s="2472" t="str">
        <f>'LAUDO convencional'!H159:I159</f>
        <v>NPA</v>
      </c>
      <c r="I154" s="2472"/>
      <c r="J154" s="1130" t="str">
        <f>'LAUDO convencional'!J159</f>
        <v>NPA</v>
      </c>
      <c r="K154" s="2137" t="str">
        <f>IF(OR($E$47="Raios X para Fluoroscopia",J154="NA",J154="NPA",H154=0),"x",'LAUDO convencional'!K159)</f>
        <v>x</v>
      </c>
      <c r="O154" s="2228" t="str">
        <f t="shared" si="0"/>
        <v>NPA</v>
      </c>
    </row>
    <row r="155" spans="1:16" ht="21.75" customHeight="1" x14ac:dyDescent="0.25">
      <c r="A155" s="2550" t="str">
        <f>'LAUDO convencional'!A160:F160</f>
        <v xml:space="preserve">Reprodutibilidade da alta tensão do tubo </v>
      </c>
      <c r="B155" s="2551"/>
      <c r="C155" s="2552"/>
      <c r="D155" s="2564" t="s">
        <v>2366</v>
      </c>
      <c r="E155" s="2565"/>
      <c r="F155" s="2466" t="s">
        <v>2568</v>
      </c>
      <c r="G155" s="2466"/>
      <c r="H155" s="2472" t="str">
        <f ca="1">'LAUDO convencional'!H160:I160</f>
        <v>NPA</v>
      </c>
      <c r="I155" s="2472"/>
      <c r="J155" s="2141" t="str">
        <f ca="1">'LAUDO convencional'!J160</f>
        <v>NA</v>
      </c>
      <c r="K155" s="2137" t="str">
        <f ca="1">IF(OR($E$47="Raios X para Fluoroscopia",J155="NA",J155="NPA"),"x",'LAUDO convencional'!K160)</f>
        <v>x</v>
      </c>
      <c r="O155" s="2228" t="str">
        <f t="shared" ca="1" si="0"/>
        <v>NA</v>
      </c>
    </row>
    <row r="156" spans="1:16" ht="21.75" customHeight="1" x14ac:dyDescent="0.25">
      <c r="A156" s="2550" t="str">
        <f>'LAUDO convencional'!A161:F161</f>
        <v xml:space="preserve">Reprodutibilidade do tempo de exposição </v>
      </c>
      <c r="B156" s="2551"/>
      <c r="C156" s="2552"/>
      <c r="D156" s="2564" t="s">
        <v>2367</v>
      </c>
      <c r="E156" s="2565"/>
      <c r="F156" s="2466" t="s">
        <v>2483</v>
      </c>
      <c r="G156" s="2466"/>
      <c r="H156" s="2472" t="str">
        <f ca="1">'LAUDO convencional'!H161:I161</f>
        <v>NPA</v>
      </c>
      <c r="I156" s="2472"/>
      <c r="J156" s="2141" t="str">
        <f ca="1">'LAUDO convencional'!J161</f>
        <v>NA</v>
      </c>
      <c r="K156" s="2137" t="str">
        <f ca="1">IF(OR($E$47="Raios X para Fluoroscopia",J156="NA",J156="NPA"),"x",'LAUDO convencional'!K161)</f>
        <v>x</v>
      </c>
      <c r="O156" s="2228" t="str">
        <f t="shared" ca="1" si="0"/>
        <v>NA</v>
      </c>
    </row>
    <row r="157" spans="1:16" ht="21.75" customHeight="1" x14ac:dyDescent="0.25">
      <c r="A157" s="2550" t="str">
        <f>'LAUDO convencional'!A162:F162</f>
        <v xml:space="preserve">Reprodutibilidade da taxa de kerma no ar </v>
      </c>
      <c r="B157" s="2551"/>
      <c r="C157" s="2552"/>
      <c r="D157" s="2564" t="s">
        <v>2368</v>
      </c>
      <c r="E157" s="2565"/>
      <c r="F157" s="2466" t="s">
        <v>2569</v>
      </c>
      <c r="G157" s="2466"/>
      <c r="H157" s="2472" t="str">
        <f ca="1">'LAUDO convencional'!H162:I162</f>
        <v>NPA</v>
      </c>
      <c r="I157" s="2472"/>
      <c r="J157" s="2141" t="str">
        <f ca="1">'LAUDO convencional'!J162</f>
        <v>NA</v>
      </c>
      <c r="K157" s="2137" t="str">
        <f ca="1">IF(OR($E$47="Raios X para Fluoroscopia",J157="NA",J157="NPA"),"x",'LAUDO convencional'!K162)</f>
        <v>x</v>
      </c>
      <c r="O157" s="2228" t="str">
        <f t="shared" ca="1" si="0"/>
        <v>NA</v>
      </c>
    </row>
    <row r="158" spans="1:16" ht="22.5" customHeight="1" x14ac:dyDescent="0.25">
      <c r="A158" s="2550" t="str">
        <f>'LAUDO convencional'!A163:F163</f>
        <v>Linearidade da taxa de kerma no ar com o mAs variando o tempo @ FF</v>
      </c>
      <c r="B158" s="2551"/>
      <c r="C158" s="2552"/>
      <c r="D158" s="2564" t="s">
        <v>2369</v>
      </c>
      <c r="E158" s="2565"/>
      <c r="F158" s="2466" t="s">
        <v>2570</v>
      </c>
      <c r="G158" s="2466"/>
      <c r="H158" s="2472" t="str">
        <f ca="1">'LAUDO convencional'!H163:I163</f>
        <v>NPA</v>
      </c>
      <c r="I158" s="2472"/>
      <c r="J158" s="2141" t="str">
        <f ca="1">'LAUDO convencional'!J163</f>
        <v>NA</v>
      </c>
      <c r="K158" s="2137" t="str">
        <f ca="1">IF(OR($E$47="Raios X para Fluoroscopia",J158="NA",J158="NPA"),"x",'LAUDO convencional'!K163)</f>
        <v>x</v>
      </c>
      <c r="O158" s="2228" t="str">
        <f t="shared" ca="1" si="0"/>
        <v>NA</v>
      </c>
    </row>
    <row r="159" spans="1:16" s="2018" customFormat="1" ht="22.5" customHeight="1" x14ac:dyDescent="0.25">
      <c r="A159" s="2550" t="str">
        <f>'LAUDO convencional'!A164:F164</f>
        <v>Linearidade da taxa de kerma no ar com o mAs variando o tempo @ FG</v>
      </c>
      <c r="B159" s="2551"/>
      <c r="C159" s="2552"/>
      <c r="D159" s="2564" t="s">
        <v>2369</v>
      </c>
      <c r="E159" s="2565"/>
      <c r="F159" s="2466" t="s">
        <v>2571</v>
      </c>
      <c r="G159" s="2466"/>
      <c r="H159" s="2472" t="str">
        <f ca="1">'LAUDO convencional'!H164:I164</f>
        <v>NA</v>
      </c>
      <c r="I159" s="2472"/>
      <c r="J159" s="2141" t="str">
        <f ca="1">'LAUDO convencional'!J164</f>
        <v>NA</v>
      </c>
      <c r="K159" s="2137" t="str">
        <f ca="1">IF(OR($E$47="Raios X para Fluoroscopia",J159="NA",J159="NPA"),"x",'LAUDO convencional'!K164)</f>
        <v>x</v>
      </c>
      <c r="O159" s="2228" t="str">
        <f t="shared" ca="1" si="0"/>
        <v>NA</v>
      </c>
    </row>
    <row r="160" spans="1:16" s="2018" customFormat="1" ht="22.5" customHeight="1" x14ac:dyDescent="0.25">
      <c r="A160" s="2550" t="str">
        <f>'LAUDO convencional'!A165:F165</f>
        <v xml:space="preserve">Linearidade da taxa de kerma no ar com o mAs variando a corrente </v>
      </c>
      <c r="B160" s="2551"/>
      <c r="C160" s="2552"/>
      <c r="D160" s="2564" t="s">
        <v>2437</v>
      </c>
      <c r="E160" s="2565"/>
      <c r="F160" s="2466" t="s">
        <v>2571</v>
      </c>
      <c r="G160" s="2466"/>
      <c r="H160" s="2472" t="str">
        <f ca="1">'LAUDO convencional'!H165:I165</f>
        <v>NPA</v>
      </c>
      <c r="I160" s="2472"/>
      <c r="J160" s="2141" t="str">
        <f ca="1">'LAUDO convencional'!J165</f>
        <v>NA</v>
      </c>
      <c r="K160" s="2137" t="str">
        <f ca="1">IF(OR($E$47="Raios X para Fluoroscopia",J160="NA",J160="NPA"),"x",'LAUDO convencional'!K165)</f>
        <v>x</v>
      </c>
      <c r="O160" s="2228" t="str">
        <f t="shared" ca="1" si="0"/>
        <v>NA</v>
      </c>
    </row>
    <row r="161" spans="1:15" s="2018" customFormat="1" ht="23.25" customHeight="1" x14ac:dyDescent="0.25">
      <c r="A161" s="2550" t="str">
        <f>'LAUDO convencional'!A169:F169</f>
        <v>Resolução espacial @ FG, 0 kV, 0 mAs</v>
      </c>
      <c r="B161" s="2551"/>
      <c r="C161" s="2552"/>
      <c r="D161" s="2564" t="s">
        <v>2372</v>
      </c>
      <c r="E161" s="2565"/>
      <c r="F161" s="2466" t="s">
        <v>2478</v>
      </c>
      <c r="G161" s="2466"/>
      <c r="H161" s="2472" t="e">
        <f>'LAUDO convencional'!H169:I169</f>
        <v>#N/A</v>
      </c>
      <c r="I161" s="2472"/>
      <c r="J161" s="2141" t="e">
        <f>'LAUDO convencional'!J169</f>
        <v>#N/A</v>
      </c>
      <c r="K161" s="2137" t="str">
        <f>IFERROR(IF(OR($E$47="Raios X para Fluoroscopia",J161="NA",J161="NPA"),"x",'LAUDO convencional'!K169),"x")</f>
        <v>x</v>
      </c>
      <c r="O161" s="2228" t="e">
        <f t="shared" si="0"/>
        <v>#N/A</v>
      </c>
    </row>
    <row r="162" spans="1:15" s="2018" customFormat="1" ht="23.25" customHeight="1" x14ac:dyDescent="0.25">
      <c r="A162" s="2550" t="str">
        <f>'LAUDO convencional'!A170:F170</f>
        <v>Resolução espacial @ FG, 0 kV, 0 mAs</v>
      </c>
      <c r="B162" s="2551"/>
      <c r="C162" s="2552"/>
      <c r="D162" s="2564" t="s">
        <v>2372</v>
      </c>
      <c r="E162" s="2565"/>
      <c r="F162" s="2466" t="s">
        <v>2478</v>
      </c>
      <c r="G162" s="2466"/>
      <c r="H162" s="2472" t="e">
        <f>'LAUDO convencional'!H170:I170</f>
        <v>#N/A</v>
      </c>
      <c r="I162" s="2472"/>
      <c r="J162" s="2141" t="e">
        <f>'LAUDO convencional'!J170</f>
        <v>#N/A</v>
      </c>
      <c r="K162" s="2137" t="str">
        <f>IFERROR(IF(OR($E$47="Raios X para Fluoroscopia",J162="NA",J162="NPA"),"x",'LAUDO convencional'!K170),"x")</f>
        <v>x</v>
      </c>
      <c r="O162" s="2228" t="e">
        <f t="shared" si="0"/>
        <v>#N/A</v>
      </c>
    </row>
    <row r="163" spans="1:15" s="2018" customFormat="1" ht="21" customHeight="1" x14ac:dyDescent="0.25">
      <c r="A163" s="2550" t="str">
        <f>'LAUDO convencional'!A198:F198</f>
        <v xml:space="preserve">Reprodutibilidade do CAE - mesa                          </v>
      </c>
      <c r="B163" s="2551"/>
      <c r="C163" s="2552"/>
      <c r="D163" s="2564" t="s">
        <v>2378</v>
      </c>
      <c r="E163" s="2565"/>
      <c r="F163" s="2466" t="s">
        <v>2572</v>
      </c>
      <c r="G163" s="2466"/>
      <c r="H163" s="2472" t="str">
        <f ca="1">'LAUDO convencional'!H198:I198</f>
        <v>NA</v>
      </c>
      <c r="I163" s="2472"/>
      <c r="J163" s="2141" t="str">
        <f ca="1">'LAUDO convencional'!J198</f>
        <v>NA</v>
      </c>
      <c r="K163" s="2137" t="str">
        <f ca="1">IF(OR($E$47="Raios X para Fluoroscopia",J163="NA",J163="NPA"),"x",'LAUDO convencional'!K198)</f>
        <v>x</v>
      </c>
      <c r="O163" s="2228" t="str">
        <f t="shared" ca="1" si="0"/>
        <v>NA</v>
      </c>
    </row>
    <row r="164" spans="1:15" s="2018" customFormat="1" ht="22.5" customHeight="1" x14ac:dyDescent="0.25">
      <c r="A164" s="2550" t="str">
        <f>'LAUDO convencional'!A199:F199</f>
        <v xml:space="preserve">Reprodutibilidade do CAE - bucky </v>
      </c>
      <c r="B164" s="2551"/>
      <c r="C164" s="2552"/>
      <c r="D164" s="2564" t="s">
        <v>2378</v>
      </c>
      <c r="E164" s="2565"/>
      <c r="F164" s="2466" t="s">
        <v>2572</v>
      </c>
      <c r="G164" s="2466"/>
      <c r="H164" s="2472" t="str">
        <f ca="1">'LAUDO convencional'!H199:I199</f>
        <v>NA</v>
      </c>
      <c r="I164" s="2472"/>
      <c r="J164" s="2141" t="str">
        <f ca="1">'LAUDO convencional'!J199</f>
        <v>NA</v>
      </c>
      <c r="K164" s="2137" t="str">
        <f ca="1">IF(OR($E$47="Raios X para Fluoroscopia",J164="NA",J164="NPA"),"x",'LAUDO convencional'!K199)</f>
        <v>x</v>
      </c>
      <c r="O164" s="2228" t="str">
        <f t="shared" ca="1" si="0"/>
        <v>NA</v>
      </c>
    </row>
    <row r="165" spans="1:15" s="2018" customFormat="1" ht="21.75" customHeight="1" x14ac:dyDescent="0.25">
      <c r="A165" s="2550" t="str">
        <f>'LAUDO convencional'!A200:F200</f>
        <v xml:space="preserve">Compensação do CAE - mesa </v>
      </c>
      <c r="B165" s="2551"/>
      <c r="C165" s="2552"/>
      <c r="D165" s="2564" t="s">
        <v>2379</v>
      </c>
      <c r="E165" s="2565"/>
      <c r="F165" s="2466" t="s">
        <v>2573</v>
      </c>
      <c r="G165" s="2466"/>
      <c r="H165" s="2472" t="str">
        <f ca="1">'LAUDO convencional'!H200:I200</f>
        <v>NA</v>
      </c>
      <c r="I165" s="2472"/>
      <c r="J165" s="2141" t="str">
        <f ca="1">'LAUDO convencional'!J200</f>
        <v>NA</v>
      </c>
      <c r="K165" s="2137" t="str">
        <f ca="1">IF(OR($E$47="Raios X para Fluoroscopia",J165="NA",J165="NPA"),"x",'LAUDO convencional'!K200)</f>
        <v>x</v>
      </c>
      <c r="O165" s="2228" t="str">
        <f t="shared" ca="1" si="0"/>
        <v>NA</v>
      </c>
    </row>
    <row r="166" spans="1:15" s="2018" customFormat="1" ht="22.5" customHeight="1" x14ac:dyDescent="0.25">
      <c r="A166" s="2550" t="str">
        <f>'LAUDO convencional'!A201:F201</f>
        <v xml:space="preserve">Compensação do CAE - bucky                      </v>
      </c>
      <c r="B166" s="2551"/>
      <c r="C166" s="2552"/>
      <c r="D166" s="2564" t="s">
        <v>2379</v>
      </c>
      <c r="E166" s="2565"/>
      <c r="F166" s="2466" t="s">
        <v>2573</v>
      </c>
      <c r="G166" s="2466"/>
      <c r="H166" s="2472" t="str">
        <f ca="1">'LAUDO convencional'!H201:I201</f>
        <v>NA</v>
      </c>
      <c r="I166" s="2472"/>
      <c r="J166" s="2141" t="str">
        <f ca="1">'LAUDO convencional'!J201</f>
        <v>NA</v>
      </c>
      <c r="K166" s="2137" t="str">
        <f ca="1">IF(OR($E$47="Raios X para Fluoroscopia",J166="NA",J166="NPA"),"x",'LAUDO convencional'!K201)</f>
        <v>x</v>
      </c>
      <c r="O166" s="2228" t="str">
        <f t="shared" ca="1" si="0"/>
        <v>NA</v>
      </c>
    </row>
    <row r="167" spans="1:15" s="2018" customFormat="1" ht="27.75" customHeight="1" x14ac:dyDescent="0.25">
      <c r="A167" s="2550" t="str">
        <f>'LAUDO convencional'!A194:F194</f>
        <v xml:space="preserve">Uniformidade da imagem do DR - mesa </v>
      </c>
      <c r="B167" s="2551"/>
      <c r="C167" s="2552"/>
      <c r="D167" s="2564" t="s">
        <v>2375</v>
      </c>
      <c r="E167" s="2565"/>
      <c r="F167" s="2466" t="s">
        <v>2574</v>
      </c>
      <c r="G167" s="2466"/>
      <c r="H167" s="2472" t="str">
        <f>'LAUDO convencional'!H194:I194</f>
        <v>NPA</v>
      </c>
      <c r="I167" s="2472"/>
      <c r="J167" s="2141" t="str">
        <f>'LAUDO convencional'!J194</f>
        <v>NA</v>
      </c>
      <c r="K167" s="2137" t="str">
        <f>IF(OR($E$47="Raios X para Fluoroscopia",J167="NA",J167="NPA"),"x",'LAUDO convencional'!K194)</f>
        <v>x</v>
      </c>
      <c r="O167" s="2228" t="str">
        <f t="shared" si="0"/>
        <v>NA</v>
      </c>
    </row>
    <row r="168" spans="1:15" s="2018" customFormat="1" ht="33.75" customHeight="1" x14ac:dyDescent="0.25">
      <c r="A168" s="2550" t="str">
        <f>'LAUDO convencional'!A196:F196</f>
        <v>Exatidão do indicador de dose do detector DR</v>
      </c>
      <c r="B168" s="2551"/>
      <c r="C168" s="2552"/>
      <c r="D168" s="2564" t="s">
        <v>2376</v>
      </c>
      <c r="E168" s="2565"/>
      <c r="F168" s="2466" t="s">
        <v>2569</v>
      </c>
      <c r="G168" s="2466"/>
      <c r="H168" s="2472" t="str">
        <f>'LAUDO convencional'!H196:I196</f>
        <v>NA</v>
      </c>
      <c r="I168" s="2472"/>
      <c r="J168" s="2141" t="str">
        <f>'LAUDO convencional'!J196</f>
        <v>NA</v>
      </c>
      <c r="K168" s="2137" t="str">
        <f>IF(OR($E$47="Raios X para Fluoroscopia",J168="NA",J168="NPA"),"x",'LAUDO convencional'!K196)</f>
        <v>x</v>
      </c>
      <c r="O168" s="2228" t="str">
        <f>IF(J168="Não","Não conforme",IF(J168="Restrição","Não conforme",IF(J168="Sim","Conforme",IF(J168="NPA","NPA","NA"))))</f>
        <v>NA</v>
      </c>
    </row>
    <row r="169" spans="1:15" ht="15" customHeight="1" x14ac:dyDescent="0.25">
      <c r="A169" s="2578" t="s">
        <v>2749</v>
      </c>
      <c r="B169" s="2578"/>
      <c r="C169" s="2578"/>
      <c r="D169" s="2578"/>
      <c r="E169" s="2578"/>
      <c r="F169" s="2578"/>
      <c r="G169" s="2578"/>
      <c r="H169" s="2578"/>
      <c r="I169" s="2578"/>
      <c r="J169" s="2578"/>
      <c r="K169" s="2267" t="str">
        <f>IF(OR($E$47="Raios X para Fluoroscopia",J169="NA",J169="NPA"),"x",'LAUDO convencional'!K174)</f>
        <v>x</v>
      </c>
      <c r="O169" s="2228"/>
    </row>
    <row r="170" spans="1:15" ht="24" customHeight="1" x14ac:dyDescent="0.25">
      <c r="A170" s="2488" t="s">
        <v>2750</v>
      </c>
      <c r="B170" s="2488"/>
      <c r="C170" s="2488"/>
      <c r="D170" s="2488"/>
      <c r="E170" s="2488"/>
      <c r="F170" s="2488"/>
      <c r="G170" s="2488"/>
      <c r="H170" s="2488"/>
      <c r="I170" s="2488"/>
      <c r="J170" s="2488"/>
      <c r="K170" s="2267" t="str">
        <f>IF(OR($E$47="Raios X para Fluoroscopia",J170="NA",J170="NPA"),"x",'LAUDO convencional'!K175)</f>
        <v>x</v>
      </c>
    </row>
    <row r="171" spans="1:15" ht="10.5" customHeight="1" x14ac:dyDescent="0.25">
      <c r="A171" s="2488" t="s">
        <v>2751</v>
      </c>
      <c r="B171" s="2488"/>
      <c r="C171" s="2488"/>
      <c r="D171" s="2488"/>
      <c r="E171" s="2488"/>
      <c r="F171" s="2488"/>
      <c r="G171" s="2488"/>
      <c r="H171" s="2488"/>
      <c r="I171" s="2488"/>
      <c r="J171" s="2488"/>
      <c r="K171" s="2267" t="str">
        <f>IF(OR($E$47="Raios X para Fluoroscopia",J171="NA",J171="NPA"),"x",'LAUDO convencional'!K176)</f>
        <v>x</v>
      </c>
    </row>
    <row r="172" spans="1:15" ht="15" customHeight="1" x14ac:dyDescent="0.25">
      <c r="A172" s="284"/>
      <c r="K172" s="2137" t="str">
        <f>IF($E$47="Raios X para Fluoroscopia","x",IF('LAUDO convencional'!K205=0,"",'LAUDO convencional'!K205))</f>
        <v/>
      </c>
    </row>
    <row r="173" spans="1:15" ht="15" customHeight="1" x14ac:dyDescent="0.25">
      <c r="A173" s="281" t="str">
        <f>IF($E$47="Raios X para Fluoroscopia","5.1 Modo Fluoroscopia:","5.2 Modo Fluoroscopia:")</f>
        <v>5.2 Modo Fluoroscopia:</v>
      </c>
    </row>
    <row r="174" spans="1:15" ht="15" customHeight="1" x14ac:dyDescent="0.25">
      <c r="A174" s="281" t="s">
        <v>164</v>
      </c>
      <c r="K174" s="2137" t="str">
        <f ca="1">IF(COUNTIF(K177:K190,"")=0,"x","")</f>
        <v/>
      </c>
      <c r="L174" s="2016">
        <f>COUNTIF(B181:J181,"=Não")+COUNTIF(B181:J181,"=Restrição")+COUNTIF(B187:J187,"=Não")+COUNTIF(B187:J187,"=Restrição")</f>
        <v>0</v>
      </c>
    </row>
    <row r="175" spans="1:15" ht="15" customHeight="1" x14ac:dyDescent="0.25">
      <c r="A175" s="2137" t="s">
        <v>2356</v>
      </c>
      <c r="C175" s="2137" t="s">
        <v>2548</v>
      </c>
      <c r="L175" s="2016"/>
    </row>
    <row r="176" spans="1:15" ht="15" customHeight="1" x14ac:dyDescent="0.25">
      <c r="A176" s="2137" t="s">
        <v>2358</v>
      </c>
      <c r="C176" s="2137" t="s">
        <v>2359</v>
      </c>
      <c r="L176" s="2016"/>
    </row>
    <row r="177" spans="1:16" ht="15" customHeight="1" x14ac:dyDescent="0.25">
      <c r="A177" s="2473" t="s">
        <v>304</v>
      </c>
      <c r="B177" s="2473"/>
      <c r="C177" s="2168"/>
      <c r="D177" s="2168"/>
      <c r="E177" s="2168"/>
      <c r="K177" s="2137" t="str">
        <f>IF(B178="","x","")</f>
        <v>x</v>
      </c>
    </row>
    <row r="178" spans="1:16" ht="15" customHeight="1" x14ac:dyDescent="0.25">
      <c r="A178" s="2077" t="s">
        <v>201</v>
      </c>
      <c r="B178" s="2078" t="str">
        <f>IF(fluor!A42&lt;&gt;0,fluor!A42,"")</f>
        <v/>
      </c>
      <c r="C178" s="2078" t="str">
        <f>IF(fluor!A43&lt;&gt;0,fluor!A43,"")</f>
        <v/>
      </c>
      <c r="D178" s="2078" t="str">
        <f>IF(fluor!A44&lt;&gt;0,fluor!A44,"")</f>
        <v/>
      </c>
      <c r="E178" s="2078" t="str">
        <f>IF(fluor!A45&lt;&gt;0,fluor!A45,"")</f>
        <v/>
      </c>
      <c r="F178" s="2078" t="str">
        <f>IF(fluor!A46&lt;&gt;0,fluor!A46,"")</f>
        <v/>
      </c>
      <c r="G178" s="2078" t="str">
        <f>IF(fluor!A47&lt;&gt;0,fluor!A47,"")</f>
        <v/>
      </c>
      <c r="H178" s="2078"/>
      <c r="I178" s="2078"/>
      <c r="K178" s="2137" t="str">
        <f>K177</f>
        <v>x</v>
      </c>
    </row>
    <row r="179" spans="1:16" ht="15" customHeight="1" x14ac:dyDescent="0.25">
      <c r="A179" s="2077" t="s">
        <v>202</v>
      </c>
      <c r="B179" s="1133" t="str">
        <f>IF(B178="","",IF(fluor!C42&lt;&gt;0,fluor!C42,"NM"))</f>
        <v/>
      </c>
      <c r="C179" s="1133" t="str">
        <f>IF(C178="","",IF(fluor!C43&lt;&gt;0,fluor!C43,"NM"))</f>
        <v/>
      </c>
      <c r="D179" s="1133" t="str">
        <f>IF(D178="","",IF(fluor!C44&lt;&gt;0,fluor!C44,"NM"))</f>
        <v/>
      </c>
      <c r="E179" s="1133" t="str">
        <f>IF(E178="","",IF(fluor!C45&lt;&gt;0,fluor!C45,"NM"))</f>
        <v/>
      </c>
      <c r="F179" s="1133" t="str">
        <f>IF(F178="","",IF(fluor!C46&lt;&gt;0,fluor!C46,"NM"))</f>
        <v/>
      </c>
      <c r="G179" s="1133" t="str">
        <f>IF(G178="","",IF(fluor!C47&lt;&gt;0,fluor!C47,"NM"))</f>
        <v/>
      </c>
      <c r="H179" s="1133"/>
      <c r="I179" s="1133"/>
      <c r="K179" s="2137" t="str">
        <f>K178</f>
        <v>x</v>
      </c>
    </row>
    <row r="180" spans="1:16" s="2228" customFormat="1" ht="15" customHeight="1" x14ac:dyDescent="0.25">
      <c r="A180" s="2077" t="s">
        <v>2778</v>
      </c>
      <c r="B180" s="1133" t="str">
        <f ca="1">fluor!E42</f>
        <v/>
      </c>
      <c r="C180" s="1133" t="str">
        <f ca="1">fluor!E43</f>
        <v/>
      </c>
      <c r="D180" s="1133" t="str">
        <f ca="1">fluor!E44</f>
        <v/>
      </c>
      <c r="E180" s="1133" t="str">
        <f ca="1">fluor!E45</f>
        <v/>
      </c>
      <c r="F180" s="1133" t="str">
        <f ca="1">fluor!E46</f>
        <v/>
      </c>
      <c r="G180" s="1133" t="str">
        <f ca="1">fluor!E47</f>
        <v/>
      </c>
      <c r="H180" s="1133"/>
      <c r="I180" s="1133"/>
      <c r="K180" s="2228" t="str">
        <f>K178</f>
        <v>x</v>
      </c>
    </row>
    <row r="181" spans="1:16" ht="15" customHeight="1" x14ac:dyDescent="0.25">
      <c r="A181" s="2077" t="str">
        <f>fluor!B1</f>
        <v>IN 91</v>
      </c>
      <c r="B181" s="1136" t="str">
        <f t="shared" ref="B181:G181" si="1">IFERROR(IF(ABS(B179/B178-1)&lt;=0.1,"Sim",IF(ABS(B179/B178-1)&lt;0.2,"Não","Restrição")),"")</f>
        <v/>
      </c>
      <c r="C181" s="1136" t="str">
        <f>IFERROR(IF(ABS(C179/C178-1)&lt;=0.1,"Sim",IF(ABS(C179/C178-1)&lt;0.2,"Não","Restrição")),"")</f>
        <v/>
      </c>
      <c r="D181" s="1136" t="str">
        <f t="shared" si="1"/>
        <v/>
      </c>
      <c r="E181" s="1136" t="str">
        <f t="shared" si="1"/>
        <v/>
      </c>
      <c r="F181" s="1136" t="str">
        <f t="shared" si="1"/>
        <v/>
      </c>
      <c r="G181" s="1136" t="str">
        <f t="shared" si="1"/>
        <v/>
      </c>
      <c r="H181" s="1133"/>
      <c r="I181" s="2087"/>
      <c r="K181" s="2137" t="str">
        <f>K179</f>
        <v>x</v>
      </c>
      <c r="L181" s="2137">
        <f>COUNTIF(C181:I181,"Restrição")</f>
        <v>0</v>
      </c>
      <c r="P181" s="2228" t="str">
        <f>IF(COUNTIF(B181:J181,"Não")&lt;&gt;0,"Não conforme",IF(COUNTIF(B181:J181,"Restrição")&lt;&gt;0,"Não conforme",IF(COUNTIF(B181:J181,"Sim")&lt;&gt;0,"Conforme",IF(COUNTIF(B181:J181,"NPA")&lt;&gt;0,"NPA","NA"))))</f>
        <v>NA</v>
      </c>
    </row>
    <row r="182" spans="1:16" ht="15" customHeight="1" x14ac:dyDescent="0.25">
      <c r="A182" s="1349"/>
      <c r="B182" s="2168"/>
      <c r="C182" s="2168"/>
      <c r="D182" s="2168"/>
      <c r="E182" s="2168"/>
      <c r="K182" s="2137" t="str">
        <f>K181</f>
        <v>x</v>
      </c>
    </row>
    <row r="183" spans="1:16" ht="15" customHeight="1" x14ac:dyDescent="0.25">
      <c r="A183" s="2473" t="s">
        <v>305</v>
      </c>
      <c r="B183" s="2473"/>
      <c r="C183" s="2168"/>
      <c r="D183" s="2168"/>
      <c r="E183" s="2168"/>
      <c r="K183" s="2137" t="str">
        <f>IF(B184&lt;&gt;"","","x")</f>
        <v>x</v>
      </c>
    </row>
    <row r="184" spans="1:16" ht="15" customHeight="1" x14ac:dyDescent="0.25">
      <c r="A184" s="2077" t="s">
        <v>303</v>
      </c>
      <c r="B184" s="2078" t="str">
        <f>IF(fluor!A87&lt;&gt;0,fluor!A87,"")</f>
        <v/>
      </c>
      <c r="C184" s="2078" t="str">
        <f>IF(fluor!A88&lt;&gt;0,fluor!A88,"")</f>
        <v/>
      </c>
      <c r="D184" s="2078" t="str">
        <f>IF(fluor!A89&lt;&gt;0,fluor!A89,"")</f>
        <v/>
      </c>
      <c r="E184" s="2078" t="str">
        <f>IF(fluor!A90&lt;&gt;0,fluor!A90,"")</f>
        <v/>
      </c>
      <c r="F184" s="2078" t="str">
        <f>IF(fluor!A91&lt;&gt;0,fluor!A91,"")</f>
        <v/>
      </c>
      <c r="G184" s="2078" t="str">
        <f>IF(fluor!A92&lt;&gt;0,fluor!A92,"")</f>
        <v/>
      </c>
      <c r="H184" s="2078" t="str">
        <f>IF(fluor!A93&lt;&gt;0,fluor!A93,"")</f>
        <v/>
      </c>
      <c r="I184" s="2078" t="str">
        <f>IF(fluor!A94&lt;&gt;0,fluor!A94,"")</f>
        <v/>
      </c>
      <c r="K184" s="2137" t="str">
        <f>K183</f>
        <v>x</v>
      </c>
    </row>
    <row r="185" spans="1:16" ht="15" customHeight="1" x14ac:dyDescent="0.25">
      <c r="A185" s="2077" t="s">
        <v>202</v>
      </c>
      <c r="B185" s="1133" t="str">
        <f>IF(B184="","",IF(fluor!C87&lt;&gt;0,fluor!C87,"NM"))</f>
        <v/>
      </c>
      <c r="C185" s="1133" t="str">
        <f>IF(C184="","",IF(fluor!C88&lt;&gt;0,fluor!C88,"NM"))</f>
        <v/>
      </c>
      <c r="D185" s="1133" t="str">
        <f>IF(D184="","",IF(fluor!C89&lt;&gt;0,fluor!C89,"NM"))</f>
        <v/>
      </c>
      <c r="E185" s="1133" t="str">
        <f>IF(E184="","",IF(fluor!C90&lt;&gt;0,fluor!C90,"NM"))</f>
        <v/>
      </c>
      <c r="F185" s="1133" t="str">
        <f>IF(F184="","",IF(fluor!C91&lt;&gt;0,fluor!C91,"NM"))</f>
        <v/>
      </c>
      <c r="G185" s="1133" t="str">
        <f>IF(G184="","",IF(fluor!C92&lt;&gt;0,fluor!C92,"NM"))</f>
        <v/>
      </c>
      <c r="H185" s="1133" t="str">
        <f>IF(H184="","",IF(fluor!C93&lt;&gt;0,fluor!C93,"NM"))</f>
        <v/>
      </c>
      <c r="I185" s="1133" t="str">
        <f>IF(I184="","",IF(fluor!C94&lt;&gt;0,fluor!C94,"NM"))</f>
        <v/>
      </c>
      <c r="K185" s="2137" t="str">
        <f>K184</f>
        <v>x</v>
      </c>
    </row>
    <row r="186" spans="1:16" s="2228" customFormat="1" ht="15" customHeight="1" x14ac:dyDescent="0.25">
      <c r="A186" s="2077" t="s">
        <v>2778</v>
      </c>
      <c r="B186" s="1133" t="str">
        <f ca="1">fluor!E87</f>
        <v/>
      </c>
      <c r="C186" s="1133" t="str">
        <f ca="1">fluor!E88</f>
        <v/>
      </c>
      <c r="D186" s="1133" t="str">
        <f ca="1">fluor!E89</f>
        <v/>
      </c>
      <c r="E186" s="1133" t="str">
        <f ca="1">fluor!E90</f>
        <v/>
      </c>
      <c r="F186" s="1133" t="str">
        <f ca="1">fluor!E91</f>
        <v/>
      </c>
      <c r="G186" s="1133" t="str">
        <f ca="1">fluor!E92</f>
        <v/>
      </c>
      <c r="H186" s="1133" t="str">
        <f ca="1">fluor!E93</f>
        <v/>
      </c>
      <c r="I186" s="1133" t="str">
        <f ca="1">fluor!E94</f>
        <v/>
      </c>
      <c r="K186" s="2228" t="str">
        <f>K184</f>
        <v>x</v>
      </c>
    </row>
    <row r="187" spans="1:16" ht="15" customHeight="1" x14ac:dyDescent="0.25">
      <c r="A187" s="2077" t="str">
        <f>A181</f>
        <v>IN 91</v>
      </c>
      <c r="B187" s="1136" t="str">
        <f>IFERROR(IF(ABS(B185/B184-1)&lt;=0.1,"Sim",IF(ABS(B185/B184-1)&lt;0.2,"Não","Restrição")),"")</f>
        <v/>
      </c>
      <c r="C187" s="1136" t="str">
        <f t="shared" ref="C187:I187" si="2">IFERROR(IF(ABS(C185/C184-1)&lt;=0.1,"Sim",IF(ABS(C185/C184-1)&lt;0.2,"Não","Restrição")),"")</f>
        <v/>
      </c>
      <c r="D187" s="1136" t="str">
        <f t="shared" si="2"/>
        <v/>
      </c>
      <c r="E187" s="1136" t="str">
        <f t="shared" si="2"/>
        <v/>
      </c>
      <c r="F187" s="1136" t="str">
        <f t="shared" si="2"/>
        <v/>
      </c>
      <c r="G187" s="1136" t="str">
        <f t="shared" si="2"/>
        <v/>
      </c>
      <c r="H187" s="1136" t="str">
        <f t="shared" si="2"/>
        <v/>
      </c>
      <c r="I187" s="1136" t="str">
        <f t="shared" si="2"/>
        <v/>
      </c>
      <c r="K187" s="2137" t="str">
        <f>K185</f>
        <v>x</v>
      </c>
      <c r="L187" s="2137">
        <f>COUNTIF(C187:I187,"Restrição")</f>
        <v>0</v>
      </c>
      <c r="P187" s="2228" t="str">
        <f>IF(COUNTIF(B187:J187,"Não")&lt;&gt;0,"Não conforme",IF(COUNTIF(B187:J187,"Restrição")&lt;&gt;0,"Não conforme",IF(COUNTIF(B187:J187,"Sim")&lt;&gt;0,"Conforme",IF(COUNTIF(B187:J187,"NPA")&lt;&gt;0,"NPA","NA"))))</f>
        <v>NA</v>
      </c>
    </row>
    <row r="188" spans="1:16" ht="15" customHeight="1" x14ac:dyDescent="0.25">
      <c r="A188" s="2177" t="s">
        <v>2461</v>
      </c>
      <c r="B188" s="2177"/>
      <c r="C188" s="2177"/>
      <c r="D188" s="2177"/>
      <c r="E188" s="2177"/>
      <c r="F188" s="2177"/>
      <c r="G188" s="2177"/>
      <c r="H188" s="2177"/>
      <c r="I188" s="2177"/>
      <c r="K188" s="2137" t="str">
        <f>IF(AND(K177="x",K183="x"),"x","")</f>
        <v>x</v>
      </c>
    </row>
    <row r="189" spans="1:16" ht="15" customHeight="1" x14ac:dyDescent="0.25">
      <c r="A189" s="2488" t="s">
        <v>2549</v>
      </c>
      <c r="B189" s="2488"/>
      <c r="C189" s="2488"/>
      <c r="D189" s="2488"/>
      <c r="E189" s="2488"/>
      <c r="F189" s="2488"/>
      <c r="G189" s="2488"/>
      <c r="H189" s="2488"/>
      <c r="I189" s="2488"/>
      <c r="J189" s="2488"/>
    </row>
    <row r="190" spans="1:16" ht="15" customHeight="1" x14ac:dyDescent="0.25">
      <c r="A190" s="2140"/>
      <c r="B190" s="2140"/>
      <c r="C190" s="2140"/>
      <c r="D190" s="2140"/>
      <c r="E190" s="2140"/>
      <c r="F190" s="2140"/>
      <c r="G190" s="2140"/>
      <c r="H190" s="2140"/>
      <c r="I190" s="2140"/>
      <c r="K190" s="2137" t="str">
        <f ca="1">K191</f>
        <v/>
      </c>
    </row>
    <row r="191" spans="1:16" ht="15" customHeight="1" x14ac:dyDescent="0.25">
      <c r="A191" s="281" t="s">
        <v>418</v>
      </c>
      <c r="B191" s="2140"/>
      <c r="C191" s="2140"/>
      <c r="D191" s="2140"/>
      <c r="E191" s="2140"/>
      <c r="F191" s="2140"/>
      <c r="G191" s="2140"/>
      <c r="H191" s="2140"/>
      <c r="I191" s="2140"/>
      <c r="K191" s="2137" t="str">
        <f ca="1">K193</f>
        <v/>
      </c>
      <c r="L191" s="2203">
        <f ca="1">COUNTIF(C204:J209,"=Não")+COUNTIF(C204:J209,"=Restrição")</f>
        <v>0</v>
      </c>
      <c r="M191" s="2137">
        <f ca="1">COUNTIF(C204:J209,"Restrição")</f>
        <v>0</v>
      </c>
    </row>
    <row r="192" spans="1:16" ht="15" customHeight="1" x14ac:dyDescent="0.25">
      <c r="A192" s="2137" t="s">
        <v>2356</v>
      </c>
      <c r="B192" s="2140"/>
      <c r="C192" s="2488" t="s">
        <v>2577</v>
      </c>
      <c r="D192" s="2488"/>
      <c r="E192" s="2488"/>
      <c r="F192" s="2488"/>
      <c r="G192" s="2488"/>
      <c r="H192" s="2488"/>
      <c r="I192" s="2488"/>
      <c r="J192" s="2488"/>
      <c r="L192" s="2203"/>
    </row>
    <row r="193" spans="1:16" ht="15" customHeight="1" x14ac:dyDescent="0.25">
      <c r="A193" s="2137" t="s">
        <v>2358</v>
      </c>
      <c r="B193" s="285"/>
      <c r="C193" s="2180" t="s">
        <v>2359</v>
      </c>
      <c r="D193" s="285"/>
      <c r="E193" s="285"/>
      <c r="F193" s="285"/>
      <c r="G193" s="285"/>
      <c r="H193" s="2140"/>
      <c r="I193" s="2140"/>
      <c r="K193" s="2137" t="str">
        <f ca="1">IF(COUNTIF(K203:K209,"")=0,"x","")</f>
        <v/>
      </c>
    </row>
    <row r="194" spans="1:16" ht="15" customHeight="1" x14ac:dyDescent="0.25">
      <c r="A194" s="2579" t="s">
        <v>1898</v>
      </c>
      <c r="B194" s="2579"/>
      <c r="C194" s="2579"/>
      <c r="D194" s="2579"/>
      <c r="E194" s="2579"/>
      <c r="F194" s="2579"/>
      <c r="G194" s="2579"/>
      <c r="H194" s="2140"/>
      <c r="I194" s="2140"/>
    </row>
    <row r="195" spans="1:16" ht="15" customHeight="1" x14ac:dyDescent="0.25">
      <c r="A195" s="2558" t="str">
        <f>"Campo ["&amp;fluor!$B$129&amp;"]"</f>
        <v>Campo [cm]</v>
      </c>
      <c r="B195" s="2559"/>
      <c r="C195" s="2204">
        <f>IF(fluor!B517=0,"",fluor!B517)</f>
        <v>23</v>
      </c>
      <c r="D195" s="2204" t="str">
        <f>IF(fluor!C517=0,"",fluor!C517)</f>
        <v/>
      </c>
      <c r="E195" s="2204" t="str">
        <f>IF(fluor!D517=0,"",fluor!D517)</f>
        <v/>
      </c>
      <c r="F195" s="2204" t="str">
        <f>IF(fluor!E517=0,"",fluor!E517)</f>
        <v/>
      </c>
      <c r="G195" s="2204" t="str">
        <f>IF(fluor!F517=0,"",fluor!F517)</f>
        <v/>
      </c>
      <c r="H195" s="2204" t="str">
        <f>IF(fluor!G517=0,"",fluor!G517)</f>
        <v/>
      </c>
      <c r="I195" s="2205"/>
      <c r="J195" s="2206"/>
    </row>
    <row r="196" spans="1:16" ht="15" customHeight="1" x14ac:dyDescent="0.25">
      <c r="A196" s="2558" t="s">
        <v>433</v>
      </c>
      <c r="B196" s="2559"/>
      <c r="C196" s="1514">
        <f ca="1">IF(C195="","",fluor!B357)</f>
        <v>0</v>
      </c>
      <c r="D196" s="1514" t="str">
        <f>IF(D195="","",fluor!C357)</f>
        <v/>
      </c>
      <c r="E196" s="1514" t="str">
        <f>IF(E195="","",fluor!D357)</f>
        <v/>
      </c>
      <c r="F196" s="1514" t="str">
        <f>IF(F195="","",fluor!E357)</f>
        <v/>
      </c>
      <c r="G196" s="1514" t="str">
        <f>IF(G195="","",fluor!F357)</f>
        <v/>
      </c>
      <c r="H196" s="1514" t="str">
        <f>IF(H195="","",fluor!G357)</f>
        <v/>
      </c>
      <c r="I196" s="2205"/>
      <c r="J196" s="2206"/>
    </row>
    <row r="197" spans="1:16" ht="15" customHeight="1" x14ac:dyDescent="0.25">
      <c r="A197" s="2558" t="str">
        <f>$A$187</f>
        <v>IN 91</v>
      </c>
      <c r="B197" s="2559"/>
      <c r="C197" s="1514" t="str">
        <f ca="1">IF(C195="","",fluor!B358)</f>
        <v>Sim</v>
      </c>
      <c r="D197" s="1514" t="str">
        <f>IF(D195="","",fluor!C358)</f>
        <v/>
      </c>
      <c r="E197" s="1514" t="str">
        <f>IF(E195="","",fluor!D358)</f>
        <v/>
      </c>
      <c r="F197" s="1514" t="str">
        <f>IF(F195="","",fluor!E358)</f>
        <v/>
      </c>
      <c r="G197" s="1514" t="str">
        <f>IF(G195="","",fluor!F358)</f>
        <v/>
      </c>
      <c r="H197" s="1514" t="str">
        <f>IF(H195="","",fluor!G358)</f>
        <v/>
      </c>
      <c r="I197" s="2205"/>
      <c r="J197" s="2206"/>
      <c r="P197" s="2228" t="str">
        <f ca="1">IF(C197="Não","Não conforme",IF(C197="Restrição","Não conforme",IF(C197="Sim","Conforme",IF(C197="NPA","NPA","NA"))))</f>
        <v>Conforme</v>
      </c>
    </row>
    <row r="198" spans="1:16" ht="15" customHeight="1" x14ac:dyDescent="0.25">
      <c r="A198" s="1600" t="s">
        <v>2582</v>
      </c>
      <c r="B198" s="2207"/>
      <c r="C198" s="1514"/>
      <c r="D198" s="1514"/>
      <c r="E198" s="1514"/>
      <c r="F198" s="1514"/>
      <c r="G198" s="1514"/>
      <c r="H198" s="1514"/>
      <c r="I198" s="2205"/>
      <c r="J198" s="2206"/>
    </row>
    <row r="199" spans="1:16" ht="15" customHeight="1" x14ac:dyDescent="0.25">
      <c r="A199" s="2064"/>
      <c r="B199" s="2064"/>
      <c r="C199" s="2064"/>
      <c r="D199" s="2064"/>
      <c r="E199" s="2064"/>
      <c r="F199" s="2064"/>
      <c r="G199" s="2064"/>
      <c r="H199" s="2205"/>
      <c r="I199" s="2205"/>
      <c r="J199" s="2206"/>
    </row>
    <row r="200" spans="1:16" ht="15" customHeight="1" x14ac:dyDescent="0.25">
      <c r="A200" s="2137" t="s">
        <v>2356</v>
      </c>
      <c r="B200" s="2064"/>
      <c r="C200" s="2610" t="s">
        <v>2578</v>
      </c>
      <c r="D200" s="2610"/>
      <c r="E200" s="2610"/>
      <c r="F200" s="2610"/>
      <c r="G200" s="2610"/>
      <c r="H200" s="2610"/>
      <c r="I200" s="2610"/>
      <c r="J200" s="2610"/>
    </row>
    <row r="201" spans="1:16" ht="15" customHeight="1" x14ac:dyDescent="0.25">
      <c r="A201" s="2137" t="s">
        <v>2358</v>
      </c>
      <c r="B201" s="2064"/>
      <c r="C201" s="2180" t="s">
        <v>2359</v>
      </c>
      <c r="D201" s="2064"/>
      <c r="E201" s="2064"/>
      <c r="F201" s="2064"/>
      <c r="G201" s="2064"/>
      <c r="H201" s="2205"/>
      <c r="I201" s="2205"/>
      <c r="J201" s="2206"/>
    </row>
    <row r="202" spans="1:16" ht="15" customHeight="1" x14ac:dyDescent="0.25">
      <c r="A202" s="285" t="s">
        <v>1680</v>
      </c>
      <c r="H202" s="2140"/>
      <c r="I202" s="2140"/>
    </row>
    <row r="203" spans="1:16" s="2147" customFormat="1" ht="15" customHeight="1" x14ac:dyDescent="0.25">
      <c r="A203" s="2558" t="str">
        <f>"Campo ["&amp;fluor!$B$129&amp;"]"</f>
        <v>Campo [cm]</v>
      </c>
      <c r="B203" s="2559"/>
      <c r="C203" s="2204">
        <f>IF(fluor!B517=0,"",fluor!B517)</f>
        <v>23</v>
      </c>
      <c r="D203" s="2204" t="str">
        <f>IF(fluor!C517=0,"",fluor!C517)</f>
        <v/>
      </c>
      <c r="E203" s="2204" t="str">
        <f>IF(fluor!D517=0,"",fluor!D517)</f>
        <v/>
      </c>
      <c r="F203" s="2204" t="str">
        <f>IF(fluor!E517=0,"",fluor!E517)</f>
        <v/>
      </c>
      <c r="G203" s="2204" t="str">
        <f>IF(fluor!F517=0,"",fluor!F517)</f>
        <v/>
      </c>
      <c r="H203" s="2204" t="str">
        <f>IF(fluor!G517=0,"",fluor!G517)</f>
        <v/>
      </c>
      <c r="I203" s="1514"/>
      <c r="J203" s="1496"/>
      <c r="K203" s="2137" t="str">
        <f ca="1">IF(COUNTIF(C204:C209,"&lt;&gt;NPA")=0,"x","")</f>
        <v/>
      </c>
    </row>
    <row r="204" spans="1:16" s="2147" customFormat="1" ht="15" customHeight="1" x14ac:dyDescent="0.25">
      <c r="A204" s="2558" t="s">
        <v>433</v>
      </c>
      <c r="B204" s="2559"/>
      <c r="C204" s="1514">
        <f ca="1">IF(C$203="","",fluor!B530)</f>
        <v>0</v>
      </c>
      <c r="D204" s="1514" t="str">
        <f>IF(D$203="","",fluor!C530)</f>
        <v/>
      </c>
      <c r="E204" s="1514" t="str">
        <f>IF(E$203="","",fluor!D530)</f>
        <v/>
      </c>
      <c r="F204" s="1514" t="str">
        <f>IF(F$203="","",fluor!E530)</f>
        <v/>
      </c>
      <c r="G204" s="1514" t="str">
        <f>IF(G$203="","",fluor!F530)</f>
        <v/>
      </c>
      <c r="H204" s="1514" t="str">
        <f>IF(H$203="","",fluor!G530)</f>
        <v/>
      </c>
      <c r="I204" s="2208"/>
      <c r="J204" s="1503"/>
      <c r="K204" s="2137" t="str">
        <f t="shared" ref="K204:K209" ca="1" si="3">IF(C204="NPA","x","")</f>
        <v/>
      </c>
    </row>
    <row r="205" spans="1:16" s="2147" customFormat="1" ht="15" customHeight="1" x14ac:dyDescent="0.25">
      <c r="A205" s="2558" t="str">
        <f>$A$187</f>
        <v>IN 91</v>
      </c>
      <c r="B205" s="2559"/>
      <c r="C205" s="1514" t="str">
        <f ca="1">IF(C$203="","",fluor!B531)</f>
        <v>Sim</v>
      </c>
      <c r="D205" s="1514" t="str">
        <f>IF(D$203="","",fluor!C531)</f>
        <v/>
      </c>
      <c r="E205" s="1514" t="str">
        <f>IF(E$203="","",fluor!D531)</f>
        <v/>
      </c>
      <c r="F205" s="1514" t="str">
        <f>IF(F$203="","",fluor!E531)</f>
        <v/>
      </c>
      <c r="G205" s="1514" t="str">
        <f>IF(G$203="","",fluor!F531)</f>
        <v/>
      </c>
      <c r="H205" s="1514" t="str">
        <f>IF(H$203="","",fluor!G531)</f>
        <v/>
      </c>
      <c r="I205" s="2208"/>
      <c r="J205" s="1503"/>
      <c r="K205" s="2137" t="str">
        <f t="shared" ca="1" si="3"/>
        <v/>
      </c>
      <c r="P205" s="2228" t="str">
        <f ca="1">IF(C205="Não","Não conforme",IF(C205="Restrição","Não conforme",IF(C205="Sim","Conforme",IF(C205="NPA","NPA","NA"))))</f>
        <v>Conforme</v>
      </c>
    </row>
    <row r="206" spans="1:16" s="2147" customFormat="1" ht="15" customHeight="1" x14ac:dyDescent="0.25">
      <c r="A206" s="2558" t="s">
        <v>654</v>
      </c>
      <c r="B206" s="2559"/>
      <c r="C206" s="1514" t="str">
        <f ca="1">IF(C$203="","",fluor!B532)</f>
        <v>NPA</v>
      </c>
      <c r="D206" s="1514" t="str">
        <f>IF(D$203="","",fluor!C532)</f>
        <v/>
      </c>
      <c r="E206" s="1514" t="str">
        <f>IF(E$203="","",fluor!D532)</f>
        <v/>
      </c>
      <c r="F206" s="1514" t="str">
        <f>IF(F$203="","",fluor!E532)</f>
        <v/>
      </c>
      <c r="G206" s="1514" t="str">
        <f>IF(G$203="","",fluor!F532)</f>
        <v/>
      </c>
      <c r="H206" s="1514" t="str">
        <f>IF(H$203="","",fluor!G532)</f>
        <v/>
      </c>
      <c r="I206" s="2208"/>
      <c r="J206" s="1503"/>
      <c r="K206" s="2137" t="str">
        <f t="shared" ca="1" si="3"/>
        <v>x</v>
      </c>
    </row>
    <row r="207" spans="1:16" ht="15" customHeight="1" x14ac:dyDescent="0.25">
      <c r="A207" s="2558" t="str">
        <f>A205</f>
        <v>IN 91</v>
      </c>
      <c r="B207" s="2559"/>
      <c r="C207" s="1514" t="str">
        <f ca="1">IF(C$203="","",fluor!B533)</f>
        <v>NPA</v>
      </c>
      <c r="D207" s="1514" t="str">
        <f>IF(D$203="","",fluor!C533)</f>
        <v/>
      </c>
      <c r="E207" s="1514" t="str">
        <f>IF(E$203="","",fluor!D533)</f>
        <v/>
      </c>
      <c r="F207" s="1514" t="str">
        <f>IF(F$203="","",fluor!E533)</f>
        <v/>
      </c>
      <c r="G207" s="1514" t="str">
        <f>IF(G$203="","",fluor!F533)</f>
        <v/>
      </c>
      <c r="H207" s="1514" t="str">
        <f>IF(H$203="","",fluor!G533)</f>
        <v/>
      </c>
      <c r="I207" s="2209"/>
      <c r="J207" s="163"/>
      <c r="K207" s="2137" t="str">
        <f t="shared" ca="1" si="3"/>
        <v>x</v>
      </c>
      <c r="P207" s="2228" t="str">
        <f ca="1">IF(C207="Não","Não conforme",IF(C207="Restrição","Não conforme",IF(C207="Sim","Conforme",IF(C207="NPA","NPA","NA"))))</f>
        <v>NPA</v>
      </c>
    </row>
    <row r="208" spans="1:16" ht="15" customHeight="1" x14ac:dyDescent="0.25">
      <c r="A208" s="2558" t="s">
        <v>434</v>
      </c>
      <c r="B208" s="2559"/>
      <c r="C208" s="1514" t="str">
        <f ca="1">IF(C$203="","",fluor!B534)</f>
        <v>NPA</v>
      </c>
      <c r="D208" s="1514" t="str">
        <f>IF(D$203="","",fluor!C534)</f>
        <v/>
      </c>
      <c r="E208" s="1514" t="str">
        <f>IF(E$203="","",fluor!D534)</f>
        <v/>
      </c>
      <c r="F208" s="1514" t="str">
        <f>IF(F$203="","",fluor!E534)</f>
        <v/>
      </c>
      <c r="G208" s="1514" t="str">
        <f>IF(G$203="","",fluor!F534)</f>
        <v/>
      </c>
      <c r="H208" s="1514" t="str">
        <f>IF(H$203="","",fluor!G534)</f>
        <v/>
      </c>
      <c r="I208" s="2209"/>
      <c r="J208" s="163"/>
      <c r="K208" s="2137" t="str">
        <f t="shared" ca="1" si="3"/>
        <v>x</v>
      </c>
    </row>
    <row r="209" spans="1:16" ht="15" customHeight="1" x14ac:dyDescent="0.25">
      <c r="A209" s="2558" t="str">
        <f>A205</f>
        <v>IN 91</v>
      </c>
      <c r="B209" s="2559"/>
      <c r="C209" s="1514" t="str">
        <f ca="1">IF(C$203="","",fluor!B535)</f>
        <v>NPA</v>
      </c>
      <c r="D209" s="1514" t="str">
        <f>IF(D$203="","",fluor!C535)</f>
        <v/>
      </c>
      <c r="E209" s="1514" t="str">
        <f>IF(E$203="","",fluor!D535)</f>
        <v/>
      </c>
      <c r="F209" s="1514" t="str">
        <f>IF(F$203="","",fluor!E535)</f>
        <v/>
      </c>
      <c r="G209" s="1514" t="str">
        <f>IF(G$203="","",fluor!F535)</f>
        <v/>
      </c>
      <c r="H209" s="1514" t="str">
        <f>IF(H$203="","",fluor!G535)</f>
        <v/>
      </c>
      <c r="I209" s="2209"/>
      <c r="J209" s="163"/>
      <c r="K209" s="2137" t="str">
        <f t="shared" ca="1" si="3"/>
        <v>x</v>
      </c>
      <c r="P209" s="2228" t="str">
        <f ca="1">IF(C209="Não","Não conforme",IF(C209="Restrição","Não conforme",IF(C209="Sim","Conforme",IF(C209="NPA","NPA","NA"))))</f>
        <v>NPA</v>
      </c>
    </row>
    <row r="210" spans="1:16" ht="15" customHeight="1" x14ac:dyDescent="0.25">
      <c r="A210" s="2177" t="s">
        <v>2752</v>
      </c>
      <c r="B210" s="2177"/>
      <c r="C210" s="2177"/>
      <c r="D210" s="2177"/>
      <c r="E210" s="2177"/>
      <c r="F210" s="2177"/>
      <c r="G210" s="2177"/>
      <c r="H210" s="2177"/>
      <c r="I210" s="2177"/>
      <c r="J210" s="2210"/>
      <c r="K210" s="2137" t="str">
        <f ca="1">K193</f>
        <v/>
      </c>
    </row>
    <row r="211" spans="1:16" ht="15" customHeight="1" x14ac:dyDescent="0.25">
      <c r="A211" s="1600" t="s">
        <v>2581</v>
      </c>
      <c r="B211" s="2177"/>
      <c r="C211" s="2177"/>
      <c r="D211" s="2177"/>
      <c r="E211" s="2177"/>
      <c r="F211" s="2177"/>
      <c r="G211" s="2177"/>
      <c r="H211" s="2177"/>
      <c r="I211" s="2177"/>
      <c r="J211" s="2210"/>
    </row>
    <row r="212" spans="1:16" ht="15" customHeight="1" x14ac:dyDescent="0.25">
      <c r="A212" s="2177"/>
      <c r="B212" s="2177"/>
      <c r="C212" s="2177"/>
      <c r="D212" s="2177"/>
      <c r="E212" s="2177"/>
      <c r="F212" s="2177"/>
      <c r="G212" s="2177"/>
      <c r="H212" s="2177"/>
      <c r="I212" s="2177"/>
      <c r="J212" s="2210"/>
    </row>
    <row r="213" spans="1:16" ht="15" customHeight="1" x14ac:dyDescent="0.25">
      <c r="A213" s="2137" t="s">
        <v>2356</v>
      </c>
      <c r="B213" s="2177"/>
      <c r="C213" s="2611" t="s">
        <v>2579</v>
      </c>
      <c r="D213" s="2611"/>
      <c r="E213" s="2611"/>
      <c r="F213" s="2611"/>
      <c r="G213" s="2611"/>
      <c r="H213" s="2611"/>
      <c r="I213" s="2611"/>
      <c r="J213" s="2611"/>
    </row>
    <row r="214" spans="1:16" ht="15" customHeight="1" x14ac:dyDescent="0.25">
      <c r="A214" s="2137" t="s">
        <v>2358</v>
      </c>
      <c r="B214" s="2136"/>
      <c r="C214" s="2180" t="s">
        <v>2359</v>
      </c>
      <c r="D214" s="2136"/>
      <c r="E214" s="2136"/>
      <c r="F214" s="2136"/>
      <c r="G214" s="2136"/>
      <c r="H214" s="2136"/>
      <c r="I214" s="2136"/>
      <c r="J214" s="2136"/>
    </row>
    <row r="215" spans="1:16" ht="15" customHeight="1" x14ac:dyDescent="0.25">
      <c r="A215" s="2579" t="s">
        <v>1899</v>
      </c>
      <c r="B215" s="2579"/>
      <c r="C215" s="2579"/>
      <c r="D215" s="2579"/>
      <c r="E215" s="2579"/>
      <c r="F215" s="2579"/>
      <c r="G215" s="2579"/>
      <c r="H215" s="2140"/>
      <c r="I215" s="2140"/>
      <c r="J215" s="2134"/>
      <c r="L215" s="2203">
        <f>COUNTIF(G217:G222,"=Não")+COUNTIF(G217:G222,"=Restrição")</f>
        <v>0</v>
      </c>
      <c r="M215" s="2137">
        <f>COUNTIF(F217:J222,"Restrição")</f>
        <v>0</v>
      </c>
    </row>
    <row r="216" spans="1:16" ht="15" customHeight="1" x14ac:dyDescent="0.25">
      <c r="A216" s="2558" t="str">
        <f>"Campo ["&amp;fluor!$B$129&amp;"]"</f>
        <v>Campo [cm]</v>
      </c>
      <c r="B216" s="2559"/>
      <c r="C216" s="2204">
        <f>IF(fluor!B517=0,"",fluor!B517)</f>
        <v>23</v>
      </c>
      <c r="D216" s="2204" t="str">
        <f>IF(fluor!C517=0,"",fluor!C517)</f>
        <v/>
      </c>
      <c r="E216" s="2204" t="str">
        <f>IF(fluor!D517=0,"",fluor!D517)</f>
        <v/>
      </c>
      <c r="F216" s="2204" t="str">
        <f>IF(fluor!E517=0,"",fluor!E517)</f>
        <v/>
      </c>
      <c r="G216" s="2204" t="str">
        <f>IF(fluor!F517=0,"",fluor!F517)</f>
        <v/>
      </c>
      <c r="H216" s="2204" t="str">
        <f>IF(fluor!G517=0,"",fluor!G517)</f>
        <v/>
      </c>
      <c r="I216" s="2204"/>
      <c r="J216" s="2207"/>
      <c r="K216" s="2137" t="str">
        <f ca="1">IF(fluor!D151="NA","x","")</f>
        <v>x</v>
      </c>
    </row>
    <row r="217" spans="1:16" ht="15" customHeight="1" x14ac:dyDescent="0.25">
      <c r="A217" s="2558" t="s">
        <v>433</v>
      </c>
      <c r="B217" s="2559"/>
      <c r="C217" s="1515" t="e">
        <f ca="1">IF(C$216="","",fluor!B518)</f>
        <v>#VALUE!</v>
      </c>
      <c r="D217" s="1515" t="str">
        <f>IF(D$216="","",fluor!C518)</f>
        <v/>
      </c>
      <c r="E217" s="1515" t="str">
        <f>IF(E$216="","",fluor!D518)</f>
        <v/>
      </c>
      <c r="F217" s="1515" t="str">
        <f>IF(F$216="","",fluor!E518)</f>
        <v/>
      </c>
      <c r="G217" s="1515" t="str">
        <f>IF(G$216="","",fluor!F518)</f>
        <v/>
      </c>
      <c r="H217" s="1515" t="str">
        <f>IF(H$216="","",fluor!G518)</f>
        <v/>
      </c>
      <c r="I217" s="1514"/>
      <c r="J217" s="1496"/>
      <c r="K217" s="2137" t="str">
        <f t="shared" ref="K217:K218" ca="1" si="4">K216</f>
        <v>x</v>
      </c>
      <c r="P217" s="2228"/>
    </row>
    <row r="218" spans="1:16" ht="15" customHeight="1" x14ac:dyDescent="0.25">
      <c r="A218" s="2558" t="str">
        <f>$A$187</f>
        <v>IN 91</v>
      </c>
      <c r="B218" s="2559"/>
      <c r="C218" s="1515" t="str">
        <f ca="1">IF(C$216="","",fluor!B519)</f>
        <v>NPA</v>
      </c>
      <c r="D218" s="1515" t="str">
        <f>IF(D$216="","",fluor!C519)</f>
        <v/>
      </c>
      <c r="E218" s="1515" t="str">
        <f>IF(E$216="","",fluor!D519)</f>
        <v/>
      </c>
      <c r="F218" s="1515" t="str">
        <f>IF(F$216="","",fluor!E519)</f>
        <v/>
      </c>
      <c r="G218" s="1515" t="str">
        <f>IF(G$216="","",fluor!F519)</f>
        <v/>
      </c>
      <c r="H218" s="1515" t="str">
        <f>IF(H$216="","",fluor!G519)</f>
        <v/>
      </c>
      <c r="I218" s="1514"/>
      <c r="J218" s="1496"/>
      <c r="K218" s="2137" t="str">
        <f t="shared" ca="1" si="4"/>
        <v>x</v>
      </c>
      <c r="P218" s="2228" t="str">
        <f ca="1">IF(C218="Não","Não conforme",IF(C218="Restrição","Não conforme",IF(C218="Sim","Conforme",IF(C218="NPA","NPA","NA"))))</f>
        <v>NPA</v>
      </c>
    </row>
    <row r="219" spans="1:16" ht="15" customHeight="1" x14ac:dyDescent="0.25">
      <c r="A219" s="2558" t="s">
        <v>654</v>
      </c>
      <c r="B219" s="2559"/>
      <c r="C219" s="1515" t="e">
        <f ca="1">IF(C$216="","",fluor!B520)</f>
        <v>#VALUE!</v>
      </c>
      <c r="D219" s="1515" t="str">
        <f>IF(D$216="","",fluor!C520)</f>
        <v/>
      </c>
      <c r="E219" s="1515" t="str">
        <f>IF(E$216="","",fluor!D520)</f>
        <v/>
      </c>
      <c r="F219" s="1515" t="str">
        <f>IF(F$216="","",fluor!E520)</f>
        <v/>
      </c>
      <c r="G219" s="1515" t="str">
        <f>IF(G$216="","",fluor!F520)</f>
        <v/>
      </c>
      <c r="H219" s="1515" t="str">
        <f>IF(H$216="","",fluor!G520)</f>
        <v/>
      </c>
      <c r="I219" s="1514"/>
      <c r="J219" s="1496"/>
      <c r="K219" s="2137" t="s">
        <v>649</v>
      </c>
    </row>
    <row r="220" spans="1:16" ht="15" customHeight="1" x14ac:dyDescent="0.25">
      <c r="A220" s="2558" t="str">
        <f>A218</f>
        <v>IN 91</v>
      </c>
      <c r="B220" s="2559"/>
      <c r="C220" s="1515" t="str">
        <f ca="1">IF(C$216="","",fluor!B521)</f>
        <v>NPA</v>
      </c>
      <c r="D220" s="1515" t="str">
        <f>IF(D$216="","",fluor!C521)</f>
        <v/>
      </c>
      <c r="E220" s="1515" t="str">
        <f>IF(E$216="","",fluor!D521)</f>
        <v/>
      </c>
      <c r="F220" s="1515" t="str">
        <f>IF(F$216="","",fluor!E521)</f>
        <v/>
      </c>
      <c r="G220" s="1515" t="str">
        <f>IF(G$216="","",fluor!F521)</f>
        <v/>
      </c>
      <c r="H220" s="1515" t="str">
        <f>IF(H$216="","",fluor!G521)</f>
        <v/>
      </c>
      <c r="I220" s="1516"/>
      <c r="J220" s="1502"/>
      <c r="K220" s="2137" t="s">
        <v>649</v>
      </c>
      <c r="P220" s="2228" t="str">
        <f ca="1">IF(C220="Não","Não conforme",IF(C220="Restrição","Não conforme",IF(C220="Sim","Conforme",IF(C220="NPA","NPA","NA"))))</f>
        <v>NPA</v>
      </c>
    </row>
    <row r="221" spans="1:16" ht="15" customHeight="1" x14ac:dyDescent="0.25">
      <c r="A221" s="2558" t="s">
        <v>434</v>
      </c>
      <c r="B221" s="2559"/>
      <c r="C221" s="1515" t="e">
        <f ca="1">IF(C$216="","",fluor!B522)</f>
        <v>#VALUE!</v>
      </c>
      <c r="D221" s="1515" t="str">
        <f>IF(D$216="","",fluor!C522)</f>
        <v/>
      </c>
      <c r="E221" s="1515" t="str">
        <f>IF(E$216="","",fluor!D522)</f>
        <v/>
      </c>
      <c r="F221" s="1515" t="str">
        <f>IF(F$216="","",fluor!E522)</f>
        <v/>
      </c>
      <c r="G221" s="1515" t="str">
        <f>IF(G$216="","",fluor!F522)</f>
        <v/>
      </c>
      <c r="H221" s="1515" t="str">
        <f>IF(H$216="","",fluor!G522)</f>
        <v/>
      </c>
      <c r="I221" s="1516"/>
      <c r="J221" s="1502"/>
      <c r="K221" s="2137" t="s">
        <v>649</v>
      </c>
    </row>
    <row r="222" spans="1:16" ht="15" customHeight="1" x14ac:dyDescent="0.25">
      <c r="A222" s="2558" t="str">
        <f>A218</f>
        <v>IN 91</v>
      </c>
      <c r="B222" s="2559"/>
      <c r="C222" s="1515" t="str">
        <f ca="1">IF(C$216="","",fluor!B523)</f>
        <v>NPA</v>
      </c>
      <c r="D222" s="1515" t="str">
        <f>IF(D$216="","",fluor!C523)</f>
        <v/>
      </c>
      <c r="E222" s="1515" t="str">
        <f>IF(E$216="","",fluor!D523)</f>
        <v/>
      </c>
      <c r="F222" s="1515" t="str">
        <f>IF(F$216="","",fluor!E523)</f>
        <v/>
      </c>
      <c r="G222" s="1515" t="str">
        <f>IF(G$216="","",fluor!F523)</f>
        <v/>
      </c>
      <c r="H222" s="1515" t="str">
        <f>IF(H$216="","",fluor!G523)</f>
        <v/>
      </c>
      <c r="I222" s="1516"/>
      <c r="J222" s="1502"/>
      <c r="K222" s="2137" t="s">
        <v>649</v>
      </c>
      <c r="P222" s="2228" t="str">
        <f ca="1">IF(C222="Não","Não conforme",IF(C222="Restrição","Não conforme",IF(C222="Sim","Conforme",IF(C222="NPA","NPA","NA"))))</f>
        <v>NPA</v>
      </c>
    </row>
    <row r="223" spans="1:16" ht="15" customHeight="1" x14ac:dyDescent="0.25">
      <c r="A223" s="2481" t="s">
        <v>1613</v>
      </c>
      <c r="B223" s="2481"/>
      <c r="C223" s="2481"/>
      <c r="D223" s="2481"/>
      <c r="E223" s="2481"/>
      <c r="F223" s="2481"/>
      <c r="G223" s="2481"/>
      <c r="H223" s="2481"/>
      <c r="I223" s="2481"/>
      <c r="J223" s="2134"/>
      <c r="K223" s="2137" t="str">
        <f ca="1">K216</f>
        <v>x</v>
      </c>
    </row>
    <row r="224" spans="1:16" ht="15" customHeight="1" x14ac:dyDescent="0.25">
      <c r="A224" s="2488" t="s">
        <v>2583</v>
      </c>
      <c r="B224" s="2488"/>
      <c r="C224" s="2488"/>
      <c r="D224" s="2488"/>
      <c r="E224" s="2488"/>
      <c r="F224" s="2488"/>
      <c r="G224" s="2488"/>
      <c r="H224" s="2488"/>
      <c r="I224" s="2488"/>
      <c r="J224" s="2488"/>
    </row>
    <row r="225" spans="1:16" ht="15" customHeight="1" x14ac:dyDescent="0.25">
      <c r="A225" s="2476" t="s">
        <v>287</v>
      </c>
      <c r="B225" s="2476"/>
      <c r="C225" s="2476"/>
      <c r="D225" s="2476"/>
      <c r="E225" s="2476"/>
      <c r="F225" s="2476"/>
      <c r="G225" s="2476"/>
      <c r="H225" s="2476"/>
      <c r="I225" s="2476"/>
      <c r="J225" s="2134"/>
      <c r="K225" s="2137" t="str">
        <f ca="1">IF(K216="x","","x")</f>
        <v/>
      </c>
    </row>
    <row r="226" spans="1:16" ht="15" customHeight="1" x14ac:dyDescent="0.25">
      <c r="A226" s="2134"/>
      <c r="B226" s="2134"/>
      <c r="C226" s="2134"/>
      <c r="D226" s="2134"/>
      <c r="E226" s="2134"/>
      <c r="F226" s="2134"/>
      <c r="G226" s="2134"/>
      <c r="H226" s="2134"/>
      <c r="I226" s="2134"/>
      <c r="J226" s="2134"/>
    </row>
    <row r="227" spans="1:16" ht="15" customHeight="1" x14ac:dyDescent="0.25">
      <c r="A227" s="2140"/>
      <c r="B227" s="2140"/>
      <c r="C227" s="2140"/>
      <c r="D227" s="2140"/>
      <c r="E227" s="2140"/>
      <c r="F227" s="2140"/>
      <c r="G227" s="2140"/>
      <c r="H227" s="2140"/>
      <c r="I227" s="2140"/>
      <c r="J227" s="2134"/>
      <c r="K227" s="2137" t="str">
        <f>K228</f>
        <v>x</v>
      </c>
      <c r="L227" s="2137" t="s">
        <v>655</v>
      </c>
      <c r="M227" s="2137" t="s">
        <v>656</v>
      </c>
    </row>
    <row r="228" spans="1:16" ht="15" customHeight="1" x14ac:dyDescent="0.25">
      <c r="A228" s="281" t="s">
        <v>420</v>
      </c>
      <c r="B228" s="2140"/>
      <c r="C228" s="2140"/>
      <c r="D228" s="2140"/>
      <c r="E228" s="2140"/>
      <c r="F228" s="2140"/>
      <c r="G228" s="2140"/>
      <c r="H228" s="2140"/>
      <c r="I228" s="2140"/>
      <c r="J228" s="2134"/>
      <c r="K228" s="2137" t="str">
        <f>K231</f>
        <v>x</v>
      </c>
      <c r="L228" s="2203">
        <f>COUNTIFS(F233:F238,"=Não",K233:K238,"")+COUNTIFS(F233:F238,"=Restrição",K233:K238,"")</f>
        <v>0</v>
      </c>
      <c r="M228" s="2203">
        <f>COUNTIFS(J233:J238,"=Não",K233:K238,"")+COUNTIFS(J233:J238,"=Restrição",K233:K238,"")</f>
        <v>0</v>
      </c>
      <c r="N228" s="2137">
        <f>SUM(M233:M238)</f>
        <v>0</v>
      </c>
    </row>
    <row r="229" spans="1:16" ht="15" customHeight="1" x14ac:dyDescent="0.25">
      <c r="A229" s="2137" t="s">
        <v>2356</v>
      </c>
      <c r="B229" s="2140"/>
      <c r="C229" s="2488" t="s">
        <v>2580</v>
      </c>
      <c r="D229" s="2488"/>
      <c r="E229" s="2488"/>
      <c r="F229" s="2488"/>
      <c r="G229" s="2488"/>
      <c r="H229" s="2488"/>
      <c r="I229" s="2488"/>
      <c r="J229" s="2488"/>
      <c r="L229" s="2203"/>
      <c r="M229" s="2203"/>
    </row>
    <row r="230" spans="1:16" ht="15" customHeight="1" x14ac:dyDescent="0.25">
      <c r="A230" s="2137" t="s">
        <v>2358</v>
      </c>
      <c r="B230" s="2140"/>
      <c r="C230" s="2180" t="s">
        <v>2359</v>
      </c>
      <c r="D230" s="2140"/>
      <c r="E230" s="2140"/>
      <c r="F230" s="2140"/>
      <c r="G230" s="2140"/>
      <c r="H230" s="2140"/>
      <c r="I230" s="2140"/>
      <c r="J230" s="2134"/>
      <c r="L230" s="2203"/>
      <c r="M230" s="2203"/>
    </row>
    <row r="231" spans="1:16" ht="15" customHeight="1" x14ac:dyDescent="0.25">
      <c r="A231" s="2489" t="str">
        <f>A216</f>
        <v>Campo [cm]</v>
      </c>
      <c r="B231" s="2489"/>
      <c r="C231" s="2603" t="s">
        <v>306</v>
      </c>
      <c r="D231" s="2604"/>
      <c r="E231" s="2604"/>
      <c r="F231" s="2605"/>
      <c r="G231" s="2603" t="s">
        <v>421</v>
      </c>
      <c r="H231" s="2604"/>
      <c r="I231" s="2604"/>
      <c r="J231" s="2605"/>
      <c r="K231" s="2137" t="str">
        <f>IF(COUNTIF(K233:K238,"")=0,"x","")</f>
        <v>x</v>
      </c>
    </row>
    <row r="232" spans="1:16" ht="15" customHeight="1" x14ac:dyDescent="0.25">
      <c r="A232" s="2489"/>
      <c r="B232" s="2489"/>
      <c r="C232" s="2139" t="s">
        <v>0</v>
      </c>
      <c r="D232" s="2139" t="s">
        <v>13</v>
      </c>
      <c r="E232" s="2143" t="s">
        <v>380</v>
      </c>
      <c r="F232" s="2143" t="str">
        <f>$A$218</f>
        <v>IN 91</v>
      </c>
      <c r="G232" s="2139" t="s">
        <v>0</v>
      </c>
      <c r="H232" s="2139" t="s">
        <v>13</v>
      </c>
      <c r="I232" s="2143" t="s">
        <v>10</v>
      </c>
      <c r="J232" s="2143" t="str">
        <f>$A$218</f>
        <v>IN 91</v>
      </c>
      <c r="K232" s="2137" t="str">
        <f>K231</f>
        <v>x</v>
      </c>
    </row>
    <row r="233" spans="1:16" ht="15" customHeight="1" x14ac:dyDescent="0.25">
      <c r="A233" s="2567">
        <f>C216</f>
        <v>23</v>
      </c>
      <c r="B233" s="2567"/>
      <c r="C233" s="2148">
        <f>fluor!$B$546</f>
        <v>0</v>
      </c>
      <c r="D233" s="141">
        <f>fluor!$B$547</f>
        <v>0</v>
      </c>
      <c r="E233" s="646" t="str">
        <f>fluor!$B$549</f>
        <v>Não visível</v>
      </c>
      <c r="F233" s="1129" t="str">
        <f>fluor!$B$550</f>
        <v>Sim</v>
      </c>
      <c r="G233" s="2148">
        <f>fluor!$B$555</f>
        <v>0</v>
      </c>
      <c r="H233" s="141">
        <f>fluor!$B$556</f>
        <v>0</v>
      </c>
      <c r="I233" s="646" t="str">
        <f>fluor!$B$561</f>
        <v>Não visível</v>
      </c>
      <c r="J233" s="1129" t="str">
        <f>fluor!$B$562</f>
        <v>Restrição</v>
      </c>
      <c r="K233" s="2137" t="str">
        <f t="shared" ref="K233:K238" si="5">IF(C233=0,"x","")</f>
        <v>x</v>
      </c>
      <c r="M233" s="2137">
        <f t="shared" ref="M233:M238" si="6">IF(K233="x",0,COUNTIF(A233:J233,"Restrição"))</f>
        <v>0</v>
      </c>
      <c r="P233" s="2228" t="str">
        <f>IF(J233="Não","Não conforme",IF(J233="Restrição","Não conforme",IF(J233="Sim","Conforme",IF(J233="NPA","NPA","NA"))))</f>
        <v>Não conforme</v>
      </c>
    </row>
    <row r="234" spans="1:16" ht="15" customHeight="1" x14ac:dyDescent="0.25">
      <c r="A234" s="2567" t="str">
        <f>D216</f>
        <v/>
      </c>
      <c r="B234" s="2567"/>
      <c r="C234" s="2148">
        <f>fluor!$C$546</f>
        <v>0</v>
      </c>
      <c r="D234" s="141">
        <f>fluor!$C$547</f>
        <v>0</v>
      </c>
      <c r="E234" s="646" t="str">
        <f>fluor!$C$549</f>
        <v>Não visível</v>
      </c>
      <c r="F234" s="1129" t="str">
        <f>fluor!$C$550</f>
        <v/>
      </c>
      <c r="G234" s="2148">
        <f>fluor!$C$555</f>
        <v>0</v>
      </c>
      <c r="H234" s="141">
        <f>fluor!$C$556</f>
        <v>0</v>
      </c>
      <c r="I234" s="646" t="str">
        <f>fluor!$C$561</f>
        <v>Não visível</v>
      </c>
      <c r="J234" s="1129" t="str">
        <f>fluor!$C$562</f>
        <v/>
      </c>
      <c r="K234" s="2137" t="str">
        <f t="shared" si="5"/>
        <v>x</v>
      </c>
      <c r="M234" s="2137">
        <f t="shared" si="6"/>
        <v>0</v>
      </c>
      <c r="P234" s="2228" t="str">
        <f t="shared" ref="P234:P238" si="7">IF(J234="Não","Não conforme",IF(J234="Restrição","Não conforme",IF(J234="Sim","Conforme",IF(J234="NPA","NPA","NA"))))</f>
        <v>NA</v>
      </c>
    </row>
    <row r="235" spans="1:16" ht="15" customHeight="1" x14ac:dyDescent="0.25">
      <c r="A235" s="2567" t="str">
        <f>E216</f>
        <v/>
      </c>
      <c r="B235" s="2567"/>
      <c r="C235" s="2148">
        <f>fluor!$D$546</f>
        <v>0</v>
      </c>
      <c r="D235" s="141">
        <f>fluor!$D$547</f>
        <v>0</v>
      </c>
      <c r="E235" s="646" t="str">
        <f>fluor!$D$549</f>
        <v>Não visível</v>
      </c>
      <c r="F235" s="1129" t="str">
        <f>fluor!$D$550</f>
        <v/>
      </c>
      <c r="G235" s="2148">
        <f>fluor!$D$555</f>
        <v>0</v>
      </c>
      <c r="H235" s="141">
        <f>fluor!$D$556</f>
        <v>0</v>
      </c>
      <c r="I235" s="646" t="str">
        <f>fluor!$D$561</f>
        <v>Não visível</v>
      </c>
      <c r="J235" s="1129" t="str">
        <f>fluor!$D$562</f>
        <v/>
      </c>
      <c r="K235" s="2137" t="str">
        <f t="shared" si="5"/>
        <v>x</v>
      </c>
      <c r="M235" s="2137">
        <f t="shared" si="6"/>
        <v>0</v>
      </c>
      <c r="P235" s="2228" t="str">
        <f t="shared" si="7"/>
        <v>NA</v>
      </c>
    </row>
    <row r="236" spans="1:16" ht="15" customHeight="1" x14ac:dyDescent="0.25">
      <c r="A236" s="2567" t="str">
        <f>F216</f>
        <v/>
      </c>
      <c r="B236" s="2567"/>
      <c r="C236" s="2148">
        <f>fluor!$E$546</f>
        <v>0</v>
      </c>
      <c r="D236" s="141">
        <f>fluor!$E$547</f>
        <v>0</v>
      </c>
      <c r="E236" s="646" t="str">
        <f>fluor!$E$549</f>
        <v>Não visível</v>
      </c>
      <c r="F236" s="1129" t="str">
        <f>fluor!$E$550</f>
        <v/>
      </c>
      <c r="G236" s="2148">
        <f>fluor!$E$555</f>
        <v>0</v>
      </c>
      <c r="H236" s="141">
        <f>fluor!$E$556</f>
        <v>0</v>
      </c>
      <c r="I236" s="646" t="str">
        <f>fluor!$E$561</f>
        <v>Não visível</v>
      </c>
      <c r="J236" s="1129" t="str">
        <f>fluor!$E$562</f>
        <v/>
      </c>
      <c r="K236" s="2137" t="str">
        <f t="shared" si="5"/>
        <v>x</v>
      </c>
      <c r="M236" s="2137">
        <f t="shared" si="6"/>
        <v>0</v>
      </c>
      <c r="P236" s="2228" t="str">
        <f t="shared" si="7"/>
        <v>NA</v>
      </c>
    </row>
    <row r="237" spans="1:16" ht="15" customHeight="1" x14ac:dyDescent="0.25">
      <c r="A237" s="2567" t="str">
        <f>G216</f>
        <v/>
      </c>
      <c r="B237" s="2567"/>
      <c r="C237" s="2148">
        <f>fluor!$F$546</f>
        <v>0</v>
      </c>
      <c r="D237" s="141">
        <f>fluor!$F$547</f>
        <v>0</v>
      </c>
      <c r="E237" s="646" t="str">
        <f>fluor!$F$549</f>
        <v>Não visível</v>
      </c>
      <c r="F237" s="1129" t="str">
        <f>fluor!$F$550</f>
        <v/>
      </c>
      <c r="G237" s="2148">
        <f>fluor!$F$555</f>
        <v>0</v>
      </c>
      <c r="H237" s="141">
        <f>fluor!$F$556</f>
        <v>0</v>
      </c>
      <c r="I237" s="646" t="str">
        <f>fluor!$F$561</f>
        <v>Não visível</v>
      </c>
      <c r="J237" s="1129" t="str">
        <f>fluor!$F$562</f>
        <v/>
      </c>
      <c r="K237" s="2137" t="str">
        <f t="shared" si="5"/>
        <v>x</v>
      </c>
      <c r="M237" s="2137">
        <f t="shared" si="6"/>
        <v>0</v>
      </c>
      <c r="P237" s="2228" t="str">
        <f t="shared" si="7"/>
        <v>NA</v>
      </c>
    </row>
    <row r="238" spans="1:16" ht="15" customHeight="1" x14ac:dyDescent="0.25">
      <c r="A238" s="2567" t="str">
        <f>H216</f>
        <v/>
      </c>
      <c r="B238" s="2567"/>
      <c r="C238" s="2148">
        <f>fluor!$G$546</f>
        <v>0</v>
      </c>
      <c r="D238" s="141">
        <f>fluor!$G$547</f>
        <v>0</v>
      </c>
      <c r="E238" s="646" t="str">
        <f>fluor!$G$549</f>
        <v>Não visível</v>
      </c>
      <c r="F238" s="1129" t="str">
        <f>fluor!$G$550</f>
        <v/>
      </c>
      <c r="G238" s="2148">
        <f>fluor!$G$555</f>
        <v>0</v>
      </c>
      <c r="H238" s="141">
        <f>fluor!$G$556</f>
        <v>0</v>
      </c>
      <c r="I238" s="646" t="str">
        <f>fluor!$G$561</f>
        <v>Não visível</v>
      </c>
      <c r="J238" s="1129" t="str">
        <f>fluor!$G$562</f>
        <v/>
      </c>
      <c r="K238" s="2137" t="str">
        <f t="shared" si="5"/>
        <v>x</v>
      </c>
      <c r="M238" s="2137">
        <f t="shared" si="6"/>
        <v>0</v>
      </c>
      <c r="P238" s="2228" t="str">
        <f t="shared" si="7"/>
        <v>NA</v>
      </c>
    </row>
    <row r="239" spans="1:16" ht="15" customHeight="1" x14ac:dyDescent="0.25">
      <c r="A239" s="2177" t="s">
        <v>2461</v>
      </c>
      <c r="B239" s="2187"/>
      <c r="C239" s="2187"/>
      <c r="D239" s="2187"/>
      <c r="E239" s="2187"/>
      <c r="F239" s="2187"/>
      <c r="G239" s="2187"/>
      <c r="H239" s="2187"/>
      <c r="I239" s="2211"/>
      <c r="J239" s="2134"/>
      <c r="K239" s="2137" t="str">
        <f>K231</f>
        <v>x</v>
      </c>
    </row>
    <row r="240" spans="1:16" ht="15" customHeight="1" x14ac:dyDescent="0.25">
      <c r="A240" s="2488" t="s">
        <v>2584</v>
      </c>
      <c r="B240" s="2488"/>
      <c r="C240" s="2488"/>
      <c r="D240" s="2488"/>
      <c r="E240" s="2488"/>
      <c r="F240" s="2488"/>
      <c r="G240" s="2488"/>
      <c r="H240" s="2488"/>
      <c r="I240" s="2488"/>
      <c r="J240" s="2488"/>
    </row>
    <row r="241" spans="1:16" ht="15" customHeight="1" x14ac:dyDescent="0.25">
      <c r="A241" s="2134"/>
      <c r="B241" s="2134"/>
      <c r="C241" s="2134"/>
      <c r="D241" s="2134"/>
      <c r="E241" s="2134"/>
      <c r="F241" s="2134"/>
      <c r="G241" s="2134"/>
      <c r="H241" s="2134"/>
      <c r="I241" s="1502"/>
      <c r="J241" s="2134"/>
      <c r="K241" s="2137" t="str">
        <f ca="1">K242</f>
        <v/>
      </c>
    </row>
    <row r="242" spans="1:16" ht="15" customHeight="1" x14ac:dyDescent="0.25">
      <c r="A242" s="281" t="s">
        <v>144</v>
      </c>
      <c r="I242" s="163"/>
      <c r="K242" s="2137" t="str">
        <f ca="1">K243</f>
        <v/>
      </c>
    </row>
    <row r="243" spans="1:16" ht="15" customHeight="1" x14ac:dyDescent="0.25">
      <c r="A243" s="2597" t="s">
        <v>146</v>
      </c>
      <c r="B243" s="2598"/>
      <c r="C243" s="2598"/>
      <c r="D243" s="2599"/>
      <c r="E243" s="2597" t="s">
        <v>2066</v>
      </c>
      <c r="F243" s="2599"/>
      <c r="G243" s="2314" t="s">
        <v>2362</v>
      </c>
      <c r="H243" s="2465" t="s">
        <v>369</v>
      </c>
      <c r="I243" s="2465"/>
      <c r="J243" s="2212" t="str">
        <f>fluor!B1</f>
        <v>IN 91</v>
      </c>
      <c r="K243" s="2137" t="str">
        <f ca="1">IF(COUNTIF(K244:K287,"")=0,"x","")</f>
        <v/>
      </c>
      <c r="L243" s="2137">
        <f ca="1">COUNTIF(J243:J289,"Restrição")</f>
        <v>0</v>
      </c>
    </row>
    <row r="244" spans="1:16" ht="105" customHeight="1" x14ac:dyDescent="0.25">
      <c r="A244" s="2550" t="str">
        <f>CONCATENATE("Camada semirredutora @ ",fluor!B99," mA e ",fluor!B98," kVp")</f>
        <v>Camada semirredutora @  mA e 80 kVp</v>
      </c>
      <c r="B244" s="2551"/>
      <c r="C244" s="2551"/>
      <c r="D244" s="2552"/>
      <c r="E244" s="2550" t="s">
        <v>2585</v>
      </c>
      <c r="F244" s="2552"/>
      <c r="G244" s="2286" t="s">
        <v>2782</v>
      </c>
      <c r="H244" s="2492" t="e">
        <f ca="1">CONCATENATE(ROUND(fluor!B105,1)," mm Al")</f>
        <v>#VALUE!</v>
      </c>
      <c r="I244" s="2492"/>
      <c r="J244" s="1130" t="e">
        <f ca="1">fluor!B109</f>
        <v>#VALUE!</v>
      </c>
      <c r="K244" s="2137" t="str">
        <f ca="1">IF(ISERR(H244),"x","")</f>
        <v>x</v>
      </c>
      <c r="P244" s="2228" t="e">
        <f ca="1">IF(J244="Não","Não conforme",IF(J244="Restrição","Não conforme",IF(J244="Sim","Conforme",IF(J244="NPA","NPA","NA"))))</f>
        <v>#VALUE!</v>
      </c>
    </row>
    <row r="245" spans="1:16" ht="105" customHeight="1" x14ac:dyDescent="0.25">
      <c r="A245" s="2550" t="str">
        <f>CONCATENATE("Camada semirredutora @ ",fluor!B52," mA e ",fluor!B51," kVp")</f>
        <v>Camada semirredutora @  mA e 80 kVp</v>
      </c>
      <c r="B245" s="2551"/>
      <c r="C245" s="2551"/>
      <c r="D245" s="2552"/>
      <c r="E245" s="2550" t="s">
        <v>2585</v>
      </c>
      <c r="F245" s="2552"/>
      <c r="G245" s="2286" t="s">
        <v>2782</v>
      </c>
      <c r="H245" s="2492" t="e">
        <f ca="1">CONCATENATE(ROUND(fluor!B58,1)," mm Al")</f>
        <v>#VALUE!</v>
      </c>
      <c r="I245" s="2492"/>
      <c r="J245" s="1130" t="e">
        <f ca="1">fluor!B62</f>
        <v>#VALUE!</v>
      </c>
      <c r="K245" s="2137" t="str">
        <f ca="1">IF(ISERR(H245),"x","")</f>
        <v>x</v>
      </c>
      <c r="P245" s="2228" t="e">
        <f t="shared" ref="P245:P289" ca="1" si="8">IF(J245="Não","Não conforme",IF(J245="Restrição","Não conforme",IF(J245="Sim","Conforme",IF(J245="NPA","NPA","NA"))))</f>
        <v>#VALUE!</v>
      </c>
    </row>
    <row r="246" spans="1:16" ht="20.25" customHeight="1" x14ac:dyDescent="0.25">
      <c r="A246" s="2550" t="e">
        <f ca="1">"Reprodutibilidade do controle automático de intensidade @ "&amp;fluor!B114&amp;" kVp"</f>
        <v>#DIV/0!</v>
      </c>
      <c r="B246" s="2551"/>
      <c r="C246" s="2551"/>
      <c r="D246" s="2552"/>
      <c r="E246" s="2550" t="s">
        <v>2596</v>
      </c>
      <c r="F246" s="2552"/>
      <c r="G246" s="2286" t="s">
        <v>2783</v>
      </c>
      <c r="H246" s="2492" t="e">
        <f ca="1">CONCATENATE(ROUND(fluor!C121,1)," %")</f>
        <v>#NUM!</v>
      </c>
      <c r="I246" s="2492"/>
      <c r="J246" s="1130" t="e">
        <f ca="1">IF(fluor!C121&lt;=10,"Sim",IF(fluor!C121&lt;20,"Não","Restrição"))</f>
        <v>#NUM!</v>
      </c>
      <c r="K246" s="2137" t="str">
        <f ca="1">IF(ISERR(H246),"x","")</f>
        <v>x</v>
      </c>
      <c r="P246" s="2228" t="e">
        <f t="shared" ca="1" si="8"/>
        <v>#NUM!</v>
      </c>
    </row>
    <row r="247" spans="1:16" ht="31.5" customHeight="1" x14ac:dyDescent="0.25">
      <c r="A247" s="2550" t="e">
        <f ca="1">"Reprodutibilidade da tensão no modo manual @ "&amp;fluor!B67&amp;" kVp"</f>
        <v>#DIV/0!</v>
      </c>
      <c r="B247" s="2551"/>
      <c r="C247" s="2551"/>
      <c r="D247" s="2552"/>
      <c r="E247" s="2550" t="s">
        <v>2592</v>
      </c>
      <c r="F247" s="2552"/>
      <c r="G247" s="2286" t="s">
        <v>240</v>
      </c>
      <c r="H247" s="2492" t="e">
        <f ca="1">CONCATENATE(ROUND(fluor!C74,1)," %")</f>
        <v>#NUM!</v>
      </c>
      <c r="I247" s="2492"/>
      <c r="J247" s="1130" t="s">
        <v>142</v>
      </c>
      <c r="K247" s="2137" t="str">
        <f ca="1">IF(ISERR(H247),"x","")</f>
        <v>x</v>
      </c>
      <c r="P247" s="2228" t="str">
        <f t="shared" si="8"/>
        <v>NA</v>
      </c>
    </row>
    <row r="248" spans="1:16" ht="20.25" customHeight="1" x14ac:dyDescent="0.25">
      <c r="A248" s="2550" t="s">
        <v>209</v>
      </c>
      <c r="B248" s="2551"/>
      <c r="C248" s="2551"/>
      <c r="D248" s="2552"/>
      <c r="E248" s="2550" t="s">
        <v>2586</v>
      </c>
      <c r="F248" s="2552"/>
      <c r="G248" s="2286" t="s">
        <v>2785</v>
      </c>
      <c r="H248" s="2492" t="str">
        <f>IFERROR(CONCATENATE(LARGE(fluor!B567:'fluor'!G567,1)," °"),"NPA")</f>
        <v>NPA</v>
      </c>
      <c r="I248" s="2492"/>
      <c r="J248" s="1130" t="str">
        <f>IFERROR(fluor!I568,"NPA")</f>
        <v>NPA</v>
      </c>
      <c r="K248" s="2137" t="str">
        <f>IF(J248="NPA","x","")</f>
        <v>x</v>
      </c>
      <c r="P248" s="2228" t="str">
        <f t="shared" si="8"/>
        <v>NPA</v>
      </c>
    </row>
    <row r="249" spans="1:16" ht="20.25" customHeight="1" x14ac:dyDescent="0.25">
      <c r="A249" s="2550" t="s">
        <v>1420</v>
      </c>
      <c r="B249" s="2551"/>
      <c r="C249" s="2551"/>
      <c r="D249" s="2552"/>
      <c r="E249" s="2550" t="s">
        <v>2587</v>
      </c>
      <c r="F249" s="2552"/>
      <c r="G249" s="2286" t="s">
        <v>2784</v>
      </c>
      <c r="H249" s="2492" t="str">
        <f ca="1">IFERROR(CONCATENATE(ROUNDDOWN(fluor!E33*100,1)," %"),"NPA")</f>
        <v>NPA</v>
      </c>
      <c r="I249" s="2492"/>
      <c r="J249" s="1130" t="str">
        <f ca="1">fluor!F33</f>
        <v>NPA</v>
      </c>
      <c r="K249" s="2137" t="str">
        <f ca="1">IF(J249="NPA","x","")</f>
        <v>x</v>
      </c>
      <c r="P249" s="2228" t="str">
        <f t="shared" ca="1" si="8"/>
        <v>NPA</v>
      </c>
    </row>
    <row r="250" spans="1:16" ht="15" customHeight="1" x14ac:dyDescent="0.2">
      <c r="A250" s="2556" t="s">
        <v>1220</v>
      </c>
      <c r="B250" s="2557"/>
      <c r="C250" s="2566" t="str">
        <f>CONCATENATE("campo ",$A$233," ",fluor!$B$129)</f>
        <v>campo 23 cm</v>
      </c>
      <c r="D250" s="2566"/>
      <c r="E250" s="2556" t="s">
        <v>2588</v>
      </c>
      <c r="F250" s="2557"/>
      <c r="G250" s="2612" t="s">
        <v>2815</v>
      </c>
      <c r="H250" s="2492">
        <f>IFERROR(ROUNDDOWN(fluor!$B$134,1),"NPA")</f>
        <v>0</v>
      </c>
      <c r="I250" s="2492"/>
      <c r="J250" s="1130" t="str">
        <f>IFERROR(fluor!$B$135,"NPA")</f>
        <v>Não</v>
      </c>
      <c r="K250" s="2137" t="str">
        <f t="shared" ref="K250:K255" si="9">IF(OR(C250="campo  pol",C250="campo  cm",H250="NPA"),"x","")</f>
        <v/>
      </c>
      <c r="L250" s="2137">
        <f>COUNTIF(J250:J255,"Não")+COUNTIF(J250:J255,"Restrição")</f>
        <v>1</v>
      </c>
      <c r="P250" s="2228" t="str">
        <f t="shared" si="8"/>
        <v>Não conforme</v>
      </c>
    </row>
    <row r="251" spans="1:16" ht="15" customHeight="1" x14ac:dyDescent="0.2">
      <c r="A251" s="2568"/>
      <c r="B251" s="2569"/>
      <c r="C251" s="2566" t="str">
        <f>CONCATENATE("campo ",$A$234," ",fluor!$B$129)</f>
        <v>campo  cm</v>
      </c>
      <c r="D251" s="2566"/>
      <c r="E251" s="2568"/>
      <c r="F251" s="2569"/>
      <c r="G251" s="2613"/>
      <c r="H251" s="2492" t="str">
        <f>IFERROR(ROUNDDOWN(fluor!$C$134,1),"NPA")</f>
        <v>NPA</v>
      </c>
      <c r="I251" s="2492"/>
      <c r="J251" s="1130" t="str">
        <f>IFERROR(fluor!$C$135,"NPA")</f>
        <v>NPA</v>
      </c>
      <c r="K251" s="2137" t="str">
        <f t="shared" si="9"/>
        <v>x</v>
      </c>
      <c r="P251" s="2228" t="str">
        <f t="shared" si="8"/>
        <v>NPA</v>
      </c>
    </row>
    <row r="252" spans="1:16" ht="15" customHeight="1" x14ac:dyDescent="0.2">
      <c r="A252" s="2568"/>
      <c r="B252" s="2569"/>
      <c r="C252" s="2566" t="str">
        <f>CONCATENATE("campo ",$A$235," ",fluor!$B$129)</f>
        <v>campo  cm</v>
      </c>
      <c r="D252" s="2566"/>
      <c r="E252" s="2568"/>
      <c r="F252" s="2569"/>
      <c r="G252" s="2613"/>
      <c r="H252" s="2492" t="str">
        <f>IFERROR(ROUNDDOWN(fluor!$D$134,1),"NPA")</f>
        <v>NPA</v>
      </c>
      <c r="I252" s="2492"/>
      <c r="J252" s="1130" t="str">
        <f>IFERROR(fluor!$D$135,"NPA")</f>
        <v>NPA</v>
      </c>
      <c r="K252" s="2137" t="str">
        <f t="shared" si="9"/>
        <v>x</v>
      </c>
      <c r="P252" s="2228" t="str">
        <f t="shared" si="8"/>
        <v>NPA</v>
      </c>
    </row>
    <row r="253" spans="1:16" ht="15" customHeight="1" x14ac:dyDescent="0.2">
      <c r="A253" s="2568"/>
      <c r="B253" s="2569"/>
      <c r="C253" s="2566" t="str">
        <f>CONCATENATE("campo ",$A$236," ",fluor!$B$129)</f>
        <v>campo  cm</v>
      </c>
      <c r="D253" s="2566"/>
      <c r="E253" s="2568"/>
      <c r="F253" s="2569"/>
      <c r="G253" s="2613"/>
      <c r="H253" s="2492" t="str">
        <f>IFERROR(ROUNDDOWN(fluor!$E$134,1),"NPA")</f>
        <v>NPA</v>
      </c>
      <c r="I253" s="2492"/>
      <c r="J253" s="1130" t="str">
        <f>IFERROR(fluor!$E$135,"NPA")</f>
        <v>NPA</v>
      </c>
      <c r="K253" s="2137" t="str">
        <f t="shared" si="9"/>
        <v>x</v>
      </c>
      <c r="P253" s="2228" t="str">
        <f t="shared" si="8"/>
        <v>NPA</v>
      </c>
    </row>
    <row r="254" spans="1:16" ht="15" customHeight="1" x14ac:dyDescent="0.2">
      <c r="A254" s="2568"/>
      <c r="B254" s="2569"/>
      <c r="C254" s="2566" t="str">
        <f>CONCATENATE("campo ",$A$237," ",fluor!$B$129)</f>
        <v>campo  cm</v>
      </c>
      <c r="D254" s="2566"/>
      <c r="E254" s="2568"/>
      <c r="F254" s="2569"/>
      <c r="G254" s="2613"/>
      <c r="H254" s="2492" t="str">
        <f>IFERROR(ROUNDDOWN(fluor!$F$134,1),"NPA")</f>
        <v>NPA</v>
      </c>
      <c r="I254" s="2492"/>
      <c r="J254" s="1130" t="str">
        <f>IFERROR(fluor!$F$135,"NPA")</f>
        <v>NPA</v>
      </c>
      <c r="K254" s="2137" t="str">
        <f t="shared" si="9"/>
        <v>x</v>
      </c>
      <c r="P254" s="2228" t="str">
        <f t="shared" si="8"/>
        <v>NPA</v>
      </c>
    </row>
    <row r="255" spans="1:16" ht="15" customHeight="1" x14ac:dyDescent="0.2">
      <c r="A255" s="2570"/>
      <c r="B255" s="2571"/>
      <c r="C255" s="2566" t="str">
        <f>CONCATENATE("campo ",$A$238," ",fluor!$B$129)</f>
        <v>campo  cm</v>
      </c>
      <c r="D255" s="2566"/>
      <c r="E255" s="2570"/>
      <c r="F255" s="2571"/>
      <c r="G255" s="2614"/>
      <c r="H255" s="2492" t="str">
        <f>IFERROR(ROUNDDOWN(fluor!$G$134,1),"NPA")</f>
        <v>NPA</v>
      </c>
      <c r="I255" s="2492"/>
      <c r="J255" s="1130" t="str">
        <f>IFERROR(fluor!$G$135,"NPA")</f>
        <v>NPA</v>
      </c>
      <c r="K255" s="2137" t="str">
        <f t="shared" si="9"/>
        <v>x</v>
      </c>
      <c r="P255" s="2228" t="str">
        <f t="shared" si="8"/>
        <v>NPA</v>
      </c>
    </row>
    <row r="256" spans="1:16" ht="15" customHeight="1" x14ac:dyDescent="0.2">
      <c r="A256" s="2556" t="s">
        <v>422</v>
      </c>
      <c r="B256" s="2557"/>
      <c r="C256" s="2566" t="str">
        <f>CONCATENATE("campo ",$A$233," ",fluor!$B$129)</f>
        <v>campo 23 cm</v>
      </c>
      <c r="D256" s="2566"/>
      <c r="E256" s="2556" t="s">
        <v>2589</v>
      </c>
      <c r="F256" s="2557"/>
      <c r="G256" s="2615" t="s">
        <v>2784</v>
      </c>
      <c r="H256" s="2492" t="str">
        <f ca="1">CONCATENATE(fluor!$B$588," %")</f>
        <v>NPA %</v>
      </c>
      <c r="I256" s="2492"/>
      <c r="J256" s="1130" t="str">
        <f ca="1">IFERROR(fluor!$B$589,"NPA")</f>
        <v>NPA</v>
      </c>
      <c r="K256" s="2137" t="str">
        <f t="shared" ref="K256:K261" ca="1" si="10">IF(OR(C256="campo  pol",C256="campo  cm",H256="NPA %"),"x","")</f>
        <v>x</v>
      </c>
      <c r="L256" s="2137">
        <f ca="1">COUNTIF(J256:J261,"Não")+COUNTIF(J256:J261,"Restrição")</f>
        <v>0</v>
      </c>
      <c r="P256" s="2228" t="str">
        <f t="shared" ca="1" si="8"/>
        <v>NPA</v>
      </c>
    </row>
    <row r="257" spans="1:16" ht="15" customHeight="1" x14ac:dyDescent="0.2">
      <c r="A257" s="2568"/>
      <c r="B257" s="2569"/>
      <c r="C257" s="2566" t="str">
        <f>CONCATENATE("campo ",$A$234," ",fluor!$B$129)</f>
        <v>campo  cm</v>
      </c>
      <c r="D257" s="2566"/>
      <c r="E257" s="2568"/>
      <c r="F257" s="2569"/>
      <c r="G257" s="2616"/>
      <c r="H257" s="2492" t="str">
        <f ca="1">CONCATENATE(fluor!$C$588," %")</f>
        <v>NPA %</v>
      </c>
      <c r="I257" s="2492"/>
      <c r="J257" s="1130" t="str">
        <f ca="1">IFERROR(fluor!$C$589,"NPA")</f>
        <v>NPA</v>
      </c>
      <c r="K257" s="2137" t="str">
        <f t="shared" ca="1" si="10"/>
        <v>x</v>
      </c>
      <c r="P257" s="2228" t="str">
        <f t="shared" ca="1" si="8"/>
        <v>NPA</v>
      </c>
    </row>
    <row r="258" spans="1:16" ht="15" customHeight="1" x14ac:dyDescent="0.2">
      <c r="A258" s="2568"/>
      <c r="B258" s="2569"/>
      <c r="C258" s="2566" t="str">
        <f>CONCATENATE("campo ",$A$235," ",fluor!$B$129)</f>
        <v>campo  cm</v>
      </c>
      <c r="D258" s="2566"/>
      <c r="E258" s="2568"/>
      <c r="F258" s="2569"/>
      <c r="G258" s="2616"/>
      <c r="H258" s="2492" t="str">
        <f ca="1">CONCATENATE(fluor!$D$588," %")</f>
        <v>NPA %</v>
      </c>
      <c r="I258" s="2492"/>
      <c r="J258" s="1130" t="str">
        <f ca="1">IFERROR(fluor!$D$589,"NPA")</f>
        <v>NPA</v>
      </c>
      <c r="K258" s="2137" t="str">
        <f t="shared" ca="1" si="10"/>
        <v>x</v>
      </c>
      <c r="P258" s="2228" t="str">
        <f t="shared" ca="1" si="8"/>
        <v>NPA</v>
      </c>
    </row>
    <row r="259" spans="1:16" ht="15" customHeight="1" x14ac:dyDescent="0.2">
      <c r="A259" s="2568"/>
      <c r="B259" s="2569"/>
      <c r="C259" s="2566" t="str">
        <f>CONCATENATE("campo ",$A$236," ",fluor!$B$129)</f>
        <v>campo  cm</v>
      </c>
      <c r="D259" s="2566"/>
      <c r="E259" s="2568"/>
      <c r="F259" s="2569"/>
      <c r="G259" s="2616"/>
      <c r="H259" s="2492" t="str">
        <f ca="1">CONCATENATE(fluor!$E$588," %")</f>
        <v>NPA %</v>
      </c>
      <c r="I259" s="2492"/>
      <c r="J259" s="1130" t="str">
        <f ca="1">IFERROR(fluor!$E$589,"NPA")</f>
        <v>NPA</v>
      </c>
      <c r="K259" s="2137" t="str">
        <f t="shared" ca="1" si="10"/>
        <v>x</v>
      </c>
      <c r="P259" s="2228" t="str">
        <f t="shared" ca="1" si="8"/>
        <v>NPA</v>
      </c>
    </row>
    <row r="260" spans="1:16" ht="15" customHeight="1" x14ac:dyDescent="0.2">
      <c r="A260" s="2568"/>
      <c r="B260" s="2569"/>
      <c r="C260" s="2566" t="str">
        <f>CONCATENATE("campo ",$A$237," ",fluor!$B$129)</f>
        <v>campo  cm</v>
      </c>
      <c r="D260" s="2566"/>
      <c r="E260" s="2568"/>
      <c r="F260" s="2569"/>
      <c r="G260" s="2616"/>
      <c r="H260" s="2492" t="str">
        <f ca="1">CONCATENATE(fluor!$F$588," %")</f>
        <v>NPA %</v>
      </c>
      <c r="I260" s="2492"/>
      <c r="J260" s="1130" t="str">
        <f ca="1">IFERROR(fluor!$F$589,"NPA")</f>
        <v>NPA</v>
      </c>
      <c r="K260" s="2137" t="str">
        <f t="shared" ca="1" si="10"/>
        <v>x</v>
      </c>
      <c r="P260" s="2228" t="str">
        <f t="shared" ca="1" si="8"/>
        <v>NPA</v>
      </c>
    </row>
    <row r="261" spans="1:16" ht="15" customHeight="1" x14ac:dyDescent="0.2">
      <c r="A261" s="2570"/>
      <c r="B261" s="2571"/>
      <c r="C261" s="2566" t="str">
        <f>CONCATENATE("campo ",$A$238," ",fluor!$B$129)</f>
        <v>campo  cm</v>
      </c>
      <c r="D261" s="2566"/>
      <c r="E261" s="2570"/>
      <c r="F261" s="2571"/>
      <c r="G261" s="2617"/>
      <c r="H261" s="2492" t="str">
        <f ca="1">CONCATENATE(fluor!$G$588," %")</f>
        <v>NPA %</v>
      </c>
      <c r="I261" s="2492"/>
      <c r="J261" s="1130" t="str">
        <f ca="1">IFERROR(fluor!$G$589,"NPA")</f>
        <v>NPA</v>
      </c>
      <c r="K261" s="2137" t="str">
        <f t="shared" ca="1" si="10"/>
        <v>x</v>
      </c>
      <c r="P261" s="2228" t="str">
        <f t="shared" ca="1" si="8"/>
        <v>NPA</v>
      </c>
    </row>
    <row r="262" spans="1:16" ht="15.75" customHeight="1" x14ac:dyDescent="0.2">
      <c r="A262" s="2556" t="s">
        <v>1681</v>
      </c>
      <c r="B262" s="2557"/>
      <c r="C262" s="2566" t="str">
        <f>CONCATENATE("campo ",$A$233," ",fluor!$B$129)</f>
        <v>campo 23 cm</v>
      </c>
      <c r="D262" s="2566"/>
      <c r="E262" s="2556" t="s">
        <v>2590</v>
      </c>
      <c r="F262" s="2557"/>
      <c r="G262" s="2615" t="s">
        <v>2786</v>
      </c>
      <c r="H262" s="2492" t="e">
        <f ca="1">fluor!B$524&amp;" %"</f>
        <v>#VALUE!</v>
      </c>
      <c r="I262" s="2492"/>
      <c r="J262" s="1208" t="str">
        <f ca="1">fluor!B$525</f>
        <v>NPA</v>
      </c>
      <c r="K262" s="2137" t="str">
        <f t="shared" ref="K262:K287" ca="1" si="11">IF(ISERR(H262),"x","")</f>
        <v>x</v>
      </c>
      <c r="P262" s="2228" t="str">
        <f t="shared" ca="1" si="8"/>
        <v>NPA</v>
      </c>
    </row>
    <row r="263" spans="1:16" ht="15.75" x14ac:dyDescent="0.2">
      <c r="A263" s="2568"/>
      <c r="B263" s="2569"/>
      <c r="C263" s="2566" t="str">
        <f>CONCATENATE("campo ",$A$234," ",fluor!$B$129)</f>
        <v>campo  cm</v>
      </c>
      <c r="D263" s="2566"/>
      <c r="E263" s="2568"/>
      <c r="F263" s="2569"/>
      <c r="G263" s="2616"/>
      <c r="H263" s="2492" t="e">
        <f ca="1">fluor!C$524&amp;" %"</f>
        <v>#VALUE!</v>
      </c>
      <c r="I263" s="2492"/>
      <c r="J263" s="1208" t="str">
        <f ca="1">fluor!C$525</f>
        <v>NPA</v>
      </c>
      <c r="K263" s="2137" t="str">
        <f t="shared" ca="1" si="11"/>
        <v>x</v>
      </c>
      <c r="P263" s="2228" t="str">
        <f t="shared" ca="1" si="8"/>
        <v>NPA</v>
      </c>
    </row>
    <row r="264" spans="1:16" ht="15.75" x14ac:dyDescent="0.2">
      <c r="A264" s="2568"/>
      <c r="B264" s="2569"/>
      <c r="C264" s="2566" t="str">
        <f>CONCATENATE("campo ",$A$235," ",fluor!$B$129)</f>
        <v>campo  cm</v>
      </c>
      <c r="D264" s="2566"/>
      <c r="E264" s="2568"/>
      <c r="F264" s="2569"/>
      <c r="G264" s="2616"/>
      <c r="H264" s="2492" t="e">
        <f ca="1">fluor!D$524&amp;" %"</f>
        <v>#VALUE!</v>
      </c>
      <c r="I264" s="2492"/>
      <c r="J264" s="1208" t="str">
        <f ca="1">fluor!D$525</f>
        <v>NPA</v>
      </c>
      <c r="K264" s="2137" t="str">
        <f t="shared" ca="1" si="11"/>
        <v>x</v>
      </c>
      <c r="P264" s="2228" t="str">
        <f t="shared" ca="1" si="8"/>
        <v>NPA</v>
      </c>
    </row>
    <row r="265" spans="1:16" ht="15.75" x14ac:dyDescent="0.2">
      <c r="A265" s="2568"/>
      <c r="B265" s="2569"/>
      <c r="C265" s="2566" t="str">
        <f>CONCATENATE("campo ",$A$236," ",fluor!$B$129)</f>
        <v>campo  cm</v>
      </c>
      <c r="D265" s="2566"/>
      <c r="E265" s="2568"/>
      <c r="F265" s="2569"/>
      <c r="G265" s="2616"/>
      <c r="H265" s="2492" t="e">
        <f ca="1">fluor!E$524&amp;" %"</f>
        <v>#VALUE!</v>
      </c>
      <c r="I265" s="2492"/>
      <c r="J265" s="1208" t="str">
        <f ca="1">fluor!E$525</f>
        <v>NPA</v>
      </c>
      <c r="K265" s="2137" t="str">
        <f t="shared" ca="1" si="11"/>
        <v>x</v>
      </c>
      <c r="P265" s="2228" t="str">
        <f t="shared" ca="1" si="8"/>
        <v>NPA</v>
      </c>
    </row>
    <row r="266" spans="1:16" ht="15.75" x14ac:dyDescent="0.2">
      <c r="A266" s="2568"/>
      <c r="B266" s="2569"/>
      <c r="C266" s="2566" t="str">
        <f>CONCATENATE("campo ",$A$237," ",fluor!$B$129)</f>
        <v>campo  cm</v>
      </c>
      <c r="D266" s="2566"/>
      <c r="E266" s="2568"/>
      <c r="F266" s="2569"/>
      <c r="G266" s="2616"/>
      <c r="H266" s="2492" t="e">
        <f ca="1">fluor!F$524&amp;" %"</f>
        <v>#VALUE!</v>
      </c>
      <c r="I266" s="2492"/>
      <c r="J266" s="1208" t="str">
        <f ca="1">fluor!F$525</f>
        <v>NPA</v>
      </c>
      <c r="K266" s="2137" t="str">
        <f t="shared" ca="1" si="11"/>
        <v>x</v>
      </c>
      <c r="P266" s="2228" t="str">
        <f t="shared" ca="1" si="8"/>
        <v>NPA</v>
      </c>
    </row>
    <row r="267" spans="1:16" ht="15.75" x14ac:dyDescent="0.2">
      <c r="A267" s="2570"/>
      <c r="B267" s="2571"/>
      <c r="C267" s="2566" t="str">
        <f>CONCATENATE("campo ",$A$238," ",fluor!$B$129)</f>
        <v>campo  cm</v>
      </c>
      <c r="D267" s="2566"/>
      <c r="E267" s="2570"/>
      <c r="F267" s="2571"/>
      <c r="G267" s="2617"/>
      <c r="H267" s="2492" t="e">
        <f ca="1">fluor!G$524&amp;" %"</f>
        <v>#VALUE!</v>
      </c>
      <c r="I267" s="2492"/>
      <c r="J267" s="1208" t="str">
        <f ca="1">fluor!G$525</f>
        <v>NPA</v>
      </c>
      <c r="K267" s="2137" t="str">
        <f t="shared" ca="1" si="11"/>
        <v>x</v>
      </c>
      <c r="P267" s="2228" t="str">
        <f t="shared" ca="1" si="8"/>
        <v>NPA</v>
      </c>
    </row>
    <row r="268" spans="1:16" ht="15.75" customHeight="1" x14ac:dyDescent="0.2">
      <c r="A268" s="2556" t="s">
        <v>1441</v>
      </c>
      <c r="B268" s="2557"/>
      <c r="C268" s="2566" t="str">
        <f>CONCATENATE("campo ",$A$233," ",fluor!$B$129)</f>
        <v>campo 23 cm</v>
      </c>
      <c r="D268" s="2566"/>
      <c r="E268" s="2556" t="s">
        <v>2590</v>
      </c>
      <c r="F268" s="2557"/>
      <c r="G268" s="2615" t="s">
        <v>2786</v>
      </c>
      <c r="H268" s="2492" t="e">
        <f ca="1">fluor!B$526&amp;" %"</f>
        <v>#VALUE!</v>
      </c>
      <c r="I268" s="2492"/>
      <c r="J268" s="1208" t="str">
        <f ca="1">fluor!B$527</f>
        <v>NPA</v>
      </c>
      <c r="K268" s="2137" t="str">
        <f t="shared" ca="1" si="11"/>
        <v>x</v>
      </c>
      <c r="P268" s="2228" t="str">
        <f t="shared" ca="1" si="8"/>
        <v>NPA</v>
      </c>
    </row>
    <row r="269" spans="1:16" ht="15.75" customHeight="1" x14ac:dyDescent="0.2">
      <c r="A269" s="2568"/>
      <c r="B269" s="2569"/>
      <c r="C269" s="2566" t="str">
        <f>CONCATENATE("campo ",$A$234," ",fluor!$B$129)</f>
        <v>campo  cm</v>
      </c>
      <c r="D269" s="2566"/>
      <c r="E269" s="2568"/>
      <c r="F269" s="2569"/>
      <c r="G269" s="2616"/>
      <c r="H269" s="2492" t="e">
        <f ca="1">fluor!C$526&amp;" %"</f>
        <v>#VALUE!</v>
      </c>
      <c r="I269" s="2492"/>
      <c r="J269" s="1208" t="str">
        <f ca="1">fluor!C$527</f>
        <v>NPA</v>
      </c>
      <c r="K269" s="2137" t="str">
        <f t="shared" ca="1" si="11"/>
        <v>x</v>
      </c>
      <c r="P269" s="2228" t="str">
        <f t="shared" ca="1" si="8"/>
        <v>NPA</v>
      </c>
    </row>
    <row r="270" spans="1:16" ht="15.75" customHeight="1" x14ac:dyDescent="0.2">
      <c r="A270" s="2568"/>
      <c r="B270" s="2569"/>
      <c r="C270" s="2566" t="str">
        <f>CONCATENATE("campo ",$A$235," ",fluor!$B$129)</f>
        <v>campo  cm</v>
      </c>
      <c r="D270" s="2566"/>
      <c r="E270" s="2568"/>
      <c r="F270" s="2569"/>
      <c r="G270" s="2616"/>
      <c r="H270" s="2492" t="e">
        <f ca="1">fluor!D$526&amp;" %"</f>
        <v>#VALUE!</v>
      </c>
      <c r="I270" s="2492"/>
      <c r="J270" s="1208" t="str">
        <f ca="1">fluor!D$527</f>
        <v>NPA</v>
      </c>
      <c r="K270" s="2137" t="str">
        <f t="shared" ca="1" si="11"/>
        <v>x</v>
      </c>
      <c r="P270" s="2228" t="str">
        <f t="shared" ca="1" si="8"/>
        <v>NPA</v>
      </c>
    </row>
    <row r="271" spans="1:16" ht="15.75" customHeight="1" x14ac:dyDescent="0.2">
      <c r="A271" s="2568"/>
      <c r="B271" s="2569"/>
      <c r="C271" s="2566" t="str">
        <f>CONCATENATE("campo ",$A$236," ",fluor!$B$129)</f>
        <v>campo  cm</v>
      </c>
      <c r="D271" s="2566"/>
      <c r="E271" s="2568"/>
      <c r="F271" s="2569"/>
      <c r="G271" s="2616"/>
      <c r="H271" s="2492" t="e">
        <f ca="1">fluor!E$526&amp;" %"</f>
        <v>#VALUE!</v>
      </c>
      <c r="I271" s="2492"/>
      <c r="J271" s="1208" t="str">
        <f ca="1">fluor!E$527</f>
        <v>NPA</v>
      </c>
      <c r="K271" s="2137" t="str">
        <f t="shared" ca="1" si="11"/>
        <v>x</v>
      </c>
      <c r="P271" s="2228" t="str">
        <f t="shared" ca="1" si="8"/>
        <v>NPA</v>
      </c>
    </row>
    <row r="272" spans="1:16" ht="15.75" customHeight="1" x14ac:dyDescent="0.2">
      <c r="A272" s="2568"/>
      <c r="B272" s="2569"/>
      <c r="C272" s="2566" t="str">
        <f>CONCATENATE("campo ",$A$237," ",fluor!$B$129)</f>
        <v>campo  cm</v>
      </c>
      <c r="D272" s="2566"/>
      <c r="E272" s="2568"/>
      <c r="F272" s="2569"/>
      <c r="G272" s="2616"/>
      <c r="H272" s="2492" t="e">
        <f ca="1">fluor!F$526&amp;" %"</f>
        <v>#VALUE!</v>
      </c>
      <c r="I272" s="2492"/>
      <c r="J272" s="1208" t="str">
        <f ca="1">fluor!F$527</f>
        <v>NPA</v>
      </c>
      <c r="K272" s="2137" t="str">
        <f t="shared" ca="1" si="11"/>
        <v>x</v>
      </c>
      <c r="P272" s="2228" t="str">
        <f t="shared" ca="1" si="8"/>
        <v>NPA</v>
      </c>
    </row>
    <row r="273" spans="1:16" ht="15.75" customHeight="1" x14ac:dyDescent="0.2">
      <c r="A273" s="2570"/>
      <c r="B273" s="2571"/>
      <c r="C273" s="2566" t="str">
        <f>CONCATENATE("campo ",$A$238," ",fluor!$B$129)</f>
        <v>campo  cm</v>
      </c>
      <c r="D273" s="2566"/>
      <c r="E273" s="2570"/>
      <c r="F273" s="2571"/>
      <c r="G273" s="2617"/>
      <c r="H273" s="2492" t="e">
        <f ca="1">fluor!G$526&amp;" %"</f>
        <v>#VALUE!</v>
      </c>
      <c r="I273" s="2492"/>
      <c r="J273" s="1208" t="str">
        <f ca="1">fluor!G$527</f>
        <v>NPA</v>
      </c>
      <c r="K273" s="2137" t="str">
        <f t="shared" ca="1" si="11"/>
        <v>x</v>
      </c>
      <c r="P273" s="2228" t="str">
        <f t="shared" ca="1" si="8"/>
        <v>NPA</v>
      </c>
    </row>
    <row r="274" spans="1:16" ht="15" customHeight="1" x14ac:dyDescent="0.2">
      <c r="A274" s="2556" t="s">
        <v>1442</v>
      </c>
      <c r="B274" s="2557"/>
      <c r="C274" s="2566" t="str">
        <f>CONCATENATE("campo ",$A$233," ",fluor!$B$129)</f>
        <v>campo 23 cm</v>
      </c>
      <c r="D274" s="2566"/>
      <c r="E274" s="2556" t="s">
        <v>2590</v>
      </c>
      <c r="F274" s="2557"/>
      <c r="G274" s="2615" t="s">
        <v>2786</v>
      </c>
      <c r="H274" s="2492" t="e">
        <f ca="1">fluor!B$528&amp;" %"</f>
        <v>#VALUE!</v>
      </c>
      <c r="I274" s="2492"/>
      <c r="J274" s="1208" t="str">
        <f ca="1">fluor!B$529</f>
        <v>NPA</v>
      </c>
      <c r="K274" s="2137" t="str">
        <f t="shared" ca="1" si="11"/>
        <v>x</v>
      </c>
      <c r="P274" s="2228" t="str">
        <f t="shared" ca="1" si="8"/>
        <v>NPA</v>
      </c>
    </row>
    <row r="275" spans="1:16" ht="15" customHeight="1" x14ac:dyDescent="0.2">
      <c r="A275" s="2568"/>
      <c r="B275" s="2569"/>
      <c r="C275" s="2566" t="str">
        <f>CONCATENATE("campo ",$A$234," ",fluor!$B$129)</f>
        <v>campo  cm</v>
      </c>
      <c r="D275" s="2566"/>
      <c r="E275" s="2568"/>
      <c r="F275" s="2569"/>
      <c r="G275" s="2616"/>
      <c r="H275" s="2492" t="e">
        <f ca="1">fluor!C$528&amp;" %"</f>
        <v>#VALUE!</v>
      </c>
      <c r="I275" s="2492"/>
      <c r="J275" s="1208" t="str">
        <f ca="1">fluor!C$529</f>
        <v>NPA</v>
      </c>
      <c r="K275" s="2137" t="str">
        <f t="shared" ca="1" si="11"/>
        <v>x</v>
      </c>
      <c r="P275" s="2228" t="str">
        <f t="shared" ca="1" si="8"/>
        <v>NPA</v>
      </c>
    </row>
    <row r="276" spans="1:16" ht="15" customHeight="1" x14ac:dyDescent="0.2">
      <c r="A276" s="2568"/>
      <c r="B276" s="2569"/>
      <c r="C276" s="2566" t="str">
        <f>CONCATENATE("campo ",$A$235," ",fluor!$B$129)</f>
        <v>campo  cm</v>
      </c>
      <c r="D276" s="2566"/>
      <c r="E276" s="2568"/>
      <c r="F276" s="2569"/>
      <c r="G276" s="2616"/>
      <c r="H276" s="2492" t="e">
        <f ca="1">fluor!D$528&amp;" %"</f>
        <v>#VALUE!</v>
      </c>
      <c r="I276" s="2492"/>
      <c r="J276" s="1208" t="str">
        <f ca="1">fluor!D$529</f>
        <v>NPA</v>
      </c>
      <c r="K276" s="2137" t="str">
        <f t="shared" ca="1" si="11"/>
        <v>x</v>
      </c>
      <c r="P276" s="2228" t="str">
        <f t="shared" ca="1" si="8"/>
        <v>NPA</v>
      </c>
    </row>
    <row r="277" spans="1:16" ht="15" customHeight="1" x14ac:dyDescent="0.2">
      <c r="A277" s="2568"/>
      <c r="B277" s="2569"/>
      <c r="C277" s="2566" t="str">
        <f>CONCATENATE("campo ",$A$236," ",fluor!$B$129)</f>
        <v>campo  cm</v>
      </c>
      <c r="D277" s="2566"/>
      <c r="E277" s="2568"/>
      <c r="F277" s="2569"/>
      <c r="G277" s="2616"/>
      <c r="H277" s="2492" t="e">
        <f ca="1">fluor!E$528&amp;" %"</f>
        <v>#VALUE!</v>
      </c>
      <c r="I277" s="2492"/>
      <c r="J277" s="1208" t="str">
        <f ca="1">fluor!E$529</f>
        <v>NPA</v>
      </c>
      <c r="K277" s="2137" t="str">
        <f t="shared" ca="1" si="11"/>
        <v>x</v>
      </c>
      <c r="P277" s="2228" t="str">
        <f t="shared" ca="1" si="8"/>
        <v>NPA</v>
      </c>
    </row>
    <row r="278" spans="1:16" ht="15" customHeight="1" x14ac:dyDescent="0.2">
      <c r="A278" s="2568"/>
      <c r="B278" s="2569"/>
      <c r="C278" s="2566" t="str">
        <f>CONCATENATE("campo ",$A$237," ",fluor!$B$129)</f>
        <v>campo  cm</v>
      </c>
      <c r="D278" s="2566"/>
      <c r="E278" s="2568"/>
      <c r="F278" s="2569"/>
      <c r="G278" s="2616"/>
      <c r="H278" s="2492" t="e">
        <f ca="1">fluor!F$528&amp;" %"</f>
        <v>#VALUE!</v>
      </c>
      <c r="I278" s="2492"/>
      <c r="J278" s="1208" t="str">
        <f ca="1">fluor!F$529</f>
        <v>NPA</v>
      </c>
      <c r="K278" s="2137" t="str">
        <f t="shared" ca="1" si="11"/>
        <v>x</v>
      </c>
      <c r="P278" s="2228" t="str">
        <f t="shared" ca="1" si="8"/>
        <v>NPA</v>
      </c>
    </row>
    <row r="279" spans="1:16" ht="15" customHeight="1" x14ac:dyDescent="0.2">
      <c r="A279" s="2570"/>
      <c r="B279" s="2571"/>
      <c r="C279" s="2566" t="str">
        <f>CONCATENATE("campo ",$A$238," ",fluor!$B$129)</f>
        <v>campo  cm</v>
      </c>
      <c r="D279" s="2566"/>
      <c r="E279" s="2570"/>
      <c r="F279" s="2571"/>
      <c r="G279" s="2617"/>
      <c r="H279" s="2492" t="e">
        <f ca="1">fluor!G$528&amp;" %"</f>
        <v>#VALUE!</v>
      </c>
      <c r="I279" s="2492"/>
      <c r="J279" s="1208" t="str">
        <f ca="1">fluor!G$529</f>
        <v>NPA</v>
      </c>
      <c r="K279" s="2137" t="str">
        <f t="shared" ca="1" si="11"/>
        <v>x</v>
      </c>
      <c r="P279" s="2228" t="str">
        <f t="shared" ca="1" si="8"/>
        <v>NPA</v>
      </c>
    </row>
    <row r="280" spans="1:16" ht="15" customHeight="1" x14ac:dyDescent="0.2">
      <c r="A280" s="2556" t="s">
        <v>1900</v>
      </c>
      <c r="B280" s="2557"/>
      <c r="C280" s="2566" t="str">
        <f>CONCATENATE("campo ",$A$233," ",fluor!$B$129)</f>
        <v>campo 23 cm</v>
      </c>
      <c r="D280" s="2566"/>
      <c r="E280" s="2556" t="s">
        <v>2591</v>
      </c>
      <c r="F280" s="2557"/>
      <c r="G280" s="2615" t="s">
        <v>2787</v>
      </c>
      <c r="H280" s="2492" t="e">
        <f ca="1">fluor!B$536</f>
        <v>#VALUE!</v>
      </c>
      <c r="I280" s="2492"/>
      <c r="J280" s="1130" t="str">
        <f ca="1">fluor!B$537</f>
        <v>NPA</v>
      </c>
      <c r="K280" s="2137" t="str">
        <f t="shared" ca="1" si="11"/>
        <v>x</v>
      </c>
      <c r="P280" s="2228" t="str">
        <f t="shared" ca="1" si="8"/>
        <v>NPA</v>
      </c>
    </row>
    <row r="281" spans="1:16" ht="15" customHeight="1" x14ac:dyDescent="0.2">
      <c r="A281" s="2568"/>
      <c r="B281" s="2569"/>
      <c r="C281" s="2566" t="str">
        <f>CONCATENATE("campo ",$A$234," ",fluor!$B$129)</f>
        <v>campo  cm</v>
      </c>
      <c r="D281" s="2566"/>
      <c r="E281" s="2568"/>
      <c r="F281" s="2569"/>
      <c r="G281" s="2616"/>
      <c r="H281" s="2492" t="e">
        <f ca="1">fluor!C$536</f>
        <v>#VALUE!</v>
      </c>
      <c r="I281" s="2492"/>
      <c r="J281" s="1130" t="str">
        <f ca="1">fluor!C$537</f>
        <v>NPA</v>
      </c>
      <c r="K281" s="2137" t="str">
        <f t="shared" ca="1" si="11"/>
        <v>x</v>
      </c>
      <c r="P281" s="2228" t="str">
        <f t="shared" ca="1" si="8"/>
        <v>NPA</v>
      </c>
    </row>
    <row r="282" spans="1:16" ht="15" customHeight="1" x14ac:dyDescent="0.2">
      <c r="A282" s="2568"/>
      <c r="B282" s="2569"/>
      <c r="C282" s="2566" t="str">
        <f>CONCATENATE("campo ",$A$235," ",fluor!$B$129)</f>
        <v>campo  cm</v>
      </c>
      <c r="D282" s="2566"/>
      <c r="E282" s="2568"/>
      <c r="F282" s="2569"/>
      <c r="G282" s="2616"/>
      <c r="H282" s="2492" t="e">
        <f ca="1">fluor!D$536</f>
        <v>#VALUE!</v>
      </c>
      <c r="I282" s="2492"/>
      <c r="J282" s="1130" t="str">
        <f ca="1">fluor!D$537</f>
        <v>NPA</v>
      </c>
      <c r="K282" s="2137" t="str">
        <f t="shared" ca="1" si="11"/>
        <v>x</v>
      </c>
      <c r="P282" s="2228" t="str">
        <f t="shared" ca="1" si="8"/>
        <v>NPA</v>
      </c>
    </row>
    <row r="283" spans="1:16" ht="15" customHeight="1" x14ac:dyDescent="0.2">
      <c r="A283" s="2568"/>
      <c r="B283" s="2569"/>
      <c r="C283" s="2566" t="str">
        <f>CONCATENATE("campo ",$A$236," ",fluor!$B$129)</f>
        <v>campo  cm</v>
      </c>
      <c r="D283" s="2566"/>
      <c r="E283" s="2568"/>
      <c r="F283" s="2569"/>
      <c r="G283" s="2616"/>
      <c r="H283" s="2492" t="e">
        <f ca="1">fluor!E$536</f>
        <v>#VALUE!</v>
      </c>
      <c r="I283" s="2492"/>
      <c r="J283" s="1130" t="str">
        <f ca="1">fluor!E$537</f>
        <v>NPA</v>
      </c>
      <c r="K283" s="2137" t="str">
        <f t="shared" ca="1" si="11"/>
        <v>x</v>
      </c>
      <c r="P283" s="2228" t="str">
        <f t="shared" ca="1" si="8"/>
        <v>NPA</v>
      </c>
    </row>
    <row r="284" spans="1:16" ht="15" customHeight="1" x14ac:dyDescent="0.2">
      <c r="A284" s="2568"/>
      <c r="B284" s="2569"/>
      <c r="C284" s="2566" t="str">
        <f>CONCATENATE("campo ",$A$237," ",fluor!$B$129)</f>
        <v>campo  cm</v>
      </c>
      <c r="D284" s="2566"/>
      <c r="E284" s="2568"/>
      <c r="F284" s="2569"/>
      <c r="G284" s="2616"/>
      <c r="H284" s="2492" t="e">
        <f ca="1">fluor!F$536</f>
        <v>#VALUE!</v>
      </c>
      <c r="I284" s="2492"/>
      <c r="J284" s="1130" t="str">
        <f ca="1">fluor!F$537</f>
        <v>NPA</v>
      </c>
      <c r="K284" s="2137" t="str">
        <f t="shared" ca="1" si="11"/>
        <v>x</v>
      </c>
      <c r="P284" s="2228" t="str">
        <f t="shared" ca="1" si="8"/>
        <v>NPA</v>
      </c>
    </row>
    <row r="285" spans="1:16" ht="15" customHeight="1" x14ac:dyDescent="0.2">
      <c r="A285" s="2570"/>
      <c r="B285" s="2571"/>
      <c r="C285" s="2566" t="str">
        <f>CONCATENATE("campo ",$A$238," ",fluor!$B$129)</f>
        <v>campo  cm</v>
      </c>
      <c r="D285" s="2566"/>
      <c r="E285" s="2570"/>
      <c r="F285" s="2571"/>
      <c r="G285" s="2617"/>
      <c r="H285" s="2492" t="e">
        <f ca="1">fluor!G$536</f>
        <v>#VALUE!</v>
      </c>
      <c r="I285" s="2492"/>
      <c r="J285" s="1130" t="str">
        <f ca="1">fluor!G$537</f>
        <v>NPA</v>
      </c>
      <c r="K285" s="2137" t="str">
        <f t="shared" ca="1" si="11"/>
        <v>x</v>
      </c>
      <c r="P285" s="2228" t="str">
        <f t="shared" ca="1" si="8"/>
        <v>NPA</v>
      </c>
    </row>
    <row r="286" spans="1:16" ht="32.25" customHeight="1" x14ac:dyDescent="0.25">
      <c r="A286" s="2572" t="e">
        <f ca="1">"Reprodutibilidade da alta tensão do tubo @ "&amp;fluor!B67&amp;" kVp - manual"</f>
        <v>#DIV/0!</v>
      </c>
      <c r="B286" s="2573"/>
      <c r="C286" s="2573"/>
      <c r="D286" s="2574"/>
      <c r="E286" s="2550" t="s">
        <v>2592</v>
      </c>
      <c r="F286" s="2552"/>
      <c r="G286" s="2286" t="s">
        <v>240</v>
      </c>
      <c r="H286" s="2492" t="e">
        <f ca="1">CONCATENATE(ROUND(fluor!B74,1)," %")</f>
        <v>#NUM!</v>
      </c>
      <c r="I286" s="2492"/>
      <c r="J286" s="1130" t="s">
        <v>142</v>
      </c>
      <c r="K286" s="2137" t="str">
        <f t="shared" ca="1" si="11"/>
        <v>x</v>
      </c>
      <c r="P286" s="2228" t="str">
        <f t="shared" si="8"/>
        <v>NA</v>
      </c>
    </row>
    <row r="287" spans="1:16" ht="32.25" customHeight="1" x14ac:dyDescent="0.25">
      <c r="A287" s="2572" t="e">
        <f ca="1">"Reprodutibilidade da alta tensão do tubo @ "&amp;fluor!B114&amp;" kVp - automático"</f>
        <v>#DIV/0!</v>
      </c>
      <c r="B287" s="2573"/>
      <c r="C287" s="2573"/>
      <c r="D287" s="2574"/>
      <c r="E287" s="2550" t="s">
        <v>2592</v>
      </c>
      <c r="F287" s="2552"/>
      <c r="G287" s="2286" t="s">
        <v>240</v>
      </c>
      <c r="H287" s="2492" t="e">
        <f ca="1">CONCATENATE(ROUND(fluor!B121,1)," %")</f>
        <v>#NUM!</v>
      </c>
      <c r="I287" s="2492"/>
      <c r="J287" s="2337" t="s">
        <v>142</v>
      </c>
      <c r="K287" s="2137" t="str">
        <f t="shared" ca="1" si="11"/>
        <v>x</v>
      </c>
      <c r="P287" s="2228" t="str">
        <f t="shared" si="8"/>
        <v>NA</v>
      </c>
    </row>
    <row r="288" spans="1:16" ht="15" customHeight="1" x14ac:dyDescent="0.25">
      <c r="A288" s="2550"/>
      <c r="B288" s="2551"/>
      <c r="C288" s="2551"/>
      <c r="D288" s="2552"/>
      <c r="E288" s="2550"/>
      <c r="F288" s="2552"/>
      <c r="G288" s="2286"/>
      <c r="H288" s="2492"/>
      <c r="I288" s="2492"/>
      <c r="J288" s="1130"/>
      <c r="K288" s="2137" t="s">
        <v>649</v>
      </c>
      <c r="P288" s="2228" t="str">
        <f t="shared" si="8"/>
        <v>NA</v>
      </c>
    </row>
    <row r="289" spans="1:16" s="2018" customFormat="1" ht="44.25" customHeight="1" x14ac:dyDescent="0.25">
      <c r="A289" s="2561" t="s">
        <v>1372</v>
      </c>
      <c r="B289" s="2562"/>
      <c r="C289" s="2562"/>
      <c r="D289" s="2563"/>
      <c r="E289" s="2550" t="s">
        <v>2593</v>
      </c>
      <c r="F289" s="2552"/>
      <c r="G289" s="2286" t="s">
        <v>2594</v>
      </c>
      <c r="H289" s="2492" t="str">
        <f>IF(fluor!D149="","NA",fluor!D149&amp;" cm")</f>
        <v>NA</v>
      </c>
      <c r="I289" s="2492"/>
      <c r="J289" s="2141" t="str">
        <f>IF(fluor!D149="","NA",fluor!D149)</f>
        <v>NA</v>
      </c>
      <c r="K289" s="2228" t="s">
        <v>649</v>
      </c>
      <c r="P289" s="2228" t="str">
        <f t="shared" si="8"/>
        <v>NA</v>
      </c>
    </row>
    <row r="290" spans="1:16" s="2018" customFormat="1" ht="62.25" customHeight="1" x14ac:dyDescent="0.25">
      <c r="A290" s="2561" t="s">
        <v>1084</v>
      </c>
      <c r="B290" s="2562"/>
      <c r="C290" s="2562"/>
      <c r="D290" s="2563"/>
      <c r="E290" s="2550" t="s">
        <v>2595</v>
      </c>
      <c r="F290" s="2552"/>
      <c r="G290" s="2287" t="s">
        <v>2788</v>
      </c>
      <c r="H290" s="2492" t="e">
        <f>ROUND(FugaCabecote,3)&amp;" mGy/h"</f>
        <v>#DIV/0!</v>
      </c>
      <c r="I290" s="2492"/>
      <c r="J290" s="2141" t="e">
        <f>IF(FugaCabecote&lt;=1,"Sim",IF(FugaCabecote&gt;2,"Restrição","Não"))</f>
        <v>#DIV/0!</v>
      </c>
      <c r="K290" s="2137" t="str">
        <f>IF(ISERR(J290),"x","")</f>
        <v>x</v>
      </c>
      <c r="L290" s="2137"/>
      <c r="P290" s="2228" t="e">
        <f>IF(J290="Não","Não conforme",IF(J290="Restrição","Não conforme",IF(J290="Sim","Conforme",IF(J290="NPA","NPA","NA"))))</f>
        <v>#DIV/0!</v>
      </c>
    </row>
    <row r="291" spans="1:16" ht="15" customHeight="1" x14ac:dyDescent="0.25">
      <c r="A291" s="2213" t="s">
        <v>2753</v>
      </c>
      <c r="B291" s="2213"/>
      <c r="C291" s="2213"/>
      <c r="D291" s="2213"/>
      <c r="E291" s="2213"/>
      <c r="F291" s="2213"/>
      <c r="G291" s="2213"/>
      <c r="H291" s="2213"/>
      <c r="I291" s="2213"/>
      <c r="J291" s="2213"/>
      <c r="K291" s="2137" t="str">
        <f ca="1">K243</f>
        <v/>
      </c>
    </row>
    <row r="292" spans="1:16" ht="15" customHeight="1" x14ac:dyDescent="0.25">
      <c r="A292" s="1603"/>
      <c r="B292" s="1603"/>
      <c r="C292" s="1603"/>
      <c r="D292" s="1603"/>
      <c r="E292" s="1603"/>
      <c r="F292" s="1603"/>
      <c r="G292" s="287"/>
      <c r="H292" s="287"/>
      <c r="I292" s="2064"/>
    </row>
    <row r="293" spans="1:16" s="2020" customFormat="1" ht="15" customHeight="1" x14ac:dyDescent="0.25">
      <c r="A293" s="281" t="s">
        <v>382</v>
      </c>
      <c r="B293" s="2137"/>
      <c r="C293" s="2137"/>
      <c r="D293" s="2137"/>
      <c r="E293" s="2137"/>
      <c r="F293" s="2137"/>
      <c r="G293" s="2137"/>
      <c r="H293" s="2137"/>
      <c r="I293" s="2137"/>
    </row>
    <row r="294" spans="1:16" s="2020" customFormat="1" ht="15" customHeight="1" x14ac:dyDescent="0.25">
      <c r="A294" s="2476" t="str">
        <f>CONCATENATE("                ",Tabelas2!S4)</f>
        <v xml:space="preserve">                Medidor de tensão, tempo, dose e camada semirredutora marca RaySafe, modelo X2 8251010-6, série 257741, sensor modelo 8252010-6, série 260722, certificado de calibração em anexo.</v>
      </c>
      <c r="B294" s="2476"/>
      <c r="C294" s="2476"/>
      <c r="D294" s="2476"/>
      <c r="E294" s="2476"/>
      <c r="F294" s="2476"/>
      <c r="G294" s="2476"/>
      <c r="H294" s="2476"/>
      <c r="I294" s="2476"/>
      <c r="J294" s="2476"/>
    </row>
    <row r="295" spans="1:16" s="2020" customFormat="1" ht="15" customHeight="1" x14ac:dyDescent="0.25">
      <c r="A295" s="2476"/>
      <c r="B295" s="2476"/>
      <c r="C295" s="2476"/>
      <c r="D295" s="2476"/>
      <c r="E295" s="2476"/>
      <c r="F295" s="2476"/>
      <c r="G295" s="2476"/>
      <c r="H295" s="2476"/>
      <c r="I295" s="2476"/>
      <c r="J295" s="2476"/>
    </row>
    <row r="296" spans="1:16" s="2020" customFormat="1" ht="15" customHeight="1" x14ac:dyDescent="0.25">
      <c r="A296" s="2476" t="str">
        <f>'LAUDO Levantamento'!A233</f>
        <v xml:space="preserve">               Câmara de ionização marca Fluke Biomedical, modelo 451P-DE-SI-RYR, série 2826, certificado de calibração em anexo.</v>
      </c>
      <c r="B296" s="2476"/>
      <c r="C296" s="2476"/>
      <c r="D296" s="2476"/>
      <c r="E296" s="2476"/>
      <c r="F296" s="2476"/>
      <c r="G296" s="2476"/>
      <c r="H296" s="2476"/>
      <c r="I296" s="2476"/>
      <c r="J296" s="2476"/>
      <c r="K296" s="2020" t="str">
        <f>K290</f>
        <v>x</v>
      </c>
    </row>
    <row r="297" spans="1:16" s="2020" customFormat="1" ht="15" customHeight="1" x14ac:dyDescent="0.25">
      <c r="A297" s="2476"/>
      <c r="B297" s="2476"/>
      <c r="C297" s="2476"/>
      <c r="D297" s="2476"/>
      <c r="E297" s="2476"/>
      <c r="F297" s="2476"/>
      <c r="G297" s="2476"/>
      <c r="H297" s="2476"/>
      <c r="I297" s="2476"/>
      <c r="J297" s="2476"/>
      <c r="K297" s="2020" t="str">
        <f>K296</f>
        <v>x</v>
      </c>
    </row>
    <row r="298" spans="1:16" s="2020" customFormat="1" ht="15" customHeight="1" x14ac:dyDescent="0.25">
      <c r="A298" s="2476" t="s">
        <v>231</v>
      </c>
      <c r="B298" s="2476"/>
      <c r="C298" s="2476"/>
      <c r="D298" s="2476"/>
      <c r="E298" s="2476"/>
      <c r="F298" s="2476"/>
      <c r="G298" s="2476"/>
      <c r="H298" s="2476"/>
      <c r="I298" s="2476"/>
      <c r="J298" s="2476"/>
    </row>
    <row r="299" spans="1:16" s="2020" customFormat="1" ht="15" customHeight="1" x14ac:dyDescent="0.25">
      <c r="A299" s="2134"/>
      <c r="B299" s="2134"/>
      <c r="C299" s="2134"/>
      <c r="D299" s="2134"/>
      <c r="E299" s="2134"/>
      <c r="F299" s="2134"/>
      <c r="G299" s="2134"/>
      <c r="H299" s="2134"/>
      <c r="I299" s="2134"/>
    </row>
    <row r="300" spans="1:16" ht="15" customHeight="1" x14ac:dyDescent="0.25">
      <c r="A300" s="281" t="s">
        <v>192</v>
      </c>
      <c r="B300" s="2134"/>
      <c r="C300" s="2134"/>
      <c r="D300" s="2134"/>
      <c r="E300" s="2134"/>
      <c r="F300" s="2134"/>
      <c r="G300" s="2134"/>
      <c r="H300" s="2134"/>
      <c r="I300" s="2134"/>
      <c r="K300" s="2137" t="str">
        <f ca="1">IF(COUNTIF(K303:K335,"")=0,"x","")</f>
        <v/>
      </c>
    </row>
    <row r="301" spans="1:16" ht="15" customHeight="1" x14ac:dyDescent="0.25">
      <c r="A301" s="2469" t="str">
        <f>IntroPrazoArmazenamento</f>
        <v xml:space="preserve">               Este documento deve ser arquivado e mantido à disposição da autoridade sanitária local, garantindo sua rastreabilidade pelo prazo mínimo de 5 anos. </v>
      </c>
      <c r="B301" s="2469"/>
      <c r="C301" s="2469"/>
      <c r="D301" s="2469"/>
      <c r="E301" s="2469"/>
      <c r="F301" s="2469"/>
      <c r="G301" s="2469"/>
      <c r="H301" s="2469"/>
      <c r="I301" s="2469"/>
      <c r="J301" s="2469"/>
    </row>
    <row r="302" spans="1:16" ht="15" customHeight="1" x14ac:dyDescent="0.25">
      <c r="A302" s="2469"/>
      <c r="B302" s="2469"/>
      <c r="C302" s="2469"/>
      <c r="D302" s="2469"/>
      <c r="E302" s="2469"/>
      <c r="F302" s="2469"/>
      <c r="G302" s="2469"/>
      <c r="H302" s="2469"/>
      <c r="I302" s="2469"/>
      <c r="J302" s="2469"/>
    </row>
    <row r="303" spans="1:16" ht="15" customHeight="1" x14ac:dyDescent="0.25">
      <c r="A303" s="2609" t="str">
        <f>"                A Instrução Normativa "&amp;VLOOKUP("Raios X Convencional",IN_ANVISA[],2)&amp;"/"&amp;VLOOKUP("Raios X convencional",IN_ANVISA[],3)&amp;" da ANVISA determina que o rendimento do tubo deve estar entre 30 e 65 µGy/mAs à 1 m para 80 kV e filtração total de 2,5 mm Al."&amp;" Como este equipamento opera com alta filtração do feixe primário, o rendimento avaliado é tecnicamente aceitável. Sugere-se que o valor medido seja considerado como linha de base para testes futuros ou para comparação com testes anteriores."</f>
        <v xml:space="preserve">                A Instrução Normativa 90/2021 da ANVISA determina que o rendimento do tubo deve estar entre 30 e 65 µGy/mAs à 1 m para 80 kV e filtração total de 2,5 mm Al. Como este equipamento opera com alta filtração do feixe primário, o rendimento avaliado é tecnicamente aceitável. Sugere-se que o valor medido seja considerado como linha de base para testes futuros ou para comparação com testes anteriores.</v>
      </c>
      <c r="B303" s="2609"/>
      <c r="C303" s="2609"/>
      <c r="D303" s="2609"/>
      <c r="E303" s="2609"/>
      <c r="F303" s="2609"/>
      <c r="G303" s="2609"/>
      <c r="H303" s="2609"/>
      <c r="I303" s="2609"/>
      <c r="J303" s="2609"/>
      <c r="K303" s="2137" t="str">
        <f ca="1">IF(Cabeçalho!$B$14="Fluoroscopia","x",'LAUDO convencional'!K260)</f>
        <v>x</v>
      </c>
    </row>
    <row r="304" spans="1:16" ht="15" customHeight="1" x14ac:dyDescent="0.25">
      <c r="A304" s="2609"/>
      <c r="B304" s="2609"/>
      <c r="C304" s="2609"/>
      <c r="D304" s="2609"/>
      <c r="E304" s="2609"/>
      <c r="F304" s="2609"/>
      <c r="G304" s="2609"/>
      <c r="H304" s="2609"/>
      <c r="I304" s="2609"/>
      <c r="J304" s="2609"/>
      <c r="K304" s="2137" t="str">
        <f ca="1">K303</f>
        <v>x</v>
      </c>
    </row>
    <row r="305" spans="1:11" ht="15" customHeight="1" x14ac:dyDescent="0.25">
      <c r="A305" s="2609"/>
      <c r="B305" s="2609"/>
      <c r="C305" s="2609"/>
      <c r="D305" s="2609"/>
      <c r="E305" s="2609"/>
      <c r="F305" s="2609"/>
      <c r="G305" s="2609"/>
      <c r="H305" s="2609"/>
      <c r="I305" s="2609"/>
      <c r="J305" s="2609"/>
      <c r="K305" s="2137" t="str">
        <f ca="1">K304</f>
        <v>x</v>
      </c>
    </row>
    <row r="306" spans="1:11" ht="15" customHeight="1" x14ac:dyDescent="0.25">
      <c r="A306" s="2609"/>
      <c r="B306" s="2609"/>
      <c r="C306" s="2609"/>
      <c r="D306" s="2609"/>
      <c r="E306" s="2609"/>
      <c r="F306" s="2609"/>
      <c r="G306" s="2609"/>
      <c r="H306" s="2609"/>
      <c r="I306" s="2609"/>
      <c r="J306" s="2609"/>
      <c r="K306" s="2137" t="str">
        <f ca="1">K305</f>
        <v>x</v>
      </c>
    </row>
    <row r="307" spans="1:11" ht="15" customHeight="1" x14ac:dyDescent="0.25">
      <c r="A307" s="2609"/>
      <c r="B307" s="2609"/>
      <c r="C307" s="2609"/>
      <c r="D307" s="2609"/>
      <c r="E307" s="2609"/>
      <c r="F307" s="2609"/>
      <c r="G307" s="2609"/>
      <c r="H307" s="2609"/>
      <c r="I307" s="2609"/>
      <c r="J307" s="2609"/>
      <c r="K307" s="2137" t="str">
        <f ca="1">K306</f>
        <v>x</v>
      </c>
    </row>
    <row r="308" spans="1:11" ht="15" customHeight="1" x14ac:dyDescent="0.25">
      <c r="A308" s="2476" t="s">
        <v>489</v>
      </c>
      <c r="B308" s="2476"/>
      <c r="C308" s="2476"/>
      <c r="D308" s="2476"/>
      <c r="E308" s="2476"/>
      <c r="F308" s="2476"/>
      <c r="G308" s="2476"/>
      <c r="H308" s="2476"/>
      <c r="I308" s="2476"/>
      <c r="J308" s="2476"/>
      <c r="K308" s="2137" t="str">
        <f>'LAUDO convencional'!K268</f>
        <v>x</v>
      </c>
    </row>
    <row r="309" spans="1:11" ht="15" customHeight="1" x14ac:dyDescent="0.25">
      <c r="A309" s="2476"/>
      <c r="B309" s="2476"/>
      <c r="C309" s="2476"/>
      <c r="D309" s="2476"/>
      <c r="E309" s="2476"/>
      <c r="F309" s="2476"/>
      <c r="G309" s="2476"/>
      <c r="H309" s="2476"/>
      <c r="I309" s="2476"/>
      <c r="J309" s="2476"/>
      <c r="K309" s="2137" t="str">
        <f>K308</f>
        <v>x</v>
      </c>
    </row>
    <row r="310" spans="1:11" ht="15" customHeight="1" x14ac:dyDescent="0.25">
      <c r="A310" s="2476" t="s">
        <v>401</v>
      </c>
      <c r="B310" s="2476"/>
      <c r="C310" s="2476"/>
      <c r="D310" s="2476"/>
      <c r="E310" s="2476"/>
      <c r="F310" s="2476"/>
      <c r="G310" s="2476"/>
      <c r="H310" s="2476"/>
      <c r="I310" s="2476"/>
      <c r="J310" s="2476"/>
      <c r="K310" s="2137" t="str">
        <f>IF(Cabeçalho!$B$14="Fluoroscopia","x",'LAUDO convencional'!K270)</f>
        <v>x</v>
      </c>
    </row>
    <row r="311" spans="1:11" ht="15" customHeight="1" x14ac:dyDescent="0.25">
      <c r="A311" s="2476"/>
      <c r="B311" s="2476"/>
      <c r="C311" s="2476"/>
      <c r="D311" s="2476"/>
      <c r="E311" s="2476"/>
      <c r="F311" s="2476"/>
      <c r="G311" s="2476"/>
      <c r="H311" s="2476"/>
      <c r="I311" s="2476"/>
      <c r="J311" s="2476"/>
      <c r="K311" s="2137" t="str">
        <f>K310</f>
        <v>x</v>
      </c>
    </row>
    <row r="312" spans="1:11" ht="15" customHeight="1" x14ac:dyDescent="0.25">
      <c r="A312" s="2476" t="s">
        <v>402</v>
      </c>
      <c r="B312" s="2476"/>
      <c r="C312" s="2476"/>
      <c r="D312" s="2476"/>
      <c r="E312" s="2476"/>
      <c r="F312" s="2476"/>
      <c r="G312" s="2476"/>
      <c r="H312" s="2476"/>
      <c r="I312" s="2476"/>
      <c r="J312" s="2476"/>
      <c r="K312" s="2137" t="str">
        <f>IF(Cabeçalho!$B$14="Fluoroscopia","x",'LAUDO convencional'!K272)</f>
        <v>x</v>
      </c>
    </row>
    <row r="313" spans="1:11" ht="15" customHeight="1" x14ac:dyDescent="0.25">
      <c r="A313" s="2476"/>
      <c r="B313" s="2476"/>
      <c r="C313" s="2476"/>
      <c r="D313" s="2476"/>
      <c r="E313" s="2476"/>
      <c r="F313" s="2476"/>
      <c r="G313" s="2476"/>
      <c r="H313" s="2476"/>
      <c r="I313" s="2476"/>
      <c r="J313" s="2476"/>
      <c r="K313" s="2137" t="str">
        <f>K312</f>
        <v>x</v>
      </c>
    </row>
    <row r="314" spans="1:11" ht="15" customHeight="1" x14ac:dyDescent="0.25">
      <c r="A314" s="2476" t="s">
        <v>403</v>
      </c>
      <c r="B314" s="2476"/>
      <c r="C314" s="2476"/>
      <c r="D314" s="2476"/>
      <c r="E314" s="2476"/>
      <c r="F314" s="2476"/>
      <c r="G314" s="2476"/>
      <c r="H314" s="2476"/>
      <c r="I314" s="2476"/>
      <c r="J314" s="2476"/>
      <c r="K314" s="2137" t="str">
        <f>IF(Cabeçalho!$B$14="Fluoroscopia","x",'LAUDO convencional'!K274)</f>
        <v>x</v>
      </c>
    </row>
    <row r="315" spans="1:11" ht="15" customHeight="1" x14ac:dyDescent="0.25">
      <c r="A315" s="2476"/>
      <c r="B315" s="2476"/>
      <c r="C315" s="2476"/>
      <c r="D315" s="2476"/>
      <c r="E315" s="2476"/>
      <c r="F315" s="2476"/>
      <c r="G315" s="2476"/>
      <c r="H315" s="2476"/>
      <c r="I315" s="2476"/>
      <c r="J315" s="2476"/>
      <c r="K315" s="2137" t="str">
        <f>K314</f>
        <v>x</v>
      </c>
    </row>
    <row r="316" spans="1:11" ht="15" customHeight="1" x14ac:dyDescent="0.25">
      <c r="A316" s="2476" t="s">
        <v>653</v>
      </c>
      <c r="B316" s="2476"/>
      <c r="C316" s="2476"/>
      <c r="D316" s="2476"/>
      <c r="E316" s="2476"/>
      <c r="F316" s="2476"/>
      <c r="G316" s="2476"/>
      <c r="H316" s="2476"/>
      <c r="I316" s="2476"/>
      <c r="J316" s="2476"/>
      <c r="K316" s="2137" t="str">
        <f>IF(Cabeçalho!$B$14="Fluoroscopia","x",'LAUDO convencional'!K276)</f>
        <v>x</v>
      </c>
    </row>
    <row r="317" spans="1:11" ht="15" customHeight="1" x14ac:dyDescent="0.25">
      <c r="A317" s="2476"/>
      <c r="B317" s="2476"/>
      <c r="C317" s="2476"/>
      <c r="D317" s="2476"/>
      <c r="E317" s="2476"/>
      <c r="F317" s="2476"/>
      <c r="G317" s="2476"/>
      <c r="H317" s="2476"/>
      <c r="I317" s="2476"/>
      <c r="J317" s="2476"/>
      <c r="K317" s="2137" t="str">
        <f>K316</f>
        <v>x</v>
      </c>
    </row>
    <row r="318" spans="1:11" ht="15" customHeight="1" x14ac:dyDescent="0.25">
      <c r="A318" s="2476" t="s">
        <v>404</v>
      </c>
      <c r="B318" s="2476"/>
      <c r="C318" s="2476"/>
      <c r="D318" s="2476"/>
      <c r="E318" s="2476"/>
      <c r="F318" s="2476"/>
      <c r="G318" s="2476"/>
      <c r="H318" s="2476"/>
      <c r="I318" s="2476"/>
      <c r="J318" s="2476"/>
      <c r="K318" s="2137" t="str">
        <f>IF(Cabeçalho!$B$14="Fluoroscopia","x",'LAUDO convencional'!K278)</f>
        <v>x</v>
      </c>
    </row>
    <row r="319" spans="1:11" ht="15" customHeight="1" x14ac:dyDescent="0.25">
      <c r="A319" s="2476" t="s">
        <v>405</v>
      </c>
      <c r="B319" s="2476"/>
      <c r="C319" s="2476"/>
      <c r="D319" s="2476"/>
      <c r="E319" s="2476"/>
      <c r="F319" s="2476"/>
      <c r="G319" s="2476"/>
      <c r="H319" s="2476"/>
      <c r="I319" s="2476"/>
      <c r="J319" s="2476"/>
      <c r="K319" s="2137" t="str">
        <f>IF(Cabeçalho!$B$14="Fluoroscopia","x",'LAUDO convencional'!K279)</f>
        <v>x</v>
      </c>
    </row>
    <row r="320" spans="1:11" ht="15" customHeight="1" x14ac:dyDescent="0.25">
      <c r="A320" s="2476" t="s">
        <v>490</v>
      </c>
      <c r="B320" s="2476"/>
      <c r="C320" s="2476"/>
      <c r="D320" s="2476"/>
      <c r="E320" s="2476"/>
      <c r="F320" s="2476"/>
      <c r="G320" s="2476"/>
      <c r="H320" s="2476"/>
      <c r="I320" s="2476"/>
      <c r="J320" s="2476"/>
      <c r="K320" s="2137" t="str">
        <f>IF(Cabeçalho!$G$25=60,"","x")</f>
        <v>x</v>
      </c>
    </row>
    <row r="321" spans="1:11" ht="15" customHeight="1" x14ac:dyDescent="0.25">
      <c r="A321" s="2476"/>
      <c r="B321" s="2476"/>
      <c r="C321" s="2476"/>
      <c r="D321" s="2476"/>
      <c r="E321" s="2476"/>
      <c r="F321" s="2476"/>
      <c r="G321" s="2476"/>
      <c r="H321" s="2476"/>
      <c r="I321" s="2476"/>
      <c r="J321" s="2476"/>
      <c r="K321" s="2137" t="str">
        <f>K320</f>
        <v>x</v>
      </c>
    </row>
    <row r="322" spans="1:11" ht="15" customHeight="1" x14ac:dyDescent="0.25">
      <c r="A322" s="2476" t="s">
        <v>439</v>
      </c>
      <c r="B322" s="2476"/>
      <c r="C322" s="2476"/>
      <c r="D322" s="2476"/>
      <c r="E322" s="2476"/>
      <c r="F322" s="2476"/>
      <c r="G322" s="2476"/>
      <c r="H322" s="2476"/>
      <c r="I322" s="2476"/>
      <c r="J322" s="2476"/>
      <c r="K322" s="2137" t="str">
        <f>IF(H71="Regulável mas não funciona","","x")</f>
        <v>x</v>
      </c>
    </row>
    <row r="323" spans="1:11" ht="15" customHeight="1" x14ac:dyDescent="0.25">
      <c r="A323" s="2476"/>
      <c r="B323" s="2476"/>
      <c r="C323" s="2476"/>
      <c r="D323" s="2476"/>
      <c r="E323" s="2476"/>
      <c r="F323" s="2476"/>
      <c r="G323" s="2476"/>
      <c r="H323" s="2476"/>
      <c r="I323" s="2476"/>
      <c r="J323" s="2476"/>
      <c r="K323" s="2137" t="str">
        <f>K322</f>
        <v>x</v>
      </c>
    </row>
    <row r="324" spans="1:11" ht="15" customHeight="1" x14ac:dyDescent="0.25">
      <c r="A324" s="2476" t="s">
        <v>440</v>
      </c>
      <c r="B324" s="2476"/>
      <c r="C324" s="2476"/>
      <c r="D324" s="2476"/>
      <c r="E324" s="2476"/>
      <c r="F324" s="2476"/>
      <c r="G324" s="2476"/>
      <c r="H324" s="2476"/>
      <c r="I324" s="2476"/>
      <c r="J324" s="2476"/>
      <c r="K324" s="2137" t="str">
        <f>IF(fluor!I133="Não","","x")</f>
        <v>x</v>
      </c>
    </row>
    <row r="325" spans="1:11" ht="15" customHeight="1" x14ac:dyDescent="0.25">
      <c r="A325" s="2476"/>
      <c r="B325" s="2476"/>
      <c r="C325" s="2476"/>
      <c r="D325" s="2476"/>
      <c r="E325" s="2476"/>
      <c r="F325" s="2476"/>
      <c r="G325" s="2476"/>
      <c r="H325" s="2476"/>
      <c r="I325" s="2476"/>
      <c r="J325" s="2476"/>
      <c r="K325" s="2137" t="str">
        <f>K324</f>
        <v>x</v>
      </c>
    </row>
    <row r="326" spans="1:11" ht="15" customHeight="1" x14ac:dyDescent="0.25">
      <c r="A326" s="2476" t="s">
        <v>1788</v>
      </c>
      <c r="B326" s="2476"/>
      <c r="C326" s="2476"/>
      <c r="D326" s="2476"/>
      <c r="E326" s="2476"/>
      <c r="F326" s="2476"/>
      <c r="G326" s="2476"/>
      <c r="H326" s="2476"/>
      <c r="I326" s="2476"/>
      <c r="J326" s="2476"/>
      <c r="K326" s="2137" t="str">
        <f>IF(H74="Não","","x")</f>
        <v>x</v>
      </c>
    </row>
    <row r="327" spans="1:11" ht="15" customHeight="1" x14ac:dyDescent="0.25">
      <c r="A327" s="2476"/>
      <c r="B327" s="2476"/>
      <c r="C327" s="2476"/>
      <c r="D327" s="2476"/>
      <c r="E327" s="2476"/>
      <c r="F327" s="2476"/>
      <c r="G327" s="2476"/>
      <c r="H327" s="2476"/>
      <c r="I327" s="2476"/>
      <c r="J327" s="2476"/>
      <c r="K327" s="2137" t="str">
        <f>K326</f>
        <v>x</v>
      </c>
    </row>
    <row r="328" spans="1:11" ht="15" customHeight="1" x14ac:dyDescent="0.25">
      <c r="A328" s="2476"/>
      <c r="B328" s="2476"/>
      <c r="C328" s="2476"/>
      <c r="D328" s="2476"/>
      <c r="E328" s="2476"/>
      <c r="F328" s="2476"/>
      <c r="G328" s="2476"/>
      <c r="H328" s="2476"/>
      <c r="I328" s="2476"/>
      <c r="J328" s="2476"/>
      <c r="K328" s="2137" t="str">
        <f>K326</f>
        <v>x</v>
      </c>
    </row>
    <row r="329" spans="1:11" ht="15" customHeight="1" x14ac:dyDescent="0.25">
      <c r="A329" s="2476" t="str">
        <f>"                Todo equipamento de fluoroscopia ou de radiologia intervencionista deve possuir indicação do produto kerma x área (pka) acumulado no exame ou do kerma no ar de referência"&amp;", sendo recomendadas as duas indicações, para equipamentos comercializados a partir da data de publicação da "&amp;"Instrução Normativa "&amp;VLOOKUP("Fluoroscopia",IN_ANVISA[],2)&amp;"/"&amp;VLOOKUP("Fluoroscopia",IN_ANVISA[],3)&amp;" da ANVISA."</f>
        <v xml:space="preserve">                Todo equipamento de fluoroscopia ou de radiologia intervencionista deve possuir indicação do produto kerma x área (pka) acumulado no exame ou do kerma no ar de referência, sendo recomendadas as duas indicações, para equipamentos comercializados a partir da data de publicação da Instrução Normativa 91/2021 da ANVISA.</v>
      </c>
      <c r="B329" s="2476"/>
      <c r="C329" s="2476"/>
      <c r="D329" s="2476"/>
      <c r="E329" s="2476"/>
      <c r="F329" s="2476"/>
      <c r="G329" s="2476"/>
      <c r="H329" s="2476"/>
      <c r="I329" s="2476"/>
      <c r="J329" s="2476"/>
      <c r="K329" s="2137" t="str">
        <f ca="1">K225</f>
        <v/>
      </c>
    </row>
    <row r="330" spans="1:11" ht="15" customHeight="1" x14ac:dyDescent="0.25">
      <c r="A330" s="2476"/>
      <c r="B330" s="2476"/>
      <c r="C330" s="2476"/>
      <c r="D330" s="2476"/>
      <c r="E330" s="2476"/>
      <c r="F330" s="2476"/>
      <c r="G330" s="2476"/>
      <c r="H330" s="2476"/>
      <c r="I330" s="2476"/>
      <c r="J330" s="2476"/>
      <c r="K330" s="2137" t="str">
        <f ca="1">K329</f>
        <v/>
      </c>
    </row>
    <row r="331" spans="1:11" ht="15" customHeight="1" x14ac:dyDescent="0.25">
      <c r="A331" s="2476"/>
      <c r="B331" s="2476"/>
      <c r="C331" s="2476"/>
      <c r="D331" s="2476"/>
      <c r="E331" s="2476"/>
      <c r="F331" s="2476"/>
      <c r="G331" s="2476"/>
      <c r="H331" s="2476"/>
      <c r="I331" s="2476"/>
      <c r="J331" s="2476"/>
      <c r="K331" s="2137" t="str">
        <f ca="1">K330</f>
        <v/>
      </c>
    </row>
    <row r="332" spans="1:11" ht="15" customHeight="1" x14ac:dyDescent="0.25">
      <c r="A332" s="2476"/>
      <c r="B332" s="2476"/>
      <c r="C332" s="2476"/>
      <c r="D332" s="2476"/>
      <c r="E332" s="2476"/>
      <c r="F332" s="2476"/>
      <c r="G332" s="2476"/>
      <c r="H332" s="2476"/>
      <c r="I332" s="2476"/>
      <c r="J332" s="2476"/>
      <c r="K332" s="2137" t="str">
        <f ca="1">K331</f>
        <v/>
      </c>
    </row>
    <row r="333" spans="1:11" ht="15" customHeight="1" x14ac:dyDescent="0.25">
      <c r="A333" s="2476" t="s">
        <v>1706</v>
      </c>
      <c r="B333" s="2476"/>
      <c r="C333" s="2476"/>
      <c r="D333" s="2476"/>
      <c r="E333" s="2476"/>
      <c r="F333" s="2476"/>
      <c r="G333" s="2476"/>
      <c r="H333" s="2476"/>
      <c r="I333" s="2476"/>
      <c r="J333" s="2476"/>
      <c r="K333" s="2020" t="str">
        <f>IF(Cabeçalho!$B$20="Indisponível","","x")</f>
        <v/>
      </c>
    </row>
    <row r="334" spans="1:11" ht="15" customHeight="1" x14ac:dyDescent="0.25">
      <c r="A334" s="2476"/>
      <c r="B334" s="2476"/>
      <c r="C334" s="2476"/>
      <c r="D334" s="2476"/>
      <c r="E334" s="2476"/>
      <c r="F334" s="2476"/>
      <c r="G334" s="2476"/>
      <c r="H334" s="2476"/>
      <c r="I334" s="2476"/>
      <c r="J334" s="2476"/>
      <c r="K334" s="2020" t="str">
        <f>K333</f>
        <v/>
      </c>
    </row>
    <row r="335" spans="1:11" ht="15" customHeight="1" x14ac:dyDescent="0.25">
      <c r="A335" s="2476"/>
      <c r="B335" s="2476"/>
      <c r="C335" s="2476"/>
      <c r="D335" s="2476"/>
      <c r="E335" s="2476"/>
      <c r="F335" s="2476"/>
      <c r="G335" s="2476"/>
      <c r="H335" s="2476"/>
      <c r="I335" s="2476"/>
      <c r="J335" s="2476"/>
      <c r="K335" s="2020" t="str">
        <f>K334</f>
        <v/>
      </c>
    </row>
    <row r="336" spans="1:11" ht="15" customHeight="1" x14ac:dyDescent="0.25">
      <c r="A336" s="2134"/>
      <c r="B336" s="2134"/>
      <c r="C336" s="2134"/>
      <c r="D336" s="2134"/>
      <c r="E336" s="2134"/>
      <c r="F336" s="2134"/>
      <c r="G336" s="2134"/>
      <c r="H336" s="2134"/>
      <c r="I336" s="2134"/>
      <c r="J336" s="2134"/>
      <c r="K336" s="2020"/>
    </row>
    <row r="337" spans="1:17" ht="15" customHeight="1" x14ac:dyDescent="0.25">
      <c r="A337" s="281" t="s">
        <v>1083</v>
      </c>
      <c r="B337" s="2134"/>
      <c r="C337" s="2134"/>
      <c r="D337" s="2134"/>
      <c r="E337" s="2134"/>
      <c r="F337" s="2134"/>
      <c r="G337" s="2134"/>
      <c r="H337" s="2134"/>
      <c r="I337" s="2134"/>
      <c r="J337" s="2134"/>
      <c r="K337" s="2020"/>
    </row>
    <row r="338" spans="1:17" ht="15" customHeight="1" x14ac:dyDescent="0.25">
      <c r="A338" s="2476"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338" s="2476"/>
      <c r="C338" s="2476"/>
      <c r="D338" s="2476"/>
      <c r="E338" s="2476"/>
      <c r="F338" s="2476"/>
      <c r="G338" s="2476"/>
      <c r="H338" s="2476"/>
      <c r="I338" s="2476"/>
      <c r="J338" s="2476"/>
      <c r="K338" s="2020"/>
    </row>
    <row r="339" spans="1:17" ht="15" customHeight="1" x14ac:dyDescent="0.25">
      <c r="A339" s="2476"/>
      <c r="B339" s="2476"/>
      <c r="C339" s="2476"/>
      <c r="D339" s="2476"/>
      <c r="E339" s="2476"/>
      <c r="F339" s="2476"/>
      <c r="G339" s="2476"/>
      <c r="H339" s="2476"/>
      <c r="I339" s="2476"/>
      <c r="J339" s="2476"/>
      <c r="K339" s="2020"/>
    </row>
    <row r="340" spans="1:17" ht="15" customHeight="1" x14ac:dyDescent="0.25">
      <c r="A340" s="2476"/>
      <c r="B340" s="2476"/>
      <c r="C340" s="2476"/>
      <c r="D340" s="2476"/>
      <c r="E340" s="2476"/>
      <c r="F340" s="2476"/>
      <c r="G340" s="2476"/>
      <c r="H340" s="2476"/>
      <c r="I340" s="2476"/>
      <c r="J340" s="2476"/>
      <c r="K340" s="2020"/>
    </row>
    <row r="341" spans="1:17" ht="15" customHeight="1" x14ac:dyDescent="0.25">
      <c r="A341" s="2476"/>
      <c r="B341" s="2476"/>
      <c r="C341" s="2476"/>
      <c r="D341" s="2476"/>
      <c r="E341" s="2476"/>
      <c r="F341" s="2476"/>
      <c r="G341" s="2476"/>
      <c r="H341" s="2476"/>
      <c r="I341" s="2476"/>
      <c r="J341" s="2476"/>
      <c r="K341" s="2020"/>
    </row>
    <row r="342" spans="1:17" ht="15" customHeight="1" x14ac:dyDescent="0.25">
      <c r="A342" s="2476"/>
      <c r="B342" s="2476"/>
      <c r="C342" s="2476"/>
      <c r="D342" s="2476"/>
      <c r="E342" s="2476"/>
      <c r="F342" s="2476"/>
      <c r="G342" s="2476"/>
      <c r="H342" s="2476"/>
      <c r="I342" s="2476"/>
      <c r="J342" s="2476"/>
      <c r="K342" s="2020"/>
    </row>
    <row r="343" spans="1:17" ht="15" customHeight="1" x14ac:dyDescent="0.25">
      <c r="A343" s="2134"/>
      <c r="B343" s="2134"/>
      <c r="C343" s="2134"/>
      <c r="D343" s="2134"/>
      <c r="E343" s="2134"/>
      <c r="F343" s="2134"/>
      <c r="G343" s="2134"/>
      <c r="H343" s="2134"/>
      <c r="I343" s="2134"/>
      <c r="J343" s="2134"/>
      <c r="K343" s="2020"/>
    </row>
    <row r="344" spans="1:17" ht="15" customHeight="1" x14ac:dyDescent="0.25">
      <c r="A344" s="281" t="s">
        <v>2514</v>
      </c>
      <c r="B344" s="2134"/>
      <c r="C344" s="2134"/>
      <c r="D344" s="2134"/>
      <c r="E344" s="2134"/>
      <c r="F344" s="2134"/>
      <c r="G344" s="2134"/>
      <c r="H344" s="2134"/>
      <c r="I344" s="2134"/>
      <c r="J344" s="2134"/>
      <c r="K344" s="2020"/>
    </row>
    <row r="345" spans="1:17" ht="15" customHeight="1" x14ac:dyDescent="0.25">
      <c r="A345" s="2619" t="s">
        <v>2597</v>
      </c>
      <c r="B345" s="2619"/>
      <c r="C345" s="2619"/>
      <c r="D345" s="2619"/>
      <c r="E345" s="2619"/>
      <c r="F345" s="2619"/>
      <c r="G345" s="2619"/>
      <c r="H345" s="2619"/>
      <c r="I345" s="2619"/>
      <c r="J345" s="2619"/>
      <c r="K345" s="2020" t="str">
        <f>IF(Cabeçalho!B14="Raios x com fluoroscopia"," ","x")</f>
        <v>x</v>
      </c>
    </row>
    <row r="346" spans="1:17" ht="15" customHeight="1" x14ac:dyDescent="0.25">
      <c r="A346" s="2487" t="s">
        <v>146</v>
      </c>
      <c r="B346" s="2487"/>
      <c r="C346" s="2487"/>
      <c r="D346" s="2487"/>
      <c r="E346" s="2487"/>
      <c r="F346" s="2618" t="s">
        <v>2457</v>
      </c>
      <c r="G346" s="2618"/>
      <c r="H346" s="2097" t="s">
        <v>2458</v>
      </c>
      <c r="I346" s="2487" t="s">
        <v>2423</v>
      </c>
      <c r="J346" s="2487"/>
      <c r="K346" s="2020" t="str">
        <f>K345</f>
        <v>x</v>
      </c>
    </row>
    <row r="347" spans="1:17" ht="15" customHeight="1" x14ac:dyDescent="0.25">
      <c r="A347" s="2550" t="s">
        <v>2546</v>
      </c>
      <c r="B347" s="2551"/>
      <c r="C347" s="2551"/>
      <c r="D347" s="2551"/>
      <c r="E347" s="2552"/>
      <c r="F347" s="2460" t="s">
        <v>2359</v>
      </c>
      <c r="G347" s="2460"/>
      <c r="H347" s="2098" t="str">
        <f ca="1">IF(F347="-","NA",IF(OR(I347="NA",I347="NPA"),"NA",IF(F347="Quadrienal",$J$1+1461,IF(F347="Bienal",$J$1+730,IF(F347="Anual",$J$1+365,IF(F347="Semestral",$J$1+182,IF(F347="Mensal",$J$1+30,IF(F347="Semanal",$J$1+7))))))))</f>
        <v>NA</v>
      </c>
      <c r="I347" s="2491" t="str">
        <f ca="1">IF(COUNTIF(O87:O117,"Não conforme")&lt;&gt;0,"Não conforme",IF(COUNTIF(O87:O117,"Conforme")&lt;&gt;0,"Conforme",IF(COUNTIF(O87:O117,"NPA")&lt;&gt;0,"NPA","NA")))</f>
        <v>NA</v>
      </c>
      <c r="J347" s="2461"/>
      <c r="K347" s="2020" t="str">
        <f t="shared" ref="K347:K367" si="12">K346</f>
        <v>x</v>
      </c>
      <c r="M347" s="2560"/>
      <c r="N347" s="2560"/>
      <c r="O347" s="2560"/>
      <c r="P347" s="2560"/>
      <c r="Q347" s="2560"/>
    </row>
    <row r="348" spans="1:17" ht="15" customHeight="1" x14ac:dyDescent="0.25">
      <c r="A348" s="2550" t="s">
        <v>2547</v>
      </c>
      <c r="B348" s="2551"/>
      <c r="C348" s="2551"/>
      <c r="D348" s="2551"/>
      <c r="E348" s="2552"/>
      <c r="F348" s="2460" t="s">
        <v>2359</v>
      </c>
      <c r="G348" s="2460"/>
      <c r="H348" s="2331" t="str">
        <f t="shared" ref="H348:H367" ca="1" si="13">IF(F348="-","NA",IF(OR(I348="NA",I348="NPA"),"NA",IF(F348="Quadrienal",$J$1+1461,IF(F348="Bienal",$J$1+730,IF(F348="Anual",$J$1+365,IF(F348="Semestral",$J$1+182,IF(F348="Mensal",$J$1+30,IF(F348="Semanal",$J$1+7))))))))</f>
        <v>NA</v>
      </c>
      <c r="I348" s="2491" t="str">
        <f ca="1">IF(COUNTIF(O127:O132,"Não conforme")&lt;&gt;0,"Não conforme",IF(COUNTIF(O127:O132,"Conforme")&lt;&gt;0,"Conforme",IF(COUNTIF(O127:O132,"NPA")&lt;&gt;0,"NPA","NA")))</f>
        <v>NA</v>
      </c>
      <c r="J348" s="2461"/>
      <c r="K348" s="2020" t="str">
        <f t="shared" si="12"/>
        <v>x</v>
      </c>
      <c r="M348" s="2560"/>
      <c r="N348" s="2560"/>
      <c r="O348" s="2560"/>
      <c r="P348" s="2560"/>
      <c r="Q348" s="285"/>
    </row>
    <row r="349" spans="1:17" ht="15" customHeight="1" x14ac:dyDescent="0.25">
      <c r="A349" s="2550" t="s">
        <v>2598</v>
      </c>
      <c r="B349" s="2551"/>
      <c r="C349" s="2551"/>
      <c r="D349" s="2551"/>
      <c r="E349" s="2552"/>
      <c r="F349" s="2460" t="s">
        <v>2359</v>
      </c>
      <c r="G349" s="2460"/>
      <c r="H349" s="2331" t="str">
        <f t="shared" ca="1" si="13"/>
        <v>NA</v>
      </c>
      <c r="I349" s="2491" t="str">
        <f ca="1">IF(O143="Não conforme","Não conforme",IF(O143="Conforme","Conforme",IF(O143="NPA","NPA","NA")))</f>
        <v>NA</v>
      </c>
      <c r="J349" s="2461"/>
      <c r="K349" s="2020" t="str">
        <f t="shared" si="12"/>
        <v>x</v>
      </c>
      <c r="M349" s="2560"/>
      <c r="N349" s="2560"/>
      <c r="O349" s="2560"/>
      <c r="P349" s="2560"/>
      <c r="Q349" s="285"/>
    </row>
    <row r="350" spans="1:17" ht="14.25" customHeight="1" x14ac:dyDescent="0.25">
      <c r="A350" s="2550" t="s">
        <v>1228</v>
      </c>
      <c r="B350" s="2551"/>
      <c r="C350" s="2551"/>
      <c r="D350" s="2551"/>
      <c r="E350" s="2552"/>
      <c r="F350" s="2460" t="s">
        <v>2484</v>
      </c>
      <c r="G350" s="2460"/>
      <c r="H350" s="2331" t="str">
        <f t="shared" si="13"/>
        <v>NA</v>
      </c>
      <c r="I350" s="2491" t="str">
        <f t="shared" ref="I350:I366" si="14">IF(J151="Não conforme","Não conforme",IF(J151="Conforme","Conforme",IF(J151="NPA","NPA","NA")))</f>
        <v>NPA</v>
      </c>
      <c r="J350" s="2461"/>
      <c r="K350" s="2020" t="str">
        <f t="shared" si="12"/>
        <v>x</v>
      </c>
      <c r="M350" s="2560"/>
      <c r="N350" s="2560"/>
      <c r="O350" s="2560"/>
      <c r="P350" s="2560"/>
      <c r="Q350" s="285"/>
    </row>
    <row r="351" spans="1:17" ht="15" customHeight="1" x14ac:dyDescent="0.25">
      <c r="A351" s="2550" t="s">
        <v>2553</v>
      </c>
      <c r="B351" s="2551"/>
      <c r="C351" s="2551"/>
      <c r="D351" s="2551"/>
      <c r="E351" s="2552"/>
      <c r="F351" s="2460" t="s">
        <v>2484</v>
      </c>
      <c r="G351" s="2460"/>
      <c r="H351" s="2331" t="str">
        <f t="shared" si="13"/>
        <v>NA</v>
      </c>
      <c r="I351" s="2491" t="str">
        <f t="shared" si="14"/>
        <v>NPA</v>
      </c>
      <c r="J351" s="2461"/>
      <c r="K351" s="2020" t="str">
        <f t="shared" si="12"/>
        <v>x</v>
      </c>
      <c r="M351" s="2560"/>
      <c r="N351" s="2560"/>
      <c r="O351" s="2560"/>
      <c r="P351" s="2560"/>
      <c r="Q351" s="285"/>
    </row>
    <row r="352" spans="1:17" ht="15" customHeight="1" x14ac:dyDescent="0.25">
      <c r="A352" s="2550" t="s">
        <v>2554</v>
      </c>
      <c r="B352" s="2551"/>
      <c r="C352" s="2551"/>
      <c r="D352" s="2551"/>
      <c r="E352" s="2552"/>
      <c r="F352" s="2460" t="s">
        <v>2484</v>
      </c>
      <c r="G352" s="2460"/>
      <c r="H352" s="2331" t="str">
        <f t="shared" si="13"/>
        <v>NA</v>
      </c>
      <c r="I352" s="2491" t="str">
        <f t="shared" si="14"/>
        <v>NPA</v>
      </c>
      <c r="J352" s="2461"/>
      <c r="K352" s="2020" t="str">
        <f t="shared" si="12"/>
        <v>x</v>
      </c>
      <c r="M352" s="2560"/>
      <c r="N352" s="2560"/>
      <c r="O352" s="2560"/>
      <c r="P352" s="2560"/>
      <c r="Q352" s="285"/>
    </row>
    <row r="353" spans="1:17" ht="15" customHeight="1" x14ac:dyDescent="0.25">
      <c r="A353" s="2550" t="s">
        <v>2599</v>
      </c>
      <c r="B353" s="2551"/>
      <c r="C353" s="2551"/>
      <c r="D353" s="2551"/>
      <c r="E353" s="2552"/>
      <c r="F353" s="2460" t="s">
        <v>2359</v>
      </c>
      <c r="G353" s="2460"/>
      <c r="H353" s="2331" t="str">
        <f t="shared" si="13"/>
        <v>NA</v>
      </c>
      <c r="I353" s="2491" t="str">
        <f t="shared" si="14"/>
        <v>NPA</v>
      </c>
      <c r="J353" s="2461"/>
      <c r="K353" s="2020" t="str">
        <f t="shared" si="12"/>
        <v>x</v>
      </c>
      <c r="M353" s="2560"/>
      <c r="N353" s="2560"/>
      <c r="O353" s="2560"/>
      <c r="P353" s="2560"/>
      <c r="Q353" s="285"/>
    </row>
    <row r="354" spans="1:17" ht="15" customHeight="1" x14ac:dyDescent="0.25">
      <c r="A354" s="2550" t="s">
        <v>2556</v>
      </c>
      <c r="B354" s="2551"/>
      <c r="C354" s="2551"/>
      <c r="D354" s="2551"/>
      <c r="E354" s="2552"/>
      <c r="F354" s="2460" t="s">
        <v>2359</v>
      </c>
      <c r="G354" s="2460"/>
      <c r="H354" s="2331" t="str">
        <f t="shared" ca="1" si="13"/>
        <v>NA</v>
      </c>
      <c r="I354" s="2491" t="str">
        <f t="shared" ca="1" si="14"/>
        <v>NA</v>
      </c>
      <c r="J354" s="2461"/>
      <c r="K354" s="2020" t="str">
        <f t="shared" si="12"/>
        <v>x</v>
      </c>
      <c r="M354" s="2560"/>
      <c r="N354" s="2560"/>
      <c r="O354" s="2560"/>
      <c r="P354" s="2560"/>
      <c r="Q354" s="285"/>
    </row>
    <row r="355" spans="1:17" ht="15" customHeight="1" x14ac:dyDescent="0.25">
      <c r="A355" s="2550" t="s">
        <v>2557</v>
      </c>
      <c r="B355" s="2551"/>
      <c r="C355" s="2551"/>
      <c r="D355" s="2551"/>
      <c r="E355" s="2552"/>
      <c r="F355" s="2460" t="s">
        <v>2359</v>
      </c>
      <c r="G355" s="2460"/>
      <c r="H355" s="2331" t="str">
        <f t="shared" ca="1" si="13"/>
        <v>NA</v>
      </c>
      <c r="I355" s="2491" t="str">
        <f t="shared" ca="1" si="14"/>
        <v>NA</v>
      </c>
      <c r="J355" s="2461"/>
      <c r="K355" s="2020" t="str">
        <f t="shared" si="12"/>
        <v>x</v>
      </c>
      <c r="M355" s="2560"/>
      <c r="N355" s="2560"/>
      <c r="O355" s="2560"/>
      <c r="P355" s="2560"/>
      <c r="Q355" s="285"/>
    </row>
    <row r="356" spans="1:17" ht="15" customHeight="1" x14ac:dyDescent="0.25">
      <c r="A356" s="2550" t="s">
        <v>2560</v>
      </c>
      <c r="B356" s="2551"/>
      <c r="C356" s="2551"/>
      <c r="D356" s="2551"/>
      <c r="E356" s="2552"/>
      <c r="F356" s="2460" t="s">
        <v>2359</v>
      </c>
      <c r="G356" s="2460"/>
      <c r="H356" s="2331" t="str">
        <f t="shared" ca="1" si="13"/>
        <v>NA</v>
      </c>
      <c r="I356" s="2491" t="str">
        <f t="shared" ca="1" si="14"/>
        <v>NA</v>
      </c>
      <c r="J356" s="2461"/>
      <c r="K356" s="2020" t="str">
        <f t="shared" si="12"/>
        <v>x</v>
      </c>
      <c r="M356" s="2560"/>
      <c r="N356" s="2560"/>
      <c r="O356" s="2560"/>
      <c r="P356" s="2560"/>
      <c r="Q356" s="285"/>
    </row>
    <row r="357" spans="1:17" ht="23.25" customHeight="1" x14ac:dyDescent="0.25">
      <c r="A357" s="2550" t="s">
        <v>2600</v>
      </c>
      <c r="B357" s="2551"/>
      <c r="C357" s="2551"/>
      <c r="D357" s="2551"/>
      <c r="E357" s="2552"/>
      <c r="F357" s="2460" t="s">
        <v>2359</v>
      </c>
      <c r="G357" s="2460"/>
      <c r="H357" s="2331" t="str">
        <f t="shared" ca="1" si="13"/>
        <v>NA</v>
      </c>
      <c r="I357" s="2491" t="str">
        <f t="shared" ca="1" si="14"/>
        <v>NA</v>
      </c>
      <c r="J357" s="2461"/>
      <c r="K357" s="2020" t="str">
        <f t="shared" si="12"/>
        <v>x</v>
      </c>
      <c r="M357" s="2560"/>
      <c r="N357" s="2560"/>
      <c r="O357" s="2560"/>
      <c r="P357" s="2560"/>
      <c r="Q357" s="285"/>
    </row>
    <row r="358" spans="1:17" ht="21" customHeight="1" x14ac:dyDescent="0.25">
      <c r="A358" s="2550" t="s">
        <v>2601</v>
      </c>
      <c r="B358" s="2551"/>
      <c r="C358" s="2551"/>
      <c r="D358" s="2551"/>
      <c r="E358" s="2552"/>
      <c r="F358" s="2460" t="s">
        <v>2359</v>
      </c>
      <c r="G358" s="2460"/>
      <c r="H358" s="2331" t="str">
        <f t="shared" ca="1" si="13"/>
        <v>NA</v>
      </c>
      <c r="I358" s="2491" t="str">
        <f t="shared" ca="1" si="14"/>
        <v>NA</v>
      </c>
      <c r="J358" s="2461"/>
      <c r="K358" s="2020" t="str">
        <f t="shared" si="12"/>
        <v>x</v>
      </c>
      <c r="M358" s="2560"/>
      <c r="N358" s="2560"/>
      <c r="O358" s="2560"/>
      <c r="P358" s="2560"/>
      <c r="Q358" s="285"/>
    </row>
    <row r="359" spans="1:17" ht="15" customHeight="1" x14ac:dyDescent="0.25">
      <c r="A359" s="2550" t="s">
        <v>2559</v>
      </c>
      <c r="B359" s="2551"/>
      <c r="C359" s="2551"/>
      <c r="D359" s="2551"/>
      <c r="E359" s="2552"/>
      <c r="F359" s="2460" t="s">
        <v>2359</v>
      </c>
      <c r="G359" s="2460"/>
      <c r="H359" s="2331" t="str">
        <f t="shared" ca="1" si="13"/>
        <v>NA</v>
      </c>
      <c r="I359" s="2491" t="str">
        <f t="shared" ca="1" si="14"/>
        <v>NA</v>
      </c>
      <c r="J359" s="2461"/>
      <c r="K359" s="2020" t="str">
        <f t="shared" si="12"/>
        <v>x</v>
      </c>
      <c r="M359" s="2560"/>
      <c r="N359" s="2560"/>
      <c r="O359" s="2560"/>
      <c r="P359" s="2560"/>
      <c r="Q359" s="285"/>
    </row>
    <row r="360" spans="1:17" ht="15" customHeight="1" x14ac:dyDescent="0.25">
      <c r="A360" s="2550" t="s">
        <v>2602</v>
      </c>
      <c r="B360" s="2551"/>
      <c r="C360" s="2551"/>
      <c r="D360" s="2551"/>
      <c r="E360" s="2552"/>
      <c r="F360" s="2460" t="s">
        <v>2359</v>
      </c>
      <c r="G360" s="2460"/>
      <c r="H360" s="2331" t="e">
        <f t="shared" si="13"/>
        <v>#N/A</v>
      </c>
      <c r="I360" s="2491" t="e">
        <f t="shared" si="14"/>
        <v>#N/A</v>
      </c>
      <c r="J360" s="2461"/>
      <c r="K360" s="2020" t="str">
        <f t="shared" si="12"/>
        <v>x</v>
      </c>
      <c r="M360" s="2560"/>
      <c r="N360" s="2560"/>
      <c r="O360" s="2560"/>
      <c r="P360" s="2560"/>
      <c r="Q360" s="285"/>
    </row>
    <row r="361" spans="1:17" ht="15" customHeight="1" x14ac:dyDescent="0.25">
      <c r="A361" s="2550" t="s">
        <v>2602</v>
      </c>
      <c r="B361" s="2551"/>
      <c r="C361" s="2551"/>
      <c r="D361" s="2551"/>
      <c r="E361" s="2552"/>
      <c r="F361" s="2460" t="s">
        <v>2359</v>
      </c>
      <c r="G361" s="2460"/>
      <c r="H361" s="2331" t="e">
        <f t="shared" si="13"/>
        <v>#N/A</v>
      </c>
      <c r="I361" s="2491" t="e">
        <f t="shared" si="14"/>
        <v>#N/A</v>
      </c>
      <c r="J361" s="2461"/>
      <c r="K361" s="2020" t="str">
        <f t="shared" si="12"/>
        <v>x</v>
      </c>
      <c r="M361" s="2560"/>
      <c r="N361" s="2560"/>
      <c r="O361" s="2560"/>
      <c r="P361" s="2560"/>
      <c r="Q361" s="285"/>
    </row>
    <row r="362" spans="1:17" ht="15" customHeight="1" x14ac:dyDescent="0.25">
      <c r="A362" s="2550" t="s">
        <v>2564</v>
      </c>
      <c r="B362" s="2551"/>
      <c r="C362" s="2551"/>
      <c r="D362" s="2551"/>
      <c r="E362" s="2552"/>
      <c r="F362" s="2460" t="s">
        <v>2359</v>
      </c>
      <c r="G362" s="2460"/>
      <c r="H362" s="2331" t="str">
        <f t="shared" ca="1" si="13"/>
        <v>NA</v>
      </c>
      <c r="I362" s="2491" t="str">
        <f t="shared" ca="1" si="14"/>
        <v>NA</v>
      </c>
      <c r="J362" s="2461"/>
      <c r="K362" s="2020" t="str">
        <f t="shared" si="12"/>
        <v>x</v>
      </c>
      <c r="M362" s="2560"/>
      <c r="N362" s="2560"/>
      <c r="O362" s="2560"/>
      <c r="P362" s="2560"/>
      <c r="Q362" s="285"/>
    </row>
    <row r="363" spans="1:17" ht="15" customHeight="1" x14ac:dyDescent="0.25">
      <c r="A363" s="2550" t="s">
        <v>2565</v>
      </c>
      <c r="B363" s="2551"/>
      <c r="C363" s="2551"/>
      <c r="D363" s="2551"/>
      <c r="E363" s="2552"/>
      <c r="F363" s="2460" t="s">
        <v>2359</v>
      </c>
      <c r="G363" s="2460"/>
      <c r="H363" s="2331" t="str">
        <f t="shared" ca="1" si="13"/>
        <v>NA</v>
      </c>
      <c r="I363" s="2491" t="str">
        <f t="shared" ca="1" si="14"/>
        <v>NA</v>
      </c>
      <c r="J363" s="2461"/>
      <c r="K363" s="2020" t="str">
        <f t="shared" si="12"/>
        <v>x</v>
      </c>
      <c r="M363" s="2560"/>
      <c r="N363" s="2560"/>
      <c r="O363" s="2560"/>
      <c r="P363" s="2560"/>
      <c r="Q363" s="285"/>
    </row>
    <row r="364" spans="1:17" ht="15" customHeight="1" x14ac:dyDescent="0.25">
      <c r="A364" s="2550" t="s">
        <v>2566</v>
      </c>
      <c r="B364" s="2551"/>
      <c r="C364" s="2551"/>
      <c r="D364" s="2551"/>
      <c r="E364" s="2552"/>
      <c r="F364" s="2460" t="s">
        <v>2359</v>
      </c>
      <c r="G364" s="2460"/>
      <c r="H364" s="2331" t="str">
        <f t="shared" ca="1" si="13"/>
        <v>NA</v>
      </c>
      <c r="I364" s="2491" t="str">
        <f t="shared" ca="1" si="14"/>
        <v>NA</v>
      </c>
      <c r="J364" s="2461"/>
      <c r="K364" s="2020" t="str">
        <f t="shared" si="12"/>
        <v>x</v>
      </c>
      <c r="M364" s="2560"/>
      <c r="N364" s="2560"/>
      <c r="O364" s="2560"/>
      <c r="P364" s="2560"/>
      <c r="Q364" s="285"/>
    </row>
    <row r="365" spans="1:17" ht="15" customHeight="1" x14ac:dyDescent="0.25">
      <c r="A365" s="2550" t="s">
        <v>2567</v>
      </c>
      <c r="B365" s="2551"/>
      <c r="C365" s="2551"/>
      <c r="D365" s="2551"/>
      <c r="E365" s="2552"/>
      <c r="F365" s="2460" t="s">
        <v>2359</v>
      </c>
      <c r="G365" s="2460"/>
      <c r="H365" s="2331" t="str">
        <f t="shared" ca="1" si="13"/>
        <v>NA</v>
      </c>
      <c r="I365" s="2491" t="str">
        <f t="shared" ca="1" si="14"/>
        <v>NA</v>
      </c>
      <c r="J365" s="2461"/>
      <c r="K365" s="2020" t="str">
        <f t="shared" si="12"/>
        <v>x</v>
      </c>
      <c r="M365" s="2560"/>
      <c r="N365" s="2560"/>
      <c r="O365" s="2560"/>
      <c r="P365" s="2560"/>
      <c r="Q365" s="285"/>
    </row>
    <row r="366" spans="1:17" ht="15" customHeight="1" x14ac:dyDescent="0.25">
      <c r="A366" s="2550" t="s">
        <v>2562</v>
      </c>
      <c r="B366" s="2551"/>
      <c r="C366" s="2551"/>
      <c r="D366" s="2551"/>
      <c r="E366" s="2552"/>
      <c r="F366" s="2460" t="s">
        <v>2359</v>
      </c>
      <c r="G366" s="2460"/>
      <c r="H366" s="2331" t="str">
        <f t="shared" si="13"/>
        <v>NA</v>
      </c>
      <c r="I366" s="2491" t="str">
        <f t="shared" si="14"/>
        <v>NA</v>
      </c>
      <c r="J366" s="2461"/>
      <c r="K366" s="2020" t="str">
        <f t="shared" si="12"/>
        <v>x</v>
      </c>
    </row>
    <row r="367" spans="1:17" ht="15" customHeight="1" x14ac:dyDescent="0.25">
      <c r="A367" s="2550" t="s">
        <v>1034</v>
      </c>
      <c r="B367" s="2551"/>
      <c r="C367" s="2551"/>
      <c r="D367" s="2551"/>
      <c r="E367" s="2552"/>
      <c r="F367" s="2460" t="s">
        <v>2359</v>
      </c>
      <c r="G367" s="2460"/>
      <c r="H367" s="2331" t="e">
        <f t="shared" si="13"/>
        <v>#VALUE!</v>
      </c>
      <c r="I367" s="2491" t="e">
        <f>IF(OR(O168="Não conforme","Restrição"),"Não conforme",IF(O168="Conforme","Conforme",IF(O168="NPA","NPA","NA")))</f>
        <v>#VALUE!</v>
      </c>
      <c r="J367" s="2461"/>
      <c r="K367" s="2020" t="str">
        <f t="shared" si="12"/>
        <v>x</v>
      </c>
    </row>
    <row r="368" spans="1:17" ht="15" customHeight="1" x14ac:dyDescent="0.25">
      <c r="A368" s="2134"/>
      <c r="B368" s="2134"/>
      <c r="C368" s="2134"/>
      <c r="D368" s="2134"/>
      <c r="E368" s="2134"/>
      <c r="F368" s="2134"/>
      <c r="G368" s="2134"/>
      <c r="H368" s="2134"/>
      <c r="I368" s="2134"/>
      <c r="J368" s="2134"/>
      <c r="K368" s="2020"/>
    </row>
    <row r="369" spans="1:11" ht="15" customHeight="1" x14ac:dyDescent="0.25">
      <c r="A369" s="2619" t="s">
        <v>2605</v>
      </c>
      <c r="B369" s="2619"/>
      <c r="C369" s="2619"/>
      <c r="D369" s="2619"/>
      <c r="E369" s="2619"/>
      <c r="F369" s="2619"/>
      <c r="G369" s="2619"/>
      <c r="H369" s="2619"/>
      <c r="I369" s="2619"/>
      <c r="J369" s="2619"/>
      <c r="K369" s="2020"/>
    </row>
    <row r="370" spans="1:11" ht="15" customHeight="1" x14ac:dyDescent="0.25">
      <c r="A370" s="2487" t="s">
        <v>146</v>
      </c>
      <c r="B370" s="2487"/>
      <c r="C370" s="2487"/>
      <c r="D370" s="2487"/>
      <c r="E370" s="2487"/>
      <c r="F370" s="2618" t="s">
        <v>2457</v>
      </c>
      <c r="G370" s="2618"/>
      <c r="H370" s="2097" t="s">
        <v>2458</v>
      </c>
      <c r="I370" s="2487" t="s">
        <v>2423</v>
      </c>
      <c r="J370" s="2487"/>
      <c r="K370" s="2020"/>
    </row>
    <row r="371" spans="1:11" ht="15" customHeight="1" x14ac:dyDescent="0.25">
      <c r="A371" s="2550" t="s">
        <v>2546</v>
      </c>
      <c r="B371" s="2551"/>
      <c r="C371" s="2551"/>
      <c r="D371" s="2551"/>
      <c r="E371" s="2552"/>
      <c r="F371" s="2460" t="s">
        <v>2359</v>
      </c>
      <c r="G371" s="2460"/>
      <c r="H371" s="2098" t="str">
        <f>IF(F371="-","NA",IF(OR(I371="NA",I371="NPA"),"NA",IF(F371="Quadrienal",$J$1+1461,IF(F371="Bienal",$J$1+730,IF(F371="Anual",$J$1+365,IF(F371="Semestral",$J$1+182,IF(F371="Mensal",$J$1+30,IF(F371="Semanal",$J$1+7))))))))</f>
        <v>NA</v>
      </c>
      <c r="I371" s="2491" t="str">
        <f>IF(COUNTIF(P181:P187,"Não conforme")&lt;&gt;0,"Não conforme",IF(COUNTIF(P181:P187,"Conforme")&lt;&gt;0,"Conforme",IF(COUNTIF(P181:P187,"NPA")&lt;&gt;0,"NPA","NA")))</f>
        <v>NA</v>
      </c>
      <c r="J371" s="2461"/>
      <c r="K371" s="2020"/>
    </row>
    <row r="372" spans="1:11" ht="15" customHeight="1" x14ac:dyDescent="0.25">
      <c r="A372" s="2550" t="s">
        <v>1898</v>
      </c>
      <c r="B372" s="2551"/>
      <c r="C372" s="2551"/>
      <c r="D372" s="2551"/>
      <c r="E372" s="2552"/>
      <c r="F372" s="2460" t="s">
        <v>2359</v>
      </c>
      <c r="G372" s="2460"/>
      <c r="H372" s="2331" t="e">
        <f t="shared" ref="H372:H389" ca="1" si="15">IF(F372="-","NA",IF(OR(I372="NA",I372="NPA"),"NA",IF(F372="Quadrienal",$J$1+1461,IF(F372="Bienal",$J$1+730,IF(F372="Anual",$J$1+365,IF(F372="Semestral",$J$1+182,IF(F372="Mensal",$J$1+30,IF(F372="Semanal",$J$1+7))))))))</f>
        <v>#N/A</v>
      </c>
      <c r="I372" s="2491" t="str">
        <f ca="1">IF(P197="Não conforme","Não conforme",IF(P197="Conforme","Conforme",IF(P197="NPA","NPA","NA")))</f>
        <v>Conforme</v>
      </c>
      <c r="J372" s="2461"/>
      <c r="K372" s="2020"/>
    </row>
    <row r="373" spans="1:11" ht="15" customHeight="1" x14ac:dyDescent="0.25">
      <c r="A373" s="2550" t="s">
        <v>1680</v>
      </c>
      <c r="B373" s="2551"/>
      <c r="C373" s="2551"/>
      <c r="D373" s="2551"/>
      <c r="E373" s="2552"/>
      <c r="F373" s="2460" t="s">
        <v>2359</v>
      </c>
      <c r="G373" s="2460"/>
      <c r="H373" s="2331" t="e">
        <f t="shared" ca="1" si="15"/>
        <v>#N/A</v>
      </c>
      <c r="I373" s="2491" t="str">
        <f ca="1">IF(COUNTIF(P205:P209,"Não conforme")&lt;&gt;0,"Não conforme",IF(COUNTIF(P205:P209,"Conforme")&lt;&gt;0,"Conforme",IF(COUNTIF(P205:P209,"NPA")&lt;&gt;0,"NPA","NA")))</f>
        <v>Conforme</v>
      </c>
      <c r="J373" s="2461"/>
      <c r="K373" s="2020"/>
    </row>
    <row r="374" spans="1:11" ht="14.25" customHeight="1" x14ac:dyDescent="0.25">
      <c r="A374" s="2550" t="s">
        <v>1899</v>
      </c>
      <c r="B374" s="2551"/>
      <c r="C374" s="2551"/>
      <c r="D374" s="2551"/>
      <c r="E374" s="2552"/>
      <c r="F374" s="2460" t="s">
        <v>2359</v>
      </c>
      <c r="G374" s="2460"/>
      <c r="H374" s="2331" t="str">
        <f t="shared" ca="1" si="15"/>
        <v>NA</v>
      </c>
      <c r="I374" s="2491" t="str">
        <f ca="1">IF(COUNTIF(P218:P222,"Não conforme")&lt;&gt;0,"Não conforme",IF(COUNTIF(P218:P222,"Conforme")&lt;&gt;0,"Conforme",IF(COUNTIF(P218:P222,"NPA")&lt;&gt;0,"NPA","NA")))</f>
        <v>NPA</v>
      </c>
      <c r="J374" s="2461"/>
      <c r="K374" s="2020"/>
    </row>
    <row r="375" spans="1:11" ht="15" customHeight="1" x14ac:dyDescent="0.25">
      <c r="A375" s="2550" t="s">
        <v>2500</v>
      </c>
      <c r="B375" s="2551"/>
      <c r="C375" s="2551"/>
      <c r="D375" s="2551"/>
      <c r="E375" s="2552"/>
      <c r="F375" s="2460" t="s">
        <v>2484</v>
      </c>
      <c r="G375" s="2460"/>
      <c r="H375" s="2331" t="e">
        <f t="shared" si="15"/>
        <v>#N/A</v>
      </c>
      <c r="I375" s="2491" t="str">
        <f>IF(COUNTIF(P233:P238,"Não conforme")&lt;&gt;0,"Não conforme",IF(COUNTIF(P233:P238,"Conforme")&lt;&gt;0,"Conforme",IF(COUNTIF(P233:P238,"NPA")&lt;&gt;0,"NPA","NA")))</f>
        <v>Não conforme</v>
      </c>
      <c r="J375" s="2461"/>
      <c r="K375" s="2020"/>
    </row>
    <row r="376" spans="1:11" ht="15" customHeight="1" x14ac:dyDescent="0.25">
      <c r="A376" s="2550" t="s">
        <v>2606</v>
      </c>
      <c r="B376" s="2551"/>
      <c r="C376" s="2551"/>
      <c r="D376" s="2551"/>
      <c r="E376" s="2552"/>
      <c r="F376" s="2460" t="s">
        <v>2359</v>
      </c>
      <c r="G376" s="2460"/>
      <c r="H376" s="2331" t="str">
        <f t="shared" ca="1" si="15"/>
        <v>NA</v>
      </c>
      <c r="I376" s="2491" t="str">
        <f ca="1">IF(COUNTIF(P244:P245,"Não conforme")&lt;&gt;0,"Não conforme",IF(COUNTIF(P244:P245,"Conforme")&lt;&gt;0,"Conforme",IF(COUNTIF(P244:P245,"NPA")&lt;&gt;0,"NPA","NA")))</f>
        <v>NA</v>
      </c>
      <c r="J376" s="2461"/>
      <c r="K376" s="2020"/>
    </row>
    <row r="377" spans="1:11" ht="15" customHeight="1" x14ac:dyDescent="0.25">
      <c r="A377" s="2550" t="s">
        <v>2607</v>
      </c>
      <c r="B377" s="2551"/>
      <c r="C377" s="2551"/>
      <c r="D377" s="2551"/>
      <c r="E377" s="2552"/>
      <c r="F377" s="2460" t="s">
        <v>2359</v>
      </c>
      <c r="G377" s="2460"/>
      <c r="H377" s="2331" t="str">
        <f t="shared" ca="1" si="15"/>
        <v>NA</v>
      </c>
      <c r="I377" s="2491" t="str">
        <f ca="1">IF(COUNTIF(P246:P247,"Não conforme")&lt;&gt;0,"Não conforme",IF(COUNTIF(P246:P247,"Conforme")&lt;&gt;0,"Conforme",IF(COUNTIF(P246:P247,"NPA")&lt;&gt;0,"NPA","NA")))</f>
        <v>NA</v>
      </c>
      <c r="J377" s="2461"/>
      <c r="K377" s="2020"/>
    </row>
    <row r="378" spans="1:11" ht="15" customHeight="1" x14ac:dyDescent="0.25">
      <c r="A378" s="2550" t="s">
        <v>209</v>
      </c>
      <c r="B378" s="2551"/>
      <c r="C378" s="2551"/>
      <c r="D378" s="2551"/>
      <c r="E378" s="2552"/>
      <c r="F378" s="2460" t="s">
        <v>2359</v>
      </c>
      <c r="G378" s="2460"/>
      <c r="H378" s="2331" t="str">
        <f t="shared" si="15"/>
        <v>NA</v>
      </c>
      <c r="I378" s="2491" t="str">
        <f>IF(P248="Não conforme","Não conforme",IF(P248="Conforme","Conforme",IF(P248="NPA","NPA","NA")))</f>
        <v>NPA</v>
      </c>
      <c r="J378" s="2461"/>
      <c r="K378" s="2020"/>
    </row>
    <row r="379" spans="1:11" ht="15" customHeight="1" x14ac:dyDescent="0.25">
      <c r="A379" s="2550" t="s">
        <v>1420</v>
      </c>
      <c r="B379" s="2551"/>
      <c r="C379" s="2551"/>
      <c r="D379" s="2551"/>
      <c r="E379" s="2552"/>
      <c r="F379" s="2460" t="s">
        <v>2359</v>
      </c>
      <c r="G379" s="2460"/>
      <c r="H379" s="2331" t="str">
        <f t="shared" ca="1" si="15"/>
        <v>NA</v>
      </c>
      <c r="I379" s="2491" t="str">
        <f ca="1">IF(P249="Não conforme","Não conforme",IF(P249="Conforme","Conforme",IF(P249="NPA","NPA","NA")))</f>
        <v>NPA</v>
      </c>
      <c r="J379" s="2461"/>
      <c r="K379" s="2020"/>
    </row>
    <row r="380" spans="1:11" ht="23.25" customHeight="1" x14ac:dyDescent="0.25">
      <c r="A380" s="2550" t="s">
        <v>1220</v>
      </c>
      <c r="B380" s="2551"/>
      <c r="C380" s="2551"/>
      <c r="D380" s="2551"/>
      <c r="E380" s="2552"/>
      <c r="F380" s="2460" t="s">
        <v>2359</v>
      </c>
      <c r="G380" s="2460"/>
      <c r="H380" s="2331" t="e">
        <f t="shared" si="15"/>
        <v>#N/A</v>
      </c>
      <c r="I380" s="2491" t="str">
        <f>IF(COUNTIF(P250:P255,"Não conforme")&lt;&gt;0,"Não conforme",IF(COUNTIF(P250:P255,"Conforme")&lt;&gt;0,"Conforme",IF(COUNTIF(P250:P255,"NPA")&lt;&gt;0,"NPA","NA")))</f>
        <v>Não conforme</v>
      </c>
      <c r="J380" s="2461"/>
      <c r="K380" s="2020"/>
    </row>
    <row r="381" spans="1:11" ht="21" customHeight="1" x14ac:dyDescent="0.25">
      <c r="A381" s="2550" t="s">
        <v>422</v>
      </c>
      <c r="B381" s="2551"/>
      <c r="C381" s="2551"/>
      <c r="D381" s="2551"/>
      <c r="E381" s="2552"/>
      <c r="F381" s="2460" t="s">
        <v>2359</v>
      </c>
      <c r="G381" s="2460"/>
      <c r="H381" s="2331" t="str">
        <f t="shared" ca="1" si="15"/>
        <v>NA</v>
      </c>
      <c r="I381" s="2491" t="str">
        <f ca="1">IF(COUNTIF(P256:P261,"Não conforme")&lt;&gt;0,"Não conforme",IF(COUNTIF(P256:P261,"Conforme")&lt;&gt;0,"Conforme",IF(COUNTIF(P256:P261,"NPA")&lt;&gt;0,"NPA","NA")))</f>
        <v>NPA</v>
      </c>
      <c r="J381" s="2461"/>
      <c r="K381" s="2020"/>
    </row>
    <row r="382" spans="1:11" ht="15.75" x14ac:dyDescent="0.25">
      <c r="A382" s="2550" t="s">
        <v>1681</v>
      </c>
      <c r="B382" s="2551"/>
      <c r="C382" s="2551"/>
      <c r="D382" s="2551"/>
      <c r="E382" s="2552"/>
      <c r="F382" s="2460" t="s">
        <v>2359</v>
      </c>
      <c r="G382" s="2460"/>
      <c r="H382" s="2331" t="str">
        <f t="shared" ca="1" si="15"/>
        <v>NA</v>
      </c>
      <c r="I382" s="2491" t="str">
        <f ca="1">IF(COUNTIF(P262:P267,"Não conforme")&lt;&gt;0,"Não conforme",IF(COUNTIF(P262:P267,"Conforme")&lt;&gt;0,"Conforme",IF(COUNTIF(P262:P267,"NPA")&lt;&gt;0,"NPA","NA")))</f>
        <v>NPA</v>
      </c>
      <c r="J382" s="2461"/>
      <c r="K382" s="2020"/>
    </row>
    <row r="383" spans="1:11" ht="15" customHeight="1" x14ac:dyDescent="0.25">
      <c r="A383" s="2550" t="s">
        <v>1441</v>
      </c>
      <c r="B383" s="2551"/>
      <c r="C383" s="2551"/>
      <c r="D383" s="2551"/>
      <c r="E383" s="2552"/>
      <c r="F383" s="2460" t="s">
        <v>2359</v>
      </c>
      <c r="G383" s="2460"/>
      <c r="H383" s="2331" t="str">
        <f t="shared" ca="1" si="15"/>
        <v>NA</v>
      </c>
      <c r="I383" s="2491" t="str">
        <f ca="1">IF(COUNTIF(P268:P273,"Não conforme")&lt;&gt;0,"Não conforme",IF(COUNTIF(P268:P273,"Conforme")&lt;&gt;0,"Conforme",IF(COUNTIF(P268:P273,"NPA")&lt;&gt;0,"NPA","NA")))</f>
        <v>NPA</v>
      </c>
      <c r="J383" s="2461"/>
      <c r="K383" s="2020"/>
    </row>
    <row r="384" spans="1:11" ht="15" customHeight="1" x14ac:dyDescent="0.25">
      <c r="A384" s="2550" t="s">
        <v>1442</v>
      </c>
      <c r="B384" s="2551"/>
      <c r="C384" s="2551"/>
      <c r="D384" s="2551"/>
      <c r="E384" s="2552"/>
      <c r="F384" s="2460" t="s">
        <v>2359</v>
      </c>
      <c r="G384" s="2460"/>
      <c r="H384" s="2331" t="str">
        <f t="shared" ca="1" si="15"/>
        <v>NA</v>
      </c>
      <c r="I384" s="2491" t="str">
        <f ca="1">IF(COUNTIF(P274:P279,"Não conforme")&lt;&gt;0,"Não conforme",IF(COUNTIF(P274:P279,"Conforme")&lt;&gt;0,"Conforme",IF(COUNTIF(P274:P279,"NPA")&lt;&gt;0,"NPA","NA")))</f>
        <v>NPA</v>
      </c>
      <c r="J384" s="2461"/>
      <c r="K384" s="2020"/>
    </row>
    <row r="385" spans="1:11" ht="15.75" x14ac:dyDescent="0.25">
      <c r="A385" s="2550" t="s">
        <v>1900</v>
      </c>
      <c r="B385" s="2551"/>
      <c r="C385" s="2551"/>
      <c r="D385" s="2551"/>
      <c r="E385" s="2552"/>
      <c r="F385" s="2460" t="s">
        <v>2359</v>
      </c>
      <c r="G385" s="2460"/>
      <c r="H385" s="2331" t="str">
        <f t="shared" ca="1" si="15"/>
        <v>NA</v>
      </c>
      <c r="I385" s="2491" t="str">
        <f ca="1">IF(COUNTIF(P280:P285,"Não conforme")&lt;&gt;0,"Não conforme",IF(COUNTIF(P280:P285,"Conforme")&lt;&gt;0,"Conforme",IF(COUNTIF(P280:P285,"NPA")&lt;&gt;0,"NPA","NA")))</f>
        <v>NPA</v>
      </c>
      <c r="J385" s="2461"/>
      <c r="K385" s="2020"/>
    </row>
    <row r="386" spans="1:11" ht="15" customHeight="1" x14ac:dyDescent="0.25">
      <c r="A386" s="2550" t="s">
        <v>2609</v>
      </c>
      <c r="B386" s="2551"/>
      <c r="C386" s="2551"/>
      <c r="D386" s="2551"/>
      <c r="E386" s="2552"/>
      <c r="F386" s="2460" t="s">
        <v>2359</v>
      </c>
      <c r="G386" s="2460"/>
      <c r="H386" s="2331" t="str">
        <f t="shared" si="15"/>
        <v>NA</v>
      </c>
      <c r="I386" s="2491" t="str">
        <f>IF(P286="Não conforme","Não conforme",IF(P286="Conforme","Conforme",IF(P286="NPA","NPA","NA")))</f>
        <v>NA</v>
      </c>
      <c r="J386" s="2461"/>
      <c r="K386" s="2020"/>
    </row>
    <row r="387" spans="1:11" ht="15" customHeight="1" x14ac:dyDescent="0.25">
      <c r="A387" s="2550" t="s">
        <v>2608</v>
      </c>
      <c r="B387" s="2551"/>
      <c r="C387" s="2551"/>
      <c r="D387" s="2551"/>
      <c r="E387" s="2552"/>
      <c r="F387" s="2460" t="s">
        <v>2359</v>
      </c>
      <c r="G387" s="2460"/>
      <c r="H387" s="2331" t="str">
        <f t="shared" si="15"/>
        <v>NA</v>
      </c>
      <c r="I387" s="2491" t="str">
        <f>IF(P287="Não conforme","Não conforme",IF(P287="Conforme","Conforme",IF(P287="NPA","NPA","NA")))</f>
        <v>NA</v>
      </c>
      <c r="J387" s="2461"/>
      <c r="K387" s="2020"/>
    </row>
    <row r="388" spans="1:11" ht="15" customHeight="1" x14ac:dyDescent="0.25">
      <c r="A388" s="2550" t="s">
        <v>1372</v>
      </c>
      <c r="B388" s="2551"/>
      <c r="C388" s="2551"/>
      <c r="D388" s="2551"/>
      <c r="E388" s="2552"/>
      <c r="F388" s="2460" t="s">
        <v>240</v>
      </c>
      <c r="G388" s="2460"/>
      <c r="H388" s="2331" t="str">
        <f t="shared" si="15"/>
        <v>NA</v>
      </c>
      <c r="I388" s="2491" t="str">
        <f>IF(P289="Não conforme","Não conforme",IF(P289="Conforme","Conforme",IF(P289="NPA","NPA","NA")))</f>
        <v>NA</v>
      </c>
      <c r="J388" s="2461"/>
      <c r="K388" s="2020"/>
    </row>
    <row r="389" spans="1:11" ht="15" customHeight="1" x14ac:dyDescent="0.25">
      <c r="A389" s="2550" t="s">
        <v>1084</v>
      </c>
      <c r="B389" s="2551"/>
      <c r="C389" s="2551"/>
      <c r="D389" s="2551"/>
      <c r="E389" s="2552"/>
      <c r="F389" s="2460" t="s">
        <v>2359</v>
      </c>
      <c r="G389" s="2460"/>
      <c r="H389" s="2331" t="e">
        <f t="shared" si="15"/>
        <v>#DIV/0!</v>
      </c>
      <c r="I389" s="2491" t="e">
        <f>IF(P290="Não conforme","Não conforme",IF(P290="Conforme","Conforme",IF(P290="NPA","NPA","NA")))</f>
        <v>#DIV/0!</v>
      </c>
      <c r="J389" s="2461"/>
      <c r="K389" s="2020"/>
    </row>
    <row r="390" spans="1:11" s="2020" customFormat="1" ht="15" customHeight="1" x14ac:dyDescent="0.25">
      <c r="A390" s="2134"/>
      <c r="B390" s="2134"/>
      <c r="C390" s="2134"/>
      <c r="D390" s="2134"/>
      <c r="E390" s="2134"/>
      <c r="F390" s="2134"/>
      <c r="G390" s="2134"/>
      <c r="H390" s="2134"/>
      <c r="I390" s="2134"/>
      <c r="K390" s="2020" t="str">
        <f ca="1">K300</f>
        <v/>
      </c>
    </row>
    <row r="391" spans="1:11" ht="15" customHeight="1" x14ac:dyDescent="0.25">
      <c r="A391" s="281" t="s">
        <v>2072</v>
      </c>
    </row>
    <row r="392" spans="1:11" ht="15" customHeight="1" x14ac:dyDescent="0.25">
      <c r="A392" s="281" t="s">
        <v>237</v>
      </c>
    </row>
    <row r="393" spans="1:11" ht="15" customHeight="1" x14ac:dyDescent="0.25">
      <c r="A393" s="2476" t="s">
        <v>423</v>
      </c>
      <c r="B393" s="2476"/>
      <c r="C393" s="2476"/>
      <c r="D393" s="2476"/>
      <c r="E393" s="2476"/>
      <c r="F393" s="2476"/>
      <c r="G393" s="2476"/>
      <c r="H393" s="2476"/>
      <c r="I393" s="2476"/>
      <c r="J393" s="2476"/>
      <c r="K393" s="2137" t="str">
        <f>IF(OR(fluor!F26="Não",fluor!F27="Não"),"","x")</f>
        <v>x</v>
      </c>
    </row>
    <row r="394" spans="1:11" ht="15" customHeight="1" x14ac:dyDescent="0.25">
      <c r="A394" s="2476"/>
      <c r="B394" s="2476"/>
      <c r="C394" s="2476"/>
      <c r="D394" s="2476"/>
      <c r="E394" s="2476"/>
      <c r="F394" s="2476"/>
      <c r="G394" s="2476"/>
      <c r="H394" s="2476"/>
      <c r="I394" s="2476"/>
      <c r="J394" s="2476"/>
      <c r="K394" s="2137" t="str">
        <f>K393</f>
        <v>x</v>
      </c>
    </row>
    <row r="395" spans="1:11" ht="15" customHeight="1" x14ac:dyDescent="0.25">
      <c r="A395" s="2476"/>
      <c r="B395" s="2476"/>
      <c r="C395" s="2476"/>
      <c r="D395" s="2476"/>
      <c r="E395" s="2476"/>
      <c r="F395" s="2476"/>
      <c r="G395" s="2476"/>
      <c r="H395" s="2476"/>
      <c r="I395" s="2476"/>
      <c r="J395" s="2476"/>
      <c r="K395" s="2137" t="str">
        <f>K394</f>
        <v>x</v>
      </c>
    </row>
    <row r="396" spans="1:11" ht="15" customHeight="1" x14ac:dyDescent="0.25">
      <c r="A396" s="2476" t="s">
        <v>424</v>
      </c>
      <c r="B396" s="2476"/>
      <c r="C396" s="2476"/>
      <c r="D396" s="2476"/>
      <c r="E396" s="2476"/>
      <c r="F396" s="2476"/>
      <c r="G396" s="2476"/>
      <c r="H396" s="2476"/>
      <c r="I396" s="2476"/>
      <c r="J396" s="2476"/>
      <c r="K396" s="2137" t="str">
        <f>IF(fluor!I133="Não","","x")</f>
        <v>x</v>
      </c>
    </row>
    <row r="397" spans="1:11" ht="15" customHeight="1" x14ac:dyDescent="0.25">
      <c r="A397" s="2476"/>
      <c r="B397" s="2476"/>
      <c r="C397" s="2476"/>
      <c r="D397" s="2476"/>
      <c r="E397" s="2476"/>
      <c r="F397" s="2476"/>
      <c r="G397" s="2476"/>
      <c r="H397" s="2476"/>
      <c r="I397" s="2476"/>
      <c r="J397" s="2476"/>
      <c r="K397" s="2137" t="str">
        <f>K396</f>
        <v>x</v>
      </c>
    </row>
    <row r="398" spans="1:11" ht="15" customHeight="1" x14ac:dyDescent="0.25">
      <c r="A398" s="2476" t="s">
        <v>425</v>
      </c>
      <c r="B398" s="2476"/>
      <c r="C398" s="2476"/>
      <c r="D398" s="2476"/>
      <c r="E398" s="2476"/>
      <c r="F398" s="2476"/>
      <c r="G398" s="2476"/>
      <c r="H398" s="2476"/>
      <c r="I398" s="2476"/>
      <c r="J398" s="2476"/>
      <c r="K398" s="2137" t="str">
        <f>IF(AND(L73&lt;&gt;"NA",fluor!F18="Não"),"","x")</f>
        <v>x</v>
      </c>
    </row>
    <row r="399" spans="1:11" ht="15" customHeight="1" x14ac:dyDescent="0.25">
      <c r="A399" s="2476"/>
      <c r="B399" s="2476"/>
      <c r="C399" s="2476"/>
      <c r="D399" s="2476"/>
      <c r="E399" s="2476"/>
      <c r="F399" s="2476"/>
      <c r="G399" s="2476"/>
      <c r="H399" s="2476"/>
      <c r="I399" s="2476"/>
      <c r="J399" s="2476"/>
      <c r="K399" s="2137" t="str">
        <f>K398</f>
        <v>x</v>
      </c>
    </row>
    <row r="400" spans="1:11" ht="15" customHeight="1" x14ac:dyDescent="0.25">
      <c r="A400" s="2476"/>
      <c r="B400" s="2476"/>
      <c r="C400" s="2476"/>
      <c r="D400" s="2476"/>
      <c r="E400" s="2476"/>
      <c r="F400" s="2476"/>
      <c r="G400" s="2476"/>
      <c r="H400" s="2476"/>
      <c r="I400" s="2476"/>
      <c r="J400" s="2476"/>
      <c r="K400" s="2137" t="str">
        <f>K399</f>
        <v>x</v>
      </c>
    </row>
    <row r="401" spans="1:13" ht="15" customHeight="1" x14ac:dyDescent="0.25">
      <c r="A401" s="2468" t="s">
        <v>387</v>
      </c>
      <c r="B401" s="2468"/>
      <c r="C401" s="2468"/>
      <c r="D401" s="2468"/>
      <c r="E401" s="2468"/>
      <c r="F401" s="2468"/>
      <c r="G401" s="2468"/>
      <c r="H401" s="2468"/>
      <c r="I401" s="2468"/>
      <c r="J401" s="2468"/>
      <c r="K401" s="2137" t="str">
        <f>IF(H75="&lt; 2 m","","x")</f>
        <v/>
      </c>
    </row>
    <row r="402" spans="1:13" ht="15" customHeight="1" x14ac:dyDescent="0.25">
      <c r="A402" s="2476" t="s">
        <v>2088</v>
      </c>
      <c r="B402" s="2476"/>
      <c r="C402" s="2476"/>
      <c r="D402" s="2476"/>
      <c r="E402" s="2476"/>
      <c r="F402" s="2476"/>
      <c r="G402" s="2476"/>
      <c r="H402" s="2476"/>
      <c r="I402" s="2476"/>
      <c r="J402" s="2144"/>
      <c r="K402" s="2137" t="str">
        <f>IF(COUNTIF(K393:K401,"")=0,"","x")</f>
        <v>x</v>
      </c>
    </row>
    <row r="403" spans="1:13" ht="15" customHeight="1" x14ac:dyDescent="0.25">
      <c r="A403" s="2134"/>
      <c r="B403" s="2134"/>
      <c r="C403" s="2134"/>
      <c r="D403" s="2134"/>
      <c r="E403" s="2134"/>
      <c r="F403" s="2134"/>
      <c r="G403" s="2134"/>
      <c r="H403" s="2134"/>
      <c r="I403" s="2134"/>
    </row>
    <row r="404" spans="1:13" ht="15" customHeight="1" x14ac:dyDescent="0.25">
      <c r="A404" s="281" t="s">
        <v>238</v>
      </c>
    </row>
    <row r="405" spans="1:13" ht="15" customHeight="1" x14ac:dyDescent="0.25">
      <c r="A405" s="2476" t="s">
        <v>386</v>
      </c>
      <c r="B405" s="2476"/>
      <c r="C405" s="2476"/>
      <c r="D405" s="2476"/>
      <c r="E405" s="2476"/>
      <c r="F405" s="2476"/>
      <c r="G405" s="2476"/>
      <c r="H405" s="2476"/>
      <c r="I405" s="2476"/>
      <c r="J405" s="2476"/>
      <c r="K405" s="2137" t="s">
        <v>649</v>
      </c>
    </row>
    <row r="406" spans="1:13" ht="15" customHeight="1" x14ac:dyDescent="0.25">
      <c r="A406" s="2476"/>
      <c r="B406" s="2476"/>
      <c r="C406" s="2476"/>
      <c r="D406" s="2476"/>
      <c r="E406" s="2476"/>
      <c r="F406" s="2476"/>
      <c r="G406" s="2476"/>
      <c r="H406" s="2476"/>
      <c r="I406" s="2476"/>
      <c r="J406" s="2476"/>
      <c r="K406" s="2137" t="str">
        <f>K405</f>
        <v>x</v>
      </c>
    </row>
    <row r="407" spans="1:13" ht="15" customHeight="1" x14ac:dyDescent="0.25">
      <c r="A407" s="2476" t="s">
        <v>427</v>
      </c>
      <c r="B407" s="2476"/>
      <c r="C407" s="2476"/>
      <c r="D407" s="2476"/>
      <c r="E407" s="2476"/>
      <c r="F407" s="2476"/>
      <c r="G407" s="2476"/>
      <c r="H407" s="2476"/>
      <c r="I407" s="2476"/>
      <c r="J407" s="2476"/>
      <c r="K407" s="2137" t="str">
        <f>IF(AND(Cabeçalho!$B$14&lt;&gt;"Fluoroscopia",K393="",'LAUDO convencional'!K295=""),"","x")</f>
        <v>x</v>
      </c>
      <c r="M407" s="2214"/>
    </row>
    <row r="408" spans="1:13" ht="15" customHeight="1" x14ac:dyDescent="0.25">
      <c r="A408" s="2476"/>
      <c r="B408" s="2476"/>
      <c r="C408" s="2476"/>
      <c r="D408" s="2476"/>
      <c r="E408" s="2476"/>
      <c r="F408" s="2476"/>
      <c r="G408" s="2476"/>
      <c r="H408" s="2476"/>
      <c r="I408" s="2476"/>
      <c r="J408" s="2476"/>
      <c r="K408" s="2137" t="s">
        <v>649</v>
      </c>
    </row>
    <row r="409" spans="1:13" ht="15" customHeight="1" x14ac:dyDescent="0.25">
      <c r="A409" s="2476"/>
      <c r="B409" s="2476"/>
      <c r="C409" s="2476"/>
      <c r="D409" s="2476"/>
      <c r="E409" s="2476"/>
      <c r="F409" s="2476"/>
      <c r="G409" s="2476"/>
      <c r="H409" s="2476"/>
      <c r="I409" s="2476"/>
      <c r="J409" s="2476"/>
      <c r="K409" s="2137" t="s">
        <v>649</v>
      </c>
    </row>
    <row r="410" spans="1:13" ht="15" customHeight="1" x14ac:dyDescent="0.25">
      <c r="A410" s="2476" t="s">
        <v>429</v>
      </c>
      <c r="B410" s="2476"/>
      <c r="C410" s="2476"/>
      <c r="D410" s="2476"/>
      <c r="E410" s="2476"/>
      <c r="F410" s="2476"/>
      <c r="G410" s="2476"/>
      <c r="H410" s="2476"/>
      <c r="I410" s="2476"/>
      <c r="J410" s="2476"/>
      <c r="K410" s="2137" t="str">
        <f>IF(OR(H71=0,H71="Regulável"),"x","")</f>
        <v/>
      </c>
    </row>
    <row r="411" spans="1:13" ht="15" customHeight="1" x14ac:dyDescent="0.25">
      <c r="A411" s="2476"/>
      <c r="B411" s="2476"/>
      <c r="C411" s="2476"/>
      <c r="D411" s="2476"/>
      <c r="E411" s="2476"/>
      <c r="F411" s="2476"/>
      <c r="G411" s="2476"/>
      <c r="H411" s="2476"/>
      <c r="I411" s="2476"/>
      <c r="J411" s="2476"/>
      <c r="K411" s="2137" t="str">
        <f>K410</f>
        <v/>
      </c>
    </row>
    <row r="412" spans="1:13" ht="15" customHeight="1" x14ac:dyDescent="0.25">
      <c r="A412" s="2476" t="s">
        <v>1022</v>
      </c>
      <c r="B412" s="2476"/>
      <c r="C412" s="2476"/>
      <c r="D412" s="2476"/>
      <c r="E412" s="2476"/>
      <c r="F412" s="2476"/>
      <c r="G412" s="2476"/>
      <c r="H412" s="2476"/>
      <c r="I412" s="2476"/>
      <c r="J412" s="2476"/>
      <c r="K412" s="2137" t="str">
        <f>K398</f>
        <v>x</v>
      </c>
    </row>
    <row r="413" spans="1:13" ht="15" customHeight="1" x14ac:dyDescent="0.25">
      <c r="A413" s="2476"/>
      <c r="B413" s="2476"/>
      <c r="C413" s="2476"/>
      <c r="D413" s="2476"/>
      <c r="E413" s="2476"/>
      <c r="F413" s="2476"/>
      <c r="G413" s="2476"/>
      <c r="H413" s="2476"/>
      <c r="I413" s="2476"/>
      <c r="J413" s="2476"/>
      <c r="K413" s="2137" t="str">
        <f>K412</f>
        <v>x</v>
      </c>
    </row>
    <row r="414" spans="1:13" ht="15" customHeight="1" x14ac:dyDescent="0.25">
      <c r="A414" s="2476"/>
      <c r="B414" s="2476"/>
      <c r="C414" s="2476"/>
      <c r="D414" s="2476"/>
      <c r="E414" s="2476"/>
      <c r="F414" s="2476"/>
      <c r="G414" s="2476"/>
      <c r="H414" s="2476"/>
      <c r="I414" s="2476"/>
      <c r="J414" s="2476"/>
      <c r="K414" s="2137" t="str">
        <f>K413</f>
        <v>x</v>
      </c>
    </row>
    <row r="415" spans="1:13" ht="15" customHeight="1" x14ac:dyDescent="0.25">
      <c r="A415" s="2476"/>
      <c r="B415" s="2476"/>
      <c r="C415" s="2476"/>
      <c r="D415" s="2476"/>
      <c r="E415" s="2476"/>
      <c r="F415" s="2476"/>
      <c r="G415" s="2476"/>
      <c r="H415" s="2476"/>
      <c r="I415" s="2476"/>
      <c r="J415" s="2476"/>
      <c r="K415" s="2137" t="str">
        <f>K414</f>
        <v>x</v>
      </c>
    </row>
    <row r="416" spans="1:13" ht="15" customHeight="1" x14ac:dyDescent="0.25">
      <c r="A416" s="2476"/>
      <c r="B416" s="2476"/>
      <c r="C416" s="2476"/>
      <c r="D416" s="2476"/>
      <c r="E416" s="2476"/>
      <c r="F416" s="2476"/>
      <c r="G416" s="2476"/>
      <c r="H416" s="2476"/>
      <c r="I416" s="2476"/>
      <c r="J416" s="2476"/>
      <c r="K416" s="2137" t="str">
        <f>K415</f>
        <v>x</v>
      </c>
    </row>
    <row r="417" spans="1:11" ht="15" customHeight="1" x14ac:dyDescent="0.25">
      <c r="A417" s="2476" t="s">
        <v>2467</v>
      </c>
      <c r="B417" s="2476"/>
      <c r="C417" s="2476"/>
      <c r="D417" s="2476"/>
      <c r="E417" s="2476"/>
      <c r="F417" s="2476"/>
      <c r="G417" s="2476"/>
      <c r="H417" s="2476"/>
      <c r="I417" s="2476"/>
      <c r="J417" s="2476"/>
      <c r="K417" s="2137" t="str">
        <f>IFERROR(IF(OR(J290="Não",J290="Restrição"),"","x"),"x")</f>
        <v>x</v>
      </c>
    </row>
    <row r="418" spans="1:11" ht="15" customHeight="1" x14ac:dyDescent="0.25">
      <c r="A418" s="2476"/>
      <c r="B418" s="2476"/>
      <c r="C418" s="2476"/>
      <c r="D418" s="2476"/>
      <c r="E418" s="2476"/>
      <c r="F418" s="2476"/>
      <c r="G418" s="2476"/>
      <c r="H418" s="2476"/>
      <c r="I418" s="2476"/>
      <c r="J418" s="2476"/>
      <c r="K418" s="2137" t="str">
        <f>K417</f>
        <v>x</v>
      </c>
    </row>
    <row r="419" spans="1:11" ht="15" customHeight="1" x14ac:dyDescent="0.25">
      <c r="A419" s="2468" t="s">
        <v>387</v>
      </c>
      <c r="B419" s="2468"/>
      <c r="C419" s="2468"/>
      <c r="D419" s="2468"/>
      <c r="E419" s="2468"/>
      <c r="F419" s="2468"/>
      <c r="G419" s="2468"/>
      <c r="H419" s="2468"/>
      <c r="I419" s="2468"/>
      <c r="J419" s="2468"/>
      <c r="K419" s="2137" t="str">
        <f>K401</f>
        <v/>
      </c>
    </row>
    <row r="420" spans="1:11" ht="15" customHeight="1" x14ac:dyDescent="0.25">
      <c r="A420" s="2144"/>
      <c r="B420" s="2144"/>
      <c r="C420" s="2144"/>
      <c r="D420" s="2144"/>
      <c r="E420" s="2144"/>
      <c r="F420" s="2144"/>
      <c r="G420" s="2144"/>
      <c r="H420" s="2144"/>
      <c r="I420" s="2144"/>
      <c r="J420" s="2144"/>
      <c r="K420" s="2137" t="str">
        <f>K421</f>
        <v/>
      </c>
    </row>
    <row r="421" spans="1:11" ht="15" customHeight="1" x14ac:dyDescent="0.25">
      <c r="A421" s="2607" t="s">
        <v>430</v>
      </c>
      <c r="B421" s="2607"/>
      <c r="C421" s="2607"/>
      <c r="D421" s="2144"/>
      <c r="E421" s="2144"/>
      <c r="F421" s="2144"/>
      <c r="G421" s="2144"/>
      <c r="H421" s="2144"/>
      <c r="I421" s="2144"/>
      <c r="J421" s="2144"/>
      <c r="K421" s="2137" t="str">
        <f>IF(Cabeçalho!$B$14="Fluoroscopia","x","")</f>
        <v/>
      </c>
    </row>
    <row r="422" spans="1:11" ht="15" customHeight="1" x14ac:dyDescent="0.25">
      <c r="A422" s="2476" t="s">
        <v>426</v>
      </c>
      <c r="B422" s="2476"/>
      <c r="C422" s="2476"/>
      <c r="D422" s="2476"/>
      <c r="E422" s="2476"/>
      <c r="F422" s="2476"/>
      <c r="G422" s="2476"/>
      <c r="H422" s="2476"/>
      <c r="I422" s="2476"/>
      <c r="J422" s="2476"/>
      <c r="K422" s="2137" t="str">
        <f>IF(Cabeçalho!$B$14="Fluoroscopia","x",IF(K407="","x",'LAUDO convencional'!K295))</f>
        <v>x</v>
      </c>
    </row>
    <row r="423" spans="1:11" ht="15" customHeight="1" x14ac:dyDescent="0.25">
      <c r="A423" s="2476"/>
      <c r="B423" s="2476"/>
      <c r="C423" s="2476"/>
      <c r="D423" s="2476"/>
      <c r="E423" s="2476"/>
      <c r="F423" s="2476"/>
      <c r="G423" s="2476"/>
      <c r="H423" s="2476"/>
      <c r="I423" s="2476"/>
      <c r="J423" s="2476"/>
      <c r="K423" s="2137" t="str">
        <f>K422</f>
        <v>x</v>
      </c>
    </row>
    <row r="424" spans="1:11" ht="15" customHeight="1" x14ac:dyDescent="0.25">
      <c r="A424" s="2476"/>
      <c r="B424" s="2476"/>
      <c r="C424" s="2476"/>
      <c r="D424" s="2476"/>
      <c r="E424" s="2476"/>
      <c r="F424" s="2476"/>
      <c r="G424" s="2476"/>
      <c r="H424" s="2476"/>
      <c r="I424" s="2476"/>
      <c r="J424" s="2476"/>
      <c r="K424" s="2137" t="str">
        <f>K423</f>
        <v>x</v>
      </c>
    </row>
    <row r="425" spans="1:11" ht="15" customHeight="1" x14ac:dyDescent="0.25">
      <c r="A425" s="2476" t="s">
        <v>429</v>
      </c>
      <c r="B425" s="2476"/>
      <c r="C425" s="2476"/>
      <c r="D425" s="2476"/>
      <c r="E425" s="2476"/>
      <c r="F425" s="2476"/>
      <c r="G425" s="2476"/>
      <c r="H425" s="2476"/>
      <c r="I425" s="2476"/>
      <c r="J425" s="2476"/>
      <c r="K425" s="2137" t="str">
        <f>IF(Cabeçalho!$B$14="Fluoroscopia","x",IF(K410="","x",'LAUDO convencional'!K301))</f>
        <v>x</v>
      </c>
    </row>
    <row r="426" spans="1:11" ht="15" customHeight="1" x14ac:dyDescent="0.25">
      <c r="A426" s="2476"/>
      <c r="B426" s="2476"/>
      <c r="C426" s="2476"/>
      <c r="D426" s="2476"/>
      <c r="E426" s="2476"/>
      <c r="F426" s="2476"/>
      <c r="G426" s="2476"/>
      <c r="H426" s="2476"/>
      <c r="I426" s="2476"/>
      <c r="J426" s="2476"/>
      <c r="K426" s="2137" t="str">
        <f>K425</f>
        <v>x</v>
      </c>
    </row>
    <row r="427" spans="1:11" ht="15" customHeight="1" x14ac:dyDescent="0.25">
      <c r="A427" s="2476" t="s">
        <v>391</v>
      </c>
      <c r="B427" s="2476"/>
      <c r="C427" s="2476"/>
      <c r="D427" s="2476"/>
      <c r="E427" s="2476"/>
      <c r="F427" s="2476"/>
      <c r="G427" s="2476"/>
      <c r="H427" s="2476"/>
      <c r="I427" s="2476"/>
      <c r="J427" s="2476"/>
      <c r="K427" s="2137" t="str">
        <f ca="1">IF(Cabeçalho!$B$14="Fluoroscopia","x",'LAUDO convencional'!K307)</f>
        <v>x</v>
      </c>
    </row>
    <row r="428" spans="1:11" ht="15" customHeight="1" x14ac:dyDescent="0.25">
      <c r="A428" s="2476"/>
      <c r="B428" s="2476"/>
      <c r="C428" s="2476"/>
      <c r="D428" s="2476"/>
      <c r="E428" s="2476"/>
      <c r="F428" s="2476"/>
      <c r="G428" s="2476"/>
      <c r="H428" s="2476"/>
      <c r="I428" s="2476"/>
      <c r="J428" s="2476"/>
      <c r="K428" s="2137" t="str">
        <f ca="1">K427</f>
        <v>x</v>
      </c>
    </row>
    <row r="429" spans="1:11" ht="15" customHeight="1" x14ac:dyDescent="0.25">
      <c r="A429" s="2476" t="s">
        <v>650</v>
      </c>
      <c r="B429" s="2476"/>
      <c r="C429" s="2476"/>
      <c r="D429" s="2476"/>
      <c r="E429" s="2476"/>
      <c r="F429" s="2476"/>
      <c r="G429" s="2476"/>
      <c r="H429" s="2476"/>
      <c r="I429" s="2476"/>
      <c r="J429" s="2476"/>
      <c r="K429" s="2137" t="s">
        <v>649</v>
      </c>
    </row>
    <row r="430" spans="1:11" ht="15" customHeight="1" x14ac:dyDescent="0.25">
      <c r="A430" s="2476"/>
      <c r="B430" s="2476"/>
      <c r="C430" s="2476"/>
      <c r="D430" s="2476"/>
      <c r="E430" s="2476"/>
      <c r="F430" s="2476"/>
      <c r="G430" s="2476"/>
      <c r="H430" s="2476"/>
      <c r="I430" s="2476"/>
      <c r="J430" s="2476"/>
      <c r="K430" s="2137" t="str">
        <f>K429</f>
        <v>x</v>
      </c>
    </row>
    <row r="431" spans="1:11" ht="15" customHeight="1" x14ac:dyDescent="0.25">
      <c r="A431" s="2476"/>
      <c r="B431" s="2476"/>
      <c r="C431" s="2476"/>
      <c r="D431" s="2476"/>
      <c r="E431" s="2476"/>
      <c r="F431" s="2476"/>
      <c r="G431" s="2476"/>
      <c r="H431" s="2476"/>
      <c r="I431" s="2476"/>
      <c r="J431" s="2476"/>
      <c r="K431" s="2137" t="str">
        <f>K430</f>
        <v>x</v>
      </c>
    </row>
    <row r="432" spans="1:11" ht="15" customHeight="1" x14ac:dyDescent="0.25">
      <c r="A432" s="2476" t="s">
        <v>397</v>
      </c>
      <c r="B432" s="2476"/>
      <c r="C432" s="2476"/>
      <c r="D432" s="2476"/>
      <c r="E432" s="2476"/>
      <c r="F432" s="2476"/>
      <c r="G432" s="2476"/>
      <c r="H432" s="2476"/>
      <c r="I432" s="2476"/>
      <c r="J432" s="2476"/>
      <c r="K432" s="2137" t="str">
        <f>IF(Cabeçalho!$B$14="Fluoroscopia","x",'LAUDO convencional'!K310)</f>
        <v>x</v>
      </c>
    </row>
    <row r="433" spans="1:11" ht="15" customHeight="1" x14ac:dyDescent="0.25">
      <c r="A433" s="2476"/>
      <c r="B433" s="2476"/>
      <c r="C433" s="2476"/>
      <c r="D433" s="2476"/>
      <c r="E433" s="2476"/>
      <c r="F433" s="2476"/>
      <c r="G433" s="2476"/>
      <c r="H433" s="2476"/>
      <c r="I433" s="2476"/>
      <c r="J433" s="2476"/>
      <c r="K433" s="2137" t="str">
        <f>K432</f>
        <v>x</v>
      </c>
    </row>
    <row r="434" spans="1:11" ht="15" customHeight="1" x14ac:dyDescent="0.25">
      <c r="A434" s="2476" t="s">
        <v>2466</v>
      </c>
      <c r="B434" s="2476"/>
      <c r="C434" s="2476"/>
      <c r="D434" s="2476"/>
      <c r="E434" s="2476"/>
      <c r="F434" s="2476"/>
      <c r="G434" s="2476"/>
      <c r="H434" s="2476"/>
      <c r="I434" s="2476"/>
      <c r="J434" s="2476"/>
      <c r="K434" s="2095" t="str">
        <f ca="1">IF(Cabeçalho!$B$14="Fluoroscopia","x",'LAUDO convencional'!K312)</f>
        <v>x</v>
      </c>
    </row>
    <row r="435" spans="1:11" ht="15" customHeight="1" x14ac:dyDescent="0.25">
      <c r="A435" s="2476"/>
      <c r="B435" s="2476"/>
      <c r="C435" s="2476"/>
      <c r="D435" s="2476"/>
      <c r="E435" s="2476"/>
      <c r="F435" s="2476"/>
      <c r="G435" s="2476"/>
      <c r="H435" s="2476"/>
      <c r="I435" s="2476"/>
      <c r="J435" s="2476"/>
      <c r="K435" s="2095" t="str">
        <f ca="1">K434</f>
        <v>x</v>
      </c>
    </row>
    <row r="436" spans="1:11" ht="15" customHeight="1" x14ac:dyDescent="0.25">
      <c r="A436" s="2476"/>
      <c r="B436" s="2476"/>
      <c r="C436" s="2476"/>
      <c r="D436" s="2476"/>
      <c r="E436" s="2476"/>
      <c r="F436" s="2476"/>
      <c r="G436" s="2476"/>
      <c r="H436" s="2476"/>
      <c r="I436" s="2476"/>
      <c r="J436" s="2476"/>
      <c r="K436" s="2095" t="str">
        <f ca="1">K435</f>
        <v>x</v>
      </c>
    </row>
    <row r="437" spans="1:11" ht="15" customHeight="1" x14ac:dyDescent="0.25">
      <c r="A437" s="2476" t="s">
        <v>389</v>
      </c>
      <c r="B437" s="2476"/>
      <c r="C437" s="2476"/>
      <c r="D437" s="2476"/>
      <c r="E437" s="2476"/>
      <c r="F437" s="2476"/>
      <c r="G437" s="2476"/>
      <c r="H437" s="2476"/>
      <c r="I437" s="2476"/>
      <c r="J437" s="2476"/>
      <c r="K437" s="2095" t="str">
        <f ca="1">IF(Cabeçalho!$B$14="Fluoroscopia","x",'LAUDO convencional'!K315)</f>
        <v>x</v>
      </c>
    </row>
    <row r="438" spans="1:11" ht="15" customHeight="1" x14ac:dyDescent="0.25">
      <c r="A438" s="2476"/>
      <c r="B438" s="2476"/>
      <c r="C438" s="2476"/>
      <c r="D438" s="2476"/>
      <c r="E438" s="2476"/>
      <c r="F438" s="2476"/>
      <c r="G438" s="2476"/>
      <c r="H438" s="2476"/>
      <c r="I438" s="2476"/>
      <c r="J438" s="2476"/>
      <c r="K438" s="2095" t="str">
        <f ca="1">K437</f>
        <v>x</v>
      </c>
    </row>
    <row r="439" spans="1:11" ht="15" customHeight="1" x14ac:dyDescent="0.25">
      <c r="A439" s="2476"/>
      <c r="B439" s="2476"/>
      <c r="C439" s="2476"/>
      <c r="D439" s="2476"/>
      <c r="E439" s="2476"/>
      <c r="F439" s="2476"/>
      <c r="G439" s="2476"/>
      <c r="H439" s="2476"/>
      <c r="I439" s="2476"/>
      <c r="J439" s="2476"/>
      <c r="K439" s="2095" t="str">
        <f ca="1">K438</f>
        <v>x</v>
      </c>
    </row>
    <row r="440" spans="1:11" ht="15" customHeight="1" x14ac:dyDescent="0.25">
      <c r="A440" s="2476" t="str">
        <f>'LAUDO convencional'!A318</f>
        <v xml:space="preserve">                A camada semirredutora está abaixo do permitido (2,3 mm Al @ 80 kVp). Deve ser acrescentada filtração ao feixe primário.</v>
      </c>
      <c r="B440" s="2476"/>
      <c r="C440" s="2476"/>
      <c r="D440" s="2476"/>
      <c r="E440" s="2476"/>
      <c r="F440" s="2476"/>
      <c r="G440" s="2476"/>
      <c r="H440" s="2476"/>
      <c r="I440" s="2476"/>
      <c r="J440" s="2476"/>
      <c r="K440" s="2137" t="str">
        <f ca="1">IF(Cabeçalho!$B$14="Fluoroscopia","x",'LAUDO convencional'!K318)</f>
        <v>x</v>
      </c>
    </row>
    <row r="441" spans="1:11" ht="15" customHeight="1" x14ac:dyDescent="0.25">
      <c r="A441" s="2476"/>
      <c r="B441" s="2476"/>
      <c r="C441" s="2476"/>
      <c r="D441" s="2476"/>
      <c r="E441" s="2476"/>
      <c r="F441" s="2476"/>
      <c r="G441" s="2476"/>
      <c r="H441" s="2476"/>
      <c r="I441" s="2476"/>
      <c r="J441" s="2476"/>
      <c r="K441" s="2137" t="str">
        <f ca="1">K440</f>
        <v>x</v>
      </c>
    </row>
    <row r="442" spans="1:11" ht="15" customHeight="1" x14ac:dyDescent="0.25">
      <c r="A442" s="2476" t="s">
        <v>390</v>
      </c>
      <c r="B442" s="2476"/>
      <c r="C442" s="2476"/>
      <c r="D442" s="2476"/>
      <c r="E442" s="2476"/>
      <c r="F442" s="2476"/>
      <c r="G442" s="2476"/>
      <c r="H442" s="2476"/>
      <c r="I442" s="2476"/>
      <c r="J442" s="2476"/>
      <c r="K442" s="2137" t="str">
        <f ca="1">IF(Cabeçalho!$B$14="Fluoroscopia","x",'LAUDO convencional'!K320)</f>
        <v>x</v>
      </c>
    </row>
    <row r="443" spans="1:11" ht="15" customHeight="1" x14ac:dyDescent="0.25">
      <c r="A443" s="2476"/>
      <c r="B443" s="2476"/>
      <c r="C443" s="2476"/>
      <c r="D443" s="2476"/>
      <c r="E443" s="2476"/>
      <c r="F443" s="2476"/>
      <c r="G443" s="2476"/>
      <c r="H443" s="2476"/>
      <c r="I443" s="2476"/>
      <c r="J443" s="2476"/>
      <c r="K443" s="2137" t="str">
        <f ca="1">K442</f>
        <v>x</v>
      </c>
    </row>
    <row r="444" spans="1:11" ht="15" customHeight="1" x14ac:dyDescent="0.25">
      <c r="A444" s="2476" t="s">
        <v>392</v>
      </c>
      <c r="B444" s="2476"/>
      <c r="C444" s="2476"/>
      <c r="D444" s="2476"/>
      <c r="E444" s="2476"/>
      <c r="F444" s="2476"/>
      <c r="G444" s="2476"/>
      <c r="H444" s="2476"/>
      <c r="I444" s="2476"/>
      <c r="J444" s="2476"/>
      <c r="K444" s="2137" t="str">
        <f ca="1">IF(Cabeçalho!$B$14="Fluoroscopia","x",'LAUDO convencional'!K322)</f>
        <v>x</v>
      </c>
    </row>
    <row r="445" spans="1:11" ht="15" customHeight="1" x14ac:dyDescent="0.25">
      <c r="A445" s="2476"/>
      <c r="B445" s="2476"/>
      <c r="C445" s="2476"/>
      <c r="D445" s="2476"/>
      <c r="E445" s="2476"/>
      <c r="F445" s="2476"/>
      <c r="G445" s="2476"/>
      <c r="H445" s="2476"/>
      <c r="I445" s="2476"/>
      <c r="J445" s="2476"/>
      <c r="K445" s="2137" t="str">
        <f ca="1">K444</f>
        <v>x</v>
      </c>
    </row>
    <row r="446" spans="1:11" ht="15" customHeight="1" x14ac:dyDescent="0.25">
      <c r="A446" s="2476" t="str">
        <f>'LAUDO convencional'!A324</f>
        <v xml:space="preserve">                Não foi possível avaliar a exatidão do sistema de colimação, pois a luz de campo não funcionou.</v>
      </c>
      <c r="B446" s="2476"/>
      <c r="C446" s="2476"/>
      <c r="D446" s="2476"/>
      <c r="E446" s="2476"/>
      <c r="F446" s="2476"/>
      <c r="G446" s="2476"/>
      <c r="H446" s="2476"/>
      <c r="I446" s="2476"/>
      <c r="J446" s="2476"/>
      <c r="K446" s="2137" t="str">
        <f>IF(Cabeçalho!$B$14="Fluoroscopia","x",'LAUDO convencional'!K324)</f>
        <v>x</v>
      </c>
    </row>
    <row r="447" spans="1:11" ht="15" customHeight="1" x14ac:dyDescent="0.25">
      <c r="A447" s="2476"/>
      <c r="B447" s="2476"/>
      <c r="C447" s="2476"/>
      <c r="D447" s="2476"/>
      <c r="E447" s="2476"/>
      <c r="F447" s="2476"/>
      <c r="G447" s="2476"/>
      <c r="H447" s="2476"/>
      <c r="I447" s="2476"/>
      <c r="J447" s="2476"/>
      <c r="K447" s="2137" t="str">
        <f>K446</f>
        <v>x</v>
      </c>
    </row>
    <row r="448" spans="1:11" ht="15" customHeight="1" x14ac:dyDescent="0.25">
      <c r="A448" s="2476" t="s">
        <v>393</v>
      </c>
      <c r="B448" s="2476"/>
      <c r="C448" s="2476"/>
      <c r="D448" s="2476"/>
      <c r="E448" s="2476"/>
      <c r="F448" s="2476"/>
      <c r="G448" s="2476"/>
      <c r="H448" s="2476"/>
      <c r="I448" s="2476"/>
      <c r="J448" s="2476"/>
      <c r="K448" s="2137" t="str">
        <f>IF(Cabeçalho!$B$14="Fluoroscopia","x",'LAUDO convencional'!K328)</f>
        <v>x</v>
      </c>
    </row>
    <row r="449" spans="1:11" ht="15" customHeight="1" x14ac:dyDescent="0.25">
      <c r="A449" s="2476"/>
      <c r="B449" s="2476"/>
      <c r="C449" s="2476"/>
      <c r="D449" s="2476"/>
      <c r="E449" s="2476"/>
      <c r="F449" s="2476"/>
      <c r="G449" s="2476"/>
      <c r="H449" s="2476"/>
      <c r="I449" s="2476"/>
      <c r="J449" s="2476"/>
      <c r="K449" s="2137" t="str">
        <f>K448</f>
        <v>x</v>
      </c>
    </row>
    <row r="450" spans="1:11" ht="15" customHeight="1" x14ac:dyDescent="0.25">
      <c r="A450" s="2476"/>
      <c r="B450" s="2476"/>
      <c r="C450" s="2476"/>
      <c r="D450" s="2476"/>
      <c r="E450" s="2476"/>
      <c r="F450" s="2476"/>
      <c r="G450" s="2476"/>
      <c r="H450" s="2476"/>
      <c r="I450" s="2476"/>
      <c r="J450" s="2476"/>
      <c r="K450" s="2137" t="str">
        <f>K449</f>
        <v>x</v>
      </c>
    </row>
    <row r="451" spans="1:11" ht="15" customHeight="1" x14ac:dyDescent="0.25">
      <c r="A451" s="2476" t="s">
        <v>436</v>
      </c>
      <c r="B451" s="2476"/>
      <c r="C451" s="2476"/>
      <c r="D451" s="2476"/>
      <c r="E451" s="2476"/>
      <c r="F451" s="2476"/>
      <c r="G451" s="2476"/>
      <c r="H451" s="2476"/>
      <c r="I451" s="2476"/>
      <c r="J451" s="2476"/>
      <c r="K451" s="2137" t="str">
        <f>IF(Cabeçalho!$B$14="Fluoroscopia","x",'LAUDO convencional'!K331)</f>
        <v>x</v>
      </c>
    </row>
    <row r="452" spans="1:11" ht="15" customHeight="1" x14ac:dyDescent="0.25">
      <c r="A452" s="2476"/>
      <c r="B452" s="2476"/>
      <c r="C452" s="2476"/>
      <c r="D452" s="2476"/>
      <c r="E452" s="2476"/>
      <c r="F452" s="2476"/>
      <c r="G452" s="2476"/>
      <c r="H452" s="2476"/>
      <c r="I452" s="2476"/>
      <c r="J452" s="2476"/>
      <c r="K452" s="2137" t="str">
        <f>K451</f>
        <v>x</v>
      </c>
    </row>
    <row r="453" spans="1:11" ht="15" customHeight="1" x14ac:dyDescent="0.25">
      <c r="A453" s="2476" t="str">
        <f>'LAUDO convencional'!A333</f>
        <v xml:space="preserve">                Não foi possível testar o alinhamento da grade antidifusora, pois o equipamento não dispõe desse dispositivo (o que inabilita o seu uso). Deve ser instalada grade antidifusora.</v>
      </c>
      <c r="B453" s="2476"/>
      <c r="C453" s="2476"/>
      <c r="D453" s="2476"/>
      <c r="E453" s="2476"/>
      <c r="F453" s="2476"/>
      <c r="G453" s="2476"/>
      <c r="H453" s="2476"/>
      <c r="I453" s="2476"/>
      <c r="J453" s="2476"/>
      <c r="K453" s="2137" t="str">
        <f>IF(Cabeçalho!$B$14="Fluoroscopia","x",'LAUDO convencional'!K333)</f>
        <v>x</v>
      </c>
    </row>
    <row r="454" spans="1:11" ht="15" customHeight="1" x14ac:dyDescent="0.25">
      <c r="A454" s="2476"/>
      <c r="B454" s="2476"/>
      <c r="C454" s="2476"/>
      <c r="D454" s="2476"/>
      <c r="E454" s="2476"/>
      <c r="F454" s="2476"/>
      <c r="G454" s="2476"/>
      <c r="H454" s="2476"/>
      <c r="I454" s="2476"/>
      <c r="J454" s="2476"/>
      <c r="K454" s="2137" t="str">
        <f>K453</f>
        <v>x</v>
      </c>
    </row>
    <row r="455" spans="1:11" ht="15" customHeight="1" x14ac:dyDescent="0.25">
      <c r="A455" s="2476" t="s">
        <v>394</v>
      </c>
      <c r="B455" s="2476"/>
      <c r="C455" s="2476"/>
      <c r="D455" s="2476"/>
      <c r="E455" s="2476"/>
      <c r="F455" s="2476"/>
      <c r="G455" s="2476"/>
      <c r="H455" s="2476"/>
      <c r="I455" s="2476"/>
      <c r="J455" s="2476"/>
      <c r="K455" s="2137" t="str">
        <f>IF(Cabeçalho!$B$14="Fluoroscopia","x",'LAUDO convencional'!K336)</f>
        <v>x</v>
      </c>
    </row>
    <row r="456" spans="1:11" ht="15" customHeight="1" x14ac:dyDescent="0.25">
      <c r="A456" s="2476"/>
      <c r="B456" s="2476"/>
      <c r="C456" s="2476"/>
      <c r="D456" s="2476"/>
      <c r="E456" s="2476"/>
      <c r="F456" s="2476"/>
      <c r="G456" s="2476"/>
      <c r="H456" s="2476"/>
      <c r="I456" s="2476"/>
      <c r="J456" s="2476"/>
      <c r="K456" s="2137" t="str">
        <f>K455</f>
        <v>x</v>
      </c>
    </row>
    <row r="457" spans="1:11" ht="15" customHeight="1" x14ac:dyDescent="0.25">
      <c r="A457" s="2476"/>
      <c r="B457" s="2476"/>
      <c r="C457" s="2476"/>
      <c r="D457" s="2476"/>
      <c r="E457" s="2476"/>
      <c r="F457" s="2476"/>
      <c r="G457" s="2476"/>
      <c r="H457" s="2476"/>
      <c r="I457" s="2476"/>
      <c r="J457" s="2476"/>
      <c r="K457" s="2137" t="str">
        <f>K456</f>
        <v>x</v>
      </c>
    </row>
    <row r="458" spans="1:11" ht="15" customHeight="1" x14ac:dyDescent="0.25">
      <c r="A458" s="2476" t="s">
        <v>395</v>
      </c>
      <c r="B458" s="2476"/>
      <c r="C458" s="2476"/>
      <c r="D458" s="2476"/>
      <c r="E458" s="2476"/>
      <c r="F458" s="2476"/>
      <c r="G458" s="2476"/>
      <c r="H458" s="2476"/>
      <c r="I458" s="2476"/>
      <c r="J458" s="2476"/>
      <c r="K458" s="2137" t="str">
        <f ca="1">IF(Cabeçalho!$B$14="Fluoroscopia","x",'LAUDO convencional'!K339)</f>
        <v>x</v>
      </c>
    </row>
    <row r="459" spans="1:11" ht="15" customHeight="1" x14ac:dyDescent="0.25">
      <c r="A459" s="2476"/>
      <c r="B459" s="2476"/>
      <c r="C459" s="2476"/>
      <c r="D459" s="2476"/>
      <c r="E459" s="2476"/>
      <c r="F459" s="2476"/>
      <c r="G459" s="2476"/>
      <c r="H459" s="2476"/>
      <c r="I459" s="2476"/>
      <c r="J459" s="2476"/>
      <c r="K459" s="2137" t="str">
        <f ca="1">K458</f>
        <v>x</v>
      </c>
    </row>
    <row r="460" spans="1:11" ht="15" customHeight="1" x14ac:dyDescent="0.25">
      <c r="A460" s="2476" t="s">
        <v>396</v>
      </c>
      <c r="B460" s="2476"/>
      <c r="C460" s="2476"/>
      <c r="D460" s="2476"/>
      <c r="E460" s="2476"/>
      <c r="F460" s="2476"/>
      <c r="G460" s="2476"/>
      <c r="H460" s="2476"/>
      <c r="I460" s="2476"/>
      <c r="J460" s="2476"/>
      <c r="K460" s="2137" t="str">
        <f ca="1">IF(Cabeçalho!$B$14="Fluoroscopia","x",'LAUDO convencional'!K341)</f>
        <v>x</v>
      </c>
    </row>
    <row r="461" spans="1:11" ht="15" customHeight="1" x14ac:dyDescent="0.25">
      <c r="A461" s="2476"/>
      <c r="B461" s="2476"/>
      <c r="C461" s="2476"/>
      <c r="D461" s="2476"/>
      <c r="E461" s="2476"/>
      <c r="F461" s="2476"/>
      <c r="G461" s="2476"/>
      <c r="H461" s="2476"/>
      <c r="I461" s="2476"/>
      <c r="J461" s="2476"/>
      <c r="K461" s="2137" t="str">
        <f ca="1">K460</f>
        <v>x</v>
      </c>
    </row>
    <row r="462" spans="1:11" ht="15" customHeight="1" x14ac:dyDescent="0.25">
      <c r="A462" s="2476" t="s">
        <v>398</v>
      </c>
      <c r="B462" s="2476"/>
      <c r="C462" s="2476"/>
      <c r="D462" s="2476"/>
      <c r="E462" s="2476"/>
      <c r="F462" s="2476"/>
      <c r="G462" s="2476"/>
      <c r="H462" s="2476"/>
      <c r="I462" s="2476"/>
      <c r="J462" s="2476"/>
      <c r="K462" s="2137" t="str">
        <f ca="1">IF(Cabeçalho!$B$14="Fluoroscopia","x",'LAUDO convencional'!K343)</f>
        <v>x</v>
      </c>
    </row>
    <row r="463" spans="1:11" ht="15" customHeight="1" x14ac:dyDescent="0.25">
      <c r="A463" s="2476"/>
      <c r="B463" s="2476"/>
      <c r="C463" s="2476"/>
      <c r="D463" s="2476"/>
      <c r="E463" s="2476"/>
      <c r="F463" s="2476"/>
      <c r="G463" s="2476"/>
      <c r="H463" s="2476"/>
      <c r="I463" s="2476"/>
      <c r="J463" s="2476"/>
      <c r="K463" s="2137" t="str">
        <f ca="1">K462</f>
        <v>x</v>
      </c>
    </row>
    <row r="464" spans="1:11" ht="15" customHeight="1" x14ac:dyDescent="0.25">
      <c r="A464" s="2477" t="str">
        <f ca="1">'LAUDO convencional'!A345</f>
        <v xml:space="preserve">                 A linearidade da taxa de kerma no ar está fora de tolerância (20 %) devido a  inconstância  durante a exposição.</v>
      </c>
      <c r="B464" s="2477"/>
      <c r="C464" s="2477"/>
      <c r="D464" s="2477"/>
      <c r="E464" s="2477"/>
      <c r="F464" s="2477"/>
      <c r="G464" s="2477"/>
      <c r="H464" s="2477"/>
      <c r="I464" s="2477"/>
      <c r="J464" s="2477"/>
      <c r="K464" s="2137" t="str">
        <f ca="1">IF(Cabeçalho!$B$14="Fluoroscopia","x",'LAUDO convencional'!K345)</f>
        <v>x</v>
      </c>
    </row>
    <row r="465" spans="1:11" ht="15" customHeight="1" x14ac:dyDescent="0.25">
      <c r="A465" s="2477"/>
      <c r="B465" s="2477"/>
      <c r="C465" s="2477"/>
      <c r="D465" s="2477"/>
      <c r="E465" s="2477"/>
      <c r="F465" s="2477"/>
      <c r="G465" s="2477"/>
      <c r="H465" s="2477"/>
      <c r="I465" s="2477"/>
      <c r="J465" s="2477"/>
      <c r="K465" s="2137" t="str">
        <f ca="1">K464</f>
        <v>x</v>
      </c>
    </row>
    <row r="466" spans="1:11" ht="15" customHeight="1" x14ac:dyDescent="0.25">
      <c r="A466" s="2476" t="str">
        <f>'LAUDO convencional'!A347</f>
        <v xml:space="preserve">                 A linearidade da taxa de kerma no ar com a corrente anódica (mA) está fora de tolerância (20 %) devido a falta de proporcionalidade entre os rendimentos do tubo. Os circuitos eletrônicos que controlam as correntes anódicas devem ser ajustados.</v>
      </c>
      <c r="B466" s="2476"/>
      <c r="C466" s="2476"/>
      <c r="D466" s="2476"/>
      <c r="E466" s="2476"/>
      <c r="F466" s="2476"/>
      <c r="G466" s="2476"/>
      <c r="H466" s="2476"/>
      <c r="I466" s="2476"/>
      <c r="J466" s="2476"/>
      <c r="K466" s="2137" t="str">
        <f ca="1">IF(Cabeçalho!$B$14="Fluoroscopia","x",'LAUDO convencional'!K347)</f>
        <v>x</v>
      </c>
    </row>
    <row r="467" spans="1:11" ht="15" customHeight="1" x14ac:dyDescent="0.25">
      <c r="A467" s="2476"/>
      <c r="B467" s="2476"/>
      <c r="C467" s="2476"/>
      <c r="D467" s="2476"/>
      <c r="E467" s="2476"/>
      <c r="F467" s="2476"/>
      <c r="G467" s="2476"/>
      <c r="H467" s="2476"/>
      <c r="I467" s="2476"/>
      <c r="J467" s="2476"/>
      <c r="K467" s="2137" t="str">
        <f ca="1">K466</f>
        <v>x</v>
      </c>
    </row>
    <row r="468" spans="1:11" ht="15" customHeight="1" x14ac:dyDescent="0.25">
      <c r="A468" s="2476"/>
      <c r="B468" s="2476"/>
      <c r="C468" s="2476"/>
      <c r="D468" s="2476"/>
      <c r="E468" s="2476"/>
      <c r="F468" s="2476"/>
      <c r="G468" s="2476"/>
      <c r="H468" s="2476"/>
      <c r="I468" s="2476"/>
      <c r="J468" s="2476"/>
      <c r="K468" s="2137" t="str">
        <f ca="1">K467</f>
        <v>x</v>
      </c>
    </row>
    <row r="469" spans="1:11" ht="15" customHeight="1" x14ac:dyDescent="0.25">
      <c r="A469" s="2476" t="str">
        <f>'LAUDO convencional'!A354</f>
        <v xml:space="preserve">                 A resolução espacial está fora de tolerância (2,5 pl/mm) para o foco fino devido à forte desgaste do tubo de raios X. O tubo de raios X deve ser substituído ou bloqueado o uso de correntes de foco fino.</v>
      </c>
      <c r="B469" s="2476"/>
      <c r="C469" s="2476"/>
      <c r="D469" s="2476"/>
      <c r="E469" s="2476"/>
      <c r="F469" s="2476"/>
      <c r="G469" s="2476"/>
      <c r="H469" s="2476"/>
      <c r="I469" s="2476"/>
      <c r="J469" s="2476"/>
      <c r="K469" s="2137" t="str">
        <f>IFERROR(IF(Cabeçalho!$B$14="Fluoroscopia","x",'LAUDO convencional'!K354),"x")</f>
        <v>x</v>
      </c>
    </row>
    <row r="470" spans="1:11" ht="15" customHeight="1" x14ac:dyDescent="0.25">
      <c r="A470" s="2476"/>
      <c r="B470" s="2476"/>
      <c r="C470" s="2476"/>
      <c r="D470" s="2476"/>
      <c r="E470" s="2476"/>
      <c r="F470" s="2476"/>
      <c r="G470" s="2476"/>
      <c r="H470" s="2476"/>
      <c r="I470" s="2476"/>
      <c r="J470" s="2476"/>
      <c r="K470" s="2137" t="str">
        <f>K469</f>
        <v>x</v>
      </c>
    </row>
    <row r="471" spans="1:11" ht="15" customHeight="1" x14ac:dyDescent="0.25">
      <c r="A471" s="2476"/>
      <c r="B471" s="2476"/>
      <c r="C471" s="2476"/>
      <c r="D471" s="2476"/>
      <c r="E471" s="2476"/>
      <c r="F471" s="2476"/>
      <c r="G471" s="2476"/>
      <c r="H471" s="2476"/>
      <c r="I471" s="2476"/>
      <c r="J471" s="2476"/>
      <c r="K471" s="2137" t="str">
        <f>K470</f>
        <v>x</v>
      </c>
    </row>
    <row r="472" spans="1:11" ht="15" customHeight="1" x14ac:dyDescent="0.25">
      <c r="A472" s="2476" t="s">
        <v>399</v>
      </c>
      <c r="B472" s="2476"/>
      <c r="C472" s="2476"/>
      <c r="D472" s="2476"/>
      <c r="E472" s="2476"/>
      <c r="F472" s="2476"/>
      <c r="G472" s="2476"/>
      <c r="H472" s="2476"/>
      <c r="I472" s="2476"/>
      <c r="J472" s="2476"/>
      <c r="K472" s="2137" t="str">
        <f>IFERROR(IF(Cabeçalho!$B$14="Fluoroscopia","x",'LAUDO convencional'!K357),"x")</f>
        <v>x</v>
      </c>
    </row>
    <row r="473" spans="1:11" ht="15" customHeight="1" x14ac:dyDescent="0.25">
      <c r="A473" s="2476"/>
      <c r="B473" s="2476"/>
      <c r="C473" s="2476"/>
      <c r="D473" s="2476"/>
      <c r="E473" s="2476"/>
      <c r="F473" s="2476"/>
      <c r="G473" s="2476"/>
      <c r="H473" s="2476"/>
      <c r="I473" s="2476"/>
      <c r="J473" s="2476"/>
      <c r="K473" s="2137" t="str">
        <f>K472</f>
        <v>x</v>
      </c>
    </row>
    <row r="474" spans="1:11" ht="15" customHeight="1" x14ac:dyDescent="0.25">
      <c r="A474" s="2476"/>
      <c r="B474" s="2476"/>
      <c r="C474" s="2476"/>
      <c r="D474" s="2476"/>
      <c r="E474" s="2476"/>
      <c r="F474" s="2476"/>
      <c r="G474" s="2476"/>
      <c r="H474" s="2476"/>
      <c r="I474" s="2476"/>
      <c r="J474" s="2476"/>
      <c r="K474" s="2137" t="str">
        <f>K473</f>
        <v>x</v>
      </c>
    </row>
    <row r="475" spans="1:11" ht="15" customHeight="1" x14ac:dyDescent="0.25">
      <c r="A475" s="2476" t="s">
        <v>547</v>
      </c>
      <c r="B475" s="2476"/>
      <c r="C475" s="2476"/>
      <c r="D475" s="2476"/>
      <c r="E475" s="2476"/>
      <c r="F475" s="2476"/>
      <c r="G475" s="2476"/>
      <c r="H475" s="2476"/>
      <c r="I475" s="2476"/>
      <c r="J475" s="2476"/>
      <c r="K475" s="2137" t="str">
        <f>IF(Cabeçalho!$B$14="Fluoroscopia","x",'LAUDO convencional'!K362)</f>
        <v>x</v>
      </c>
    </row>
    <row r="476" spans="1:11" ht="15" customHeight="1" x14ac:dyDescent="0.25">
      <c r="A476" s="2476"/>
      <c r="B476" s="2476"/>
      <c r="C476" s="2476"/>
      <c r="D476" s="2476"/>
      <c r="E476" s="2476"/>
      <c r="F476" s="2476"/>
      <c r="G476" s="2476"/>
      <c r="H476" s="2476"/>
      <c r="I476" s="2476"/>
      <c r="J476" s="2476"/>
      <c r="K476" s="2137" t="str">
        <f>K475</f>
        <v>x</v>
      </c>
    </row>
    <row r="477" spans="1:11" ht="15" customHeight="1" x14ac:dyDescent="0.25">
      <c r="A477" s="2476"/>
      <c r="B477" s="2476"/>
      <c r="C477" s="2476"/>
      <c r="D477" s="2476"/>
      <c r="E477" s="2476"/>
      <c r="F477" s="2476"/>
      <c r="G477" s="2476"/>
      <c r="H477" s="2476"/>
      <c r="I477" s="2476"/>
      <c r="J477" s="2476"/>
      <c r="K477" s="2137" t="str">
        <f>K476</f>
        <v>x</v>
      </c>
    </row>
    <row r="478" spans="1:11" ht="15" customHeight="1" x14ac:dyDescent="0.25">
      <c r="A478" s="2476" t="s">
        <v>400</v>
      </c>
      <c r="B478" s="2476"/>
      <c r="C478" s="2476"/>
      <c r="D478" s="2476"/>
      <c r="E478" s="2476"/>
      <c r="F478" s="2476"/>
      <c r="G478" s="2476"/>
      <c r="H478" s="2476"/>
      <c r="I478" s="2476"/>
      <c r="J478" s="2476"/>
      <c r="K478" s="2137" t="str">
        <f>IF(Cabeçalho!$B$14="Fluoroscopia","x",'LAUDO convencional'!K365)</f>
        <v>x</v>
      </c>
    </row>
    <row r="479" spans="1:11" ht="15" customHeight="1" x14ac:dyDescent="0.25">
      <c r="A479" s="2476"/>
      <c r="B479" s="2476"/>
      <c r="C479" s="2476"/>
      <c r="D479" s="2476"/>
      <c r="E479" s="2476"/>
      <c r="F479" s="2476"/>
      <c r="G479" s="2476"/>
      <c r="H479" s="2476"/>
      <c r="I479" s="2476"/>
      <c r="J479" s="2476"/>
      <c r="K479" s="2137" t="str">
        <f>K478</f>
        <v>x</v>
      </c>
    </row>
    <row r="480" spans="1:11" ht="15" customHeight="1" x14ac:dyDescent="0.25">
      <c r="A480" s="2476" t="str">
        <f>"                Para os demais itens o equipamento atende os requisitos da Instrução Normativa "&amp;VLOOKUP("Raios X Convencional",IN_ANVISA[],2)&amp;"/"&amp;VLOOKUP("Raios X convencional",IN_ANVISA[],3)&amp;" da ANVISA."</f>
        <v xml:space="preserve">                Para os demais itens o equipamento atende os requisitos da Instrução Normativa 90/2021 da ANVISA.</v>
      </c>
      <c r="B480" s="2476"/>
      <c r="C480" s="2476"/>
      <c r="D480" s="2476"/>
      <c r="E480" s="2476"/>
      <c r="F480" s="2476"/>
      <c r="G480" s="2476"/>
      <c r="H480" s="2476"/>
      <c r="I480" s="2476"/>
      <c r="J480" s="2476"/>
      <c r="K480" s="2137" t="str">
        <f ca="1">IF(Cabeçalho!$B$14="Fluoroscopia","x",'LAUDO convencional'!K371)</f>
        <v>x</v>
      </c>
    </row>
    <row r="481" spans="1:13" ht="15" customHeight="1" x14ac:dyDescent="0.25">
      <c r="A481" s="2476"/>
      <c r="B481" s="2476"/>
      <c r="C481" s="2476"/>
      <c r="D481" s="2476"/>
      <c r="E481" s="2476"/>
      <c r="F481" s="2476"/>
      <c r="G481" s="2476"/>
      <c r="H481" s="2476"/>
      <c r="I481" s="2476"/>
      <c r="J481" s="2476"/>
      <c r="K481" s="2137" t="str">
        <f ca="1">K480</f>
        <v>x</v>
      </c>
    </row>
    <row r="482" spans="1:13" ht="15" customHeight="1" x14ac:dyDescent="0.25">
      <c r="A482" s="2476" t="str">
        <f>"                Para os itens testados o equipamento atende os requisitos da Instrução Normativa "&amp;VLOOKUP("Raios X Convencional",IN_ANVISA[],2)&amp;"/"&amp;VLOOKUP("Raios X convencional",IN_ANVISA[],3)&amp;" da ANVISA."</f>
        <v xml:space="preserve">                Para os itens testados o equipamento atende os requisitos da Instrução Normativa 90/2021 da ANVISA.</v>
      </c>
      <c r="B482" s="2476"/>
      <c r="C482" s="2476"/>
      <c r="D482" s="2476"/>
      <c r="E482" s="2476"/>
      <c r="F482" s="2476"/>
      <c r="G482" s="2476"/>
      <c r="H482" s="2476"/>
      <c r="I482" s="2476"/>
      <c r="J482" s="2476"/>
      <c r="K482" s="2137" t="str">
        <f ca="1">IF(Cabeçalho!$B$14="Fluoroscopia","x",IF(K480="x","","x"))</f>
        <v/>
      </c>
      <c r="M482" s="2215"/>
    </row>
    <row r="483" spans="1:13" ht="15" customHeight="1" x14ac:dyDescent="0.25">
      <c r="A483" s="2476"/>
      <c r="B483" s="2476"/>
      <c r="C483" s="2476"/>
      <c r="D483" s="2476"/>
      <c r="E483" s="2476"/>
      <c r="F483" s="2476"/>
      <c r="G483" s="2476"/>
      <c r="H483" s="2476"/>
      <c r="I483" s="2476"/>
      <c r="J483" s="2476"/>
      <c r="K483" s="2137" t="str">
        <f ca="1">K482</f>
        <v/>
      </c>
    </row>
    <row r="484" spans="1:13" ht="15" customHeight="1" x14ac:dyDescent="0.25">
      <c r="A484" s="2476" t="str">
        <f>"                O equipamento atende os requisitos da Instrução Normativa "&amp;VLOOKUP("Raios X Convencional",IN_ANVISA[],2)&amp;"/"&amp;VLOOKUP("Raios X convencional",IN_ANVISA[],3)&amp;" da ANVISA."</f>
        <v xml:space="preserve">                O equipamento atende os requisitos da Instrução Normativa 90/2021 da ANVISA.</v>
      </c>
      <c r="B484" s="2476"/>
      <c r="C484" s="2476"/>
      <c r="D484" s="2476"/>
      <c r="E484" s="2476"/>
      <c r="F484" s="2476"/>
      <c r="G484" s="2476"/>
      <c r="H484" s="2476"/>
      <c r="I484" s="2476"/>
      <c r="J484" s="2476"/>
      <c r="K484" s="2137" t="str">
        <f ca="1">K485</f>
        <v/>
      </c>
    </row>
    <row r="485" spans="1:13" ht="15" customHeight="1" x14ac:dyDescent="0.25">
      <c r="A485" s="2476"/>
      <c r="B485" s="2476"/>
      <c r="C485" s="2476"/>
      <c r="D485" s="2476"/>
      <c r="E485" s="2476"/>
      <c r="F485" s="2476"/>
      <c r="G485" s="2476"/>
      <c r="H485" s="2476"/>
      <c r="I485" s="2476"/>
      <c r="J485" s="2476"/>
      <c r="K485" s="2137" t="str">
        <f ca="1">IF(COUNTIF(K422:K479,"&lt;&gt;x")&gt;0,"x","")</f>
        <v/>
      </c>
    </row>
    <row r="486" spans="1:13" ht="15" customHeight="1" x14ac:dyDescent="0.25">
      <c r="A486" s="2134"/>
      <c r="B486" s="2134"/>
      <c r="C486" s="2134"/>
      <c r="D486" s="2134"/>
      <c r="E486" s="2134"/>
      <c r="F486" s="2134"/>
      <c r="G486" s="2134"/>
      <c r="H486" s="2134"/>
      <c r="I486" s="2134"/>
      <c r="J486" s="2134"/>
      <c r="K486" s="2137" t="str">
        <f>K421</f>
        <v/>
      </c>
    </row>
    <row r="487" spans="1:13" ht="15" customHeight="1" x14ac:dyDescent="0.25">
      <c r="A487" s="2607" t="s">
        <v>431</v>
      </c>
      <c r="B487" s="2607"/>
      <c r="C487" s="2607"/>
      <c r="D487" s="2134"/>
      <c r="E487" s="2134"/>
      <c r="F487" s="2134"/>
      <c r="G487" s="2134"/>
      <c r="H487" s="2134"/>
      <c r="I487" s="2134"/>
      <c r="J487" s="2134"/>
    </row>
    <row r="488" spans="1:13" ht="15" customHeight="1" x14ac:dyDescent="0.25">
      <c r="A488" s="2476" t="s">
        <v>761</v>
      </c>
      <c r="B488" s="2476"/>
      <c r="C488" s="2476"/>
      <c r="D488" s="2476"/>
      <c r="E488" s="2476"/>
      <c r="F488" s="2476"/>
      <c r="G488" s="2476"/>
      <c r="H488" s="2476"/>
      <c r="I488" s="2476"/>
      <c r="J488" s="2476"/>
      <c r="K488" s="2137" t="str">
        <f>IF(K407="","x",K393)</f>
        <v>x</v>
      </c>
    </row>
    <row r="489" spans="1:13" ht="15" customHeight="1" x14ac:dyDescent="0.25">
      <c r="A489" s="2476"/>
      <c r="B489" s="2476"/>
      <c r="C489" s="2476"/>
      <c r="D489" s="2476"/>
      <c r="E489" s="2476"/>
      <c r="F489" s="2476"/>
      <c r="G489" s="2476"/>
      <c r="H489" s="2476"/>
      <c r="I489" s="2476"/>
      <c r="J489" s="2476"/>
      <c r="K489" s="2137" t="str">
        <f>K488</f>
        <v>x</v>
      </c>
    </row>
    <row r="490" spans="1:13" ht="15" customHeight="1" x14ac:dyDescent="0.25">
      <c r="A490" s="2476"/>
      <c r="B490" s="2476"/>
      <c r="C490" s="2476"/>
      <c r="D490" s="2476"/>
      <c r="E490" s="2476"/>
      <c r="F490" s="2476"/>
      <c r="G490" s="2476"/>
      <c r="H490" s="2476"/>
      <c r="I490" s="2476"/>
      <c r="J490" s="2476"/>
      <c r="K490" s="2137" t="str">
        <f>K489</f>
        <v>x</v>
      </c>
    </row>
    <row r="491" spans="1:13" ht="15" customHeight="1" x14ac:dyDescent="0.25">
      <c r="A491" s="2476" t="s">
        <v>428</v>
      </c>
      <c r="B491" s="2476"/>
      <c r="C491" s="2476"/>
      <c r="D491" s="2476"/>
      <c r="E491" s="2476"/>
      <c r="F491" s="2476"/>
      <c r="G491" s="2476"/>
      <c r="H491" s="2476"/>
      <c r="I491" s="2476"/>
      <c r="J491" s="2476"/>
      <c r="K491" s="2137" t="str">
        <f>IF(H70="Não acionado após 5 minutos","","x")</f>
        <v/>
      </c>
    </row>
    <row r="492" spans="1:13" ht="15" customHeight="1" x14ac:dyDescent="0.25">
      <c r="A492" s="2476"/>
      <c r="B492" s="2476"/>
      <c r="C492" s="2476"/>
      <c r="D492" s="2476"/>
      <c r="E492" s="2476"/>
      <c r="F492" s="2476"/>
      <c r="G492" s="2476"/>
      <c r="H492" s="2476"/>
      <c r="I492" s="2476"/>
      <c r="J492" s="2476"/>
      <c r="K492" s="2137" t="str">
        <f>K491</f>
        <v/>
      </c>
    </row>
    <row r="493" spans="1:13" ht="15" customHeight="1" x14ac:dyDescent="0.25">
      <c r="A493" s="2476"/>
      <c r="B493" s="2476"/>
      <c r="C493" s="2476"/>
      <c r="D493" s="2476"/>
      <c r="E493" s="2476"/>
      <c r="F493" s="2476"/>
      <c r="G493" s="2476"/>
      <c r="H493" s="2476"/>
      <c r="I493" s="2476"/>
      <c r="J493" s="2476"/>
      <c r="K493" s="2137" t="str">
        <f>K492</f>
        <v/>
      </c>
    </row>
    <row r="494" spans="1:13" ht="15" customHeight="1" x14ac:dyDescent="0.25">
      <c r="A494" s="2476"/>
      <c r="B494" s="2476"/>
      <c r="C494" s="2476"/>
      <c r="D494" s="2476"/>
      <c r="E494" s="2476"/>
      <c r="F494" s="2476"/>
      <c r="G494" s="2476"/>
      <c r="H494" s="2476"/>
      <c r="I494" s="2476"/>
      <c r="J494" s="2476"/>
      <c r="K494" s="2137" t="str">
        <f>K493</f>
        <v/>
      </c>
    </row>
    <row r="495" spans="1:13" ht="15" customHeight="1" x14ac:dyDescent="0.25">
      <c r="A495" s="2476" t="s">
        <v>391</v>
      </c>
      <c r="B495" s="2476"/>
      <c r="C495" s="2476"/>
      <c r="D495" s="2476"/>
      <c r="E495" s="2476"/>
      <c r="F495" s="2476"/>
      <c r="G495" s="2476"/>
      <c r="H495" s="2476"/>
      <c r="I495" s="2476"/>
      <c r="J495" s="2476"/>
      <c r="K495" s="2137" t="str">
        <f>IF(L174=0,"x","")</f>
        <v>x</v>
      </c>
    </row>
    <row r="496" spans="1:13" ht="15" customHeight="1" x14ac:dyDescent="0.25">
      <c r="A496" s="2476"/>
      <c r="B496" s="2476"/>
      <c r="C496" s="2476"/>
      <c r="D496" s="2476"/>
      <c r="E496" s="2476"/>
      <c r="F496" s="2476"/>
      <c r="G496" s="2476"/>
      <c r="H496" s="2476"/>
      <c r="I496" s="2476"/>
      <c r="J496" s="2476"/>
      <c r="K496" s="2137" t="str">
        <f>K495</f>
        <v>x</v>
      </c>
    </row>
    <row r="497" spans="1:11" ht="15" customHeight="1" x14ac:dyDescent="0.25">
      <c r="A497" s="2476" t="s">
        <v>1682</v>
      </c>
      <c r="B497" s="2476"/>
      <c r="C497" s="2476"/>
      <c r="D497" s="2476"/>
      <c r="E497" s="2476"/>
      <c r="F497" s="2476"/>
      <c r="G497" s="2476"/>
      <c r="H497" s="2476"/>
      <c r="I497" s="2476"/>
      <c r="J497" s="2476"/>
      <c r="K497" s="2137" t="str">
        <f ca="1">IF(L191=0,"x","")</f>
        <v>x</v>
      </c>
    </row>
    <row r="498" spans="1:11" ht="15" customHeight="1" x14ac:dyDescent="0.25">
      <c r="A498" s="2476"/>
      <c r="B498" s="2476"/>
      <c r="C498" s="2476"/>
      <c r="D498" s="2476"/>
      <c r="E498" s="2476"/>
      <c r="F498" s="2476"/>
      <c r="G498" s="2476"/>
      <c r="H498" s="2476"/>
      <c r="I498" s="2476"/>
      <c r="J498" s="2476"/>
      <c r="K498" s="2137" t="str">
        <f ca="1">K497</f>
        <v>x</v>
      </c>
    </row>
    <row r="499" spans="1:11" ht="15" customHeight="1" x14ac:dyDescent="0.25">
      <c r="A499" s="2476" t="s">
        <v>432</v>
      </c>
      <c r="B499" s="2476"/>
      <c r="C499" s="2476"/>
      <c r="D499" s="2476"/>
      <c r="E499" s="2476"/>
      <c r="F499" s="2476"/>
      <c r="G499" s="2476"/>
      <c r="H499" s="2476"/>
      <c r="I499" s="2476"/>
      <c r="J499" s="2476"/>
      <c r="K499" s="2137" t="str">
        <f>IF(L215=0,"x","")</f>
        <v>x</v>
      </c>
    </row>
    <row r="500" spans="1:11" ht="15" customHeight="1" x14ac:dyDescent="0.25">
      <c r="A500" s="2476"/>
      <c r="B500" s="2476"/>
      <c r="C500" s="2476"/>
      <c r="D500" s="2476"/>
      <c r="E500" s="2476"/>
      <c r="F500" s="2476"/>
      <c r="G500" s="2476"/>
      <c r="H500" s="2476"/>
      <c r="I500" s="2476"/>
      <c r="J500" s="2476"/>
      <c r="K500" s="2137" t="str">
        <f>K499</f>
        <v>x</v>
      </c>
    </row>
    <row r="501" spans="1:11" ht="15" customHeight="1" x14ac:dyDescent="0.25">
      <c r="A501" s="2476" t="s">
        <v>1445</v>
      </c>
      <c r="B501" s="2476"/>
      <c r="C501" s="2476"/>
      <c r="D501" s="2476"/>
      <c r="E501" s="2476"/>
      <c r="F501" s="2476"/>
      <c r="G501" s="2476"/>
      <c r="H501" s="2476"/>
      <c r="I501" s="2476"/>
      <c r="J501" s="2476"/>
      <c r="K501" s="2137" t="str">
        <f ca="1">IFERROR(IF(OR(J262="Não",J262="Restrição",J268="Não",J268="Restrição",J274="Não",J274="Restrição"),"","x"),"x")</f>
        <v>x</v>
      </c>
    </row>
    <row r="502" spans="1:11" ht="15" customHeight="1" x14ac:dyDescent="0.25">
      <c r="A502" s="2476"/>
      <c r="B502" s="2476"/>
      <c r="C502" s="2476"/>
      <c r="D502" s="2476"/>
      <c r="E502" s="2476"/>
      <c r="F502" s="2476"/>
      <c r="G502" s="2476"/>
      <c r="H502" s="2476"/>
      <c r="I502" s="2476"/>
      <c r="J502" s="2476"/>
      <c r="K502" s="2137" t="str">
        <f ca="1">K501</f>
        <v>x</v>
      </c>
    </row>
    <row r="503" spans="1:11" ht="15" customHeight="1" x14ac:dyDescent="0.25">
      <c r="A503" s="2476" t="s">
        <v>991</v>
      </c>
      <c r="B503" s="2476"/>
      <c r="C503" s="2476"/>
      <c r="D503" s="2476"/>
      <c r="E503" s="2476"/>
      <c r="F503" s="2476"/>
      <c r="G503" s="2476"/>
      <c r="H503" s="2476"/>
      <c r="I503" s="2476"/>
      <c r="J503" s="2476"/>
      <c r="K503" s="2137" t="str">
        <f ca="1">IFERROR(IF((COUNTIF(J280:J284,"Não")+COUNTIF(J280:J284,"Restrição"))&gt;0,"","x"),"x")</f>
        <v>x</v>
      </c>
    </row>
    <row r="504" spans="1:11" ht="15" customHeight="1" x14ac:dyDescent="0.25">
      <c r="A504" s="2476"/>
      <c r="B504" s="2476"/>
      <c r="C504" s="2476"/>
      <c r="D504" s="2476"/>
      <c r="E504" s="2476"/>
      <c r="F504" s="2476"/>
      <c r="G504" s="2476"/>
      <c r="H504" s="2476"/>
      <c r="I504" s="2476"/>
      <c r="J504" s="2476"/>
      <c r="K504" s="2137" t="str">
        <f ca="1">K503</f>
        <v>x</v>
      </c>
    </row>
    <row r="505" spans="1:11" ht="15" customHeight="1" x14ac:dyDescent="0.25">
      <c r="A505" s="2476" t="s">
        <v>2754</v>
      </c>
      <c r="B505" s="2476"/>
      <c r="C505" s="2476"/>
      <c r="D505" s="2476"/>
      <c r="E505" s="2476"/>
      <c r="F505" s="2476"/>
      <c r="G505" s="2476"/>
      <c r="H505" s="2476"/>
      <c r="I505" s="2476"/>
      <c r="J505" s="2476"/>
      <c r="K505" s="2137" t="str">
        <f>IF(L228=0,"x","")</f>
        <v>x</v>
      </c>
    </row>
    <row r="506" spans="1:11" ht="15" customHeight="1" x14ac:dyDescent="0.25">
      <c r="A506" s="2476"/>
      <c r="B506" s="2476"/>
      <c r="C506" s="2476"/>
      <c r="D506" s="2476"/>
      <c r="E506" s="2476"/>
      <c r="F506" s="2476"/>
      <c r="G506" s="2476"/>
      <c r="H506" s="2476"/>
      <c r="I506" s="2476"/>
      <c r="J506" s="2476"/>
      <c r="K506" s="2137" t="str">
        <f>K505</f>
        <v>x</v>
      </c>
    </row>
    <row r="507" spans="1:11" ht="15" customHeight="1" x14ac:dyDescent="0.25">
      <c r="A507" s="2476"/>
      <c r="B507" s="2476"/>
      <c r="C507" s="2476"/>
      <c r="D507" s="2476"/>
      <c r="E507" s="2476"/>
      <c r="F507" s="2476"/>
      <c r="G507" s="2476"/>
      <c r="H507" s="2476"/>
      <c r="I507" s="2476"/>
      <c r="J507" s="2476"/>
      <c r="K507" s="2137" t="str">
        <f>K506</f>
        <v>x</v>
      </c>
    </row>
    <row r="508" spans="1:11" ht="15" customHeight="1" x14ac:dyDescent="0.25">
      <c r="A508" s="2476" t="s">
        <v>2755</v>
      </c>
      <c r="B508" s="2476"/>
      <c r="C508" s="2476"/>
      <c r="D508" s="2476"/>
      <c r="E508" s="2476"/>
      <c r="F508" s="2476"/>
      <c r="G508" s="2476"/>
      <c r="H508" s="2476"/>
      <c r="I508" s="2476"/>
      <c r="J508" s="2476"/>
      <c r="K508" s="2137" t="str">
        <f>IF(M228=0,"x","")</f>
        <v>x</v>
      </c>
    </row>
    <row r="509" spans="1:11" ht="15" customHeight="1" x14ac:dyDescent="0.25">
      <c r="A509" s="2476"/>
      <c r="B509" s="2476"/>
      <c r="C509" s="2476"/>
      <c r="D509" s="2476"/>
      <c r="E509" s="2476"/>
      <c r="F509" s="2476"/>
      <c r="G509" s="2476"/>
      <c r="H509" s="2476"/>
      <c r="I509" s="2476"/>
      <c r="J509" s="2476"/>
      <c r="K509" s="2137" t="str">
        <f>K508</f>
        <v>x</v>
      </c>
    </row>
    <row r="510" spans="1:11" ht="15" customHeight="1" x14ac:dyDescent="0.25">
      <c r="A510" s="2476"/>
      <c r="B510" s="2476"/>
      <c r="C510" s="2476"/>
      <c r="D510" s="2476"/>
      <c r="E510" s="2476"/>
      <c r="F510" s="2476"/>
      <c r="G510" s="2476"/>
      <c r="H510" s="2476"/>
      <c r="I510" s="2476"/>
      <c r="J510" s="2476"/>
      <c r="K510" s="2137" t="str">
        <f>K509</f>
        <v>x</v>
      </c>
    </row>
    <row r="511" spans="1:11" ht="15" customHeight="1" x14ac:dyDescent="0.25">
      <c r="A511" s="2476" t="str">
        <f>A440</f>
        <v xml:space="preserve">                A camada semirredutora está abaixo do permitido (2,3 mm Al @ 80 kVp). Deve ser acrescentada filtração ao feixe primário.</v>
      </c>
      <c r="B511" s="2476"/>
      <c r="C511" s="2476"/>
      <c r="D511" s="2476"/>
      <c r="E511" s="2476"/>
      <c r="F511" s="2476"/>
      <c r="G511" s="2476"/>
      <c r="H511" s="2476"/>
      <c r="I511" s="2476"/>
      <c r="J511" s="2476"/>
      <c r="K511" s="2137" t="str">
        <f ca="1">IF(ISERR(J244),"x",IF(OR(J244="Não",J244="Restrição"),"","x"))</f>
        <v>x</v>
      </c>
    </row>
    <row r="512" spans="1:11" ht="15" customHeight="1" x14ac:dyDescent="0.25">
      <c r="A512" s="2476"/>
      <c r="B512" s="2476"/>
      <c r="C512" s="2476"/>
      <c r="D512" s="2476"/>
      <c r="E512" s="2476"/>
      <c r="F512" s="2476"/>
      <c r="G512" s="2476"/>
      <c r="H512" s="2476"/>
      <c r="I512" s="2476"/>
      <c r="J512" s="2476"/>
      <c r="K512" s="2137" t="str">
        <f ca="1">K511</f>
        <v>x</v>
      </c>
    </row>
    <row r="513" spans="1:11" ht="15" customHeight="1" x14ac:dyDescent="0.25">
      <c r="A513" s="2476" t="s">
        <v>435</v>
      </c>
      <c r="B513" s="2476"/>
      <c r="C513" s="2476"/>
      <c r="D513" s="2476"/>
      <c r="E513" s="2476"/>
      <c r="F513" s="2476"/>
      <c r="G513" s="2476"/>
      <c r="H513" s="2476"/>
      <c r="I513" s="2476"/>
      <c r="J513" s="2476"/>
      <c r="K513" s="2137" t="str">
        <f ca="1">IFERROR(IF(OR(J246="Não",J246="Restrição"),"","x"),"x")</f>
        <v>x</v>
      </c>
    </row>
    <row r="514" spans="1:11" ht="15" customHeight="1" x14ac:dyDescent="0.25">
      <c r="A514" s="2476"/>
      <c r="B514" s="2476"/>
      <c r="C514" s="2476"/>
      <c r="D514" s="2476"/>
      <c r="E514" s="2476"/>
      <c r="F514" s="2476"/>
      <c r="G514" s="2476"/>
      <c r="H514" s="2476"/>
      <c r="I514" s="2476"/>
      <c r="J514" s="2476"/>
      <c r="K514" s="2137" t="str">
        <f ca="1">K513</f>
        <v>x</v>
      </c>
    </row>
    <row r="515" spans="1:11" ht="15" customHeight="1" x14ac:dyDescent="0.25">
      <c r="A515" s="2476" t="s">
        <v>437</v>
      </c>
      <c r="B515" s="2476"/>
      <c r="C515" s="2476"/>
      <c r="D515" s="2476"/>
      <c r="E515" s="2476"/>
      <c r="F515" s="2476"/>
      <c r="G515" s="2476"/>
      <c r="H515" s="2476"/>
      <c r="I515" s="2476"/>
      <c r="J515" s="2476"/>
      <c r="K515" s="2137" t="str">
        <f>IF(OR(J248="Não",J248="Restrição"),"","x")</f>
        <v>x</v>
      </c>
    </row>
    <row r="516" spans="1:11" ht="15" customHeight="1" x14ac:dyDescent="0.25">
      <c r="A516" s="2476"/>
      <c r="B516" s="2476"/>
      <c r="C516" s="2476"/>
      <c r="D516" s="2476"/>
      <c r="E516" s="2476"/>
      <c r="F516" s="2476"/>
      <c r="G516" s="2476"/>
      <c r="H516" s="2476"/>
      <c r="I516" s="2476"/>
      <c r="J516" s="2476"/>
      <c r="K516" s="2137" t="str">
        <f>K515</f>
        <v>x</v>
      </c>
    </row>
    <row r="517" spans="1:11" ht="15" customHeight="1" x14ac:dyDescent="0.25">
      <c r="A517" s="2476" t="s">
        <v>1417</v>
      </c>
      <c r="B517" s="2476"/>
      <c r="C517" s="2476"/>
      <c r="D517" s="2476"/>
      <c r="E517" s="2476"/>
      <c r="F517" s="2476"/>
      <c r="G517" s="2476"/>
      <c r="H517" s="2476"/>
      <c r="I517" s="2476"/>
      <c r="J517" s="2476"/>
      <c r="K517" s="2137" t="str">
        <f ca="1">IF(OR(J249="Não",J249="Restrição"),"","x")</f>
        <v>x</v>
      </c>
    </row>
    <row r="518" spans="1:11" ht="15" customHeight="1" x14ac:dyDescent="0.25">
      <c r="A518" s="2476"/>
      <c r="B518" s="2476"/>
      <c r="C518" s="2476"/>
      <c r="D518" s="2476"/>
      <c r="E518" s="2476"/>
      <c r="F518" s="2476"/>
      <c r="G518" s="2476"/>
      <c r="H518" s="2476"/>
      <c r="I518" s="2476"/>
      <c r="J518" s="2476"/>
      <c r="K518" s="2137" t="str">
        <f ca="1">K517</f>
        <v>x</v>
      </c>
    </row>
    <row r="519" spans="1:11" ht="15" customHeight="1" x14ac:dyDescent="0.25">
      <c r="A519" s="2476" t="s">
        <v>424</v>
      </c>
      <c r="B519" s="2476"/>
      <c r="C519" s="2476"/>
      <c r="D519" s="2476"/>
      <c r="E519" s="2476"/>
      <c r="F519" s="2476"/>
      <c r="G519" s="2476"/>
      <c r="H519" s="2476"/>
      <c r="I519" s="2476"/>
      <c r="J519" s="2476"/>
      <c r="K519" s="2137" t="str">
        <f>IF(fluor!I133="Não","","x")</f>
        <v>x</v>
      </c>
    </row>
    <row r="520" spans="1:11" ht="15" customHeight="1" x14ac:dyDescent="0.25">
      <c r="A520" s="2476"/>
      <c r="B520" s="2476"/>
      <c r="C520" s="2476"/>
      <c r="D520" s="2476"/>
      <c r="E520" s="2476"/>
      <c r="F520" s="2476"/>
      <c r="G520" s="2476"/>
      <c r="H520" s="2476"/>
      <c r="I520" s="2476"/>
      <c r="J520" s="2476"/>
      <c r="K520" s="2137" t="str">
        <f>K519</f>
        <v>x</v>
      </c>
    </row>
    <row r="521" spans="1:11" ht="15" customHeight="1" x14ac:dyDescent="0.25">
      <c r="A521" s="2476" t="s">
        <v>2756</v>
      </c>
      <c r="B521" s="2476"/>
      <c r="C521" s="2476"/>
      <c r="D521" s="2476"/>
      <c r="E521" s="2476"/>
      <c r="F521" s="2476"/>
      <c r="G521" s="2476"/>
      <c r="H521" s="2476"/>
      <c r="I521" s="2476"/>
      <c r="J521" s="2476"/>
      <c r="K521" s="2137" t="str">
        <f>IF(L250=0,"x","")</f>
        <v/>
      </c>
    </row>
    <row r="522" spans="1:11" ht="15" customHeight="1" x14ac:dyDescent="0.25">
      <c r="A522" s="2476"/>
      <c r="B522" s="2476"/>
      <c r="C522" s="2476"/>
      <c r="D522" s="2476"/>
      <c r="E522" s="2476"/>
      <c r="F522" s="2476"/>
      <c r="G522" s="2476"/>
      <c r="H522" s="2476"/>
      <c r="I522" s="2476"/>
      <c r="J522" s="2476"/>
      <c r="K522" s="2137" t="str">
        <f>K521</f>
        <v/>
      </c>
    </row>
    <row r="523" spans="1:11" ht="15" customHeight="1" x14ac:dyDescent="0.25">
      <c r="A523" s="2476" t="s">
        <v>438</v>
      </c>
      <c r="B523" s="2476"/>
      <c r="C523" s="2476"/>
      <c r="D523" s="2476"/>
      <c r="E523" s="2476"/>
      <c r="F523" s="2476"/>
      <c r="G523" s="2476"/>
      <c r="H523" s="2476"/>
      <c r="I523" s="2476"/>
      <c r="J523" s="2476"/>
      <c r="K523" s="2137" t="str">
        <f ca="1">IF(L256=0,"x","")</f>
        <v>x</v>
      </c>
    </row>
    <row r="524" spans="1:11" ht="15" customHeight="1" x14ac:dyDescent="0.25">
      <c r="A524" s="2476"/>
      <c r="B524" s="2476"/>
      <c r="C524" s="2476"/>
      <c r="D524" s="2476"/>
      <c r="E524" s="2476"/>
      <c r="F524" s="2476"/>
      <c r="G524" s="2476"/>
      <c r="H524" s="2476"/>
      <c r="I524" s="2476"/>
      <c r="J524" s="2476"/>
      <c r="K524" s="2137" t="str">
        <f ca="1">K523</f>
        <v>x</v>
      </c>
    </row>
    <row r="525" spans="1:11" ht="15" customHeight="1" x14ac:dyDescent="0.25">
      <c r="A525" s="2476" t="s">
        <v>1405</v>
      </c>
      <c r="B525" s="2476"/>
      <c r="C525" s="2476"/>
      <c r="D525" s="2476"/>
      <c r="E525" s="2476"/>
      <c r="F525" s="2476"/>
      <c r="G525" s="2476"/>
      <c r="H525" s="2476"/>
      <c r="I525" s="2476"/>
      <c r="J525" s="2476"/>
      <c r="K525" s="2137" t="str">
        <f ca="1">IFERROR(IF(OR(J280="Não",J280="Restrição",J288="Não",J288="Restrição"),"","x"),"x")</f>
        <v>x</v>
      </c>
    </row>
    <row r="526" spans="1:11" ht="15" customHeight="1" x14ac:dyDescent="0.25">
      <c r="A526" s="2476"/>
      <c r="B526" s="2476"/>
      <c r="C526" s="2476"/>
      <c r="D526" s="2476"/>
      <c r="E526" s="2476"/>
      <c r="F526" s="2476"/>
      <c r="G526" s="2476"/>
      <c r="H526" s="2476"/>
      <c r="I526" s="2476"/>
      <c r="J526" s="2476"/>
      <c r="K526" s="2137" t="str">
        <f ca="1">K525</f>
        <v>x</v>
      </c>
    </row>
    <row r="527" spans="1:11" ht="15" customHeight="1" x14ac:dyDescent="0.25">
      <c r="A527" s="2476" t="str">
        <f>"                O equipamento deve possuir sistema para impedir que a distância foco-pele seja inferior a "&amp;IF(Cabeçalho!G24="Fixo",30,20)&amp;" cm."</f>
        <v xml:space="preserve">                O equipamento deve possuir sistema para impedir que a distância foco-pele seja inferior a 20 cm.</v>
      </c>
      <c r="B527" s="2476"/>
      <c r="C527" s="2476"/>
      <c r="D527" s="2476"/>
      <c r="E527" s="2476"/>
      <c r="F527" s="2476"/>
      <c r="G527" s="2476"/>
      <c r="H527" s="2476"/>
      <c r="I527" s="2476"/>
      <c r="J527" s="2476"/>
      <c r="K527" s="2137" t="str">
        <f>IF(OR(K289="x",J289="Sim"),"x","")</f>
        <v>x</v>
      </c>
    </row>
    <row r="528" spans="1:11" ht="15" customHeight="1" x14ac:dyDescent="0.25">
      <c r="A528" s="2476"/>
      <c r="B528" s="2476"/>
      <c r="C528" s="2476"/>
      <c r="D528" s="2476"/>
      <c r="E528" s="2476"/>
      <c r="F528" s="2476"/>
      <c r="G528" s="2476"/>
      <c r="H528" s="2476"/>
      <c r="I528" s="2476"/>
      <c r="J528" s="2476"/>
      <c r="K528" s="2137" t="str">
        <f>K527</f>
        <v>x</v>
      </c>
    </row>
    <row r="529" spans="1:11" ht="15" customHeight="1" x14ac:dyDescent="0.25">
      <c r="A529" s="2476" t="str">
        <f>"                Para os demais itens o equipamento atende os requisitos da Instrução Normativa "&amp;VLOOKUP("Fluoroscopia",IN_ANVISA[],2)&amp;"/"&amp;VLOOKUP("Fluoroscopia",IN_ANVISA[],3)&amp;" da ANVISA."</f>
        <v xml:space="preserve">                Para os demais itens o equipamento atende os requisitos da Instrução Normativa 91/2021 da ANVISA.</v>
      </c>
      <c r="B529" s="2476"/>
      <c r="C529" s="2476"/>
      <c r="D529" s="2476"/>
      <c r="E529" s="2476"/>
      <c r="F529" s="2476"/>
      <c r="G529" s="2476"/>
      <c r="H529" s="2476"/>
      <c r="I529" s="2476"/>
      <c r="J529" s="2476"/>
      <c r="K529" s="2137" t="str">
        <f ca="1">IF((COUNTIF(K488:K528,"")+COUNTIF(K405:K419,""))&gt;0,"","x")</f>
        <v/>
      </c>
    </row>
    <row r="530" spans="1:11" ht="15" customHeight="1" x14ac:dyDescent="0.25">
      <c r="A530" s="2476"/>
      <c r="B530" s="2476"/>
      <c r="C530" s="2476"/>
      <c r="D530" s="2476"/>
      <c r="E530" s="2476"/>
      <c r="F530" s="2476"/>
      <c r="G530" s="2476"/>
      <c r="H530" s="2476"/>
      <c r="I530" s="2476"/>
      <c r="J530" s="2476"/>
      <c r="K530" s="2137" t="str">
        <f ca="1">K529</f>
        <v/>
      </c>
    </row>
    <row r="531" spans="1:11" ht="15" customHeight="1" x14ac:dyDescent="0.25">
      <c r="A531" s="2476" t="str">
        <f>"                Para os itens testados o equipamento atende os requisitos da Instrução Normativa "&amp;VLOOKUP("Fluoroscopia",IN_ANVISA[],2)&amp;"/"&amp;VLOOKUP("Fluoroscopia",IN_ANVISA[],3)&amp;" da ANVISA."</f>
        <v xml:space="preserve">                Para os itens testados o equipamento atende os requisitos da Instrução Normativa 91/2021 da ANVISA.</v>
      </c>
      <c r="B531" s="2476"/>
      <c r="C531" s="2476"/>
      <c r="D531" s="2476"/>
      <c r="E531" s="2476"/>
      <c r="F531" s="2476"/>
      <c r="G531" s="2476"/>
      <c r="H531" s="2476"/>
      <c r="I531" s="2476"/>
      <c r="J531" s="2476"/>
      <c r="K531" s="2137" t="str">
        <f ca="1">IF(K529="x","","x")</f>
        <v>x</v>
      </c>
    </row>
    <row r="532" spans="1:11" ht="15" customHeight="1" x14ac:dyDescent="0.25">
      <c r="A532" s="2476"/>
      <c r="B532" s="2476"/>
      <c r="C532" s="2476"/>
      <c r="D532" s="2476"/>
      <c r="E532" s="2476"/>
      <c r="F532" s="2476"/>
      <c r="G532" s="2476"/>
      <c r="H532" s="2476"/>
      <c r="I532" s="2476"/>
      <c r="J532" s="2476"/>
      <c r="K532" s="2137" t="str">
        <f ca="1">K531</f>
        <v>x</v>
      </c>
    </row>
    <row r="533" spans="1:11" ht="15" customHeight="1" x14ac:dyDescent="0.25">
      <c r="A533" s="2476" t="str">
        <f>"                O equipamento atende os requisitos da Instrução Normativa "&amp;VLOOKUP("Fluoroscopia",IN_ANVISA[],2)&amp;"/"&amp;VLOOKUP("Fluoroscopia",IN_ANVISA[],3)&amp;" da ANVISA."</f>
        <v xml:space="preserve">                O equipamento atende os requisitos da Instrução Normativa 91/2021 da ANVISA.</v>
      </c>
      <c r="B533" s="2476"/>
      <c r="C533" s="2476"/>
      <c r="D533" s="2476"/>
      <c r="E533" s="2476"/>
      <c r="F533" s="2476"/>
      <c r="G533" s="2476"/>
      <c r="H533" s="2476"/>
      <c r="I533" s="2476"/>
      <c r="J533" s="2476"/>
      <c r="K533" s="2137" t="s">
        <v>649</v>
      </c>
    </row>
    <row r="534" spans="1:11" ht="15" customHeight="1" x14ac:dyDescent="0.25">
      <c r="A534" s="2476"/>
      <c r="B534" s="2476"/>
      <c r="C534" s="2476"/>
      <c r="D534" s="2476"/>
      <c r="E534" s="2476"/>
      <c r="F534" s="2476"/>
      <c r="G534" s="2476"/>
      <c r="H534" s="2476"/>
      <c r="I534" s="2476"/>
      <c r="J534" s="2476"/>
      <c r="K534" s="2137" t="str">
        <f>K533</f>
        <v>x</v>
      </c>
    </row>
    <row r="535" spans="1:11" ht="15" customHeight="1" x14ac:dyDescent="0.25">
      <c r="A535" s="2608"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535" s="2608"/>
      <c r="C535" s="2608"/>
      <c r="D535" s="2608"/>
      <c r="E535" s="2608"/>
      <c r="F535" s="2608"/>
      <c r="G535" s="2608"/>
      <c r="H535" s="2608"/>
      <c r="I535" s="2608"/>
      <c r="J535" s="2608"/>
      <c r="K535" s="2137" t="str">
        <f ca="1">IF(SUM(M80,M121,L143,L150,L181,L187,M191,M215,N228,L243)&gt;0,"","x")</f>
        <v>x</v>
      </c>
    </row>
    <row r="536" spans="1:11" ht="15" customHeight="1" x14ac:dyDescent="0.25">
      <c r="A536" s="2608"/>
      <c r="B536" s="2608"/>
      <c r="C536" s="2608"/>
      <c r="D536" s="2608"/>
      <c r="E536" s="2608"/>
      <c r="F536" s="2608"/>
      <c r="G536" s="2608"/>
      <c r="H536" s="2608"/>
      <c r="I536" s="2608"/>
      <c r="J536" s="2608"/>
      <c r="K536" s="2137" t="str">
        <f ca="1">K535</f>
        <v>x</v>
      </c>
    </row>
    <row r="537" spans="1:11" ht="15" customHeight="1" x14ac:dyDescent="0.25">
      <c r="A537" s="2608"/>
      <c r="B537" s="2608"/>
      <c r="C537" s="2608"/>
      <c r="D537" s="2608"/>
      <c r="E537" s="2608"/>
      <c r="F537" s="2608"/>
      <c r="G537" s="2608"/>
      <c r="H537" s="2608"/>
      <c r="I537" s="2608"/>
      <c r="J537" s="2608"/>
      <c r="K537" s="2137" t="str">
        <f ca="1">K536</f>
        <v>x</v>
      </c>
    </row>
    <row r="538" spans="1:11" ht="15" customHeight="1" x14ac:dyDescent="0.25">
      <c r="A538" s="2608"/>
      <c r="B538" s="2608"/>
      <c r="C538" s="2608"/>
      <c r="D538" s="2608"/>
      <c r="E538" s="2608"/>
      <c r="F538" s="2608"/>
      <c r="G538" s="2608"/>
      <c r="H538" s="2608"/>
      <c r="I538" s="2608"/>
      <c r="J538" s="2608"/>
      <c r="K538" s="2137" t="str">
        <f ca="1">K537</f>
        <v>x</v>
      </c>
    </row>
    <row r="539" spans="1:11" ht="15" customHeight="1" x14ac:dyDescent="0.25">
      <c r="A539" s="2608"/>
      <c r="B539" s="2608"/>
      <c r="C539" s="2608"/>
      <c r="D539" s="2608"/>
      <c r="E539" s="2608"/>
      <c r="F539" s="2608"/>
      <c r="G539" s="2608"/>
      <c r="H539" s="2608"/>
      <c r="I539" s="2608"/>
      <c r="J539" s="2608"/>
      <c r="K539" s="2137" t="str">
        <f ca="1">K538</f>
        <v>x</v>
      </c>
    </row>
    <row r="540" spans="1:11" ht="15" customHeight="1" x14ac:dyDescent="0.25">
      <c r="A540" s="2608"/>
      <c r="B540" s="2608"/>
      <c r="C540" s="2608"/>
      <c r="D540" s="2608"/>
      <c r="E540" s="2608"/>
      <c r="F540" s="2608"/>
      <c r="G540" s="2608"/>
      <c r="H540" s="2608"/>
      <c r="I540" s="2608"/>
      <c r="J540" s="2608"/>
      <c r="K540" s="2137" t="str">
        <f ca="1">K539</f>
        <v>x</v>
      </c>
    </row>
    <row r="541" spans="1:11" ht="15" customHeight="1" x14ac:dyDescent="0.25">
      <c r="A541" s="2134"/>
      <c r="B541" s="2134"/>
      <c r="C541" s="2134"/>
      <c r="D541" s="2134"/>
      <c r="E541" s="2134"/>
      <c r="F541" s="2134"/>
      <c r="G541" s="2134"/>
      <c r="H541" s="2134"/>
      <c r="I541" s="2134"/>
      <c r="J541" s="2134"/>
    </row>
  </sheetData>
  <sheetProtection selectLockedCells="1" autoFilter="0"/>
  <autoFilter ref="K1:K569"/>
  <mergeCells count="539">
    <mergeCell ref="A367:E367"/>
    <mergeCell ref="F367:G367"/>
    <mergeCell ref="I367:J367"/>
    <mergeCell ref="F371:G371"/>
    <mergeCell ref="I371:J371"/>
    <mergeCell ref="A370:E370"/>
    <mergeCell ref="F370:G370"/>
    <mergeCell ref="I370:J370"/>
    <mergeCell ref="A369:J369"/>
    <mergeCell ref="F360:G360"/>
    <mergeCell ref="I360:J360"/>
    <mergeCell ref="A361:E361"/>
    <mergeCell ref="F361:G361"/>
    <mergeCell ref="I361:J361"/>
    <mergeCell ref="A365:E365"/>
    <mergeCell ref="F365:G365"/>
    <mergeCell ref="I365:J365"/>
    <mergeCell ref="A366:E366"/>
    <mergeCell ref="F366:G366"/>
    <mergeCell ref="I366:J366"/>
    <mergeCell ref="A362:E362"/>
    <mergeCell ref="F362:G362"/>
    <mergeCell ref="I362:J362"/>
    <mergeCell ref="A363:E363"/>
    <mergeCell ref="F363:G363"/>
    <mergeCell ref="I363:J363"/>
    <mergeCell ref="A364:E364"/>
    <mergeCell ref="F364:G364"/>
    <mergeCell ref="I364:J364"/>
    <mergeCell ref="H283:I283"/>
    <mergeCell ref="H284:I284"/>
    <mergeCell ref="H285:I285"/>
    <mergeCell ref="A351:E351"/>
    <mergeCell ref="F351:G351"/>
    <mergeCell ref="I351:J351"/>
    <mergeCell ref="A352:E352"/>
    <mergeCell ref="F352:G352"/>
    <mergeCell ref="I352:J352"/>
    <mergeCell ref="A346:E346"/>
    <mergeCell ref="F346:G346"/>
    <mergeCell ref="I346:J346"/>
    <mergeCell ref="A350:E350"/>
    <mergeCell ref="F350:G350"/>
    <mergeCell ref="I350:J350"/>
    <mergeCell ref="A345:J345"/>
    <mergeCell ref="A347:E347"/>
    <mergeCell ref="A348:E348"/>
    <mergeCell ref="A349:E349"/>
    <mergeCell ref="F347:G347"/>
    <mergeCell ref="F348:G348"/>
    <mergeCell ref="F349:G349"/>
    <mergeCell ref="I348:J348"/>
    <mergeCell ref="E287:F287"/>
    <mergeCell ref="H278:I278"/>
    <mergeCell ref="H279:I279"/>
    <mergeCell ref="H280:I280"/>
    <mergeCell ref="H290:I290"/>
    <mergeCell ref="C192:J192"/>
    <mergeCell ref="C200:J200"/>
    <mergeCell ref="C213:J213"/>
    <mergeCell ref="C229:J229"/>
    <mergeCell ref="A224:J224"/>
    <mergeCell ref="A240:J240"/>
    <mergeCell ref="E250:F255"/>
    <mergeCell ref="G250:G255"/>
    <mergeCell ref="E256:F261"/>
    <mergeCell ref="G256:G261"/>
    <mergeCell ref="E262:F267"/>
    <mergeCell ref="G262:G267"/>
    <mergeCell ref="E268:F273"/>
    <mergeCell ref="E274:F279"/>
    <mergeCell ref="G268:G273"/>
    <mergeCell ref="G274:G279"/>
    <mergeCell ref="E280:F285"/>
    <mergeCell ref="G280:G285"/>
    <mergeCell ref="H281:I281"/>
    <mergeCell ref="H282:I282"/>
    <mergeCell ref="H264:I264"/>
    <mergeCell ref="H265:I265"/>
    <mergeCell ref="H266:I266"/>
    <mergeCell ref="H267:I267"/>
    <mergeCell ref="H268:I268"/>
    <mergeCell ref="H269:I269"/>
    <mergeCell ref="H270:I270"/>
    <mergeCell ref="H277:I277"/>
    <mergeCell ref="H273:I273"/>
    <mergeCell ref="H274:I274"/>
    <mergeCell ref="H275:I275"/>
    <mergeCell ref="E289:F289"/>
    <mergeCell ref="E290:F290"/>
    <mergeCell ref="H243:I243"/>
    <mergeCell ref="H244:I244"/>
    <mergeCell ref="H245:I245"/>
    <mergeCell ref="H246:I246"/>
    <mergeCell ref="H247:I247"/>
    <mergeCell ref="H248:I248"/>
    <mergeCell ref="H249:I249"/>
    <mergeCell ref="H250:I250"/>
    <mergeCell ref="H251:I251"/>
    <mergeCell ref="H252:I252"/>
    <mergeCell ref="H253:I253"/>
    <mergeCell ref="H254:I254"/>
    <mergeCell ref="H255:I255"/>
    <mergeCell ref="H256:I256"/>
    <mergeCell ref="H257:I257"/>
    <mergeCell ref="H258:I258"/>
    <mergeCell ref="H259:I259"/>
    <mergeCell ref="H260:I260"/>
    <mergeCell ref="H261:I261"/>
    <mergeCell ref="H262:I262"/>
    <mergeCell ref="H276:I276"/>
    <mergeCell ref="H263:I263"/>
    <mergeCell ref="D153:E153"/>
    <mergeCell ref="D154:E154"/>
    <mergeCell ref="A189:J189"/>
    <mergeCell ref="D159:E159"/>
    <mergeCell ref="D160:E160"/>
    <mergeCell ref="D161:E161"/>
    <mergeCell ref="D162:E162"/>
    <mergeCell ref="D163:E163"/>
    <mergeCell ref="D164:E164"/>
    <mergeCell ref="D165:E165"/>
    <mergeCell ref="D166:E166"/>
    <mergeCell ref="D167:E167"/>
    <mergeCell ref="H166:I166"/>
    <mergeCell ref="H167:I167"/>
    <mergeCell ref="H168:I168"/>
    <mergeCell ref="D157:E157"/>
    <mergeCell ref="H157:I157"/>
    <mergeCell ref="H158:I158"/>
    <mergeCell ref="H159:I159"/>
    <mergeCell ref="H160:I160"/>
    <mergeCell ref="H161:I161"/>
    <mergeCell ref="H162:I162"/>
    <mergeCell ref="H163:I163"/>
    <mergeCell ref="H164:I164"/>
    <mergeCell ref="A262:B267"/>
    <mergeCell ref="A268:B273"/>
    <mergeCell ref="A274:B279"/>
    <mergeCell ref="D168:E168"/>
    <mergeCell ref="A249:D249"/>
    <mergeCell ref="A248:D248"/>
    <mergeCell ref="A247:D247"/>
    <mergeCell ref="A246:D246"/>
    <mergeCell ref="A245:D245"/>
    <mergeCell ref="A244:D244"/>
    <mergeCell ref="A243:D243"/>
    <mergeCell ref="E243:F243"/>
    <mergeCell ref="E244:F244"/>
    <mergeCell ref="E245:F245"/>
    <mergeCell ref="E246:F246"/>
    <mergeCell ref="E247:F247"/>
    <mergeCell ref="E248:F248"/>
    <mergeCell ref="E249:F249"/>
    <mergeCell ref="A250:B255"/>
    <mergeCell ref="A207:B207"/>
    <mergeCell ref="A208:B208"/>
    <mergeCell ref="A209:B209"/>
    <mergeCell ref="A203:B203"/>
    <mergeCell ref="C256:D256"/>
    <mergeCell ref="A531:J532"/>
    <mergeCell ref="A225:I225"/>
    <mergeCell ref="A298:J298"/>
    <mergeCell ref="A303:J307"/>
    <mergeCell ref="C254:D254"/>
    <mergeCell ref="C255:D255"/>
    <mergeCell ref="A308:J309"/>
    <mergeCell ref="A310:J311"/>
    <mergeCell ref="A312:J313"/>
    <mergeCell ref="A314:J315"/>
    <mergeCell ref="A318:J318"/>
    <mergeCell ref="A319:J319"/>
    <mergeCell ref="A320:J321"/>
    <mergeCell ref="A513:J514"/>
    <mergeCell ref="A515:J516"/>
    <mergeCell ref="A393:J395"/>
    <mergeCell ref="A508:J510"/>
    <mergeCell ref="A525:J526"/>
    <mergeCell ref="A511:J512"/>
    <mergeCell ref="A333:J335"/>
    <mergeCell ref="A519:J520"/>
    <mergeCell ref="A517:J518"/>
    <mergeCell ref="A475:J477"/>
    <mergeCell ref="A256:B261"/>
    <mergeCell ref="A535:J540"/>
    <mergeCell ref="A521:J522"/>
    <mergeCell ref="A523:J524"/>
    <mergeCell ref="A529:J530"/>
    <mergeCell ref="A484:J485"/>
    <mergeCell ref="A421:C421"/>
    <mergeCell ref="A458:J459"/>
    <mergeCell ref="A460:J461"/>
    <mergeCell ref="A462:J463"/>
    <mergeCell ref="A464:J465"/>
    <mergeCell ref="A466:J468"/>
    <mergeCell ref="A472:J474"/>
    <mergeCell ref="A478:J479"/>
    <mergeCell ref="A480:J481"/>
    <mergeCell ref="A482:J483"/>
    <mergeCell ref="A429:J431"/>
    <mergeCell ref="A533:J534"/>
    <mergeCell ref="A425:J426"/>
    <mergeCell ref="A434:J436"/>
    <mergeCell ref="A495:J496"/>
    <mergeCell ref="A497:J498"/>
    <mergeCell ref="A453:J454"/>
    <mergeCell ref="A437:J439"/>
    <mergeCell ref="A501:J502"/>
    <mergeCell ref="A396:J397"/>
    <mergeCell ref="A398:J400"/>
    <mergeCell ref="A402:I402"/>
    <mergeCell ref="A417:J418"/>
    <mergeCell ref="A442:J443"/>
    <mergeCell ref="A444:J445"/>
    <mergeCell ref="A451:J452"/>
    <mergeCell ref="A469:J471"/>
    <mergeCell ref="A487:C487"/>
    <mergeCell ref="A432:J433"/>
    <mergeCell ref="A440:J441"/>
    <mergeCell ref="A407:J409"/>
    <mergeCell ref="A499:J500"/>
    <mergeCell ref="A446:J447"/>
    <mergeCell ref="A448:J450"/>
    <mergeCell ref="C258:D258"/>
    <mergeCell ref="C266:D266"/>
    <mergeCell ref="C260:D260"/>
    <mergeCell ref="C275:D275"/>
    <mergeCell ref="C276:D276"/>
    <mergeCell ref="C278:D278"/>
    <mergeCell ref="A427:J428"/>
    <mergeCell ref="A412:J416"/>
    <mergeCell ref="A294:J295"/>
    <mergeCell ref="A401:J401"/>
    <mergeCell ref="A322:J323"/>
    <mergeCell ref="A405:J406"/>
    <mergeCell ref="A422:J424"/>
    <mergeCell ref="A419:J419"/>
    <mergeCell ref="A324:J325"/>
    <mergeCell ref="C268:D268"/>
    <mergeCell ref="C269:D269"/>
    <mergeCell ref="C270:D270"/>
    <mergeCell ref="C271:D271"/>
    <mergeCell ref="A488:J490"/>
    <mergeCell ref="A491:J494"/>
    <mergeCell ref="A76:I76"/>
    <mergeCell ref="A118:I118"/>
    <mergeCell ref="A221:B221"/>
    <mergeCell ref="A222:B222"/>
    <mergeCell ref="C231:F231"/>
    <mergeCell ref="G231:J231"/>
    <mergeCell ref="A231:B232"/>
    <mergeCell ref="A233:B233"/>
    <mergeCell ref="A234:B234"/>
    <mergeCell ref="D158:E158"/>
    <mergeCell ref="F150:G150"/>
    <mergeCell ref="D150:E150"/>
    <mergeCell ref="A150:C150"/>
    <mergeCell ref="D151:E151"/>
    <mergeCell ref="F168:G168"/>
    <mergeCell ref="F151:G151"/>
    <mergeCell ref="F152:G152"/>
    <mergeCell ref="F155:G155"/>
    <mergeCell ref="F156:G156"/>
    <mergeCell ref="F157:G157"/>
    <mergeCell ref="F158:G158"/>
    <mergeCell ref="F159:G159"/>
    <mergeCell ref="F160:G160"/>
    <mergeCell ref="F161:G161"/>
    <mergeCell ref="A75:F75"/>
    <mergeCell ref="H71:J71"/>
    <mergeCell ref="H65:J65"/>
    <mergeCell ref="H66:J66"/>
    <mergeCell ref="H67:J67"/>
    <mergeCell ref="H75:J75"/>
    <mergeCell ref="A68:F68"/>
    <mergeCell ref="A69:F69"/>
    <mergeCell ref="H68:J68"/>
    <mergeCell ref="H69:J69"/>
    <mergeCell ref="A70:F70"/>
    <mergeCell ref="A72:F72"/>
    <mergeCell ref="H72:J72"/>
    <mergeCell ref="E47:I47"/>
    <mergeCell ref="A49:D49"/>
    <mergeCell ref="E49:J49"/>
    <mergeCell ref="A65:F65"/>
    <mergeCell ref="H74:J74"/>
    <mergeCell ref="A39:J40"/>
    <mergeCell ref="G43:H43"/>
    <mergeCell ref="I43:J43"/>
    <mergeCell ref="A44:C45"/>
    <mergeCell ref="D44:F45"/>
    <mergeCell ref="A43:C43"/>
    <mergeCell ref="D43:F43"/>
    <mergeCell ref="H70:J70"/>
    <mergeCell ref="A73:F73"/>
    <mergeCell ref="H73:J73"/>
    <mergeCell ref="A47:D47"/>
    <mergeCell ref="A66:F66"/>
    <mergeCell ref="A67:F67"/>
    <mergeCell ref="A71:F71"/>
    <mergeCell ref="G44:H45"/>
    <mergeCell ref="I44:J45"/>
    <mergeCell ref="A53:D53"/>
    <mergeCell ref="A54:D54"/>
    <mergeCell ref="A55:D55"/>
    <mergeCell ref="A1:D1"/>
    <mergeCell ref="E1:H1"/>
    <mergeCell ref="C17:J17"/>
    <mergeCell ref="C12:J13"/>
    <mergeCell ref="A34:J36"/>
    <mergeCell ref="A37:J38"/>
    <mergeCell ref="A3:I3"/>
    <mergeCell ref="A5:I5"/>
    <mergeCell ref="C9:J10"/>
    <mergeCell ref="A26:J27"/>
    <mergeCell ref="A30:J31"/>
    <mergeCell ref="A28:J29"/>
    <mergeCell ref="A23:C23"/>
    <mergeCell ref="D23:F23"/>
    <mergeCell ref="G23:J23"/>
    <mergeCell ref="A134:I134"/>
    <mergeCell ref="A219:B219"/>
    <mergeCell ref="A220:B220"/>
    <mergeCell ref="A74:F74"/>
    <mergeCell ref="A169:J169"/>
    <mergeCell ref="A183:B183"/>
    <mergeCell ref="A215:G215"/>
    <mergeCell ref="A204:B204"/>
    <mergeCell ref="A205:B205"/>
    <mergeCell ref="A135:J135"/>
    <mergeCell ref="A177:B177"/>
    <mergeCell ref="A216:B216"/>
    <mergeCell ref="A217:B217"/>
    <mergeCell ref="A218:B218"/>
    <mergeCell ref="A206:B206"/>
    <mergeCell ref="A194:G194"/>
    <mergeCell ref="A195:B195"/>
    <mergeCell ref="H151:I151"/>
    <mergeCell ref="H150:I150"/>
    <mergeCell ref="H152:I152"/>
    <mergeCell ref="H153:I153"/>
    <mergeCell ref="H154:I154"/>
    <mergeCell ref="H155:I155"/>
    <mergeCell ref="H156:I156"/>
    <mergeCell ref="A527:J528"/>
    <mergeCell ref="A296:J297"/>
    <mergeCell ref="A410:J411"/>
    <mergeCell ref="C251:D251"/>
    <mergeCell ref="C252:D252"/>
    <mergeCell ref="A505:J507"/>
    <mergeCell ref="A455:J457"/>
    <mergeCell ref="A503:J504"/>
    <mergeCell ref="C263:D263"/>
    <mergeCell ref="C264:D264"/>
    <mergeCell ref="C265:D265"/>
    <mergeCell ref="A326:J328"/>
    <mergeCell ref="A329:J332"/>
    <mergeCell ref="C281:D281"/>
    <mergeCell ref="C282:D282"/>
    <mergeCell ref="C283:D283"/>
    <mergeCell ref="C284:D284"/>
    <mergeCell ref="C285:D285"/>
    <mergeCell ref="C280:D280"/>
    <mergeCell ref="A316:J317"/>
    <mergeCell ref="A301:J302"/>
    <mergeCell ref="A280:B285"/>
    <mergeCell ref="A286:D286"/>
    <mergeCell ref="A287:D287"/>
    <mergeCell ref="C250:D250"/>
    <mergeCell ref="A223:I223"/>
    <mergeCell ref="A236:B236"/>
    <mergeCell ref="A237:B237"/>
    <mergeCell ref="A238:B238"/>
    <mergeCell ref="A235:B235"/>
    <mergeCell ref="C253:D253"/>
    <mergeCell ref="F162:G162"/>
    <mergeCell ref="F163:G163"/>
    <mergeCell ref="F164:G164"/>
    <mergeCell ref="F165:G165"/>
    <mergeCell ref="F166:G166"/>
    <mergeCell ref="F167:G167"/>
    <mergeCell ref="A197:B197"/>
    <mergeCell ref="H165:I165"/>
    <mergeCell ref="D152:E152"/>
    <mergeCell ref="D155:E155"/>
    <mergeCell ref="D156:E156"/>
    <mergeCell ref="E286:F286"/>
    <mergeCell ref="C267:D267"/>
    <mergeCell ref="C257:D257"/>
    <mergeCell ref="F375:G375"/>
    <mergeCell ref="I375:J375"/>
    <mergeCell ref="I347:J347"/>
    <mergeCell ref="C279:D279"/>
    <mergeCell ref="C277:D277"/>
    <mergeCell ref="C272:D272"/>
    <mergeCell ref="C273:D273"/>
    <mergeCell ref="C274:D274"/>
    <mergeCell ref="C262:D262"/>
    <mergeCell ref="C261:D261"/>
    <mergeCell ref="C259:D259"/>
    <mergeCell ref="A338:J342"/>
    <mergeCell ref="H271:I271"/>
    <mergeCell ref="H286:I286"/>
    <mergeCell ref="H287:I287"/>
    <mergeCell ref="H288:I288"/>
    <mergeCell ref="H289:I289"/>
    <mergeCell ref="H272:I272"/>
    <mergeCell ref="F373:G373"/>
    <mergeCell ref="I373:J373"/>
    <mergeCell ref="F374:G374"/>
    <mergeCell ref="I374:J374"/>
    <mergeCell ref="I349:J349"/>
    <mergeCell ref="A288:D288"/>
    <mergeCell ref="A289:D289"/>
    <mergeCell ref="A290:D290"/>
    <mergeCell ref="A353:E353"/>
    <mergeCell ref="F353:G353"/>
    <mergeCell ref="I353:J353"/>
    <mergeCell ref="A354:E354"/>
    <mergeCell ref="F354:G354"/>
    <mergeCell ref="I354:J354"/>
    <mergeCell ref="A355:E355"/>
    <mergeCell ref="F355:G355"/>
    <mergeCell ref="I355:J355"/>
    <mergeCell ref="F358:G358"/>
    <mergeCell ref="I358:J358"/>
    <mergeCell ref="A359:E359"/>
    <mergeCell ref="F359:G359"/>
    <mergeCell ref="I359:J359"/>
    <mergeCell ref="A360:E360"/>
    <mergeCell ref="E288:F288"/>
    <mergeCell ref="A119:J119"/>
    <mergeCell ref="C138:J138"/>
    <mergeCell ref="A147:J147"/>
    <mergeCell ref="A378:E378"/>
    <mergeCell ref="A379:E379"/>
    <mergeCell ref="A380:E380"/>
    <mergeCell ref="I389:J389"/>
    <mergeCell ref="F386:G386"/>
    <mergeCell ref="I386:J386"/>
    <mergeCell ref="F387:G387"/>
    <mergeCell ref="I387:J387"/>
    <mergeCell ref="F388:G388"/>
    <mergeCell ref="I388:J388"/>
    <mergeCell ref="F383:G383"/>
    <mergeCell ref="I383:J383"/>
    <mergeCell ref="F384:G384"/>
    <mergeCell ref="I384:J384"/>
    <mergeCell ref="F385:G385"/>
    <mergeCell ref="I385:J385"/>
    <mergeCell ref="I380:J380"/>
    <mergeCell ref="F381:G381"/>
    <mergeCell ref="I381:J381"/>
    <mergeCell ref="F382:G382"/>
    <mergeCell ref="A386:E386"/>
    <mergeCell ref="M347:Q347"/>
    <mergeCell ref="M348:P348"/>
    <mergeCell ref="M349:P349"/>
    <mergeCell ref="M350:P350"/>
    <mergeCell ref="M351:P351"/>
    <mergeCell ref="M352:P352"/>
    <mergeCell ref="M353:P353"/>
    <mergeCell ref="M354:P354"/>
    <mergeCell ref="M355:P355"/>
    <mergeCell ref="M356:P356"/>
    <mergeCell ref="M357:P357"/>
    <mergeCell ref="M358:P358"/>
    <mergeCell ref="M359:P359"/>
    <mergeCell ref="M360:P360"/>
    <mergeCell ref="M361:P361"/>
    <mergeCell ref="M362:P362"/>
    <mergeCell ref="M363:P363"/>
    <mergeCell ref="M364:P364"/>
    <mergeCell ref="A387:E387"/>
    <mergeCell ref="A388:E388"/>
    <mergeCell ref="A389:E389"/>
    <mergeCell ref="M365:P365"/>
    <mergeCell ref="A371:E371"/>
    <mergeCell ref="A372:E372"/>
    <mergeCell ref="A373:E373"/>
    <mergeCell ref="A374:E374"/>
    <mergeCell ref="A375:E375"/>
    <mergeCell ref="A376:E376"/>
    <mergeCell ref="A377:E377"/>
    <mergeCell ref="F389:G389"/>
    <mergeCell ref="F380:G380"/>
    <mergeCell ref="F376:G376"/>
    <mergeCell ref="I382:J382"/>
    <mergeCell ref="F378:G378"/>
    <mergeCell ref="I378:J378"/>
    <mergeCell ref="F379:G379"/>
    <mergeCell ref="I379:J379"/>
    <mergeCell ref="I376:J376"/>
    <mergeCell ref="F377:G377"/>
    <mergeCell ref="I377:J377"/>
    <mergeCell ref="F372:G372"/>
    <mergeCell ref="I372:J372"/>
    <mergeCell ref="E57:I57"/>
    <mergeCell ref="E58:I58"/>
    <mergeCell ref="A60:D60"/>
    <mergeCell ref="E60:I60"/>
    <mergeCell ref="A381:E381"/>
    <mergeCell ref="A382:E382"/>
    <mergeCell ref="A383:E383"/>
    <mergeCell ref="A384:E384"/>
    <mergeCell ref="A385:E385"/>
    <mergeCell ref="A356:E356"/>
    <mergeCell ref="F356:G356"/>
    <mergeCell ref="I356:J356"/>
    <mergeCell ref="A357:E357"/>
    <mergeCell ref="F357:G357"/>
    <mergeCell ref="I357:J357"/>
    <mergeCell ref="A358:E358"/>
    <mergeCell ref="A57:D57"/>
    <mergeCell ref="A58:D58"/>
    <mergeCell ref="A59:D59"/>
    <mergeCell ref="F153:G153"/>
    <mergeCell ref="F154:G154"/>
    <mergeCell ref="A170:J170"/>
    <mergeCell ref="A171:J171"/>
    <mergeCell ref="A196:B196"/>
    <mergeCell ref="A151:C151"/>
    <mergeCell ref="A152:C152"/>
    <mergeCell ref="A153:C153"/>
    <mergeCell ref="A154:C154"/>
    <mergeCell ref="A155:C155"/>
    <mergeCell ref="A156:C156"/>
    <mergeCell ref="A157:C157"/>
    <mergeCell ref="A158:C158"/>
    <mergeCell ref="A159:C159"/>
    <mergeCell ref="A160:C160"/>
    <mergeCell ref="A161:C161"/>
    <mergeCell ref="A162:C162"/>
    <mergeCell ref="A163:C163"/>
    <mergeCell ref="A164:C164"/>
    <mergeCell ref="A165:C165"/>
    <mergeCell ref="A166:C166"/>
    <mergeCell ref="A167:C167"/>
    <mergeCell ref="A168:C168"/>
  </mergeCells>
  <conditionalFormatting sqref="D128:I128">
    <cfRule type="notContainsBlanks" dxfId="1081" priority="475">
      <formula>LEN(TRIM(D128))&gt;0</formula>
    </cfRule>
  </conditionalFormatting>
  <conditionalFormatting sqref="B184:I184">
    <cfRule type="notContainsBlanks" dxfId="1080" priority="403">
      <formula>LEN(TRIM(B184))&gt;0</formula>
    </cfRule>
  </conditionalFormatting>
  <conditionalFormatting sqref="I292">
    <cfRule type="containsText" dxfId="1079" priority="425" operator="containsText" text="não">
      <formula>NOT(ISERROR(SEARCH("não",I292)))</formula>
    </cfRule>
  </conditionalFormatting>
  <conditionalFormatting sqref="B185:I186">
    <cfRule type="notContainsBlanks" dxfId="1078" priority="404">
      <formula>LEN(TRIM(B185))&gt;0</formula>
    </cfRule>
  </conditionalFormatting>
  <conditionalFormatting sqref="H181:I181">
    <cfRule type="cellIs" dxfId="1077" priority="337" operator="equal">
      <formula>"não"</formula>
    </cfRule>
    <cfRule type="notContainsBlanks" dxfId="1076" priority="338">
      <formula>LEN(TRIM(H181))&gt;0</formula>
    </cfRule>
  </conditionalFormatting>
  <conditionalFormatting sqref="B179:I180">
    <cfRule type="notContainsBlanks" dxfId="1075" priority="340">
      <formula>LEN(TRIM(B179))&gt;0</formula>
    </cfRule>
  </conditionalFormatting>
  <conditionalFormatting sqref="B178:I178">
    <cfRule type="notContainsBlanks" dxfId="1074" priority="339">
      <formula>LEN(TRIM(B178))&gt;0</formula>
    </cfRule>
  </conditionalFormatting>
  <conditionalFormatting sqref="H66 J244:J248 J250:J262 J280 J286:J288">
    <cfRule type="cellIs" dxfId="1073" priority="329" operator="equal">
      <formula>"não"</formula>
    </cfRule>
  </conditionalFormatting>
  <conditionalFormatting sqref="H66">
    <cfRule type="containsText" dxfId="1072" priority="328" operator="containsText" text="não">
      <formula>NOT(ISERROR(SEARCH("não",H66)))</formula>
    </cfRule>
  </conditionalFormatting>
  <conditionalFormatting sqref="H67:H70">
    <cfRule type="cellIs" dxfId="1071" priority="327" operator="equal">
      <formula>"não"</formula>
    </cfRule>
  </conditionalFormatting>
  <conditionalFormatting sqref="H75">
    <cfRule type="cellIs" dxfId="1070" priority="324" operator="equal">
      <formula>"≥ 2 m"</formula>
    </cfRule>
    <cfRule type="cellIs" priority="325" operator="equal">
      <formula>"≥ 2 m"</formula>
    </cfRule>
  </conditionalFormatting>
  <conditionalFormatting sqref="H73">
    <cfRule type="cellIs" dxfId="1069" priority="322" operator="equal">
      <formula>"não"</formula>
    </cfRule>
  </conditionalFormatting>
  <conditionalFormatting sqref="B187:I187">
    <cfRule type="cellIs" dxfId="1068" priority="123" operator="equal">
      <formula>"Restrição"</formula>
    </cfRule>
    <cfRule type="cellIs" dxfId="1067" priority="279" operator="equal">
      <formula>"não"</formula>
    </cfRule>
    <cfRule type="notContainsBlanks" dxfId="1066" priority="280">
      <formula>LEN(TRIM(B187))&gt;0</formula>
    </cfRule>
  </conditionalFormatting>
  <conditionalFormatting sqref="I292">
    <cfRule type="cellIs" dxfId="1065" priority="277" operator="equal">
      <formula>"não"</formula>
    </cfRule>
  </conditionalFormatting>
  <conditionalFormatting sqref="H72">
    <cfRule type="cellIs" dxfId="1064" priority="274" operator="equal">
      <formula>"não"</formula>
    </cfRule>
  </conditionalFormatting>
  <conditionalFormatting sqref="C204:H209">
    <cfRule type="cellIs" dxfId="1063" priority="80" operator="equal">
      <formula>"Restrição"</formula>
    </cfRule>
    <cfRule type="containsText" dxfId="1062" priority="255" operator="containsText" text="não">
      <formula>NOT(ISERROR(SEARCH("não",C204)))</formula>
    </cfRule>
  </conditionalFormatting>
  <conditionalFormatting sqref="C204:H209">
    <cfRule type="cellIs" dxfId="1061" priority="254" operator="equal">
      <formula>"não"</formula>
    </cfRule>
  </conditionalFormatting>
  <conditionalFormatting sqref="J233:J238">
    <cfRule type="containsText" dxfId="1060" priority="245" operator="containsText" text="não">
      <formula>NOT(ISERROR(SEARCH("não",J233)))</formula>
    </cfRule>
  </conditionalFormatting>
  <conditionalFormatting sqref="J233:J238">
    <cfRule type="cellIs" dxfId="1059" priority="244" operator="equal">
      <formula>"não"</formula>
    </cfRule>
  </conditionalFormatting>
  <conditionalFormatting sqref="D142:I142 C143:H143 C141:I141">
    <cfRule type="cellIs" dxfId="1058" priority="144" operator="equal">
      <formula>"não"</formula>
    </cfRule>
    <cfRule type="notContainsBlanks" dxfId="1057" priority="145">
      <formula>LEN(TRIM(C141))&gt;0</formula>
    </cfRule>
  </conditionalFormatting>
  <conditionalFormatting sqref="B84:I84">
    <cfRule type="notContainsBlanks" dxfId="1056" priority="195">
      <formula>LEN(TRIM(B84))&gt;0</formula>
    </cfRule>
  </conditionalFormatting>
  <conditionalFormatting sqref="I143">
    <cfRule type="cellIs" dxfId="1055" priority="129" operator="equal">
      <formula>"não"</formula>
    </cfRule>
    <cfRule type="notContainsBlanks" dxfId="1054" priority="130">
      <formula>LEN(TRIM(I143))&gt;0</formula>
    </cfRule>
  </conditionalFormatting>
  <conditionalFormatting sqref="B114:I114">
    <cfRule type="notContainsBlanks" dxfId="1053" priority="189">
      <formula>LEN(TRIM(B114))&gt;0</formula>
    </cfRule>
  </conditionalFormatting>
  <conditionalFormatting sqref="B90:I90">
    <cfRule type="notContainsBlanks" dxfId="1052" priority="193">
      <formula>LEN(TRIM(B90))&gt;0</formula>
    </cfRule>
  </conditionalFormatting>
  <conditionalFormatting sqref="B96:I96">
    <cfRule type="notContainsBlanks" dxfId="1051" priority="192">
      <formula>LEN(TRIM(B96))&gt;0</formula>
    </cfRule>
  </conditionalFormatting>
  <conditionalFormatting sqref="B102:I102">
    <cfRule type="notContainsBlanks" dxfId="1050" priority="191">
      <formula>LEN(TRIM(B102))&gt;0</formula>
    </cfRule>
  </conditionalFormatting>
  <conditionalFormatting sqref="B108:I108">
    <cfRule type="notContainsBlanks" dxfId="1049" priority="190">
      <formula>LEN(TRIM(B108))&gt;0</formula>
    </cfRule>
  </conditionalFormatting>
  <conditionalFormatting sqref="C125:I126">
    <cfRule type="cellIs" dxfId="1048" priority="186" operator="equal">
      <formula>"não"</formula>
    </cfRule>
    <cfRule type="notContainsBlanks" dxfId="1047" priority="187">
      <formula>LEN(TRIM(C125))&gt;0</formula>
    </cfRule>
  </conditionalFormatting>
  <conditionalFormatting sqref="C127:I127">
    <cfRule type="cellIs" dxfId="1046" priority="184" operator="equal">
      <formula>"não"</formula>
    </cfRule>
    <cfRule type="notContainsBlanks" dxfId="1045" priority="185">
      <formula>LEN(TRIM(C127))&gt;0</formula>
    </cfRule>
  </conditionalFormatting>
  <conditionalFormatting sqref="C127:I127 J233:J238 J262 J280 I239 J243:J248 I241:I242 J286:J288">
    <cfRule type="cellIs" dxfId="1044" priority="183" operator="equal">
      <formula>"Restrição"</formula>
    </cfRule>
  </conditionalFormatting>
  <conditionalFormatting sqref="C125:I125">
    <cfRule type="cellIs" dxfId="1043" priority="182" operator="equal">
      <formula>0</formula>
    </cfRule>
  </conditionalFormatting>
  <conditionalFormatting sqref="C130:I131">
    <cfRule type="cellIs" dxfId="1042" priority="180" operator="equal">
      <formula>"não"</formula>
    </cfRule>
    <cfRule type="notContainsBlanks" dxfId="1041" priority="181">
      <formula>LEN(TRIM(C130))&gt;0</formula>
    </cfRule>
  </conditionalFormatting>
  <conditionalFormatting sqref="C132:I132">
    <cfRule type="cellIs" dxfId="1040" priority="178" operator="equal">
      <formula>"não"</formula>
    </cfRule>
    <cfRule type="notContainsBlanks" dxfId="1039" priority="179">
      <formula>LEN(TRIM(C132))&gt;0</formula>
    </cfRule>
  </conditionalFormatting>
  <conditionalFormatting sqref="C132:I132">
    <cfRule type="cellIs" dxfId="1038" priority="177" operator="equal">
      <formula>"Restrição"</formula>
    </cfRule>
  </conditionalFormatting>
  <conditionalFormatting sqref="C130:I130">
    <cfRule type="cellIs" dxfId="1037" priority="176" operator="equal">
      <formula>0</formula>
    </cfRule>
  </conditionalFormatting>
  <conditionalFormatting sqref="I144">
    <cfRule type="cellIs" dxfId="1036" priority="127" operator="equal">
      <formula>"não"</formula>
    </cfRule>
    <cfRule type="notContainsBlanks" dxfId="1035" priority="128">
      <formula>LEN(TRIM(I144))&gt;0</formula>
    </cfRule>
  </conditionalFormatting>
  <conditionalFormatting sqref="I145">
    <cfRule type="cellIs" dxfId="1034" priority="125" operator="equal">
      <formula>"não"</formula>
    </cfRule>
    <cfRule type="notContainsBlanks" dxfId="1033" priority="126">
      <formula>LEN(TRIM(I145))&gt;0</formula>
    </cfRule>
  </conditionalFormatting>
  <conditionalFormatting sqref="I143 I145">
    <cfRule type="cellIs" dxfId="1032" priority="124" operator="equal">
      <formula>"Restrição"</formula>
    </cfRule>
  </conditionalFormatting>
  <conditionalFormatting sqref="C142">
    <cfRule type="cellIs" dxfId="1031" priority="140" operator="equal">
      <formula>"não"</formula>
    </cfRule>
    <cfRule type="notContainsBlanks" dxfId="1030" priority="141">
      <formula>LEN(TRIM(C142))&gt;0</formula>
    </cfRule>
  </conditionalFormatting>
  <conditionalFormatting sqref="C140:I140">
    <cfRule type="cellIs" dxfId="1029" priority="142" operator="equal">
      <formula>"não"</formula>
    </cfRule>
    <cfRule type="notContainsBlanks" dxfId="1028" priority="143">
      <formula>LEN(TRIM(C140))&gt;0</formula>
    </cfRule>
  </conditionalFormatting>
  <conditionalFormatting sqref="D144:G144">
    <cfRule type="cellIs" dxfId="1027" priority="138" operator="equal">
      <formula>"não"</formula>
    </cfRule>
    <cfRule type="notContainsBlanks" dxfId="1026" priority="139">
      <formula>LEN(TRIM(D144))&gt;0</formula>
    </cfRule>
  </conditionalFormatting>
  <conditionalFormatting sqref="C144">
    <cfRule type="cellIs" dxfId="1025" priority="136" operator="equal">
      <formula>"não"</formula>
    </cfRule>
    <cfRule type="notContainsBlanks" dxfId="1024" priority="137">
      <formula>LEN(TRIM(C144))&gt;0</formula>
    </cfRule>
  </conditionalFormatting>
  <conditionalFormatting sqref="H144">
    <cfRule type="cellIs" dxfId="1023" priority="134" operator="equal">
      <formula>"não"</formula>
    </cfRule>
    <cfRule type="notContainsBlanks" dxfId="1022" priority="135">
      <formula>LEN(TRIM(H144))&gt;0</formula>
    </cfRule>
  </conditionalFormatting>
  <conditionalFormatting sqref="C145:H145">
    <cfRule type="cellIs" dxfId="1021" priority="132" operator="equal">
      <formula>"não"</formula>
    </cfRule>
    <cfRule type="notContainsBlanks" dxfId="1020" priority="133">
      <formula>LEN(TRIM(C145))&gt;0</formula>
    </cfRule>
  </conditionalFormatting>
  <conditionalFormatting sqref="C143:H143 C145:H145">
    <cfRule type="cellIs" dxfId="1019" priority="131" operator="equal">
      <formula>"Restrição"</formula>
    </cfRule>
  </conditionalFormatting>
  <conditionalFormatting sqref="B181:G181">
    <cfRule type="cellIs" dxfId="1018" priority="120" operator="equal">
      <formula>"Restrição"</formula>
    </cfRule>
    <cfRule type="cellIs" dxfId="1017" priority="121" operator="equal">
      <formula>"não"</formula>
    </cfRule>
    <cfRule type="notContainsBlanks" dxfId="1016" priority="122">
      <formula>LEN(TRIM(B181))&gt;0</formula>
    </cfRule>
  </conditionalFormatting>
  <conditionalFormatting sqref="J250:J261">
    <cfRule type="cellIs" dxfId="1015" priority="119" operator="equal">
      <formula>"Restrição"</formula>
    </cfRule>
  </conditionalFormatting>
  <conditionalFormatting sqref="F233:F238">
    <cfRule type="containsText" dxfId="1014" priority="118" operator="containsText" text="não">
      <formula>NOT(ISERROR(SEARCH("não",F233)))</formula>
    </cfRule>
  </conditionalFormatting>
  <conditionalFormatting sqref="F233:F238">
    <cfRule type="cellIs" dxfId="1013" priority="117" operator="equal">
      <formula>"não"</formula>
    </cfRule>
  </conditionalFormatting>
  <conditionalFormatting sqref="F233:F238">
    <cfRule type="cellIs" dxfId="1012" priority="116" operator="equal">
      <formula>"Restrição"</formula>
    </cfRule>
  </conditionalFormatting>
  <conditionalFormatting sqref="B85:I85">
    <cfRule type="notContainsBlanks" dxfId="1011" priority="109">
      <formula>LEN(TRIM(B85))&gt;0</formula>
    </cfRule>
  </conditionalFormatting>
  <conditionalFormatting sqref="B87:I87">
    <cfRule type="cellIs" dxfId="1010" priority="107" operator="equal">
      <formula>"não"</formula>
    </cfRule>
    <cfRule type="notContainsBlanks" dxfId="1009" priority="108">
      <formula>LEN(TRIM(B87))&gt;0</formula>
    </cfRule>
  </conditionalFormatting>
  <conditionalFormatting sqref="B87:I87">
    <cfRule type="cellIs" dxfId="1008" priority="106" operator="equal">
      <formula>"Restrição"</formula>
    </cfRule>
  </conditionalFormatting>
  <conditionalFormatting sqref="B91:I91">
    <cfRule type="notContainsBlanks" dxfId="1007" priority="105">
      <formula>LEN(TRIM(B91))&gt;0</formula>
    </cfRule>
  </conditionalFormatting>
  <conditionalFormatting sqref="B93:I93">
    <cfRule type="cellIs" dxfId="1006" priority="103" operator="equal">
      <formula>"não"</formula>
    </cfRule>
    <cfRule type="notContainsBlanks" dxfId="1005" priority="104">
      <formula>LEN(TRIM(B93))&gt;0</formula>
    </cfRule>
  </conditionalFormatting>
  <conditionalFormatting sqref="B93:I93">
    <cfRule type="cellIs" dxfId="1004" priority="102" operator="equal">
      <formula>"Restrição"</formula>
    </cfRule>
  </conditionalFormatting>
  <conditionalFormatting sqref="B97:I97">
    <cfRule type="notContainsBlanks" dxfId="1003" priority="101">
      <formula>LEN(TRIM(B97))&gt;0</formula>
    </cfRule>
  </conditionalFormatting>
  <conditionalFormatting sqref="B99:I99">
    <cfRule type="cellIs" dxfId="1002" priority="99" operator="equal">
      <formula>"não"</formula>
    </cfRule>
    <cfRule type="notContainsBlanks" dxfId="1001" priority="100">
      <formula>LEN(TRIM(B99))&gt;0</formula>
    </cfRule>
  </conditionalFormatting>
  <conditionalFormatting sqref="B99:I99">
    <cfRule type="cellIs" dxfId="1000" priority="98" operator="equal">
      <formula>"Restrição"</formula>
    </cfRule>
  </conditionalFormatting>
  <conditionalFormatting sqref="B103:I103">
    <cfRule type="notContainsBlanks" dxfId="999" priority="97">
      <formula>LEN(TRIM(B103))&gt;0</formula>
    </cfRule>
  </conditionalFormatting>
  <conditionalFormatting sqref="B105:I105">
    <cfRule type="cellIs" dxfId="998" priority="95" operator="equal">
      <formula>"não"</formula>
    </cfRule>
    <cfRule type="notContainsBlanks" dxfId="997" priority="96">
      <formula>LEN(TRIM(B105))&gt;0</formula>
    </cfRule>
  </conditionalFormatting>
  <conditionalFormatting sqref="B105:I105">
    <cfRule type="cellIs" dxfId="996" priority="94" operator="equal">
      <formula>"Restrição"</formula>
    </cfRule>
  </conditionalFormatting>
  <conditionalFormatting sqref="B109:I109">
    <cfRule type="notContainsBlanks" dxfId="995" priority="93">
      <formula>LEN(TRIM(B109))&gt;0</formula>
    </cfRule>
  </conditionalFormatting>
  <conditionalFormatting sqref="B111:I111">
    <cfRule type="cellIs" dxfId="994" priority="91" operator="equal">
      <formula>"não"</formula>
    </cfRule>
    <cfRule type="notContainsBlanks" dxfId="993" priority="92">
      <formula>LEN(TRIM(B111))&gt;0</formula>
    </cfRule>
  </conditionalFormatting>
  <conditionalFormatting sqref="B111:I111">
    <cfRule type="cellIs" dxfId="992" priority="90" operator="equal">
      <formula>"Restrição"</formula>
    </cfRule>
  </conditionalFormatting>
  <conditionalFormatting sqref="B115:I115">
    <cfRule type="notContainsBlanks" dxfId="991" priority="89">
      <formula>LEN(TRIM(B115))&gt;0</formula>
    </cfRule>
  </conditionalFormatting>
  <conditionalFormatting sqref="B117:I117">
    <cfRule type="cellIs" dxfId="990" priority="87" operator="equal">
      <formula>"não"</formula>
    </cfRule>
    <cfRule type="notContainsBlanks" dxfId="989" priority="88">
      <formula>LEN(TRIM(B117))&gt;0</formula>
    </cfRule>
  </conditionalFormatting>
  <conditionalFormatting sqref="B117:I117">
    <cfRule type="cellIs" dxfId="988" priority="86" operator="equal">
      <formula>"Restrição"</formula>
    </cfRule>
  </conditionalFormatting>
  <conditionalFormatting sqref="J151:J154 J157:J162 J167:J168">
    <cfRule type="cellIs" dxfId="987" priority="85" operator="equal">
      <formula>"não"</formula>
    </cfRule>
  </conditionalFormatting>
  <conditionalFormatting sqref="J155:J157">
    <cfRule type="cellIs" dxfId="986" priority="84" operator="equal">
      <formula>"não"</formula>
    </cfRule>
  </conditionalFormatting>
  <conditionalFormatting sqref="J156:J157">
    <cfRule type="cellIs" dxfId="985" priority="83" operator="equal">
      <formula>"não"</formula>
    </cfRule>
  </conditionalFormatting>
  <conditionalFormatting sqref="J151:J162 J167:J168">
    <cfRule type="containsText" dxfId="984" priority="82" operator="containsText" text="não">
      <formula>NOT(ISERROR(SEARCH("não",J151)))</formula>
    </cfRule>
  </conditionalFormatting>
  <conditionalFormatting sqref="J151:J162 J167:J168">
    <cfRule type="cellIs" dxfId="983" priority="81" operator="equal">
      <formula>"Restrição"</formula>
    </cfRule>
  </conditionalFormatting>
  <conditionalFormatting sqref="J290">
    <cfRule type="cellIs" dxfId="982" priority="67" operator="equal">
      <formula>"não"</formula>
    </cfRule>
  </conditionalFormatting>
  <conditionalFormatting sqref="J290">
    <cfRule type="containsText" dxfId="981" priority="66" operator="containsText" text="não">
      <formula>NOT(ISERROR(SEARCH("não",J290)))</formula>
    </cfRule>
  </conditionalFormatting>
  <conditionalFormatting sqref="J290">
    <cfRule type="cellIs" dxfId="980" priority="65" operator="equal">
      <formula>"Restrição"</formula>
    </cfRule>
  </conditionalFormatting>
  <conditionalFormatting sqref="J289">
    <cfRule type="cellIs" dxfId="979" priority="64" operator="equal">
      <formula>"não"</formula>
    </cfRule>
  </conditionalFormatting>
  <conditionalFormatting sqref="J289">
    <cfRule type="containsText" dxfId="978" priority="63" operator="containsText" text="não">
      <formula>NOT(ISERROR(SEARCH("não",J289)))</formula>
    </cfRule>
  </conditionalFormatting>
  <conditionalFormatting sqref="J289">
    <cfRule type="cellIs" dxfId="977" priority="62" operator="equal">
      <formula>"Restrição"</formula>
    </cfRule>
  </conditionalFormatting>
  <conditionalFormatting sqref="J249">
    <cfRule type="cellIs" dxfId="976" priority="61" operator="equal">
      <formula>"não"</formula>
    </cfRule>
  </conditionalFormatting>
  <conditionalFormatting sqref="J249">
    <cfRule type="cellIs" dxfId="975" priority="60" operator="equal">
      <formula>"Restrição"</formula>
    </cfRule>
  </conditionalFormatting>
  <conditionalFormatting sqref="J163:J166">
    <cfRule type="cellIs" dxfId="974" priority="46" operator="equal">
      <formula>"não"</formula>
    </cfRule>
  </conditionalFormatting>
  <conditionalFormatting sqref="J163:J166">
    <cfRule type="containsText" dxfId="973" priority="45" operator="containsText" text="não">
      <formula>NOT(ISERROR(SEARCH("não",J163)))</formula>
    </cfRule>
  </conditionalFormatting>
  <conditionalFormatting sqref="J163:J166">
    <cfRule type="cellIs" dxfId="972" priority="44" operator="equal">
      <formula>"Restrição"</formula>
    </cfRule>
  </conditionalFormatting>
  <conditionalFormatting sqref="J268:J279">
    <cfRule type="cellIs" dxfId="971" priority="38" operator="equal">
      <formula>"não"</formula>
    </cfRule>
  </conditionalFormatting>
  <conditionalFormatting sqref="J268:J279">
    <cfRule type="cellIs" dxfId="970" priority="37" operator="equal">
      <formula>"Restrição"</formula>
    </cfRule>
  </conditionalFormatting>
  <conditionalFormatting sqref="J263">
    <cfRule type="cellIs" dxfId="969" priority="32" operator="equal">
      <formula>"não"</formula>
    </cfRule>
  </conditionalFormatting>
  <conditionalFormatting sqref="J263">
    <cfRule type="cellIs" dxfId="968" priority="31" operator="equal">
      <formula>"Restrição"</formula>
    </cfRule>
  </conditionalFormatting>
  <conditionalFormatting sqref="J264:J267">
    <cfRule type="cellIs" dxfId="967" priority="30" operator="equal">
      <formula>"não"</formula>
    </cfRule>
  </conditionalFormatting>
  <conditionalFormatting sqref="J264:J267">
    <cfRule type="cellIs" dxfId="966" priority="29" operator="equal">
      <formula>"Restrição"</formula>
    </cfRule>
  </conditionalFormatting>
  <conditionalFormatting sqref="J281:J285">
    <cfRule type="cellIs" dxfId="965" priority="28" operator="equal">
      <formula>"não"</formula>
    </cfRule>
  </conditionalFormatting>
  <conditionalFormatting sqref="J281:J285">
    <cfRule type="cellIs" dxfId="964" priority="27" operator="equal">
      <formula>"Restrição"</formula>
    </cfRule>
  </conditionalFormatting>
  <conditionalFormatting sqref="C203:H209">
    <cfRule type="notContainsBlanks" dxfId="963" priority="476">
      <formula>LEN(TRIM(C203))&gt;0</formula>
    </cfRule>
  </conditionalFormatting>
  <conditionalFormatting sqref="C216:I222">
    <cfRule type="cellIs" dxfId="962" priority="23" operator="equal">
      <formula>"Restrição"</formula>
    </cfRule>
    <cfRule type="cellIs" dxfId="961" priority="24" operator="equal">
      <formula>"Não"</formula>
    </cfRule>
    <cfRule type="notContainsBlanks" dxfId="960" priority="25">
      <formula>LEN(TRIM(C216))&gt;0</formula>
    </cfRule>
  </conditionalFormatting>
  <conditionalFormatting sqref="H74">
    <cfRule type="cellIs" dxfId="959" priority="22" operator="equal">
      <formula>"não"</formula>
    </cfRule>
  </conditionalFormatting>
  <conditionalFormatting sqref="C196:H198">
    <cfRule type="cellIs" dxfId="958" priority="14" operator="equal">
      <formula>"Restrição"</formula>
    </cfRule>
    <cfRule type="containsText" dxfId="957" priority="16" operator="containsText" text="não">
      <formula>NOT(ISERROR(SEARCH("não",C196)))</formula>
    </cfRule>
  </conditionalFormatting>
  <conditionalFormatting sqref="C196:H198">
    <cfRule type="cellIs" dxfId="956" priority="15" operator="equal">
      <formula>"não"</formula>
    </cfRule>
  </conditionalFormatting>
  <conditionalFormatting sqref="C195:H198">
    <cfRule type="notContainsBlanks" dxfId="955" priority="17">
      <formula>LEN(TRIM(C195))&gt;0</formula>
    </cfRule>
  </conditionalFormatting>
  <conditionalFormatting sqref="B116:I116">
    <cfRule type="notContainsBlanks" dxfId="954" priority="2">
      <formula>LEN(TRIM(B116))&gt;0</formula>
    </cfRule>
  </conditionalFormatting>
  <conditionalFormatting sqref="B86:I86">
    <cfRule type="notContainsBlanks" dxfId="953" priority="7">
      <formula>LEN(TRIM(B86))&gt;0</formula>
    </cfRule>
  </conditionalFormatting>
  <conditionalFormatting sqref="B92:I92">
    <cfRule type="notContainsBlanks" dxfId="952" priority="6">
      <formula>LEN(TRIM(B92))&gt;0</formula>
    </cfRule>
  </conditionalFormatting>
  <conditionalFormatting sqref="B98:I98">
    <cfRule type="notContainsBlanks" dxfId="951" priority="5">
      <formula>LEN(TRIM(B98))&gt;0</formula>
    </cfRule>
  </conditionalFormatting>
  <conditionalFormatting sqref="B104:I104">
    <cfRule type="notContainsBlanks" dxfId="950" priority="4">
      <formula>LEN(TRIM(B104))&gt;0</formula>
    </cfRule>
  </conditionalFormatting>
  <conditionalFormatting sqref="B110:I110">
    <cfRule type="notContainsBlanks" dxfId="949" priority="3">
      <formula>LEN(TRIM(B110))&gt;0</formula>
    </cfRule>
  </conditionalFormatting>
  <conditionalFormatting sqref="A347:J389">
    <cfRule type="cellIs" dxfId="948" priority="1" operator="equal">
      <formula>"Não conforme"</formula>
    </cfRule>
  </conditionalFormatting>
  <pageMargins left="0.78740157480314965" right="0.19685039370078741" top="1.3779527559055118" bottom="1.1811023622047245" header="0.31496062992125984" footer="0.51181102362204722"/>
  <pageSetup paperSize="9" orientation="portrait" r:id="rId1"/>
  <headerFooter>
    <oddHeader xml:space="preserve">&amp;R
</oddHeader>
    <oddFooter>&amp;L&amp;F&amp;R&amp;P de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pageSetUpPr fitToPage="1"/>
  </sheetPr>
  <dimension ref="A1:AU95"/>
  <sheetViews>
    <sheetView zoomScale="85" zoomScaleNormal="85" workbookViewId="0">
      <pane xSplit="1" topLeftCell="B1" activePane="topRight" state="frozen"/>
      <selection activeCell="V21" sqref="V21"/>
      <selection pane="topRight" activeCell="V21" sqref="V21"/>
    </sheetView>
  </sheetViews>
  <sheetFormatPr defaultColWidth="0" defaultRowHeight="15" x14ac:dyDescent="0.25"/>
  <cols>
    <col min="1" max="1" width="48" style="232" customWidth="1"/>
    <col min="2" max="2" width="22.5703125" style="654" customWidth="1"/>
    <col min="3" max="26" width="22.5703125" style="667" customWidth="1"/>
    <col min="27" max="27" width="0" style="667" hidden="1" customWidth="1"/>
    <col min="28" max="16384" width="9.140625" style="668" hidden="1"/>
  </cols>
  <sheetData>
    <row r="1" spans="1:27" ht="20.25" thickBot="1" x14ac:dyDescent="0.3">
      <c r="B1" s="1644" t="str">
        <f>mamo!B1</f>
        <v>IN 92</v>
      </c>
    </row>
    <row r="2" spans="1:27" ht="21" thickBot="1" x14ac:dyDescent="0.3">
      <c r="A2" s="669"/>
      <c r="B2" s="259"/>
      <c r="C2" s="670" t="s">
        <v>92</v>
      </c>
    </row>
    <row r="3" spans="1:27" ht="15.75" x14ac:dyDescent="0.25">
      <c r="A3" s="671" t="s">
        <v>717</v>
      </c>
      <c r="B3" s="233">
        <v>1</v>
      </c>
      <c r="C3" s="233">
        <v>2</v>
      </c>
      <c r="D3" s="233">
        <v>3</v>
      </c>
      <c r="E3" s="233">
        <v>4</v>
      </c>
      <c r="F3" s="233">
        <v>5</v>
      </c>
      <c r="G3" s="233">
        <v>6</v>
      </c>
      <c r="H3" s="233">
        <v>7</v>
      </c>
      <c r="I3" s="233">
        <v>8</v>
      </c>
      <c r="J3" s="233">
        <v>9</v>
      </c>
      <c r="K3" s="233">
        <v>10</v>
      </c>
      <c r="L3" s="233">
        <v>11</v>
      </c>
      <c r="M3" s="233">
        <v>12</v>
      </c>
      <c r="N3" s="233">
        <v>13</v>
      </c>
      <c r="O3" s="233">
        <v>14</v>
      </c>
      <c r="P3" s="233">
        <v>15</v>
      </c>
      <c r="Q3" s="233">
        <v>16</v>
      </c>
      <c r="R3" s="233">
        <v>17</v>
      </c>
      <c r="S3" s="233">
        <v>18</v>
      </c>
      <c r="T3" s="233">
        <v>19</v>
      </c>
      <c r="U3" s="233">
        <v>20</v>
      </c>
      <c r="V3" s="233">
        <v>21</v>
      </c>
      <c r="W3" s="233">
        <v>22</v>
      </c>
      <c r="X3" s="233">
        <v>23</v>
      </c>
      <c r="Y3" s="233">
        <v>24</v>
      </c>
      <c r="Z3" s="233">
        <v>25</v>
      </c>
    </row>
    <row r="4" spans="1:27" x14ac:dyDescent="0.25">
      <c r="A4" s="232" t="s">
        <v>718</v>
      </c>
      <c r="B4" s="655">
        <f ca="1">TODAY()</f>
        <v>46140</v>
      </c>
      <c r="C4" s="655">
        <f ca="1">B4+1</f>
        <v>46141</v>
      </c>
      <c r="D4" s="655">
        <f t="shared" ref="D4:Z4" ca="1" si="0">C4+1</f>
        <v>46142</v>
      </c>
      <c r="E4" s="655">
        <f t="shared" ca="1" si="0"/>
        <v>46143</v>
      </c>
      <c r="F4" s="655">
        <f t="shared" ca="1" si="0"/>
        <v>46144</v>
      </c>
      <c r="G4" s="655">
        <f t="shared" ca="1" si="0"/>
        <v>46145</v>
      </c>
      <c r="H4" s="655">
        <f t="shared" ca="1" si="0"/>
        <v>46146</v>
      </c>
      <c r="I4" s="655">
        <f t="shared" ca="1" si="0"/>
        <v>46147</v>
      </c>
      <c r="J4" s="655">
        <f t="shared" ca="1" si="0"/>
        <v>46148</v>
      </c>
      <c r="K4" s="655">
        <f t="shared" ca="1" si="0"/>
        <v>46149</v>
      </c>
      <c r="L4" s="655">
        <f t="shared" ca="1" si="0"/>
        <v>46150</v>
      </c>
      <c r="M4" s="655">
        <f t="shared" ca="1" si="0"/>
        <v>46151</v>
      </c>
      <c r="N4" s="655">
        <f t="shared" ca="1" si="0"/>
        <v>46152</v>
      </c>
      <c r="O4" s="655">
        <f t="shared" ca="1" si="0"/>
        <v>46153</v>
      </c>
      <c r="P4" s="655">
        <f t="shared" ca="1" si="0"/>
        <v>46154</v>
      </c>
      <c r="Q4" s="655">
        <f t="shared" ca="1" si="0"/>
        <v>46155</v>
      </c>
      <c r="R4" s="655">
        <f t="shared" ca="1" si="0"/>
        <v>46156</v>
      </c>
      <c r="S4" s="655">
        <f t="shared" ca="1" si="0"/>
        <v>46157</v>
      </c>
      <c r="T4" s="655">
        <f t="shared" ca="1" si="0"/>
        <v>46158</v>
      </c>
      <c r="U4" s="655">
        <f t="shared" ca="1" si="0"/>
        <v>46159</v>
      </c>
      <c r="V4" s="655">
        <f t="shared" ca="1" si="0"/>
        <v>46160</v>
      </c>
      <c r="W4" s="655">
        <f t="shared" ca="1" si="0"/>
        <v>46161</v>
      </c>
      <c r="X4" s="655">
        <f t="shared" ca="1" si="0"/>
        <v>46162</v>
      </c>
      <c r="Y4" s="655">
        <f t="shared" ca="1" si="0"/>
        <v>46163</v>
      </c>
      <c r="Z4" s="655">
        <f t="shared" ca="1" si="0"/>
        <v>46164</v>
      </c>
    </row>
    <row r="5" spans="1:27" x14ac:dyDescent="0.25">
      <c r="A5" s="232" t="s">
        <v>298</v>
      </c>
      <c r="B5" s="655" t="s">
        <v>1878</v>
      </c>
      <c r="C5" s="655" t="s">
        <v>1878</v>
      </c>
      <c r="D5" s="655" t="s">
        <v>1878</v>
      </c>
      <c r="E5" s="655" t="s">
        <v>1878</v>
      </c>
      <c r="F5" s="655" t="s">
        <v>1878</v>
      </c>
      <c r="G5" s="655" t="s">
        <v>1878</v>
      </c>
      <c r="H5" s="655" t="s">
        <v>1878</v>
      </c>
      <c r="I5" s="655" t="s">
        <v>1878</v>
      </c>
      <c r="J5" s="655" t="s">
        <v>1878</v>
      </c>
      <c r="K5" s="655" t="s">
        <v>1878</v>
      </c>
      <c r="L5" s="655" t="s">
        <v>1878</v>
      </c>
      <c r="M5" s="655" t="s">
        <v>1878</v>
      </c>
      <c r="N5" s="655" t="s">
        <v>1878</v>
      </c>
      <c r="O5" s="655" t="s">
        <v>1878</v>
      </c>
      <c r="P5" s="655" t="s">
        <v>1878</v>
      </c>
      <c r="Q5" s="655" t="s">
        <v>1878</v>
      </c>
      <c r="R5" s="655" t="s">
        <v>1878</v>
      </c>
      <c r="S5" s="655" t="s">
        <v>1878</v>
      </c>
      <c r="T5" s="655" t="s">
        <v>1878</v>
      </c>
      <c r="U5" s="655" t="s">
        <v>1878</v>
      </c>
      <c r="V5" s="655" t="s">
        <v>1878</v>
      </c>
      <c r="W5" s="655" t="s">
        <v>1878</v>
      </c>
      <c r="X5" s="655" t="s">
        <v>1878</v>
      </c>
      <c r="Y5" s="655" t="s">
        <v>1878</v>
      </c>
      <c r="Z5" s="655" t="s">
        <v>1878</v>
      </c>
    </row>
    <row r="6" spans="1:27" x14ac:dyDescent="0.25">
      <c r="A6" s="232" t="s">
        <v>750</v>
      </c>
      <c r="B6" s="656"/>
      <c r="C6" s="656"/>
      <c r="D6" s="656"/>
      <c r="E6" s="656"/>
      <c r="F6" s="656"/>
      <c r="G6" s="656"/>
      <c r="H6" s="656"/>
      <c r="I6" s="656"/>
      <c r="J6" s="656"/>
      <c r="K6" s="656"/>
      <c r="L6" s="656"/>
      <c r="M6" s="656"/>
      <c r="N6" s="656"/>
      <c r="O6" s="656"/>
      <c r="P6" s="656"/>
      <c r="Q6" s="656"/>
      <c r="R6" s="656"/>
      <c r="S6" s="656"/>
      <c r="T6" s="656"/>
      <c r="U6" s="656"/>
      <c r="V6" s="656"/>
      <c r="W6" s="656"/>
      <c r="X6" s="656"/>
      <c r="Y6" s="656"/>
      <c r="Z6" s="656"/>
    </row>
    <row r="8" spans="1:27" x14ac:dyDescent="0.25">
      <c r="A8" s="2620" t="str">
        <f>IF(B2="Impressora","Impressora de radiografias",IF(B2="Processadora","Processadora de filmes radiográficos","Somente arquivo digital"))</f>
        <v>Somente arquivo digital</v>
      </c>
      <c r="B8" s="657" t="s">
        <v>119</v>
      </c>
      <c r="C8" s="672" t="s">
        <v>120</v>
      </c>
      <c r="D8" s="672" t="s">
        <v>121</v>
      </c>
      <c r="E8" s="672" t="s">
        <v>739</v>
      </c>
    </row>
    <row r="9" spans="1:27" x14ac:dyDescent="0.25">
      <c r="A9" s="2620"/>
      <c r="B9" s="658"/>
      <c r="C9" s="658"/>
      <c r="D9" s="658"/>
      <c r="E9" s="658"/>
    </row>
    <row r="10" spans="1:27" x14ac:dyDescent="0.25">
      <c r="C10" s="654"/>
      <c r="D10" s="654"/>
      <c r="E10" s="654"/>
      <c r="F10" s="654"/>
      <c r="G10" s="654"/>
      <c r="H10" s="654"/>
      <c r="I10" s="654"/>
      <c r="J10" s="654"/>
      <c r="K10" s="654"/>
      <c r="L10" s="654"/>
      <c r="M10" s="654"/>
      <c r="N10" s="654"/>
      <c r="O10" s="654"/>
      <c r="P10" s="654"/>
      <c r="Q10" s="654"/>
      <c r="R10" s="654"/>
      <c r="S10" s="654"/>
      <c r="T10" s="654"/>
      <c r="U10" s="654"/>
      <c r="V10" s="654"/>
      <c r="W10" s="654"/>
      <c r="X10" s="654"/>
      <c r="Y10" s="654"/>
      <c r="Z10" s="654"/>
    </row>
    <row r="11" spans="1:27" x14ac:dyDescent="0.25">
      <c r="A11" s="232" t="s">
        <v>1861</v>
      </c>
      <c r="B11" s="1726"/>
      <c r="C11" s="1726"/>
      <c r="D11" s="1726"/>
      <c r="E11" s="1726"/>
      <c r="F11" s="1726"/>
      <c r="G11" s="1726"/>
      <c r="H11" s="1726"/>
      <c r="I11" s="1726"/>
      <c r="J11" s="1726"/>
      <c r="K11" s="1726"/>
      <c r="L11" s="1726"/>
      <c r="M11" s="1726"/>
      <c r="N11" s="1726"/>
      <c r="O11" s="1726"/>
      <c r="P11" s="1726"/>
      <c r="Q11" s="1726"/>
      <c r="R11" s="1726"/>
      <c r="S11" s="1726"/>
      <c r="T11" s="1726"/>
      <c r="U11" s="1726"/>
      <c r="V11" s="1726"/>
      <c r="W11" s="1726"/>
      <c r="X11" s="1726"/>
      <c r="Y11" s="1726"/>
      <c r="Z11" s="1726"/>
    </row>
    <row r="12" spans="1:27" ht="15.75" thickBot="1" x14ac:dyDescent="0.3">
      <c r="C12" s="654"/>
      <c r="D12" s="654"/>
      <c r="E12" s="654"/>
      <c r="F12" s="654"/>
      <c r="G12" s="654"/>
      <c r="H12" s="654"/>
      <c r="I12" s="654"/>
      <c r="J12" s="654"/>
      <c r="K12" s="654"/>
      <c r="L12" s="654"/>
      <c r="M12" s="654"/>
      <c r="N12" s="654"/>
      <c r="O12" s="654"/>
      <c r="P12" s="654"/>
      <c r="Q12" s="654"/>
      <c r="R12" s="654"/>
      <c r="S12" s="654"/>
      <c r="T12" s="654"/>
      <c r="U12" s="654"/>
      <c r="V12" s="654"/>
      <c r="W12" s="654"/>
      <c r="X12" s="654"/>
      <c r="Y12" s="654"/>
      <c r="Z12" s="654"/>
    </row>
    <row r="13" spans="1:27" ht="16.5" thickBot="1" x14ac:dyDescent="0.3">
      <c r="A13" s="671" t="s">
        <v>1882</v>
      </c>
      <c r="B13" s="659">
        <v>1</v>
      </c>
      <c r="C13" s="654"/>
      <c r="D13" s="654"/>
      <c r="E13" s="654"/>
      <c r="F13" s="654"/>
      <c r="G13" s="654"/>
      <c r="H13" s="654"/>
      <c r="I13" s="654"/>
      <c r="J13" s="654"/>
      <c r="K13" s="654"/>
      <c r="L13" s="654"/>
      <c r="M13" s="654"/>
      <c r="N13" s="654"/>
      <c r="O13" s="654"/>
      <c r="P13" s="654"/>
      <c r="Q13" s="654"/>
      <c r="R13" s="654"/>
      <c r="S13" s="654"/>
      <c r="T13" s="654"/>
      <c r="U13" s="654"/>
      <c r="V13" s="654"/>
      <c r="W13" s="654"/>
      <c r="X13" s="654"/>
      <c r="Y13" s="673"/>
      <c r="Z13" s="654"/>
    </row>
    <row r="14" spans="1:27" ht="15.75" x14ac:dyDescent="0.25">
      <c r="A14" s="674" t="s">
        <v>719</v>
      </c>
      <c r="B14" s="232"/>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row>
    <row r="15" spans="1:27" s="676" customFormat="1" x14ac:dyDescent="0.25">
      <c r="A15" s="233" t="s">
        <v>720</v>
      </c>
      <c r="B15" s="656"/>
      <c r="C15" s="656"/>
      <c r="D15" s="656"/>
      <c r="E15" s="656"/>
      <c r="F15" s="656"/>
      <c r="G15" s="656"/>
      <c r="H15" s="656"/>
      <c r="I15" s="656"/>
      <c r="J15" s="656"/>
      <c r="K15" s="656"/>
      <c r="L15" s="656"/>
      <c r="M15" s="656"/>
      <c r="N15" s="656"/>
      <c r="O15" s="656"/>
      <c r="P15" s="656"/>
      <c r="Q15" s="656"/>
      <c r="R15" s="656"/>
      <c r="S15" s="656"/>
      <c r="T15" s="656"/>
      <c r="U15" s="656"/>
      <c r="V15" s="656"/>
      <c r="W15" s="656"/>
      <c r="X15" s="656"/>
      <c r="Y15" s="656"/>
      <c r="Z15" s="656"/>
      <c r="AA15" s="675"/>
    </row>
    <row r="16" spans="1:27" s="676" customFormat="1" x14ac:dyDescent="0.25">
      <c r="A16" s="233" t="s">
        <v>721</v>
      </c>
      <c r="B16" s="656"/>
      <c r="C16" s="656"/>
      <c r="D16" s="656"/>
      <c r="E16" s="656"/>
      <c r="F16" s="656"/>
      <c r="G16" s="656"/>
      <c r="H16" s="656"/>
      <c r="I16" s="656"/>
      <c r="J16" s="656"/>
      <c r="K16" s="656"/>
      <c r="L16" s="656"/>
      <c r="M16" s="656"/>
      <c r="N16" s="656"/>
      <c r="O16" s="656"/>
      <c r="P16" s="656"/>
      <c r="Q16" s="656"/>
      <c r="R16" s="656"/>
      <c r="S16" s="656"/>
      <c r="T16" s="656"/>
      <c r="U16" s="656"/>
      <c r="V16" s="656"/>
      <c r="W16" s="656"/>
      <c r="X16" s="656"/>
      <c r="Y16" s="656"/>
      <c r="Z16" s="656"/>
      <c r="AA16" s="675"/>
    </row>
    <row r="17" spans="1:27" s="676" customFormat="1" x14ac:dyDescent="0.25">
      <c r="A17" s="233" t="s">
        <v>722</v>
      </c>
      <c r="B17" s="660" t="s">
        <v>240</v>
      </c>
      <c r="C17" s="660" t="s">
        <v>240</v>
      </c>
      <c r="D17" s="660" t="s">
        <v>240</v>
      </c>
      <c r="E17" s="660" t="s">
        <v>240</v>
      </c>
      <c r="F17" s="660" t="s">
        <v>240</v>
      </c>
      <c r="G17" s="660" t="s">
        <v>240</v>
      </c>
      <c r="H17" s="660" t="s">
        <v>240</v>
      </c>
      <c r="I17" s="660" t="s">
        <v>240</v>
      </c>
      <c r="J17" s="660" t="s">
        <v>240</v>
      </c>
      <c r="K17" s="660" t="s">
        <v>240</v>
      </c>
      <c r="L17" s="660" t="s">
        <v>240</v>
      </c>
      <c r="M17" s="660" t="s">
        <v>240</v>
      </c>
      <c r="N17" s="660" t="s">
        <v>240</v>
      </c>
      <c r="O17" s="660" t="s">
        <v>240</v>
      </c>
      <c r="P17" s="660" t="s">
        <v>240</v>
      </c>
      <c r="Q17" s="660" t="s">
        <v>240</v>
      </c>
      <c r="R17" s="660" t="s">
        <v>240</v>
      </c>
      <c r="S17" s="660" t="s">
        <v>240</v>
      </c>
      <c r="T17" s="660" t="s">
        <v>240</v>
      </c>
      <c r="U17" s="660" t="s">
        <v>240</v>
      </c>
      <c r="V17" s="660" t="s">
        <v>240</v>
      </c>
      <c r="W17" s="660" t="s">
        <v>240</v>
      </c>
      <c r="X17" s="660" t="s">
        <v>240</v>
      </c>
      <c r="Y17" s="660" t="s">
        <v>240</v>
      </c>
      <c r="Z17" s="660" t="s">
        <v>240</v>
      </c>
      <c r="AA17" s="675"/>
    </row>
    <row r="18" spans="1:27" s="676" customFormat="1" x14ac:dyDescent="0.25">
      <c r="A18" s="233" t="s">
        <v>723</v>
      </c>
      <c r="B18" s="660" t="s">
        <v>240</v>
      </c>
      <c r="C18" s="660" t="s">
        <v>240</v>
      </c>
      <c r="D18" s="660" t="s">
        <v>240</v>
      </c>
      <c r="E18" s="660" t="s">
        <v>240</v>
      </c>
      <c r="F18" s="660" t="s">
        <v>240</v>
      </c>
      <c r="G18" s="660" t="s">
        <v>240</v>
      </c>
      <c r="H18" s="660" t="s">
        <v>240</v>
      </c>
      <c r="I18" s="660" t="s">
        <v>240</v>
      </c>
      <c r="J18" s="660" t="s">
        <v>240</v>
      </c>
      <c r="K18" s="660" t="s">
        <v>240</v>
      </c>
      <c r="L18" s="660" t="s">
        <v>240</v>
      </c>
      <c r="M18" s="660" t="s">
        <v>240</v>
      </c>
      <c r="N18" s="660" t="s">
        <v>240</v>
      </c>
      <c r="O18" s="660" t="s">
        <v>240</v>
      </c>
      <c r="P18" s="660" t="s">
        <v>240</v>
      </c>
      <c r="Q18" s="660" t="s">
        <v>240</v>
      </c>
      <c r="R18" s="660" t="s">
        <v>240</v>
      </c>
      <c r="S18" s="660" t="s">
        <v>240</v>
      </c>
      <c r="T18" s="660" t="s">
        <v>240</v>
      </c>
      <c r="U18" s="660" t="s">
        <v>240</v>
      </c>
      <c r="V18" s="660" t="s">
        <v>240</v>
      </c>
      <c r="W18" s="660" t="s">
        <v>240</v>
      </c>
      <c r="X18" s="660" t="s">
        <v>240</v>
      </c>
      <c r="Y18" s="660" t="s">
        <v>240</v>
      </c>
      <c r="Z18" s="660" t="s">
        <v>240</v>
      </c>
      <c r="AA18" s="675"/>
    </row>
    <row r="19" spans="1:27" s="676" customFormat="1" x14ac:dyDescent="0.25">
      <c r="A19" s="233" t="s">
        <v>724</v>
      </c>
      <c r="B19" s="660" t="s">
        <v>240</v>
      </c>
      <c r="C19" s="660" t="s">
        <v>240</v>
      </c>
      <c r="D19" s="660" t="s">
        <v>240</v>
      </c>
      <c r="E19" s="660" t="s">
        <v>240</v>
      </c>
      <c r="F19" s="660" t="s">
        <v>240</v>
      </c>
      <c r="G19" s="660" t="s">
        <v>240</v>
      </c>
      <c r="H19" s="660" t="s">
        <v>240</v>
      </c>
      <c r="I19" s="660" t="s">
        <v>240</v>
      </c>
      <c r="J19" s="660" t="s">
        <v>240</v>
      </c>
      <c r="K19" s="660" t="s">
        <v>240</v>
      </c>
      <c r="L19" s="660" t="s">
        <v>240</v>
      </c>
      <c r="M19" s="660" t="s">
        <v>240</v>
      </c>
      <c r="N19" s="660" t="s">
        <v>240</v>
      </c>
      <c r="O19" s="660" t="s">
        <v>240</v>
      </c>
      <c r="P19" s="660" t="s">
        <v>240</v>
      </c>
      <c r="Q19" s="660" t="s">
        <v>240</v>
      </c>
      <c r="R19" s="660" t="s">
        <v>240</v>
      </c>
      <c r="S19" s="660" t="s">
        <v>240</v>
      </c>
      <c r="T19" s="660" t="s">
        <v>240</v>
      </c>
      <c r="U19" s="660" t="s">
        <v>240</v>
      </c>
      <c r="V19" s="660" t="s">
        <v>240</v>
      </c>
      <c r="W19" s="660" t="s">
        <v>240</v>
      </c>
      <c r="X19" s="660" t="s">
        <v>240</v>
      </c>
      <c r="Y19" s="660" t="s">
        <v>240</v>
      </c>
      <c r="Z19" s="660" t="s">
        <v>240</v>
      </c>
      <c r="AA19" s="675"/>
    </row>
    <row r="20" spans="1:27" s="676" customFormat="1" x14ac:dyDescent="0.25">
      <c r="A20" s="233"/>
      <c r="B20" s="661"/>
      <c r="C20" s="661"/>
      <c r="D20" s="661"/>
      <c r="E20" s="661"/>
      <c r="F20" s="661"/>
      <c r="G20" s="661"/>
      <c r="H20" s="661"/>
      <c r="I20" s="661"/>
      <c r="J20" s="661"/>
      <c r="K20" s="661"/>
      <c r="L20" s="661"/>
      <c r="M20" s="661"/>
      <c r="N20" s="661"/>
      <c r="O20" s="661"/>
      <c r="P20" s="661"/>
      <c r="Q20" s="661"/>
      <c r="R20" s="661"/>
      <c r="S20" s="661"/>
      <c r="T20" s="661"/>
      <c r="U20" s="661"/>
      <c r="V20" s="661"/>
      <c r="W20" s="661"/>
      <c r="X20" s="661"/>
      <c r="Y20" s="661"/>
      <c r="Z20" s="661"/>
      <c r="AA20" s="675"/>
    </row>
    <row r="21" spans="1:27" s="676" customFormat="1" ht="15.75" x14ac:dyDescent="0.25">
      <c r="A21" s="677" t="s">
        <v>725</v>
      </c>
      <c r="B21" s="662" t="s">
        <v>1880</v>
      </c>
      <c r="C21" s="662" t="s">
        <v>1880</v>
      </c>
      <c r="D21" s="662" t="s">
        <v>1880</v>
      </c>
      <c r="E21" s="662" t="s">
        <v>1880</v>
      </c>
      <c r="F21" s="662" t="s">
        <v>1880</v>
      </c>
      <c r="G21" s="662" t="s">
        <v>1880</v>
      </c>
      <c r="H21" s="662" t="s">
        <v>1880</v>
      </c>
      <c r="I21" s="662" t="s">
        <v>1880</v>
      </c>
      <c r="J21" s="662" t="s">
        <v>1880</v>
      </c>
      <c r="K21" s="662" t="s">
        <v>1880</v>
      </c>
      <c r="L21" s="662" t="s">
        <v>1880</v>
      </c>
      <c r="M21" s="662" t="s">
        <v>1880</v>
      </c>
      <c r="N21" s="662" t="s">
        <v>1880</v>
      </c>
      <c r="O21" s="662" t="s">
        <v>1880</v>
      </c>
      <c r="P21" s="662" t="s">
        <v>1880</v>
      </c>
      <c r="Q21" s="662" t="s">
        <v>1880</v>
      </c>
      <c r="R21" s="662" t="s">
        <v>1880</v>
      </c>
      <c r="S21" s="662" t="s">
        <v>1880</v>
      </c>
      <c r="T21" s="662" t="s">
        <v>1880</v>
      </c>
      <c r="U21" s="662" t="s">
        <v>1880</v>
      </c>
      <c r="V21" s="662" t="s">
        <v>1880</v>
      </c>
      <c r="W21" s="662" t="s">
        <v>1880</v>
      </c>
      <c r="X21" s="662" t="s">
        <v>1880</v>
      </c>
      <c r="Y21" s="662" t="s">
        <v>1880</v>
      </c>
      <c r="Z21" s="662" t="s">
        <v>1880</v>
      </c>
      <c r="AA21" s="675"/>
    </row>
    <row r="22" spans="1:27" s="676" customFormat="1" x14ac:dyDescent="0.25">
      <c r="A22" s="233" t="s">
        <v>726</v>
      </c>
      <c r="B22" s="656"/>
      <c r="C22" s="656"/>
      <c r="D22" s="656"/>
      <c r="E22" s="656"/>
      <c r="F22" s="656"/>
      <c r="G22" s="656"/>
      <c r="H22" s="656"/>
      <c r="I22" s="656"/>
      <c r="J22" s="656"/>
      <c r="K22" s="656"/>
      <c r="L22" s="656"/>
      <c r="M22" s="656"/>
      <c r="N22" s="656"/>
      <c r="O22" s="656"/>
      <c r="P22" s="656"/>
      <c r="Q22" s="656"/>
      <c r="R22" s="656"/>
      <c r="S22" s="656"/>
      <c r="T22" s="656"/>
      <c r="U22" s="656"/>
      <c r="V22" s="656"/>
      <c r="W22" s="656"/>
      <c r="X22" s="656"/>
      <c r="Y22" s="656"/>
      <c r="Z22" s="656"/>
      <c r="AA22" s="675"/>
    </row>
    <row r="23" spans="1:27" s="676" customFormat="1" x14ac:dyDescent="0.25">
      <c r="A23" s="233" t="s">
        <v>720</v>
      </c>
      <c r="B23" s="656"/>
      <c r="C23" s="656"/>
      <c r="D23" s="656"/>
      <c r="E23" s="656"/>
      <c r="F23" s="656"/>
      <c r="G23" s="656"/>
      <c r="H23" s="656"/>
      <c r="I23" s="656"/>
      <c r="J23" s="656"/>
      <c r="K23" s="656"/>
      <c r="L23" s="656"/>
      <c r="M23" s="656"/>
      <c r="N23" s="656"/>
      <c r="O23" s="656"/>
      <c r="P23" s="656"/>
      <c r="Q23" s="656"/>
      <c r="R23" s="656"/>
      <c r="S23" s="656"/>
      <c r="T23" s="656"/>
      <c r="U23" s="656"/>
      <c r="V23" s="656"/>
      <c r="W23" s="656"/>
      <c r="X23" s="656"/>
      <c r="Y23" s="656"/>
      <c r="Z23" s="656"/>
      <c r="AA23" s="675"/>
    </row>
    <row r="24" spans="1:27" s="676" customFormat="1" x14ac:dyDescent="0.25">
      <c r="A24" s="233" t="s">
        <v>721</v>
      </c>
      <c r="B24" s="656"/>
      <c r="C24" s="656"/>
      <c r="D24" s="656"/>
      <c r="E24" s="656"/>
      <c r="F24" s="656"/>
      <c r="G24" s="656"/>
      <c r="H24" s="656"/>
      <c r="I24" s="656"/>
      <c r="J24" s="656"/>
      <c r="K24" s="656"/>
      <c r="L24" s="656"/>
      <c r="M24" s="656"/>
      <c r="N24" s="656"/>
      <c r="O24" s="656"/>
      <c r="P24" s="656"/>
      <c r="Q24" s="656"/>
      <c r="R24" s="656"/>
      <c r="S24" s="656"/>
      <c r="T24" s="656"/>
      <c r="U24" s="656"/>
      <c r="V24" s="656"/>
      <c r="W24" s="656"/>
      <c r="X24" s="656"/>
      <c r="Y24" s="656"/>
      <c r="Z24" s="656"/>
      <c r="AA24" s="675"/>
    </row>
    <row r="25" spans="1:27" s="676" customFormat="1" x14ac:dyDescent="0.25">
      <c r="A25" s="233" t="s">
        <v>722</v>
      </c>
      <c r="B25" s="660" t="s">
        <v>240</v>
      </c>
      <c r="C25" s="660" t="s">
        <v>240</v>
      </c>
      <c r="D25" s="660" t="s">
        <v>240</v>
      </c>
      <c r="E25" s="660" t="s">
        <v>240</v>
      </c>
      <c r="F25" s="660" t="s">
        <v>240</v>
      </c>
      <c r="G25" s="660" t="s">
        <v>240</v>
      </c>
      <c r="H25" s="660" t="s">
        <v>240</v>
      </c>
      <c r="I25" s="660" t="s">
        <v>240</v>
      </c>
      <c r="J25" s="660" t="s">
        <v>240</v>
      </c>
      <c r="K25" s="660" t="s">
        <v>240</v>
      </c>
      <c r="L25" s="660" t="s">
        <v>240</v>
      </c>
      <c r="M25" s="660" t="s">
        <v>240</v>
      </c>
      <c r="N25" s="660" t="s">
        <v>240</v>
      </c>
      <c r="O25" s="660" t="s">
        <v>240</v>
      </c>
      <c r="P25" s="660" t="s">
        <v>240</v>
      </c>
      <c r="Q25" s="660" t="s">
        <v>240</v>
      </c>
      <c r="R25" s="660" t="s">
        <v>240</v>
      </c>
      <c r="S25" s="660" t="s">
        <v>240</v>
      </c>
      <c r="T25" s="660" t="s">
        <v>240</v>
      </c>
      <c r="U25" s="660" t="s">
        <v>240</v>
      </c>
      <c r="V25" s="660" t="s">
        <v>240</v>
      </c>
      <c r="W25" s="660" t="s">
        <v>240</v>
      </c>
      <c r="X25" s="660" t="s">
        <v>240</v>
      </c>
      <c r="Y25" s="660" t="s">
        <v>240</v>
      </c>
      <c r="Z25" s="660" t="s">
        <v>240</v>
      </c>
      <c r="AA25" s="675"/>
    </row>
    <row r="26" spans="1:27" s="676" customFormat="1" x14ac:dyDescent="0.25">
      <c r="A26" s="233" t="s">
        <v>723</v>
      </c>
      <c r="B26" s="660" t="s">
        <v>240</v>
      </c>
      <c r="C26" s="660" t="s">
        <v>240</v>
      </c>
      <c r="D26" s="660" t="s">
        <v>240</v>
      </c>
      <c r="E26" s="660" t="s">
        <v>240</v>
      </c>
      <c r="F26" s="660" t="s">
        <v>240</v>
      </c>
      <c r="G26" s="660" t="s">
        <v>240</v>
      </c>
      <c r="H26" s="660" t="s">
        <v>240</v>
      </c>
      <c r="I26" s="660" t="s">
        <v>240</v>
      </c>
      <c r="J26" s="660" t="s">
        <v>240</v>
      </c>
      <c r="K26" s="660" t="s">
        <v>240</v>
      </c>
      <c r="L26" s="660" t="s">
        <v>240</v>
      </c>
      <c r="M26" s="660" t="s">
        <v>240</v>
      </c>
      <c r="N26" s="660" t="s">
        <v>240</v>
      </c>
      <c r="O26" s="660" t="s">
        <v>240</v>
      </c>
      <c r="P26" s="660" t="s">
        <v>240</v>
      </c>
      <c r="Q26" s="660" t="s">
        <v>240</v>
      </c>
      <c r="R26" s="660" t="s">
        <v>240</v>
      </c>
      <c r="S26" s="660" t="s">
        <v>240</v>
      </c>
      <c r="T26" s="660" t="s">
        <v>240</v>
      </c>
      <c r="U26" s="660" t="s">
        <v>240</v>
      </c>
      <c r="V26" s="660" t="s">
        <v>240</v>
      </c>
      <c r="W26" s="660" t="s">
        <v>240</v>
      </c>
      <c r="X26" s="660" t="s">
        <v>240</v>
      </c>
      <c r="Y26" s="660" t="s">
        <v>240</v>
      </c>
      <c r="Z26" s="660" t="s">
        <v>240</v>
      </c>
      <c r="AA26" s="675"/>
    </row>
    <row r="27" spans="1:27" s="676" customFormat="1" x14ac:dyDescent="0.25">
      <c r="A27" s="233" t="s">
        <v>724</v>
      </c>
      <c r="B27" s="660" t="s">
        <v>240</v>
      </c>
      <c r="C27" s="660" t="s">
        <v>240</v>
      </c>
      <c r="D27" s="660" t="s">
        <v>240</v>
      </c>
      <c r="E27" s="660" t="s">
        <v>240</v>
      </c>
      <c r="F27" s="660" t="s">
        <v>240</v>
      </c>
      <c r="G27" s="660" t="s">
        <v>240</v>
      </c>
      <c r="H27" s="660" t="s">
        <v>240</v>
      </c>
      <c r="I27" s="660" t="s">
        <v>240</v>
      </c>
      <c r="J27" s="660" t="s">
        <v>240</v>
      </c>
      <c r="K27" s="660" t="s">
        <v>240</v>
      </c>
      <c r="L27" s="660" t="s">
        <v>240</v>
      </c>
      <c r="M27" s="660" t="s">
        <v>240</v>
      </c>
      <c r="N27" s="660" t="s">
        <v>240</v>
      </c>
      <c r="O27" s="660" t="s">
        <v>240</v>
      </c>
      <c r="P27" s="660" t="s">
        <v>240</v>
      </c>
      <c r="Q27" s="660" t="s">
        <v>240</v>
      </c>
      <c r="R27" s="660" t="s">
        <v>240</v>
      </c>
      <c r="S27" s="660" t="s">
        <v>240</v>
      </c>
      <c r="T27" s="660" t="s">
        <v>240</v>
      </c>
      <c r="U27" s="660" t="s">
        <v>240</v>
      </c>
      <c r="V27" s="660" t="s">
        <v>240</v>
      </c>
      <c r="W27" s="660" t="s">
        <v>240</v>
      </c>
      <c r="X27" s="660" t="s">
        <v>240</v>
      </c>
      <c r="Y27" s="660" t="s">
        <v>240</v>
      </c>
      <c r="Z27" s="660" t="s">
        <v>240</v>
      </c>
      <c r="AA27" s="675"/>
    </row>
    <row r="28" spans="1:27" s="679" customFormat="1" x14ac:dyDescent="0.25">
      <c r="A28" s="663"/>
      <c r="B28" s="663"/>
      <c r="C28" s="663"/>
      <c r="D28" s="663"/>
      <c r="E28" s="663"/>
      <c r="F28" s="663"/>
      <c r="G28" s="663"/>
      <c r="H28" s="663"/>
      <c r="I28" s="663"/>
      <c r="J28" s="663"/>
      <c r="K28" s="663"/>
      <c r="L28" s="663"/>
      <c r="M28" s="663"/>
      <c r="N28" s="663"/>
      <c r="O28" s="663"/>
      <c r="P28" s="663"/>
      <c r="Q28" s="663"/>
      <c r="R28" s="663"/>
      <c r="S28" s="663"/>
      <c r="T28" s="663"/>
      <c r="U28" s="663"/>
      <c r="V28" s="663"/>
      <c r="W28" s="663"/>
      <c r="X28" s="663"/>
      <c r="Y28" s="663"/>
      <c r="Z28" s="663"/>
      <c r="AA28" s="678"/>
    </row>
    <row r="29" spans="1:27" s="679" customFormat="1" ht="15.75" x14ac:dyDescent="0.25">
      <c r="A29" s="677" t="s">
        <v>727</v>
      </c>
      <c r="B29" s="662" t="s">
        <v>1880</v>
      </c>
      <c r="C29" s="662" t="s">
        <v>1880</v>
      </c>
      <c r="D29" s="662" t="s">
        <v>1880</v>
      </c>
      <c r="E29" s="662" t="s">
        <v>1880</v>
      </c>
      <c r="F29" s="662" t="s">
        <v>1880</v>
      </c>
      <c r="G29" s="662" t="s">
        <v>1880</v>
      </c>
      <c r="H29" s="662" t="s">
        <v>1880</v>
      </c>
      <c r="I29" s="662" t="s">
        <v>1880</v>
      </c>
      <c r="J29" s="662" t="s">
        <v>1880</v>
      </c>
      <c r="K29" s="662" t="s">
        <v>1880</v>
      </c>
      <c r="L29" s="662" t="s">
        <v>1880</v>
      </c>
      <c r="M29" s="662" t="s">
        <v>1880</v>
      </c>
      <c r="N29" s="662" t="s">
        <v>1880</v>
      </c>
      <c r="O29" s="662" t="s">
        <v>1880</v>
      </c>
      <c r="P29" s="662" t="s">
        <v>1880</v>
      </c>
      <c r="Q29" s="662" t="s">
        <v>1880</v>
      </c>
      <c r="R29" s="662" t="s">
        <v>1880</v>
      </c>
      <c r="S29" s="662" t="s">
        <v>1880</v>
      </c>
      <c r="T29" s="662" t="s">
        <v>1880</v>
      </c>
      <c r="U29" s="662" t="s">
        <v>1880</v>
      </c>
      <c r="V29" s="662" t="s">
        <v>1880</v>
      </c>
      <c r="W29" s="662" t="s">
        <v>1880</v>
      </c>
      <c r="X29" s="662" t="s">
        <v>1880</v>
      </c>
      <c r="Y29" s="662" t="s">
        <v>1880</v>
      </c>
      <c r="Z29" s="662" t="s">
        <v>1880</v>
      </c>
      <c r="AA29" s="678"/>
    </row>
    <row r="30" spans="1:27" s="679" customFormat="1" x14ac:dyDescent="0.25">
      <c r="A30" s="233" t="s">
        <v>726</v>
      </c>
      <c r="B30" s="656"/>
      <c r="C30" s="656"/>
      <c r="D30" s="656"/>
      <c r="E30" s="656"/>
      <c r="F30" s="656"/>
      <c r="G30" s="656"/>
      <c r="H30" s="656"/>
      <c r="I30" s="656"/>
      <c r="J30" s="656"/>
      <c r="K30" s="656"/>
      <c r="L30" s="656"/>
      <c r="M30" s="656"/>
      <c r="N30" s="656"/>
      <c r="O30" s="656"/>
      <c r="P30" s="656"/>
      <c r="Q30" s="656"/>
      <c r="R30" s="656"/>
      <c r="S30" s="656"/>
      <c r="T30" s="656"/>
      <c r="U30" s="656"/>
      <c r="V30" s="656"/>
      <c r="W30" s="656"/>
      <c r="X30" s="656"/>
      <c r="Y30" s="656"/>
      <c r="Z30" s="656"/>
      <c r="AA30" s="678"/>
    </row>
    <row r="31" spans="1:27" s="679" customFormat="1" x14ac:dyDescent="0.25">
      <c r="A31" s="233" t="s">
        <v>720</v>
      </c>
      <c r="B31" s="656"/>
      <c r="C31" s="656"/>
      <c r="D31" s="656"/>
      <c r="E31" s="656"/>
      <c r="F31" s="656"/>
      <c r="G31" s="656"/>
      <c r="H31" s="656"/>
      <c r="I31" s="656"/>
      <c r="J31" s="656"/>
      <c r="K31" s="656"/>
      <c r="L31" s="656"/>
      <c r="M31" s="656"/>
      <c r="N31" s="656"/>
      <c r="O31" s="656"/>
      <c r="P31" s="656"/>
      <c r="Q31" s="656"/>
      <c r="R31" s="656"/>
      <c r="S31" s="656"/>
      <c r="T31" s="656"/>
      <c r="U31" s="656"/>
      <c r="V31" s="656"/>
      <c r="W31" s="656"/>
      <c r="X31" s="656"/>
      <c r="Y31" s="656"/>
      <c r="Z31" s="656"/>
      <c r="AA31" s="678"/>
    </row>
    <row r="32" spans="1:27" s="679" customFormat="1" x14ac:dyDescent="0.25">
      <c r="A32" s="233" t="s">
        <v>721</v>
      </c>
      <c r="B32" s="656"/>
      <c r="C32" s="656"/>
      <c r="D32" s="656"/>
      <c r="E32" s="656"/>
      <c r="F32" s="656"/>
      <c r="G32" s="656"/>
      <c r="H32" s="656"/>
      <c r="I32" s="656"/>
      <c r="J32" s="656"/>
      <c r="K32" s="656"/>
      <c r="L32" s="656"/>
      <c r="M32" s="656"/>
      <c r="N32" s="656"/>
      <c r="O32" s="656"/>
      <c r="P32" s="656"/>
      <c r="Q32" s="656"/>
      <c r="R32" s="656"/>
      <c r="S32" s="656"/>
      <c r="T32" s="656"/>
      <c r="U32" s="656"/>
      <c r="V32" s="656"/>
      <c r="W32" s="656"/>
      <c r="X32" s="656"/>
      <c r="Y32" s="656"/>
      <c r="Z32" s="656"/>
      <c r="AA32" s="678"/>
    </row>
    <row r="33" spans="1:47" s="679" customFormat="1" x14ac:dyDescent="0.25">
      <c r="A33" s="233" t="s">
        <v>722</v>
      </c>
      <c r="B33" s="660" t="s">
        <v>240</v>
      </c>
      <c r="C33" s="660" t="s">
        <v>240</v>
      </c>
      <c r="D33" s="660" t="s">
        <v>240</v>
      </c>
      <c r="E33" s="660" t="s">
        <v>240</v>
      </c>
      <c r="F33" s="660" t="s">
        <v>240</v>
      </c>
      <c r="G33" s="660" t="s">
        <v>240</v>
      </c>
      <c r="H33" s="660" t="s">
        <v>240</v>
      </c>
      <c r="I33" s="660" t="s">
        <v>240</v>
      </c>
      <c r="J33" s="660" t="s">
        <v>240</v>
      </c>
      <c r="K33" s="660" t="s">
        <v>240</v>
      </c>
      <c r="L33" s="660" t="s">
        <v>240</v>
      </c>
      <c r="M33" s="660" t="s">
        <v>240</v>
      </c>
      <c r="N33" s="660" t="s">
        <v>240</v>
      </c>
      <c r="O33" s="660" t="s">
        <v>240</v>
      </c>
      <c r="P33" s="660" t="s">
        <v>240</v>
      </c>
      <c r="Q33" s="660" t="s">
        <v>240</v>
      </c>
      <c r="R33" s="660" t="s">
        <v>240</v>
      </c>
      <c r="S33" s="660" t="s">
        <v>240</v>
      </c>
      <c r="T33" s="660" t="s">
        <v>240</v>
      </c>
      <c r="U33" s="660" t="s">
        <v>240</v>
      </c>
      <c r="V33" s="660" t="s">
        <v>240</v>
      </c>
      <c r="W33" s="660" t="s">
        <v>240</v>
      </c>
      <c r="X33" s="660" t="s">
        <v>240</v>
      </c>
      <c r="Y33" s="660" t="s">
        <v>240</v>
      </c>
      <c r="Z33" s="660" t="s">
        <v>240</v>
      </c>
      <c r="AA33" s="678"/>
    </row>
    <row r="34" spans="1:47" s="679" customFormat="1" x14ac:dyDescent="0.25">
      <c r="A34" s="233" t="s">
        <v>723</v>
      </c>
      <c r="B34" s="660" t="s">
        <v>240</v>
      </c>
      <c r="C34" s="660" t="s">
        <v>240</v>
      </c>
      <c r="D34" s="660" t="s">
        <v>240</v>
      </c>
      <c r="E34" s="660" t="s">
        <v>240</v>
      </c>
      <c r="F34" s="660" t="s">
        <v>240</v>
      </c>
      <c r="G34" s="660" t="s">
        <v>240</v>
      </c>
      <c r="H34" s="660" t="s">
        <v>240</v>
      </c>
      <c r="I34" s="660" t="s">
        <v>240</v>
      </c>
      <c r="J34" s="660" t="s">
        <v>240</v>
      </c>
      <c r="K34" s="660" t="s">
        <v>240</v>
      </c>
      <c r="L34" s="660" t="s">
        <v>240</v>
      </c>
      <c r="M34" s="660" t="s">
        <v>240</v>
      </c>
      <c r="N34" s="660" t="s">
        <v>240</v>
      </c>
      <c r="O34" s="660" t="s">
        <v>240</v>
      </c>
      <c r="P34" s="660" t="s">
        <v>240</v>
      </c>
      <c r="Q34" s="660" t="s">
        <v>240</v>
      </c>
      <c r="R34" s="660" t="s">
        <v>240</v>
      </c>
      <c r="S34" s="660" t="s">
        <v>240</v>
      </c>
      <c r="T34" s="660" t="s">
        <v>240</v>
      </c>
      <c r="U34" s="660" t="s">
        <v>240</v>
      </c>
      <c r="V34" s="660" t="s">
        <v>240</v>
      </c>
      <c r="W34" s="660" t="s">
        <v>240</v>
      </c>
      <c r="X34" s="660" t="s">
        <v>240</v>
      </c>
      <c r="Y34" s="660" t="s">
        <v>240</v>
      </c>
      <c r="Z34" s="660" t="s">
        <v>240</v>
      </c>
      <c r="AA34" s="678"/>
    </row>
    <row r="35" spans="1:47" s="679" customFormat="1" x14ac:dyDescent="0.25">
      <c r="A35" s="233" t="s">
        <v>724</v>
      </c>
      <c r="B35" s="660" t="s">
        <v>240</v>
      </c>
      <c r="C35" s="660" t="s">
        <v>240</v>
      </c>
      <c r="D35" s="660" t="s">
        <v>240</v>
      </c>
      <c r="E35" s="660" t="s">
        <v>240</v>
      </c>
      <c r="F35" s="660" t="s">
        <v>240</v>
      </c>
      <c r="G35" s="660" t="s">
        <v>240</v>
      </c>
      <c r="H35" s="660" t="s">
        <v>240</v>
      </c>
      <c r="I35" s="660" t="s">
        <v>240</v>
      </c>
      <c r="J35" s="660" t="s">
        <v>240</v>
      </c>
      <c r="K35" s="660" t="s">
        <v>240</v>
      </c>
      <c r="L35" s="660" t="s">
        <v>240</v>
      </c>
      <c r="M35" s="660" t="s">
        <v>240</v>
      </c>
      <c r="N35" s="660" t="s">
        <v>240</v>
      </c>
      <c r="O35" s="660" t="s">
        <v>240</v>
      </c>
      <c r="P35" s="660" t="s">
        <v>240</v>
      </c>
      <c r="Q35" s="660" t="s">
        <v>240</v>
      </c>
      <c r="R35" s="660" t="s">
        <v>240</v>
      </c>
      <c r="S35" s="660" t="s">
        <v>240</v>
      </c>
      <c r="T35" s="660" t="s">
        <v>240</v>
      </c>
      <c r="U35" s="660" t="s">
        <v>240</v>
      </c>
      <c r="V35" s="660" t="s">
        <v>240</v>
      </c>
      <c r="W35" s="660" t="s">
        <v>240</v>
      </c>
      <c r="X35" s="660" t="s">
        <v>240</v>
      </c>
      <c r="Y35" s="660" t="s">
        <v>240</v>
      </c>
      <c r="Z35" s="660" t="s">
        <v>240</v>
      </c>
      <c r="AA35" s="678"/>
    </row>
    <row r="36" spans="1:47" s="679" customFormat="1" ht="17.25" customHeight="1" x14ac:dyDescent="0.25">
      <c r="A36" s="663"/>
      <c r="B36" s="663"/>
      <c r="C36" s="663"/>
      <c r="D36" s="663"/>
      <c r="E36" s="663"/>
      <c r="F36" s="663"/>
      <c r="G36" s="663"/>
      <c r="H36" s="663"/>
      <c r="I36" s="663"/>
      <c r="J36" s="663"/>
      <c r="K36" s="663"/>
      <c r="L36" s="663"/>
      <c r="M36" s="663"/>
      <c r="N36" s="663"/>
      <c r="O36" s="663"/>
      <c r="P36" s="663"/>
      <c r="Q36" s="663"/>
      <c r="R36" s="663"/>
      <c r="S36" s="663"/>
      <c r="T36" s="663"/>
      <c r="U36" s="663"/>
      <c r="V36" s="663"/>
      <c r="W36" s="663"/>
      <c r="X36" s="663"/>
      <c r="Y36" s="663"/>
      <c r="Z36" s="663"/>
      <c r="AA36" s="678"/>
    </row>
    <row r="37" spans="1:47" s="679" customFormat="1" ht="15.75" x14ac:dyDescent="0.25">
      <c r="A37" s="680" t="s">
        <v>738</v>
      </c>
      <c r="B37" s="664" t="s">
        <v>744</v>
      </c>
      <c r="C37" s="664" t="s">
        <v>744</v>
      </c>
      <c r="D37" s="664" t="s">
        <v>744</v>
      </c>
      <c r="E37" s="664" t="s">
        <v>744</v>
      </c>
      <c r="F37" s="664" t="s">
        <v>744</v>
      </c>
      <c r="G37" s="664" t="s">
        <v>744</v>
      </c>
      <c r="H37" s="664" t="s">
        <v>744</v>
      </c>
      <c r="I37" s="664" t="s">
        <v>744</v>
      </c>
      <c r="J37" s="664" t="s">
        <v>744</v>
      </c>
      <c r="K37" s="664" t="s">
        <v>744</v>
      </c>
      <c r="L37" s="664" t="s">
        <v>744</v>
      </c>
      <c r="M37" s="664" t="s">
        <v>744</v>
      </c>
      <c r="N37" s="664" t="s">
        <v>744</v>
      </c>
      <c r="O37" s="664" t="s">
        <v>744</v>
      </c>
      <c r="P37" s="664" t="s">
        <v>744</v>
      </c>
      <c r="Q37" s="664" t="s">
        <v>744</v>
      </c>
      <c r="R37" s="664" t="s">
        <v>744</v>
      </c>
      <c r="S37" s="664" t="s">
        <v>744</v>
      </c>
      <c r="T37" s="664" t="s">
        <v>744</v>
      </c>
      <c r="U37" s="664" t="s">
        <v>744</v>
      </c>
      <c r="V37" s="664" t="s">
        <v>744</v>
      </c>
      <c r="W37" s="664" t="s">
        <v>744</v>
      </c>
      <c r="X37" s="664" t="s">
        <v>744</v>
      </c>
      <c r="Y37" s="664" t="s">
        <v>744</v>
      </c>
      <c r="Z37" s="664" t="s">
        <v>744</v>
      </c>
      <c r="AA37" s="678"/>
    </row>
    <row r="38" spans="1:47" s="679" customFormat="1" x14ac:dyDescent="0.25">
      <c r="A38" s="663"/>
      <c r="B38" s="663"/>
      <c r="C38" s="663"/>
      <c r="D38" s="663"/>
      <c r="E38" s="663"/>
      <c r="F38" s="663"/>
      <c r="G38" s="663"/>
      <c r="H38" s="663"/>
      <c r="I38" s="663"/>
      <c r="J38" s="663"/>
      <c r="K38" s="663"/>
      <c r="L38" s="663"/>
      <c r="M38" s="663"/>
      <c r="N38" s="663"/>
      <c r="O38" s="663"/>
      <c r="P38" s="663"/>
      <c r="Q38" s="663"/>
      <c r="R38" s="663"/>
      <c r="S38" s="663"/>
      <c r="T38" s="663"/>
      <c r="U38" s="663"/>
      <c r="V38" s="663"/>
      <c r="W38" s="663"/>
      <c r="X38" s="663"/>
      <c r="Y38" s="663"/>
      <c r="Z38" s="663"/>
      <c r="AA38" s="678"/>
    </row>
    <row r="39" spans="1:47" s="679" customFormat="1" x14ac:dyDescent="0.25">
      <c r="A39" s="663"/>
      <c r="B39" s="663"/>
      <c r="C39" s="663"/>
      <c r="D39" s="663"/>
      <c r="E39" s="663"/>
      <c r="F39" s="663"/>
      <c r="G39" s="663"/>
      <c r="H39" s="663"/>
      <c r="I39" s="663"/>
      <c r="J39" s="663"/>
      <c r="K39" s="663"/>
      <c r="L39" s="663"/>
      <c r="M39" s="663"/>
      <c r="N39" s="663"/>
      <c r="O39" s="663"/>
      <c r="P39" s="663"/>
      <c r="Q39" s="663"/>
      <c r="R39" s="663"/>
      <c r="S39" s="663"/>
      <c r="T39" s="663"/>
      <c r="U39" s="663"/>
      <c r="V39" s="663"/>
      <c r="W39" s="663"/>
      <c r="X39" s="663"/>
      <c r="Y39" s="663"/>
      <c r="Z39" s="663"/>
      <c r="AA39" s="678"/>
    </row>
    <row r="40" spans="1:47" s="679" customFormat="1" ht="15.75" x14ac:dyDescent="0.25">
      <c r="A40" s="680" t="s">
        <v>749</v>
      </c>
      <c r="B40" s="663"/>
      <c r="C40" s="663"/>
      <c r="D40" s="663"/>
      <c r="E40" s="663"/>
      <c r="F40" s="663"/>
      <c r="G40" s="663"/>
      <c r="H40" s="663"/>
      <c r="I40" s="663"/>
      <c r="J40" s="663"/>
      <c r="K40" s="663"/>
      <c r="L40" s="663"/>
      <c r="M40" s="663"/>
      <c r="N40" s="663"/>
      <c r="O40" s="663"/>
      <c r="P40" s="663"/>
      <c r="Q40" s="663"/>
      <c r="R40" s="663"/>
      <c r="S40" s="663"/>
      <c r="T40" s="663"/>
      <c r="U40" s="663"/>
      <c r="V40" s="663"/>
      <c r="W40" s="663"/>
      <c r="X40" s="663"/>
      <c r="Y40" s="663"/>
      <c r="Z40" s="663"/>
      <c r="AA40" s="678"/>
    </row>
    <row r="41" spans="1:47" x14ac:dyDescent="0.25">
      <c r="A41" s="681" t="s">
        <v>746</v>
      </c>
      <c r="B41" s="665"/>
      <c r="C41" s="666"/>
      <c r="D41" s="666"/>
      <c r="E41" s="666"/>
      <c r="F41" s="666"/>
      <c r="G41" s="666"/>
      <c r="H41" s="666"/>
      <c r="I41" s="666"/>
      <c r="J41" s="666"/>
      <c r="K41" s="666"/>
      <c r="L41" s="666"/>
      <c r="M41" s="666"/>
      <c r="N41" s="666"/>
      <c r="O41" s="666"/>
      <c r="P41" s="666"/>
      <c r="Q41" s="666"/>
      <c r="R41" s="666"/>
      <c r="S41" s="666"/>
      <c r="T41" s="666"/>
      <c r="U41" s="666"/>
      <c r="V41" s="666"/>
      <c r="W41" s="666"/>
      <c r="X41" s="666"/>
      <c r="Y41" s="666"/>
      <c r="Z41" s="666"/>
      <c r="AA41" s="666"/>
      <c r="AB41" s="682"/>
      <c r="AC41" s="682"/>
      <c r="AD41" s="682"/>
      <c r="AE41" s="682"/>
      <c r="AF41" s="682"/>
      <c r="AG41" s="682"/>
      <c r="AH41" s="682"/>
      <c r="AI41" s="682"/>
      <c r="AJ41" s="682"/>
      <c r="AK41" s="682"/>
      <c r="AL41" s="682"/>
      <c r="AM41" s="682"/>
      <c r="AN41" s="682"/>
      <c r="AO41" s="682"/>
      <c r="AP41" s="682"/>
      <c r="AQ41" s="682"/>
      <c r="AR41" s="682"/>
      <c r="AS41" s="682"/>
      <c r="AT41" s="682"/>
      <c r="AU41" s="682"/>
    </row>
    <row r="42" spans="1:47" x14ac:dyDescent="0.25">
      <c r="A42" s="681" t="s">
        <v>745</v>
      </c>
      <c r="B42" s="666"/>
      <c r="C42" s="666"/>
      <c r="D42" s="666"/>
      <c r="E42" s="666"/>
      <c r="F42" s="666"/>
      <c r="G42" s="666"/>
      <c r="H42" s="666"/>
      <c r="I42" s="666"/>
      <c r="J42" s="666"/>
      <c r="K42" s="666"/>
      <c r="L42" s="666"/>
      <c r="M42" s="666"/>
      <c r="N42" s="666"/>
      <c r="O42" s="666"/>
      <c r="P42" s="666"/>
      <c r="Q42" s="666"/>
      <c r="R42" s="666"/>
      <c r="S42" s="666"/>
      <c r="T42" s="666"/>
      <c r="U42" s="666"/>
      <c r="V42" s="666"/>
      <c r="W42" s="666"/>
      <c r="X42" s="666"/>
      <c r="Y42" s="666"/>
      <c r="Z42" s="666"/>
      <c r="AA42" s="666"/>
      <c r="AB42" s="682"/>
      <c r="AC42" s="682"/>
      <c r="AD42" s="682"/>
      <c r="AE42" s="682"/>
      <c r="AF42" s="682"/>
      <c r="AG42" s="682"/>
      <c r="AH42" s="682"/>
      <c r="AI42" s="682"/>
      <c r="AJ42" s="682"/>
      <c r="AK42" s="682"/>
      <c r="AL42" s="682"/>
      <c r="AM42" s="682"/>
      <c r="AN42" s="682"/>
      <c r="AO42" s="682"/>
      <c r="AP42" s="682"/>
      <c r="AQ42" s="682"/>
      <c r="AR42" s="682"/>
      <c r="AS42" s="682"/>
      <c r="AT42" s="682"/>
      <c r="AU42" s="682"/>
    </row>
    <row r="43" spans="1:47" x14ac:dyDescent="0.25">
      <c r="A43" s="681" t="s">
        <v>741</v>
      </c>
      <c r="B43" s="666"/>
      <c r="C43" s="666"/>
      <c r="D43" s="666"/>
      <c r="E43" s="666"/>
      <c r="F43" s="666"/>
      <c r="G43" s="666"/>
      <c r="H43" s="666"/>
      <c r="I43" s="666"/>
      <c r="J43" s="666"/>
      <c r="K43" s="666"/>
      <c r="L43" s="666"/>
      <c r="M43" s="666"/>
      <c r="N43" s="666"/>
      <c r="O43" s="666"/>
      <c r="P43" s="666"/>
      <c r="Q43" s="666"/>
      <c r="R43" s="666"/>
      <c r="S43" s="666"/>
      <c r="T43" s="666"/>
      <c r="U43" s="666"/>
      <c r="V43" s="666"/>
      <c r="W43" s="666"/>
      <c r="X43" s="666"/>
      <c r="Y43" s="666"/>
      <c r="Z43" s="666"/>
      <c r="AA43" s="666"/>
      <c r="AB43" s="682"/>
      <c r="AC43" s="682"/>
      <c r="AD43" s="682"/>
      <c r="AE43" s="682"/>
      <c r="AF43" s="682"/>
      <c r="AG43" s="682"/>
      <c r="AH43" s="682"/>
      <c r="AI43" s="682"/>
      <c r="AJ43" s="682"/>
      <c r="AK43" s="682"/>
      <c r="AL43" s="682"/>
      <c r="AM43" s="682"/>
      <c r="AN43" s="682"/>
      <c r="AO43" s="682"/>
      <c r="AP43" s="682"/>
      <c r="AQ43" s="682"/>
      <c r="AR43" s="682"/>
      <c r="AS43" s="682"/>
      <c r="AT43" s="682"/>
      <c r="AU43" s="682"/>
    </row>
    <row r="44" spans="1:47" s="667" customFormat="1" x14ac:dyDescent="0.25">
      <c r="A44" s="681" t="s">
        <v>941</v>
      </c>
      <c r="B44" s="666"/>
      <c r="C44" s="666"/>
      <c r="D44" s="666"/>
      <c r="E44" s="666"/>
      <c r="F44" s="666"/>
      <c r="G44" s="666"/>
      <c r="H44" s="666"/>
      <c r="I44" s="666"/>
      <c r="J44" s="666"/>
      <c r="K44" s="666"/>
      <c r="L44" s="666"/>
      <c r="M44" s="666"/>
      <c r="N44" s="666"/>
      <c r="O44" s="666"/>
      <c r="P44" s="666"/>
      <c r="Q44" s="666"/>
      <c r="R44" s="666"/>
      <c r="S44" s="666"/>
      <c r="T44" s="666"/>
      <c r="U44" s="666"/>
      <c r="V44" s="666"/>
      <c r="W44" s="666"/>
      <c r="X44" s="666"/>
      <c r="Y44" s="666"/>
      <c r="Z44" s="666"/>
      <c r="AA44" s="666"/>
      <c r="AB44" s="666"/>
      <c r="AC44" s="666"/>
      <c r="AD44" s="666"/>
      <c r="AE44" s="666"/>
      <c r="AF44" s="666"/>
      <c r="AG44" s="666"/>
      <c r="AH44" s="666"/>
      <c r="AI44" s="666"/>
      <c r="AJ44" s="666"/>
      <c r="AK44" s="666"/>
      <c r="AL44" s="666"/>
      <c r="AM44" s="666"/>
      <c r="AN44" s="666"/>
      <c r="AO44" s="666"/>
      <c r="AP44" s="666"/>
      <c r="AQ44" s="666"/>
      <c r="AR44" s="666"/>
      <c r="AS44" s="666"/>
      <c r="AT44" s="666"/>
      <c r="AU44" s="666"/>
    </row>
    <row r="45" spans="1:47" s="667" customFormat="1" x14ac:dyDescent="0.25">
      <c r="A45" s="681" t="s">
        <v>744</v>
      </c>
      <c r="B45" s="666"/>
      <c r="C45" s="666"/>
      <c r="D45" s="666"/>
      <c r="E45" s="666"/>
      <c r="F45" s="666"/>
      <c r="G45" s="666"/>
      <c r="H45" s="666"/>
      <c r="I45" s="666"/>
      <c r="J45" s="666"/>
      <c r="K45" s="666"/>
      <c r="L45" s="666"/>
      <c r="M45" s="666"/>
      <c r="N45" s="666"/>
      <c r="O45" s="666"/>
      <c r="P45" s="666"/>
      <c r="Q45" s="666"/>
      <c r="R45" s="666"/>
      <c r="S45" s="666"/>
      <c r="T45" s="666"/>
      <c r="U45" s="666"/>
      <c r="V45" s="666"/>
      <c r="W45" s="666"/>
      <c r="X45" s="666"/>
      <c r="Y45" s="666"/>
      <c r="Z45" s="666"/>
      <c r="AA45" s="666"/>
      <c r="AB45" s="666"/>
      <c r="AC45" s="666"/>
      <c r="AD45" s="666"/>
      <c r="AE45" s="666"/>
      <c r="AF45" s="666"/>
      <c r="AG45" s="666"/>
      <c r="AH45" s="666"/>
      <c r="AI45" s="666"/>
      <c r="AJ45" s="666"/>
      <c r="AK45" s="666"/>
      <c r="AL45" s="666"/>
      <c r="AM45" s="666"/>
      <c r="AN45" s="666"/>
      <c r="AO45" s="666"/>
      <c r="AP45" s="666"/>
      <c r="AQ45" s="666"/>
      <c r="AR45" s="666"/>
      <c r="AS45" s="666"/>
      <c r="AT45" s="666"/>
      <c r="AU45" s="666"/>
    </row>
    <row r="46" spans="1:47" x14ac:dyDescent="0.25">
      <c r="A46" s="681" t="s">
        <v>942</v>
      </c>
      <c r="B46" s="665"/>
      <c r="C46" s="666"/>
      <c r="D46" s="666"/>
      <c r="E46" s="666"/>
      <c r="F46" s="666"/>
      <c r="G46" s="666"/>
      <c r="H46" s="666"/>
      <c r="I46" s="666"/>
      <c r="J46" s="666"/>
      <c r="K46" s="666"/>
      <c r="L46" s="666"/>
      <c r="M46" s="666"/>
      <c r="N46" s="666"/>
      <c r="O46" s="666"/>
      <c r="P46" s="666"/>
      <c r="Q46" s="666"/>
      <c r="R46" s="666"/>
      <c r="S46" s="666"/>
      <c r="T46" s="666"/>
      <c r="U46" s="666"/>
      <c r="V46" s="666"/>
      <c r="W46" s="666"/>
      <c r="X46" s="666"/>
      <c r="Y46" s="666"/>
      <c r="Z46" s="666"/>
      <c r="AA46" s="666"/>
      <c r="AB46" s="682"/>
      <c r="AC46" s="682"/>
      <c r="AD46" s="682"/>
      <c r="AE46" s="682"/>
      <c r="AF46" s="682"/>
      <c r="AG46" s="682"/>
      <c r="AH46" s="682"/>
      <c r="AI46" s="682"/>
      <c r="AJ46" s="682"/>
      <c r="AK46" s="682"/>
      <c r="AL46" s="682"/>
      <c r="AM46" s="682"/>
      <c r="AN46" s="682"/>
      <c r="AO46" s="682"/>
      <c r="AP46" s="682"/>
      <c r="AQ46" s="682"/>
      <c r="AR46" s="682"/>
      <c r="AS46" s="682"/>
      <c r="AT46" s="682"/>
      <c r="AU46" s="682"/>
    </row>
    <row r="47" spans="1:47" x14ac:dyDescent="0.25">
      <c r="A47" s="681" t="s">
        <v>948</v>
      </c>
      <c r="B47" s="665"/>
      <c r="C47" s="666"/>
      <c r="D47" s="666"/>
      <c r="E47" s="666"/>
      <c r="F47" s="666"/>
      <c r="G47" s="666"/>
      <c r="H47" s="666"/>
      <c r="I47" s="666"/>
      <c r="J47" s="666"/>
      <c r="K47" s="666"/>
      <c r="L47" s="666"/>
      <c r="M47" s="666"/>
      <c r="N47" s="666"/>
      <c r="O47" s="666"/>
      <c r="P47" s="666"/>
      <c r="Q47" s="666"/>
      <c r="R47" s="666"/>
      <c r="S47" s="666"/>
      <c r="T47" s="666"/>
      <c r="U47" s="666"/>
      <c r="V47" s="666"/>
      <c r="W47" s="666"/>
      <c r="X47" s="666"/>
      <c r="Y47" s="666"/>
      <c r="Z47" s="666"/>
      <c r="AA47" s="666"/>
      <c r="AB47" s="682"/>
      <c r="AC47" s="682"/>
      <c r="AD47" s="682"/>
      <c r="AE47" s="682"/>
      <c r="AF47" s="682"/>
      <c r="AG47" s="682"/>
      <c r="AH47" s="682"/>
      <c r="AI47" s="682"/>
      <c r="AJ47" s="682"/>
      <c r="AK47" s="682"/>
      <c r="AL47" s="682"/>
      <c r="AM47" s="682"/>
      <c r="AN47" s="682"/>
      <c r="AO47" s="682"/>
      <c r="AP47" s="682"/>
      <c r="AQ47" s="682"/>
      <c r="AR47" s="682"/>
      <c r="AS47" s="682"/>
      <c r="AT47" s="682"/>
      <c r="AU47" s="682"/>
    </row>
    <row r="48" spans="1:47" x14ac:dyDescent="0.25">
      <c r="A48" s="681" t="s">
        <v>742</v>
      </c>
      <c r="B48" s="665"/>
      <c r="C48" s="666"/>
      <c r="D48" s="666"/>
      <c r="E48" s="666"/>
      <c r="F48" s="666"/>
      <c r="G48" s="666"/>
      <c r="H48" s="666"/>
      <c r="I48" s="666"/>
      <c r="J48" s="666"/>
      <c r="K48" s="666"/>
      <c r="L48" s="666"/>
      <c r="M48" s="666"/>
      <c r="N48" s="666"/>
      <c r="O48" s="666"/>
      <c r="P48" s="666"/>
      <c r="Q48" s="666"/>
      <c r="R48" s="666"/>
      <c r="S48" s="666"/>
      <c r="T48" s="666"/>
      <c r="U48" s="666"/>
      <c r="V48" s="666"/>
      <c r="W48" s="666"/>
      <c r="X48" s="666"/>
      <c r="Y48" s="666"/>
      <c r="Z48" s="666"/>
      <c r="AA48" s="666"/>
      <c r="AB48" s="682"/>
      <c r="AC48" s="682"/>
      <c r="AD48" s="682"/>
      <c r="AE48" s="682"/>
      <c r="AF48" s="682"/>
      <c r="AG48" s="682"/>
      <c r="AH48" s="682"/>
      <c r="AI48" s="682"/>
      <c r="AJ48" s="682"/>
      <c r="AK48" s="682"/>
      <c r="AL48" s="682"/>
      <c r="AM48" s="682"/>
      <c r="AN48" s="682"/>
      <c r="AO48" s="682"/>
      <c r="AP48" s="682"/>
      <c r="AQ48" s="682"/>
      <c r="AR48" s="682"/>
      <c r="AS48" s="682"/>
      <c r="AT48" s="682"/>
      <c r="AU48" s="682"/>
    </row>
    <row r="49" spans="1:47" x14ac:dyDescent="0.25">
      <c r="A49" s="681" t="s">
        <v>747</v>
      </c>
      <c r="B49" s="665"/>
      <c r="C49" s="666"/>
      <c r="D49" s="666"/>
      <c r="E49" s="666"/>
      <c r="F49" s="666"/>
      <c r="G49" s="666"/>
      <c r="H49" s="666"/>
      <c r="I49" s="666"/>
      <c r="J49" s="666"/>
      <c r="K49" s="666"/>
      <c r="L49" s="666"/>
      <c r="M49" s="666"/>
      <c r="N49" s="666"/>
      <c r="O49" s="666"/>
      <c r="P49" s="666"/>
      <c r="Q49" s="666"/>
      <c r="R49" s="666"/>
      <c r="S49" s="666"/>
      <c r="T49" s="666"/>
      <c r="U49" s="666"/>
      <c r="V49" s="666"/>
      <c r="W49" s="666"/>
      <c r="X49" s="666"/>
      <c r="Y49" s="666"/>
      <c r="Z49" s="666"/>
      <c r="AA49" s="666"/>
      <c r="AB49" s="682"/>
      <c r="AC49" s="682"/>
      <c r="AD49" s="682"/>
      <c r="AE49" s="682"/>
      <c r="AF49" s="682"/>
      <c r="AG49" s="682"/>
      <c r="AH49" s="682"/>
      <c r="AI49" s="682"/>
      <c r="AJ49" s="682"/>
      <c r="AK49" s="682"/>
      <c r="AL49" s="682"/>
      <c r="AM49" s="682"/>
      <c r="AN49" s="682"/>
      <c r="AO49" s="682"/>
      <c r="AP49" s="682"/>
      <c r="AQ49" s="682"/>
      <c r="AR49" s="682"/>
      <c r="AS49" s="682"/>
      <c r="AT49" s="682"/>
      <c r="AU49" s="682"/>
    </row>
    <row r="50" spans="1:47" x14ac:dyDescent="0.25">
      <c r="A50" s="681" t="s">
        <v>949</v>
      </c>
      <c r="B50" s="665"/>
      <c r="C50" s="666"/>
      <c r="D50" s="666"/>
      <c r="E50" s="666"/>
      <c r="F50" s="666"/>
      <c r="G50" s="666"/>
      <c r="H50" s="666"/>
      <c r="I50" s="666"/>
      <c r="J50" s="666"/>
      <c r="K50" s="666"/>
      <c r="L50" s="666"/>
      <c r="M50" s="666"/>
      <c r="N50" s="666"/>
      <c r="O50" s="666"/>
      <c r="P50" s="666"/>
      <c r="Q50" s="666"/>
      <c r="R50" s="666"/>
      <c r="S50" s="666"/>
      <c r="T50" s="666"/>
      <c r="U50" s="666"/>
      <c r="V50" s="666"/>
      <c r="W50" s="666"/>
      <c r="X50" s="666"/>
      <c r="Y50" s="666"/>
      <c r="Z50" s="666"/>
      <c r="AA50" s="666"/>
      <c r="AB50" s="682"/>
      <c r="AC50" s="682"/>
      <c r="AD50" s="682"/>
      <c r="AE50" s="682"/>
      <c r="AF50" s="682"/>
      <c r="AG50" s="682"/>
      <c r="AH50" s="682"/>
      <c r="AI50" s="682"/>
      <c r="AJ50" s="682"/>
      <c r="AK50" s="682"/>
      <c r="AL50" s="682"/>
      <c r="AM50" s="682"/>
      <c r="AN50" s="682"/>
      <c r="AO50" s="682"/>
      <c r="AP50" s="682"/>
      <c r="AQ50" s="682"/>
      <c r="AR50" s="682"/>
      <c r="AS50" s="682"/>
      <c r="AT50" s="682"/>
      <c r="AU50" s="682"/>
    </row>
    <row r="51" spans="1:47" x14ac:dyDescent="0.25">
      <c r="A51" s="681" t="s">
        <v>933</v>
      </c>
      <c r="B51" s="665"/>
      <c r="C51" s="666"/>
      <c r="D51" s="666"/>
      <c r="E51" s="666"/>
      <c r="F51" s="666"/>
      <c r="G51" s="666"/>
      <c r="H51" s="666"/>
      <c r="I51" s="666"/>
      <c r="J51" s="666"/>
      <c r="K51" s="666"/>
      <c r="L51" s="666"/>
      <c r="M51" s="666"/>
      <c r="N51" s="666"/>
      <c r="O51" s="666"/>
      <c r="P51" s="666"/>
      <c r="Q51" s="666"/>
      <c r="R51" s="666"/>
      <c r="S51" s="666"/>
      <c r="T51" s="666"/>
      <c r="U51" s="666"/>
      <c r="V51" s="666"/>
      <c r="W51" s="666"/>
      <c r="X51" s="666"/>
      <c r="Y51" s="666"/>
      <c r="Z51" s="666"/>
      <c r="AA51" s="666"/>
      <c r="AB51" s="682"/>
      <c r="AC51" s="682"/>
      <c r="AD51" s="682"/>
      <c r="AE51" s="682"/>
      <c r="AF51" s="682"/>
      <c r="AG51" s="682"/>
      <c r="AH51" s="682"/>
      <c r="AI51" s="682"/>
      <c r="AJ51" s="682"/>
      <c r="AK51" s="682"/>
      <c r="AL51" s="682"/>
      <c r="AM51" s="682"/>
      <c r="AN51" s="682"/>
      <c r="AO51" s="682"/>
      <c r="AP51" s="682"/>
      <c r="AQ51" s="682"/>
      <c r="AR51" s="682"/>
      <c r="AS51" s="682"/>
      <c r="AT51" s="682"/>
      <c r="AU51" s="682"/>
    </row>
    <row r="52" spans="1:47" x14ac:dyDescent="0.25">
      <c r="A52" s="681" t="s">
        <v>939</v>
      </c>
      <c r="B52" s="665"/>
      <c r="C52" s="666"/>
      <c r="D52" s="666"/>
      <c r="E52" s="666"/>
      <c r="F52" s="666"/>
      <c r="G52" s="666"/>
      <c r="H52" s="666"/>
      <c r="I52" s="666"/>
      <c r="J52" s="666"/>
      <c r="K52" s="666"/>
      <c r="L52" s="666"/>
      <c r="M52" s="666"/>
      <c r="N52" s="666"/>
      <c r="O52" s="666"/>
      <c r="P52" s="666"/>
      <c r="Q52" s="666"/>
      <c r="R52" s="666"/>
      <c r="S52" s="666"/>
      <c r="T52" s="666"/>
      <c r="U52" s="666"/>
      <c r="V52" s="666"/>
      <c r="W52" s="666"/>
      <c r="X52" s="666"/>
      <c r="Y52" s="666"/>
      <c r="Z52" s="666"/>
      <c r="AA52" s="666"/>
      <c r="AB52" s="682"/>
      <c r="AC52" s="682"/>
      <c r="AD52" s="682"/>
      <c r="AE52" s="682"/>
      <c r="AF52" s="682"/>
      <c r="AG52" s="682"/>
      <c r="AH52" s="682"/>
      <c r="AI52" s="682"/>
      <c r="AJ52" s="682"/>
      <c r="AK52" s="682"/>
      <c r="AL52" s="682"/>
      <c r="AM52" s="682"/>
      <c r="AN52" s="682"/>
      <c r="AO52" s="682"/>
      <c r="AP52" s="682"/>
      <c r="AQ52" s="682"/>
      <c r="AR52" s="682"/>
      <c r="AS52" s="682"/>
      <c r="AT52" s="682"/>
      <c r="AU52" s="682"/>
    </row>
    <row r="53" spans="1:47" x14ac:dyDescent="0.25">
      <c r="A53" s="681" t="s">
        <v>943</v>
      </c>
      <c r="B53" s="665"/>
      <c r="C53" s="666"/>
      <c r="D53" s="666"/>
      <c r="E53" s="666"/>
      <c r="F53" s="666"/>
      <c r="G53" s="666"/>
      <c r="H53" s="666"/>
      <c r="I53" s="666"/>
      <c r="J53" s="666"/>
      <c r="K53" s="666"/>
      <c r="L53" s="666"/>
      <c r="M53" s="666"/>
      <c r="N53" s="666"/>
      <c r="O53" s="666"/>
      <c r="P53" s="666"/>
      <c r="Q53" s="666"/>
      <c r="R53" s="666"/>
      <c r="S53" s="666"/>
      <c r="T53" s="666"/>
      <c r="U53" s="666"/>
      <c r="V53" s="666"/>
      <c r="W53" s="666"/>
      <c r="X53" s="666"/>
      <c r="Y53" s="666"/>
      <c r="Z53" s="666"/>
      <c r="AA53" s="666"/>
      <c r="AB53" s="682"/>
      <c r="AC53" s="682"/>
      <c r="AD53" s="682"/>
      <c r="AE53" s="682"/>
      <c r="AF53" s="682"/>
      <c r="AG53" s="682"/>
      <c r="AH53" s="682"/>
      <c r="AI53" s="682"/>
      <c r="AJ53" s="682"/>
      <c r="AK53" s="682"/>
      <c r="AL53" s="682"/>
      <c r="AM53" s="682"/>
      <c r="AN53" s="682"/>
      <c r="AO53" s="682"/>
      <c r="AP53" s="682"/>
      <c r="AQ53" s="682"/>
      <c r="AR53" s="682"/>
      <c r="AS53" s="682"/>
      <c r="AT53" s="682"/>
      <c r="AU53" s="682"/>
    </row>
    <row r="54" spans="1:47" x14ac:dyDescent="0.25">
      <c r="A54" s="681" t="s">
        <v>940</v>
      </c>
      <c r="B54" s="665"/>
      <c r="C54" s="666"/>
      <c r="D54" s="666"/>
      <c r="E54" s="666"/>
      <c r="F54" s="666"/>
      <c r="G54" s="666"/>
      <c r="H54" s="666"/>
      <c r="I54" s="666"/>
      <c r="J54" s="666"/>
      <c r="K54" s="666"/>
      <c r="L54" s="666"/>
      <c r="M54" s="666"/>
      <c r="N54" s="666"/>
      <c r="O54" s="666"/>
      <c r="P54" s="666"/>
      <c r="Q54" s="666"/>
      <c r="R54" s="666"/>
      <c r="S54" s="666"/>
      <c r="T54" s="666"/>
      <c r="U54" s="666"/>
      <c r="V54" s="666"/>
      <c r="W54" s="666"/>
      <c r="X54" s="666"/>
      <c r="Y54" s="666"/>
      <c r="Z54" s="666"/>
      <c r="AA54" s="666"/>
      <c r="AB54" s="682"/>
      <c r="AC54" s="682"/>
      <c r="AD54" s="682"/>
      <c r="AE54" s="682"/>
      <c r="AF54" s="682"/>
      <c r="AG54" s="682"/>
      <c r="AH54" s="682"/>
      <c r="AI54" s="682"/>
      <c r="AJ54" s="682"/>
      <c r="AK54" s="682"/>
      <c r="AL54" s="682"/>
      <c r="AM54" s="682"/>
      <c r="AN54" s="682"/>
      <c r="AO54" s="682"/>
      <c r="AP54" s="682"/>
      <c r="AQ54" s="682"/>
      <c r="AR54" s="682"/>
      <c r="AS54" s="682"/>
      <c r="AT54" s="682"/>
      <c r="AU54" s="682"/>
    </row>
    <row r="55" spans="1:47" x14ac:dyDescent="0.25">
      <c r="A55" s="681" t="s">
        <v>743</v>
      </c>
      <c r="B55" s="665"/>
      <c r="C55" s="666"/>
      <c r="D55" s="666"/>
      <c r="E55" s="666"/>
      <c r="F55" s="666"/>
      <c r="G55" s="666"/>
      <c r="H55" s="666"/>
      <c r="I55" s="666"/>
      <c r="J55" s="666"/>
      <c r="K55" s="666"/>
      <c r="L55" s="666"/>
      <c r="M55" s="666"/>
      <c r="N55" s="666"/>
      <c r="O55" s="666"/>
      <c r="P55" s="666"/>
      <c r="Q55" s="666"/>
      <c r="R55" s="666"/>
      <c r="S55" s="666"/>
      <c r="T55" s="666"/>
      <c r="U55" s="666"/>
      <c r="V55" s="666"/>
      <c r="W55" s="666"/>
      <c r="X55" s="666"/>
      <c r="Y55" s="666"/>
      <c r="Z55" s="666"/>
      <c r="AA55" s="666"/>
      <c r="AB55" s="682"/>
      <c r="AC55" s="682"/>
      <c r="AD55" s="682"/>
      <c r="AE55" s="682"/>
      <c r="AF55" s="682"/>
      <c r="AG55" s="682"/>
      <c r="AH55" s="682"/>
      <c r="AI55" s="682"/>
      <c r="AJ55" s="682"/>
      <c r="AK55" s="682"/>
      <c r="AL55" s="682"/>
      <c r="AM55" s="682"/>
      <c r="AN55" s="682"/>
      <c r="AO55" s="682"/>
      <c r="AP55" s="682"/>
      <c r="AQ55" s="682"/>
      <c r="AR55" s="682"/>
      <c r="AS55" s="682"/>
      <c r="AT55" s="682"/>
      <c r="AU55" s="682"/>
    </row>
    <row r="56" spans="1:47" x14ac:dyDescent="0.25">
      <c r="A56" s="681" t="s">
        <v>748</v>
      </c>
      <c r="B56" s="665"/>
      <c r="C56" s="666"/>
      <c r="D56" s="666"/>
      <c r="E56" s="666"/>
      <c r="F56" s="666"/>
      <c r="G56" s="666"/>
      <c r="H56" s="666"/>
      <c r="I56" s="666"/>
      <c r="J56" s="666"/>
      <c r="K56" s="666"/>
      <c r="L56" s="666"/>
      <c r="M56" s="666"/>
      <c r="N56" s="666"/>
      <c r="O56" s="666"/>
      <c r="P56" s="666"/>
      <c r="Q56" s="666"/>
      <c r="R56" s="666"/>
      <c r="S56" s="666"/>
      <c r="T56" s="666"/>
      <c r="U56" s="666"/>
      <c r="V56" s="666"/>
      <c r="W56" s="666"/>
      <c r="X56" s="666"/>
      <c r="Y56" s="666"/>
      <c r="Z56" s="666"/>
      <c r="AA56" s="666"/>
      <c r="AB56" s="682"/>
      <c r="AC56" s="682"/>
      <c r="AD56" s="682"/>
      <c r="AE56" s="682"/>
      <c r="AF56" s="682"/>
      <c r="AG56" s="682"/>
      <c r="AH56" s="682"/>
      <c r="AI56" s="682"/>
      <c r="AJ56" s="682"/>
      <c r="AK56" s="682"/>
      <c r="AL56" s="682"/>
      <c r="AM56" s="682"/>
      <c r="AN56" s="682"/>
      <c r="AO56" s="682"/>
      <c r="AP56" s="682"/>
      <c r="AQ56" s="682"/>
      <c r="AR56" s="682"/>
      <c r="AS56" s="682"/>
      <c r="AT56" s="682"/>
      <c r="AU56" s="682"/>
    </row>
    <row r="57" spans="1:47" x14ac:dyDescent="0.25">
      <c r="A57" s="681" t="s">
        <v>944</v>
      </c>
      <c r="B57" s="665"/>
      <c r="C57" s="666"/>
      <c r="D57" s="666"/>
      <c r="E57" s="666"/>
      <c r="F57" s="666"/>
      <c r="G57" s="666"/>
      <c r="H57" s="666"/>
      <c r="I57" s="666"/>
      <c r="J57" s="666"/>
      <c r="K57" s="666"/>
      <c r="L57" s="666"/>
      <c r="M57" s="666"/>
      <c r="N57" s="666"/>
      <c r="O57" s="666"/>
      <c r="P57" s="666"/>
      <c r="Q57" s="666"/>
      <c r="R57" s="666"/>
      <c r="S57" s="666"/>
      <c r="T57" s="666"/>
      <c r="U57" s="666"/>
      <c r="V57" s="666"/>
      <c r="W57" s="666"/>
      <c r="X57" s="666"/>
      <c r="Y57" s="666"/>
      <c r="Z57" s="666"/>
      <c r="AA57" s="666"/>
      <c r="AB57" s="682"/>
      <c r="AC57" s="682"/>
      <c r="AD57" s="682"/>
      <c r="AE57" s="682"/>
      <c r="AF57" s="682"/>
      <c r="AG57" s="682"/>
      <c r="AH57" s="682"/>
      <c r="AI57" s="682"/>
      <c r="AJ57" s="682"/>
      <c r="AK57" s="682"/>
      <c r="AL57" s="682"/>
      <c r="AM57" s="682"/>
      <c r="AN57" s="682"/>
      <c r="AO57" s="682"/>
      <c r="AP57" s="682"/>
      <c r="AQ57" s="682"/>
      <c r="AR57" s="682"/>
      <c r="AS57" s="682"/>
      <c r="AT57" s="682"/>
      <c r="AU57" s="682"/>
    </row>
    <row r="58" spans="1:47" x14ac:dyDescent="0.25">
      <c r="A58" s="681"/>
      <c r="B58" s="665"/>
      <c r="C58" s="666"/>
      <c r="D58" s="666"/>
      <c r="E58" s="666"/>
      <c r="F58" s="666"/>
      <c r="G58" s="666"/>
      <c r="H58" s="666"/>
      <c r="I58" s="666"/>
      <c r="J58" s="666"/>
      <c r="K58" s="666"/>
      <c r="L58" s="666"/>
      <c r="M58" s="666"/>
      <c r="N58" s="666"/>
      <c r="O58" s="666"/>
      <c r="P58" s="666"/>
      <c r="Q58" s="666"/>
      <c r="R58" s="666"/>
      <c r="S58" s="666"/>
      <c r="T58" s="666"/>
      <c r="U58" s="666"/>
      <c r="V58" s="666"/>
      <c r="W58" s="666"/>
      <c r="X58" s="666"/>
      <c r="Y58" s="666"/>
      <c r="Z58" s="666"/>
      <c r="AA58" s="666"/>
      <c r="AB58" s="682"/>
      <c r="AC58" s="682"/>
      <c r="AD58" s="682"/>
      <c r="AE58" s="682"/>
      <c r="AF58" s="682"/>
      <c r="AG58" s="682"/>
      <c r="AH58" s="682"/>
      <c r="AI58" s="682"/>
      <c r="AJ58" s="682"/>
      <c r="AK58" s="682"/>
      <c r="AL58" s="682"/>
      <c r="AM58" s="682"/>
      <c r="AN58" s="682"/>
      <c r="AO58" s="682"/>
      <c r="AP58" s="682"/>
      <c r="AQ58" s="682"/>
      <c r="AR58" s="682"/>
      <c r="AS58" s="682"/>
      <c r="AT58" s="682"/>
      <c r="AU58" s="682"/>
    </row>
    <row r="59" spans="1:47" x14ac:dyDescent="0.25">
      <c r="A59" s="681"/>
      <c r="B59" s="665"/>
      <c r="C59" s="666"/>
      <c r="D59" s="666"/>
      <c r="E59" s="666"/>
      <c r="F59" s="666"/>
      <c r="G59" s="666"/>
      <c r="H59" s="666"/>
      <c r="I59" s="666"/>
      <c r="J59" s="666"/>
      <c r="K59" s="666"/>
      <c r="L59" s="666"/>
      <c r="M59" s="666"/>
      <c r="N59" s="666"/>
      <c r="O59" s="666"/>
      <c r="P59" s="666"/>
      <c r="Q59" s="666"/>
      <c r="R59" s="666"/>
      <c r="S59" s="666"/>
      <c r="T59" s="666"/>
      <c r="U59" s="666"/>
      <c r="V59" s="666"/>
      <c r="W59" s="666"/>
      <c r="X59" s="666"/>
      <c r="Y59" s="666"/>
      <c r="Z59" s="666"/>
      <c r="AA59" s="666"/>
      <c r="AB59" s="682"/>
      <c r="AC59" s="682"/>
      <c r="AD59" s="682"/>
      <c r="AE59" s="682"/>
      <c r="AF59" s="682"/>
      <c r="AG59" s="682"/>
      <c r="AH59" s="682"/>
      <c r="AI59" s="682"/>
      <c r="AJ59" s="682"/>
      <c r="AK59" s="682"/>
      <c r="AL59" s="682"/>
      <c r="AM59" s="682"/>
      <c r="AN59" s="682"/>
      <c r="AO59" s="682"/>
      <c r="AP59" s="682"/>
      <c r="AQ59" s="682"/>
      <c r="AR59" s="682"/>
      <c r="AS59" s="682"/>
      <c r="AT59" s="682"/>
      <c r="AU59" s="682"/>
    </row>
    <row r="60" spans="1:47" x14ac:dyDescent="0.25">
      <c r="A60" s="681"/>
      <c r="B60" s="665"/>
      <c r="C60" s="666"/>
      <c r="D60" s="666"/>
      <c r="E60" s="666"/>
      <c r="F60" s="666"/>
      <c r="G60" s="666"/>
      <c r="H60" s="666"/>
      <c r="I60" s="666"/>
      <c r="J60" s="666"/>
      <c r="K60" s="666"/>
      <c r="L60" s="666"/>
      <c r="M60" s="666"/>
      <c r="N60" s="666"/>
      <c r="O60" s="666"/>
      <c r="P60" s="666"/>
      <c r="Q60" s="666"/>
      <c r="R60" s="666"/>
      <c r="S60" s="666"/>
      <c r="T60" s="666"/>
      <c r="U60" s="666"/>
      <c r="V60" s="666"/>
      <c r="W60" s="666"/>
      <c r="X60" s="666"/>
      <c r="Y60" s="666"/>
      <c r="Z60" s="666"/>
      <c r="AA60" s="666"/>
      <c r="AB60" s="682"/>
      <c r="AC60" s="682"/>
      <c r="AD60" s="682"/>
      <c r="AE60" s="682"/>
      <c r="AF60" s="682"/>
      <c r="AG60" s="682"/>
      <c r="AH60" s="682"/>
      <c r="AI60" s="682"/>
      <c r="AJ60" s="682"/>
      <c r="AK60" s="682"/>
      <c r="AL60" s="682"/>
      <c r="AM60" s="682"/>
      <c r="AN60" s="682"/>
      <c r="AO60" s="682"/>
      <c r="AP60" s="682"/>
      <c r="AQ60" s="682"/>
      <c r="AR60" s="682"/>
      <c r="AS60" s="682"/>
      <c r="AT60" s="682"/>
      <c r="AU60" s="682"/>
    </row>
    <row r="61" spans="1:47" x14ac:dyDescent="0.25">
      <c r="A61" s="681"/>
      <c r="B61" s="665"/>
      <c r="C61" s="666"/>
      <c r="D61" s="666"/>
      <c r="E61" s="666"/>
      <c r="F61" s="666"/>
      <c r="G61" s="666"/>
      <c r="H61" s="666"/>
      <c r="I61" s="666"/>
      <c r="J61" s="666"/>
      <c r="K61" s="666"/>
      <c r="L61" s="666"/>
      <c r="M61" s="666"/>
      <c r="N61" s="666"/>
      <c r="O61" s="666"/>
      <c r="P61" s="666"/>
      <c r="Q61" s="666"/>
      <c r="R61" s="666"/>
      <c r="S61" s="666"/>
      <c r="T61" s="666"/>
      <c r="U61" s="666"/>
      <c r="V61" s="666"/>
      <c r="W61" s="666"/>
      <c r="X61" s="666"/>
      <c r="Y61" s="666"/>
      <c r="Z61" s="666"/>
      <c r="AA61" s="666"/>
      <c r="AB61" s="682"/>
      <c r="AC61" s="682"/>
      <c r="AD61" s="682"/>
      <c r="AE61" s="682"/>
      <c r="AF61" s="682"/>
      <c r="AG61" s="682"/>
      <c r="AH61" s="682"/>
      <c r="AI61" s="682"/>
      <c r="AJ61" s="682"/>
      <c r="AK61" s="682"/>
      <c r="AL61" s="682"/>
      <c r="AM61" s="682"/>
      <c r="AN61" s="682"/>
      <c r="AO61" s="682"/>
      <c r="AP61" s="682"/>
      <c r="AQ61" s="682"/>
      <c r="AR61" s="682"/>
      <c r="AS61" s="682"/>
      <c r="AT61" s="682"/>
      <c r="AU61" s="682"/>
    </row>
    <row r="62" spans="1:47" x14ac:dyDescent="0.25">
      <c r="A62" s="681"/>
      <c r="B62" s="665"/>
      <c r="C62" s="666"/>
      <c r="D62" s="666"/>
      <c r="E62" s="666"/>
      <c r="F62" s="666"/>
      <c r="G62" s="666"/>
      <c r="H62" s="666"/>
      <c r="I62" s="666"/>
      <c r="J62" s="666"/>
      <c r="K62" s="666"/>
      <c r="L62" s="666"/>
      <c r="M62" s="666"/>
      <c r="N62" s="666"/>
      <c r="O62" s="666"/>
      <c r="P62" s="666"/>
      <c r="Q62" s="666"/>
      <c r="R62" s="666"/>
      <c r="S62" s="666"/>
      <c r="T62" s="666"/>
      <c r="U62" s="666"/>
      <c r="V62" s="666"/>
      <c r="W62" s="666"/>
      <c r="X62" s="666"/>
      <c r="Y62" s="666"/>
      <c r="Z62" s="666"/>
      <c r="AA62" s="666"/>
      <c r="AB62" s="682"/>
      <c r="AC62" s="682"/>
      <c r="AD62" s="682"/>
      <c r="AE62" s="682"/>
      <c r="AF62" s="682"/>
      <c r="AG62" s="682"/>
      <c r="AH62" s="682"/>
      <c r="AI62" s="682"/>
      <c r="AJ62" s="682"/>
      <c r="AK62" s="682"/>
      <c r="AL62" s="682"/>
      <c r="AM62" s="682"/>
      <c r="AN62" s="682"/>
      <c r="AO62" s="682"/>
      <c r="AP62" s="682"/>
      <c r="AQ62" s="682"/>
      <c r="AR62" s="682"/>
      <c r="AS62" s="682"/>
      <c r="AT62" s="682"/>
      <c r="AU62" s="682"/>
    </row>
    <row r="63" spans="1:47" x14ac:dyDescent="0.25">
      <c r="A63" s="681"/>
      <c r="B63" s="665"/>
      <c r="C63" s="666"/>
      <c r="D63" s="666"/>
      <c r="E63" s="666"/>
      <c r="F63" s="666"/>
      <c r="G63" s="666"/>
      <c r="H63" s="666"/>
      <c r="I63" s="666"/>
      <c r="J63" s="666"/>
      <c r="K63" s="666"/>
      <c r="L63" s="666"/>
      <c r="M63" s="666"/>
      <c r="N63" s="666"/>
      <c r="O63" s="666"/>
      <c r="P63" s="666"/>
      <c r="Q63" s="666"/>
      <c r="R63" s="666"/>
      <c r="S63" s="666"/>
      <c r="T63" s="666"/>
      <c r="U63" s="666"/>
      <c r="V63" s="666"/>
      <c r="W63" s="666"/>
      <c r="X63" s="666"/>
      <c r="Y63" s="666"/>
      <c r="Z63" s="666"/>
      <c r="AA63" s="666"/>
      <c r="AB63" s="682"/>
      <c r="AC63" s="682"/>
      <c r="AD63" s="682"/>
      <c r="AE63" s="682"/>
      <c r="AF63" s="682"/>
      <c r="AG63" s="682"/>
      <c r="AH63" s="682"/>
      <c r="AI63" s="682"/>
      <c r="AJ63" s="682"/>
      <c r="AK63" s="682"/>
      <c r="AL63" s="682"/>
      <c r="AM63" s="682"/>
      <c r="AN63" s="682"/>
      <c r="AO63" s="682"/>
      <c r="AP63" s="682"/>
      <c r="AQ63" s="682"/>
      <c r="AR63" s="682"/>
      <c r="AS63" s="682"/>
      <c r="AT63" s="682"/>
      <c r="AU63" s="682"/>
    </row>
    <row r="64" spans="1:47" x14ac:dyDescent="0.25">
      <c r="A64" s="681"/>
      <c r="B64" s="665"/>
      <c r="C64" s="666"/>
      <c r="D64" s="666"/>
      <c r="E64" s="666"/>
      <c r="F64" s="666"/>
      <c r="G64" s="666"/>
      <c r="H64" s="666"/>
      <c r="I64" s="666"/>
      <c r="J64" s="666"/>
      <c r="K64" s="666"/>
      <c r="L64" s="666"/>
      <c r="M64" s="666"/>
      <c r="N64" s="666"/>
      <c r="O64" s="666"/>
      <c r="P64" s="666"/>
      <c r="Q64" s="666"/>
      <c r="R64" s="666"/>
      <c r="S64" s="666"/>
      <c r="T64" s="666"/>
      <c r="U64" s="666"/>
      <c r="V64" s="666"/>
      <c r="W64" s="666"/>
      <c r="X64" s="666"/>
      <c r="Y64" s="666"/>
      <c r="Z64" s="666"/>
      <c r="AA64" s="666"/>
      <c r="AB64" s="682"/>
      <c r="AC64" s="682"/>
      <c r="AD64" s="682"/>
      <c r="AE64" s="682"/>
      <c r="AF64" s="682"/>
      <c r="AG64" s="682"/>
      <c r="AH64" s="682"/>
      <c r="AI64" s="682"/>
      <c r="AJ64" s="682"/>
      <c r="AK64" s="682"/>
      <c r="AL64" s="682"/>
      <c r="AM64" s="682"/>
      <c r="AN64" s="682"/>
      <c r="AO64" s="682"/>
      <c r="AP64" s="682"/>
      <c r="AQ64" s="682"/>
      <c r="AR64" s="682"/>
      <c r="AS64" s="682"/>
      <c r="AT64" s="682"/>
      <c r="AU64" s="682"/>
    </row>
    <row r="65" spans="1:47" x14ac:dyDescent="0.25">
      <c r="A65" s="681"/>
      <c r="B65" s="665"/>
      <c r="C65" s="666"/>
      <c r="D65" s="666"/>
      <c r="E65" s="666"/>
      <c r="F65" s="666"/>
      <c r="G65" s="666"/>
      <c r="H65" s="666"/>
      <c r="I65" s="666"/>
      <c r="J65" s="666"/>
      <c r="K65" s="666"/>
      <c r="L65" s="666"/>
      <c r="M65" s="666"/>
      <c r="N65" s="666"/>
      <c r="O65" s="666"/>
      <c r="P65" s="666"/>
      <c r="Q65" s="666"/>
      <c r="R65" s="666"/>
      <c r="S65" s="666"/>
      <c r="T65" s="666"/>
      <c r="U65" s="666"/>
      <c r="V65" s="666"/>
      <c r="W65" s="666"/>
      <c r="X65" s="666"/>
      <c r="Y65" s="666"/>
      <c r="Z65" s="666"/>
      <c r="AA65" s="666"/>
      <c r="AB65" s="682"/>
      <c r="AC65" s="682"/>
      <c r="AD65" s="682"/>
      <c r="AE65" s="682"/>
      <c r="AF65" s="682"/>
      <c r="AG65" s="682"/>
      <c r="AH65" s="682"/>
      <c r="AI65" s="682"/>
      <c r="AJ65" s="682"/>
      <c r="AK65" s="682"/>
      <c r="AL65" s="682"/>
      <c r="AM65" s="682"/>
      <c r="AN65" s="682"/>
      <c r="AO65" s="682"/>
      <c r="AP65" s="682"/>
      <c r="AQ65" s="682"/>
      <c r="AR65" s="682"/>
      <c r="AS65" s="682"/>
      <c r="AT65" s="682"/>
      <c r="AU65" s="682"/>
    </row>
    <row r="66" spans="1:47" x14ac:dyDescent="0.25">
      <c r="A66" s="681"/>
      <c r="B66" s="665"/>
      <c r="C66" s="666"/>
      <c r="D66" s="666"/>
      <c r="E66" s="666"/>
      <c r="F66" s="666"/>
      <c r="G66" s="666"/>
      <c r="H66" s="666"/>
      <c r="I66" s="666"/>
      <c r="J66" s="666"/>
      <c r="K66" s="666"/>
      <c r="L66" s="666"/>
      <c r="M66" s="666"/>
      <c r="N66" s="666"/>
      <c r="O66" s="666"/>
      <c r="P66" s="666"/>
      <c r="Q66" s="666"/>
      <c r="R66" s="666"/>
      <c r="S66" s="666"/>
      <c r="T66" s="666"/>
      <c r="U66" s="666"/>
      <c r="V66" s="666"/>
      <c r="W66" s="666"/>
      <c r="X66" s="666"/>
      <c r="Y66" s="666"/>
      <c r="Z66" s="666"/>
      <c r="AA66" s="666"/>
      <c r="AB66" s="682"/>
      <c r="AC66" s="682"/>
      <c r="AD66" s="682"/>
      <c r="AE66" s="682"/>
      <c r="AF66" s="682"/>
      <c r="AG66" s="682"/>
      <c r="AH66" s="682"/>
      <c r="AI66" s="682"/>
      <c r="AJ66" s="682"/>
      <c r="AK66" s="682"/>
      <c r="AL66" s="682"/>
      <c r="AM66" s="682"/>
      <c r="AN66" s="682"/>
      <c r="AO66" s="682"/>
      <c r="AP66" s="682"/>
      <c r="AQ66" s="682"/>
      <c r="AR66" s="682"/>
      <c r="AS66" s="682"/>
      <c r="AT66" s="682"/>
      <c r="AU66" s="682"/>
    </row>
    <row r="67" spans="1:47" x14ac:dyDescent="0.25">
      <c r="A67" s="681"/>
      <c r="B67" s="665"/>
      <c r="C67" s="666"/>
      <c r="D67" s="666"/>
      <c r="E67" s="666"/>
      <c r="F67" s="666"/>
      <c r="G67" s="666"/>
      <c r="H67" s="666"/>
      <c r="I67" s="666"/>
      <c r="J67" s="666"/>
      <c r="K67" s="666"/>
      <c r="L67" s="666"/>
      <c r="M67" s="666"/>
      <c r="N67" s="666"/>
      <c r="O67" s="666"/>
      <c r="P67" s="666"/>
      <c r="Q67" s="666"/>
      <c r="R67" s="666"/>
      <c r="S67" s="666"/>
      <c r="T67" s="666"/>
      <c r="U67" s="666"/>
      <c r="V67" s="666"/>
      <c r="W67" s="666"/>
      <c r="X67" s="666"/>
      <c r="Y67" s="666"/>
      <c r="Z67" s="666"/>
      <c r="AA67" s="666"/>
      <c r="AB67" s="682"/>
      <c r="AC67" s="682"/>
      <c r="AD67" s="682"/>
      <c r="AE67" s="682"/>
      <c r="AF67" s="682"/>
      <c r="AG67" s="682"/>
      <c r="AH67" s="682"/>
      <c r="AI67" s="682"/>
      <c r="AJ67" s="682"/>
      <c r="AK67" s="682"/>
      <c r="AL67" s="682"/>
      <c r="AM67" s="682"/>
      <c r="AN67" s="682"/>
      <c r="AO67" s="682"/>
      <c r="AP67" s="682"/>
      <c r="AQ67" s="682"/>
      <c r="AR67" s="682"/>
      <c r="AS67" s="682"/>
      <c r="AT67" s="682"/>
      <c r="AU67" s="682"/>
    </row>
    <row r="68" spans="1:47" x14ac:dyDescent="0.25">
      <c r="A68" s="681"/>
      <c r="B68" s="665"/>
      <c r="C68" s="666"/>
      <c r="D68" s="666"/>
      <c r="E68" s="666"/>
      <c r="F68" s="666"/>
      <c r="G68" s="666"/>
      <c r="H68" s="666"/>
      <c r="I68" s="666"/>
      <c r="J68" s="666"/>
      <c r="K68" s="666"/>
      <c r="L68" s="666"/>
      <c r="M68" s="666"/>
      <c r="N68" s="666"/>
      <c r="O68" s="666"/>
      <c r="P68" s="666"/>
      <c r="Q68" s="666"/>
      <c r="R68" s="666"/>
      <c r="S68" s="666"/>
      <c r="T68" s="666"/>
      <c r="U68" s="666"/>
      <c r="V68" s="666"/>
      <c r="W68" s="666"/>
      <c r="X68" s="666"/>
      <c r="Y68" s="666"/>
      <c r="Z68" s="666"/>
      <c r="AA68" s="666"/>
      <c r="AB68" s="682"/>
      <c r="AC68" s="682"/>
      <c r="AD68" s="682"/>
      <c r="AE68" s="682"/>
      <c r="AF68" s="682"/>
      <c r="AG68" s="682"/>
      <c r="AH68" s="682"/>
      <c r="AI68" s="682"/>
      <c r="AJ68" s="682"/>
      <c r="AK68" s="682"/>
      <c r="AL68" s="682"/>
      <c r="AM68" s="682"/>
      <c r="AN68" s="682"/>
      <c r="AO68" s="682"/>
      <c r="AP68" s="682"/>
      <c r="AQ68" s="682"/>
      <c r="AR68" s="682"/>
      <c r="AS68" s="682"/>
      <c r="AT68" s="682"/>
      <c r="AU68" s="682"/>
    </row>
    <row r="69" spans="1:47" x14ac:dyDescent="0.25">
      <c r="A69" s="681"/>
      <c r="B69" s="665"/>
      <c r="C69" s="666"/>
      <c r="D69" s="666"/>
      <c r="E69" s="666"/>
      <c r="F69" s="666"/>
      <c r="G69" s="666"/>
      <c r="H69" s="666"/>
      <c r="I69" s="666"/>
      <c r="J69" s="666"/>
      <c r="K69" s="666"/>
      <c r="L69" s="666"/>
      <c r="M69" s="666"/>
      <c r="N69" s="666"/>
      <c r="O69" s="666"/>
      <c r="P69" s="666"/>
      <c r="Q69" s="666"/>
      <c r="R69" s="666"/>
      <c r="S69" s="666"/>
      <c r="T69" s="666"/>
      <c r="U69" s="666"/>
      <c r="V69" s="666"/>
      <c r="W69" s="666"/>
      <c r="X69" s="666"/>
      <c r="Y69" s="666"/>
      <c r="Z69" s="666"/>
      <c r="AA69" s="666"/>
      <c r="AB69" s="682"/>
      <c r="AC69" s="682"/>
      <c r="AD69" s="682"/>
      <c r="AE69" s="682"/>
      <c r="AF69" s="682"/>
      <c r="AG69" s="682"/>
      <c r="AH69" s="682"/>
      <c r="AI69" s="682"/>
      <c r="AJ69" s="682"/>
      <c r="AK69" s="682"/>
      <c r="AL69" s="682"/>
      <c r="AM69" s="682"/>
      <c r="AN69" s="682"/>
      <c r="AO69" s="682"/>
      <c r="AP69" s="682"/>
      <c r="AQ69" s="682"/>
      <c r="AR69" s="682"/>
      <c r="AS69" s="682"/>
      <c r="AT69" s="682"/>
      <c r="AU69" s="682"/>
    </row>
    <row r="70" spans="1:47" x14ac:dyDescent="0.25">
      <c r="A70" s="681"/>
      <c r="B70" s="665"/>
      <c r="C70" s="666"/>
      <c r="D70" s="666"/>
      <c r="E70" s="666"/>
      <c r="F70" s="666"/>
      <c r="G70" s="666"/>
      <c r="H70" s="666"/>
      <c r="I70" s="666"/>
      <c r="J70" s="666"/>
      <c r="K70" s="666"/>
      <c r="L70" s="666"/>
      <c r="M70" s="666"/>
      <c r="N70" s="666"/>
      <c r="O70" s="666"/>
      <c r="P70" s="666"/>
      <c r="Q70" s="666"/>
      <c r="R70" s="666"/>
      <c r="S70" s="666"/>
      <c r="T70" s="666"/>
      <c r="U70" s="666"/>
      <c r="V70" s="666"/>
      <c r="W70" s="666"/>
      <c r="X70" s="666"/>
      <c r="Y70" s="666"/>
      <c r="Z70" s="666"/>
      <c r="AA70" s="666"/>
      <c r="AB70" s="682"/>
      <c r="AC70" s="682"/>
      <c r="AD70" s="682"/>
      <c r="AE70" s="682"/>
      <c r="AF70" s="682"/>
      <c r="AG70" s="682"/>
      <c r="AH70" s="682"/>
      <c r="AI70" s="682"/>
      <c r="AJ70" s="682"/>
      <c r="AK70" s="682"/>
      <c r="AL70" s="682"/>
      <c r="AM70" s="682"/>
      <c r="AN70" s="682"/>
      <c r="AO70" s="682"/>
      <c r="AP70" s="682"/>
      <c r="AQ70" s="682"/>
      <c r="AR70" s="682"/>
      <c r="AS70" s="682"/>
      <c r="AT70" s="682"/>
      <c r="AU70" s="682"/>
    </row>
    <row r="71" spans="1:47" x14ac:dyDescent="0.25">
      <c r="A71" s="681"/>
      <c r="B71" s="665"/>
      <c r="C71" s="666"/>
      <c r="D71" s="666"/>
      <c r="E71" s="666"/>
      <c r="F71" s="666"/>
      <c r="G71" s="666"/>
      <c r="H71" s="666"/>
      <c r="I71" s="666"/>
      <c r="J71" s="666"/>
      <c r="K71" s="666"/>
      <c r="L71" s="666"/>
      <c r="M71" s="666"/>
      <c r="N71" s="666"/>
      <c r="O71" s="666"/>
      <c r="P71" s="666"/>
      <c r="Q71" s="666"/>
      <c r="R71" s="666"/>
      <c r="S71" s="666"/>
      <c r="T71" s="666"/>
      <c r="U71" s="666"/>
      <c r="V71" s="666"/>
      <c r="W71" s="666"/>
      <c r="X71" s="666"/>
      <c r="Y71" s="666"/>
      <c r="Z71" s="666"/>
      <c r="AA71" s="666"/>
      <c r="AB71" s="682"/>
      <c r="AC71" s="682"/>
      <c r="AD71" s="682"/>
      <c r="AE71" s="682"/>
      <c r="AF71" s="682"/>
      <c r="AG71" s="682"/>
      <c r="AH71" s="682"/>
      <c r="AI71" s="682"/>
      <c r="AJ71" s="682"/>
      <c r="AK71" s="682"/>
      <c r="AL71" s="682"/>
      <c r="AM71" s="682"/>
      <c r="AN71" s="682"/>
      <c r="AO71" s="682"/>
      <c r="AP71" s="682"/>
      <c r="AQ71" s="682"/>
      <c r="AR71" s="682"/>
      <c r="AS71" s="682"/>
      <c r="AT71" s="682"/>
      <c r="AU71" s="682"/>
    </row>
    <row r="72" spans="1:47" x14ac:dyDescent="0.25">
      <c r="A72" s="681"/>
      <c r="B72" s="665"/>
      <c r="C72" s="666"/>
      <c r="D72" s="666"/>
      <c r="E72" s="666"/>
      <c r="F72" s="666"/>
      <c r="G72" s="666"/>
      <c r="H72" s="666"/>
      <c r="I72" s="666"/>
      <c r="J72" s="666"/>
      <c r="K72" s="666"/>
      <c r="L72" s="666"/>
      <c r="M72" s="666"/>
      <c r="N72" s="666"/>
      <c r="O72" s="666"/>
      <c r="P72" s="666"/>
      <c r="Q72" s="666"/>
      <c r="R72" s="666"/>
      <c r="S72" s="666"/>
      <c r="T72" s="666"/>
      <c r="U72" s="666"/>
      <c r="V72" s="666"/>
      <c r="W72" s="666"/>
      <c r="X72" s="666"/>
      <c r="Y72" s="666"/>
      <c r="Z72" s="666"/>
      <c r="AA72" s="666"/>
      <c r="AB72" s="682"/>
      <c r="AC72" s="682"/>
      <c r="AD72" s="682"/>
      <c r="AE72" s="682"/>
      <c r="AF72" s="682"/>
      <c r="AG72" s="682"/>
      <c r="AH72" s="682"/>
      <c r="AI72" s="682"/>
      <c r="AJ72" s="682"/>
      <c r="AK72" s="682"/>
      <c r="AL72" s="682"/>
      <c r="AM72" s="682"/>
      <c r="AN72" s="682"/>
      <c r="AO72" s="682"/>
      <c r="AP72" s="682"/>
      <c r="AQ72" s="682"/>
      <c r="AR72" s="682"/>
      <c r="AS72" s="682"/>
      <c r="AT72" s="682"/>
      <c r="AU72" s="682"/>
    </row>
    <row r="73" spans="1:47" x14ac:dyDescent="0.25">
      <c r="A73" s="681"/>
      <c r="B73" s="665"/>
      <c r="C73" s="666"/>
      <c r="D73" s="666"/>
      <c r="E73" s="666"/>
      <c r="F73" s="666"/>
      <c r="G73" s="666"/>
      <c r="H73" s="666"/>
      <c r="I73" s="666"/>
      <c r="J73" s="666"/>
      <c r="K73" s="666"/>
      <c r="L73" s="666"/>
      <c r="M73" s="666"/>
      <c r="N73" s="666"/>
      <c r="O73" s="666"/>
      <c r="P73" s="666"/>
      <c r="Q73" s="666"/>
      <c r="R73" s="666"/>
      <c r="S73" s="666"/>
      <c r="T73" s="666"/>
      <c r="U73" s="666"/>
      <c r="V73" s="666"/>
      <c r="W73" s="666"/>
      <c r="X73" s="666"/>
      <c r="Y73" s="666"/>
      <c r="Z73" s="666"/>
      <c r="AA73" s="666"/>
      <c r="AB73" s="682"/>
      <c r="AC73" s="682"/>
      <c r="AD73" s="682"/>
      <c r="AE73" s="682"/>
      <c r="AF73" s="682"/>
      <c r="AG73" s="682"/>
      <c r="AH73" s="682"/>
      <c r="AI73" s="682"/>
      <c r="AJ73" s="682"/>
      <c r="AK73" s="682"/>
      <c r="AL73" s="682"/>
      <c r="AM73" s="682"/>
      <c r="AN73" s="682"/>
      <c r="AO73" s="682"/>
      <c r="AP73" s="682"/>
      <c r="AQ73" s="682"/>
      <c r="AR73" s="682"/>
      <c r="AS73" s="682"/>
      <c r="AT73" s="682"/>
      <c r="AU73" s="682"/>
    </row>
    <row r="74" spans="1:47" x14ac:dyDescent="0.25">
      <c r="A74" s="681"/>
      <c r="B74" s="665"/>
      <c r="C74" s="666"/>
      <c r="D74" s="666"/>
      <c r="E74" s="666"/>
      <c r="F74" s="666"/>
      <c r="G74" s="666"/>
      <c r="H74" s="666"/>
      <c r="I74" s="666"/>
      <c r="J74" s="666"/>
      <c r="K74" s="666"/>
      <c r="L74" s="666"/>
      <c r="M74" s="666"/>
      <c r="N74" s="666"/>
      <c r="O74" s="666"/>
      <c r="P74" s="666"/>
      <c r="Q74" s="666"/>
      <c r="R74" s="666"/>
      <c r="S74" s="666"/>
      <c r="T74" s="666"/>
      <c r="U74" s="666"/>
      <c r="V74" s="666"/>
      <c r="W74" s="666"/>
      <c r="X74" s="666"/>
      <c r="Y74" s="666"/>
      <c r="Z74" s="666"/>
      <c r="AA74" s="666"/>
      <c r="AB74" s="682"/>
      <c r="AC74" s="682"/>
      <c r="AD74" s="682"/>
      <c r="AE74" s="682"/>
      <c r="AF74" s="682"/>
      <c r="AG74" s="682"/>
      <c r="AH74" s="682"/>
      <c r="AI74" s="682"/>
      <c r="AJ74" s="682"/>
      <c r="AK74" s="682"/>
      <c r="AL74" s="682"/>
      <c r="AM74" s="682"/>
      <c r="AN74" s="682"/>
      <c r="AO74" s="682"/>
      <c r="AP74" s="682"/>
      <c r="AQ74" s="682"/>
      <c r="AR74" s="682"/>
      <c r="AS74" s="682"/>
      <c r="AT74" s="682"/>
      <c r="AU74" s="682"/>
    </row>
    <row r="75" spans="1:47" x14ac:dyDescent="0.25">
      <c r="A75" s="681"/>
      <c r="B75" s="665"/>
      <c r="C75" s="666"/>
      <c r="D75" s="666"/>
      <c r="E75" s="666"/>
      <c r="F75" s="666"/>
      <c r="G75" s="666"/>
      <c r="H75" s="666"/>
      <c r="I75" s="666"/>
      <c r="J75" s="666"/>
      <c r="K75" s="666"/>
      <c r="L75" s="666"/>
      <c r="M75" s="666"/>
      <c r="N75" s="666"/>
      <c r="O75" s="666"/>
      <c r="P75" s="666"/>
      <c r="Q75" s="666"/>
      <c r="R75" s="666"/>
      <c r="S75" s="666"/>
      <c r="T75" s="666"/>
      <c r="U75" s="666"/>
      <c r="V75" s="666"/>
      <c r="W75" s="666"/>
      <c r="X75" s="666"/>
      <c r="Y75" s="666"/>
      <c r="Z75" s="666"/>
      <c r="AA75" s="666"/>
      <c r="AB75" s="682"/>
      <c r="AC75" s="682"/>
      <c r="AD75" s="682"/>
      <c r="AE75" s="682"/>
      <c r="AF75" s="682"/>
      <c r="AG75" s="682"/>
      <c r="AH75" s="682"/>
      <c r="AI75" s="682"/>
      <c r="AJ75" s="682"/>
      <c r="AK75" s="682"/>
      <c r="AL75" s="682"/>
      <c r="AM75" s="682"/>
      <c r="AN75" s="682"/>
      <c r="AO75" s="682"/>
      <c r="AP75" s="682"/>
      <c r="AQ75" s="682"/>
      <c r="AR75" s="682"/>
      <c r="AS75" s="682"/>
      <c r="AT75" s="682"/>
      <c r="AU75" s="682"/>
    </row>
    <row r="76" spans="1:47" x14ac:dyDescent="0.25">
      <c r="A76" s="681"/>
      <c r="B76" s="665"/>
      <c r="C76" s="666"/>
      <c r="D76" s="666"/>
      <c r="E76" s="666"/>
      <c r="F76" s="666"/>
      <c r="G76" s="666"/>
      <c r="H76" s="666"/>
      <c r="I76" s="666"/>
      <c r="J76" s="666"/>
      <c r="K76" s="666"/>
      <c r="L76" s="666"/>
      <c r="M76" s="666"/>
      <c r="N76" s="666"/>
      <c r="O76" s="666"/>
      <c r="P76" s="666"/>
      <c r="Q76" s="666"/>
      <c r="R76" s="666"/>
      <c r="S76" s="666"/>
      <c r="T76" s="666"/>
      <c r="U76" s="666"/>
      <c r="V76" s="666"/>
      <c r="W76" s="666"/>
      <c r="X76" s="666"/>
      <c r="Y76" s="666"/>
      <c r="Z76" s="666"/>
      <c r="AA76" s="666"/>
      <c r="AB76" s="682"/>
      <c r="AC76" s="682"/>
      <c r="AD76" s="682"/>
      <c r="AE76" s="682"/>
      <c r="AF76" s="682"/>
      <c r="AG76" s="682"/>
      <c r="AH76" s="682"/>
      <c r="AI76" s="682"/>
      <c r="AJ76" s="682"/>
      <c r="AK76" s="682"/>
      <c r="AL76" s="682"/>
      <c r="AM76" s="682"/>
      <c r="AN76" s="682"/>
      <c r="AO76" s="682"/>
      <c r="AP76" s="682"/>
      <c r="AQ76" s="682"/>
      <c r="AR76" s="682"/>
      <c r="AS76" s="682"/>
      <c r="AT76" s="682"/>
      <c r="AU76" s="682"/>
    </row>
    <row r="77" spans="1:47" x14ac:dyDescent="0.25">
      <c r="A77" s="681"/>
      <c r="B77" s="665"/>
      <c r="C77" s="666"/>
      <c r="D77" s="666"/>
      <c r="E77" s="666"/>
      <c r="F77" s="666"/>
      <c r="G77" s="666"/>
      <c r="H77" s="666"/>
      <c r="I77" s="666"/>
      <c r="J77" s="666"/>
      <c r="K77" s="666"/>
      <c r="L77" s="666"/>
      <c r="M77" s="666"/>
      <c r="N77" s="666"/>
      <c r="O77" s="666"/>
      <c r="P77" s="666"/>
      <c r="Q77" s="666"/>
      <c r="R77" s="666"/>
      <c r="S77" s="666"/>
      <c r="T77" s="666"/>
      <c r="U77" s="666"/>
      <c r="V77" s="666"/>
      <c r="W77" s="666"/>
      <c r="X77" s="666"/>
      <c r="Y77" s="666"/>
      <c r="Z77" s="666"/>
      <c r="AA77" s="666"/>
      <c r="AB77" s="682"/>
      <c r="AC77" s="682"/>
      <c r="AD77" s="682"/>
      <c r="AE77" s="682"/>
      <c r="AF77" s="682"/>
      <c r="AG77" s="682"/>
      <c r="AH77" s="682"/>
      <c r="AI77" s="682"/>
      <c r="AJ77" s="682"/>
      <c r="AK77" s="682"/>
      <c r="AL77" s="682"/>
      <c r="AM77" s="682"/>
      <c r="AN77" s="682"/>
      <c r="AO77" s="682"/>
      <c r="AP77" s="682"/>
      <c r="AQ77" s="682"/>
      <c r="AR77" s="682"/>
      <c r="AS77" s="682"/>
      <c r="AT77" s="682"/>
      <c r="AU77" s="682"/>
    </row>
    <row r="78" spans="1:47" x14ac:dyDescent="0.25">
      <c r="A78" s="681"/>
      <c r="B78" s="665"/>
      <c r="C78" s="666"/>
      <c r="D78" s="666"/>
      <c r="E78" s="666"/>
      <c r="F78" s="666"/>
      <c r="G78" s="666"/>
      <c r="H78" s="666"/>
      <c r="I78" s="666"/>
      <c r="J78" s="666"/>
      <c r="K78" s="666"/>
      <c r="L78" s="666"/>
      <c r="M78" s="666"/>
      <c r="N78" s="666"/>
      <c r="O78" s="666"/>
      <c r="P78" s="666"/>
      <c r="Q78" s="666"/>
      <c r="R78" s="666"/>
      <c r="S78" s="666"/>
      <c r="T78" s="666"/>
      <c r="U78" s="666"/>
      <c r="V78" s="666"/>
      <c r="W78" s="666"/>
      <c r="X78" s="666"/>
      <c r="Y78" s="666"/>
      <c r="Z78" s="666"/>
      <c r="AA78" s="666"/>
      <c r="AB78" s="682"/>
      <c r="AC78" s="682"/>
      <c r="AD78" s="682"/>
      <c r="AE78" s="682"/>
      <c r="AF78" s="682"/>
      <c r="AG78" s="682"/>
      <c r="AH78" s="682"/>
      <c r="AI78" s="682"/>
      <c r="AJ78" s="682"/>
      <c r="AK78" s="682"/>
      <c r="AL78" s="682"/>
      <c r="AM78" s="682"/>
      <c r="AN78" s="682"/>
      <c r="AO78" s="682"/>
      <c r="AP78" s="682"/>
      <c r="AQ78" s="682"/>
      <c r="AR78" s="682"/>
      <c r="AS78" s="682"/>
      <c r="AT78" s="682"/>
      <c r="AU78" s="682"/>
    </row>
    <row r="79" spans="1:47" x14ac:dyDescent="0.25">
      <c r="A79" s="681"/>
      <c r="B79" s="665"/>
      <c r="C79" s="666"/>
      <c r="D79" s="666"/>
      <c r="E79" s="666"/>
      <c r="F79" s="666"/>
      <c r="G79" s="666"/>
      <c r="H79" s="666"/>
      <c r="I79" s="666"/>
      <c r="J79" s="666"/>
      <c r="K79" s="666"/>
      <c r="L79" s="666"/>
      <c r="M79" s="666"/>
      <c r="N79" s="666"/>
      <c r="O79" s="666"/>
      <c r="P79" s="666"/>
      <c r="Q79" s="666"/>
      <c r="R79" s="666"/>
      <c r="S79" s="666"/>
      <c r="T79" s="666"/>
      <c r="U79" s="666"/>
      <c r="V79" s="666"/>
      <c r="W79" s="666"/>
      <c r="X79" s="666"/>
      <c r="Y79" s="666"/>
      <c r="Z79" s="666"/>
      <c r="AA79" s="666"/>
      <c r="AB79" s="682"/>
      <c r="AC79" s="682"/>
      <c r="AD79" s="682"/>
      <c r="AE79" s="682"/>
      <c r="AF79" s="682"/>
      <c r="AG79" s="682"/>
      <c r="AH79" s="682"/>
      <c r="AI79" s="682"/>
      <c r="AJ79" s="682"/>
      <c r="AK79" s="682"/>
      <c r="AL79" s="682"/>
      <c r="AM79" s="682"/>
      <c r="AN79" s="682"/>
      <c r="AO79" s="682"/>
      <c r="AP79" s="682"/>
      <c r="AQ79" s="682"/>
      <c r="AR79" s="682"/>
      <c r="AS79" s="682"/>
      <c r="AT79" s="682"/>
      <c r="AU79" s="682"/>
    </row>
    <row r="80" spans="1:47" x14ac:dyDescent="0.25">
      <c r="A80" s="681"/>
      <c r="B80" s="665"/>
      <c r="C80" s="666"/>
      <c r="D80" s="666"/>
      <c r="E80" s="666"/>
      <c r="F80" s="666"/>
      <c r="G80" s="666"/>
      <c r="H80" s="666"/>
      <c r="I80" s="666"/>
      <c r="J80" s="666"/>
      <c r="K80" s="666"/>
      <c r="L80" s="666"/>
      <c r="M80" s="666"/>
      <c r="N80" s="666"/>
      <c r="O80" s="666"/>
      <c r="P80" s="666"/>
      <c r="Q80" s="666"/>
      <c r="R80" s="666"/>
      <c r="S80" s="666"/>
      <c r="T80" s="666"/>
      <c r="U80" s="666"/>
      <c r="V80" s="666"/>
      <c r="W80" s="666"/>
      <c r="X80" s="666"/>
      <c r="Y80" s="666"/>
      <c r="Z80" s="666"/>
      <c r="AA80" s="666"/>
      <c r="AB80" s="682"/>
      <c r="AC80" s="682"/>
      <c r="AD80" s="682"/>
      <c r="AE80" s="682"/>
      <c r="AF80" s="682"/>
      <c r="AG80" s="682"/>
      <c r="AH80" s="682"/>
      <c r="AI80" s="682"/>
      <c r="AJ80" s="682"/>
      <c r="AK80" s="682"/>
      <c r="AL80" s="682"/>
      <c r="AM80" s="682"/>
      <c r="AN80" s="682"/>
      <c r="AO80" s="682"/>
      <c r="AP80" s="682"/>
      <c r="AQ80" s="682"/>
      <c r="AR80" s="682"/>
      <c r="AS80" s="682"/>
      <c r="AT80" s="682"/>
      <c r="AU80" s="682"/>
    </row>
    <row r="81" spans="1:47" x14ac:dyDescent="0.25">
      <c r="A81" s="681"/>
      <c r="B81" s="665"/>
      <c r="C81" s="666"/>
      <c r="D81" s="666"/>
      <c r="E81" s="666"/>
      <c r="F81" s="666"/>
      <c r="G81" s="666"/>
      <c r="H81" s="666"/>
      <c r="I81" s="666"/>
      <c r="J81" s="666"/>
      <c r="K81" s="666"/>
      <c r="L81" s="666"/>
      <c r="M81" s="666"/>
      <c r="N81" s="666"/>
      <c r="O81" s="666"/>
      <c r="P81" s="666"/>
      <c r="Q81" s="666"/>
      <c r="R81" s="666"/>
      <c r="S81" s="666"/>
      <c r="T81" s="666"/>
      <c r="U81" s="666"/>
      <c r="V81" s="666"/>
      <c r="W81" s="666"/>
      <c r="X81" s="666"/>
      <c r="Y81" s="666"/>
      <c r="Z81" s="666"/>
      <c r="AA81" s="666"/>
      <c r="AB81" s="682"/>
      <c r="AC81" s="682"/>
      <c r="AD81" s="682"/>
      <c r="AE81" s="682"/>
      <c r="AF81" s="682"/>
      <c r="AG81" s="682"/>
      <c r="AH81" s="682"/>
      <c r="AI81" s="682"/>
      <c r="AJ81" s="682"/>
      <c r="AK81" s="682"/>
      <c r="AL81" s="682"/>
      <c r="AM81" s="682"/>
      <c r="AN81" s="682"/>
      <c r="AO81" s="682"/>
      <c r="AP81" s="682"/>
      <c r="AQ81" s="682"/>
      <c r="AR81" s="682"/>
      <c r="AS81" s="682"/>
      <c r="AT81" s="682"/>
      <c r="AU81" s="682"/>
    </row>
    <row r="82" spans="1:47" x14ac:dyDescent="0.25">
      <c r="A82" s="681"/>
      <c r="B82" s="665"/>
      <c r="C82" s="666"/>
      <c r="D82" s="666"/>
      <c r="E82" s="666"/>
      <c r="F82" s="666"/>
      <c r="G82" s="666"/>
      <c r="H82" s="666"/>
      <c r="I82" s="666"/>
      <c r="J82" s="666"/>
      <c r="K82" s="666"/>
      <c r="L82" s="666"/>
      <c r="M82" s="666"/>
      <c r="N82" s="666"/>
      <c r="O82" s="666"/>
      <c r="P82" s="666"/>
      <c r="Q82" s="666"/>
      <c r="R82" s="666"/>
      <c r="S82" s="666"/>
      <c r="T82" s="666"/>
      <c r="U82" s="666"/>
      <c r="V82" s="666"/>
      <c r="W82" s="666"/>
      <c r="X82" s="666"/>
      <c r="Y82" s="666"/>
      <c r="Z82" s="666"/>
      <c r="AA82" s="666"/>
      <c r="AB82" s="682"/>
      <c r="AC82" s="682"/>
      <c r="AD82" s="682"/>
      <c r="AE82" s="682"/>
      <c r="AF82" s="682"/>
      <c r="AG82" s="682"/>
      <c r="AH82" s="682"/>
      <c r="AI82" s="682"/>
      <c r="AJ82" s="682"/>
      <c r="AK82" s="682"/>
      <c r="AL82" s="682"/>
      <c r="AM82" s="682"/>
      <c r="AN82" s="682"/>
      <c r="AO82" s="682"/>
      <c r="AP82" s="682"/>
      <c r="AQ82" s="682"/>
      <c r="AR82" s="682"/>
      <c r="AS82" s="682"/>
      <c r="AT82" s="682"/>
      <c r="AU82" s="682"/>
    </row>
    <row r="83" spans="1:47" x14ac:dyDescent="0.25">
      <c r="A83" s="666"/>
      <c r="B83" s="665"/>
      <c r="C83" s="666"/>
      <c r="D83" s="666"/>
      <c r="E83" s="666"/>
      <c r="F83" s="666"/>
      <c r="G83" s="666"/>
      <c r="H83" s="666"/>
      <c r="I83" s="666"/>
      <c r="J83" s="666"/>
      <c r="K83" s="666"/>
      <c r="L83" s="666"/>
      <c r="M83" s="666"/>
      <c r="N83" s="666"/>
      <c r="O83" s="666"/>
      <c r="P83" s="666"/>
      <c r="Q83" s="666"/>
      <c r="R83" s="666"/>
      <c r="S83" s="666"/>
      <c r="T83" s="666"/>
      <c r="U83" s="666"/>
      <c r="V83" s="666"/>
      <c r="W83" s="666"/>
      <c r="X83" s="666"/>
      <c r="Y83" s="666"/>
      <c r="Z83" s="666"/>
      <c r="AA83" s="666"/>
      <c r="AB83" s="682"/>
      <c r="AC83" s="682"/>
      <c r="AD83" s="682"/>
      <c r="AE83" s="682"/>
      <c r="AF83" s="682"/>
      <c r="AG83" s="682"/>
      <c r="AH83" s="682"/>
      <c r="AI83" s="682"/>
      <c r="AJ83" s="682"/>
      <c r="AK83" s="682"/>
      <c r="AL83" s="682"/>
      <c r="AM83" s="682"/>
      <c r="AN83" s="682"/>
      <c r="AO83" s="682"/>
      <c r="AP83" s="682"/>
      <c r="AQ83" s="682"/>
      <c r="AR83" s="682"/>
      <c r="AS83" s="682"/>
      <c r="AT83" s="682"/>
      <c r="AU83" s="682"/>
    </row>
    <row r="84" spans="1:47" x14ac:dyDescent="0.25">
      <c r="A84" s="666"/>
      <c r="B84" s="665"/>
      <c r="C84" s="666"/>
      <c r="D84" s="666"/>
      <c r="E84" s="666"/>
      <c r="F84" s="666"/>
      <c r="G84" s="666"/>
      <c r="H84" s="666"/>
      <c r="I84" s="666"/>
      <c r="J84" s="666"/>
      <c r="K84" s="666"/>
      <c r="L84" s="666"/>
      <c r="M84" s="666"/>
      <c r="N84" s="666"/>
      <c r="O84" s="666"/>
      <c r="P84" s="666"/>
      <c r="Q84" s="666"/>
      <c r="R84" s="666"/>
      <c r="S84" s="666"/>
      <c r="T84" s="666"/>
      <c r="U84" s="666"/>
      <c r="V84" s="666"/>
      <c r="W84" s="666"/>
      <c r="X84" s="666"/>
      <c r="Y84" s="666"/>
      <c r="Z84" s="666"/>
      <c r="AA84" s="666"/>
      <c r="AB84" s="682"/>
      <c r="AC84" s="682"/>
      <c r="AD84" s="682"/>
      <c r="AE84" s="682"/>
      <c r="AF84" s="682"/>
      <c r="AG84" s="682"/>
      <c r="AH84" s="682"/>
      <c r="AI84" s="682"/>
      <c r="AJ84" s="682"/>
      <c r="AK84" s="682"/>
      <c r="AL84" s="682"/>
      <c r="AM84" s="682"/>
      <c r="AN84" s="682"/>
      <c r="AO84" s="682"/>
      <c r="AP84" s="682"/>
      <c r="AQ84" s="682"/>
      <c r="AR84" s="682"/>
      <c r="AS84" s="682"/>
      <c r="AT84" s="682"/>
      <c r="AU84" s="682"/>
    </row>
    <row r="85" spans="1:47" x14ac:dyDescent="0.25">
      <c r="A85" s="666"/>
      <c r="B85" s="665"/>
      <c r="C85" s="666"/>
      <c r="D85" s="666"/>
      <c r="E85" s="666"/>
      <c r="F85" s="666"/>
      <c r="G85" s="666"/>
      <c r="H85" s="666"/>
      <c r="I85" s="666"/>
      <c r="J85" s="666"/>
      <c r="K85" s="666"/>
      <c r="L85" s="666"/>
      <c r="M85" s="666"/>
      <c r="N85" s="666"/>
      <c r="O85" s="666"/>
      <c r="P85" s="666"/>
      <c r="Q85" s="666"/>
      <c r="R85" s="666"/>
      <c r="S85" s="666"/>
      <c r="T85" s="666"/>
      <c r="U85" s="666"/>
      <c r="V85" s="666"/>
      <c r="W85" s="666"/>
      <c r="X85" s="666"/>
      <c r="Y85" s="666"/>
      <c r="Z85" s="666"/>
      <c r="AA85" s="666"/>
      <c r="AB85" s="682"/>
      <c r="AC85" s="682"/>
      <c r="AD85" s="682"/>
      <c r="AE85" s="682"/>
      <c r="AF85" s="682"/>
      <c r="AG85" s="682"/>
      <c r="AH85" s="682"/>
      <c r="AI85" s="682"/>
      <c r="AJ85" s="682"/>
      <c r="AK85" s="682"/>
      <c r="AL85" s="682"/>
      <c r="AM85" s="682"/>
      <c r="AN85" s="682"/>
      <c r="AO85" s="682"/>
      <c r="AP85" s="682"/>
      <c r="AQ85" s="682"/>
      <c r="AR85" s="682"/>
      <c r="AS85" s="682"/>
      <c r="AT85" s="682"/>
      <c r="AU85" s="682"/>
    </row>
    <row r="86" spans="1:47" x14ac:dyDescent="0.25">
      <c r="A86" s="666"/>
      <c r="B86" s="665"/>
      <c r="C86" s="666"/>
      <c r="D86" s="666"/>
      <c r="E86" s="666"/>
      <c r="F86" s="666"/>
      <c r="G86" s="666"/>
      <c r="H86" s="666"/>
      <c r="I86" s="666"/>
      <c r="J86" s="666"/>
      <c r="K86" s="666"/>
      <c r="L86" s="666"/>
      <c r="M86" s="666"/>
      <c r="N86" s="666"/>
      <c r="O86" s="666"/>
      <c r="P86" s="666"/>
      <c r="Q86" s="666"/>
      <c r="R86" s="666"/>
      <c r="S86" s="666"/>
      <c r="T86" s="666"/>
      <c r="U86" s="666"/>
      <c r="V86" s="666"/>
      <c r="W86" s="666"/>
      <c r="X86" s="666"/>
      <c r="Y86" s="666"/>
      <c r="Z86" s="666"/>
      <c r="AA86" s="666"/>
      <c r="AB86" s="682"/>
      <c r="AC86" s="682"/>
      <c r="AD86" s="682"/>
      <c r="AE86" s="682"/>
      <c r="AF86" s="682"/>
      <c r="AG86" s="682"/>
      <c r="AH86" s="682"/>
      <c r="AI86" s="682"/>
      <c r="AJ86" s="682"/>
      <c r="AK86" s="682"/>
      <c r="AL86" s="682"/>
      <c r="AM86" s="682"/>
      <c r="AN86" s="682"/>
      <c r="AO86" s="682"/>
      <c r="AP86" s="682"/>
      <c r="AQ86" s="682"/>
      <c r="AR86" s="682"/>
      <c r="AS86" s="682"/>
      <c r="AT86" s="682"/>
      <c r="AU86" s="682"/>
    </row>
    <row r="87" spans="1:47" x14ac:dyDescent="0.25">
      <c r="A87" s="666"/>
      <c r="B87" s="665"/>
      <c r="C87" s="666"/>
      <c r="D87" s="666"/>
      <c r="E87" s="666"/>
      <c r="F87" s="666"/>
      <c r="G87" s="666"/>
      <c r="H87" s="666"/>
      <c r="I87" s="666"/>
      <c r="J87" s="666"/>
      <c r="K87" s="666"/>
      <c r="L87" s="666"/>
      <c r="M87" s="666"/>
      <c r="N87" s="666"/>
      <c r="O87" s="666"/>
      <c r="P87" s="666"/>
      <c r="Q87" s="666"/>
      <c r="R87" s="666"/>
      <c r="S87" s="666"/>
      <c r="T87" s="666"/>
      <c r="U87" s="666"/>
      <c r="V87" s="666"/>
      <c r="W87" s="666"/>
      <c r="X87" s="666"/>
      <c r="Y87" s="666"/>
      <c r="Z87" s="666"/>
      <c r="AA87" s="666"/>
      <c r="AB87" s="682"/>
      <c r="AC87" s="682"/>
      <c r="AD87" s="682"/>
      <c r="AE87" s="682"/>
      <c r="AF87" s="682"/>
      <c r="AG87" s="682"/>
      <c r="AH87" s="682"/>
      <c r="AI87" s="682"/>
      <c r="AJ87" s="682"/>
      <c r="AK87" s="682"/>
      <c r="AL87" s="682"/>
      <c r="AM87" s="682"/>
      <c r="AN87" s="682"/>
      <c r="AO87" s="682"/>
      <c r="AP87" s="682"/>
      <c r="AQ87" s="682"/>
      <c r="AR87" s="682"/>
      <c r="AS87" s="682"/>
      <c r="AT87" s="682"/>
      <c r="AU87" s="682"/>
    </row>
    <row r="88" spans="1:47" x14ac:dyDescent="0.25">
      <c r="A88" s="666"/>
      <c r="B88" s="665"/>
      <c r="C88" s="666"/>
      <c r="D88" s="666"/>
      <c r="E88" s="666"/>
      <c r="F88" s="666"/>
      <c r="G88" s="666"/>
      <c r="H88" s="666"/>
      <c r="I88" s="666"/>
      <c r="J88" s="666"/>
      <c r="K88" s="666"/>
      <c r="L88" s="666"/>
      <c r="M88" s="666"/>
      <c r="N88" s="666"/>
      <c r="O88" s="666"/>
      <c r="P88" s="666"/>
      <c r="Q88" s="666"/>
      <c r="R88" s="666"/>
      <c r="S88" s="666"/>
      <c r="T88" s="666"/>
      <c r="U88" s="666"/>
      <c r="V88" s="666"/>
      <c r="W88" s="666"/>
      <c r="X88" s="666"/>
      <c r="Y88" s="666"/>
      <c r="Z88" s="666"/>
      <c r="AA88" s="666"/>
      <c r="AB88" s="682"/>
      <c r="AC88" s="682"/>
      <c r="AD88" s="682"/>
      <c r="AE88" s="682"/>
      <c r="AF88" s="682"/>
      <c r="AG88" s="682"/>
      <c r="AH88" s="682"/>
      <c r="AI88" s="682"/>
      <c r="AJ88" s="682"/>
      <c r="AK88" s="682"/>
      <c r="AL88" s="682"/>
      <c r="AM88" s="682"/>
      <c r="AN88" s="682"/>
      <c r="AO88" s="682"/>
      <c r="AP88" s="682"/>
      <c r="AQ88" s="682"/>
      <c r="AR88" s="682"/>
      <c r="AS88" s="682"/>
      <c r="AT88" s="682"/>
      <c r="AU88" s="682"/>
    </row>
    <row r="89" spans="1:47" x14ac:dyDescent="0.25">
      <c r="A89" s="666"/>
      <c r="B89" s="665"/>
      <c r="C89" s="666"/>
      <c r="D89" s="666"/>
      <c r="E89" s="666"/>
      <c r="F89" s="666"/>
      <c r="G89" s="666"/>
      <c r="H89" s="666"/>
      <c r="I89" s="666"/>
      <c r="J89" s="666"/>
      <c r="K89" s="666"/>
      <c r="L89" s="666"/>
      <c r="M89" s="666"/>
      <c r="N89" s="666"/>
      <c r="O89" s="666"/>
      <c r="P89" s="666"/>
      <c r="Q89" s="666"/>
      <c r="R89" s="666"/>
      <c r="S89" s="666"/>
      <c r="T89" s="666"/>
      <c r="U89" s="666"/>
      <c r="V89" s="666"/>
      <c r="W89" s="666"/>
      <c r="X89" s="666"/>
      <c r="Y89" s="666"/>
      <c r="Z89" s="666"/>
      <c r="AA89" s="666"/>
      <c r="AB89" s="682"/>
      <c r="AC89" s="682"/>
      <c r="AD89" s="682"/>
      <c r="AE89" s="682"/>
      <c r="AF89" s="682"/>
      <c r="AG89" s="682"/>
      <c r="AH89" s="682"/>
      <c r="AI89" s="682"/>
      <c r="AJ89" s="682"/>
      <c r="AK89" s="682"/>
      <c r="AL89" s="682"/>
      <c r="AM89" s="682"/>
      <c r="AN89" s="682"/>
      <c r="AO89" s="682"/>
      <c r="AP89" s="682"/>
      <c r="AQ89" s="682"/>
      <c r="AR89" s="682"/>
      <c r="AS89" s="682"/>
      <c r="AT89" s="682"/>
      <c r="AU89" s="682"/>
    </row>
    <row r="90" spans="1:47" x14ac:dyDescent="0.25">
      <c r="A90" s="666"/>
      <c r="B90" s="665"/>
      <c r="C90" s="666"/>
      <c r="D90" s="666"/>
      <c r="E90" s="666"/>
      <c r="F90" s="666"/>
      <c r="G90" s="666"/>
      <c r="H90" s="666"/>
      <c r="I90" s="666"/>
      <c r="J90" s="666"/>
      <c r="K90" s="666"/>
      <c r="L90" s="666"/>
      <c r="M90" s="666"/>
      <c r="N90" s="666"/>
      <c r="O90" s="666"/>
      <c r="P90" s="666"/>
      <c r="Q90" s="666"/>
      <c r="R90" s="666"/>
      <c r="S90" s="666"/>
      <c r="T90" s="666"/>
      <c r="U90" s="666"/>
      <c r="V90" s="666"/>
      <c r="W90" s="666"/>
      <c r="X90" s="666"/>
      <c r="Y90" s="666"/>
      <c r="Z90" s="666"/>
      <c r="AA90" s="666"/>
      <c r="AB90" s="682"/>
      <c r="AC90" s="682"/>
      <c r="AD90" s="682"/>
      <c r="AE90" s="682"/>
      <c r="AF90" s="682"/>
      <c r="AG90" s="682"/>
      <c r="AH90" s="682"/>
      <c r="AI90" s="682"/>
      <c r="AJ90" s="682"/>
      <c r="AK90" s="682"/>
      <c r="AL90" s="682"/>
      <c r="AM90" s="682"/>
      <c r="AN90" s="682"/>
      <c r="AO90" s="682"/>
      <c r="AP90" s="682"/>
      <c r="AQ90" s="682"/>
      <c r="AR90" s="682"/>
      <c r="AS90" s="682"/>
      <c r="AT90" s="682"/>
      <c r="AU90" s="682"/>
    </row>
    <row r="91" spans="1:47" x14ac:dyDescent="0.25">
      <c r="A91" s="666"/>
      <c r="B91" s="665"/>
      <c r="C91" s="666"/>
      <c r="D91" s="666"/>
      <c r="E91" s="666"/>
      <c r="F91" s="666"/>
      <c r="G91" s="666"/>
      <c r="H91" s="666"/>
      <c r="I91" s="666"/>
      <c r="J91" s="666"/>
      <c r="K91" s="666"/>
      <c r="L91" s="666"/>
      <c r="M91" s="666"/>
      <c r="N91" s="666"/>
      <c r="O91" s="666"/>
      <c r="P91" s="666"/>
      <c r="Q91" s="666"/>
      <c r="R91" s="666"/>
      <c r="S91" s="666"/>
      <c r="T91" s="666"/>
      <c r="U91" s="666"/>
      <c r="V91" s="666"/>
      <c r="W91" s="666"/>
      <c r="X91" s="666"/>
      <c r="Y91" s="666"/>
      <c r="Z91" s="666"/>
      <c r="AA91" s="666"/>
      <c r="AB91" s="682"/>
      <c r="AC91" s="682"/>
      <c r="AD91" s="682"/>
      <c r="AE91" s="682"/>
      <c r="AF91" s="682"/>
      <c r="AG91" s="682"/>
      <c r="AH91" s="682"/>
      <c r="AI91" s="682"/>
      <c r="AJ91" s="682"/>
      <c r="AK91" s="682"/>
      <c r="AL91" s="682"/>
      <c r="AM91" s="682"/>
      <c r="AN91" s="682"/>
      <c r="AO91" s="682"/>
      <c r="AP91" s="682"/>
      <c r="AQ91" s="682"/>
      <c r="AR91" s="682"/>
      <c r="AS91" s="682"/>
      <c r="AT91" s="682"/>
      <c r="AU91" s="682"/>
    </row>
    <row r="92" spans="1:47" x14ac:dyDescent="0.25">
      <c r="A92" s="666"/>
      <c r="B92" s="665"/>
      <c r="C92" s="666"/>
      <c r="D92" s="666"/>
      <c r="E92" s="666"/>
      <c r="F92" s="666"/>
      <c r="G92" s="666"/>
      <c r="H92" s="666"/>
      <c r="I92" s="666"/>
      <c r="J92" s="666"/>
      <c r="K92" s="666"/>
      <c r="L92" s="666"/>
      <c r="M92" s="666"/>
      <c r="N92" s="666"/>
      <c r="O92" s="666"/>
      <c r="P92" s="666"/>
      <c r="Q92" s="666"/>
      <c r="R92" s="666"/>
      <c r="S92" s="666"/>
      <c r="T92" s="666"/>
      <c r="U92" s="666"/>
      <c r="V92" s="666"/>
      <c r="W92" s="666"/>
      <c r="X92" s="666"/>
      <c r="Y92" s="666"/>
      <c r="Z92" s="666"/>
      <c r="AA92" s="666"/>
      <c r="AB92" s="682"/>
      <c r="AC92" s="682"/>
      <c r="AD92" s="682"/>
      <c r="AE92" s="682"/>
      <c r="AF92" s="682"/>
      <c r="AG92" s="682"/>
      <c r="AH92" s="682"/>
      <c r="AI92" s="682"/>
      <c r="AJ92" s="682"/>
      <c r="AK92" s="682"/>
      <c r="AL92" s="682"/>
      <c r="AM92" s="682"/>
      <c r="AN92" s="682"/>
      <c r="AO92" s="682"/>
      <c r="AP92" s="682"/>
      <c r="AQ92" s="682"/>
      <c r="AR92" s="682"/>
      <c r="AS92" s="682"/>
      <c r="AT92" s="682"/>
      <c r="AU92" s="682"/>
    </row>
    <row r="93" spans="1:47" x14ac:dyDescent="0.25">
      <c r="A93" s="666"/>
      <c r="B93" s="665"/>
      <c r="C93" s="666"/>
      <c r="D93" s="666"/>
      <c r="E93" s="666"/>
      <c r="F93" s="666"/>
      <c r="G93" s="666"/>
      <c r="H93" s="666"/>
      <c r="I93" s="666"/>
      <c r="J93" s="666"/>
      <c r="K93" s="666"/>
      <c r="L93" s="666"/>
      <c r="M93" s="666"/>
      <c r="N93" s="666"/>
      <c r="O93" s="666"/>
      <c r="P93" s="666"/>
      <c r="Q93" s="666"/>
      <c r="R93" s="666"/>
      <c r="S93" s="666"/>
      <c r="T93" s="666"/>
      <c r="U93" s="666"/>
      <c r="V93" s="666"/>
      <c r="W93" s="666"/>
      <c r="X93" s="666"/>
      <c r="Y93" s="666"/>
      <c r="Z93" s="666"/>
      <c r="AA93" s="666"/>
      <c r="AB93" s="682"/>
      <c r="AC93" s="682"/>
      <c r="AD93" s="682"/>
      <c r="AE93" s="682"/>
      <c r="AF93" s="682"/>
      <c r="AG93" s="682"/>
      <c r="AH93" s="682"/>
      <c r="AI93" s="682"/>
      <c r="AJ93" s="682"/>
      <c r="AK93" s="682"/>
      <c r="AL93" s="682"/>
      <c r="AM93" s="682"/>
      <c r="AN93" s="682"/>
      <c r="AO93" s="682"/>
      <c r="AP93" s="682"/>
      <c r="AQ93" s="682"/>
      <c r="AR93" s="682"/>
      <c r="AS93" s="682"/>
      <c r="AT93" s="682"/>
      <c r="AU93" s="682"/>
    </row>
    <row r="94" spans="1:47" x14ac:dyDescent="0.25">
      <c r="A94" s="666"/>
      <c r="B94" s="665"/>
      <c r="C94" s="666"/>
      <c r="D94" s="666"/>
      <c r="E94" s="666"/>
      <c r="F94" s="666"/>
      <c r="G94" s="666"/>
      <c r="H94" s="666"/>
      <c r="I94" s="666"/>
      <c r="J94" s="666"/>
      <c r="K94" s="666"/>
      <c r="L94" s="666"/>
      <c r="M94" s="666"/>
      <c r="N94" s="666"/>
      <c r="O94" s="666"/>
      <c r="P94" s="666"/>
      <c r="Q94" s="666"/>
      <c r="R94" s="666"/>
      <c r="S94" s="666"/>
      <c r="T94" s="666"/>
      <c r="U94" s="666"/>
      <c r="V94" s="666"/>
      <c r="W94" s="666"/>
      <c r="X94" s="666"/>
      <c r="Y94" s="666"/>
      <c r="Z94" s="666"/>
      <c r="AA94" s="666"/>
      <c r="AB94" s="682"/>
      <c r="AC94" s="682"/>
      <c r="AD94" s="682"/>
      <c r="AE94" s="682"/>
      <c r="AF94" s="682"/>
      <c r="AG94" s="682"/>
      <c r="AH94" s="682"/>
      <c r="AI94" s="682"/>
      <c r="AJ94" s="682"/>
      <c r="AK94" s="682"/>
      <c r="AL94" s="682"/>
      <c r="AM94" s="682"/>
      <c r="AN94" s="682"/>
      <c r="AO94" s="682"/>
      <c r="AP94" s="682"/>
      <c r="AQ94" s="682"/>
      <c r="AR94" s="682"/>
      <c r="AS94" s="682"/>
      <c r="AT94" s="682"/>
      <c r="AU94" s="682"/>
    </row>
    <row r="95" spans="1:47" x14ac:dyDescent="0.25">
      <c r="A95" s="666"/>
      <c r="B95" s="665"/>
      <c r="C95" s="666"/>
      <c r="D95" s="666"/>
      <c r="E95" s="666"/>
      <c r="F95" s="666"/>
      <c r="G95" s="666"/>
      <c r="H95" s="666"/>
      <c r="I95" s="666"/>
      <c r="J95" s="666"/>
      <c r="K95" s="666"/>
      <c r="L95" s="666"/>
      <c r="M95" s="666"/>
      <c r="N95" s="666"/>
      <c r="O95" s="666"/>
      <c r="P95" s="666"/>
      <c r="Q95" s="666"/>
      <c r="R95" s="666"/>
      <c r="S95" s="666"/>
      <c r="T95" s="666"/>
      <c r="U95" s="666"/>
      <c r="V95" s="666"/>
      <c r="W95" s="666"/>
      <c r="X95" s="666"/>
      <c r="Y95" s="666"/>
      <c r="Z95" s="666"/>
      <c r="AA95" s="666"/>
      <c r="AB95" s="682"/>
      <c r="AC95" s="682"/>
      <c r="AD95" s="682"/>
      <c r="AE95" s="682"/>
      <c r="AF95" s="682"/>
      <c r="AG95" s="682"/>
      <c r="AH95" s="682"/>
      <c r="AI95" s="682"/>
      <c r="AJ95" s="682"/>
      <c r="AK95" s="682"/>
      <c r="AL95" s="682"/>
      <c r="AM95" s="682"/>
      <c r="AN95" s="682"/>
      <c r="AO95" s="682"/>
      <c r="AP95" s="682"/>
      <c r="AQ95" s="682"/>
      <c r="AR95" s="682"/>
      <c r="AS95" s="682"/>
      <c r="AT95" s="682"/>
      <c r="AU95" s="682"/>
    </row>
  </sheetData>
  <sheetProtection sheet="1" objects="1" scenarios="1" selectLockedCells="1" autoFilter="0"/>
  <sortState ref="A39:A80">
    <sortCondition ref="A39"/>
  </sortState>
  <mergeCells count="1">
    <mergeCell ref="A8:A9"/>
  </mergeCells>
  <conditionalFormatting sqref="B14:Z14">
    <cfRule type="containsText" dxfId="947" priority="2" stopIfTrue="1" operator="containsText" text="Imprimir">
      <formula>NOT(ISERROR(SEARCH("Imprimir",B14)))</formula>
    </cfRule>
  </conditionalFormatting>
  <dataValidations count="11">
    <dataValidation type="list" allowBlank="1" showInputMessage="1" showErrorMessage="1" error="Digite a para automático ou s para semi-autmático" sqref="B21:Z21">
      <formula1>"a,s"</formula1>
    </dataValidation>
    <dataValidation type="list" operator="greaterThanOrEqual" allowBlank="1" showInputMessage="1" showErrorMessage="1" errorTitle="Número:" error="Digite acr ou je." sqref="B5:Z5">
      <formula1>"acr,je"</formula1>
    </dataValidation>
    <dataValidation type="list" operator="greaterThanOrEqual" allowBlank="1" showInputMessage="1" showErrorMessage="1" errorTitle="Número:" error="Digite um número." sqref="AA5:XFD6">
      <formula1>"acr,je"</formula1>
    </dataValidation>
    <dataValidation type="whole" allowBlank="1" showInputMessage="1" showErrorMessage="1" errorTitle="Número:" error="Digite um número entre -11 e +11." sqref="B30:Z30 B22:Z22">
      <formula1>-11</formula1>
      <formula2>11</formula2>
    </dataValidation>
    <dataValidation type="list" allowBlank="1" showInputMessage="1" showErrorMessage="1" error="Digite m para manual, a para automático e s para semiautomático" sqref="B29:Z29">
      <formula1>"m,a,s"</formula1>
    </dataValidation>
    <dataValidation type="list" allowBlank="1" showInputMessage="1" showErrorMessage="1" sqref="B2">
      <formula1>"Processadora,Impressora,Só arquivo"</formula1>
    </dataValidation>
    <dataValidation type="decimal" operator="greaterThanOrEqual" allowBlank="1" showInputMessage="1" showErrorMessage="1" errorTitle="Número:" error="Digite um número." sqref="B31:Z32 B15:Z16 B23:Z24 B4:Z4">
      <formula1>0</formula1>
    </dataValidation>
    <dataValidation type="list" operator="greaterThanOrEqual" allowBlank="1" showInputMessage="1" showErrorMessage="1" errorTitle="Número:" error="Digite acr ou je." sqref="C6:Z6">
      <formula1>"Manual,Automático,Digital,CR,DR"</formula1>
    </dataValidation>
    <dataValidation type="list" operator="greaterThanOrEqual" allowBlank="1" showInputMessage="1" showErrorMessage="1" errorTitle="Número:" error="Digite acr ou je." sqref="B6">
      <formula1>"Manual,Automático,CR,DR,Digital"</formula1>
    </dataValidation>
    <dataValidation type="whole" operator="greaterThanOrEqual" allowBlank="1" showInputMessage="1" showErrorMessage="1" sqref="B33:Z35 B25:Z27 B17:Z19">
      <formula1>0</formula1>
    </dataValidation>
    <dataValidation type="list" allowBlank="1" showInputMessage="1" showErrorMessage="1" sqref="B37:Z37">
      <formula1>$A$41:$A$82</formula1>
    </dataValidation>
  </dataValidations>
  <pageMargins left="0.78740157480314965" right="0.78740157480314965" top="0.98425196850393704" bottom="0.98425196850393704" header="0.51181102362204722" footer="0.51181102362204722"/>
  <pageSetup paperSize="9" scale="10"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80"/>
  <sheetViews>
    <sheetView view="pageBreakPreview" topLeftCell="A13" zoomScale="145" zoomScaleNormal="100" zoomScaleSheetLayoutView="145" workbookViewId="0">
      <selection activeCell="V21" sqref="V21"/>
    </sheetView>
  </sheetViews>
  <sheetFormatPr defaultColWidth="9.140625" defaultRowHeight="15" x14ac:dyDescent="0.2"/>
  <cols>
    <col min="1" max="4" width="9.140625" style="1736" customWidth="1"/>
    <col min="5" max="5" width="10.42578125" style="1736" bestFit="1" customWidth="1"/>
    <col min="6" max="8" width="9.140625" style="1736"/>
    <col min="9" max="10" width="9.140625" style="1736" customWidth="1"/>
    <col min="11" max="11" width="9.140625" style="1736"/>
    <col min="12" max="12" width="9.140625" style="1778"/>
    <col min="13" max="13" width="11" style="1736" bestFit="1" customWidth="1"/>
    <col min="14" max="14" width="10.140625" style="1736" bestFit="1" customWidth="1"/>
    <col min="15" max="16384" width="9.140625" style="1736"/>
  </cols>
  <sheetData>
    <row r="1" spans="1:11" ht="15" customHeight="1" x14ac:dyDescent="0.25">
      <c r="A1" s="2636" t="e">
        <f>Cabeçalho!B6</f>
        <v>#N/A</v>
      </c>
      <c r="B1" s="2636"/>
      <c r="C1" s="2636"/>
      <c r="D1" s="2636"/>
      <c r="E1" s="2636"/>
      <c r="F1" s="2636"/>
      <c r="G1" s="2649" t="str">
        <f>IF(Cabeçalho!$B$15="",CONCATENATE(Cabeçalho!$B$14,IF(Cabeçalho!$B$16&lt;&gt;0," - ",""),UPPER(Cabeçalho!$B$16)),CONCATENATE(Cabeçalho!$B$14," - ",Cabeçalho!$B$15," - ",UPPER(Cabeçalho!$B$16)))</f>
        <v/>
      </c>
      <c r="H1" s="2649"/>
      <c r="I1" s="2638">
        <f ca="1">TODAY()</f>
        <v>46140</v>
      </c>
      <c r="J1" s="2638"/>
      <c r="K1" s="1735" t="s">
        <v>648</v>
      </c>
    </row>
    <row r="2" spans="1:11" ht="15" customHeight="1" x14ac:dyDescent="0.2">
      <c r="A2" s="110"/>
      <c r="B2" s="110"/>
      <c r="C2" s="110"/>
      <c r="D2" s="110"/>
      <c r="E2" s="110"/>
      <c r="F2" s="110"/>
      <c r="G2" s="110"/>
      <c r="H2" s="110"/>
      <c r="I2" s="110"/>
      <c r="J2" s="110"/>
    </row>
    <row r="3" spans="1:11" ht="15" customHeight="1" x14ac:dyDescent="0.2">
      <c r="A3" s="2650" t="s">
        <v>733</v>
      </c>
      <c r="B3" s="2650"/>
      <c r="C3" s="2650"/>
      <c r="D3" s="2650"/>
      <c r="E3" s="2650"/>
      <c r="F3" s="2650"/>
      <c r="G3" s="2650"/>
      <c r="H3" s="2650"/>
      <c r="I3" s="2650"/>
      <c r="J3" s="2650"/>
    </row>
    <row r="4" spans="1:11" ht="15" customHeight="1" x14ac:dyDescent="0.2">
      <c r="A4" s="110"/>
      <c r="B4" s="110"/>
      <c r="C4" s="110"/>
      <c r="D4" s="110"/>
      <c r="E4" s="110"/>
      <c r="F4" s="110"/>
      <c r="G4" s="110"/>
      <c r="H4" s="110"/>
      <c r="I4" s="110"/>
      <c r="J4" s="110"/>
    </row>
    <row r="5" spans="1:11" ht="15" customHeight="1" x14ac:dyDescent="0.2">
      <c r="A5" s="2650" t="s">
        <v>114</v>
      </c>
      <c r="B5" s="2650"/>
      <c r="C5" s="2650"/>
      <c r="D5" s="2650"/>
      <c r="E5" s="2650"/>
      <c r="F5" s="2650"/>
      <c r="G5" s="2650"/>
      <c r="H5" s="2650"/>
      <c r="I5" s="2650"/>
      <c r="J5" s="2650"/>
      <c r="K5" s="235"/>
    </row>
    <row r="6" spans="1:11" ht="15" customHeight="1" x14ac:dyDescent="0.2">
      <c r="A6" s="110"/>
      <c r="B6" s="110"/>
      <c r="C6" s="110"/>
      <c r="D6" s="110"/>
      <c r="E6" s="110"/>
      <c r="F6" s="110"/>
      <c r="G6" s="110"/>
      <c r="H6" s="110"/>
      <c r="I6" s="110"/>
      <c r="J6" s="110"/>
    </row>
    <row r="7" spans="1:11" ht="15" customHeight="1" x14ac:dyDescent="0.2">
      <c r="A7" s="110"/>
      <c r="B7" s="110"/>
      <c r="C7" s="110"/>
      <c r="D7" s="110"/>
      <c r="E7" s="110"/>
      <c r="F7" s="110"/>
      <c r="G7" s="110"/>
      <c r="H7" s="110"/>
      <c r="I7" s="110"/>
      <c r="J7" s="110"/>
    </row>
    <row r="8" spans="1:11" ht="15" customHeight="1" x14ac:dyDescent="0.2">
      <c r="A8" s="110"/>
      <c r="B8" s="110"/>
      <c r="C8" s="110"/>
      <c r="D8" s="110"/>
      <c r="E8" s="110"/>
      <c r="F8" s="110"/>
      <c r="G8" s="110"/>
      <c r="H8" s="110"/>
      <c r="I8" s="110"/>
      <c r="J8" s="110"/>
    </row>
    <row r="9" spans="1:11" ht="15" customHeight="1" x14ac:dyDescent="0.2">
      <c r="A9" s="110"/>
      <c r="B9" s="110"/>
      <c r="C9" s="2651" t="e">
        <f>Cabeçalho!B6</f>
        <v>#N/A</v>
      </c>
      <c r="D9" s="2651"/>
      <c r="E9" s="2651"/>
      <c r="F9" s="2651"/>
      <c r="G9" s="2651"/>
      <c r="H9" s="2651"/>
      <c r="I9" s="2651"/>
      <c r="J9" s="2651"/>
    </row>
    <row r="10" spans="1:11" ht="15" customHeight="1" x14ac:dyDescent="0.2">
      <c r="A10" s="110"/>
      <c r="B10" s="110"/>
      <c r="C10" s="2651"/>
      <c r="D10" s="2651"/>
      <c r="E10" s="2651"/>
      <c r="F10" s="2651"/>
      <c r="G10" s="2651"/>
      <c r="H10" s="2651"/>
      <c r="I10" s="2651"/>
      <c r="J10" s="2651"/>
    </row>
    <row r="11" spans="1:11" ht="15" customHeight="1" x14ac:dyDescent="0.2">
      <c r="A11" s="110"/>
      <c r="B11" s="1737"/>
      <c r="C11" s="1737"/>
      <c r="D11" s="1737"/>
      <c r="E11" s="1737"/>
      <c r="F11" s="1737"/>
      <c r="G11" s="1737"/>
      <c r="H11" s="110"/>
      <c r="I11" s="110"/>
      <c r="J11" s="110"/>
    </row>
    <row r="12" spans="1:11" ht="15" customHeight="1" x14ac:dyDescent="0.2">
      <c r="A12" s="110"/>
      <c r="B12" s="110"/>
      <c r="C12" s="2646" t="e">
        <f>Cabeçalho!B7</f>
        <v>#N/A</v>
      </c>
      <c r="D12" s="2646"/>
      <c r="E12" s="2646"/>
      <c r="F12" s="2646"/>
      <c r="G12" s="2646"/>
      <c r="H12" s="2646"/>
      <c r="I12" s="2646"/>
      <c r="J12" s="2646"/>
    </row>
    <row r="13" spans="1:11" ht="15" customHeight="1" x14ac:dyDescent="0.2">
      <c r="A13" s="110"/>
      <c r="B13" s="1737"/>
      <c r="C13" s="2646"/>
      <c r="D13" s="2646"/>
      <c r="E13" s="2646"/>
      <c r="F13" s="2646"/>
      <c r="G13" s="2646"/>
      <c r="H13" s="2646"/>
      <c r="I13" s="2646"/>
      <c r="J13" s="2646"/>
    </row>
    <row r="14" spans="1:11" ht="15" customHeight="1" x14ac:dyDescent="0.2">
      <c r="A14" s="110"/>
      <c r="B14" s="1737"/>
      <c r="C14" s="1737"/>
      <c r="D14" s="1737"/>
      <c r="E14" s="1737"/>
      <c r="F14" s="1737"/>
      <c r="G14" s="1737"/>
      <c r="H14" s="110"/>
      <c r="I14" s="110"/>
      <c r="J14" s="110"/>
    </row>
    <row r="15" spans="1:11" ht="15" customHeight="1" x14ac:dyDescent="0.2">
      <c r="A15" s="110"/>
      <c r="B15" s="110"/>
      <c r="C15" s="1738" t="e">
        <f>Cabeçalho!B8</f>
        <v>#N/A</v>
      </c>
      <c r="D15" s="110"/>
      <c r="E15" s="1737" t="e">
        <f>CONCATENATE(Cabeçalho!B9,", ",Cabeçalho!B10)</f>
        <v>#N/A</v>
      </c>
      <c r="F15" s="1737"/>
      <c r="G15" s="1737"/>
      <c r="H15" s="110"/>
      <c r="I15" s="110"/>
      <c r="J15" s="110"/>
    </row>
    <row r="16" spans="1:11" ht="15" customHeight="1" x14ac:dyDescent="0.2">
      <c r="A16" s="110"/>
      <c r="B16" s="110"/>
      <c r="C16" s="110"/>
      <c r="D16" s="110"/>
      <c r="E16" s="110"/>
      <c r="F16" s="110"/>
      <c r="G16" s="110"/>
      <c r="H16" s="110"/>
      <c r="I16" s="110"/>
      <c r="J16" s="110"/>
    </row>
    <row r="17" spans="1:12" ht="30" customHeight="1" x14ac:dyDescent="0.2">
      <c r="A17" s="110" t="s">
        <v>115</v>
      </c>
      <c r="B17" s="110"/>
      <c r="C17" s="2647" t="e">
        <f>Cabeçalho!B4</f>
        <v>#N/A</v>
      </c>
      <c r="D17" s="2647"/>
      <c r="E17" s="2647"/>
      <c r="F17" s="2647"/>
      <c r="G17" s="2647"/>
      <c r="H17" s="2647"/>
      <c r="I17" s="2647"/>
      <c r="J17" s="2647"/>
    </row>
    <row r="18" spans="1:12" ht="15" customHeight="1" x14ac:dyDescent="0.2">
      <c r="A18" s="110"/>
      <c r="B18" s="110"/>
      <c r="C18" s="1738" t="e">
        <f>Cabeçalho!B5</f>
        <v>#N/A</v>
      </c>
      <c r="D18" s="110"/>
      <c r="E18" s="110"/>
      <c r="F18" s="110"/>
      <c r="G18" s="110"/>
      <c r="H18" s="110"/>
      <c r="I18" s="110"/>
      <c r="J18" s="110"/>
    </row>
    <row r="19" spans="1:12" ht="15" customHeight="1" x14ac:dyDescent="0.2">
      <c r="A19" s="110"/>
      <c r="B19" s="110"/>
      <c r="C19" s="1737"/>
      <c r="D19" s="110"/>
      <c r="E19" s="110"/>
      <c r="F19" s="110"/>
      <c r="G19" s="110"/>
      <c r="H19" s="110"/>
      <c r="I19" s="110"/>
      <c r="J19" s="110"/>
    </row>
    <row r="20" spans="1:12" ht="15" customHeight="1" x14ac:dyDescent="0.2">
      <c r="A20" s="110"/>
      <c r="B20" s="110"/>
      <c r="C20" s="1739"/>
      <c r="D20" s="110"/>
      <c r="E20" s="110"/>
      <c r="F20" s="110"/>
      <c r="G20" s="110"/>
      <c r="H20" s="110"/>
      <c r="I20" s="110"/>
      <c r="J20" s="110"/>
    </row>
    <row r="21" spans="1:12" ht="15" customHeight="1" x14ac:dyDescent="0.2">
      <c r="A21" s="1737" t="s">
        <v>116</v>
      </c>
      <c r="B21" s="110"/>
      <c r="C21" s="110"/>
      <c r="D21" s="110"/>
      <c r="E21" s="110"/>
      <c r="F21" s="110"/>
      <c r="G21" s="110"/>
      <c r="H21" s="110"/>
      <c r="I21" s="110"/>
      <c r="J21" s="110"/>
    </row>
    <row r="22" spans="1:12" ht="15" customHeight="1" x14ac:dyDescent="0.2">
      <c r="A22" s="2648" t="str">
        <f>"               Este Laudo Técnico é parte do Programa de Garantia da Qualidade, conforme Resolução da Diretoria Colegiada - "&amp;VLOOKUP("rdc",IN_ANVISA[],2)&amp;"/"&amp;VLOOKUP("rdc",IN_ANVISA[],3)&amp;" da ANVISA e atende também ao teste de qualidade da imagem mamográfica previsto na Instrução Normativa "&amp;VLOOKUP("Mamografia",IN_ANVISA[],2)&amp;"/"&amp;VLOOKUP("Mamografia",IN_ANVISA[],3)&amp;" da ANVISA."</f>
        <v xml:space="preserve">               Este Laudo Técnico é parte do Programa de Garantia da Qualidade, conforme Resolução da Diretoria Colegiada - 611/2022 da ANVISA e atende também ao teste de qualidade da imagem mamográfica previsto na Instrução Normativa 92/2021 da ANVISA.</v>
      </c>
      <c r="B22" s="2648"/>
      <c r="C22" s="2648"/>
      <c r="D22" s="2648"/>
      <c r="E22" s="2648"/>
      <c r="F22" s="2648"/>
      <c r="G22" s="2648"/>
      <c r="H22" s="2648"/>
      <c r="I22" s="2648"/>
      <c r="J22" s="2648"/>
    </row>
    <row r="23" spans="1:12" ht="15" customHeight="1" x14ac:dyDescent="0.2">
      <c r="A23" s="2648"/>
      <c r="B23" s="2648"/>
      <c r="C23" s="2648"/>
      <c r="D23" s="2648"/>
      <c r="E23" s="2648"/>
      <c r="F23" s="2648"/>
      <c r="G23" s="2648"/>
      <c r="H23" s="2648"/>
      <c r="I23" s="2648"/>
      <c r="J23" s="2648"/>
    </row>
    <row r="24" spans="1:12" ht="15" customHeight="1" x14ac:dyDescent="0.2">
      <c r="A24" s="2648"/>
      <c r="B24" s="2648"/>
      <c r="C24" s="2648"/>
      <c r="D24" s="2648"/>
      <c r="E24" s="2648"/>
      <c r="F24" s="2648"/>
      <c r="G24" s="2648"/>
      <c r="H24" s="2648"/>
      <c r="I24" s="2648"/>
      <c r="J24" s="2648"/>
    </row>
    <row r="25" spans="1:12" ht="15" customHeight="1" x14ac:dyDescent="0.2">
      <c r="A25" s="2648" t="str">
        <f>IntroProtocolo</f>
        <v xml:space="preserve">               A metodologia utilizada atende aos "Protocolos para Execução de Testes em Sistemas de Radiologia Diagnóstica e Intervencionista" do CONFEA.</v>
      </c>
      <c r="B25" s="2648"/>
      <c r="C25" s="2648"/>
      <c r="D25" s="2648"/>
      <c r="E25" s="2648"/>
      <c r="F25" s="2648"/>
      <c r="G25" s="2648"/>
      <c r="H25" s="2648"/>
      <c r="I25" s="2648"/>
      <c r="J25" s="2648"/>
    </row>
    <row r="26" spans="1:12" ht="15" customHeight="1" x14ac:dyDescent="0.2">
      <c r="A26" s="2648"/>
      <c r="B26" s="2648"/>
      <c r="C26" s="2648"/>
      <c r="D26" s="2648"/>
      <c r="E26" s="2648"/>
      <c r="F26" s="2648"/>
      <c r="G26" s="2648"/>
      <c r="H26" s="2648"/>
      <c r="I26" s="2648"/>
      <c r="J26" s="2648"/>
    </row>
    <row r="27" spans="1:12" s="1741" customFormat="1" ht="15" customHeight="1" x14ac:dyDescent="0.25">
      <c r="A27" s="1740"/>
      <c r="B27" s="1740"/>
      <c r="C27" s="1740"/>
      <c r="D27" s="1740"/>
      <c r="E27" s="1740"/>
      <c r="F27" s="1740"/>
      <c r="G27" s="1740"/>
      <c r="H27" s="1740"/>
      <c r="I27" s="1740"/>
      <c r="L27" s="1779"/>
    </row>
    <row r="28" spans="1:12" ht="15" customHeight="1" x14ac:dyDescent="0.25">
      <c r="A28" s="1742" t="s">
        <v>728</v>
      </c>
    </row>
    <row r="29" spans="1:12" ht="15" customHeight="1" x14ac:dyDescent="0.2">
      <c r="A29" s="2639" t="str">
        <f>"               Avaliar a qualidade da imagem através da análise das quantidades das estruturas visualizadas no fantoma, verificando a adequação à IN "&amp;VLOOKUP("Mamografia",IN_ANVISA[],2)&amp;"/"&amp;VLOOKUP("Mamografia",IN_ANVISA[],3)&amp;" da ANVISA e ao art. 28 da RDC "&amp;VLOOKUP("rdc",IN_ANVISA[],2)&amp;"/"&amp;VLOOKUP("rdc",IN_ANVISA[],3)&amp;" da ANVISA."</f>
        <v xml:space="preserve">               Avaliar a qualidade da imagem através da análise das quantidades das estruturas visualizadas no fantoma, verificando a adequação à IN 92/2021 da ANVISA e ao art. 28 da RDC 611/2022 da ANVISA.</v>
      </c>
      <c r="B29" s="2639"/>
      <c r="C29" s="2639"/>
      <c r="D29" s="2639"/>
      <c r="E29" s="2639"/>
      <c r="F29" s="2639"/>
      <c r="G29" s="2639"/>
      <c r="H29" s="2639"/>
      <c r="I29" s="2639"/>
      <c r="J29" s="2639"/>
    </row>
    <row r="30" spans="1:12" ht="15" customHeight="1" x14ac:dyDescent="0.2">
      <c r="A30" s="2639"/>
      <c r="B30" s="2639"/>
      <c r="C30" s="2639"/>
      <c r="D30" s="2639"/>
      <c r="E30" s="2639"/>
      <c r="F30" s="2639"/>
      <c r="G30" s="2639"/>
      <c r="H30" s="2639"/>
      <c r="I30" s="2639"/>
      <c r="J30" s="2639"/>
    </row>
    <row r="31" spans="1:12" ht="15" customHeight="1" x14ac:dyDescent="0.2">
      <c r="A31" s="2639"/>
      <c r="B31" s="2639"/>
      <c r="C31" s="2639"/>
      <c r="D31" s="2639"/>
      <c r="E31" s="2639"/>
      <c r="F31" s="2639"/>
      <c r="G31" s="2639"/>
      <c r="H31" s="2639"/>
      <c r="I31" s="2639"/>
      <c r="J31" s="2639"/>
    </row>
    <row r="32" spans="1:12" ht="15" customHeight="1" x14ac:dyDescent="0.2"/>
    <row r="33" spans="1:18" ht="15" customHeight="1" x14ac:dyDescent="0.2">
      <c r="A33" s="1737" t="s">
        <v>118</v>
      </c>
      <c r="B33" s="110"/>
      <c r="C33" s="110"/>
      <c r="D33" s="110"/>
      <c r="E33" s="110"/>
      <c r="F33" s="110"/>
      <c r="G33" s="110"/>
      <c r="H33" s="110"/>
      <c r="I33" s="110"/>
      <c r="J33" s="110"/>
    </row>
    <row r="34" spans="1:18" ht="15" customHeight="1" x14ac:dyDescent="0.2">
      <c r="A34" s="2643" t="s">
        <v>124</v>
      </c>
      <c r="B34" s="2643"/>
      <c r="C34" s="2643"/>
      <c r="D34" s="2643"/>
      <c r="E34" s="2644" t="s">
        <v>329</v>
      </c>
      <c r="F34" s="2644"/>
      <c r="G34" s="2644"/>
      <c r="H34" s="2644"/>
      <c r="I34" s="2644"/>
      <c r="J34" s="2644"/>
    </row>
    <row r="35" spans="1:18" ht="15" customHeight="1" x14ac:dyDescent="0.2">
      <c r="A35" s="2645" t="s">
        <v>119</v>
      </c>
      <c r="B35" s="2645"/>
      <c r="C35" s="2645"/>
      <c r="D35" s="2645" t="s">
        <v>120</v>
      </c>
      <c r="E35" s="2645"/>
      <c r="F35" s="2645"/>
      <c r="G35" s="2645" t="s">
        <v>121</v>
      </c>
      <c r="H35" s="2645"/>
      <c r="I35" s="2645" t="s">
        <v>475</v>
      </c>
      <c r="J35" s="2645"/>
    </row>
    <row r="36" spans="1:18" ht="15" customHeight="1" x14ac:dyDescent="0.2">
      <c r="A36" s="2641" t="str">
        <f>IF(Cabeçalho!G3="","*",Cabeçalho!G3)</f>
        <v>*</v>
      </c>
      <c r="B36" s="2641"/>
      <c r="C36" s="2641"/>
      <c r="D36" s="2642" t="str">
        <f>IF(Cabeçalho!G4="","*",Cabeçalho!G4)</f>
        <v>*</v>
      </c>
      <c r="E36" s="2642"/>
      <c r="F36" s="2642"/>
      <c r="G36" s="2642" t="str">
        <f>IF(Cabeçalho!G5="","*",Cabeçalho!G5)</f>
        <v>*</v>
      </c>
      <c r="H36" s="2642"/>
      <c r="I36" s="2642" t="str">
        <f>IF(Cabeçalho!G6="","*",Cabeçalho!G6)</f>
        <v>*</v>
      </c>
      <c r="J36" s="2642"/>
    </row>
    <row r="37" spans="1:18" ht="15" customHeight="1" x14ac:dyDescent="0.2">
      <c r="A37" s="2641"/>
      <c r="B37" s="2641"/>
      <c r="C37" s="2641"/>
      <c r="D37" s="2642"/>
      <c r="E37" s="2642"/>
      <c r="F37" s="2642"/>
      <c r="G37" s="2642"/>
      <c r="H37" s="2642"/>
      <c r="I37" s="2642"/>
      <c r="J37" s="2642"/>
    </row>
    <row r="38" spans="1:18" ht="15" customHeight="1" x14ac:dyDescent="0.2">
      <c r="B38" s="110"/>
      <c r="C38" s="110"/>
      <c r="D38" s="110"/>
      <c r="E38" s="110"/>
      <c r="F38" s="110"/>
      <c r="G38" s="110"/>
      <c r="H38" s="110"/>
      <c r="I38" s="110"/>
      <c r="J38" s="110"/>
    </row>
    <row r="39" spans="1:18" ht="15" customHeight="1" x14ac:dyDescent="0.2">
      <c r="A39" s="1736" t="str">
        <f ca="1">IF(OFFSET('fantoma mama'!A6,0,'fantoma mama'!$B$13,1,1)="",IF('fantoma mama'!B2="Impressora","Sistema de revelação: Digital",""),"Sistema de revelação: "&amp;OFFSET('fantoma mama'!A6,0,'fantoma mama'!$B$13,1,1))</f>
        <v/>
      </c>
      <c r="B39" s="110"/>
      <c r="C39" s="110"/>
      <c r="D39" s="110"/>
      <c r="E39" s="110"/>
      <c r="F39" s="110"/>
      <c r="G39" s="110"/>
      <c r="H39" s="110"/>
      <c r="I39" s="110"/>
      <c r="J39" s="110"/>
    </row>
    <row r="40" spans="1:18" ht="15" customHeight="1" x14ac:dyDescent="0.2">
      <c r="A40" s="2643" t="str">
        <f>IF('fantoma mama'!B2="Só arquivo","Sistema de registro de imagens:","Tipo de equipamento eletromédico:")</f>
        <v>Tipo de equipamento eletromédico:</v>
      </c>
      <c r="B40" s="2643"/>
      <c r="C40" s="2643"/>
      <c r="D40" s="2643"/>
      <c r="E40" s="2644" t="str">
        <f>'fantoma mama'!A8</f>
        <v>Somente arquivo digital</v>
      </c>
      <c r="F40" s="2644"/>
      <c r="G40" s="2644"/>
      <c r="H40" s="2644"/>
      <c r="I40" s="2644"/>
      <c r="J40" s="2644"/>
    </row>
    <row r="41" spans="1:18" ht="15" customHeight="1" x14ac:dyDescent="0.2">
      <c r="A41" s="2645" t="s">
        <v>119</v>
      </c>
      <c r="B41" s="2645"/>
      <c r="C41" s="2645"/>
      <c r="D41" s="2645" t="s">
        <v>120</v>
      </c>
      <c r="E41" s="2645"/>
      <c r="F41" s="2645"/>
      <c r="G41" s="2645" t="s">
        <v>121</v>
      </c>
      <c r="H41" s="2645"/>
      <c r="I41" s="2645" t="s">
        <v>475</v>
      </c>
      <c r="J41" s="2645"/>
      <c r="K41" s="1736" t="str">
        <f>IF('fantoma mama'!B2="Só arquivo","x","")</f>
        <v/>
      </c>
    </row>
    <row r="42" spans="1:18" ht="15" customHeight="1" x14ac:dyDescent="0.2">
      <c r="A42" s="2641" t="str">
        <f>IF('fantoma mama'!B9="","*",'fantoma mama'!B9)</f>
        <v>*</v>
      </c>
      <c r="B42" s="2641"/>
      <c r="C42" s="2641"/>
      <c r="D42" s="2641" t="str">
        <f>IF('fantoma mama'!C9="","*",'fantoma mama'!C9)</f>
        <v>*</v>
      </c>
      <c r="E42" s="2641"/>
      <c r="F42" s="2641"/>
      <c r="G42" s="2642" t="str">
        <f>IF('fantoma mama'!D9="","*",'fantoma mama'!D9)</f>
        <v>*</v>
      </c>
      <c r="H42" s="2642"/>
      <c r="I42" s="2642" t="str">
        <f>IF('fantoma mama'!E9="","*",'fantoma mama'!E9)</f>
        <v>*</v>
      </c>
      <c r="J42" s="2642"/>
      <c r="K42" s="1736" t="str">
        <f>K41</f>
        <v/>
      </c>
    </row>
    <row r="43" spans="1:18" ht="15" customHeight="1" x14ac:dyDescent="0.2">
      <c r="A43" s="2641"/>
      <c r="B43" s="2641"/>
      <c r="C43" s="2641"/>
      <c r="D43" s="2641"/>
      <c r="E43" s="2641"/>
      <c r="F43" s="2641"/>
      <c r="G43" s="2642"/>
      <c r="H43" s="2642"/>
      <c r="I43" s="2642"/>
      <c r="J43" s="2642"/>
      <c r="K43" s="1736" t="str">
        <f>K42</f>
        <v/>
      </c>
    </row>
    <row r="44" spans="1:18" ht="15" customHeight="1" x14ac:dyDescent="0.2">
      <c r="A44" s="1743" t="s">
        <v>139</v>
      </c>
      <c r="B44" s="1744"/>
      <c r="C44" s="1744"/>
      <c r="D44" s="1745"/>
      <c r="E44" s="1745"/>
      <c r="F44" s="1745"/>
      <c r="G44" s="1745"/>
      <c r="H44" s="1745"/>
      <c r="K44" s="1736" t="str">
        <f>K43</f>
        <v/>
      </c>
    </row>
    <row r="45" spans="1:18" ht="15" customHeight="1" x14ac:dyDescent="0.2">
      <c r="A45" s="2636" t="e">
        <f>A1</f>
        <v>#N/A</v>
      </c>
      <c r="B45" s="2636"/>
      <c r="C45" s="2636"/>
      <c r="D45" s="2636"/>
      <c r="E45" s="2636"/>
      <c r="F45" s="2636"/>
      <c r="G45" s="2637" t="str">
        <f>G1</f>
        <v/>
      </c>
      <c r="H45" s="2637"/>
      <c r="I45" s="2638">
        <f ca="1">I1</f>
        <v>46140</v>
      </c>
      <c r="J45" s="2638"/>
      <c r="L45" s="1780"/>
      <c r="M45" s="1746"/>
      <c r="N45" s="1746"/>
      <c r="O45" s="1746"/>
      <c r="P45" s="1746"/>
      <c r="Q45" s="1746"/>
      <c r="R45" s="1746"/>
    </row>
    <row r="46" spans="1:18" ht="15" customHeight="1" x14ac:dyDescent="0.2">
      <c r="A46" s="254"/>
      <c r="B46" s="254"/>
      <c r="C46" s="254"/>
      <c r="D46" s="254"/>
      <c r="E46" s="1747"/>
      <c r="F46" s="1747"/>
      <c r="G46" s="1747"/>
      <c r="H46" s="1747"/>
      <c r="I46" s="1748"/>
      <c r="J46" s="1749"/>
      <c r="L46" s="1780"/>
      <c r="M46" s="1746"/>
      <c r="N46" s="1746"/>
      <c r="O46" s="1746"/>
      <c r="P46" s="1746"/>
      <c r="Q46" s="1746"/>
      <c r="R46" s="1746"/>
    </row>
    <row r="47" spans="1:18" ht="15" customHeight="1" x14ac:dyDescent="0.25">
      <c r="A47" s="1742" t="s">
        <v>729</v>
      </c>
      <c r="L47" s="1780"/>
      <c r="M47" s="1746"/>
      <c r="N47" s="1746"/>
      <c r="O47" s="1746"/>
      <c r="P47" s="1746"/>
      <c r="Q47" s="1746"/>
      <c r="R47" s="1746"/>
    </row>
    <row r="48" spans="1:18" ht="15" customHeight="1" x14ac:dyDescent="0.2">
      <c r="A48" s="2639" t="str">
        <f>"               Avaliou-se a qualidade da imagem com o uso de ferramenta teste específica para mamografia: um simulador radiográfico de mama (fantoma)."&amp;"  Esta ferramenta simula uma mama comprimida e fornece informações de estruturas que simulam microcalcificações, fibras e massas tumorais."&amp;" A partir do fantoma, são produzidas as imagens a serem avaliadas.
               Na avaliação das imagens são seguidos os critérios da IN "&amp;VLOOKUP("Mamografia",IN_ANVISA[],2)&amp;"/"&amp;VLOOKUP("Mamografia",IN_ANVISA[],3)&amp;" da ANVISA"&amp;", que estabelece que os sistemas de mamografia devem ser capazes de identificar os artefatos que simulam fibras de tecido adiposo de 0,75 mm, microcalcificações de 0,32 mm e massas tumorais de 0,75 mm no fantoma, ou menores."&amp;"
               Os gráficos apresentam a tendência da qualidade da imagem e um resumo correspondente aos valores avaliados diariamente e listados na tabela de resultados em anexo."</f>
        <v xml:space="preserve">               Avaliou-se a qualidade da imagem com o uso de ferramenta teste específica para mamografia: um simulador radiográfico de mama (fantoma).  Esta ferramenta simula uma mama comprimida e fornece informações de estruturas que simulam microcalcificações, fibras e massas tumorais. A partir do fantoma, são produzidas as imagens a serem avaliadas.
               Na avaliação das imagens são seguidos os critérios da IN 92/2021 da ANVISA, que estabelece que os sistemas de mamografia devem ser capazes de identificar os artefatos que simulam fibras de tecido adiposo de 0,75 mm, microcalcificações de 0,32 mm e massas tumorais de 0,75 mm no fantoma, ou menores.
               Os gráficos apresentam a tendência da qualidade da imagem e um resumo correspondente aos valores avaliados diariamente e listados na tabela de resultados em anexo.</v>
      </c>
      <c r="B48" s="2639"/>
      <c r="C48" s="2639"/>
      <c r="D48" s="2639"/>
      <c r="E48" s="2639"/>
      <c r="F48" s="2639"/>
      <c r="G48" s="2639"/>
      <c r="H48" s="2639"/>
      <c r="I48" s="2639"/>
      <c r="J48" s="2639"/>
      <c r="L48" s="1780"/>
      <c r="M48" s="1746"/>
      <c r="N48" s="1746"/>
      <c r="O48" s="1746"/>
      <c r="P48" s="1746"/>
      <c r="Q48" s="1746"/>
      <c r="R48" s="1746"/>
    </row>
    <row r="49" spans="1:18" ht="15" customHeight="1" x14ac:dyDescent="0.2">
      <c r="A49" s="2639"/>
      <c r="B49" s="2639"/>
      <c r="C49" s="2639"/>
      <c r="D49" s="2639"/>
      <c r="E49" s="2639"/>
      <c r="F49" s="2639"/>
      <c r="G49" s="2639"/>
      <c r="H49" s="2639"/>
      <c r="I49" s="2639"/>
      <c r="J49" s="2639"/>
      <c r="L49" s="1780"/>
      <c r="M49" s="1750"/>
      <c r="N49" s="1750"/>
      <c r="O49" s="1750"/>
      <c r="P49" s="1750"/>
      <c r="Q49" s="1750"/>
      <c r="R49" s="1746"/>
    </row>
    <row r="50" spans="1:18" ht="15" customHeight="1" x14ac:dyDescent="0.2">
      <c r="A50" s="2639"/>
      <c r="B50" s="2639"/>
      <c r="C50" s="2639"/>
      <c r="D50" s="2639"/>
      <c r="E50" s="2639"/>
      <c r="F50" s="2639"/>
      <c r="G50" s="2639"/>
      <c r="H50" s="2639"/>
      <c r="I50" s="2639"/>
      <c r="J50" s="2639"/>
    </row>
    <row r="51" spans="1:18" ht="15" customHeight="1" x14ac:dyDescent="0.2">
      <c r="A51" s="2639"/>
      <c r="B51" s="2639"/>
      <c r="C51" s="2639"/>
      <c r="D51" s="2639"/>
      <c r="E51" s="2639"/>
      <c r="F51" s="2639"/>
      <c r="G51" s="2639"/>
      <c r="H51" s="2639"/>
      <c r="I51" s="2639"/>
      <c r="J51" s="2639"/>
    </row>
    <row r="52" spans="1:18" ht="15" customHeight="1" x14ac:dyDescent="0.2">
      <c r="A52" s="2639"/>
      <c r="B52" s="2639"/>
      <c r="C52" s="2639"/>
      <c r="D52" s="2639"/>
      <c r="E52" s="2639"/>
      <c r="F52" s="2639"/>
      <c r="G52" s="2639"/>
      <c r="H52" s="2639"/>
      <c r="I52" s="2639"/>
      <c r="J52" s="2639"/>
    </row>
    <row r="53" spans="1:18" ht="15" customHeight="1" x14ac:dyDescent="0.2">
      <c r="A53" s="2639"/>
      <c r="B53" s="2639"/>
      <c r="C53" s="2639"/>
      <c r="D53" s="2639"/>
      <c r="E53" s="2639"/>
      <c r="F53" s="2639"/>
      <c r="G53" s="2639"/>
      <c r="H53" s="2639"/>
      <c r="I53" s="2639"/>
      <c r="J53" s="2639"/>
    </row>
    <row r="54" spans="1:18" ht="15" customHeight="1" x14ac:dyDescent="0.2">
      <c r="A54" s="2639"/>
      <c r="B54" s="2639"/>
      <c r="C54" s="2639"/>
      <c r="D54" s="2639"/>
      <c r="E54" s="2639"/>
      <c r="F54" s="2639"/>
      <c r="G54" s="2639"/>
      <c r="H54" s="2639"/>
      <c r="I54" s="2639"/>
      <c r="J54" s="2639"/>
    </row>
    <row r="55" spans="1:18" ht="15" customHeight="1" x14ac:dyDescent="0.2">
      <c r="A55" s="2639"/>
      <c r="B55" s="2639"/>
      <c r="C55" s="2639"/>
      <c r="D55" s="2639"/>
      <c r="E55" s="2639"/>
      <c r="F55" s="2639"/>
      <c r="G55" s="2639"/>
      <c r="H55" s="2639"/>
      <c r="I55" s="2639"/>
      <c r="J55" s="2639"/>
    </row>
    <row r="56" spans="1:18" ht="15" customHeight="1" x14ac:dyDescent="0.2">
      <c r="A56" s="2639"/>
      <c r="B56" s="2639"/>
      <c r="C56" s="2639"/>
      <c r="D56" s="2639"/>
      <c r="E56" s="2639"/>
      <c r="F56" s="2639"/>
      <c r="G56" s="2639"/>
      <c r="H56" s="2639"/>
      <c r="I56" s="2639"/>
      <c r="J56" s="2639"/>
    </row>
    <row r="57" spans="1:18" ht="15" customHeight="1" x14ac:dyDescent="0.2">
      <c r="A57" s="2639"/>
      <c r="B57" s="2639"/>
      <c r="C57" s="2639"/>
      <c r="D57" s="2639"/>
      <c r="E57" s="2639"/>
      <c r="F57" s="2639"/>
      <c r="G57" s="2639"/>
      <c r="H57" s="2639"/>
      <c r="I57" s="2639"/>
      <c r="J57" s="2639"/>
    </row>
    <row r="58" spans="1:18" ht="15" customHeight="1" x14ac:dyDescent="0.2">
      <c r="A58" s="2639"/>
      <c r="B58" s="2639"/>
      <c r="C58" s="2639"/>
      <c r="D58" s="2639"/>
      <c r="E58" s="2639"/>
      <c r="F58" s="2639"/>
      <c r="G58" s="2639"/>
      <c r="H58" s="2639"/>
      <c r="I58" s="2639"/>
      <c r="J58" s="2639"/>
    </row>
    <row r="59" spans="1:18" ht="15" customHeight="1" x14ac:dyDescent="0.2">
      <c r="A59" s="2639"/>
      <c r="B59" s="2639"/>
      <c r="C59" s="2639"/>
      <c r="D59" s="2639"/>
      <c r="E59" s="2639"/>
      <c r="F59" s="2639"/>
      <c r="G59" s="2639"/>
      <c r="H59" s="2639"/>
      <c r="I59" s="2639"/>
      <c r="J59" s="2639"/>
    </row>
    <row r="60" spans="1:18" ht="15" customHeight="1" x14ac:dyDescent="0.2">
      <c r="A60" s="2640" t="str">
        <f ca="1">IF(OFFSET('fantoma mama'!A11,0,'fantoma mama'!$B$13,1,1)&lt;&gt;"","               Para as avaliações utilizou-se o fantoma: "&amp;OFFSET('fantoma mama'!A11,0,'fantoma mama'!$B$13,1,1),"")</f>
        <v/>
      </c>
      <c r="B60" s="2640"/>
      <c r="C60" s="2640"/>
      <c r="D60" s="2640"/>
      <c r="E60" s="2640"/>
      <c r="F60" s="2640"/>
      <c r="G60" s="2640"/>
      <c r="H60" s="2640"/>
      <c r="I60" s="2640"/>
      <c r="J60" s="2640"/>
    </row>
    <row r="61" spans="1:18" ht="15" customHeight="1" x14ac:dyDescent="0.2">
      <c r="A61" s="1751"/>
      <c r="B61" s="1751"/>
      <c r="C61" s="1751"/>
      <c r="D61" s="1751"/>
      <c r="E61" s="1751"/>
      <c r="F61" s="1751"/>
      <c r="G61" s="1751"/>
      <c r="H61" s="1751"/>
      <c r="I61" s="1751"/>
      <c r="J61" s="1751"/>
    </row>
    <row r="62" spans="1:18" ht="15" customHeight="1" x14ac:dyDescent="0.25">
      <c r="A62" s="1752" t="s">
        <v>1872</v>
      </c>
      <c r="B62" s="1746"/>
      <c r="C62" s="1746"/>
      <c r="J62" s="1746"/>
    </row>
    <row r="63" spans="1:18" ht="15" customHeight="1" x14ac:dyDescent="0.25">
      <c r="A63" s="1752"/>
      <c r="B63" s="1746"/>
      <c r="C63" s="1746"/>
      <c r="J63" s="1746"/>
    </row>
    <row r="64" spans="1:18" ht="15" customHeight="1" x14ac:dyDescent="0.25">
      <c r="A64" s="1752"/>
      <c r="B64" s="1746"/>
      <c r="C64" s="1746"/>
      <c r="J64" s="1746"/>
    </row>
    <row r="65" spans="1:10" ht="15" customHeight="1" x14ac:dyDescent="0.25">
      <c r="A65" s="1752"/>
      <c r="B65" s="1746"/>
      <c r="C65" s="1746"/>
      <c r="J65" s="1746"/>
    </row>
    <row r="66" spans="1:10" ht="15" customHeight="1" x14ac:dyDescent="0.25">
      <c r="A66" s="1752"/>
      <c r="B66" s="1746"/>
      <c r="C66" s="1746"/>
      <c r="J66" s="1746"/>
    </row>
    <row r="67" spans="1:10" ht="15" customHeight="1" x14ac:dyDescent="0.25">
      <c r="A67" s="1752"/>
      <c r="B67" s="1746"/>
      <c r="C67" s="1746"/>
      <c r="J67" s="1746"/>
    </row>
    <row r="68" spans="1:10" ht="15" customHeight="1" x14ac:dyDescent="0.25">
      <c r="A68" s="1752"/>
      <c r="B68" s="1746"/>
      <c r="C68" s="1746"/>
      <c r="J68" s="1746"/>
    </row>
    <row r="69" spans="1:10" ht="15" customHeight="1" x14ac:dyDescent="0.25">
      <c r="A69" s="1752"/>
      <c r="B69" s="1746"/>
      <c r="C69" s="1746"/>
      <c r="J69" s="1746"/>
    </row>
    <row r="70" spans="1:10" ht="15" customHeight="1" x14ac:dyDescent="0.25">
      <c r="A70" s="1752"/>
      <c r="B70" s="1746"/>
      <c r="C70" s="1746"/>
      <c r="J70" s="1746"/>
    </row>
    <row r="97" spans="1:10" x14ac:dyDescent="0.2">
      <c r="A97" s="2636" t="e">
        <f>A1</f>
        <v>#N/A</v>
      </c>
      <c r="B97" s="2636"/>
      <c r="C97" s="2636"/>
      <c r="D97" s="2636"/>
      <c r="E97" s="2636"/>
      <c r="F97" s="2636"/>
      <c r="G97" s="2637" t="str">
        <f>G1</f>
        <v/>
      </c>
      <c r="H97" s="2637"/>
      <c r="I97" s="2638">
        <f ca="1">I1</f>
        <v>46140</v>
      </c>
      <c r="J97" s="2638"/>
    </row>
    <row r="98" spans="1:10" x14ac:dyDescent="0.2">
      <c r="A98" s="1775"/>
      <c r="B98" s="1775"/>
      <c r="C98" s="1775"/>
      <c r="D98" s="1775"/>
      <c r="E98" s="1775"/>
      <c r="F98" s="1775"/>
      <c r="G98" s="1776"/>
      <c r="H98" s="1776"/>
      <c r="I98" s="1777"/>
      <c r="J98" s="1777"/>
    </row>
    <row r="116" spans="1:10" ht="15.75" x14ac:dyDescent="0.25">
      <c r="A116" s="1742" t="s">
        <v>735</v>
      </c>
      <c r="B116" s="1753"/>
      <c r="C116" s="1753"/>
      <c r="D116" s="1753"/>
      <c r="E116" s="1753"/>
      <c r="F116" s="1753"/>
      <c r="G116" s="1753"/>
      <c r="H116" s="1753"/>
      <c r="I116" s="1753"/>
    </row>
    <row r="117" spans="1:10" x14ac:dyDescent="0.2">
      <c r="A117" s="2632" t="str">
        <f>IntroPrazoArmazenamento</f>
        <v xml:space="preserve">               Este documento deve ser arquivado e mantido à disposição da autoridade sanitária local, garantindo sua rastreabilidade pelo prazo mínimo de 5 anos. </v>
      </c>
      <c r="B117" s="2632"/>
      <c r="C117" s="2632"/>
      <c r="D117" s="2632"/>
      <c r="E117" s="2632"/>
      <c r="F117" s="2632"/>
      <c r="G117" s="2632"/>
      <c r="H117" s="2632"/>
      <c r="I117" s="2632"/>
      <c r="J117" s="2632"/>
    </row>
    <row r="118" spans="1:10" x14ac:dyDescent="0.2">
      <c r="A118" s="2632"/>
      <c r="B118" s="2632"/>
      <c r="C118" s="2632"/>
      <c r="D118" s="2632"/>
      <c r="E118" s="2632"/>
      <c r="F118" s="2632"/>
      <c r="G118" s="2632"/>
      <c r="H118" s="2632"/>
      <c r="I118" s="2632"/>
      <c r="J118" s="2632"/>
    </row>
    <row r="119" spans="1:10" x14ac:dyDescent="0.2">
      <c r="A119" s="2635" t="str">
        <f ca="1">"               "&amp;OFFSET('fantoma mama'!A37,0,'fantoma mama'!$B$13,1,1)</f>
        <v xml:space="preserve">               Cuidar para que o Fantoma seja posicionado junto da borda da parede torácica, centralizado lateralmente, totalmente comprimido pela bandeja de compressão e percebido pelo sensor do Sistema automático de exposição (CAE). </v>
      </c>
      <c r="B119" s="2635"/>
      <c r="C119" s="2635"/>
      <c r="D119" s="2635"/>
      <c r="E119" s="2635"/>
      <c r="F119" s="2635"/>
      <c r="G119" s="2635"/>
      <c r="H119" s="2635"/>
      <c r="I119" s="2635"/>
      <c r="J119" s="2635"/>
    </row>
    <row r="120" spans="1:10" x14ac:dyDescent="0.2">
      <c r="A120" s="2635"/>
      <c r="B120" s="2635"/>
      <c r="C120" s="2635"/>
      <c r="D120" s="2635"/>
      <c r="E120" s="2635"/>
      <c r="F120" s="2635"/>
      <c r="G120" s="2635"/>
      <c r="H120" s="2635"/>
      <c r="I120" s="2635"/>
      <c r="J120" s="2635"/>
    </row>
    <row r="121" spans="1:10" x14ac:dyDescent="0.2">
      <c r="A121" s="2635"/>
      <c r="B121" s="2635"/>
      <c r="C121" s="2635"/>
      <c r="D121" s="2635"/>
      <c r="E121" s="2635"/>
      <c r="F121" s="2635"/>
      <c r="G121" s="2635"/>
      <c r="H121" s="2635"/>
      <c r="I121" s="2635"/>
      <c r="J121" s="2635"/>
    </row>
    <row r="122" spans="1:10" x14ac:dyDescent="0.2">
      <c r="A122" s="2635"/>
      <c r="B122" s="2635"/>
      <c r="C122" s="2635"/>
      <c r="D122" s="2635"/>
      <c r="E122" s="2635"/>
      <c r="F122" s="2635"/>
      <c r="G122" s="2635"/>
      <c r="H122" s="2635"/>
      <c r="I122" s="2635"/>
      <c r="J122" s="2635"/>
    </row>
    <row r="123" spans="1:10" x14ac:dyDescent="0.2">
      <c r="A123" s="2635"/>
      <c r="B123" s="2635"/>
      <c r="C123" s="2635"/>
      <c r="D123" s="2635"/>
      <c r="E123" s="2635"/>
      <c r="F123" s="2635"/>
      <c r="G123" s="2635"/>
      <c r="H123" s="2635"/>
      <c r="I123" s="2635"/>
      <c r="J123" s="2635"/>
    </row>
    <row r="124" spans="1:10" x14ac:dyDescent="0.2">
      <c r="A124" s="2635"/>
      <c r="B124" s="2635"/>
      <c r="C124" s="2635"/>
      <c r="D124" s="2635"/>
      <c r="E124" s="2635"/>
      <c r="F124" s="2635"/>
      <c r="G124" s="2635"/>
      <c r="H124" s="2635"/>
      <c r="I124" s="2635"/>
      <c r="J124" s="2635"/>
    </row>
    <row r="126" spans="1:10" ht="15.75" x14ac:dyDescent="0.25">
      <c r="A126" s="1742" t="s">
        <v>732</v>
      </c>
    </row>
    <row r="127" spans="1:10" ht="31.5" customHeight="1" x14ac:dyDescent="0.2">
      <c r="A127" s="2639" t="str">
        <f ca="1">IF(COUNTIF($F$144:$H$158,"Não conforme")&gt;0,"               A visualização das estruturas do fantoma não cumpre os requisitos da Instrução Normativa "&amp;VLOOKUP("Mamografia",IN_ANVISA[],2)&amp;"/"&amp;VLOOKUP("Mamografia",IN_ANVISA[],3)&amp;" da ANVISA.","               A visualização das estruturas do fantoma atende ao Anexo I da Instrução Normativa "&amp;VLOOKUP("Mamografia",IN_ANVISA[],2)&amp;"/"&amp;VLOOKUP("Mamografia",IN_ANVISA[],3)&amp;" da ANVISA.")</f>
        <v xml:space="preserve">               A visualização das estruturas do fantoma atende ao Anexo I da Instrução Normativa 92/2021 da ANVISA.</v>
      </c>
      <c r="B127" s="2639"/>
      <c r="C127" s="2639"/>
      <c r="D127" s="2639"/>
      <c r="E127" s="2639"/>
      <c r="F127" s="2639"/>
      <c r="G127" s="2639"/>
      <c r="H127" s="2639"/>
      <c r="I127" s="2639"/>
      <c r="J127" s="2639"/>
    </row>
    <row r="128" spans="1:10" x14ac:dyDescent="0.2">
      <c r="A128" s="2639"/>
      <c r="B128" s="2639"/>
      <c r="C128" s="2639"/>
      <c r="D128" s="2639"/>
      <c r="E128" s="2639"/>
      <c r="F128" s="2639"/>
      <c r="G128" s="2639"/>
      <c r="H128" s="2639"/>
      <c r="I128" s="2639"/>
      <c r="J128" s="2639"/>
    </row>
    <row r="129" spans="1:12" x14ac:dyDescent="0.2">
      <c r="A129" s="2631"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129" s="2631"/>
      <c r="C129" s="2631"/>
      <c r="D129" s="2631"/>
      <c r="E129" s="2631"/>
      <c r="F129" s="2631"/>
      <c r="G129" s="2631"/>
      <c r="H129" s="2631"/>
      <c r="I129" s="2631"/>
      <c r="J129" s="2631"/>
      <c r="K129" s="1736" t="str">
        <f ca="1">IF(COUNTIF(I144:I158,"Restrição")&gt;0,"","x")</f>
        <v>x</v>
      </c>
    </row>
    <row r="130" spans="1:12" x14ac:dyDescent="0.2">
      <c r="A130" s="2631"/>
      <c r="B130" s="2631"/>
      <c r="C130" s="2631"/>
      <c r="D130" s="2631"/>
      <c r="E130" s="2631"/>
      <c r="F130" s="2631"/>
      <c r="G130" s="2631"/>
      <c r="H130" s="2631"/>
      <c r="I130" s="2631"/>
      <c r="J130" s="2631"/>
      <c r="K130" s="1736" t="str">
        <f ca="1">K129</f>
        <v>x</v>
      </c>
    </row>
    <row r="131" spans="1:12" x14ac:dyDescent="0.2">
      <c r="A131" s="2631"/>
      <c r="B131" s="2631"/>
      <c r="C131" s="2631"/>
      <c r="D131" s="2631"/>
      <c r="E131" s="2631"/>
      <c r="F131" s="2631"/>
      <c r="G131" s="2631"/>
      <c r="H131" s="2631"/>
      <c r="I131" s="2631"/>
      <c r="J131" s="2631"/>
      <c r="K131" s="1736" t="str">
        <f t="shared" ref="K131:K137" ca="1" si="0">K130</f>
        <v>x</v>
      </c>
    </row>
    <row r="132" spans="1:12" x14ac:dyDescent="0.2">
      <c r="A132" s="2631"/>
      <c r="B132" s="2631"/>
      <c r="C132" s="2631"/>
      <c r="D132" s="2631"/>
      <c r="E132" s="2631"/>
      <c r="F132" s="2631"/>
      <c r="G132" s="2631"/>
      <c r="H132" s="2631"/>
      <c r="I132" s="2631"/>
      <c r="J132" s="2631"/>
      <c r="K132" s="1736" t="str">
        <f t="shared" ca="1" si="0"/>
        <v>x</v>
      </c>
    </row>
    <row r="133" spans="1:12" x14ac:dyDescent="0.2">
      <c r="A133" s="2631"/>
      <c r="B133" s="2631"/>
      <c r="C133" s="2631"/>
      <c r="D133" s="2631"/>
      <c r="E133" s="2631"/>
      <c r="F133" s="2631"/>
      <c r="G133" s="2631"/>
      <c r="H133" s="2631"/>
      <c r="I133" s="2631"/>
      <c r="J133" s="2631"/>
      <c r="K133" s="1736" t="str">
        <f t="shared" ca="1" si="0"/>
        <v>x</v>
      </c>
    </row>
    <row r="134" spans="1:12" ht="15.75" customHeight="1" x14ac:dyDescent="0.2">
      <c r="A134" s="2632" t="s">
        <v>1021</v>
      </c>
      <c r="B134" s="2632"/>
      <c r="C134" s="2632"/>
      <c r="D134" s="2632"/>
      <c r="E134" s="2632"/>
      <c r="F134" s="2632"/>
      <c r="G134" s="2632"/>
      <c r="H134" s="2632"/>
      <c r="I134" s="2632"/>
      <c r="J134" s="2632"/>
      <c r="K134" s="1736" t="str">
        <f t="shared" ca="1" si="0"/>
        <v>x</v>
      </c>
    </row>
    <row r="135" spans="1:12" x14ac:dyDescent="0.2">
      <c r="A135" s="2632"/>
      <c r="B135" s="2632"/>
      <c r="C135" s="2632"/>
      <c r="D135" s="2632"/>
      <c r="E135" s="2632"/>
      <c r="F135" s="2632"/>
      <c r="G135" s="2632"/>
      <c r="H135" s="2632"/>
      <c r="I135" s="2632"/>
      <c r="J135" s="2632"/>
      <c r="K135" s="1736" t="str">
        <f t="shared" ca="1" si="0"/>
        <v>x</v>
      </c>
    </row>
    <row r="136" spans="1:12" x14ac:dyDescent="0.2">
      <c r="A136" s="2632"/>
      <c r="B136" s="2632"/>
      <c r="C136" s="2632"/>
      <c r="D136" s="2632"/>
      <c r="E136" s="2632"/>
      <c r="F136" s="2632"/>
      <c r="G136" s="2632"/>
      <c r="H136" s="2632"/>
      <c r="I136" s="2632"/>
      <c r="J136" s="2632"/>
      <c r="K136" s="1736" t="str">
        <f t="shared" ca="1" si="0"/>
        <v>x</v>
      </c>
    </row>
    <row r="137" spans="1:12" x14ac:dyDescent="0.2">
      <c r="A137" s="2632"/>
      <c r="B137" s="2632"/>
      <c r="C137" s="2632"/>
      <c r="D137" s="2632"/>
      <c r="E137" s="2632"/>
      <c r="F137" s="2632"/>
      <c r="G137" s="2632"/>
      <c r="H137" s="2632"/>
      <c r="I137" s="2632"/>
      <c r="J137" s="2632"/>
      <c r="K137" s="1736" t="str">
        <f t="shared" ca="1" si="0"/>
        <v>x</v>
      </c>
    </row>
    <row r="138" spans="1:12" x14ac:dyDescent="0.2">
      <c r="A138" s="2636" t="e">
        <f>A1</f>
        <v>#N/A</v>
      </c>
      <c r="B138" s="2636"/>
      <c r="C138" s="2636"/>
      <c r="D138" s="2636"/>
      <c r="E138" s="2636"/>
      <c r="F138" s="2636"/>
      <c r="G138" s="2637" t="str">
        <f>G1</f>
        <v/>
      </c>
      <c r="H138" s="2637"/>
      <c r="I138" s="2638">
        <f ca="1">I1</f>
        <v>46140</v>
      </c>
      <c r="J138" s="2638"/>
    </row>
    <row r="139" spans="1:12" x14ac:dyDescent="0.2">
      <c r="A139" s="1775"/>
      <c r="B139" s="1775"/>
      <c r="C139" s="1775"/>
      <c r="D139" s="1775"/>
      <c r="E139" s="1775"/>
      <c r="F139" s="1775"/>
      <c r="G139" s="1776"/>
      <c r="H139" s="1776"/>
      <c r="I139" s="1777"/>
      <c r="J139" s="1777"/>
    </row>
    <row r="140" spans="1:12" ht="15" customHeight="1" x14ac:dyDescent="0.25">
      <c r="A140" s="1752" t="s">
        <v>1883</v>
      </c>
      <c r="B140" s="1746"/>
      <c r="C140" s="1746"/>
      <c r="J140" s="1746"/>
    </row>
    <row r="141" spans="1:12" ht="15" customHeight="1" x14ac:dyDescent="0.25">
      <c r="C141" s="1754"/>
      <c r="D141" s="1754"/>
      <c r="E141" s="1754"/>
      <c r="F141" s="1755"/>
      <c r="G141" s="1756"/>
      <c r="H141" s="1755"/>
      <c r="J141" s="1746"/>
      <c r="K141" s="1736" t="str">
        <f>K142</f>
        <v>x</v>
      </c>
    </row>
    <row r="142" spans="1:12" ht="15" customHeight="1" x14ac:dyDescent="0.25">
      <c r="A142" s="1742" t="s">
        <v>719</v>
      </c>
      <c r="C142" s="1754"/>
      <c r="D142" s="1754"/>
      <c r="E142" s="1754"/>
      <c r="F142" s="1755"/>
      <c r="G142" s="1756"/>
      <c r="H142" s="1755"/>
      <c r="J142" s="1746"/>
      <c r="K142" s="1736" t="str">
        <f>IF(COUNTA('fantoma mama'!$B$15:$Z$16)&gt;0,"","x")</f>
        <v>x</v>
      </c>
    </row>
    <row r="143" spans="1:12" ht="15" customHeight="1" x14ac:dyDescent="0.2">
      <c r="A143" s="1762" t="s">
        <v>1873</v>
      </c>
      <c r="B143" s="2633" t="s">
        <v>1875</v>
      </c>
      <c r="C143" s="2633"/>
      <c r="D143" s="2634" t="s">
        <v>766</v>
      </c>
      <c r="E143" s="2634"/>
      <c r="F143" s="1763" t="s">
        <v>1874</v>
      </c>
      <c r="G143" s="1763" t="s">
        <v>0</v>
      </c>
      <c r="H143" s="1763" t="s">
        <v>199</v>
      </c>
      <c r="I143" s="1764" t="str">
        <f>'fantoma mama'!$B$1</f>
        <v>IN 92</v>
      </c>
      <c r="K143" s="1736" t="str">
        <f>K142</f>
        <v>x</v>
      </c>
    </row>
    <row r="144" spans="1:12" ht="15" customHeight="1" x14ac:dyDescent="0.2">
      <c r="A144" s="1757">
        <f ca="1">A145</f>
        <v>46140</v>
      </c>
      <c r="B144" s="2625" t="s">
        <v>722</v>
      </c>
      <c r="C144" s="2626"/>
      <c r="D144" s="2626" t="str">
        <f ca="1">IF(OFFSET('fantoma mama'!$A$17,0,$L145,1,1)=0,"Não visível",IF(OFFSET('fantoma mama'!$A$17,0,$L145,1,1)="-","NPA",VLOOKUP(OFFSET('fantoma mama'!$A$17,0,$L145,1,1),IF(OFFSET('fantoma mama'!$A$5,0,$L145,1,1)="acr",Tabelas!$M$2:$N$7,Tabelas!$M$20:$N$25),2)))</f>
        <v>NPA</v>
      </c>
      <c r="E144" s="2626"/>
      <c r="F144" s="1766" t="str">
        <f ca="1">IF(D144="NPA","NR",IF(D144="Não visível","NC",IF(D144&gt;0.75,"NC","C")))</f>
        <v>NR</v>
      </c>
      <c r="G144" s="1767" t="str">
        <f ca="1">G145</f>
        <v>NPA</v>
      </c>
      <c r="H144" s="1767" t="str">
        <f ca="1">H145</f>
        <v>NPA</v>
      </c>
      <c r="I144" s="1768" t="str">
        <f ca="1">IF(F144="NC","Restrição",IF(F144="NR","NA","Sim"))</f>
        <v>NA</v>
      </c>
      <c r="K144" s="1736" t="str">
        <f ca="1">IF(A144="","x","")</f>
        <v/>
      </c>
      <c r="L144" s="1778" t="s">
        <v>1879</v>
      </c>
    </row>
    <row r="145" spans="1:12" s="1742" customFormat="1" ht="15" customHeight="1" x14ac:dyDescent="0.25">
      <c r="A145" s="1758">
        <f ca="1">IF(OFFSET('fantoma mama'!$A$4,0,$L145,1,1)=0,"",OFFSET('fantoma mama'!$A$4,0,$L145,1,1))</f>
        <v>46140</v>
      </c>
      <c r="B145" s="2627" t="s">
        <v>723</v>
      </c>
      <c r="C145" s="2628"/>
      <c r="D145" s="2628" t="str">
        <f ca="1">IF(OFFSET('fantoma mama'!$A$18,0,$L145,1,1)=0,"Não visível",IF(OFFSET('fantoma mama'!$A$18,0,$L145,1,1)="-","NPA",VLOOKUP(OFFSET('fantoma mama'!$A$18,0,$L145,1,1),IF(OFFSET('fantoma mama'!$A$5,0,$L145,1,1)="acr",Tabelas!$M$13:$N$17,Tabelas!$M$31:$N$35),2)))</f>
        <v>NPA</v>
      </c>
      <c r="E145" s="2628"/>
      <c r="F145" s="1765" t="str">
        <f ca="1">IF(D145="NPA","NR",IF(D145="Não visível","NC",IF(D145&gt;0.75,"NC","C")))</f>
        <v>NR</v>
      </c>
      <c r="G145" s="1774" t="str">
        <f ca="1">IF(OFFSET('fantoma mama'!$A$15,0,$L145,1,1)=0,"NPA",OFFSET('fantoma mama'!$A$15,0,$L145,1,1))</f>
        <v>NPA</v>
      </c>
      <c r="H145" s="1774" t="str">
        <f ca="1">IF(OFFSET('fantoma mama'!$A$16,0,$L145,1,1)=0,"NPA",OFFSET('fantoma mama'!$A$16,0,$L145,1,1))</f>
        <v>NPA</v>
      </c>
      <c r="I145" s="1769" t="str">
        <f t="shared" ref="I145:I208" ca="1" si="1">IF(F145="NC","Restrição",IF(F145="NR","NA","Sim"))</f>
        <v>NA</v>
      </c>
      <c r="K145" s="1736" t="str">
        <f t="shared" ref="K145:K208" ca="1" si="2">IF(A145="","x","")</f>
        <v/>
      </c>
      <c r="L145" s="1778">
        <v>1</v>
      </c>
    </row>
    <row r="146" spans="1:12" ht="15" customHeight="1" x14ac:dyDescent="0.2">
      <c r="A146" s="1759">
        <f ca="1">A145</f>
        <v>46140</v>
      </c>
      <c r="B146" s="2627" t="s">
        <v>736</v>
      </c>
      <c r="C146" s="2628"/>
      <c r="D146" s="2622" t="str">
        <f ca="1">IF(OFFSET('fantoma mama'!$A$19,0,$L145,1,1)=0,"Não visível",IF(OFFSET('fantoma mama'!$A$19,0,$L145,1,1)="-","NPA",VLOOKUP(OFFSET('fantoma mama'!$A$19,0,$L145,1,1),IF(OFFSET('fantoma mama'!$A$5,0,$L145,1,1)="acr",Tabelas!$M$8:$N$12,Tabelas!$M$26:$N$30),2)))</f>
        <v>NPA</v>
      </c>
      <c r="E146" s="2622"/>
      <c r="F146" s="1765" t="str">
        <f ca="1">IF(D146="NPA","NR",IF(D146="Não visível","NC",IF(D146&gt;0.32,"NC","C")))</f>
        <v>NR</v>
      </c>
      <c r="G146" s="1771" t="str">
        <f ca="1">G145</f>
        <v>NPA</v>
      </c>
      <c r="H146" s="1771" t="str">
        <f ca="1">H145</f>
        <v>NPA</v>
      </c>
      <c r="I146" s="1769" t="str">
        <f t="shared" ca="1" si="1"/>
        <v>NA</v>
      </c>
      <c r="K146" s="1736" t="str">
        <f t="shared" ca="1" si="2"/>
        <v/>
      </c>
    </row>
    <row r="147" spans="1:12" ht="15" customHeight="1" x14ac:dyDescent="0.2">
      <c r="A147" s="1757">
        <f ca="1">A148</f>
        <v>46141</v>
      </c>
      <c r="B147" s="2625" t="s">
        <v>722</v>
      </c>
      <c r="C147" s="2626"/>
      <c r="D147" s="2626" t="str">
        <f ca="1">IF(OFFSET('fantoma mama'!$A$17,0,$L148,1,1)=0,"Não visível",IF(OFFSET('fantoma mama'!$A$17,0,$L148,1,1)="-","NPA",VLOOKUP(OFFSET('fantoma mama'!$A$17,0,$L148,1,1),IF(OFFSET('fantoma mama'!$A$5,0,$L148,1,1)="acr",Tabelas!$M$2:$N$7,Tabelas!$M$20:$N$25),2)))</f>
        <v>NPA</v>
      </c>
      <c r="E147" s="2626"/>
      <c r="F147" s="1766" t="str">
        <f ca="1">IF(D147="NPA","NR",IF(D147="Não visível","NC",IF(D147&gt;0.75,"NC","C")))</f>
        <v>NR</v>
      </c>
      <c r="G147" s="1767" t="str">
        <f ca="1">G148</f>
        <v>NPA</v>
      </c>
      <c r="H147" s="1767" t="str">
        <f ca="1">H148</f>
        <v>NPA</v>
      </c>
      <c r="I147" s="1768" t="str">
        <f ca="1">IF(F147="NC","Restrição",IF(F147="NR","NA","Sim"))</f>
        <v>NA</v>
      </c>
      <c r="K147" s="1736" t="str">
        <f t="shared" ca="1" si="2"/>
        <v/>
      </c>
    </row>
    <row r="148" spans="1:12" x14ac:dyDescent="0.2">
      <c r="A148" s="1758">
        <f ca="1">IF(OFFSET('fantoma mama'!$A$4,0,$L148,1,1)=0,"",OFFSET('fantoma mama'!$A$4,0,$L148,1,1))</f>
        <v>46141</v>
      </c>
      <c r="B148" s="2627" t="s">
        <v>723</v>
      </c>
      <c r="C148" s="2628"/>
      <c r="D148" s="2628" t="str">
        <f ca="1">IF(OFFSET('fantoma mama'!$A$18,0,$L148,1,1)=0,"Não visível",IF(OFFSET('fantoma mama'!$A$18,0,$L148,1,1)="-","NPA",VLOOKUP(OFFSET('fantoma mama'!$A$18,0,$L148,1,1),IF(OFFSET('fantoma mama'!$A$5,0,$L148,1,1)="acr",Tabelas!$M$13:$N$17,Tabelas!$M$31:$N$35),2)))</f>
        <v>NPA</v>
      </c>
      <c r="E148" s="2628"/>
      <c r="F148" s="1765" t="str">
        <f ca="1">IF(D148="NPA","NR",IF(D148="Não visível","NC",IF(D148&gt;0.75,"NC","C")))</f>
        <v>NR</v>
      </c>
      <c r="G148" s="1774" t="str">
        <f ca="1">IF(OFFSET('fantoma mama'!$A$15,0,$L148,1,1)=0,"NPA",OFFSET('fantoma mama'!$A$15,0,$L148,1,1))</f>
        <v>NPA</v>
      </c>
      <c r="H148" s="1774" t="str">
        <f ca="1">IF(OFFSET('fantoma mama'!$A$16,0,$L148,1,1)=0,"NPA",OFFSET('fantoma mama'!$A$16,0,$L148,1,1))</f>
        <v>NPA</v>
      </c>
      <c r="I148" s="1769" t="str">
        <f t="shared" ref="I148:I149" ca="1" si="3">IF(F148="NC","Restrição",IF(F148="NR","NA","Sim"))</f>
        <v>NA</v>
      </c>
      <c r="K148" s="1736" t="str">
        <f t="shared" ca="1" si="2"/>
        <v/>
      </c>
      <c r="L148" s="1778">
        <f>L145+1</f>
        <v>2</v>
      </c>
    </row>
    <row r="149" spans="1:12" ht="15.6" customHeight="1" x14ac:dyDescent="0.2">
      <c r="A149" s="1759">
        <f ca="1">A148</f>
        <v>46141</v>
      </c>
      <c r="B149" s="2627" t="s">
        <v>736</v>
      </c>
      <c r="C149" s="2628"/>
      <c r="D149" s="2622" t="str">
        <f ca="1">IF(OFFSET('fantoma mama'!$A$19,0,$L148,1,1)=0,"Não visível",IF(OFFSET('fantoma mama'!$A$19,0,$L148,1,1)="-","NPA",VLOOKUP(OFFSET('fantoma mama'!$A$19,0,$L148,1,1),IF(OFFSET('fantoma mama'!$A$5,0,$L148,1,1)="acr",Tabelas!$M$8:$N$12,Tabelas!$M$26:$N$30),2)))</f>
        <v>NPA</v>
      </c>
      <c r="E149" s="2622"/>
      <c r="F149" s="1765" t="str">
        <f ca="1">IF(D149="NPA","NR",IF(D149="Não visível","NC",IF(D149&gt;0.32,"NC","C")))</f>
        <v>NR</v>
      </c>
      <c r="G149" s="1771" t="str">
        <f ca="1">G148</f>
        <v>NPA</v>
      </c>
      <c r="H149" s="1771" t="str">
        <f ca="1">H148</f>
        <v>NPA</v>
      </c>
      <c r="I149" s="1769" t="str">
        <f t="shared" ca="1" si="3"/>
        <v>NA</v>
      </c>
      <c r="K149" s="1736" t="str">
        <f t="shared" ca="1" si="2"/>
        <v/>
      </c>
    </row>
    <row r="150" spans="1:12" x14ac:dyDescent="0.2">
      <c r="A150" s="1757">
        <f ca="1">A151</f>
        <v>46142</v>
      </c>
      <c r="B150" s="2625" t="s">
        <v>722</v>
      </c>
      <c r="C150" s="2626"/>
      <c r="D150" s="2626" t="str">
        <f ca="1">IF(OFFSET('fantoma mama'!$A$17,0,$L151,1,1)=0,"Não visível",IF(OFFSET('fantoma mama'!$A$17,0,$L151,1,1)="-","NPA",VLOOKUP(OFFSET('fantoma mama'!$A$17,0,$L151,1,1),IF(OFFSET('fantoma mama'!$A$5,0,$L151,1,1)="acr",Tabelas!$M$2:$N$7,Tabelas!$M$20:$N$25),2)))</f>
        <v>NPA</v>
      </c>
      <c r="E150" s="2626"/>
      <c r="F150" s="1766" t="str">
        <f ca="1">IF(D150="NPA","NR",IF(D150="Não visível","NC",IF(D150&gt;0.75,"NC","C")))</f>
        <v>NR</v>
      </c>
      <c r="G150" s="1767" t="str">
        <f ca="1">G151</f>
        <v>NPA</v>
      </c>
      <c r="H150" s="1767" t="str">
        <f ca="1">H151</f>
        <v>NPA</v>
      </c>
      <c r="I150" s="1768" t="str">
        <f ca="1">IF(F150="NC","Restrição",IF(F150="NR","NA","Sim"))</f>
        <v>NA</v>
      </c>
      <c r="K150" s="1736" t="str">
        <f t="shared" ca="1" si="2"/>
        <v/>
      </c>
    </row>
    <row r="151" spans="1:12" x14ac:dyDescent="0.2">
      <c r="A151" s="1758">
        <f ca="1">IF(OFFSET('fantoma mama'!$A$4,0,$L151,1,1)=0,"",OFFSET('fantoma mama'!$A$4,0,$L151,1,1))</f>
        <v>46142</v>
      </c>
      <c r="B151" s="2627" t="s">
        <v>723</v>
      </c>
      <c r="C151" s="2628"/>
      <c r="D151" s="2628" t="str">
        <f ca="1">IF(OFFSET('fantoma mama'!$A$18,0,$L151,1,1)=0,"Não visível",IF(OFFSET('fantoma mama'!$A$18,0,$L151,1,1)="-","NPA",VLOOKUP(OFFSET('fantoma mama'!$A$18,0,$L151,1,1),IF(OFFSET('fantoma mama'!$A$5,0,$L151,1,1)="acr",Tabelas!$M$13:$N$17,Tabelas!$M$31:$N$35),2)))</f>
        <v>NPA</v>
      </c>
      <c r="E151" s="2628"/>
      <c r="F151" s="1765" t="str">
        <f ca="1">IF(D151="NPA","NR",IF(D151="Não visível","NC",IF(D151&gt;0.75,"NC","C")))</f>
        <v>NR</v>
      </c>
      <c r="G151" s="1774" t="str">
        <f ca="1">IF(OFFSET('fantoma mama'!$A$15,0,$L151,1,1)=0,"NPA",OFFSET('fantoma mama'!$A$15,0,$L151,1,1))</f>
        <v>NPA</v>
      </c>
      <c r="H151" s="1774" t="str">
        <f ca="1">IF(OFFSET('fantoma mama'!$A$16,0,$L151,1,1)=0,"NPA",OFFSET('fantoma mama'!$A$16,0,$L151,1,1))</f>
        <v>NPA</v>
      </c>
      <c r="I151" s="1769" t="str">
        <f t="shared" ref="I151:I152" ca="1" si="4">IF(F151="NC","Restrição",IF(F151="NR","NA","Sim"))</f>
        <v>NA</v>
      </c>
      <c r="K151" s="1736" t="str">
        <f t="shared" ca="1" si="2"/>
        <v/>
      </c>
      <c r="L151" s="1778">
        <f>L148+1</f>
        <v>3</v>
      </c>
    </row>
    <row r="152" spans="1:12" ht="15.75" customHeight="1" x14ac:dyDescent="0.2">
      <c r="A152" s="1759">
        <f ca="1">A151</f>
        <v>46142</v>
      </c>
      <c r="B152" s="2621" t="s">
        <v>736</v>
      </c>
      <c r="C152" s="2622"/>
      <c r="D152" s="2622" t="str">
        <f ca="1">IF(OFFSET('fantoma mama'!$A$19,0,$L151,1,1)=0,"Não visível",IF(OFFSET('fantoma mama'!$A$19,0,$L151,1,1)="-","NPA",VLOOKUP(OFFSET('fantoma mama'!$A$19,0,$L151,1,1),IF(OFFSET('fantoma mama'!$A$5,0,$L151,1,1)="acr",Tabelas!$M$8:$N$12,Tabelas!$M$26:$N$30),2)))</f>
        <v>NPA</v>
      </c>
      <c r="E152" s="2622"/>
      <c r="F152" s="1770" t="str">
        <f ca="1">IF(D152="NPA","NR",IF(D152="Não visível","NC",IF(D152&gt;0.32,"NC","C")))</f>
        <v>NR</v>
      </c>
      <c r="G152" s="1771" t="str">
        <f ca="1">G151</f>
        <v>NPA</v>
      </c>
      <c r="H152" s="1771" t="str">
        <f ca="1">H151</f>
        <v>NPA</v>
      </c>
      <c r="I152" s="1772" t="str">
        <f t="shared" ca="1" si="4"/>
        <v>NA</v>
      </c>
      <c r="K152" s="1736" t="str">
        <f t="shared" ca="1" si="2"/>
        <v/>
      </c>
    </row>
    <row r="153" spans="1:12" ht="15.75" customHeight="1" x14ac:dyDescent="0.2">
      <c r="A153" s="1757">
        <f ca="1">A154</f>
        <v>46143</v>
      </c>
      <c r="B153" s="2625" t="s">
        <v>722</v>
      </c>
      <c r="C153" s="2626"/>
      <c r="D153" s="2626" t="str">
        <f ca="1">IF(OFFSET('fantoma mama'!$A$17,0,$L154,1,1)=0,"Não visível",IF(OFFSET('fantoma mama'!$A$17,0,$L154,1,1)="-","NPA",VLOOKUP(OFFSET('fantoma mama'!$A$17,0,$L154,1,1),IF(OFFSET('fantoma mama'!$A$5,0,$L154,1,1)="acr",Tabelas!$M$2:$N$7,Tabelas!$M$20:$N$25),2)))</f>
        <v>NPA</v>
      </c>
      <c r="E153" s="2626"/>
      <c r="F153" s="1766" t="str">
        <f ca="1">IF(D153="NPA","NR",IF(D153="Não visível","NC",IF(D153&gt;0.75,"NC","C")))</f>
        <v>NR</v>
      </c>
      <c r="G153" s="1767" t="str">
        <f ca="1">G154</f>
        <v>NPA</v>
      </c>
      <c r="H153" s="1767" t="str">
        <f ca="1">H154</f>
        <v>NPA</v>
      </c>
      <c r="I153" s="1768" t="str">
        <f ca="1">IF(F153="NC","Restrição",IF(F153="NR","NA","Sim"))</f>
        <v>NA</v>
      </c>
      <c r="K153" s="1736" t="str">
        <f t="shared" ca="1" si="2"/>
        <v/>
      </c>
    </row>
    <row r="154" spans="1:12" x14ac:dyDescent="0.2">
      <c r="A154" s="1758">
        <f ca="1">IF(OFFSET('fantoma mama'!$A$4,0,$L154,1,1)=0,"",OFFSET('fantoma mama'!$A$4,0,$L154,1,1))</f>
        <v>46143</v>
      </c>
      <c r="B154" s="2627" t="s">
        <v>723</v>
      </c>
      <c r="C154" s="2628"/>
      <c r="D154" s="2628" t="str">
        <f ca="1">IF(OFFSET('fantoma mama'!$A$18,0,$L154,1,1)=0,"Não visível",IF(OFFSET('fantoma mama'!$A$18,0,$L154,1,1)="-","NPA",VLOOKUP(OFFSET('fantoma mama'!$A$18,0,$L154,1,1),IF(OFFSET('fantoma mama'!$A$5,0,$L154,1,1)="acr",Tabelas!$M$13:$N$17,Tabelas!$M$31:$N$35),2)))</f>
        <v>NPA</v>
      </c>
      <c r="E154" s="2628"/>
      <c r="F154" s="1765" t="str">
        <f ca="1">IF(D154="NPA","NR",IF(D154="Não visível","NC",IF(D154&gt;0.75,"NC","C")))</f>
        <v>NR</v>
      </c>
      <c r="G154" s="1774" t="str">
        <f ca="1">IF(OFFSET('fantoma mama'!$A$15,0,$L154,1,1)=0,"NPA",OFFSET('fantoma mama'!$A$15,0,$L154,1,1))</f>
        <v>NPA</v>
      </c>
      <c r="H154" s="1774" t="str">
        <f ca="1">IF(OFFSET('fantoma mama'!$A$16,0,$L154,1,1)=0,"NPA",OFFSET('fantoma mama'!$A$16,0,$L154,1,1))</f>
        <v>NPA</v>
      </c>
      <c r="I154" s="1769" t="str">
        <f t="shared" ref="I154:I155" ca="1" si="5">IF(F154="NC","Restrição",IF(F154="NR","NA","Sim"))</f>
        <v>NA</v>
      </c>
      <c r="K154" s="1736" t="str">
        <f t="shared" ca="1" si="2"/>
        <v/>
      </c>
      <c r="L154" s="1778">
        <f>L151+1</f>
        <v>4</v>
      </c>
    </row>
    <row r="155" spans="1:12" ht="15.6" customHeight="1" x14ac:dyDescent="0.2">
      <c r="A155" s="1759">
        <f ca="1">A154</f>
        <v>46143</v>
      </c>
      <c r="B155" s="2621" t="s">
        <v>736</v>
      </c>
      <c r="C155" s="2622"/>
      <c r="D155" s="2622" t="str">
        <f ca="1">IF(OFFSET('fantoma mama'!$A$19,0,$L154,1,1)=0,"Não visível",IF(OFFSET('fantoma mama'!$A$19,0,$L154,1,1)="-","NPA",VLOOKUP(OFFSET('fantoma mama'!$A$19,0,$L154,1,1),IF(OFFSET('fantoma mama'!$A$5,0,$L154,1,1)="acr",Tabelas!$M$8:$N$12,Tabelas!$M$26:$N$30),2)))</f>
        <v>NPA</v>
      </c>
      <c r="E155" s="2622"/>
      <c r="F155" s="1765" t="str">
        <f ca="1">IF(D155="NPA","NR",IF(D155="Não visível","NC",IF(D155&gt;0.32,"NC","C")))</f>
        <v>NR</v>
      </c>
      <c r="G155" s="1771" t="str">
        <f ca="1">G154</f>
        <v>NPA</v>
      </c>
      <c r="H155" s="1771" t="str">
        <f ca="1">H154</f>
        <v>NPA</v>
      </c>
      <c r="I155" s="1772" t="str">
        <f t="shared" ca="1" si="5"/>
        <v>NA</v>
      </c>
      <c r="K155" s="1736" t="str">
        <f t="shared" ca="1" si="2"/>
        <v/>
      </c>
    </row>
    <row r="156" spans="1:12" ht="15.75" customHeight="1" x14ac:dyDescent="0.2">
      <c r="A156" s="1757">
        <f ca="1">A157</f>
        <v>46144</v>
      </c>
      <c r="B156" s="2625" t="s">
        <v>722</v>
      </c>
      <c r="C156" s="2626"/>
      <c r="D156" s="2626" t="str">
        <f ca="1">IF(OFFSET('fantoma mama'!$A$17,0,$L157,1,1)=0,"Não visível",IF(OFFSET('fantoma mama'!$A$17,0,$L157,1,1)="-","NPA",VLOOKUP(OFFSET('fantoma mama'!$A$17,0,$L157,1,1),IF(OFFSET('fantoma mama'!$A$5,0,$L157,1,1)="acr",Tabelas!$M$2:$N$7,Tabelas!$M$20:$N$25),2)))</f>
        <v>NPA</v>
      </c>
      <c r="E156" s="2626"/>
      <c r="F156" s="1766" t="str">
        <f ca="1">IF(D156="NPA","NR",IF(D156="Não visível","NC",IF(D156&gt;0.75,"NC","C")))</f>
        <v>NR</v>
      </c>
      <c r="G156" s="1767" t="str">
        <f ca="1">G157</f>
        <v>NPA</v>
      </c>
      <c r="H156" s="1767" t="str">
        <f ca="1">H157</f>
        <v>NPA</v>
      </c>
      <c r="I156" s="1768" t="str">
        <f t="shared" ca="1" si="1"/>
        <v>NA</v>
      </c>
      <c r="K156" s="1736" t="str">
        <f t="shared" ca="1" si="2"/>
        <v/>
      </c>
    </row>
    <row r="157" spans="1:12" x14ac:dyDescent="0.2">
      <c r="A157" s="1758">
        <f ca="1">IF(OFFSET('fantoma mama'!$A$4,0,$L157,1,1)=0,"",OFFSET('fantoma mama'!$A$4,0,$L157,1,1))</f>
        <v>46144</v>
      </c>
      <c r="B157" s="2627" t="s">
        <v>723</v>
      </c>
      <c r="C157" s="2628"/>
      <c r="D157" s="2628" t="str">
        <f ca="1">IF(OFFSET('fantoma mama'!$A$18,0,$L157,1,1)=0,"Não visível",IF(OFFSET('fantoma mama'!$A$18,0,$L157,1,1)="-","NPA",VLOOKUP(OFFSET('fantoma mama'!$A$18,0,$L157,1,1),IF(OFFSET('fantoma mama'!$A$5,0,$L157,1,1)="acr",Tabelas!$M$13:$N$17,Tabelas!$M$31:$N$35),2)))</f>
        <v>NPA</v>
      </c>
      <c r="E157" s="2628"/>
      <c r="F157" s="1765" t="str">
        <f ca="1">IF(D157="NPA","NR",IF(D157="Não visível","NC",IF(D157&gt;0.75,"NC","C")))</f>
        <v>NR</v>
      </c>
      <c r="G157" s="1774" t="str">
        <f ca="1">IF(OFFSET('fantoma mama'!$A$15,0,$L157,1,1)=0,"NPA",OFFSET('fantoma mama'!$A$15,0,$L157,1,1))</f>
        <v>NPA</v>
      </c>
      <c r="H157" s="1774" t="str">
        <f ca="1">IF(OFFSET('fantoma mama'!$A$16,0,$L157,1,1)=0,"NPA",OFFSET('fantoma mama'!$A$16,0,$L157,1,1))</f>
        <v>NPA</v>
      </c>
      <c r="I157" s="1769" t="str">
        <f t="shared" ca="1" si="1"/>
        <v>NA</v>
      </c>
      <c r="K157" s="1736" t="str">
        <f t="shared" ca="1" si="2"/>
        <v/>
      </c>
      <c r="L157" s="1778">
        <f>L154+1</f>
        <v>5</v>
      </c>
    </row>
    <row r="158" spans="1:12" ht="15.75" customHeight="1" x14ac:dyDescent="0.2">
      <c r="A158" s="1759">
        <f ca="1">A157</f>
        <v>46144</v>
      </c>
      <c r="B158" s="2621" t="s">
        <v>736</v>
      </c>
      <c r="C158" s="2622"/>
      <c r="D158" s="2622" t="str">
        <f ca="1">IF(OFFSET('fantoma mama'!$A$19,0,$L157,1,1)=0,"Não visível",IF(OFFSET('fantoma mama'!$A$19,0,$L157,1,1)="-","NPA",VLOOKUP(OFFSET('fantoma mama'!$A$19,0,$L157,1,1),IF(OFFSET('fantoma mama'!$A$5,0,$L157,1,1)="acr",Tabelas!$M$8:$N$12,Tabelas!$M$26:$N$30),2)))</f>
        <v>NPA</v>
      </c>
      <c r="E158" s="2622"/>
      <c r="F158" s="1765" t="str">
        <f ca="1">IF(D158="NPA","NR",IF(D158="Não visível","NC",IF(D158&gt;0.32,"NC","C")))</f>
        <v>NR</v>
      </c>
      <c r="G158" s="1771" t="str">
        <f ca="1">G157</f>
        <v>NPA</v>
      </c>
      <c r="H158" s="1771" t="str">
        <f ca="1">H157</f>
        <v>NPA</v>
      </c>
      <c r="I158" s="1772" t="str">
        <f t="shared" ca="1" si="1"/>
        <v>NA</v>
      </c>
      <c r="K158" s="1736" t="str">
        <f t="shared" ca="1" si="2"/>
        <v/>
      </c>
    </row>
    <row r="159" spans="1:12" ht="15.75" customHeight="1" x14ac:dyDescent="0.2">
      <c r="A159" s="1757">
        <f ca="1">A160</f>
        <v>46145</v>
      </c>
      <c r="B159" s="2625" t="s">
        <v>722</v>
      </c>
      <c r="C159" s="2626"/>
      <c r="D159" s="2626" t="str">
        <f ca="1">IF(OFFSET('fantoma mama'!$A$17,0,$L160,1,1)=0,"Não visível",IF(OFFSET('fantoma mama'!$A$17,0,$L160,1,1)="-","NPA",VLOOKUP(OFFSET('fantoma mama'!$A$17,0,$L160,1,1),IF(OFFSET('fantoma mama'!$A$5,0,$L160,1,1)="acr",Tabelas!$M$2:$N$7,Tabelas!$M$20:$N$25),2)))</f>
        <v>NPA</v>
      </c>
      <c r="E159" s="2626"/>
      <c r="F159" s="1766" t="str">
        <f ca="1">IF(D159="NPA","NR",IF(D159="Não visível","NC",IF(D159&gt;0.75,"NC","C")))</f>
        <v>NR</v>
      </c>
      <c r="G159" s="1767" t="str">
        <f ca="1">G160</f>
        <v>NPA</v>
      </c>
      <c r="H159" s="1767" t="str">
        <f ca="1">H160</f>
        <v>NPA</v>
      </c>
      <c r="I159" s="1768" t="str">
        <f t="shared" ca="1" si="1"/>
        <v>NA</v>
      </c>
      <c r="K159" s="1736" t="str">
        <f t="shared" ca="1" si="2"/>
        <v/>
      </c>
    </row>
    <row r="160" spans="1:12" x14ac:dyDescent="0.2">
      <c r="A160" s="1758">
        <f ca="1">IF(OFFSET('fantoma mama'!$A$4,0,$L160,1,1)=0,"",OFFSET('fantoma mama'!$A$4,0,$L160,1,1))</f>
        <v>46145</v>
      </c>
      <c r="B160" s="2627" t="s">
        <v>723</v>
      </c>
      <c r="C160" s="2628"/>
      <c r="D160" s="2628" t="str">
        <f ca="1">IF(OFFSET('fantoma mama'!$A$18,0,$L160,1,1)=0,"Não visível",IF(OFFSET('fantoma mama'!$A$18,0,$L160,1,1)="-","NPA",VLOOKUP(OFFSET('fantoma mama'!$A$18,0,$L160,1,1),IF(OFFSET('fantoma mama'!$A$5,0,$L160,1,1)="acr",Tabelas!$M$13:$N$17,Tabelas!$M$31:$N$35),2)))</f>
        <v>NPA</v>
      </c>
      <c r="E160" s="2628"/>
      <c r="F160" s="1765" t="str">
        <f ca="1">IF(D160="NPA","NR",IF(D160="Não visível","NC",IF(D160&gt;0.75,"NC","C")))</f>
        <v>NR</v>
      </c>
      <c r="G160" s="1774" t="str">
        <f ca="1">IF(OFFSET('fantoma mama'!$A$15,0,$L160,1,1)=0,"NPA",OFFSET('fantoma mama'!$A$15,0,$L160,1,1))</f>
        <v>NPA</v>
      </c>
      <c r="H160" s="1774" t="str">
        <f ca="1">IF(OFFSET('fantoma mama'!$A$16,0,$L160,1,1)=0,"NPA",OFFSET('fantoma mama'!$A$16,0,$L160,1,1))</f>
        <v>NPA</v>
      </c>
      <c r="I160" s="1769" t="str">
        <f t="shared" ca="1" si="1"/>
        <v>NA</v>
      </c>
      <c r="K160" s="1736" t="str">
        <f t="shared" ca="1" si="2"/>
        <v/>
      </c>
      <c r="L160" s="1778">
        <f>L157+1</f>
        <v>6</v>
      </c>
    </row>
    <row r="161" spans="1:12" x14ac:dyDescent="0.2">
      <c r="A161" s="1759">
        <f ca="1">A160</f>
        <v>46145</v>
      </c>
      <c r="B161" s="2621" t="s">
        <v>736</v>
      </c>
      <c r="C161" s="2622"/>
      <c r="D161" s="2622" t="str">
        <f ca="1">IF(OFFSET('fantoma mama'!$A$19,0,$L160,1,1)=0,"Não visível",IF(OFFSET('fantoma mama'!$A$19,0,$L160,1,1)="-","NPA",VLOOKUP(OFFSET('fantoma mama'!$A$19,0,$L160,1,1),IF(OFFSET('fantoma mama'!$A$5,0,$L160,1,1)="acr",Tabelas!$M$8:$N$12,Tabelas!$M$26:$N$30),2)))</f>
        <v>NPA</v>
      </c>
      <c r="E161" s="2622"/>
      <c r="F161" s="1765" t="str">
        <f ca="1">IF(D161="NPA","NR",IF(D161="Não visível","NC",IF(D161&gt;0.32,"NC","C")))</f>
        <v>NR</v>
      </c>
      <c r="G161" s="1771" t="str">
        <f ca="1">G160</f>
        <v>NPA</v>
      </c>
      <c r="H161" s="1771" t="str">
        <f ca="1">H160</f>
        <v>NPA</v>
      </c>
      <c r="I161" s="1772" t="str">
        <f t="shared" ca="1" si="1"/>
        <v>NA</v>
      </c>
      <c r="K161" s="1736" t="str">
        <f t="shared" ca="1" si="2"/>
        <v/>
      </c>
    </row>
    <row r="162" spans="1:12" x14ac:dyDescent="0.2">
      <c r="A162" s="1757">
        <f ca="1">A163</f>
        <v>46146</v>
      </c>
      <c r="B162" s="2625" t="s">
        <v>722</v>
      </c>
      <c r="C162" s="2626"/>
      <c r="D162" s="2626" t="str">
        <f ca="1">IF(OFFSET('fantoma mama'!$A$17,0,$L163,1,1)=0,"Não visível",IF(OFFSET('fantoma mama'!$A$17,0,$L163,1,1)="-","NPA",VLOOKUP(OFFSET('fantoma mama'!$A$17,0,$L163,1,1),IF(OFFSET('fantoma mama'!$A$5,0,$L163,1,1)="acr",Tabelas!$M$2:$N$7,Tabelas!$M$20:$N$25),2)))</f>
        <v>NPA</v>
      </c>
      <c r="E162" s="2626"/>
      <c r="F162" s="1766" t="str">
        <f ca="1">IF(D162="NPA","NR",IF(D162="Não visível","NC",IF(D162&gt;0.75,"NC","C")))</f>
        <v>NR</v>
      </c>
      <c r="G162" s="1767" t="str">
        <f ca="1">G163</f>
        <v>NPA</v>
      </c>
      <c r="H162" s="1767" t="str">
        <f ca="1">H163</f>
        <v>NPA</v>
      </c>
      <c r="I162" s="1768" t="str">
        <f t="shared" ca="1" si="1"/>
        <v>NA</v>
      </c>
      <c r="K162" s="1736" t="str">
        <f t="shared" ca="1" si="2"/>
        <v/>
      </c>
    </row>
    <row r="163" spans="1:12" x14ac:dyDescent="0.2">
      <c r="A163" s="1758">
        <f ca="1">IF(OFFSET('fantoma mama'!$A$4,0,$L163,1,1)=0,"",OFFSET('fantoma mama'!$A$4,0,$L163,1,1))</f>
        <v>46146</v>
      </c>
      <c r="B163" s="2627" t="s">
        <v>723</v>
      </c>
      <c r="C163" s="2628"/>
      <c r="D163" s="2628" t="str">
        <f ca="1">IF(OFFSET('fantoma mama'!$A$18,0,$L163,1,1)=0,"Não visível",IF(OFFSET('fantoma mama'!$A$18,0,$L163,1,1)="-","NPA",VLOOKUP(OFFSET('fantoma mama'!$A$18,0,$L163,1,1),IF(OFFSET('fantoma mama'!$A$5,0,$L163,1,1)="acr",Tabelas!$M$13:$N$17,Tabelas!$M$31:$N$35),2)))</f>
        <v>NPA</v>
      </c>
      <c r="E163" s="2628"/>
      <c r="F163" s="1765" t="str">
        <f ca="1">IF(D163="NPA","NR",IF(D163="Não visível","NC",IF(D163&gt;0.75,"NC","C")))</f>
        <v>NR</v>
      </c>
      <c r="G163" s="1774" t="str">
        <f ca="1">IF(OFFSET('fantoma mama'!$A$15,0,$L163,1,1)=0,"NPA",OFFSET('fantoma mama'!$A$15,0,$L163,1,1))</f>
        <v>NPA</v>
      </c>
      <c r="H163" s="1774" t="str">
        <f ca="1">IF(OFFSET('fantoma mama'!$A$16,0,$L163,1,1)=0,"NPA",OFFSET('fantoma mama'!$A$16,0,$L163,1,1))</f>
        <v>NPA</v>
      </c>
      <c r="I163" s="1769" t="str">
        <f t="shared" ca="1" si="1"/>
        <v>NA</v>
      </c>
      <c r="K163" s="1736" t="str">
        <f t="shared" ca="1" si="2"/>
        <v/>
      </c>
      <c r="L163" s="1778">
        <f>L160+1</f>
        <v>7</v>
      </c>
    </row>
    <row r="164" spans="1:12" x14ac:dyDescent="0.2">
      <c r="A164" s="1759">
        <f ca="1">A163</f>
        <v>46146</v>
      </c>
      <c r="B164" s="2621" t="s">
        <v>736</v>
      </c>
      <c r="C164" s="2622"/>
      <c r="D164" s="2622" t="str">
        <f ca="1">IF(OFFSET('fantoma mama'!$A$19,0,$L163,1,1)=0,"Não visível",IF(OFFSET('fantoma mama'!$A$19,0,$L163,1,1)="-","NPA",VLOOKUP(OFFSET('fantoma mama'!$A$19,0,$L163,1,1),IF(OFFSET('fantoma mama'!$A$5,0,$L163,1,1)="acr",Tabelas!$M$8:$N$12,Tabelas!$M$26:$N$30),2)))</f>
        <v>NPA</v>
      </c>
      <c r="E164" s="2622"/>
      <c r="F164" s="1765" t="str">
        <f ca="1">IF(D164="NPA","NR",IF(D164="Não visível","NC",IF(D164&gt;0.32,"NC","C")))</f>
        <v>NR</v>
      </c>
      <c r="G164" s="1771" t="str">
        <f ca="1">G163</f>
        <v>NPA</v>
      </c>
      <c r="H164" s="1771" t="str">
        <f ca="1">H163</f>
        <v>NPA</v>
      </c>
      <c r="I164" s="1772" t="str">
        <f t="shared" ca="1" si="1"/>
        <v>NA</v>
      </c>
      <c r="K164" s="1736" t="str">
        <f t="shared" ca="1" si="2"/>
        <v/>
      </c>
    </row>
    <row r="165" spans="1:12" x14ac:dyDescent="0.2">
      <c r="A165" s="1757">
        <f ca="1">A166</f>
        <v>46147</v>
      </c>
      <c r="B165" s="2625" t="s">
        <v>722</v>
      </c>
      <c r="C165" s="2626"/>
      <c r="D165" s="2626" t="str">
        <f ca="1">IF(OFFSET('fantoma mama'!$A$17,0,$L166,1,1)=0,"Não visível",IF(OFFSET('fantoma mama'!$A$17,0,$L166,1,1)="-","NPA",VLOOKUP(OFFSET('fantoma mama'!$A$17,0,$L166,1,1),IF(OFFSET('fantoma mama'!$A$5,0,$L166,1,1)="acr",Tabelas!$M$2:$N$7,Tabelas!$M$20:$N$25),2)))</f>
        <v>NPA</v>
      </c>
      <c r="E165" s="2626"/>
      <c r="F165" s="1766" t="str">
        <f ca="1">IF(D165="NPA","NR",IF(D165="Não visível","NC",IF(D165&gt;0.75,"NC","C")))</f>
        <v>NR</v>
      </c>
      <c r="G165" s="1767" t="str">
        <f ca="1">G166</f>
        <v>NPA</v>
      </c>
      <c r="H165" s="1767" t="str">
        <f ca="1">H166</f>
        <v>NPA</v>
      </c>
      <c r="I165" s="1768" t="str">
        <f t="shared" ca="1" si="1"/>
        <v>NA</v>
      </c>
      <c r="K165" s="1736" t="str">
        <f t="shared" ca="1" si="2"/>
        <v/>
      </c>
    </row>
    <row r="166" spans="1:12" x14ac:dyDescent="0.2">
      <c r="A166" s="1758">
        <f ca="1">IF(OFFSET('fantoma mama'!$A$4,0,$L166,1,1)=0,"",OFFSET('fantoma mama'!$A$4,0,$L166,1,1))</f>
        <v>46147</v>
      </c>
      <c r="B166" s="2627" t="s">
        <v>723</v>
      </c>
      <c r="C166" s="2628"/>
      <c r="D166" s="2628" t="str">
        <f ca="1">IF(OFFSET('fantoma mama'!$A$18,0,$L166,1,1)=0,"Não visível",IF(OFFSET('fantoma mama'!$A$18,0,$L166,1,1)="-","NPA",VLOOKUP(OFFSET('fantoma mama'!$A$18,0,$L166,1,1),IF(OFFSET('fantoma mama'!$A$5,0,$L166,1,1)="acr",Tabelas!$M$13:$N$17,Tabelas!$M$31:$N$35),2)))</f>
        <v>NPA</v>
      </c>
      <c r="E166" s="2628"/>
      <c r="F166" s="1765" t="str">
        <f ca="1">IF(D166="NPA","NR",IF(D166="Não visível","NC",IF(D166&gt;0.75,"NC","C")))</f>
        <v>NR</v>
      </c>
      <c r="G166" s="1774" t="str">
        <f ca="1">IF(OFFSET('fantoma mama'!$A$15,0,$L166,1,1)=0,"NPA",OFFSET('fantoma mama'!$A$15,0,$L166,1,1))</f>
        <v>NPA</v>
      </c>
      <c r="H166" s="1774" t="str">
        <f ca="1">IF(OFFSET('fantoma mama'!$A$16,0,$L166,1,1)=0,"NPA",OFFSET('fantoma mama'!$A$16,0,$L166,1,1))</f>
        <v>NPA</v>
      </c>
      <c r="I166" s="1769" t="str">
        <f t="shared" ca="1" si="1"/>
        <v>NA</v>
      </c>
      <c r="K166" s="1736" t="str">
        <f t="shared" ca="1" si="2"/>
        <v/>
      </c>
      <c r="L166" s="1778">
        <f>L163+1</f>
        <v>8</v>
      </c>
    </row>
    <row r="167" spans="1:12" x14ac:dyDescent="0.2">
      <c r="A167" s="1759">
        <f ca="1">A166</f>
        <v>46147</v>
      </c>
      <c r="B167" s="2621" t="s">
        <v>736</v>
      </c>
      <c r="C167" s="2622"/>
      <c r="D167" s="2622" t="str">
        <f ca="1">IF(OFFSET('fantoma mama'!$A$19,0,$L166,1,1)=0,"Não visível",IF(OFFSET('fantoma mama'!$A$19,0,$L166,1,1)="-","NPA",VLOOKUP(OFFSET('fantoma mama'!$A$19,0,$L166,1,1),IF(OFFSET('fantoma mama'!$A$5,0,$L166,1,1)="acr",Tabelas!$M$8:$N$12,Tabelas!$M$26:$N$30),2)))</f>
        <v>NPA</v>
      </c>
      <c r="E167" s="2622"/>
      <c r="F167" s="1765" t="str">
        <f ca="1">IF(D167="NPA","NR",IF(D167="Não visível","NC",IF(D167&gt;0.32,"NC","C")))</f>
        <v>NR</v>
      </c>
      <c r="G167" s="1771" t="str">
        <f ca="1">G166</f>
        <v>NPA</v>
      </c>
      <c r="H167" s="1771" t="str">
        <f ca="1">H166</f>
        <v>NPA</v>
      </c>
      <c r="I167" s="1772" t="str">
        <f t="shared" ca="1" si="1"/>
        <v>NA</v>
      </c>
      <c r="K167" s="1736" t="str">
        <f t="shared" ca="1" si="2"/>
        <v/>
      </c>
    </row>
    <row r="168" spans="1:12" x14ac:dyDescent="0.2">
      <c r="A168" s="1757">
        <f ca="1">A169</f>
        <v>46148</v>
      </c>
      <c r="B168" s="2625" t="s">
        <v>722</v>
      </c>
      <c r="C168" s="2626"/>
      <c r="D168" s="2626" t="str">
        <f ca="1">IF(OFFSET('fantoma mama'!$A$17,0,$L169,1,1)=0,"Não visível",IF(OFFSET('fantoma mama'!$A$17,0,$L169,1,1)="-","NPA",VLOOKUP(OFFSET('fantoma mama'!$A$17,0,$L169,1,1),IF(OFFSET('fantoma mama'!$A$5,0,$L169,1,1)="acr",Tabelas!$M$2:$N$7,Tabelas!$M$20:$N$25),2)))</f>
        <v>NPA</v>
      </c>
      <c r="E168" s="2626"/>
      <c r="F168" s="1766" t="str">
        <f ca="1">IF(D168="NPA","NR",IF(D168="Não visível","NC",IF(D168&gt;0.75,"NC","C")))</f>
        <v>NR</v>
      </c>
      <c r="G168" s="1767" t="str">
        <f ca="1">G169</f>
        <v>NPA</v>
      </c>
      <c r="H168" s="1767" t="str">
        <f ca="1">H169</f>
        <v>NPA</v>
      </c>
      <c r="I168" s="1768" t="str">
        <f t="shared" ca="1" si="1"/>
        <v>NA</v>
      </c>
      <c r="K168" s="1736" t="str">
        <f t="shared" ca="1" si="2"/>
        <v/>
      </c>
    </row>
    <row r="169" spans="1:12" x14ac:dyDescent="0.2">
      <c r="A169" s="1758">
        <f ca="1">IF(OFFSET('fantoma mama'!$A$4,0,$L169,1,1)=0,"",OFFSET('fantoma mama'!$A$4,0,$L169,1,1))</f>
        <v>46148</v>
      </c>
      <c r="B169" s="2627" t="s">
        <v>723</v>
      </c>
      <c r="C169" s="2628"/>
      <c r="D169" s="2628" t="str">
        <f ca="1">IF(OFFSET('fantoma mama'!$A$18,0,$L169,1,1)=0,"Não visível",IF(OFFSET('fantoma mama'!$A$18,0,$L169,1,1)="-","NPA",VLOOKUP(OFFSET('fantoma mama'!$A$18,0,$L169,1,1),IF(OFFSET('fantoma mama'!$A$5,0,$L169,1,1)="acr",Tabelas!$M$13:$N$17,Tabelas!$M$31:$N$35),2)))</f>
        <v>NPA</v>
      </c>
      <c r="E169" s="2628"/>
      <c r="F169" s="1765" t="str">
        <f ca="1">IF(D169="NPA","NR",IF(D169="Não visível","NC",IF(D169&gt;0.75,"NC","C")))</f>
        <v>NR</v>
      </c>
      <c r="G169" s="1774" t="str">
        <f ca="1">IF(OFFSET('fantoma mama'!$A$15,0,$L169,1,1)=0,"NPA",OFFSET('fantoma mama'!$A$15,0,$L169,1,1))</f>
        <v>NPA</v>
      </c>
      <c r="H169" s="1774" t="str">
        <f ca="1">IF(OFFSET('fantoma mama'!$A$16,0,$L169,1,1)=0,"NPA",OFFSET('fantoma mama'!$A$16,0,$L169,1,1))</f>
        <v>NPA</v>
      </c>
      <c r="I169" s="1769" t="str">
        <f t="shared" ca="1" si="1"/>
        <v>NA</v>
      </c>
      <c r="K169" s="1736" t="str">
        <f t="shared" ca="1" si="2"/>
        <v/>
      </c>
      <c r="L169" s="1778">
        <f>L166+1</f>
        <v>9</v>
      </c>
    </row>
    <row r="170" spans="1:12" x14ac:dyDescent="0.2">
      <c r="A170" s="1759">
        <f ca="1">A169</f>
        <v>46148</v>
      </c>
      <c r="B170" s="2621" t="s">
        <v>736</v>
      </c>
      <c r="C170" s="2622"/>
      <c r="D170" s="2622" t="str">
        <f ca="1">IF(OFFSET('fantoma mama'!$A$19,0,$L169,1,1)=0,"Não visível",IF(OFFSET('fantoma mama'!$A$19,0,$L169,1,1)="-","NPA",VLOOKUP(OFFSET('fantoma mama'!$A$19,0,$L169,1,1),IF(OFFSET('fantoma mama'!$A$5,0,$L169,1,1)="acr",Tabelas!$M$8:$N$12,Tabelas!$M$26:$N$30),2)))</f>
        <v>NPA</v>
      </c>
      <c r="E170" s="2622"/>
      <c r="F170" s="1765" t="str">
        <f ca="1">IF(D170="NPA","NR",IF(D170="Não visível","NC",IF(D170&gt;0.32,"NC","C")))</f>
        <v>NR</v>
      </c>
      <c r="G170" s="1771" t="str">
        <f ca="1">G169</f>
        <v>NPA</v>
      </c>
      <c r="H170" s="1771" t="str">
        <f ca="1">H169</f>
        <v>NPA</v>
      </c>
      <c r="I170" s="1772" t="str">
        <f t="shared" ca="1" si="1"/>
        <v>NA</v>
      </c>
      <c r="K170" s="1736" t="str">
        <f t="shared" ca="1" si="2"/>
        <v/>
      </c>
    </row>
    <row r="171" spans="1:12" x14ac:dyDescent="0.2">
      <c r="A171" s="1757">
        <f ca="1">A172</f>
        <v>46149</v>
      </c>
      <c r="B171" s="2625" t="s">
        <v>722</v>
      </c>
      <c r="C171" s="2626"/>
      <c r="D171" s="2626" t="str">
        <f ca="1">IF(OFFSET('fantoma mama'!$A$17,0,$L172,1,1)=0,"Não visível",IF(OFFSET('fantoma mama'!$A$17,0,$L172,1,1)="-","NPA",VLOOKUP(OFFSET('fantoma mama'!$A$17,0,$L172,1,1),IF(OFFSET('fantoma mama'!$A$5,0,$L172,1,1)="acr",Tabelas!$M$2:$N$7,Tabelas!$M$20:$N$25),2)))</f>
        <v>NPA</v>
      </c>
      <c r="E171" s="2626"/>
      <c r="F171" s="1766" t="str">
        <f ca="1">IF(D171="NPA","NR",IF(D171="Não visível","NC",IF(D171&gt;0.75,"NC","C")))</f>
        <v>NR</v>
      </c>
      <c r="G171" s="1767" t="str">
        <f ca="1">G172</f>
        <v>NPA</v>
      </c>
      <c r="H171" s="1767" t="str">
        <f ca="1">H172</f>
        <v>NPA</v>
      </c>
      <c r="I171" s="1768" t="str">
        <f t="shared" ca="1" si="1"/>
        <v>NA</v>
      </c>
      <c r="K171" s="1736" t="str">
        <f t="shared" ca="1" si="2"/>
        <v/>
      </c>
    </row>
    <row r="172" spans="1:12" x14ac:dyDescent="0.2">
      <c r="A172" s="1758">
        <f ca="1">IF(OFFSET('fantoma mama'!$A$4,0,$L172,1,1)=0,"",OFFSET('fantoma mama'!$A$4,0,$L172,1,1))</f>
        <v>46149</v>
      </c>
      <c r="B172" s="2627" t="s">
        <v>723</v>
      </c>
      <c r="C172" s="2628"/>
      <c r="D172" s="2628" t="str">
        <f ca="1">IF(OFFSET('fantoma mama'!$A$18,0,$L172,1,1)=0,"Não visível",IF(OFFSET('fantoma mama'!$A$18,0,$L172,1,1)="-","NPA",VLOOKUP(OFFSET('fantoma mama'!$A$18,0,$L172,1,1),IF(OFFSET('fantoma mama'!$A$5,0,$L172,1,1)="acr",Tabelas!$M$13:$N$17,Tabelas!$M$31:$N$35),2)))</f>
        <v>NPA</v>
      </c>
      <c r="E172" s="2628"/>
      <c r="F172" s="1765" t="str">
        <f ca="1">IF(D172="NPA","NR",IF(D172="Não visível","NC",IF(D172&gt;0.75,"NC","C")))</f>
        <v>NR</v>
      </c>
      <c r="G172" s="1774" t="str">
        <f ca="1">IF(OFFSET('fantoma mama'!$A$15,0,$L172,1,1)=0,"NPA",OFFSET('fantoma mama'!$A$15,0,$L172,1,1))</f>
        <v>NPA</v>
      </c>
      <c r="H172" s="1774" t="str">
        <f ca="1">IF(OFFSET('fantoma mama'!$A$16,0,$L172,1,1)=0,"NPA",OFFSET('fantoma mama'!$A$16,0,$L172,1,1))</f>
        <v>NPA</v>
      </c>
      <c r="I172" s="1769" t="str">
        <f t="shared" ca="1" si="1"/>
        <v>NA</v>
      </c>
      <c r="K172" s="1736" t="str">
        <f t="shared" ca="1" si="2"/>
        <v/>
      </c>
      <c r="L172" s="1778">
        <f>L169+1</f>
        <v>10</v>
      </c>
    </row>
    <row r="173" spans="1:12" x14ac:dyDescent="0.2">
      <c r="A173" s="1759">
        <f ca="1">A172</f>
        <v>46149</v>
      </c>
      <c r="B173" s="2621" t="s">
        <v>736</v>
      </c>
      <c r="C173" s="2622"/>
      <c r="D173" s="2622" t="str">
        <f ca="1">IF(OFFSET('fantoma mama'!$A$19,0,$L172,1,1)=0,"Não visível",IF(OFFSET('fantoma mama'!$A$19,0,$L172,1,1)="-","NPA",VLOOKUP(OFFSET('fantoma mama'!$A$19,0,$L172,1,1),IF(OFFSET('fantoma mama'!$A$5,0,$L172,1,1)="acr",Tabelas!$M$8:$N$12,Tabelas!$M$26:$N$30),2)))</f>
        <v>NPA</v>
      </c>
      <c r="E173" s="2622"/>
      <c r="F173" s="1765" t="str">
        <f ca="1">IF(D173="NPA","NR",IF(D173="Não visível","NC",IF(D173&gt;0.32,"NC","C")))</f>
        <v>NR</v>
      </c>
      <c r="G173" s="1771" t="str">
        <f ca="1">G172</f>
        <v>NPA</v>
      </c>
      <c r="H173" s="1771" t="str">
        <f ca="1">H172</f>
        <v>NPA</v>
      </c>
      <c r="I173" s="1772" t="str">
        <f t="shared" ca="1" si="1"/>
        <v>NA</v>
      </c>
      <c r="K173" s="1736" t="str">
        <f t="shared" ca="1" si="2"/>
        <v/>
      </c>
    </row>
    <row r="174" spans="1:12" x14ac:dyDescent="0.2">
      <c r="A174" s="1757">
        <f ca="1">A175</f>
        <v>46150</v>
      </c>
      <c r="B174" s="2625" t="s">
        <v>722</v>
      </c>
      <c r="C174" s="2626"/>
      <c r="D174" s="2626" t="str">
        <f ca="1">IF(OFFSET('fantoma mama'!$A$17,0,$L175,1,1)=0,"Não visível",IF(OFFSET('fantoma mama'!$A$17,0,$L175,1,1)="-","NPA",VLOOKUP(OFFSET('fantoma mama'!$A$17,0,$L175,1,1),IF(OFFSET('fantoma mama'!$A$5,0,$L175,1,1)="acr",Tabelas!$M$2:$N$7,Tabelas!$M$20:$N$25),2)))</f>
        <v>NPA</v>
      </c>
      <c r="E174" s="2626"/>
      <c r="F174" s="1766" t="str">
        <f ca="1">IF(D174="NPA","NR",IF(D174="Não visível","NC",IF(D174&gt;0.75,"NC","C")))</f>
        <v>NR</v>
      </c>
      <c r="G174" s="1767" t="str">
        <f ca="1">G175</f>
        <v>NPA</v>
      </c>
      <c r="H174" s="1767" t="str">
        <f ca="1">H175</f>
        <v>NPA</v>
      </c>
      <c r="I174" s="1768" t="str">
        <f t="shared" ca="1" si="1"/>
        <v>NA</v>
      </c>
      <c r="K174" s="1736" t="str">
        <f t="shared" ca="1" si="2"/>
        <v/>
      </c>
    </row>
    <row r="175" spans="1:12" x14ac:dyDescent="0.2">
      <c r="A175" s="1758">
        <f ca="1">IF(OFFSET('fantoma mama'!$A$4,0,$L175,1,1)=0,"",OFFSET('fantoma mama'!$A$4,0,$L175,1,1))</f>
        <v>46150</v>
      </c>
      <c r="B175" s="2627" t="s">
        <v>723</v>
      </c>
      <c r="C175" s="2628"/>
      <c r="D175" s="2628" t="str">
        <f ca="1">IF(OFFSET('fantoma mama'!$A$18,0,$L175,1,1)=0,"Não visível",IF(OFFSET('fantoma mama'!$A$18,0,$L175,1,1)="-","NPA",VLOOKUP(OFFSET('fantoma mama'!$A$18,0,$L175,1,1),IF(OFFSET('fantoma mama'!$A$5,0,$L175,1,1)="acr",Tabelas!$M$13:$N$17,Tabelas!$M$31:$N$35),2)))</f>
        <v>NPA</v>
      </c>
      <c r="E175" s="2628"/>
      <c r="F175" s="1765" t="str">
        <f ca="1">IF(D175="NPA","NR",IF(D175="Não visível","NC",IF(D175&gt;0.75,"NC","C")))</f>
        <v>NR</v>
      </c>
      <c r="G175" s="1774" t="str">
        <f ca="1">IF(OFFSET('fantoma mama'!$A$15,0,$L175,1,1)=0,"NPA",OFFSET('fantoma mama'!$A$15,0,$L175,1,1))</f>
        <v>NPA</v>
      </c>
      <c r="H175" s="1774" t="str">
        <f ca="1">IF(OFFSET('fantoma mama'!$A$16,0,$L175,1,1)=0,"NPA",OFFSET('fantoma mama'!$A$16,0,$L175,1,1))</f>
        <v>NPA</v>
      </c>
      <c r="I175" s="1769" t="str">
        <f t="shared" ca="1" si="1"/>
        <v>NA</v>
      </c>
      <c r="K175" s="1736" t="str">
        <f t="shared" ca="1" si="2"/>
        <v/>
      </c>
      <c r="L175" s="1778">
        <f>L172+1</f>
        <v>11</v>
      </c>
    </row>
    <row r="176" spans="1:12" x14ac:dyDescent="0.2">
      <c r="A176" s="1759">
        <f ca="1">A175</f>
        <v>46150</v>
      </c>
      <c r="B176" s="2621" t="s">
        <v>736</v>
      </c>
      <c r="C176" s="2622"/>
      <c r="D176" s="2622" t="str">
        <f ca="1">IF(OFFSET('fantoma mama'!$A$19,0,$L175,1,1)=0,"Não visível",IF(OFFSET('fantoma mama'!$A$19,0,$L175,1,1)="-","NPA",VLOOKUP(OFFSET('fantoma mama'!$A$19,0,$L175,1,1),IF(OFFSET('fantoma mama'!$A$5,0,$L175,1,1)="acr",Tabelas!$M$8:$N$12,Tabelas!$M$26:$N$30),2)))</f>
        <v>NPA</v>
      </c>
      <c r="E176" s="2622"/>
      <c r="F176" s="1765" t="str">
        <f ca="1">IF(D176="NPA","NR",IF(D176="Não visível","NC",IF(D176&gt;0.32,"NC","C")))</f>
        <v>NR</v>
      </c>
      <c r="G176" s="1771" t="str">
        <f ca="1">G175</f>
        <v>NPA</v>
      </c>
      <c r="H176" s="1771" t="str">
        <f ca="1">H175</f>
        <v>NPA</v>
      </c>
      <c r="I176" s="1772" t="str">
        <f t="shared" ca="1" si="1"/>
        <v>NA</v>
      </c>
      <c r="K176" s="1736" t="str">
        <f t="shared" ca="1" si="2"/>
        <v/>
      </c>
    </row>
    <row r="177" spans="1:12" x14ac:dyDescent="0.2">
      <c r="A177" s="1757">
        <f ca="1">A178</f>
        <v>46151</v>
      </c>
      <c r="B177" s="2625" t="s">
        <v>722</v>
      </c>
      <c r="C177" s="2626"/>
      <c r="D177" s="2626" t="str">
        <f ca="1">IF(OFFSET('fantoma mama'!$A$17,0,$L178,1,1)=0,"Não visível",IF(OFFSET('fantoma mama'!$A$17,0,$L178,1,1)="-","NPA",VLOOKUP(OFFSET('fantoma mama'!$A$17,0,$L178,1,1),IF(OFFSET('fantoma mama'!$A$5,0,$L178,1,1)="acr",Tabelas!$M$2:$N$7,Tabelas!$M$20:$N$25),2)))</f>
        <v>NPA</v>
      </c>
      <c r="E177" s="2626"/>
      <c r="F177" s="1766" t="str">
        <f ca="1">IF(D177="NPA","NR",IF(D177="Não visível","NC",IF(D177&gt;0.75,"NC","C")))</f>
        <v>NR</v>
      </c>
      <c r="G177" s="1767" t="str">
        <f ca="1">G178</f>
        <v>NPA</v>
      </c>
      <c r="H177" s="1767" t="str">
        <f ca="1">H178</f>
        <v>NPA</v>
      </c>
      <c r="I177" s="1768" t="str">
        <f t="shared" ca="1" si="1"/>
        <v>NA</v>
      </c>
      <c r="K177" s="1736" t="str">
        <f t="shared" ca="1" si="2"/>
        <v/>
      </c>
    </row>
    <row r="178" spans="1:12" x14ac:dyDescent="0.2">
      <c r="A178" s="1758">
        <f ca="1">IF(OFFSET('fantoma mama'!$A$4,0,$L178,1,1)=0,"",OFFSET('fantoma mama'!$A$4,0,$L178,1,1))</f>
        <v>46151</v>
      </c>
      <c r="B178" s="2627" t="s">
        <v>723</v>
      </c>
      <c r="C178" s="2628"/>
      <c r="D178" s="2628" t="str">
        <f ca="1">IF(OFFSET('fantoma mama'!$A$18,0,$L178,1,1)=0,"Não visível",IF(OFFSET('fantoma mama'!$A$18,0,$L178,1,1)="-","NPA",VLOOKUP(OFFSET('fantoma mama'!$A$18,0,$L178,1,1),IF(OFFSET('fantoma mama'!$A$5,0,$L178,1,1)="acr",Tabelas!$M$13:$N$17,Tabelas!$M$31:$N$35),2)))</f>
        <v>NPA</v>
      </c>
      <c r="E178" s="2628"/>
      <c r="F178" s="1765" t="str">
        <f ca="1">IF(D178="NPA","NR",IF(D178="Não visível","NC",IF(D178&gt;0.75,"NC","C")))</f>
        <v>NR</v>
      </c>
      <c r="G178" s="1774" t="str">
        <f ca="1">IF(OFFSET('fantoma mama'!$A$15,0,$L178,1,1)=0,"NPA",OFFSET('fantoma mama'!$A$15,0,$L178,1,1))</f>
        <v>NPA</v>
      </c>
      <c r="H178" s="1774" t="str">
        <f ca="1">IF(OFFSET('fantoma mama'!$A$16,0,$L178,1,1)=0,"NPA",OFFSET('fantoma mama'!$A$16,0,$L178,1,1))</f>
        <v>NPA</v>
      </c>
      <c r="I178" s="1769" t="str">
        <f t="shared" ca="1" si="1"/>
        <v>NA</v>
      </c>
      <c r="K178" s="1736" t="str">
        <f t="shared" ca="1" si="2"/>
        <v/>
      </c>
      <c r="L178" s="1778">
        <f>L175+1</f>
        <v>12</v>
      </c>
    </row>
    <row r="179" spans="1:12" x14ac:dyDescent="0.2">
      <c r="A179" s="1759">
        <f ca="1">A178</f>
        <v>46151</v>
      </c>
      <c r="B179" s="2621" t="s">
        <v>736</v>
      </c>
      <c r="C179" s="2622"/>
      <c r="D179" s="2622" t="str">
        <f ca="1">IF(OFFSET('fantoma mama'!$A$19,0,$L178,1,1)=0,"Não visível",IF(OFFSET('fantoma mama'!$A$19,0,$L178,1,1)="-","NPA",VLOOKUP(OFFSET('fantoma mama'!$A$19,0,$L178,1,1),IF(OFFSET('fantoma mama'!$A$5,0,$L178,1,1)="acr",Tabelas!$M$8:$N$12,Tabelas!$M$26:$N$30),2)))</f>
        <v>NPA</v>
      </c>
      <c r="E179" s="2622"/>
      <c r="F179" s="1765" t="str">
        <f ca="1">IF(D179="NPA","NR",IF(D179="Não visível","NC",IF(D179&gt;0.32,"NC","C")))</f>
        <v>NR</v>
      </c>
      <c r="G179" s="1771" t="str">
        <f ca="1">G178</f>
        <v>NPA</v>
      </c>
      <c r="H179" s="1771" t="str">
        <f ca="1">H178</f>
        <v>NPA</v>
      </c>
      <c r="I179" s="1772" t="str">
        <f t="shared" ca="1" si="1"/>
        <v>NA</v>
      </c>
      <c r="K179" s="1736" t="str">
        <f t="shared" ca="1" si="2"/>
        <v/>
      </c>
    </row>
    <row r="180" spans="1:12" x14ac:dyDescent="0.2">
      <c r="A180" s="1757">
        <f ca="1">A181</f>
        <v>46152</v>
      </c>
      <c r="B180" s="2625" t="s">
        <v>722</v>
      </c>
      <c r="C180" s="2626"/>
      <c r="D180" s="2626" t="str">
        <f ca="1">IF(OFFSET('fantoma mama'!$A$17,0,$L181,1,1)=0,"Não visível",IF(OFFSET('fantoma mama'!$A$17,0,$L181,1,1)="-","NPA",VLOOKUP(OFFSET('fantoma mama'!$A$17,0,$L181,1,1),IF(OFFSET('fantoma mama'!$A$5,0,$L181,1,1)="acr",Tabelas!$M$2:$N$7,Tabelas!$M$20:$N$25),2)))</f>
        <v>NPA</v>
      </c>
      <c r="E180" s="2626"/>
      <c r="F180" s="1766" t="str">
        <f ca="1">IF(D180="NPA","NR",IF(D180="Não visível","NC",IF(D180&gt;0.75,"NC","C")))</f>
        <v>NR</v>
      </c>
      <c r="G180" s="1767" t="str">
        <f ca="1">G181</f>
        <v>NPA</v>
      </c>
      <c r="H180" s="1767" t="str">
        <f ca="1">H181</f>
        <v>NPA</v>
      </c>
      <c r="I180" s="1768" t="str">
        <f t="shared" ca="1" si="1"/>
        <v>NA</v>
      </c>
      <c r="K180" s="1736" t="str">
        <f t="shared" ca="1" si="2"/>
        <v/>
      </c>
    </row>
    <row r="181" spans="1:12" x14ac:dyDescent="0.2">
      <c r="A181" s="1758">
        <f ca="1">IF(OFFSET('fantoma mama'!$A$4,0,$L181,1,1)=0,"",OFFSET('fantoma mama'!$A$4,0,$L181,1,1))</f>
        <v>46152</v>
      </c>
      <c r="B181" s="2627" t="s">
        <v>723</v>
      </c>
      <c r="C181" s="2628"/>
      <c r="D181" s="2628" t="str">
        <f ca="1">IF(OFFSET('fantoma mama'!$A$18,0,$L181,1,1)=0,"Não visível",IF(OFFSET('fantoma mama'!$A$18,0,$L181,1,1)="-","NPA",VLOOKUP(OFFSET('fantoma mama'!$A$18,0,$L181,1,1),IF(OFFSET('fantoma mama'!$A$5,0,$L181,1,1)="acr",Tabelas!$M$13:$N$17,Tabelas!$M$31:$N$35),2)))</f>
        <v>NPA</v>
      </c>
      <c r="E181" s="2628"/>
      <c r="F181" s="1765" t="str">
        <f ca="1">IF(D181="NPA","NR",IF(D181="Não visível","NC",IF(D181&gt;0.75,"NC","C")))</f>
        <v>NR</v>
      </c>
      <c r="G181" s="1774" t="str">
        <f ca="1">IF(OFFSET('fantoma mama'!$A$15,0,$L181,1,1)=0,"NPA",OFFSET('fantoma mama'!$A$15,0,$L181,1,1))</f>
        <v>NPA</v>
      </c>
      <c r="H181" s="1774" t="str">
        <f ca="1">IF(OFFSET('fantoma mama'!$A$16,0,$L181,1,1)=0,"NPA",OFFSET('fantoma mama'!$A$16,0,$L181,1,1))</f>
        <v>NPA</v>
      </c>
      <c r="I181" s="1769" t="str">
        <f t="shared" ca="1" si="1"/>
        <v>NA</v>
      </c>
      <c r="K181" s="1736" t="str">
        <f t="shared" ca="1" si="2"/>
        <v/>
      </c>
      <c r="L181" s="1778">
        <f>L178+1</f>
        <v>13</v>
      </c>
    </row>
    <row r="182" spans="1:12" x14ac:dyDescent="0.2">
      <c r="A182" s="1759">
        <f ca="1">A181</f>
        <v>46152</v>
      </c>
      <c r="B182" s="2621" t="s">
        <v>736</v>
      </c>
      <c r="C182" s="2622"/>
      <c r="D182" s="2622" t="str">
        <f ca="1">IF(OFFSET('fantoma mama'!$A$19,0,$L181,1,1)=0,"Não visível",IF(OFFSET('fantoma mama'!$A$19,0,$L181,1,1)="-","NPA",VLOOKUP(OFFSET('fantoma mama'!$A$19,0,$L181,1,1),IF(OFFSET('fantoma mama'!$A$5,0,$L181,1,1)="acr",Tabelas!$M$8:$N$12,Tabelas!$M$26:$N$30),2)))</f>
        <v>NPA</v>
      </c>
      <c r="E182" s="2622"/>
      <c r="F182" s="1765" t="str">
        <f ca="1">IF(D182="NPA","NR",IF(D182="Não visível","NC",IF(D182&gt;0.32,"NC","C")))</f>
        <v>NR</v>
      </c>
      <c r="G182" s="1771" t="str">
        <f ca="1">G181</f>
        <v>NPA</v>
      </c>
      <c r="H182" s="1771" t="str">
        <f ca="1">H181</f>
        <v>NPA</v>
      </c>
      <c r="I182" s="1772" t="str">
        <f t="shared" ca="1" si="1"/>
        <v>NA</v>
      </c>
      <c r="K182" s="1736" t="str">
        <f t="shared" ca="1" si="2"/>
        <v/>
      </c>
    </row>
    <row r="183" spans="1:12" x14ac:dyDescent="0.2">
      <c r="A183" s="1757">
        <f ca="1">A184</f>
        <v>46153</v>
      </c>
      <c r="B183" s="2625" t="s">
        <v>722</v>
      </c>
      <c r="C183" s="2626"/>
      <c r="D183" s="2626" t="str">
        <f ca="1">IF(OFFSET('fantoma mama'!$A$17,0,$L184,1,1)=0,"Não visível",IF(OFFSET('fantoma mama'!$A$17,0,$L184,1,1)="-","NPA",VLOOKUP(OFFSET('fantoma mama'!$A$17,0,$L184,1,1),IF(OFFSET('fantoma mama'!$A$5,0,$L184,1,1)="acr",Tabelas!$M$2:$N$7,Tabelas!$M$20:$N$25),2)))</f>
        <v>NPA</v>
      </c>
      <c r="E183" s="2626"/>
      <c r="F183" s="1766" t="str">
        <f ca="1">IF(D183="NPA","NR",IF(D183="Não visível","NC",IF(D183&gt;0.75,"NC","C")))</f>
        <v>NR</v>
      </c>
      <c r="G183" s="1767" t="str">
        <f ca="1">G184</f>
        <v>NPA</v>
      </c>
      <c r="H183" s="1767" t="str">
        <f ca="1">H184</f>
        <v>NPA</v>
      </c>
      <c r="I183" s="1768" t="str">
        <f t="shared" ca="1" si="1"/>
        <v>NA</v>
      </c>
      <c r="K183" s="1736" t="str">
        <f t="shared" ca="1" si="2"/>
        <v/>
      </c>
    </row>
    <row r="184" spans="1:12" x14ac:dyDescent="0.2">
      <c r="A184" s="1758">
        <f ca="1">IF(OFFSET('fantoma mama'!$A$4,0,$L184,1,1)=0,"",OFFSET('fantoma mama'!$A$4,0,$L184,1,1))</f>
        <v>46153</v>
      </c>
      <c r="B184" s="2627" t="s">
        <v>723</v>
      </c>
      <c r="C184" s="2628"/>
      <c r="D184" s="2628" t="str">
        <f ca="1">IF(OFFSET('fantoma mama'!$A$18,0,$L184,1,1)=0,"Não visível",IF(OFFSET('fantoma mama'!$A$18,0,$L184,1,1)="-","NPA",VLOOKUP(OFFSET('fantoma mama'!$A$18,0,$L184,1,1),IF(OFFSET('fantoma mama'!$A$5,0,$L184,1,1)="acr",Tabelas!$M$13:$N$17,Tabelas!$M$31:$N$35),2)))</f>
        <v>NPA</v>
      </c>
      <c r="E184" s="2628"/>
      <c r="F184" s="1765" t="str">
        <f ca="1">IF(D184="NPA","NR",IF(D184="Não visível","NC",IF(D184&gt;0.75,"NC","C")))</f>
        <v>NR</v>
      </c>
      <c r="G184" s="1774" t="str">
        <f ca="1">IF(OFFSET('fantoma mama'!$A$15,0,$L184,1,1)=0,"NPA",OFFSET('fantoma mama'!$A$15,0,$L184,1,1))</f>
        <v>NPA</v>
      </c>
      <c r="H184" s="1774" t="str">
        <f ca="1">IF(OFFSET('fantoma mama'!$A$16,0,$L184,1,1)=0,"NPA",OFFSET('fantoma mama'!$A$16,0,$L184,1,1))</f>
        <v>NPA</v>
      </c>
      <c r="I184" s="1769" t="str">
        <f t="shared" ca="1" si="1"/>
        <v>NA</v>
      </c>
      <c r="K184" s="1736" t="str">
        <f t="shared" ca="1" si="2"/>
        <v/>
      </c>
      <c r="L184" s="1778">
        <f>L181+1</f>
        <v>14</v>
      </c>
    </row>
    <row r="185" spans="1:12" x14ac:dyDescent="0.2">
      <c r="A185" s="1759">
        <f ca="1">A184</f>
        <v>46153</v>
      </c>
      <c r="B185" s="2621" t="s">
        <v>736</v>
      </c>
      <c r="C185" s="2622"/>
      <c r="D185" s="2622" t="str">
        <f ca="1">IF(OFFSET('fantoma mama'!$A$19,0,$L184,1,1)=0,"Não visível",IF(OFFSET('fantoma mama'!$A$19,0,$L184,1,1)="-","NPA",VLOOKUP(OFFSET('fantoma mama'!$A$19,0,$L184,1,1),IF(OFFSET('fantoma mama'!$A$5,0,$L184,1,1)="acr",Tabelas!$M$8:$N$12,Tabelas!$M$26:$N$30),2)))</f>
        <v>NPA</v>
      </c>
      <c r="E185" s="2622"/>
      <c r="F185" s="1765" t="str">
        <f ca="1">IF(D185="NPA","NR",IF(D185="Não visível","NC",IF(D185&gt;0.32,"NC","C")))</f>
        <v>NR</v>
      </c>
      <c r="G185" s="1771" t="str">
        <f ca="1">G184</f>
        <v>NPA</v>
      </c>
      <c r="H185" s="1771" t="str">
        <f ca="1">H184</f>
        <v>NPA</v>
      </c>
      <c r="I185" s="1772" t="str">
        <f t="shared" ca="1" si="1"/>
        <v>NA</v>
      </c>
      <c r="K185" s="1736" t="str">
        <f t="shared" ca="1" si="2"/>
        <v/>
      </c>
    </row>
    <row r="186" spans="1:12" x14ac:dyDescent="0.2">
      <c r="A186" s="1757">
        <f ca="1">A187</f>
        <v>46154</v>
      </c>
      <c r="B186" s="2625" t="s">
        <v>722</v>
      </c>
      <c r="C186" s="2626"/>
      <c r="D186" s="2626" t="str">
        <f ca="1">IF(OFFSET('fantoma mama'!$A$17,0,$L187,1,1)=0,"Não visível",IF(OFFSET('fantoma mama'!$A$17,0,$L187,1,1)="-","NPA",VLOOKUP(OFFSET('fantoma mama'!$A$17,0,$L187,1,1),IF(OFFSET('fantoma mama'!$A$5,0,$L187,1,1)="acr",Tabelas!$M$2:$N$7,Tabelas!$M$20:$N$25),2)))</f>
        <v>NPA</v>
      </c>
      <c r="E186" s="2626"/>
      <c r="F186" s="1766" t="str">
        <f ca="1">IF(D186="NPA","NR",IF(D186="Não visível","NC",IF(D186&gt;0.75,"NC","C")))</f>
        <v>NR</v>
      </c>
      <c r="G186" s="1767" t="str">
        <f ca="1">G187</f>
        <v>NPA</v>
      </c>
      <c r="H186" s="1767" t="str">
        <f ca="1">H187</f>
        <v>NPA</v>
      </c>
      <c r="I186" s="1768" t="str">
        <f t="shared" ca="1" si="1"/>
        <v>NA</v>
      </c>
      <c r="K186" s="1736" t="str">
        <f t="shared" ca="1" si="2"/>
        <v/>
      </c>
    </row>
    <row r="187" spans="1:12" x14ac:dyDescent="0.2">
      <c r="A187" s="1758">
        <f ca="1">IF(OFFSET('fantoma mama'!$A$4,0,$L187,1,1)=0,"",OFFSET('fantoma mama'!$A$4,0,$L187,1,1))</f>
        <v>46154</v>
      </c>
      <c r="B187" s="2627" t="s">
        <v>723</v>
      </c>
      <c r="C187" s="2628"/>
      <c r="D187" s="2628" t="str">
        <f ca="1">IF(OFFSET('fantoma mama'!$A$18,0,$L187,1,1)=0,"Não visível",IF(OFFSET('fantoma mama'!$A$18,0,$L187,1,1)="-","NPA",VLOOKUP(OFFSET('fantoma mama'!$A$18,0,$L187,1,1),IF(OFFSET('fantoma mama'!$A$5,0,$L187,1,1)="acr",Tabelas!$M$13:$N$17,Tabelas!$M$31:$N$35),2)))</f>
        <v>NPA</v>
      </c>
      <c r="E187" s="2628"/>
      <c r="F187" s="1765" t="str">
        <f ca="1">IF(D187="NPA","NR",IF(D187="Não visível","NC",IF(D187&gt;0.75,"NC","C")))</f>
        <v>NR</v>
      </c>
      <c r="G187" s="1774" t="str">
        <f ca="1">IF(OFFSET('fantoma mama'!$A$15,0,$L187,1,1)=0,"NPA",OFFSET('fantoma mama'!$A$15,0,$L187,1,1))</f>
        <v>NPA</v>
      </c>
      <c r="H187" s="1774" t="str">
        <f ca="1">IF(OFFSET('fantoma mama'!$A$16,0,$L187,1,1)=0,"NPA",OFFSET('fantoma mama'!$A$16,0,$L187,1,1))</f>
        <v>NPA</v>
      </c>
      <c r="I187" s="1769" t="str">
        <f t="shared" ca="1" si="1"/>
        <v>NA</v>
      </c>
      <c r="K187" s="1736" t="str">
        <f t="shared" ca="1" si="2"/>
        <v/>
      </c>
      <c r="L187" s="1778">
        <f>L184+1</f>
        <v>15</v>
      </c>
    </row>
    <row r="188" spans="1:12" x14ac:dyDescent="0.2">
      <c r="A188" s="1759">
        <f ca="1">A187</f>
        <v>46154</v>
      </c>
      <c r="B188" s="2621" t="s">
        <v>736</v>
      </c>
      <c r="C188" s="2622"/>
      <c r="D188" s="2622" t="str">
        <f ca="1">IF(OFFSET('fantoma mama'!$A$19,0,$L187,1,1)=0,"Não visível",IF(OFFSET('fantoma mama'!$A$19,0,$L187,1,1)="-","NPA",VLOOKUP(OFFSET('fantoma mama'!$A$19,0,$L187,1,1),IF(OFFSET('fantoma mama'!$A$5,0,$L187,1,1)="acr",Tabelas!$M$8:$N$12,Tabelas!$M$26:$N$30),2)))</f>
        <v>NPA</v>
      </c>
      <c r="E188" s="2622"/>
      <c r="F188" s="1765" t="str">
        <f ca="1">IF(D188="NPA","NR",IF(D188="Não visível","NC",IF(D188&gt;0.32,"NC","C")))</f>
        <v>NR</v>
      </c>
      <c r="G188" s="1771" t="str">
        <f ca="1">G187</f>
        <v>NPA</v>
      </c>
      <c r="H188" s="1771" t="str">
        <f ca="1">H187</f>
        <v>NPA</v>
      </c>
      <c r="I188" s="1772" t="str">
        <f t="shared" ca="1" si="1"/>
        <v>NA</v>
      </c>
      <c r="K188" s="1736" t="str">
        <f t="shared" ca="1" si="2"/>
        <v/>
      </c>
    </row>
    <row r="189" spans="1:12" x14ac:dyDescent="0.2">
      <c r="A189" s="1757">
        <f ca="1">A190</f>
        <v>46155</v>
      </c>
      <c r="B189" s="2625" t="s">
        <v>722</v>
      </c>
      <c r="C189" s="2626"/>
      <c r="D189" s="2626" t="str">
        <f ca="1">IF(OFFSET('fantoma mama'!$A$17,0,$L190,1,1)=0,"Não visível",IF(OFFSET('fantoma mama'!$A$17,0,$L190,1,1)="-","NPA",VLOOKUP(OFFSET('fantoma mama'!$A$17,0,$L190,1,1),IF(OFFSET('fantoma mama'!$A$5,0,$L190,1,1)="acr",Tabelas!$M$2:$N$7,Tabelas!$M$20:$N$25),2)))</f>
        <v>NPA</v>
      </c>
      <c r="E189" s="2626"/>
      <c r="F189" s="1766" t="str">
        <f ca="1">IF(D189="NPA","NR",IF(D189="Não visível","NC",IF(D189&gt;0.75,"NC","C")))</f>
        <v>NR</v>
      </c>
      <c r="G189" s="1767" t="str">
        <f ca="1">G190</f>
        <v>NPA</v>
      </c>
      <c r="H189" s="1767" t="str">
        <f ca="1">H190</f>
        <v>NPA</v>
      </c>
      <c r="I189" s="1768" t="str">
        <f t="shared" ca="1" si="1"/>
        <v>NA</v>
      </c>
      <c r="K189" s="1736" t="str">
        <f t="shared" ca="1" si="2"/>
        <v/>
      </c>
    </row>
    <row r="190" spans="1:12" x14ac:dyDescent="0.2">
      <c r="A190" s="1758">
        <f ca="1">IF(OFFSET('fantoma mama'!$A$4,0,$L190,1,1)=0,"",OFFSET('fantoma mama'!$A$4,0,$L190,1,1))</f>
        <v>46155</v>
      </c>
      <c r="B190" s="2627" t="s">
        <v>723</v>
      </c>
      <c r="C190" s="2628"/>
      <c r="D190" s="2628" t="str">
        <f ca="1">IF(OFFSET('fantoma mama'!$A$18,0,$L190,1,1)=0,"Não visível",IF(OFFSET('fantoma mama'!$A$18,0,$L190,1,1)="-","NPA",VLOOKUP(OFFSET('fantoma mama'!$A$18,0,$L190,1,1),IF(OFFSET('fantoma mama'!$A$5,0,$L190,1,1)="acr",Tabelas!$M$13:$N$17,Tabelas!$M$31:$N$35),2)))</f>
        <v>NPA</v>
      </c>
      <c r="E190" s="2628"/>
      <c r="F190" s="1765" t="str">
        <f ca="1">IF(D190="NPA","NR",IF(D190="Não visível","NC",IF(D190&gt;0.75,"NC","C")))</f>
        <v>NR</v>
      </c>
      <c r="G190" s="1765" t="str">
        <f ca="1">IF(OFFSET('fantoma mama'!$A$15,0,$L190,1,1)=0,"NPA",OFFSET('fantoma mama'!$A$15,0,$L190,1,1))</f>
        <v>NPA</v>
      </c>
      <c r="H190" s="1774" t="str">
        <f ca="1">IF(OFFSET('fantoma mama'!$A$16,0,$L190,1,1)=0,"NPA",OFFSET('fantoma mama'!$A$16,0,$L190,1,1))</f>
        <v>NPA</v>
      </c>
      <c r="I190" s="1769" t="str">
        <f ca="1">IF(F190="NC","Restrição",IF(F190="NR","NA","Sim"))</f>
        <v>NA</v>
      </c>
      <c r="K190" s="1736" t="str">
        <f t="shared" ca="1" si="2"/>
        <v/>
      </c>
      <c r="L190" s="1778">
        <f>L187+1</f>
        <v>16</v>
      </c>
    </row>
    <row r="191" spans="1:12" x14ac:dyDescent="0.2">
      <c r="A191" s="1759">
        <f ca="1">A190</f>
        <v>46155</v>
      </c>
      <c r="B191" s="2621" t="s">
        <v>736</v>
      </c>
      <c r="C191" s="2622"/>
      <c r="D191" s="2622" t="str">
        <f ca="1">IF(OFFSET('fantoma mama'!$A$19,0,$L190,1,1)=0,"Não visível",IF(OFFSET('fantoma mama'!$A$19,0,$L190,1,1)="-","NPA",VLOOKUP(OFFSET('fantoma mama'!$A$19,0,$L190,1,1),IF(OFFSET('fantoma mama'!$A$5,0,$L190,1,1)="acr",Tabelas!$M$8:$N$12,Tabelas!$M$26:$N$30),2)))</f>
        <v>NPA</v>
      </c>
      <c r="E191" s="2622"/>
      <c r="F191" s="1765" t="str">
        <f ca="1">IF(D191="NPA","NR",IF(D191="Não visível","NC",IF(D191&gt;0.32,"NC","C")))</f>
        <v>NR</v>
      </c>
      <c r="G191" s="1771" t="str">
        <f ca="1">G190</f>
        <v>NPA</v>
      </c>
      <c r="H191" s="1771" t="str">
        <f ca="1">H190</f>
        <v>NPA</v>
      </c>
      <c r="I191" s="1772" t="str">
        <f t="shared" ca="1" si="1"/>
        <v>NA</v>
      </c>
      <c r="K191" s="1736" t="str">
        <f t="shared" ca="1" si="2"/>
        <v/>
      </c>
    </row>
    <row r="192" spans="1:12" x14ac:dyDescent="0.2">
      <c r="A192" s="1757">
        <f ca="1">A193</f>
        <v>46156</v>
      </c>
      <c r="B192" s="2625" t="s">
        <v>722</v>
      </c>
      <c r="C192" s="2626"/>
      <c r="D192" s="2626" t="str">
        <f ca="1">IF(OFFSET('fantoma mama'!$A$17,0,$L193,1,1)=0,"Não visível",IF(OFFSET('fantoma mama'!$A$17,0,$L193,1,1)="-","NPA",VLOOKUP(OFFSET('fantoma mama'!$A$17,0,$L193,1,1),IF(OFFSET('fantoma mama'!$A$5,0,$L193,1,1)="acr",Tabelas!$M$2:$N$7,Tabelas!$M$20:$N$25),2)))</f>
        <v>NPA</v>
      </c>
      <c r="E192" s="2626"/>
      <c r="F192" s="1766" t="str">
        <f ca="1">IF(D192="NPA","NR",IF(D192="Não visível","NC",IF(D192&gt;0.75,"NC","C")))</f>
        <v>NR</v>
      </c>
      <c r="G192" s="1767" t="str">
        <f ca="1">G193</f>
        <v>NPA</v>
      </c>
      <c r="H192" s="1767" t="str">
        <f ca="1">H193</f>
        <v>NPA</v>
      </c>
      <c r="I192" s="1768" t="str">
        <f t="shared" ca="1" si="1"/>
        <v>NA</v>
      </c>
      <c r="K192" s="1736" t="str">
        <f t="shared" ca="1" si="2"/>
        <v/>
      </c>
    </row>
    <row r="193" spans="1:14" x14ac:dyDescent="0.2">
      <c r="A193" s="1758">
        <f ca="1">IF(OFFSET('fantoma mama'!$A$4,0,$L193,1,1)=0,"",OFFSET('fantoma mama'!$A$4,0,$L193,1,1))</f>
        <v>46156</v>
      </c>
      <c r="B193" s="2627" t="s">
        <v>723</v>
      </c>
      <c r="C193" s="2628"/>
      <c r="D193" s="2628" t="str">
        <f ca="1">IF(OFFSET('fantoma mama'!$A$18,0,$L193,1,1)=0,"Não visível",IF(OFFSET('fantoma mama'!$A$18,0,$L193,1,1)="-","NPA",VLOOKUP(OFFSET('fantoma mama'!$A$18,0,$L193,1,1),IF(OFFSET('fantoma mama'!$A$5,0,$L193,1,1)="acr",Tabelas!$M$13:$N$17,Tabelas!$M$31:$N$35),2)))</f>
        <v>NPA</v>
      </c>
      <c r="E193" s="2628"/>
      <c r="F193" s="1765" t="str">
        <f ca="1">IF(D193="NPA","NR",IF(D193="Não visível","NC",IF(D193&gt;0.75,"NC","C")))</f>
        <v>NR</v>
      </c>
      <c r="G193" s="1774" t="str">
        <f ca="1">IF(OFFSET('fantoma mama'!$A$15,0,$L193,1,1)=0,"NPA",OFFSET('fantoma mama'!$A$15,0,$L193,1,1))</f>
        <v>NPA</v>
      </c>
      <c r="H193" s="1774" t="str">
        <f ca="1">IF(OFFSET('fantoma mama'!$A$16,0,$L193,1,1)=0,"NPA",OFFSET('fantoma mama'!$A$16,0,$L193,1,1))</f>
        <v>NPA</v>
      </c>
      <c r="I193" s="1769" t="str">
        <f t="shared" ca="1" si="1"/>
        <v>NA</v>
      </c>
      <c r="K193" s="1736" t="str">
        <f t="shared" ca="1" si="2"/>
        <v/>
      </c>
      <c r="L193" s="1778">
        <f>L190+1</f>
        <v>17</v>
      </c>
      <c r="N193" s="1781"/>
    </row>
    <row r="194" spans="1:14" x14ac:dyDescent="0.2">
      <c r="A194" s="1759">
        <f ca="1">A193</f>
        <v>46156</v>
      </c>
      <c r="B194" s="2621" t="s">
        <v>736</v>
      </c>
      <c r="C194" s="2622"/>
      <c r="D194" s="2622" t="str">
        <f ca="1">IF(OFFSET('fantoma mama'!$A$19,0,$L193,1,1)=0,"Não visível",IF(OFFSET('fantoma mama'!$A$19,0,$L193,1,1)="-","NPA",VLOOKUP(OFFSET('fantoma mama'!$A$19,0,$L193,1,1),IF(OFFSET('fantoma mama'!$A$5,0,$L193,1,1)="acr",Tabelas!$M$8:$N$12,Tabelas!$M$26:$N$30),2)))</f>
        <v>NPA</v>
      </c>
      <c r="E194" s="2622"/>
      <c r="F194" s="1765" t="str">
        <f ca="1">IF(D194="NPA","NR",IF(D194="Não visível","NC",IF(D194&gt;0.32,"NC","C")))</f>
        <v>NR</v>
      </c>
      <c r="G194" s="1771" t="str">
        <f ca="1">G193</f>
        <v>NPA</v>
      </c>
      <c r="H194" s="1771" t="str">
        <f ca="1">H193</f>
        <v>NPA</v>
      </c>
      <c r="I194" s="1772" t="str">
        <f t="shared" ca="1" si="1"/>
        <v>NA</v>
      </c>
      <c r="K194" s="1736" t="str">
        <f t="shared" ca="1" si="2"/>
        <v/>
      </c>
    </row>
    <row r="195" spans="1:14" x14ac:dyDescent="0.2">
      <c r="A195" s="1757">
        <f ca="1">A196</f>
        <v>46157</v>
      </c>
      <c r="B195" s="2625" t="s">
        <v>722</v>
      </c>
      <c r="C195" s="2626"/>
      <c r="D195" s="2626" t="str">
        <f ca="1">IF(OFFSET('fantoma mama'!$A$17,0,$L196,1,1)=0,"Não visível",IF(OFFSET('fantoma mama'!$A$17,0,$L196,1,1)="-","NPA",VLOOKUP(OFFSET('fantoma mama'!$A$17,0,$L196,1,1),IF(OFFSET('fantoma mama'!$A$5,0,$L196,1,1)="acr",Tabelas!$M$2:$N$7,Tabelas!$M$20:$N$25),2)))</f>
        <v>NPA</v>
      </c>
      <c r="E195" s="2626"/>
      <c r="F195" s="1766" t="str">
        <f ca="1">IF(D195="NPA","NR",IF(D195="Não visível","NC",IF(D195&gt;0.75,"NC","C")))</f>
        <v>NR</v>
      </c>
      <c r="G195" s="1767" t="str">
        <f ca="1">G196</f>
        <v>NPA</v>
      </c>
      <c r="H195" s="1767" t="str">
        <f ca="1">H196</f>
        <v>NPA</v>
      </c>
      <c r="I195" s="1768" t="str">
        <f t="shared" ca="1" si="1"/>
        <v>NA</v>
      </c>
      <c r="K195" s="1736" t="str">
        <f t="shared" ca="1" si="2"/>
        <v/>
      </c>
    </row>
    <row r="196" spans="1:14" x14ac:dyDescent="0.2">
      <c r="A196" s="1758">
        <f ca="1">IF(OFFSET('fantoma mama'!$A$4,0,$L196,1,1)=0,"",OFFSET('fantoma mama'!$A$4,0,$L196,1,1))</f>
        <v>46157</v>
      </c>
      <c r="B196" s="2627" t="s">
        <v>723</v>
      </c>
      <c r="C196" s="2628"/>
      <c r="D196" s="2628" t="str">
        <f ca="1">IF(OFFSET('fantoma mama'!$A$18,0,$L196,1,1)=0,"Não visível",IF(OFFSET('fantoma mama'!$A$18,0,$L196,1,1)="-","NPA",VLOOKUP(OFFSET('fantoma mama'!$A$18,0,$L196,1,1),IF(OFFSET('fantoma mama'!$A$5,0,$L196,1,1)="acr",Tabelas!$M$13:$N$17,Tabelas!$M$31:$N$35),2)))</f>
        <v>NPA</v>
      </c>
      <c r="E196" s="2628"/>
      <c r="F196" s="1765" t="str">
        <f ca="1">IF(D196="NPA","NR",IF(D196="Não visível","NC",IF(D196&gt;0.75,"NC","C")))</f>
        <v>NR</v>
      </c>
      <c r="G196" s="1774" t="str">
        <f ca="1">IF(OFFSET('fantoma mama'!$A$15,0,$L196,1,1)=0,"NPA",OFFSET('fantoma mama'!$A$15,0,$L196,1,1))</f>
        <v>NPA</v>
      </c>
      <c r="H196" s="1774" t="str">
        <f ca="1">IF(OFFSET('fantoma mama'!$A$16,0,$L196,1,1)=0,"NPA",OFFSET('fantoma mama'!$A$16,0,$L196,1,1))</f>
        <v>NPA</v>
      </c>
      <c r="I196" s="1769" t="str">
        <f t="shared" ca="1" si="1"/>
        <v>NA</v>
      </c>
      <c r="K196" s="1736" t="str">
        <f t="shared" ca="1" si="2"/>
        <v/>
      </c>
      <c r="L196" s="1778">
        <f>L193+1</f>
        <v>18</v>
      </c>
    </row>
    <row r="197" spans="1:14" x14ac:dyDescent="0.2">
      <c r="A197" s="1759">
        <f ca="1">A196</f>
        <v>46157</v>
      </c>
      <c r="B197" s="2621" t="s">
        <v>736</v>
      </c>
      <c r="C197" s="2622"/>
      <c r="D197" s="2622" t="str">
        <f ca="1">IF(OFFSET('fantoma mama'!$A$19,0,$L196,1,1)=0,"Não visível",IF(OFFSET('fantoma mama'!$A$19,0,$L196,1,1)="-","NPA",VLOOKUP(OFFSET('fantoma mama'!$A$19,0,$L196,1,1),IF(OFFSET('fantoma mama'!$A$5,0,$L196,1,1)="acr",Tabelas!$M$8:$N$12,Tabelas!$M$26:$N$30),2)))</f>
        <v>NPA</v>
      </c>
      <c r="E197" s="2622"/>
      <c r="F197" s="1765" t="str">
        <f ca="1">IF(D197="NPA","NR",IF(D197="Não visível","NC",IF(D197&gt;0.32,"NC","C")))</f>
        <v>NR</v>
      </c>
      <c r="G197" s="1771" t="str">
        <f ca="1">G196</f>
        <v>NPA</v>
      </c>
      <c r="H197" s="1771" t="str">
        <f ca="1">H196</f>
        <v>NPA</v>
      </c>
      <c r="I197" s="1772" t="str">
        <f t="shared" ca="1" si="1"/>
        <v>NA</v>
      </c>
      <c r="K197" s="1736" t="str">
        <f t="shared" ca="1" si="2"/>
        <v/>
      </c>
    </row>
    <row r="198" spans="1:14" x14ac:dyDescent="0.2">
      <c r="A198" s="1757">
        <f ca="1">A199</f>
        <v>46158</v>
      </c>
      <c r="B198" s="2625" t="s">
        <v>722</v>
      </c>
      <c r="C198" s="2626"/>
      <c r="D198" s="2626" t="str">
        <f ca="1">IF(OFFSET('fantoma mama'!$A$17,0,$L199,1,1)=0,"Não visível",IF(OFFSET('fantoma mama'!$A$17,0,$L199,1,1)="-","NPA",VLOOKUP(OFFSET('fantoma mama'!$A$17,0,$L199,1,1),IF(OFFSET('fantoma mama'!$A$5,0,$L199,1,1)="acr",Tabelas!$M$2:$N$7,Tabelas!$M$20:$N$25),2)))</f>
        <v>NPA</v>
      </c>
      <c r="E198" s="2626"/>
      <c r="F198" s="1766" t="str">
        <f ca="1">IF(D198="NPA","NR",IF(D198="Não visível","NC",IF(D198&gt;0.75,"NC","C")))</f>
        <v>NR</v>
      </c>
      <c r="G198" s="1767" t="str">
        <f ca="1">G199</f>
        <v>NPA</v>
      </c>
      <c r="H198" s="1767" t="str">
        <f ca="1">H199</f>
        <v>NPA</v>
      </c>
      <c r="I198" s="1768" t="str">
        <f t="shared" ca="1" si="1"/>
        <v>NA</v>
      </c>
      <c r="K198" s="1736" t="str">
        <f t="shared" ca="1" si="2"/>
        <v/>
      </c>
    </row>
    <row r="199" spans="1:14" x14ac:dyDescent="0.2">
      <c r="A199" s="1758">
        <f ca="1">IF(OFFSET('fantoma mama'!$A$4,0,$L199,1,1)=0,"",OFFSET('fantoma mama'!$A$4,0,$L199,1,1))</f>
        <v>46158</v>
      </c>
      <c r="B199" s="2627" t="s">
        <v>723</v>
      </c>
      <c r="C199" s="2628"/>
      <c r="D199" s="2628" t="str">
        <f ca="1">IF(OFFSET('fantoma mama'!$A$18,0,$L199,1,1)=0,"Não visível",IF(OFFSET('fantoma mama'!$A$18,0,$L199,1,1)="-","NPA",VLOOKUP(OFFSET('fantoma mama'!$A$18,0,$L199,1,1),IF(OFFSET('fantoma mama'!$A$5,0,$L199,1,1)="acr",Tabelas!$M$13:$N$17,Tabelas!$M$31:$N$35),2)))</f>
        <v>NPA</v>
      </c>
      <c r="E199" s="2628"/>
      <c r="F199" s="1765" t="str">
        <f ca="1">IF(D199="NPA","NR",IF(D199="Não visível","NC",IF(D199&gt;0.75,"NC","C")))</f>
        <v>NR</v>
      </c>
      <c r="G199" s="1774" t="str">
        <f ca="1">IF(OFFSET('fantoma mama'!$A$15,0,$L199,1,1)=0,"NPA",OFFSET('fantoma mama'!$A$15,0,$L199,1,1))</f>
        <v>NPA</v>
      </c>
      <c r="H199" s="1774" t="str">
        <f ca="1">IF(OFFSET('fantoma mama'!$A$16,0,$L199,1,1)=0,"NPA",OFFSET('fantoma mama'!$A$16,0,$L199,1,1))</f>
        <v>NPA</v>
      </c>
      <c r="I199" s="1769" t="str">
        <f t="shared" ca="1" si="1"/>
        <v>NA</v>
      </c>
      <c r="K199" s="1736" t="str">
        <f t="shared" ca="1" si="2"/>
        <v/>
      </c>
      <c r="L199" s="1778">
        <f>L196+1</f>
        <v>19</v>
      </c>
    </row>
    <row r="200" spans="1:14" x14ac:dyDescent="0.2">
      <c r="A200" s="1759">
        <f ca="1">A199</f>
        <v>46158</v>
      </c>
      <c r="B200" s="2621" t="s">
        <v>736</v>
      </c>
      <c r="C200" s="2622"/>
      <c r="D200" s="2622" t="str">
        <f ca="1">IF(OFFSET('fantoma mama'!$A$19,0,$L199,1,1)=0,"Não visível",IF(OFFSET('fantoma mama'!$A$19,0,$L199,1,1)="-","NPA",VLOOKUP(OFFSET('fantoma mama'!$A$19,0,$L199,1,1),IF(OFFSET('fantoma mama'!$A$5,0,$L199,1,1)="acr",Tabelas!$M$8:$N$12,Tabelas!$M$26:$N$30),2)))</f>
        <v>NPA</v>
      </c>
      <c r="E200" s="2622"/>
      <c r="F200" s="1765" t="str">
        <f ca="1">IF(D200="NPA","NR",IF(D200="Não visível","NC",IF(D200&gt;0.32,"NC","C")))</f>
        <v>NR</v>
      </c>
      <c r="G200" s="1771" t="str">
        <f ca="1">G199</f>
        <v>NPA</v>
      </c>
      <c r="H200" s="1771" t="str">
        <f ca="1">H199</f>
        <v>NPA</v>
      </c>
      <c r="I200" s="1772" t="str">
        <f t="shared" ca="1" si="1"/>
        <v>NA</v>
      </c>
      <c r="K200" s="1736" t="str">
        <f t="shared" ca="1" si="2"/>
        <v/>
      </c>
    </row>
    <row r="201" spans="1:14" x14ac:dyDescent="0.2">
      <c r="A201" s="1757">
        <f ca="1">A202</f>
        <v>46159</v>
      </c>
      <c r="B201" s="2625" t="s">
        <v>722</v>
      </c>
      <c r="C201" s="2626"/>
      <c r="D201" s="2626" t="str">
        <f ca="1">IF(OFFSET('fantoma mama'!$A$17,0,$L202,1,1)=0,"Não visível",IF(OFFSET('fantoma mama'!$A$17,0,$L202,1,1)="-","NPA",VLOOKUP(OFFSET('fantoma mama'!$A$17,0,$L202,1,1),IF(OFFSET('fantoma mama'!$A$5,0,$L202,1,1)="acr",Tabelas!$M$2:$N$7,Tabelas!$M$20:$N$25),2)))</f>
        <v>NPA</v>
      </c>
      <c r="E201" s="2626"/>
      <c r="F201" s="1766" t="str">
        <f ca="1">IF(D201="NPA","NR",IF(D201="Não visível","NC",IF(D201&gt;0.75,"NC","C")))</f>
        <v>NR</v>
      </c>
      <c r="G201" s="1767" t="str">
        <f ca="1">G202</f>
        <v>NPA</v>
      </c>
      <c r="H201" s="1767" t="str">
        <f ca="1">H202</f>
        <v>NPA</v>
      </c>
      <c r="I201" s="1768" t="str">
        <f t="shared" ca="1" si="1"/>
        <v>NA</v>
      </c>
      <c r="K201" s="1736" t="str">
        <f t="shared" ca="1" si="2"/>
        <v/>
      </c>
    </row>
    <row r="202" spans="1:14" x14ac:dyDescent="0.2">
      <c r="A202" s="1758">
        <f ca="1">IF(OFFSET('fantoma mama'!$A$4,0,$L202,1,1)=0,"",OFFSET('fantoma mama'!$A$4,0,$L202,1,1))</f>
        <v>46159</v>
      </c>
      <c r="B202" s="2627" t="s">
        <v>723</v>
      </c>
      <c r="C202" s="2628"/>
      <c r="D202" s="2628" t="str">
        <f ca="1">IF(OFFSET('fantoma mama'!$A$18,0,$L202,1,1)=0,"Não visível",IF(OFFSET('fantoma mama'!$A$18,0,$L202,1,1)="-","NPA",VLOOKUP(OFFSET('fantoma mama'!$A$18,0,$L202,1,1),IF(OFFSET('fantoma mama'!$A$5,0,$L202,1,1)="acr",Tabelas!$M$13:$N$17,Tabelas!$M$31:$N$35),2)))</f>
        <v>NPA</v>
      </c>
      <c r="E202" s="2628"/>
      <c r="F202" s="1765" t="str">
        <f ca="1">IF(D202="NPA","NR",IF(D202="Não visível","NC",IF(D202&gt;0.75,"NC","C")))</f>
        <v>NR</v>
      </c>
      <c r="G202" s="1774" t="str">
        <f ca="1">IF(OFFSET('fantoma mama'!$A$15,0,$L202,1,1)=0,"NPA",OFFSET('fantoma mama'!$A$15,0,$L202,1,1))</f>
        <v>NPA</v>
      </c>
      <c r="H202" s="1774" t="str">
        <f ca="1">IF(OFFSET('fantoma mama'!$A$16,0,$L202,1,1)=0,"NPA",OFFSET('fantoma mama'!$A$16,0,$L202,1,1))</f>
        <v>NPA</v>
      </c>
      <c r="I202" s="1769" t="str">
        <f t="shared" ca="1" si="1"/>
        <v>NA</v>
      </c>
      <c r="K202" s="1736" t="str">
        <f t="shared" ca="1" si="2"/>
        <v/>
      </c>
      <c r="L202" s="1778">
        <f>L199+1</f>
        <v>20</v>
      </c>
    </row>
    <row r="203" spans="1:14" x14ac:dyDescent="0.2">
      <c r="A203" s="1759">
        <f ca="1">A202</f>
        <v>46159</v>
      </c>
      <c r="B203" s="2621" t="s">
        <v>736</v>
      </c>
      <c r="C203" s="2622"/>
      <c r="D203" s="2622" t="str">
        <f ca="1">IF(OFFSET('fantoma mama'!$A$19,0,$L202,1,1)=0,"Não visível",IF(OFFSET('fantoma mama'!$A$19,0,$L202,1,1)="-","NPA",VLOOKUP(OFFSET('fantoma mama'!$A$19,0,$L202,1,1),IF(OFFSET('fantoma mama'!$A$5,0,$L202,1,1)="acr",Tabelas!$M$8:$N$12,Tabelas!$M$26:$N$30),2)))</f>
        <v>NPA</v>
      </c>
      <c r="E203" s="2622"/>
      <c r="F203" s="1765" t="str">
        <f ca="1">IF(D203="NPA","NR",IF(D203="Não visível","NC",IF(D203&gt;0.32,"NC","C")))</f>
        <v>NR</v>
      </c>
      <c r="G203" s="1771" t="str">
        <f ca="1">G202</f>
        <v>NPA</v>
      </c>
      <c r="H203" s="1771" t="str">
        <f ca="1">H202</f>
        <v>NPA</v>
      </c>
      <c r="I203" s="1772" t="str">
        <f t="shared" ca="1" si="1"/>
        <v>NA</v>
      </c>
      <c r="K203" s="1736" t="str">
        <f t="shared" ca="1" si="2"/>
        <v/>
      </c>
    </row>
    <row r="204" spans="1:14" x14ac:dyDescent="0.2">
      <c r="A204" s="1757">
        <f ca="1">A205</f>
        <v>46160</v>
      </c>
      <c r="B204" s="2625" t="s">
        <v>722</v>
      </c>
      <c r="C204" s="2626"/>
      <c r="D204" s="2626" t="str">
        <f ca="1">IF(OFFSET('fantoma mama'!$A$17,0,$L205,1,1)=0,"Não visível",IF(OFFSET('fantoma mama'!$A$17,0,$L205,1,1)="-","NPA",VLOOKUP(OFFSET('fantoma mama'!$A$17,0,$L205,1,1),IF(OFFSET('fantoma mama'!$A$5,0,$L205,1,1)="acr",Tabelas!$M$2:$N$7,Tabelas!$M$20:$N$25),2)))</f>
        <v>NPA</v>
      </c>
      <c r="E204" s="2626"/>
      <c r="F204" s="1766" t="str">
        <f ca="1">IF(D204="NPA","NR",IF(D204="Não visível","NC",IF(D204&gt;0.75,"NC","C")))</f>
        <v>NR</v>
      </c>
      <c r="G204" s="1767" t="str">
        <f ca="1">G205</f>
        <v>NPA</v>
      </c>
      <c r="H204" s="1767" t="str">
        <f ca="1">H205</f>
        <v>NPA</v>
      </c>
      <c r="I204" s="1768" t="str">
        <f t="shared" ca="1" si="1"/>
        <v>NA</v>
      </c>
      <c r="K204" s="1736" t="str">
        <f t="shared" ca="1" si="2"/>
        <v/>
      </c>
    </row>
    <row r="205" spans="1:14" x14ac:dyDescent="0.2">
      <c r="A205" s="1758">
        <f ca="1">IF(OFFSET('fantoma mama'!$A$4,0,$L205,1,1)=0,"",OFFSET('fantoma mama'!$A$4,0,$L205,1,1))</f>
        <v>46160</v>
      </c>
      <c r="B205" s="2627" t="s">
        <v>723</v>
      </c>
      <c r="C205" s="2628"/>
      <c r="D205" s="2628" t="str">
        <f ca="1">IF(OFFSET('fantoma mama'!$A$18,0,$L205,1,1)=0,"Não visível",IF(OFFSET('fantoma mama'!$A$18,0,$L205,1,1)="-","NPA",VLOOKUP(OFFSET('fantoma mama'!$A$18,0,$L205,1,1),IF(OFFSET('fantoma mama'!$A$5,0,$L205,1,1)="acr",Tabelas!$M$13:$N$17,Tabelas!$M$31:$N$35),2)))</f>
        <v>NPA</v>
      </c>
      <c r="E205" s="2628"/>
      <c r="F205" s="1765" t="str">
        <f ca="1">IF(D205="NPA","NR",IF(D205="Não visível","NC",IF(D205&gt;0.75,"NC","C")))</f>
        <v>NR</v>
      </c>
      <c r="G205" s="1774" t="str">
        <f ca="1">IF(OFFSET('fantoma mama'!$A$15,0,$L205,1,1)=0,"NPA",OFFSET('fantoma mama'!$A$15,0,$L205,1,1))</f>
        <v>NPA</v>
      </c>
      <c r="H205" s="1774" t="str">
        <f ca="1">IF(OFFSET('fantoma mama'!$A$16,0,$L205,1,1)=0,"NPA",OFFSET('fantoma mama'!$A$16,0,$L205,1,1))</f>
        <v>NPA</v>
      </c>
      <c r="I205" s="1769" t="str">
        <f t="shared" ca="1" si="1"/>
        <v>NA</v>
      </c>
      <c r="K205" s="1736" t="str">
        <f t="shared" ca="1" si="2"/>
        <v/>
      </c>
      <c r="L205" s="1778">
        <f>L202+1</f>
        <v>21</v>
      </c>
    </row>
    <row r="206" spans="1:14" x14ac:dyDescent="0.2">
      <c r="A206" s="1759">
        <f ca="1">A205</f>
        <v>46160</v>
      </c>
      <c r="B206" s="2621" t="s">
        <v>736</v>
      </c>
      <c r="C206" s="2622"/>
      <c r="D206" s="2622" t="str">
        <f ca="1">IF(OFFSET('fantoma mama'!$A$19,0,$L205,1,1)=0,"Não visível",IF(OFFSET('fantoma mama'!$A$19,0,$L205,1,1)="-","NPA",VLOOKUP(OFFSET('fantoma mama'!$A$19,0,$L205,1,1),IF(OFFSET('fantoma mama'!$A$5,0,$L205,1,1)="acr",Tabelas!$M$8:$N$12,Tabelas!$M$26:$N$30),2)))</f>
        <v>NPA</v>
      </c>
      <c r="E206" s="2622"/>
      <c r="F206" s="1765" t="str">
        <f ca="1">IF(D206="NPA","NR",IF(D206="Não visível","NC",IF(D206&gt;0.32,"NC","C")))</f>
        <v>NR</v>
      </c>
      <c r="G206" s="1771" t="str">
        <f ca="1">G205</f>
        <v>NPA</v>
      </c>
      <c r="H206" s="1771" t="str">
        <f ca="1">H205</f>
        <v>NPA</v>
      </c>
      <c r="I206" s="1772" t="str">
        <f t="shared" ca="1" si="1"/>
        <v>NA</v>
      </c>
      <c r="K206" s="1736" t="str">
        <f t="shared" ca="1" si="2"/>
        <v/>
      </c>
    </row>
    <row r="207" spans="1:14" x14ac:dyDescent="0.2">
      <c r="A207" s="1757">
        <f ca="1">A208</f>
        <v>46161</v>
      </c>
      <c r="B207" s="2625" t="s">
        <v>722</v>
      </c>
      <c r="C207" s="2626"/>
      <c r="D207" s="2626" t="str">
        <f ca="1">IF(OFFSET('fantoma mama'!$A$17,0,$L208,1,1)=0,"Não visível",IF(OFFSET('fantoma mama'!$A$17,0,$L208,1,1)="-","NPA",VLOOKUP(OFFSET('fantoma mama'!$A$17,0,$L208,1,1),IF(OFFSET('fantoma mama'!$A$5,0,$L208,1,1)="acr",Tabelas!$M$2:$N$7,Tabelas!$M$20:$N$25),2)))</f>
        <v>NPA</v>
      </c>
      <c r="E207" s="2626"/>
      <c r="F207" s="1766" t="str">
        <f ca="1">IF(D207="NPA","NR",IF(D207="Não visível","NC",IF(D207&gt;0.75,"NC","C")))</f>
        <v>NR</v>
      </c>
      <c r="G207" s="1767" t="str">
        <f ca="1">G208</f>
        <v>NPA</v>
      </c>
      <c r="H207" s="1767" t="str">
        <f ca="1">H208</f>
        <v>NPA</v>
      </c>
      <c r="I207" s="1768" t="str">
        <f t="shared" ca="1" si="1"/>
        <v>NA</v>
      </c>
      <c r="K207" s="1736" t="str">
        <f t="shared" ca="1" si="2"/>
        <v/>
      </c>
    </row>
    <row r="208" spans="1:14" x14ac:dyDescent="0.2">
      <c r="A208" s="1758">
        <f ca="1">IF(OFFSET('fantoma mama'!$A$4,0,$L208,1,1)=0,"",OFFSET('fantoma mama'!$A$4,0,$L208,1,1))</f>
        <v>46161</v>
      </c>
      <c r="B208" s="2627" t="s">
        <v>723</v>
      </c>
      <c r="C208" s="2628"/>
      <c r="D208" s="2628" t="str">
        <f ca="1">IF(OFFSET('fantoma mama'!$A$18,0,$L208,1,1)=0,"Não visível",IF(OFFSET('fantoma mama'!$A$18,0,$L208,1,1)="-","NPA",VLOOKUP(OFFSET('fantoma mama'!$A$18,0,$L208,1,1),IF(OFFSET('fantoma mama'!$A$5,0,$L208,1,1)="acr",Tabelas!$M$13:$N$17,Tabelas!$M$31:$N$35),2)))</f>
        <v>NPA</v>
      </c>
      <c r="E208" s="2628"/>
      <c r="F208" s="1765" t="str">
        <f ca="1">IF(D208="NPA","NR",IF(D208="Não visível","NC",IF(D208&gt;0.75,"NC","C")))</f>
        <v>NR</v>
      </c>
      <c r="G208" s="1774" t="str">
        <f ca="1">IF(OFFSET('fantoma mama'!$A$15,0,$L208,1,1)=0,"NPA",OFFSET('fantoma mama'!$A$15,0,$L208,1,1))</f>
        <v>NPA</v>
      </c>
      <c r="H208" s="1774" t="str">
        <f ca="1">IF(OFFSET('fantoma mama'!$A$16,0,$L208,1,1)=0,"NPA",OFFSET('fantoma mama'!$A$16,0,$L208,1,1))</f>
        <v>NPA</v>
      </c>
      <c r="I208" s="1769" t="str">
        <f t="shared" ca="1" si="1"/>
        <v>NA</v>
      </c>
      <c r="K208" s="1736" t="str">
        <f t="shared" ca="1" si="2"/>
        <v/>
      </c>
      <c r="L208" s="1778">
        <f>L205+1</f>
        <v>22</v>
      </c>
    </row>
    <row r="209" spans="1:12" x14ac:dyDescent="0.2">
      <c r="A209" s="1759">
        <f ca="1">A208</f>
        <v>46161</v>
      </c>
      <c r="B209" s="2621" t="s">
        <v>736</v>
      </c>
      <c r="C209" s="2622"/>
      <c r="D209" s="2622" t="str">
        <f ca="1">IF(OFFSET('fantoma mama'!$A$19,0,$L208,1,1)=0,"Não visível",IF(OFFSET('fantoma mama'!$A$19,0,$L208,1,1)="-","NPA",VLOOKUP(OFFSET('fantoma mama'!$A$19,0,$L208,1,1),IF(OFFSET('fantoma mama'!$A$5,0,$L208,1,1)="acr",Tabelas!$M$8:$N$12,Tabelas!$M$26:$N$30),2)))</f>
        <v>NPA</v>
      </c>
      <c r="E209" s="2622"/>
      <c r="F209" s="1765" t="str">
        <f ca="1">IF(D209="NPA","NR",IF(D209="Não visível","NC",IF(D209&gt;0.32,"NC","C")))</f>
        <v>NR</v>
      </c>
      <c r="G209" s="1771" t="str">
        <f ca="1">G208</f>
        <v>NPA</v>
      </c>
      <c r="H209" s="1771" t="str">
        <f ca="1">H208</f>
        <v>NPA</v>
      </c>
      <c r="I209" s="1772" t="str">
        <f t="shared" ref="I209:I218" ca="1" si="6">IF(F209="NC","Restrição",IF(F209="NR","NA","Sim"))</f>
        <v>NA</v>
      </c>
      <c r="K209" s="1736" t="str">
        <f t="shared" ref="K209:K218" ca="1" si="7">IF(A209="","x","")</f>
        <v/>
      </c>
    </row>
    <row r="210" spans="1:12" x14ac:dyDescent="0.2">
      <c r="A210" s="1757">
        <f ca="1">A211</f>
        <v>46162</v>
      </c>
      <c r="B210" s="2625" t="s">
        <v>722</v>
      </c>
      <c r="C210" s="2626"/>
      <c r="D210" s="2626" t="str">
        <f ca="1">IF(OFFSET('fantoma mama'!$A$17,0,$L211,1,1)=0,"Não visível",IF(OFFSET('fantoma mama'!$A$17,0,$L211,1,1)="-","NPA",VLOOKUP(OFFSET('fantoma mama'!$A$17,0,$L211,1,1),IF(OFFSET('fantoma mama'!$A$5,0,$L211,1,1)="acr",Tabelas!$M$2:$N$7,Tabelas!$M$20:$N$25),2)))</f>
        <v>NPA</v>
      </c>
      <c r="E210" s="2626"/>
      <c r="F210" s="1766" t="str">
        <f ca="1">IF(D210="NPA","NR",IF(D210="Não visível","NC",IF(D210&gt;0.75,"NC","C")))</f>
        <v>NR</v>
      </c>
      <c r="G210" s="1767" t="str">
        <f ca="1">G211</f>
        <v>NPA</v>
      </c>
      <c r="H210" s="1767" t="str">
        <f ca="1">H211</f>
        <v>NPA</v>
      </c>
      <c r="I210" s="1768" t="str">
        <f t="shared" ca="1" si="6"/>
        <v>NA</v>
      </c>
      <c r="K210" s="1736" t="str">
        <f t="shared" ca="1" si="7"/>
        <v/>
      </c>
    </row>
    <row r="211" spans="1:12" x14ac:dyDescent="0.2">
      <c r="A211" s="1758">
        <f ca="1">IF(OFFSET('fantoma mama'!$A$4,0,$L211,1,1)=0,"",OFFSET('fantoma mama'!$A$4,0,$L211,1,1))</f>
        <v>46162</v>
      </c>
      <c r="B211" s="2627" t="s">
        <v>723</v>
      </c>
      <c r="C211" s="2628"/>
      <c r="D211" s="2628" t="str">
        <f ca="1">IF(OFFSET('fantoma mama'!$A$18,0,$L211,1,1)=0,"Não visível",IF(OFFSET('fantoma mama'!$A$18,0,$L211,1,1)="-","NPA",VLOOKUP(OFFSET('fantoma mama'!$A$18,0,$L211,1,1),IF(OFFSET('fantoma mama'!$A$5,0,$L211,1,1)="acr",Tabelas!$M$13:$N$17,Tabelas!$M$31:$N$35),2)))</f>
        <v>NPA</v>
      </c>
      <c r="E211" s="2628"/>
      <c r="F211" s="1765" t="str">
        <f ca="1">IF(D211="NPA","NR",IF(D211="Não visível","NC",IF(D211&gt;0.75,"NC","C")))</f>
        <v>NR</v>
      </c>
      <c r="G211" s="1774" t="str">
        <f ca="1">IF(OFFSET('fantoma mama'!$A$15,0,$L211,1,1)=0,"NPA",OFFSET('fantoma mama'!$A$15,0,$L211,1,1))</f>
        <v>NPA</v>
      </c>
      <c r="H211" s="1774" t="str">
        <f ca="1">IF(OFFSET('fantoma mama'!$A$16,0,$L211,1,1)=0,"NPA",OFFSET('fantoma mama'!$A$16,0,$L211,1,1))</f>
        <v>NPA</v>
      </c>
      <c r="I211" s="1769" t="str">
        <f t="shared" ca="1" si="6"/>
        <v>NA</v>
      </c>
      <c r="K211" s="1736" t="str">
        <f t="shared" ca="1" si="7"/>
        <v/>
      </c>
      <c r="L211" s="1778">
        <f>L208+1</f>
        <v>23</v>
      </c>
    </row>
    <row r="212" spans="1:12" x14ac:dyDescent="0.2">
      <c r="A212" s="1759">
        <f ca="1">A211</f>
        <v>46162</v>
      </c>
      <c r="B212" s="2621" t="s">
        <v>736</v>
      </c>
      <c r="C212" s="2622"/>
      <c r="D212" s="2622" t="str">
        <f ca="1">IF(OFFSET('fantoma mama'!$A$19,0,$L211,1,1)=0,"Não visível",IF(OFFSET('fantoma mama'!$A$19,0,$L211,1,1)="-","NPA",VLOOKUP(OFFSET('fantoma mama'!$A$19,0,$L211,1,1),IF(OFFSET('fantoma mama'!$A$5,0,$L211,1,1)="acr",Tabelas!$M$8:$N$12,Tabelas!$M$26:$N$30),2)))</f>
        <v>NPA</v>
      </c>
      <c r="E212" s="2622"/>
      <c r="F212" s="1765" t="str">
        <f ca="1">IF(D212="NPA","NR",IF(D212="Não visível","NC",IF(D212&gt;0.32,"NC","C")))</f>
        <v>NR</v>
      </c>
      <c r="G212" s="1771" t="str">
        <f ca="1">G211</f>
        <v>NPA</v>
      </c>
      <c r="H212" s="1771" t="str">
        <f ca="1">H211</f>
        <v>NPA</v>
      </c>
      <c r="I212" s="1772" t="str">
        <f t="shared" ca="1" si="6"/>
        <v>NA</v>
      </c>
      <c r="K212" s="1736" t="str">
        <f t="shared" ca="1" si="7"/>
        <v/>
      </c>
    </row>
    <row r="213" spans="1:12" x14ac:dyDescent="0.2">
      <c r="A213" s="1757">
        <f ca="1">A214</f>
        <v>46163</v>
      </c>
      <c r="B213" s="2625" t="s">
        <v>722</v>
      </c>
      <c r="C213" s="2626"/>
      <c r="D213" s="2626" t="str">
        <f ca="1">IF(OFFSET('fantoma mama'!$A$17,0,$L214,1,1)=0,"Não visível",IF(OFFSET('fantoma mama'!$A$17,0,$L214,1,1)="-","NPA",VLOOKUP(OFFSET('fantoma mama'!$A$17,0,$L214,1,1),IF(OFFSET('fantoma mama'!$A$5,0,$L214,1,1)="acr",Tabelas!$M$2:$N$7,Tabelas!$M$20:$N$25),2)))</f>
        <v>NPA</v>
      </c>
      <c r="E213" s="2626"/>
      <c r="F213" s="1766" t="str">
        <f ca="1">IF(D213="NPA","NR",IF(D213="Não visível","NC",IF(D213&gt;0.75,"NC","C")))</f>
        <v>NR</v>
      </c>
      <c r="G213" s="1767" t="str">
        <f ca="1">G214</f>
        <v>NPA</v>
      </c>
      <c r="H213" s="1767" t="str">
        <f ca="1">H214</f>
        <v>NPA</v>
      </c>
      <c r="I213" s="1768" t="str">
        <f t="shared" ca="1" si="6"/>
        <v>NA</v>
      </c>
      <c r="K213" s="1736" t="str">
        <f t="shared" ca="1" si="7"/>
        <v/>
      </c>
    </row>
    <row r="214" spans="1:12" x14ac:dyDescent="0.2">
      <c r="A214" s="1758">
        <f ca="1">IF(OFFSET('fantoma mama'!$A$4,0,$L214,1,1)=0,"",OFFSET('fantoma mama'!$A$4,0,$L214,1,1))</f>
        <v>46163</v>
      </c>
      <c r="B214" s="2627" t="s">
        <v>723</v>
      </c>
      <c r="C214" s="2628"/>
      <c r="D214" s="2628" t="str">
        <f ca="1">IF(OFFSET('fantoma mama'!$A$18,0,$L214,1,1)=0,"Não visível",IF(OFFSET('fantoma mama'!$A$18,0,$L214,1,1)="-","NPA",VLOOKUP(OFFSET('fantoma mama'!$A$18,0,$L214,1,1),IF(OFFSET('fantoma mama'!$A$5,0,$L214,1,1)="acr",Tabelas!$M$13:$N$17,Tabelas!$M$31:$N$35),2)))</f>
        <v>NPA</v>
      </c>
      <c r="E214" s="2628"/>
      <c r="F214" s="1765" t="str">
        <f ca="1">IF(D214="NPA","NR",IF(D214="Não visível","NC",IF(D214&gt;0.75,"NC","C")))</f>
        <v>NR</v>
      </c>
      <c r="G214" s="1774" t="str">
        <f ca="1">IF(OFFSET('fantoma mama'!$A$15,0,$L214,1,1)=0,"NPA",OFFSET('fantoma mama'!$A$15,0,$L214,1,1))</f>
        <v>NPA</v>
      </c>
      <c r="H214" s="1774" t="str">
        <f ca="1">IF(OFFSET('fantoma mama'!$A$16,0,$L214,1,1)=0,"NPA",OFFSET('fantoma mama'!$A$16,0,$L214,1,1))</f>
        <v>NPA</v>
      </c>
      <c r="I214" s="1769" t="str">
        <f t="shared" ca="1" si="6"/>
        <v>NA</v>
      </c>
      <c r="K214" s="1736" t="str">
        <f t="shared" ca="1" si="7"/>
        <v/>
      </c>
      <c r="L214" s="1778">
        <f>L211+1</f>
        <v>24</v>
      </c>
    </row>
    <row r="215" spans="1:12" x14ac:dyDescent="0.2">
      <c r="A215" s="1759">
        <f ca="1">A214</f>
        <v>46163</v>
      </c>
      <c r="B215" s="2621" t="s">
        <v>736</v>
      </c>
      <c r="C215" s="2622"/>
      <c r="D215" s="2622" t="str">
        <f ca="1">IF(OFFSET('fantoma mama'!$A$19,0,$L214,1,1)=0,"Não visível",IF(OFFSET('fantoma mama'!$A$19,0,$L214,1,1)="-","NPA",VLOOKUP(OFFSET('fantoma mama'!$A$19,0,$L214,1,1),IF(OFFSET('fantoma mama'!$A$5,0,$L214,1,1)="acr",Tabelas!$M$8:$N$12,Tabelas!$M$26:$N$30),2)))</f>
        <v>NPA</v>
      </c>
      <c r="E215" s="2622"/>
      <c r="F215" s="1765" t="str">
        <f ca="1">IF(D215="NPA","NR",IF(D215="Não visível","NC",IF(D215&gt;0.32,"NC","C")))</f>
        <v>NR</v>
      </c>
      <c r="G215" s="1771" t="str">
        <f ca="1">G214</f>
        <v>NPA</v>
      </c>
      <c r="H215" s="1771" t="str">
        <f ca="1">H214</f>
        <v>NPA</v>
      </c>
      <c r="I215" s="1772" t="str">
        <f t="shared" ca="1" si="6"/>
        <v>NA</v>
      </c>
      <c r="K215" s="1736" t="str">
        <f t="shared" ca="1" si="7"/>
        <v/>
      </c>
    </row>
    <row r="216" spans="1:12" x14ac:dyDescent="0.2">
      <c r="A216" s="1757">
        <f ca="1">A217</f>
        <v>46164</v>
      </c>
      <c r="B216" s="2625" t="s">
        <v>722</v>
      </c>
      <c r="C216" s="2626"/>
      <c r="D216" s="2626" t="str">
        <f ca="1">IF(OFFSET('fantoma mama'!$A$17,0,$L217,1,1)=0,"Não visível",IF(OFFSET('fantoma mama'!$A$17,0,$L217,1,1)="-","NPA",VLOOKUP(OFFSET('fantoma mama'!$A$17,0,$L217,1,1),IF(OFFSET('fantoma mama'!$A$5,0,$L217,1,1)="acr",Tabelas!$M$2:$N$7,Tabelas!$M$20:$N$25),2)))</f>
        <v>NPA</v>
      </c>
      <c r="E216" s="2626"/>
      <c r="F216" s="1766" t="str">
        <f ca="1">IF(D216="NPA","NR",IF(D216="Não visível","NC",IF(D216&gt;0.75,"NC","C")))</f>
        <v>NR</v>
      </c>
      <c r="G216" s="1767" t="str">
        <f ca="1">G217</f>
        <v>NPA</v>
      </c>
      <c r="H216" s="1767" t="str">
        <f ca="1">H217</f>
        <v>NPA</v>
      </c>
      <c r="I216" s="1768" t="str">
        <f t="shared" ca="1" si="6"/>
        <v>NA</v>
      </c>
      <c r="K216" s="1736" t="str">
        <f t="shared" ca="1" si="7"/>
        <v/>
      </c>
    </row>
    <row r="217" spans="1:12" x14ac:dyDescent="0.2">
      <c r="A217" s="1758">
        <f ca="1">IF(OFFSET('fantoma mama'!$A$4,0,$L217,1,1)=0,"",OFFSET('fantoma mama'!$A$4,0,$L217,1,1))</f>
        <v>46164</v>
      </c>
      <c r="B217" s="2627" t="s">
        <v>723</v>
      </c>
      <c r="C217" s="2628"/>
      <c r="D217" s="2628" t="str">
        <f ca="1">IF(OFFSET('fantoma mama'!$A$18,0,$L217,1,1)=0,"Não visível",IF(OFFSET('fantoma mama'!$A$18,0,$L217,1,1)="-","NPA",VLOOKUP(OFFSET('fantoma mama'!$A$18,0,$L217,1,1),IF(OFFSET('fantoma mama'!$A$5,0,$L217,1,1)="acr",Tabelas!$M$13:$N$17,Tabelas!$M$31:$N$35),2)))</f>
        <v>NPA</v>
      </c>
      <c r="E217" s="2628"/>
      <c r="F217" s="1765" t="str">
        <f ca="1">IF(D217="NPA","NR",IF(D217="Não visível","NC",IF(D217&gt;0.75,"NC","C")))</f>
        <v>NR</v>
      </c>
      <c r="G217" s="1774" t="str">
        <f ca="1">IF(OFFSET('fantoma mama'!$A$15,0,$L217,1,1)=0,"NPA",OFFSET('fantoma mama'!$A$15,0,$L217,1,1))</f>
        <v>NPA</v>
      </c>
      <c r="H217" s="1774" t="str">
        <f ca="1">IF(OFFSET('fantoma mama'!$A$16,0,$L217,1,1)=0,"NPA",OFFSET('fantoma mama'!$A$16,0,$L217,1,1))</f>
        <v>NPA</v>
      </c>
      <c r="I217" s="1769" t="str">
        <f t="shared" ca="1" si="6"/>
        <v>NA</v>
      </c>
      <c r="K217" s="1736" t="str">
        <f t="shared" ca="1" si="7"/>
        <v/>
      </c>
      <c r="L217" s="1778">
        <f>L214+1</f>
        <v>25</v>
      </c>
    </row>
    <row r="218" spans="1:12" x14ac:dyDescent="0.2">
      <c r="A218" s="1759">
        <f ca="1">A217</f>
        <v>46164</v>
      </c>
      <c r="B218" s="2621" t="s">
        <v>736</v>
      </c>
      <c r="C218" s="2622"/>
      <c r="D218" s="2622" t="str">
        <f ca="1">IF(OFFSET('fantoma mama'!$A$19,0,$L217,1,1)=0,"Não visível",IF(OFFSET('fantoma mama'!$A$19,0,$L217,1,1)="-","NPA",VLOOKUP(OFFSET('fantoma mama'!$A$19,0,$L217,1,1),IF(OFFSET('fantoma mama'!$A$5,0,$L217,1,1)="acr",Tabelas!$M$8:$N$12,Tabelas!$M$26:$N$30),2)))</f>
        <v>NPA</v>
      </c>
      <c r="E218" s="2622"/>
      <c r="F218" s="1765" t="str">
        <f ca="1">IF(D218="NPA","NR",IF(D218="Não visível","NC",IF(D218&gt;0.32,"NC","C")))</f>
        <v>NR</v>
      </c>
      <c r="G218" s="1771" t="str">
        <f ca="1">G217</f>
        <v>NPA</v>
      </c>
      <c r="H218" s="1771" t="str">
        <f ca="1">H217</f>
        <v>NPA</v>
      </c>
      <c r="I218" s="1772" t="str">
        <f t="shared" ca="1" si="6"/>
        <v>NA</v>
      </c>
      <c r="K218" s="1736" t="str">
        <f t="shared" ca="1" si="7"/>
        <v/>
      </c>
    </row>
    <row r="219" spans="1:12" ht="15" customHeight="1" x14ac:dyDescent="0.2">
      <c r="A219" s="2623" t="s">
        <v>1876</v>
      </c>
      <c r="B219" s="2623"/>
      <c r="C219" s="2623"/>
      <c r="D219" s="2623"/>
      <c r="E219" s="2623"/>
      <c r="F219" s="2623"/>
      <c r="G219" s="2623"/>
      <c r="H219" s="2623"/>
      <c r="I219" s="2623"/>
      <c r="K219" s="1736" t="str">
        <f>K143</f>
        <v>x</v>
      </c>
    </row>
    <row r="220" spans="1:12" x14ac:dyDescent="0.2">
      <c r="A220" s="2624"/>
      <c r="B220" s="2624"/>
      <c r="C220" s="2624"/>
      <c r="D220" s="2624"/>
      <c r="E220" s="2624"/>
      <c r="F220" s="2624"/>
      <c r="G220" s="2624"/>
      <c r="H220" s="2624"/>
      <c r="I220" s="2624"/>
      <c r="K220" s="1736" t="str">
        <f>K219</f>
        <v>x</v>
      </c>
    </row>
    <row r="221" spans="1:12" x14ac:dyDescent="0.2">
      <c r="K221" s="1736" t="str">
        <f>K222</f>
        <v>x</v>
      </c>
    </row>
    <row r="222" spans="1:12" ht="15.75" x14ac:dyDescent="0.25">
      <c r="A222" s="1742" t="str">
        <f>"Modo "&amp;IF('fantoma mama'!B21="s","Semiautomático","Automático")</f>
        <v>Modo Automático</v>
      </c>
      <c r="C222" s="1754"/>
      <c r="D222" s="1754"/>
      <c r="E222" s="1754"/>
      <c r="F222" s="1755"/>
      <c r="G222" s="1756"/>
      <c r="H222" s="1755"/>
      <c r="K222" s="1736" t="str">
        <f>IF(COUNTA('fantoma mama'!$B$15:$Z$16)&gt;0,"","x")</f>
        <v>x</v>
      </c>
    </row>
    <row r="223" spans="1:12" ht="15" customHeight="1" x14ac:dyDescent="0.2">
      <c r="A223" s="1762" t="s">
        <v>1873</v>
      </c>
      <c r="B223" s="2629" t="s">
        <v>1875</v>
      </c>
      <c r="C223" s="2629"/>
      <c r="D223" s="2630" t="s">
        <v>766</v>
      </c>
      <c r="E223" s="2630"/>
      <c r="F223" s="1760" t="s">
        <v>1874</v>
      </c>
      <c r="G223" s="1760" t="s">
        <v>0</v>
      </c>
      <c r="H223" s="1760" t="s">
        <v>1881</v>
      </c>
      <c r="I223" s="1761" t="str">
        <f>'fantoma mama'!$B$1</f>
        <v>IN 92</v>
      </c>
      <c r="K223" s="1736" t="str">
        <f>K222</f>
        <v>x</v>
      </c>
    </row>
    <row r="224" spans="1:12" x14ac:dyDescent="0.2">
      <c r="A224" s="1757">
        <f ca="1">A225</f>
        <v>46140</v>
      </c>
      <c r="B224" s="2625" t="s">
        <v>722</v>
      </c>
      <c r="C224" s="2626"/>
      <c r="D224" s="2626" t="str">
        <f ca="1">IF(OFFSET('fantoma mama'!$A$25,0,$L225,1,1)=0,"Não visível",IF(OFFSET('fantoma mama'!$A$25,0,$L225,1,1)="-","NPA",VLOOKUP(OFFSET('fantoma mama'!$A$25,0,$L225,1,1),IF(OFFSET('fantoma mama'!$A$5,0,$L225,1,1)="acr",Tabelas!$M$2:$N$7,Tabelas!$M$20:$N$25),2)))</f>
        <v>NPA</v>
      </c>
      <c r="E224" s="2626"/>
      <c r="F224" s="1773" t="str">
        <f ca="1">IF(D224="NPA","NR",IF(D224="Não visível","NC",IF(D224&gt;0.75,"NC","C")))</f>
        <v>NR</v>
      </c>
      <c r="G224" s="1767" t="str">
        <f ca="1">G225</f>
        <v>NPA</v>
      </c>
      <c r="H224" s="1767" t="str">
        <f ca="1">H225</f>
        <v>NPA</v>
      </c>
      <c r="I224" s="1768" t="str">
        <f t="shared" ref="I224:I226" ca="1" si="8">IF(F224="NC","Restrição",IF(F224="NR","NA","Sim"))</f>
        <v>NA</v>
      </c>
      <c r="K224" s="1736" t="str">
        <f ca="1">IF(A224="","x","")</f>
        <v/>
      </c>
      <c r="L224" s="1778" t="s">
        <v>1879</v>
      </c>
    </row>
    <row r="225" spans="1:12" x14ac:dyDescent="0.2">
      <c r="A225" s="1758">
        <f ca="1">IF(OFFSET('fantoma mama'!$A$4,0,$L225,1,1)=0,"",OFFSET('fantoma mama'!$A$4,0,$L225,1,1))</f>
        <v>46140</v>
      </c>
      <c r="B225" s="2627" t="s">
        <v>723</v>
      </c>
      <c r="C225" s="2628"/>
      <c r="D225" s="2628" t="str">
        <f ca="1">IF(OFFSET('fantoma mama'!$A$26,0,$L225,1,1)=0,"Não visível",IF(OFFSET('fantoma mama'!$A$26,0,$L225,1,1)="-","NPA",VLOOKUP(OFFSET('fantoma mama'!$A$26,0,$L225,1,1),IF(OFFSET('fantoma mama'!$A$5,0,$L225,1,1)="acr",Tabelas!$M$13:$N$17,Tabelas!$M$31:$N$35),2)))</f>
        <v>NPA</v>
      </c>
      <c r="E225" s="2628"/>
      <c r="F225" s="1774" t="str">
        <f ca="1">IF(D225="NPA","NR",IF(D225="Não visível","NC",IF(D225&gt;0.75,"NC","C")))</f>
        <v>NR</v>
      </c>
      <c r="G225" s="1774" t="str">
        <f ca="1">IF(OFFSET('fantoma mama'!$A$23,0,$L225,1,1)=0,"NPA",OFFSET('fantoma mama'!$A$23,0,$L225,1,1))</f>
        <v>NPA</v>
      </c>
      <c r="H225" s="1774" t="str">
        <f ca="1">IF(OFFSET('fantoma mama'!$A$24,0,$L225,1,1)=0,"NPA",OFFSET('fantoma mama'!$A$24,0,$L225,1,1)&amp;" / "&amp;OFFSET('fantoma mama'!$A$22,0,$L225,1,1))</f>
        <v>NPA</v>
      </c>
      <c r="I225" s="1769" t="str">
        <f t="shared" ca="1" si="8"/>
        <v>NA</v>
      </c>
      <c r="K225" s="1736" t="str">
        <f t="shared" ref="K225:K288" ca="1" si="9">IF(A225="","x","")</f>
        <v/>
      </c>
      <c r="L225" s="1778">
        <v>1</v>
      </c>
    </row>
    <row r="226" spans="1:12" x14ac:dyDescent="0.2">
      <c r="A226" s="1759">
        <f ca="1">A225</f>
        <v>46140</v>
      </c>
      <c r="B226" s="2621" t="s">
        <v>736</v>
      </c>
      <c r="C226" s="2622"/>
      <c r="D226" s="2622" t="str">
        <f ca="1">IF(OFFSET('fantoma mama'!$A$27,0,$L225,1,1)=0,"Não visível",IF(OFFSET('fantoma mama'!$A$27,0,$L225,1,1)="-","NPA",VLOOKUP(OFFSET('fantoma mama'!$A$27,0,$L225,1,1),IF(OFFSET('fantoma mama'!$A$5,0,$L225,1,1)="acr",Tabelas!$M$8:$N$12,Tabelas!$M$26:$N$30),2)))</f>
        <v>NPA</v>
      </c>
      <c r="E226" s="2622"/>
      <c r="F226" s="1774" t="str">
        <f ca="1">IF(D226="NPA","NR",IF(D226="Não visível","NC",IF(D226&gt;0.32,"NC","C")))</f>
        <v>NR</v>
      </c>
      <c r="G226" s="1771" t="str">
        <f ca="1">G225</f>
        <v>NPA</v>
      </c>
      <c r="H226" s="1771" t="str">
        <f ca="1">H225</f>
        <v>NPA</v>
      </c>
      <c r="I226" s="1772" t="str">
        <f t="shared" ca="1" si="8"/>
        <v>NA</v>
      </c>
      <c r="K226" s="1736" t="str">
        <f t="shared" ca="1" si="9"/>
        <v/>
      </c>
    </row>
    <row r="227" spans="1:12" x14ac:dyDescent="0.2">
      <c r="A227" s="1757">
        <f ca="1">A228</f>
        <v>46141</v>
      </c>
      <c r="B227" s="2625" t="s">
        <v>722</v>
      </c>
      <c r="C227" s="2626"/>
      <c r="D227" s="2626" t="str">
        <f ca="1">IF(OFFSET('fantoma mama'!$A$25,0,$L228,1,1)=0,"Não visível",IF(OFFSET('fantoma mama'!$A$25,0,$L228,1,1)="-","NPA",VLOOKUP(OFFSET('fantoma mama'!$A$25,0,$L228,1,1),IF(OFFSET('fantoma mama'!$A$5,0,$L228,1,1)="acr",Tabelas!$M$2:$N$7,Tabelas!$M$20:$N$25),2)))</f>
        <v>NPA</v>
      </c>
      <c r="E227" s="2626"/>
      <c r="F227" s="1773" t="str">
        <f ca="1">IF(D227="NPA","NR",IF(D227="Não visível","NC",IF(D227&gt;0.75,"NC","C")))</f>
        <v>NR</v>
      </c>
      <c r="G227" s="1767" t="str">
        <f ca="1">G228</f>
        <v>NPA</v>
      </c>
      <c r="H227" s="1767" t="str">
        <f ca="1">H228</f>
        <v>NPA</v>
      </c>
      <c r="I227" s="1768" t="str">
        <f t="shared" ref="I227:I241" ca="1" si="10">IF(F227="NC","Restrição",IF(F227="NR","NA","Sim"))</f>
        <v>NA</v>
      </c>
      <c r="K227" s="1736" t="str">
        <f t="shared" ca="1" si="9"/>
        <v/>
      </c>
    </row>
    <row r="228" spans="1:12" x14ac:dyDescent="0.2">
      <c r="A228" s="1758">
        <f ca="1">IF(OFFSET('fantoma mama'!$A$4,0,$L228,1,1)=0,"",OFFSET('fantoma mama'!$A$4,0,$L228,1,1))</f>
        <v>46141</v>
      </c>
      <c r="B228" s="2627" t="s">
        <v>723</v>
      </c>
      <c r="C228" s="2628"/>
      <c r="D228" s="2628" t="str">
        <f ca="1">IF(OFFSET('fantoma mama'!$A$26,0,$L228,1,1)=0,"Não visível",IF(OFFSET('fantoma mama'!$A$26,0,$L228,1,1)="-","NPA",VLOOKUP(OFFSET('fantoma mama'!$A$26,0,$L228,1,1),IF(OFFSET('fantoma mama'!$A$5,0,$L228,1,1)="acr",Tabelas!$M$13:$N$17,Tabelas!$M$31:$N$35),2)))</f>
        <v>NPA</v>
      </c>
      <c r="E228" s="2628"/>
      <c r="F228" s="1774" t="str">
        <f ca="1">IF(D228="NPA","NR",IF(D228="Não visível","NC",IF(D228&gt;0.75,"NC","C")))</f>
        <v>NR</v>
      </c>
      <c r="G228" s="1774" t="str">
        <f ca="1">IF(OFFSET('fantoma mama'!$A$23,0,$L228,1,1)=0,"NPA",OFFSET('fantoma mama'!$A$23,0,$L228,1,1))</f>
        <v>NPA</v>
      </c>
      <c r="H228" s="1774" t="str">
        <f ca="1">IF(OFFSET('fantoma mama'!$A$24,0,$L228,1,1)=0,"NPA",OFFSET('fantoma mama'!$A$24,0,$L228,1,1)&amp;" / "&amp;OFFSET('fantoma mama'!$A$22,0,$L228,1,1))</f>
        <v>NPA</v>
      </c>
      <c r="I228" s="1769" t="str">
        <f t="shared" ca="1" si="10"/>
        <v>NA</v>
      </c>
      <c r="K228" s="1736" t="str">
        <f t="shared" ca="1" si="9"/>
        <v/>
      </c>
      <c r="L228" s="1778">
        <f>L225+1</f>
        <v>2</v>
      </c>
    </row>
    <row r="229" spans="1:12" x14ac:dyDescent="0.2">
      <c r="A229" s="1759">
        <f ca="1">A228</f>
        <v>46141</v>
      </c>
      <c r="B229" s="2621" t="s">
        <v>736</v>
      </c>
      <c r="C229" s="2622"/>
      <c r="D229" s="2622" t="str">
        <f ca="1">IF(OFFSET('fantoma mama'!$A$27,0,$L228,1,1)=0,"Não visível",IF(OFFSET('fantoma mama'!$A$27,0,$L228,1,1)="-","NPA",VLOOKUP(OFFSET('fantoma mama'!$A$27,0,$L228,1,1),IF(OFFSET('fantoma mama'!$A$5,0,$L228,1,1)="acr",Tabelas!$M$8:$N$12,Tabelas!$M$26:$N$30),2)))</f>
        <v>NPA</v>
      </c>
      <c r="E229" s="2622"/>
      <c r="F229" s="1774" t="str">
        <f ca="1">IF(D229="NPA","NR",IF(D229="Não visível","NC",IF(D229&gt;0.32,"NC","C")))</f>
        <v>NR</v>
      </c>
      <c r="G229" s="1771" t="str">
        <f ca="1">G228</f>
        <v>NPA</v>
      </c>
      <c r="H229" s="1771" t="str">
        <f ca="1">H228</f>
        <v>NPA</v>
      </c>
      <c r="I229" s="1772" t="str">
        <f t="shared" ca="1" si="10"/>
        <v>NA</v>
      </c>
      <c r="K229" s="1736" t="str">
        <f t="shared" ca="1" si="9"/>
        <v/>
      </c>
    </row>
    <row r="230" spans="1:12" x14ac:dyDescent="0.2">
      <c r="A230" s="1757">
        <f ca="1">A231</f>
        <v>46142</v>
      </c>
      <c r="B230" s="2625" t="s">
        <v>722</v>
      </c>
      <c r="C230" s="2626"/>
      <c r="D230" s="2626" t="str">
        <f ca="1">IF(OFFSET('fantoma mama'!$A$25,0,$L231,1,1)=0,"Não visível",IF(OFFSET('fantoma mama'!$A$25,0,$L231,1,1)="-","NPA",VLOOKUP(OFFSET('fantoma mama'!$A$25,0,$L231,1,1),IF(OFFSET('fantoma mama'!$A$5,0,$L231,1,1)="acr",Tabelas!$M$2:$N$7,Tabelas!$M$20:$N$25),2)))</f>
        <v>NPA</v>
      </c>
      <c r="E230" s="2626"/>
      <c r="F230" s="1773" t="str">
        <f ca="1">IF(D230="NPA","NR",IF(D230="Não visível","NC",IF(D230&gt;0.75,"NC","C")))</f>
        <v>NR</v>
      </c>
      <c r="G230" s="1767" t="str">
        <f ca="1">G231</f>
        <v>NPA</v>
      </c>
      <c r="H230" s="1767" t="str">
        <f ca="1">H231</f>
        <v>NPA</v>
      </c>
      <c r="I230" s="1768" t="str">
        <f t="shared" ca="1" si="10"/>
        <v>NA</v>
      </c>
      <c r="K230" s="1736" t="str">
        <f t="shared" ca="1" si="9"/>
        <v/>
      </c>
    </row>
    <row r="231" spans="1:12" x14ac:dyDescent="0.2">
      <c r="A231" s="1758">
        <f ca="1">IF(OFFSET('fantoma mama'!$A$4,0,$L231,1,1)=0,"",OFFSET('fantoma mama'!$A$4,0,$L231,1,1))</f>
        <v>46142</v>
      </c>
      <c r="B231" s="2627" t="s">
        <v>723</v>
      </c>
      <c r="C231" s="2628"/>
      <c r="D231" s="2628" t="str">
        <f ca="1">IF(OFFSET('fantoma mama'!$A$26,0,$L231,1,1)=0,"Não visível",IF(OFFSET('fantoma mama'!$A$26,0,$L231,1,1)="-","NPA",VLOOKUP(OFFSET('fantoma mama'!$A$26,0,$L231,1,1),IF(OFFSET('fantoma mama'!$A$5,0,$L231,1,1)="acr",Tabelas!$M$13:$N$17,Tabelas!$M$31:$N$35),2)))</f>
        <v>NPA</v>
      </c>
      <c r="E231" s="2628"/>
      <c r="F231" s="1774" t="str">
        <f ca="1">IF(D231="NPA","NR",IF(D231="Não visível","NC",IF(D231&gt;0.75,"NC","C")))</f>
        <v>NR</v>
      </c>
      <c r="G231" s="1774" t="str">
        <f ca="1">IF(OFFSET('fantoma mama'!$A$23,0,$L231,1,1)=0,"NPA",OFFSET('fantoma mama'!$A$23,0,$L231,1,1))</f>
        <v>NPA</v>
      </c>
      <c r="H231" s="1774" t="str">
        <f ca="1">IF(OFFSET('fantoma mama'!$A$24,0,$L231,1,1)=0,"NPA",OFFSET('fantoma mama'!$A$24,0,$L231,1,1)&amp;" / "&amp;OFFSET('fantoma mama'!$A$22,0,$L231,1,1))</f>
        <v>NPA</v>
      </c>
      <c r="I231" s="1769" t="str">
        <f t="shared" ca="1" si="10"/>
        <v>NA</v>
      </c>
      <c r="K231" s="1736" t="str">
        <f t="shared" ca="1" si="9"/>
        <v/>
      </c>
      <c r="L231" s="1778">
        <f>L228+1</f>
        <v>3</v>
      </c>
    </row>
    <row r="232" spans="1:12" x14ac:dyDescent="0.2">
      <c r="A232" s="1759">
        <f ca="1">A231</f>
        <v>46142</v>
      </c>
      <c r="B232" s="2621" t="s">
        <v>736</v>
      </c>
      <c r="C232" s="2622"/>
      <c r="D232" s="2622" t="str">
        <f ca="1">IF(OFFSET('fantoma mama'!$A$27,0,$L231,1,1)=0,"Não visível",IF(OFFSET('fantoma mama'!$A$27,0,$L231,1,1)="-","NPA",VLOOKUP(OFFSET('fantoma mama'!$A$27,0,$L231,1,1),IF(OFFSET('fantoma mama'!$A$5,0,$L231,1,1)="acr",Tabelas!$M$8:$N$12,Tabelas!$M$26:$N$30),2)))</f>
        <v>NPA</v>
      </c>
      <c r="E232" s="2622"/>
      <c r="F232" s="1774" t="str">
        <f ca="1">IF(D232="NPA","NR",IF(D232="Não visível","NC",IF(D232&gt;0.32,"NC","C")))</f>
        <v>NR</v>
      </c>
      <c r="G232" s="1771" t="str">
        <f ca="1">G231</f>
        <v>NPA</v>
      </c>
      <c r="H232" s="1771" t="str">
        <f ca="1">H231</f>
        <v>NPA</v>
      </c>
      <c r="I232" s="1772" t="str">
        <f t="shared" ca="1" si="10"/>
        <v>NA</v>
      </c>
      <c r="K232" s="1736" t="str">
        <f t="shared" ca="1" si="9"/>
        <v/>
      </c>
    </row>
    <row r="233" spans="1:12" x14ac:dyDescent="0.2">
      <c r="A233" s="1757">
        <f ca="1">A234</f>
        <v>46143</v>
      </c>
      <c r="B233" s="2625" t="s">
        <v>722</v>
      </c>
      <c r="C233" s="2626"/>
      <c r="D233" s="2626" t="str">
        <f ca="1">IF(OFFSET('fantoma mama'!$A$25,0,$L234,1,1)=0,"Não visível",IF(OFFSET('fantoma mama'!$A$25,0,$L234,1,1)="-","NPA",VLOOKUP(OFFSET('fantoma mama'!$A$25,0,$L234,1,1),IF(OFFSET('fantoma mama'!$A$5,0,$L234,1,1)="acr",Tabelas!$M$2:$N$7,Tabelas!$M$20:$N$25),2)))</f>
        <v>NPA</v>
      </c>
      <c r="E233" s="2626"/>
      <c r="F233" s="1773" t="str">
        <f ca="1">IF(D233="NPA","NR",IF(D233="Não visível","NC",IF(D233&gt;0.75,"NC","C")))</f>
        <v>NR</v>
      </c>
      <c r="G233" s="1767" t="str">
        <f ca="1">G234</f>
        <v>NPA</v>
      </c>
      <c r="H233" s="1767" t="str">
        <f ca="1">H234</f>
        <v>NPA</v>
      </c>
      <c r="I233" s="1768" t="str">
        <f t="shared" ca="1" si="10"/>
        <v>NA</v>
      </c>
      <c r="K233" s="1736" t="str">
        <f t="shared" ca="1" si="9"/>
        <v/>
      </c>
    </row>
    <row r="234" spans="1:12" x14ac:dyDescent="0.2">
      <c r="A234" s="1758">
        <f ca="1">IF(OFFSET('fantoma mama'!$A$4,0,$L234,1,1)=0,"",OFFSET('fantoma mama'!$A$4,0,$L234,1,1))</f>
        <v>46143</v>
      </c>
      <c r="B234" s="2627" t="s">
        <v>723</v>
      </c>
      <c r="C234" s="2628"/>
      <c r="D234" s="2628" t="str">
        <f ca="1">IF(OFFSET('fantoma mama'!$A$26,0,$L234,1,1)=0,"Não visível",IF(OFFSET('fantoma mama'!$A$26,0,$L234,1,1)="-","NPA",VLOOKUP(OFFSET('fantoma mama'!$A$26,0,$L234,1,1),IF(OFFSET('fantoma mama'!$A$5,0,$L234,1,1)="acr",Tabelas!$M$13:$N$17,Tabelas!$M$31:$N$35),2)))</f>
        <v>NPA</v>
      </c>
      <c r="E234" s="2628"/>
      <c r="F234" s="1774" t="str">
        <f ca="1">IF(D234="NPA","NR",IF(D234="Não visível","NC",IF(D234&gt;0.75,"NC","C")))</f>
        <v>NR</v>
      </c>
      <c r="G234" s="1774" t="str">
        <f ca="1">IF(OFFSET('fantoma mama'!$A$23,0,$L234,1,1)=0,"NPA",OFFSET('fantoma mama'!$A$23,0,$L234,1,1))</f>
        <v>NPA</v>
      </c>
      <c r="H234" s="1774" t="str">
        <f ca="1">IF(OFFSET('fantoma mama'!$A$24,0,$L234,1,1)=0,"NPA",OFFSET('fantoma mama'!$A$24,0,$L234,1,1)&amp;" / "&amp;OFFSET('fantoma mama'!$A$22,0,$L234,1,1))</f>
        <v>NPA</v>
      </c>
      <c r="I234" s="1769" t="str">
        <f t="shared" ca="1" si="10"/>
        <v>NA</v>
      </c>
      <c r="K234" s="1736" t="str">
        <f t="shared" ca="1" si="9"/>
        <v/>
      </c>
      <c r="L234" s="1778">
        <f>L231+1</f>
        <v>4</v>
      </c>
    </row>
    <row r="235" spans="1:12" x14ac:dyDescent="0.2">
      <c r="A235" s="1759">
        <f ca="1">A234</f>
        <v>46143</v>
      </c>
      <c r="B235" s="2621" t="s">
        <v>736</v>
      </c>
      <c r="C235" s="2622"/>
      <c r="D235" s="2622" t="str">
        <f ca="1">IF(OFFSET('fantoma mama'!$A$27,0,$L234,1,1)=0,"Não visível",IF(OFFSET('fantoma mama'!$A$27,0,$L234,1,1)="-","NPA",VLOOKUP(OFFSET('fantoma mama'!$A$27,0,$L234,1,1),IF(OFFSET('fantoma mama'!$A$5,0,$L234,1,1)="acr",Tabelas!$M$8:$N$12,Tabelas!$M$26:$N$30),2)))</f>
        <v>NPA</v>
      </c>
      <c r="E235" s="2622"/>
      <c r="F235" s="1774" t="str">
        <f ca="1">IF(D235="NPA","NR",IF(D235="Não visível","NC",IF(D235&gt;0.32,"NC","C")))</f>
        <v>NR</v>
      </c>
      <c r="G235" s="1771" t="str">
        <f ca="1">G234</f>
        <v>NPA</v>
      </c>
      <c r="H235" s="1771" t="str">
        <f ca="1">H234</f>
        <v>NPA</v>
      </c>
      <c r="I235" s="1772" t="str">
        <f t="shared" ca="1" si="10"/>
        <v>NA</v>
      </c>
      <c r="K235" s="1736" t="str">
        <f t="shared" ca="1" si="9"/>
        <v/>
      </c>
    </row>
    <row r="236" spans="1:12" x14ac:dyDescent="0.2">
      <c r="A236" s="1757">
        <f ca="1">A237</f>
        <v>46144</v>
      </c>
      <c r="B236" s="2625" t="s">
        <v>722</v>
      </c>
      <c r="C236" s="2626"/>
      <c r="D236" s="2626" t="str">
        <f ca="1">IF(OFFSET('fantoma mama'!$A$25,0,$L237,1,1)=0,"Não visível",IF(OFFSET('fantoma mama'!$A$25,0,$L237,1,1)="-","NPA",VLOOKUP(OFFSET('fantoma mama'!$A$25,0,$L237,1,1),IF(OFFSET('fantoma mama'!$A$5,0,$L237,1,1)="acr",Tabelas!$M$2:$N$7,Tabelas!$M$20:$N$25),2)))</f>
        <v>NPA</v>
      </c>
      <c r="E236" s="2626"/>
      <c r="F236" s="1773" t="str">
        <f ca="1">IF(D236="NPA","NR",IF(D236="Não visível","NC",IF(D236&gt;0.75,"NC","C")))</f>
        <v>NR</v>
      </c>
      <c r="G236" s="1767" t="str">
        <f ca="1">G237</f>
        <v>NPA</v>
      </c>
      <c r="H236" s="1767" t="str">
        <f ca="1">H237</f>
        <v>NPA</v>
      </c>
      <c r="I236" s="1768" t="str">
        <f t="shared" ca="1" si="10"/>
        <v>NA</v>
      </c>
      <c r="K236" s="1736" t="str">
        <f t="shared" ca="1" si="9"/>
        <v/>
      </c>
    </row>
    <row r="237" spans="1:12" x14ac:dyDescent="0.2">
      <c r="A237" s="1758">
        <f ca="1">IF(OFFSET('fantoma mama'!$A$4,0,$L237,1,1)=0,"",OFFSET('fantoma mama'!$A$4,0,$L237,1,1))</f>
        <v>46144</v>
      </c>
      <c r="B237" s="2627" t="s">
        <v>723</v>
      </c>
      <c r="C237" s="2628"/>
      <c r="D237" s="2628" t="str">
        <f ca="1">IF(OFFSET('fantoma mama'!$A$26,0,$L237,1,1)=0,"Não visível",IF(OFFSET('fantoma mama'!$A$26,0,$L237,1,1)="-","NPA",VLOOKUP(OFFSET('fantoma mama'!$A$26,0,$L237,1,1),IF(OFFSET('fantoma mama'!$A$5,0,$L237,1,1)="acr",Tabelas!$M$13:$N$17,Tabelas!$M$31:$N$35),2)))</f>
        <v>NPA</v>
      </c>
      <c r="E237" s="2628"/>
      <c r="F237" s="1774" t="str">
        <f ca="1">IF(D237="NPA","NR",IF(D237="Não visível","NC",IF(D237&gt;0.75,"NC","C")))</f>
        <v>NR</v>
      </c>
      <c r="G237" s="1774" t="str">
        <f ca="1">IF(OFFSET('fantoma mama'!$A$23,0,$L237,1,1)=0,"NPA",OFFSET('fantoma mama'!$A$23,0,$L237,1,1))</f>
        <v>NPA</v>
      </c>
      <c r="H237" s="1774" t="str">
        <f ca="1">IF(OFFSET('fantoma mama'!$A$24,0,$L237,1,1)=0,"NPA",OFFSET('fantoma mama'!$A$24,0,$L237,1,1)&amp;" / "&amp;OFFSET('fantoma mama'!$A$22,0,$L237,1,1))</f>
        <v>NPA</v>
      </c>
      <c r="I237" s="1769" t="str">
        <f t="shared" ca="1" si="10"/>
        <v>NA</v>
      </c>
      <c r="K237" s="1736" t="str">
        <f t="shared" ca="1" si="9"/>
        <v/>
      </c>
      <c r="L237" s="1778">
        <f>L234+1</f>
        <v>5</v>
      </c>
    </row>
    <row r="238" spans="1:12" x14ac:dyDescent="0.2">
      <c r="A238" s="1759">
        <f ca="1">A237</f>
        <v>46144</v>
      </c>
      <c r="B238" s="2621" t="s">
        <v>736</v>
      </c>
      <c r="C238" s="2622"/>
      <c r="D238" s="2622" t="str">
        <f ca="1">IF(OFFSET('fantoma mama'!$A$27,0,$L237,1,1)=0,"Não visível",IF(OFFSET('fantoma mama'!$A$27,0,$L237,1,1)="-","NPA",VLOOKUP(OFFSET('fantoma mama'!$A$27,0,$L237,1,1),IF(OFFSET('fantoma mama'!$A$5,0,$L237,1,1)="acr",Tabelas!$M$8:$N$12,Tabelas!$M$26:$N$30),2)))</f>
        <v>NPA</v>
      </c>
      <c r="E238" s="2622"/>
      <c r="F238" s="1774" t="str">
        <f ca="1">IF(D238="NPA","NR",IF(D238="Não visível","NC",IF(D238&gt;0.32,"NC","C")))</f>
        <v>NR</v>
      </c>
      <c r="G238" s="1771" t="str">
        <f ca="1">G237</f>
        <v>NPA</v>
      </c>
      <c r="H238" s="1771" t="str">
        <f ca="1">H237</f>
        <v>NPA</v>
      </c>
      <c r="I238" s="1772" t="str">
        <f t="shared" ca="1" si="10"/>
        <v>NA</v>
      </c>
      <c r="K238" s="1736" t="str">
        <f t="shared" ca="1" si="9"/>
        <v/>
      </c>
    </row>
    <row r="239" spans="1:12" x14ac:dyDescent="0.2">
      <c r="A239" s="1757">
        <f ca="1">A240</f>
        <v>46145</v>
      </c>
      <c r="B239" s="2625" t="s">
        <v>722</v>
      </c>
      <c r="C239" s="2626"/>
      <c r="D239" s="2626" t="str">
        <f ca="1">IF(OFFSET('fantoma mama'!$A$25,0,$L240,1,1)=0,"Não visível",IF(OFFSET('fantoma mama'!$A$25,0,$L240,1,1)="-","NPA",VLOOKUP(OFFSET('fantoma mama'!$A$25,0,$L240,1,1),IF(OFFSET('fantoma mama'!$A$5,0,$L240,1,1)="acr",Tabelas!$M$2:$N$7,Tabelas!$M$20:$N$25),2)))</f>
        <v>NPA</v>
      </c>
      <c r="E239" s="2626"/>
      <c r="F239" s="1773" t="str">
        <f ca="1">IF(D239="NPA","NR",IF(D239="Não visível","NC",IF(D239&gt;0.75,"NC","C")))</f>
        <v>NR</v>
      </c>
      <c r="G239" s="1767" t="str">
        <f ca="1">G240</f>
        <v>NPA</v>
      </c>
      <c r="H239" s="1767" t="str">
        <f ca="1">H240</f>
        <v>NPA</v>
      </c>
      <c r="I239" s="1768" t="str">
        <f t="shared" ca="1" si="10"/>
        <v>NA</v>
      </c>
      <c r="K239" s="1736" t="str">
        <f t="shared" ca="1" si="9"/>
        <v/>
      </c>
    </row>
    <row r="240" spans="1:12" x14ac:dyDescent="0.2">
      <c r="A240" s="1758">
        <f ca="1">IF(OFFSET('fantoma mama'!$A$4,0,$L240,1,1)=0,"",OFFSET('fantoma mama'!$A$4,0,$L240,1,1))</f>
        <v>46145</v>
      </c>
      <c r="B240" s="2627" t="s">
        <v>723</v>
      </c>
      <c r="C240" s="2628"/>
      <c r="D240" s="2628" t="str">
        <f ca="1">IF(OFFSET('fantoma mama'!$A$26,0,$L240,1,1)=0,"Não visível",IF(OFFSET('fantoma mama'!$A$26,0,$L240,1,1)="-","NPA",VLOOKUP(OFFSET('fantoma mama'!$A$26,0,$L240,1,1),IF(OFFSET('fantoma mama'!$A$5,0,$L240,1,1)="acr",Tabelas!$M$13:$N$17,Tabelas!$M$31:$N$35),2)))</f>
        <v>NPA</v>
      </c>
      <c r="E240" s="2628"/>
      <c r="F240" s="1774" t="str">
        <f ca="1">IF(D240="NPA","NR",IF(D240="Não visível","NC",IF(D240&gt;0.75,"NC","C")))</f>
        <v>NR</v>
      </c>
      <c r="G240" s="1774" t="str">
        <f ca="1">IF(OFFSET('fantoma mama'!$A$23,0,$L240,1,1)=0,"NPA",OFFSET('fantoma mama'!$A$23,0,$L240,1,1))</f>
        <v>NPA</v>
      </c>
      <c r="H240" s="1774" t="str">
        <f ca="1">IF(OFFSET('fantoma mama'!$A$24,0,$L240,1,1)=0,"NPA",OFFSET('fantoma mama'!$A$24,0,$L240,1,1)&amp;" / "&amp;OFFSET('fantoma mama'!$A$22,0,$L240,1,1))</f>
        <v>NPA</v>
      </c>
      <c r="I240" s="1769" t="str">
        <f t="shared" ca="1" si="10"/>
        <v>NA</v>
      </c>
      <c r="K240" s="1736" t="str">
        <f t="shared" ca="1" si="9"/>
        <v/>
      </c>
      <c r="L240" s="1778">
        <f>L237+1</f>
        <v>6</v>
      </c>
    </row>
    <row r="241" spans="1:12" x14ac:dyDescent="0.2">
      <c r="A241" s="1759">
        <f ca="1">A240</f>
        <v>46145</v>
      </c>
      <c r="B241" s="2621" t="s">
        <v>736</v>
      </c>
      <c r="C241" s="2622"/>
      <c r="D241" s="2622" t="str">
        <f ca="1">IF(OFFSET('fantoma mama'!$A$27,0,$L240,1,1)=0,"Não visível",IF(OFFSET('fantoma mama'!$A$27,0,$L240,1,1)="-","NPA",VLOOKUP(OFFSET('fantoma mama'!$A$27,0,$L240,1,1),IF(OFFSET('fantoma mama'!$A$5,0,$L240,1,1)="acr",Tabelas!$M$8:$N$12,Tabelas!$M$26:$N$30),2)))</f>
        <v>NPA</v>
      </c>
      <c r="E241" s="2622"/>
      <c r="F241" s="1774" t="str">
        <f ca="1">IF(D241="NPA","NR",IF(D241="Não visível","NC",IF(D241&gt;0.32,"NC","C")))</f>
        <v>NR</v>
      </c>
      <c r="G241" s="1771" t="str">
        <f ca="1">G240</f>
        <v>NPA</v>
      </c>
      <c r="H241" s="1771" t="str">
        <f ca="1">H240</f>
        <v>NPA</v>
      </c>
      <c r="I241" s="1772" t="str">
        <f t="shared" ca="1" si="10"/>
        <v>NA</v>
      </c>
      <c r="K241" s="1736" t="str">
        <f t="shared" ca="1" si="9"/>
        <v/>
      </c>
    </row>
    <row r="242" spans="1:12" x14ac:dyDescent="0.2">
      <c r="A242" s="1757">
        <f ca="1">A243</f>
        <v>46146</v>
      </c>
      <c r="B242" s="2625" t="s">
        <v>722</v>
      </c>
      <c r="C242" s="2626"/>
      <c r="D242" s="2626" t="str">
        <f ca="1">IF(OFFSET('fantoma mama'!$A$25,0,$L243,1,1)=0,"Não visível",IF(OFFSET('fantoma mama'!$A$25,0,$L243,1,1)="-","NPA",VLOOKUP(OFFSET('fantoma mama'!$A$25,0,$L243,1,1),IF(OFFSET('fantoma mama'!$A$5,0,$L243,1,1)="acr",Tabelas!$M$2:$N$7,Tabelas!$M$20:$N$25),2)))</f>
        <v>NPA</v>
      </c>
      <c r="E242" s="2626"/>
      <c r="F242" s="1773" t="str">
        <f ca="1">IF(D242="NPA","NR",IF(D242="Não visível","NC",IF(D242&gt;0.75,"NC","C")))</f>
        <v>NR</v>
      </c>
      <c r="G242" s="1767" t="str">
        <f ca="1">G243</f>
        <v>NPA</v>
      </c>
      <c r="H242" s="1767" t="str">
        <f ca="1">H243</f>
        <v>NPA</v>
      </c>
      <c r="I242" s="1768" t="str">
        <f t="shared" ref="I242:I298" ca="1" si="11">IF(F242="NC","Restrição",IF(F242="NR","NA","Sim"))</f>
        <v>NA</v>
      </c>
      <c r="K242" s="1736" t="str">
        <f t="shared" ca="1" si="9"/>
        <v/>
      </c>
    </row>
    <row r="243" spans="1:12" x14ac:dyDescent="0.2">
      <c r="A243" s="1758">
        <f ca="1">IF(OFFSET('fantoma mama'!$A$4,0,$L243,1,1)=0,"",OFFSET('fantoma mama'!$A$4,0,$L243,1,1))</f>
        <v>46146</v>
      </c>
      <c r="B243" s="2627" t="s">
        <v>723</v>
      </c>
      <c r="C243" s="2628"/>
      <c r="D243" s="2628" t="str">
        <f ca="1">IF(OFFSET('fantoma mama'!$A$26,0,$L243,1,1)=0,"Não visível",IF(OFFSET('fantoma mama'!$A$26,0,$L243,1,1)="-","NPA",VLOOKUP(OFFSET('fantoma mama'!$A$26,0,$L243,1,1),IF(OFFSET('fantoma mama'!$A$5,0,$L243,1,1)="acr",Tabelas!$M$13:$N$17,Tabelas!$M$31:$N$35),2)))</f>
        <v>NPA</v>
      </c>
      <c r="E243" s="2628"/>
      <c r="F243" s="1774" t="str">
        <f ca="1">IF(D243="NPA","NR",IF(D243="Não visível","NC",IF(D243&gt;0.75,"NC","C")))</f>
        <v>NR</v>
      </c>
      <c r="G243" s="1774" t="str">
        <f ca="1">IF(OFFSET('fantoma mama'!$A$23,0,$L243,1,1)=0,"NPA",OFFSET('fantoma mama'!$A$23,0,$L243,1,1))</f>
        <v>NPA</v>
      </c>
      <c r="H243" s="1774" t="str">
        <f ca="1">IF(OFFSET('fantoma mama'!$A$24,0,$L243,1,1)=0,"NPA",OFFSET('fantoma mama'!$A$24,0,$L243,1,1)&amp;" / "&amp;OFFSET('fantoma mama'!$A$22,0,$L243,1,1))</f>
        <v>NPA</v>
      </c>
      <c r="I243" s="1769" t="str">
        <f t="shared" ca="1" si="11"/>
        <v>NA</v>
      </c>
      <c r="K243" s="1736" t="str">
        <f t="shared" ca="1" si="9"/>
        <v/>
      </c>
      <c r="L243" s="1778">
        <f>L240+1</f>
        <v>7</v>
      </c>
    </row>
    <row r="244" spans="1:12" x14ac:dyDescent="0.2">
      <c r="A244" s="1759">
        <f ca="1">A243</f>
        <v>46146</v>
      </c>
      <c r="B244" s="2621" t="s">
        <v>736</v>
      </c>
      <c r="C244" s="2622"/>
      <c r="D244" s="2622" t="str">
        <f ca="1">IF(OFFSET('fantoma mama'!$A$27,0,$L243,1,1)=0,"Não visível",IF(OFFSET('fantoma mama'!$A$27,0,$L243,1,1)="-","NPA",VLOOKUP(OFFSET('fantoma mama'!$A$27,0,$L243,1,1),IF(OFFSET('fantoma mama'!$A$5,0,$L243,1,1)="acr",Tabelas!$M$8:$N$12,Tabelas!$M$26:$N$30),2)))</f>
        <v>NPA</v>
      </c>
      <c r="E244" s="2622"/>
      <c r="F244" s="1774" t="str">
        <f ca="1">IF(D244="NPA","NR",IF(D244="Não visível","NC",IF(D244&gt;0.32,"NC","C")))</f>
        <v>NR</v>
      </c>
      <c r="G244" s="1771" t="str">
        <f ca="1">G243</f>
        <v>NPA</v>
      </c>
      <c r="H244" s="1771" t="str">
        <f ca="1">H243</f>
        <v>NPA</v>
      </c>
      <c r="I244" s="1772" t="str">
        <f t="shared" ca="1" si="11"/>
        <v>NA</v>
      </c>
      <c r="K244" s="1736" t="str">
        <f t="shared" ca="1" si="9"/>
        <v/>
      </c>
    </row>
    <row r="245" spans="1:12" x14ac:dyDescent="0.2">
      <c r="A245" s="1757">
        <f ca="1">A246</f>
        <v>46147</v>
      </c>
      <c r="B245" s="2625" t="s">
        <v>722</v>
      </c>
      <c r="C245" s="2626"/>
      <c r="D245" s="2626" t="str">
        <f ca="1">IF(OFFSET('fantoma mama'!$A$25,0,$L246,1,1)=0,"Não visível",IF(OFFSET('fantoma mama'!$A$25,0,$L246,1,1)="-","NPA",VLOOKUP(OFFSET('fantoma mama'!$A$25,0,$L246,1,1),IF(OFFSET('fantoma mama'!$A$5,0,$L246,1,1)="acr",Tabelas!$M$2:$N$7,Tabelas!$M$20:$N$25),2)))</f>
        <v>NPA</v>
      </c>
      <c r="E245" s="2626"/>
      <c r="F245" s="1773" t="str">
        <f ca="1">IF(D245="NPA","NR",IF(D245="Não visível","NC",IF(D245&gt;0.75,"NC","C")))</f>
        <v>NR</v>
      </c>
      <c r="G245" s="1767" t="str">
        <f ca="1">G246</f>
        <v>NPA</v>
      </c>
      <c r="H245" s="1767" t="str">
        <f ca="1">H246</f>
        <v>NPA</v>
      </c>
      <c r="I245" s="1768" t="str">
        <f t="shared" ca="1" si="11"/>
        <v>NA</v>
      </c>
      <c r="K245" s="1736" t="str">
        <f t="shared" ca="1" si="9"/>
        <v/>
      </c>
    </row>
    <row r="246" spans="1:12" x14ac:dyDescent="0.2">
      <c r="A246" s="1758">
        <f ca="1">IF(OFFSET('fantoma mama'!$A$4,0,$L246,1,1)=0,"",OFFSET('fantoma mama'!$A$4,0,$L246,1,1))</f>
        <v>46147</v>
      </c>
      <c r="B246" s="2627" t="s">
        <v>723</v>
      </c>
      <c r="C246" s="2628"/>
      <c r="D246" s="2628" t="str">
        <f ca="1">IF(OFFSET('fantoma mama'!$A$26,0,$L246,1,1)=0,"Não visível",IF(OFFSET('fantoma mama'!$A$26,0,$L246,1,1)="-","NPA",VLOOKUP(OFFSET('fantoma mama'!$A$26,0,$L246,1,1),IF(OFFSET('fantoma mama'!$A$5,0,$L246,1,1)="acr",Tabelas!$M$13:$N$17,Tabelas!$M$31:$N$35),2)))</f>
        <v>NPA</v>
      </c>
      <c r="E246" s="2628"/>
      <c r="F246" s="1774" t="str">
        <f ca="1">IF(D246="NPA","NR",IF(D246="Não visível","NC",IF(D246&gt;0.75,"NC","C")))</f>
        <v>NR</v>
      </c>
      <c r="G246" s="1774" t="str">
        <f ca="1">IF(OFFSET('fantoma mama'!$A$23,0,$L246,1,1)=0,"NPA",OFFSET('fantoma mama'!$A$23,0,$L246,1,1))</f>
        <v>NPA</v>
      </c>
      <c r="H246" s="1774" t="str">
        <f ca="1">IF(OFFSET('fantoma mama'!$A$24,0,$L246,1,1)=0,"NPA",OFFSET('fantoma mama'!$A$24,0,$L246,1,1)&amp;" / "&amp;OFFSET('fantoma mama'!$A$22,0,$L246,1,1))</f>
        <v>NPA</v>
      </c>
      <c r="I246" s="1769" t="str">
        <f t="shared" ca="1" si="11"/>
        <v>NA</v>
      </c>
      <c r="K246" s="1736" t="str">
        <f t="shared" ca="1" si="9"/>
        <v/>
      </c>
      <c r="L246" s="1778">
        <f>L243+1</f>
        <v>8</v>
      </c>
    </row>
    <row r="247" spans="1:12" x14ac:dyDescent="0.2">
      <c r="A247" s="1759">
        <f ca="1">A246</f>
        <v>46147</v>
      </c>
      <c r="B247" s="2621" t="s">
        <v>736</v>
      </c>
      <c r="C247" s="2622"/>
      <c r="D247" s="2622" t="str">
        <f ca="1">IF(OFFSET('fantoma mama'!$A$27,0,$L246,1,1)=0,"Não visível",IF(OFFSET('fantoma mama'!$A$27,0,$L246,1,1)="-","NPA",VLOOKUP(OFFSET('fantoma mama'!$A$27,0,$L246,1,1),IF(OFFSET('fantoma mama'!$A$5,0,$L246,1,1)="acr",Tabelas!$M$8:$N$12,Tabelas!$M$26:$N$30),2)))</f>
        <v>NPA</v>
      </c>
      <c r="E247" s="2622"/>
      <c r="F247" s="1774" t="str">
        <f ca="1">IF(D247="NPA","NR",IF(D247="Não visível","NC",IF(D247&gt;0.32,"NC","C")))</f>
        <v>NR</v>
      </c>
      <c r="G247" s="1771" t="str">
        <f ca="1">G246</f>
        <v>NPA</v>
      </c>
      <c r="H247" s="1771" t="str">
        <f ca="1">H246</f>
        <v>NPA</v>
      </c>
      <c r="I247" s="1772" t="str">
        <f t="shared" ca="1" si="11"/>
        <v>NA</v>
      </c>
      <c r="K247" s="1736" t="str">
        <f t="shared" ca="1" si="9"/>
        <v/>
      </c>
    </row>
    <row r="248" spans="1:12" x14ac:dyDescent="0.2">
      <c r="A248" s="1757">
        <f ca="1">A249</f>
        <v>46148</v>
      </c>
      <c r="B248" s="2625" t="s">
        <v>722</v>
      </c>
      <c r="C248" s="2626"/>
      <c r="D248" s="2626" t="str">
        <f ca="1">IF(OFFSET('fantoma mama'!$A$25,0,$L249,1,1)=0,"Não visível",IF(OFFSET('fantoma mama'!$A$25,0,$L249,1,1)="-","NPA",VLOOKUP(OFFSET('fantoma mama'!$A$25,0,$L249,1,1),IF(OFFSET('fantoma mama'!$A$5,0,$L249,1,1)="acr",Tabelas!$M$2:$N$7,Tabelas!$M$20:$N$25),2)))</f>
        <v>NPA</v>
      </c>
      <c r="E248" s="2626"/>
      <c r="F248" s="1773" t="str">
        <f ca="1">IF(D248="NPA","NR",IF(D248="Não visível","NC",IF(D248&gt;0.75,"NC","C")))</f>
        <v>NR</v>
      </c>
      <c r="G248" s="1767" t="str">
        <f ca="1">G249</f>
        <v>NPA</v>
      </c>
      <c r="H248" s="1767" t="str">
        <f ca="1">H249</f>
        <v>NPA</v>
      </c>
      <c r="I248" s="1768" t="str">
        <f t="shared" ca="1" si="11"/>
        <v>NA</v>
      </c>
      <c r="K248" s="1736" t="str">
        <f t="shared" ca="1" si="9"/>
        <v/>
      </c>
    </row>
    <row r="249" spans="1:12" x14ac:dyDescent="0.2">
      <c r="A249" s="1758">
        <f ca="1">IF(OFFSET('fantoma mama'!$A$4,0,$L249,1,1)=0,"",OFFSET('fantoma mama'!$A$4,0,$L249,1,1))</f>
        <v>46148</v>
      </c>
      <c r="B249" s="2627" t="s">
        <v>723</v>
      </c>
      <c r="C249" s="2628"/>
      <c r="D249" s="2628" t="str">
        <f ca="1">IF(OFFSET('fantoma mama'!$A$26,0,$L249,1,1)=0,"Não visível",IF(OFFSET('fantoma mama'!$A$26,0,$L249,1,1)="-","NPA",VLOOKUP(OFFSET('fantoma mama'!$A$26,0,$L249,1,1),IF(OFFSET('fantoma mama'!$A$5,0,$L249,1,1)="acr",Tabelas!$M$13:$N$17,Tabelas!$M$31:$N$35),2)))</f>
        <v>NPA</v>
      </c>
      <c r="E249" s="2628"/>
      <c r="F249" s="1774" t="str">
        <f ca="1">IF(D249="NPA","NR",IF(D249="Não visível","NC",IF(D249&gt;0.75,"NC","C")))</f>
        <v>NR</v>
      </c>
      <c r="G249" s="1774" t="str">
        <f ca="1">IF(OFFSET('fantoma mama'!$A$23,0,$L249,1,1)=0,"NPA",OFFSET('fantoma mama'!$A$23,0,$L249,1,1))</f>
        <v>NPA</v>
      </c>
      <c r="H249" s="1774" t="str">
        <f ca="1">IF(OFFSET('fantoma mama'!$A$24,0,$L249,1,1)=0,"NPA",OFFSET('fantoma mama'!$A$24,0,$L249,1,1)&amp;" / "&amp;OFFSET('fantoma mama'!$A$22,0,$L249,1,1))</f>
        <v>NPA</v>
      </c>
      <c r="I249" s="1769" t="str">
        <f t="shared" ca="1" si="11"/>
        <v>NA</v>
      </c>
      <c r="K249" s="1736" t="str">
        <f t="shared" ca="1" si="9"/>
        <v/>
      </c>
      <c r="L249" s="1778">
        <f>L246+1</f>
        <v>9</v>
      </c>
    </row>
    <row r="250" spans="1:12" x14ac:dyDescent="0.2">
      <c r="A250" s="1759">
        <f ca="1">A249</f>
        <v>46148</v>
      </c>
      <c r="B250" s="2621" t="s">
        <v>736</v>
      </c>
      <c r="C250" s="2622"/>
      <c r="D250" s="2622" t="str">
        <f ca="1">IF(OFFSET('fantoma mama'!$A$27,0,$L249,1,1)=0,"Não visível",IF(OFFSET('fantoma mama'!$A$27,0,$L249,1,1)="-","NPA",VLOOKUP(OFFSET('fantoma mama'!$A$27,0,$L249,1,1),IF(OFFSET('fantoma mama'!$A$5,0,$L249,1,1)="acr",Tabelas!$M$8:$N$12,Tabelas!$M$26:$N$30),2)))</f>
        <v>NPA</v>
      </c>
      <c r="E250" s="2622"/>
      <c r="F250" s="1774" t="str">
        <f ca="1">IF(D250="NPA","NR",IF(D250="Não visível","NC",IF(D250&gt;0.32,"NC","C")))</f>
        <v>NR</v>
      </c>
      <c r="G250" s="1771" t="str">
        <f ca="1">G249</f>
        <v>NPA</v>
      </c>
      <c r="H250" s="1771" t="str">
        <f ca="1">H249</f>
        <v>NPA</v>
      </c>
      <c r="I250" s="1772" t="str">
        <f t="shared" ca="1" si="11"/>
        <v>NA</v>
      </c>
      <c r="K250" s="1736" t="str">
        <f t="shared" ca="1" si="9"/>
        <v/>
      </c>
    </row>
    <row r="251" spans="1:12" x14ac:dyDescent="0.2">
      <c r="A251" s="1757">
        <f ca="1">A252</f>
        <v>46149</v>
      </c>
      <c r="B251" s="2625" t="s">
        <v>722</v>
      </c>
      <c r="C251" s="2626"/>
      <c r="D251" s="2626" t="str">
        <f ca="1">IF(OFFSET('fantoma mama'!$A$25,0,$L252,1,1)=0,"Não visível",IF(OFFSET('fantoma mama'!$A$25,0,$L252,1,1)="-","NPA",VLOOKUP(OFFSET('fantoma mama'!$A$25,0,$L252,1,1),IF(OFFSET('fantoma mama'!$A$5,0,$L252,1,1)="acr",Tabelas!$M$2:$N$7,Tabelas!$M$20:$N$25),2)))</f>
        <v>NPA</v>
      </c>
      <c r="E251" s="2626"/>
      <c r="F251" s="1773" t="str">
        <f ca="1">IF(D251="NPA","NR",IF(D251="Não visível","NC",IF(D251&gt;0.75,"NC","C")))</f>
        <v>NR</v>
      </c>
      <c r="G251" s="1767" t="str">
        <f ca="1">G252</f>
        <v>NPA</v>
      </c>
      <c r="H251" s="1767" t="str">
        <f ca="1">H252</f>
        <v>NPA</v>
      </c>
      <c r="I251" s="1768" t="str">
        <f t="shared" ca="1" si="11"/>
        <v>NA</v>
      </c>
      <c r="K251" s="1736" t="str">
        <f t="shared" ca="1" si="9"/>
        <v/>
      </c>
    </row>
    <row r="252" spans="1:12" x14ac:dyDescent="0.2">
      <c r="A252" s="1758">
        <f ca="1">IF(OFFSET('fantoma mama'!$A$4,0,$L252,1,1)=0,"",OFFSET('fantoma mama'!$A$4,0,$L252,1,1))</f>
        <v>46149</v>
      </c>
      <c r="B252" s="2627" t="s">
        <v>723</v>
      </c>
      <c r="C252" s="2628"/>
      <c r="D252" s="2628" t="str">
        <f ca="1">IF(OFFSET('fantoma mama'!$A$26,0,$L252,1,1)=0,"Não visível",IF(OFFSET('fantoma mama'!$A$26,0,$L252,1,1)="-","NPA",VLOOKUP(OFFSET('fantoma mama'!$A$26,0,$L252,1,1),IF(OFFSET('fantoma mama'!$A$5,0,$L252,1,1)="acr",Tabelas!$M$13:$N$17,Tabelas!$M$31:$N$35),2)))</f>
        <v>NPA</v>
      </c>
      <c r="E252" s="2628"/>
      <c r="F252" s="1774" t="str">
        <f ca="1">IF(D252="NPA","NR",IF(D252="Não visível","NC",IF(D252&gt;0.75,"NC","C")))</f>
        <v>NR</v>
      </c>
      <c r="G252" s="1774" t="str">
        <f ca="1">IF(OFFSET('fantoma mama'!$A$23,0,$L252,1,1)=0,"NPA",OFFSET('fantoma mama'!$A$23,0,$L252,1,1))</f>
        <v>NPA</v>
      </c>
      <c r="H252" s="1774" t="str">
        <f ca="1">IF(OFFSET('fantoma mama'!$A$24,0,$L252,1,1)=0,"NPA",OFFSET('fantoma mama'!$A$24,0,$L252,1,1)&amp;" / "&amp;OFFSET('fantoma mama'!$A$22,0,$L252,1,1))</f>
        <v>NPA</v>
      </c>
      <c r="I252" s="1769" t="str">
        <f t="shared" ca="1" si="11"/>
        <v>NA</v>
      </c>
      <c r="K252" s="1736" t="str">
        <f t="shared" ca="1" si="9"/>
        <v/>
      </c>
      <c r="L252" s="1778">
        <f>L249+1</f>
        <v>10</v>
      </c>
    </row>
    <row r="253" spans="1:12" x14ac:dyDescent="0.2">
      <c r="A253" s="1759">
        <f ca="1">A252</f>
        <v>46149</v>
      </c>
      <c r="B253" s="2621" t="s">
        <v>736</v>
      </c>
      <c r="C253" s="2622"/>
      <c r="D253" s="2622" t="str">
        <f ca="1">IF(OFFSET('fantoma mama'!$A$27,0,$L252,1,1)=0,"Não visível",IF(OFFSET('fantoma mama'!$A$27,0,$L252,1,1)="-","NPA",VLOOKUP(OFFSET('fantoma mama'!$A$27,0,$L252,1,1),IF(OFFSET('fantoma mama'!$A$5,0,$L252,1,1)="acr",Tabelas!$M$8:$N$12,Tabelas!$M$26:$N$30),2)))</f>
        <v>NPA</v>
      </c>
      <c r="E253" s="2622"/>
      <c r="F253" s="1774" t="str">
        <f ca="1">IF(D253="NPA","NR",IF(D253="Não visível","NC",IF(D253&gt;0.32,"NC","C")))</f>
        <v>NR</v>
      </c>
      <c r="G253" s="1771" t="str">
        <f ca="1">G252</f>
        <v>NPA</v>
      </c>
      <c r="H253" s="1771" t="str">
        <f ca="1">H252</f>
        <v>NPA</v>
      </c>
      <c r="I253" s="1772" t="str">
        <f t="shared" ca="1" si="11"/>
        <v>NA</v>
      </c>
      <c r="K253" s="1736" t="str">
        <f t="shared" ca="1" si="9"/>
        <v/>
      </c>
    </row>
    <row r="254" spans="1:12" x14ac:dyDescent="0.2">
      <c r="A254" s="1757">
        <f ca="1">A255</f>
        <v>46150</v>
      </c>
      <c r="B254" s="2625" t="s">
        <v>722</v>
      </c>
      <c r="C254" s="2626"/>
      <c r="D254" s="2626" t="str">
        <f ca="1">IF(OFFSET('fantoma mama'!$A$25,0,$L255,1,1)=0,"Não visível",IF(OFFSET('fantoma mama'!$A$25,0,$L255,1,1)="-","NPA",VLOOKUP(OFFSET('fantoma mama'!$A$25,0,$L255,1,1),IF(OFFSET('fantoma mama'!$A$5,0,$L255,1,1)="acr",Tabelas!$M$2:$N$7,Tabelas!$M$20:$N$25),2)))</f>
        <v>NPA</v>
      </c>
      <c r="E254" s="2626"/>
      <c r="F254" s="1773" t="str">
        <f ca="1">IF(D254="NPA","NR",IF(D254="Não visível","NC",IF(D254&gt;0.75,"NC","C")))</f>
        <v>NR</v>
      </c>
      <c r="G254" s="1767" t="str">
        <f ca="1">G255</f>
        <v>NPA</v>
      </c>
      <c r="H254" s="1767" t="str">
        <f ca="1">H255</f>
        <v>NPA</v>
      </c>
      <c r="I254" s="1768" t="str">
        <f t="shared" ca="1" si="11"/>
        <v>NA</v>
      </c>
      <c r="K254" s="1736" t="str">
        <f t="shared" ca="1" si="9"/>
        <v/>
      </c>
    </row>
    <row r="255" spans="1:12" x14ac:dyDescent="0.2">
      <c r="A255" s="1758">
        <f ca="1">IF(OFFSET('fantoma mama'!$A$4,0,$L255,1,1)=0,"",OFFSET('fantoma mama'!$A$4,0,$L255,1,1))</f>
        <v>46150</v>
      </c>
      <c r="B255" s="2627" t="s">
        <v>723</v>
      </c>
      <c r="C255" s="2628"/>
      <c r="D255" s="2628" t="str">
        <f ca="1">IF(OFFSET('fantoma mama'!$A$26,0,$L255,1,1)=0,"Não visível",IF(OFFSET('fantoma mama'!$A$26,0,$L255,1,1)="-","NPA",VLOOKUP(OFFSET('fantoma mama'!$A$26,0,$L255,1,1),IF(OFFSET('fantoma mama'!$A$5,0,$L255,1,1)="acr",Tabelas!$M$13:$N$17,Tabelas!$M$31:$N$35),2)))</f>
        <v>NPA</v>
      </c>
      <c r="E255" s="2628"/>
      <c r="F255" s="1774" t="str">
        <f ca="1">IF(D255="NPA","NR",IF(D255="Não visível","NC",IF(D255&gt;0.75,"NC","C")))</f>
        <v>NR</v>
      </c>
      <c r="G255" s="1774" t="str">
        <f ca="1">IF(OFFSET('fantoma mama'!$A$23,0,$L255,1,1)=0,"NPA",OFFSET('fantoma mama'!$A$23,0,$L255,1,1))</f>
        <v>NPA</v>
      </c>
      <c r="H255" s="1774" t="str">
        <f ca="1">IF(OFFSET('fantoma mama'!$A$24,0,$L255,1,1)=0,"NPA",OFFSET('fantoma mama'!$A$24,0,$L255,1,1)&amp;" / "&amp;OFFSET('fantoma mama'!$A$22,0,$L255,1,1))</f>
        <v>NPA</v>
      </c>
      <c r="I255" s="1769" t="str">
        <f t="shared" ca="1" si="11"/>
        <v>NA</v>
      </c>
      <c r="K255" s="1736" t="str">
        <f t="shared" ca="1" si="9"/>
        <v/>
      </c>
      <c r="L255" s="1778">
        <f>L252+1</f>
        <v>11</v>
      </c>
    </row>
    <row r="256" spans="1:12" x14ac:dyDescent="0.2">
      <c r="A256" s="1759">
        <f ca="1">A255</f>
        <v>46150</v>
      </c>
      <c r="B256" s="2621" t="s">
        <v>736</v>
      </c>
      <c r="C256" s="2622"/>
      <c r="D256" s="2622" t="str">
        <f ca="1">IF(OFFSET('fantoma mama'!$A$27,0,$L255,1,1)=0,"Não visível",IF(OFFSET('fantoma mama'!$A$27,0,$L255,1,1)="-","NPA",VLOOKUP(OFFSET('fantoma mama'!$A$27,0,$L255,1,1),IF(OFFSET('fantoma mama'!$A$5,0,$L255,1,1)="acr",Tabelas!$M$8:$N$12,Tabelas!$M$26:$N$30),2)))</f>
        <v>NPA</v>
      </c>
      <c r="E256" s="2622"/>
      <c r="F256" s="1774" t="str">
        <f ca="1">IF(D256="NPA","NR",IF(D256="Não visível","NC",IF(D256&gt;0.32,"NC","C")))</f>
        <v>NR</v>
      </c>
      <c r="G256" s="1771" t="str">
        <f ca="1">G255</f>
        <v>NPA</v>
      </c>
      <c r="H256" s="1771" t="str">
        <f ca="1">H255</f>
        <v>NPA</v>
      </c>
      <c r="I256" s="1772" t="str">
        <f t="shared" ca="1" si="11"/>
        <v>NA</v>
      </c>
      <c r="K256" s="1736" t="str">
        <f t="shared" ca="1" si="9"/>
        <v/>
      </c>
    </row>
    <row r="257" spans="1:12" x14ac:dyDescent="0.2">
      <c r="A257" s="1757">
        <f ca="1">A258</f>
        <v>46151</v>
      </c>
      <c r="B257" s="2625" t="s">
        <v>722</v>
      </c>
      <c r="C257" s="2626"/>
      <c r="D257" s="2626" t="str">
        <f ca="1">IF(OFFSET('fantoma mama'!$A$25,0,$L258,1,1)=0,"Não visível",IF(OFFSET('fantoma mama'!$A$25,0,$L258,1,1)="-","NPA",VLOOKUP(OFFSET('fantoma mama'!$A$25,0,$L258,1,1),IF(OFFSET('fantoma mama'!$A$5,0,$L258,1,1)="acr",Tabelas!$M$2:$N$7,Tabelas!$M$20:$N$25),2)))</f>
        <v>NPA</v>
      </c>
      <c r="E257" s="2626"/>
      <c r="F257" s="1773" t="str">
        <f ca="1">IF(D257="NPA","NR",IF(D257="Não visível","NC",IF(D257&gt;0.75,"NC","C")))</f>
        <v>NR</v>
      </c>
      <c r="G257" s="1767" t="str">
        <f ca="1">G258</f>
        <v>NPA</v>
      </c>
      <c r="H257" s="1767" t="str">
        <f ca="1">H258</f>
        <v>NPA</v>
      </c>
      <c r="I257" s="1768" t="str">
        <f t="shared" ca="1" si="11"/>
        <v>NA</v>
      </c>
      <c r="K257" s="1736" t="str">
        <f t="shared" ca="1" si="9"/>
        <v/>
      </c>
    </row>
    <row r="258" spans="1:12" x14ac:dyDescent="0.2">
      <c r="A258" s="1758">
        <f ca="1">IF(OFFSET('fantoma mama'!$A$4,0,$L258,1,1)=0,"",OFFSET('fantoma mama'!$A$4,0,$L258,1,1))</f>
        <v>46151</v>
      </c>
      <c r="B258" s="2627" t="s">
        <v>723</v>
      </c>
      <c r="C258" s="2628"/>
      <c r="D258" s="2628" t="str">
        <f ca="1">IF(OFFSET('fantoma mama'!$A$26,0,$L258,1,1)=0,"Não visível",IF(OFFSET('fantoma mama'!$A$26,0,$L258,1,1)="-","NPA",VLOOKUP(OFFSET('fantoma mama'!$A$26,0,$L258,1,1),IF(OFFSET('fantoma mama'!$A$5,0,$L258,1,1)="acr",Tabelas!$M$13:$N$17,Tabelas!$M$31:$N$35),2)))</f>
        <v>NPA</v>
      </c>
      <c r="E258" s="2628"/>
      <c r="F258" s="1774" t="str">
        <f ca="1">IF(D258="NPA","NR",IF(D258="Não visível","NC",IF(D258&gt;0.75,"NC","C")))</f>
        <v>NR</v>
      </c>
      <c r="G258" s="1774" t="str">
        <f ca="1">IF(OFFSET('fantoma mama'!$A$23,0,$L258,1,1)=0,"NPA",OFFSET('fantoma mama'!$A$23,0,$L258,1,1))</f>
        <v>NPA</v>
      </c>
      <c r="H258" s="1774" t="str">
        <f ca="1">IF(OFFSET('fantoma mama'!$A$24,0,$L258,1,1)=0,"NPA",OFFSET('fantoma mama'!$A$24,0,$L258,1,1)&amp;" / "&amp;OFFSET('fantoma mama'!$A$22,0,$L258,1,1))</f>
        <v>NPA</v>
      </c>
      <c r="I258" s="1769" t="str">
        <f t="shared" ca="1" si="11"/>
        <v>NA</v>
      </c>
      <c r="K258" s="1736" t="str">
        <f t="shared" ca="1" si="9"/>
        <v/>
      </c>
      <c r="L258" s="1778">
        <f>L255+1</f>
        <v>12</v>
      </c>
    </row>
    <row r="259" spans="1:12" x14ac:dyDescent="0.2">
      <c r="A259" s="1759">
        <f ca="1">A258</f>
        <v>46151</v>
      </c>
      <c r="B259" s="2621" t="s">
        <v>736</v>
      </c>
      <c r="C259" s="2622"/>
      <c r="D259" s="2622" t="str">
        <f ca="1">IF(OFFSET('fantoma mama'!$A$27,0,$L258,1,1)=0,"Não visível",IF(OFFSET('fantoma mama'!$A$27,0,$L258,1,1)="-","NPA",VLOOKUP(OFFSET('fantoma mama'!$A$27,0,$L258,1,1),IF(OFFSET('fantoma mama'!$A$5,0,$L258,1,1)="acr",Tabelas!$M$8:$N$12,Tabelas!$M$26:$N$30),2)))</f>
        <v>NPA</v>
      </c>
      <c r="E259" s="2622"/>
      <c r="F259" s="1774" t="str">
        <f ca="1">IF(D259="NPA","NR",IF(D259="Não visível","NC",IF(D259&gt;0.32,"NC","C")))</f>
        <v>NR</v>
      </c>
      <c r="G259" s="1771" t="str">
        <f ca="1">G258</f>
        <v>NPA</v>
      </c>
      <c r="H259" s="1771" t="str">
        <f ca="1">H258</f>
        <v>NPA</v>
      </c>
      <c r="I259" s="1772" t="str">
        <f t="shared" ca="1" si="11"/>
        <v>NA</v>
      </c>
      <c r="K259" s="1736" t="str">
        <f t="shared" ca="1" si="9"/>
        <v/>
      </c>
    </row>
    <row r="260" spans="1:12" x14ac:dyDescent="0.2">
      <c r="A260" s="1757">
        <f ca="1">A261</f>
        <v>46152</v>
      </c>
      <c r="B260" s="2625" t="s">
        <v>722</v>
      </c>
      <c r="C260" s="2626"/>
      <c r="D260" s="2626" t="str">
        <f ca="1">IF(OFFSET('fantoma mama'!$A$25,0,$L261,1,1)=0,"Não visível",IF(OFFSET('fantoma mama'!$A$25,0,$L261,1,1)="-","NPA",VLOOKUP(OFFSET('fantoma mama'!$A$25,0,$L261,1,1),IF(OFFSET('fantoma mama'!$A$5,0,$L261,1,1)="acr",Tabelas!$M$2:$N$7,Tabelas!$M$20:$N$25),2)))</f>
        <v>NPA</v>
      </c>
      <c r="E260" s="2626"/>
      <c r="F260" s="1773" t="str">
        <f ca="1">IF(D260="NPA","NR",IF(D260="Não visível","NC",IF(D260&gt;0.75,"NC","C")))</f>
        <v>NR</v>
      </c>
      <c r="G260" s="1767" t="str">
        <f ca="1">G261</f>
        <v>NPA</v>
      </c>
      <c r="H260" s="1767" t="str">
        <f ca="1">H261</f>
        <v>NPA</v>
      </c>
      <c r="I260" s="1768" t="str">
        <f t="shared" ca="1" si="11"/>
        <v>NA</v>
      </c>
      <c r="K260" s="1736" t="str">
        <f t="shared" ca="1" si="9"/>
        <v/>
      </c>
    </row>
    <row r="261" spans="1:12" x14ac:dyDescent="0.2">
      <c r="A261" s="1758">
        <f ca="1">IF(OFFSET('fantoma mama'!$A$4,0,$L261,1,1)=0,"",OFFSET('fantoma mama'!$A$4,0,$L261,1,1))</f>
        <v>46152</v>
      </c>
      <c r="B261" s="2627" t="s">
        <v>723</v>
      </c>
      <c r="C261" s="2628"/>
      <c r="D261" s="2628" t="str">
        <f ca="1">IF(OFFSET('fantoma mama'!$A$26,0,$L261,1,1)=0,"Não visível",IF(OFFSET('fantoma mama'!$A$26,0,$L261,1,1)="-","NPA",VLOOKUP(OFFSET('fantoma mama'!$A$26,0,$L261,1,1),IF(OFFSET('fantoma mama'!$A$5,0,$L261,1,1)="acr",Tabelas!$M$13:$N$17,Tabelas!$M$31:$N$35),2)))</f>
        <v>NPA</v>
      </c>
      <c r="E261" s="2628"/>
      <c r="F261" s="1774" t="str">
        <f ca="1">IF(D261="NPA","NR",IF(D261="Não visível","NC",IF(D261&gt;0.75,"NC","C")))</f>
        <v>NR</v>
      </c>
      <c r="G261" s="1774" t="str">
        <f ca="1">IF(OFFSET('fantoma mama'!$A$23,0,$L261,1,1)=0,"NPA",OFFSET('fantoma mama'!$A$23,0,$L261,1,1))</f>
        <v>NPA</v>
      </c>
      <c r="H261" s="1774" t="str">
        <f ca="1">IF(OFFSET('fantoma mama'!$A$24,0,$L261,1,1)=0,"NPA",OFFSET('fantoma mama'!$A$24,0,$L261,1,1)&amp;" / "&amp;OFFSET('fantoma mama'!$A$22,0,$L261,1,1))</f>
        <v>NPA</v>
      </c>
      <c r="I261" s="1769" t="str">
        <f t="shared" ca="1" si="11"/>
        <v>NA</v>
      </c>
      <c r="K261" s="1736" t="str">
        <f t="shared" ca="1" si="9"/>
        <v/>
      </c>
      <c r="L261" s="1778">
        <f>L258+1</f>
        <v>13</v>
      </c>
    </row>
    <row r="262" spans="1:12" x14ac:dyDescent="0.2">
      <c r="A262" s="1759">
        <f ca="1">A261</f>
        <v>46152</v>
      </c>
      <c r="B262" s="2621" t="s">
        <v>736</v>
      </c>
      <c r="C262" s="2622"/>
      <c r="D262" s="2622" t="str">
        <f ca="1">IF(OFFSET('fantoma mama'!$A$27,0,$L261,1,1)=0,"Não visível",IF(OFFSET('fantoma mama'!$A$27,0,$L261,1,1)="-","NPA",VLOOKUP(OFFSET('fantoma mama'!$A$27,0,$L261,1,1),IF(OFFSET('fantoma mama'!$A$5,0,$L261,1,1)="acr",Tabelas!$M$8:$N$12,Tabelas!$M$26:$N$30),2)))</f>
        <v>NPA</v>
      </c>
      <c r="E262" s="2622"/>
      <c r="F262" s="1774" t="str">
        <f ca="1">IF(D262="NPA","NR",IF(D262="Não visível","NC",IF(D262&gt;0.32,"NC","C")))</f>
        <v>NR</v>
      </c>
      <c r="G262" s="1771" t="str">
        <f ca="1">G261</f>
        <v>NPA</v>
      </c>
      <c r="H262" s="1771" t="str">
        <f ca="1">H261</f>
        <v>NPA</v>
      </c>
      <c r="I262" s="1772" t="str">
        <f t="shared" ca="1" si="11"/>
        <v>NA</v>
      </c>
      <c r="K262" s="1736" t="str">
        <f t="shared" ca="1" si="9"/>
        <v/>
      </c>
    </row>
    <row r="263" spans="1:12" x14ac:dyDescent="0.2">
      <c r="A263" s="1757">
        <f ca="1">A264</f>
        <v>46153</v>
      </c>
      <c r="B263" s="2625" t="s">
        <v>722</v>
      </c>
      <c r="C263" s="2626"/>
      <c r="D263" s="2626" t="str">
        <f ca="1">IF(OFFSET('fantoma mama'!$A$25,0,$L264,1,1)=0,"Não visível",IF(OFFSET('fantoma mama'!$A$25,0,$L264,1,1)="-","NPA",VLOOKUP(OFFSET('fantoma mama'!$A$25,0,$L264,1,1),IF(OFFSET('fantoma mama'!$A$5,0,$L264,1,1)="acr",Tabelas!$M$2:$N$7,Tabelas!$M$20:$N$25),2)))</f>
        <v>NPA</v>
      </c>
      <c r="E263" s="2626"/>
      <c r="F263" s="1773" t="str">
        <f ca="1">IF(D263="NPA","NR",IF(D263="Não visível","NC",IF(D263&gt;0.75,"NC","C")))</f>
        <v>NR</v>
      </c>
      <c r="G263" s="1767" t="str">
        <f ca="1">G264</f>
        <v>NPA</v>
      </c>
      <c r="H263" s="1767" t="str">
        <f ca="1">H264</f>
        <v>NPA</v>
      </c>
      <c r="I263" s="1768" t="str">
        <f t="shared" ca="1" si="11"/>
        <v>NA</v>
      </c>
      <c r="K263" s="1736" t="str">
        <f t="shared" ca="1" si="9"/>
        <v/>
      </c>
    </row>
    <row r="264" spans="1:12" x14ac:dyDescent="0.2">
      <c r="A264" s="1758">
        <f ca="1">IF(OFFSET('fantoma mama'!$A$4,0,$L264,1,1)=0,"",OFFSET('fantoma mama'!$A$4,0,$L264,1,1))</f>
        <v>46153</v>
      </c>
      <c r="B264" s="2627" t="s">
        <v>723</v>
      </c>
      <c r="C264" s="2628"/>
      <c r="D264" s="2628" t="str">
        <f ca="1">IF(OFFSET('fantoma mama'!$A$26,0,$L264,1,1)=0,"Não visível",IF(OFFSET('fantoma mama'!$A$26,0,$L264,1,1)="-","NPA",VLOOKUP(OFFSET('fantoma mama'!$A$26,0,$L264,1,1),IF(OFFSET('fantoma mama'!$A$5,0,$L264,1,1)="acr",Tabelas!$M$13:$N$17,Tabelas!$M$31:$N$35),2)))</f>
        <v>NPA</v>
      </c>
      <c r="E264" s="2628"/>
      <c r="F264" s="1774" t="str">
        <f ca="1">IF(D264="NPA","NR",IF(D264="Não visível","NC",IF(D264&gt;0.75,"NC","C")))</f>
        <v>NR</v>
      </c>
      <c r="G264" s="1774" t="str">
        <f ca="1">IF(OFFSET('fantoma mama'!$A$23,0,$L264,1,1)=0,"NPA",OFFSET('fantoma mama'!$A$23,0,$L264,1,1))</f>
        <v>NPA</v>
      </c>
      <c r="H264" s="1774" t="str">
        <f ca="1">IF(OFFSET('fantoma mama'!$A$24,0,$L264,1,1)=0,"NPA",OFFSET('fantoma mama'!$A$24,0,$L264,1,1)&amp;" / "&amp;OFFSET('fantoma mama'!$A$22,0,$L264,1,1))</f>
        <v>NPA</v>
      </c>
      <c r="I264" s="1769" t="str">
        <f t="shared" ca="1" si="11"/>
        <v>NA</v>
      </c>
      <c r="K264" s="1736" t="str">
        <f t="shared" ca="1" si="9"/>
        <v/>
      </c>
      <c r="L264" s="1778">
        <f>L261+1</f>
        <v>14</v>
      </c>
    </row>
    <row r="265" spans="1:12" x14ac:dyDescent="0.2">
      <c r="A265" s="1759">
        <f ca="1">A264</f>
        <v>46153</v>
      </c>
      <c r="B265" s="2621" t="s">
        <v>736</v>
      </c>
      <c r="C265" s="2622"/>
      <c r="D265" s="2622" t="str">
        <f ca="1">IF(OFFSET('fantoma mama'!$A$27,0,$L264,1,1)=0,"Não visível",IF(OFFSET('fantoma mama'!$A$27,0,$L264,1,1)="-","NPA",VLOOKUP(OFFSET('fantoma mama'!$A$27,0,$L264,1,1),IF(OFFSET('fantoma mama'!$A$5,0,$L264,1,1)="acr",Tabelas!$M$8:$N$12,Tabelas!$M$26:$N$30),2)))</f>
        <v>NPA</v>
      </c>
      <c r="E265" s="2622"/>
      <c r="F265" s="1774" t="str">
        <f ca="1">IF(D265="NPA","NR",IF(D265="Não visível","NC",IF(D265&gt;0.32,"NC","C")))</f>
        <v>NR</v>
      </c>
      <c r="G265" s="1771" t="str">
        <f ca="1">G264</f>
        <v>NPA</v>
      </c>
      <c r="H265" s="1771" t="str">
        <f ca="1">H264</f>
        <v>NPA</v>
      </c>
      <c r="I265" s="1772" t="str">
        <f t="shared" ca="1" si="11"/>
        <v>NA</v>
      </c>
      <c r="K265" s="1736" t="str">
        <f t="shared" ca="1" si="9"/>
        <v/>
      </c>
    </row>
    <row r="266" spans="1:12" x14ac:dyDescent="0.2">
      <c r="A266" s="1757">
        <f ca="1">A267</f>
        <v>46154</v>
      </c>
      <c r="B266" s="2625" t="s">
        <v>722</v>
      </c>
      <c r="C266" s="2626"/>
      <c r="D266" s="2626" t="str">
        <f ca="1">IF(OFFSET('fantoma mama'!$A$25,0,$L267,1,1)=0,"Não visível",IF(OFFSET('fantoma mama'!$A$25,0,$L267,1,1)="-","NPA",VLOOKUP(OFFSET('fantoma mama'!$A$25,0,$L267,1,1),IF(OFFSET('fantoma mama'!$A$5,0,$L267,1,1)="acr",Tabelas!$M$2:$N$7,Tabelas!$M$20:$N$25),2)))</f>
        <v>NPA</v>
      </c>
      <c r="E266" s="2626"/>
      <c r="F266" s="1773" t="str">
        <f ca="1">IF(D266="NPA","NR",IF(D266="Não visível","NC",IF(D266&gt;0.75,"NC","C")))</f>
        <v>NR</v>
      </c>
      <c r="G266" s="1767" t="str">
        <f ca="1">G267</f>
        <v>NPA</v>
      </c>
      <c r="H266" s="1767" t="str">
        <f ca="1">H267</f>
        <v>NPA</v>
      </c>
      <c r="I266" s="1768" t="str">
        <f t="shared" ca="1" si="11"/>
        <v>NA</v>
      </c>
      <c r="K266" s="1736" t="str">
        <f t="shared" ca="1" si="9"/>
        <v/>
      </c>
    </row>
    <row r="267" spans="1:12" x14ac:dyDescent="0.2">
      <c r="A267" s="1758">
        <f ca="1">IF(OFFSET('fantoma mama'!$A$4,0,$L267,1,1)=0,"",OFFSET('fantoma mama'!$A$4,0,$L267,1,1))</f>
        <v>46154</v>
      </c>
      <c r="B267" s="2627" t="s">
        <v>723</v>
      </c>
      <c r="C267" s="2628"/>
      <c r="D267" s="2628" t="str">
        <f ca="1">IF(OFFSET('fantoma mama'!$A$26,0,$L267,1,1)=0,"Não visível",IF(OFFSET('fantoma mama'!$A$26,0,$L267,1,1)="-","NPA",VLOOKUP(OFFSET('fantoma mama'!$A$26,0,$L267,1,1),IF(OFFSET('fantoma mama'!$A$5,0,$L267,1,1)="acr",Tabelas!$M$13:$N$17,Tabelas!$M$31:$N$35),2)))</f>
        <v>NPA</v>
      </c>
      <c r="E267" s="2628"/>
      <c r="F267" s="1774" t="str">
        <f ca="1">IF(D267="NPA","NR",IF(D267="Não visível","NC",IF(D267&gt;0.75,"NC","C")))</f>
        <v>NR</v>
      </c>
      <c r="G267" s="1774" t="str">
        <f ca="1">IF(OFFSET('fantoma mama'!$A$23,0,$L267,1,1)=0,"NPA",OFFSET('fantoma mama'!$A$23,0,$L267,1,1))</f>
        <v>NPA</v>
      </c>
      <c r="H267" s="1774" t="str">
        <f ca="1">IF(OFFSET('fantoma mama'!$A$24,0,$L267,1,1)=0,"NPA",OFFSET('fantoma mama'!$A$24,0,$L267,1,1)&amp;" / "&amp;OFFSET('fantoma mama'!$A$22,0,$L267,1,1))</f>
        <v>NPA</v>
      </c>
      <c r="I267" s="1769" t="str">
        <f t="shared" ca="1" si="11"/>
        <v>NA</v>
      </c>
      <c r="K267" s="1736" t="str">
        <f t="shared" ca="1" si="9"/>
        <v/>
      </c>
      <c r="L267" s="1778">
        <f>L264+1</f>
        <v>15</v>
      </c>
    </row>
    <row r="268" spans="1:12" x14ac:dyDescent="0.2">
      <c r="A268" s="1759">
        <f ca="1">A267</f>
        <v>46154</v>
      </c>
      <c r="B268" s="2621" t="s">
        <v>736</v>
      </c>
      <c r="C268" s="2622"/>
      <c r="D268" s="2622" t="str">
        <f ca="1">IF(OFFSET('fantoma mama'!$A$27,0,$L267,1,1)=0,"Não visível",IF(OFFSET('fantoma mama'!$A$27,0,$L267,1,1)="-","NPA",VLOOKUP(OFFSET('fantoma mama'!$A$27,0,$L267,1,1),IF(OFFSET('fantoma mama'!$A$5,0,$L267,1,1)="acr",Tabelas!$M$8:$N$12,Tabelas!$M$26:$N$30),2)))</f>
        <v>NPA</v>
      </c>
      <c r="E268" s="2622"/>
      <c r="F268" s="1774" t="str">
        <f ca="1">IF(D268="NPA","NR",IF(D268="Não visível","NC",IF(D268&gt;0.32,"NC","C")))</f>
        <v>NR</v>
      </c>
      <c r="G268" s="1771" t="str">
        <f ca="1">G267</f>
        <v>NPA</v>
      </c>
      <c r="H268" s="1771" t="str">
        <f ca="1">H267</f>
        <v>NPA</v>
      </c>
      <c r="I268" s="1772" t="str">
        <f t="shared" ca="1" si="11"/>
        <v>NA</v>
      </c>
      <c r="K268" s="1736" t="str">
        <f t="shared" ca="1" si="9"/>
        <v/>
      </c>
    </row>
    <row r="269" spans="1:12" x14ac:dyDescent="0.2">
      <c r="A269" s="1757">
        <f ca="1">A270</f>
        <v>46155</v>
      </c>
      <c r="B269" s="2625" t="s">
        <v>722</v>
      </c>
      <c r="C269" s="2626"/>
      <c r="D269" s="2626" t="str">
        <f ca="1">IF(OFFSET('fantoma mama'!$A$25,0,$L270,1,1)=0,"Não visível",IF(OFFSET('fantoma mama'!$A$25,0,$L270,1,1)="-","NPA",VLOOKUP(OFFSET('fantoma mama'!$A$25,0,$L270,1,1),IF(OFFSET('fantoma mama'!$A$5,0,$L270,1,1)="acr",Tabelas!$M$2:$N$7,Tabelas!$M$20:$N$25),2)))</f>
        <v>NPA</v>
      </c>
      <c r="E269" s="2626"/>
      <c r="F269" s="1773" t="str">
        <f ca="1">IF(D269="NPA","NR",IF(D269="Não visível","NC",IF(D269&gt;0.75,"NC","C")))</f>
        <v>NR</v>
      </c>
      <c r="G269" s="1767" t="str">
        <f ca="1">G270</f>
        <v>NPA</v>
      </c>
      <c r="H269" s="1767" t="str">
        <f ca="1">H270</f>
        <v>NPA</v>
      </c>
      <c r="I269" s="1768" t="str">
        <f t="shared" ca="1" si="11"/>
        <v>NA</v>
      </c>
      <c r="K269" s="1736" t="str">
        <f t="shared" ca="1" si="9"/>
        <v/>
      </c>
    </row>
    <row r="270" spans="1:12" x14ac:dyDescent="0.2">
      <c r="A270" s="1758">
        <f ca="1">IF(OFFSET('fantoma mama'!$A$4,0,$L270,1,1)=0,"",OFFSET('fantoma mama'!$A$4,0,$L270,1,1))</f>
        <v>46155</v>
      </c>
      <c r="B270" s="2627" t="s">
        <v>723</v>
      </c>
      <c r="C270" s="2628"/>
      <c r="D270" s="2628" t="str">
        <f ca="1">IF(OFFSET('fantoma mama'!$A$26,0,$L270,1,1)=0,"Não visível",IF(OFFSET('fantoma mama'!$A$26,0,$L270,1,1)="-","NPA",VLOOKUP(OFFSET('fantoma mama'!$A$26,0,$L270,1,1),IF(OFFSET('fantoma mama'!$A$5,0,$L270,1,1)="acr",Tabelas!$M$13:$N$17,Tabelas!$M$31:$N$35),2)))</f>
        <v>NPA</v>
      </c>
      <c r="E270" s="2628"/>
      <c r="F270" s="1774" t="str">
        <f ca="1">IF(D270="NPA","NR",IF(D270="Não visível","NC",IF(D270&gt;0.75,"NC","C")))</f>
        <v>NR</v>
      </c>
      <c r="G270" s="1774" t="str">
        <f ca="1">IF(OFFSET('fantoma mama'!$A$23,0,$L270,1,1)=0,"NPA",OFFSET('fantoma mama'!$A$23,0,$L270,1,1))</f>
        <v>NPA</v>
      </c>
      <c r="H270" s="1774" t="str">
        <f ca="1">IF(OFFSET('fantoma mama'!$A$24,0,$L270,1,1)=0,"NPA",OFFSET('fantoma mama'!$A$24,0,$L270,1,1)&amp;" / "&amp;OFFSET('fantoma mama'!$A$22,0,$L270,1,1))</f>
        <v>NPA</v>
      </c>
      <c r="I270" s="1769" t="str">
        <f t="shared" ca="1" si="11"/>
        <v>NA</v>
      </c>
      <c r="K270" s="1736" t="str">
        <f t="shared" ca="1" si="9"/>
        <v/>
      </c>
      <c r="L270" s="1778">
        <f>L267+1</f>
        <v>16</v>
      </c>
    </row>
    <row r="271" spans="1:12" x14ac:dyDescent="0.2">
      <c r="A271" s="1759">
        <f ca="1">A270</f>
        <v>46155</v>
      </c>
      <c r="B271" s="2621" t="s">
        <v>736</v>
      </c>
      <c r="C271" s="2622"/>
      <c r="D271" s="2622" t="str">
        <f ca="1">IF(OFFSET('fantoma mama'!$A$27,0,$L270,1,1)=0,"Não visível",IF(OFFSET('fantoma mama'!$A$27,0,$L270,1,1)="-","NPA",VLOOKUP(OFFSET('fantoma mama'!$A$27,0,$L270,1,1),IF(OFFSET('fantoma mama'!$A$5,0,$L270,1,1)="acr",Tabelas!$M$8:$N$12,Tabelas!$M$26:$N$30),2)))</f>
        <v>NPA</v>
      </c>
      <c r="E271" s="2622"/>
      <c r="F271" s="1774" t="str">
        <f ca="1">IF(D271="NPA","NR",IF(D271="Não visível","NC",IF(D271&gt;0.32,"NC","C")))</f>
        <v>NR</v>
      </c>
      <c r="G271" s="1771" t="str">
        <f ca="1">G270</f>
        <v>NPA</v>
      </c>
      <c r="H271" s="1771" t="str">
        <f ca="1">H270</f>
        <v>NPA</v>
      </c>
      <c r="I271" s="1772" t="str">
        <f t="shared" ca="1" si="11"/>
        <v>NA</v>
      </c>
      <c r="K271" s="1736" t="str">
        <f t="shared" ca="1" si="9"/>
        <v/>
      </c>
    </row>
    <row r="272" spans="1:12" x14ac:dyDescent="0.2">
      <c r="A272" s="1757">
        <f ca="1">A273</f>
        <v>46156</v>
      </c>
      <c r="B272" s="2625" t="s">
        <v>722</v>
      </c>
      <c r="C272" s="2626"/>
      <c r="D272" s="2626" t="str">
        <f ca="1">IF(OFFSET('fantoma mama'!$A$25,0,$L273,1,1)=0,"Não visível",IF(OFFSET('fantoma mama'!$A$25,0,$L273,1,1)="-","NPA",VLOOKUP(OFFSET('fantoma mama'!$A$25,0,$L273,1,1),IF(OFFSET('fantoma mama'!$A$5,0,$L273,1,1)="acr",Tabelas!$M$2:$N$7,Tabelas!$M$20:$N$25),2)))</f>
        <v>NPA</v>
      </c>
      <c r="E272" s="2626"/>
      <c r="F272" s="1773" t="str">
        <f ca="1">IF(D272="NPA","NR",IF(D272="Não visível","NC",IF(D272&gt;0.75,"NC","C")))</f>
        <v>NR</v>
      </c>
      <c r="G272" s="1767" t="str">
        <f ca="1">G273</f>
        <v>NPA</v>
      </c>
      <c r="H272" s="1767" t="str">
        <f ca="1">H273</f>
        <v>NPA</v>
      </c>
      <c r="I272" s="1768" t="str">
        <f t="shared" ca="1" si="11"/>
        <v>NA</v>
      </c>
      <c r="K272" s="1736" t="str">
        <f t="shared" ca="1" si="9"/>
        <v/>
      </c>
    </row>
    <row r="273" spans="1:12" x14ac:dyDescent="0.2">
      <c r="A273" s="1758">
        <f ca="1">IF(OFFSET('fantoma mama'!$A$4,0,$L273,1,1)=0,"",OFFSET('fantoma mama'!$A$4,0,$L273,1,1))</f>
        <v>46156</v>
      </c>
      <c r="B273" s="2627" t="s">
        <v>723</v>
      </c>
      <c r="C273" s="2628"/>
      <c r="D273" s="2628" t="str">
        <f ca="1">IF(OFFSET('fantoma mama'!$A$26,0,$L273,1,1)=0,"Não visível",IF(OFFSET('fantoma mama'!$A$26,0,$L273,1,1)="-","NPA",VLOOKUP(OFFSET('fantoma mama'!$A$26,0,$L273,1,1),IF(OFFSET('fantoma mama'!$A$5,0,$L273,1,1)="acr",Tabelas!$M$13:$N$17,Tabelas!$M$31:$N$35),2)))</f>
        <v>NPA</v>
      </c>
      <c r="E273" s="2628"/>
      <c r="F273" s="1774" t="str">
        <f ca="1">IF(D273="NPA","NR",IF(D273="Não visível","NC",IF(D273&gt;0.75,"NC","C")))</f>
        <v>NR</v>
      </c>
      <c r="G273" s="1774" t="str">
        <f ca="1">IF(OFFSET('fantoma mama'!$A$23,0,$L273,1,1)=0,"NPA",OFFSET('fantoma mama'!$A$23,0,$L273,1,1))</f>
        <v>NPA</v>
      </c>
      <c r="H273" s="1774" t="str">
        <f ca="1">IF(OFFSET('fantoma mama'!$A$24,0,$L273,1,1)=0,"NPA",OFFSET('fantoma mama'!$A$24,0,$L273,1,1)&amp;" / "&amp;OFFSET('fantoma mama'!$A$22,0,$L273,1,1))</f>
        <v>NPA</v>
      </c>
      <c r="I273" s="1769" t="str">
        <f t="shared" ca="1" si="11"/>
        <v>NA</v>
      </c>
      <c r="K273" s="1736" t="str">
        <f t="shared" ca="1" si="9"/>
        <v/>
      </c>
      <c r="L273" s="1778">
        <f>L270+1</f>
        <v>17</v>
      </c>
    </row>
    <row r="274" spans="1:12" x14ac:dyDescent="0.2">
      <c r="A274" s="1759">
        <f ca="1">A273</f>
        <v>46156</v>
      </c>
      <c r="B274" s="2621" t="s">
        <v>736</v>
      </c>
      <c r="C274" s="2622"/>
      <c r="D274" s="2622" t="str">
        <f ca="1">IF(OFFSET('fantoma mama'!$A$27,0,$L273,1,1)=0,"Não visível",IF(OFFSET('fantoma mama'!$A$27,0,$L273,1,1)="-","NPA",VLOOKUP(OFFSET('fantoma mama'!$A$27,0,$L273,1,1),IF(OFFSET('fantoma mama'!$A$5,0,$L273,1,1)="acr",Tabelas!$M$8:$N$12,Tabelas!$M$26:$N$30),2)))</f>
        <v>NPA</v>
      </c>
      <c r="E274" s="2622"/>
      <c r="F274" s="1774" t="str">
        <f ca="1">IF(D274="NPA","NR",IF(D274="Não visível","NC",IF(D274&gt;0.32,"NC","C")))</f>
        <v>NR</v>
      </c>
      <c r="G274" s="1771" t="str">
        <f ca="1">G273</f>
        <v>NPA</v>
      </c>
      <c r="H274" s="1771" t="str">
        <f ca="1">H273</f>
        <v>NPA</v>
      </c>
      <c r="I274" s="1772" t="str">
        <f t="shared" ca="1" si="11"/>
        <v>NA</v>
      </c>
      <c r="K274" s="1736" t="str">
        <f t="shared" ca="1" si="9"/>
        <v/>
      </c>
    </row>
    <row r="275" spans="1:12" x14ac:dyDescent="0.2">
      <c r="A275" s="1757">
        <f ca="1">A276</f>
        <v>46157</v>
      </c>
      <c r="B275" s="2625" t="s">
        <v>722</v>
      </c>
      <c r="C275" s="2626"/>
      <c r="D275" s="2626" t="str">
        <f ca="1">IF(OFFSET('fantoma mama'!$A$25,0,$L276,1,1)=0,"Não visível",IF(OFFSET('fantoma mama'!$A$25,0,$L276,1,1)="-","NPA",VLOOKUP(OFFSET('fantoma mama'!$A$25,0,$L276,1,1),IF(OFFSET('fantoma mama'!$A$5,0,$L276,1,1)="acr",Tabelas!$M$2:$N$7,Tabelas!$M$20:$N$25),2)))</f>
        <v>NPA</v>
      </c>
      <c r="E275" s="2626"/>
      <c r="F275" s="1773" t="str">
        <f ca="1">IF(D275="NPA","NR",IF(D275="Não visível","NC",IF(D275&gt;0.75,"NC","C")))</f>
        <v>NR</v>
      </c>
      <c r="G275" s="1767" t="str">
        <f ca="1">G276</f>
        <v>NPA</v>
      </c>
      <c r="H275" s="1767" t="str">
        <f ca="1">H276</f>
        <v>NPA</v>
      </c>
      <c r="I275" s="1768" t="str">
        <f t="shared" ca="1" si="11"/>
        <v>NA</v>
      </c>
      <c r="K275" s="1736" t="str">
        <f t="shared" ca="1" si="9"/>
        <v/>
      </c>
    </row>
    <row r="276" spans="1:12" x14ac:dyDescent="0.2">
      <c r="A276" s="1758">
        <f ca="1">IF(OFFSET('fantoma mama'!$A$4,0,$L276,1,1)=0,"",OFFSET('fantoma mama'!$A$4,0,$L276,1,1))</f>
        <v>46157</v>
      </c>
      <c r="B276" s="2627" t="s">
        <v>723</v>
      </c>
      <c r="C276" s="2628"/>
      <c r="D276" s="2628" t="str">
        <f ca="1">IF(OFFSET('fantoma mama'!$A$26,0,$L276,1,1)=0,"Não visível",IF(OFFSET('fantoma mama'!$A$26,0,$L276,1,1)="-","NPA",VLOOKUP(OFFSET('fantoma mama'!$A$26,0,$L276,1,1),IF(OFFSET('fantoma mama'!$A$5,0,$L276,1,1)="acr",Tabelas!$M$13:$N$17,Tabelas!$M$31:$N$35),2)))</f>
        <v>NPA</v>
      </c>
      <c r="E276" s="2628"/>
      <c r="F276" s="1774" t="str">
        <f ca="1">IF(D276="NPA","NR",IF(D276="Não visível","NC",IF(D276&gt;0.75,"NC","C")))</f>
        <v>NR</v>
      </c>
      <c r="G276" s="1774" t="str">
        <f ca="1">IF(OFFSET('fantoma mama'!$A$23,0,$L276,1,1)=0,"NPA",OFFSET('fantoma mama'!$A$23,0,$L276,1,1))</f>
        <v>NPA</v>
      </c>
      <c r="H276" s="1774" t="str">
        <f ca="1">IF(OFFSET('fantoma mama'!$A$24,0,$L276,1,1)=0,"NPA",OFFSET('fantoma mama'!$A$24,0,$L276,1,1)&amp;" / "&amp;OFFSET('fantoma mama'!$A$22,0,$L276,1,1))</f>
        <v>NPA</v>
      </c>
      <c r="I276" s="1769" t="str">
        <f t="shared" ca="1" si="11"/>
        <v>NA</v>
      </c>
      <c r="K276" s="1736" t="str">
        <f t="shared" ca="1" si="9"/>
        <v/>
      </c>
      <c r="L276" s="1778">
        <f>L273+1</f>
        <v>18</v>
      </c>
    </row>
    <row r="277" spans="1:12" x14ac:dyDescent="0.2">
      <c r="A277" s="1759">
        <f ca="1">A276</f>
        <v>46157</v>
      </c>
      <c r="B277" s="2621" t="s">
        <v>736</v>
      </c>
      <c r="C277" s="2622"/>
      <c r="D277" s="2622" t="str">
        <f ca="1">IF(OFFSET('fantoma mama'!$A$27,0,$L276,1,1)=0,"Não visível",IF(OFFSET('fantoma mama'!$A$27,0,$L276,1,1)="-","NPA",VLOOKUP(OFFSET('fantoma mama'!$A$27,0,$L276,1,1),IF(OFFSET('fantoma mama'!$A$5,0,$L276,1,1)="acr",Tabelas!$M$8:$N$12,Tabelas!$M$26:$N$30),2)))</f>
        <v>NPA</v>
      </c>
      <c r="E277" s="2622"/>
      <c r="F277" s="1774" t="str">
        <f ca="1">IF(D277="NPA","NR",IF(D277="Não visível","NC",IF(D277&gt;0.32,"NC","C")))</f>
        <v>NR</v>
      </c>
      <c r="G277" s="1771" t="str">
        <f ca="1">G276</f>
        <v>NPA</v>
      </c>
      <c r="H277" s="1771" t="str">
        <f ca="1">H276</f>
        <v>NPA</v>
      </c>
      <c r="I277" s="1772" t="str">
        <f t="shared" ca="1" si="11"/>
        <v>NA</v>
      </c>
      <c r="K277" s="1736" t="str">
        <f t="shared" ca="1" si="9"/>
        <v/>
      </c>
    </row>
    <row r="278" spans="1:12" x14ac:dyDescent="0.2">
      <c r="A278" s="1757">
        <f ca="1">A279</f>
        <v>46158</v>
      </c>
      <c r="B278" s="2625" t="s">
        <v>722</v>
      </c>
      <c r="C278" s="2626"/>
      <c r="D278" s="2626" t="str">
        <f ca="1">IF(OFFSET('fantoma mama'!$A$25,0,$L279,1,1)=0,"Não visível",IF(OFFSET('fantoma mama'!$A$25,0,$L279,1,1)="-","NPA",VLOOKUP(OFFSET('fantoma mama'!$A$25,0,$L279,1,1),IF(OFFSET('fantoma mama'!$A$5,0,$L279,1,1)="acr",Tabelas!$M$2:$N$7,Tabelas!$M$20:$N$25),2)))</f>
        <v>NPA</v>
      </c>
      <c r="E278" s="2626"/>
      <c r="F278" s="1773" t="str">
        <f ca="1">IF(D278="NPA","NR",IF(D278="Não visível","NC",IF(D278&gt;0.75,"NC","C")))</f>
        <v>NR</v>
      </c>
      <c r="G278" s="1767" t="str">
        <f ca="1">G279</f>
        <v>NPA</v>
      </c>
      <c r="H278" s="1767" t="str">
        <f ca="1">H279</f>
        <v>NPA</v>
      </c>
      <c r="I278" s="1768" t="str">
        <f t="shared" ca="1" si="11"/>
        <v>NA</v>
      </c>
      <c r="K278" s="1736" t="str">
        <f t="shared" ca="1" si="9"/>
        <v/>
      </c>
    </row>
    <row r="279" spans="1:12" x14ac:dyDescent="0.2">
      <c r="A279" s="1758">
        <f ca="1">IF(OFFSET('fantoma mama'!$A$4,0,$L279,1,1)=0,"",OFFSET('fantoma mama'!$A$4,0,$L279,1,1))</f>
        <v>46158</v>
      </c>
      <c r="B279" s="2627" t="s">
        <v>723</v>
      </c>
      <c r="C279" s="2628"/>
      <c r="D279" s="2628" t="str">
        <f ca="1">IF(OFFSET('fantoma mama'!$A$26,0,$L279,1,1)=0,"Não visível",IF(OFFSET('fantoma mama'!$A$26,0,$L279,1,1)="-","NPA",VLOOKUP(OFFSET('fantoma mama'!$A$26,0,$L279,1,1),IF(OFFSET('fantoma mama'!$A$5,0,$L279,1,1)="acr",Tabelas!$M$13:$N$17,Tabelas!$M$31:$N$35),2)))</f>
        <v>NPA</v>
      </c>
      <c r="E279" s="2628"/>
      <c r="F279" s="1774" t="str">
        <f ca="1">IF(D279="NPA","NR",IF(D279="Não visível","NC",IF(D279&gt;0.75,"NC","C")))</f>
        <v>NR</v>
      </c>
      <c r="G279" s="1774" t="str">
        <f ca="1">IF(OFFSET('fantoma mama'!$A$23,0,$L279,1,1)=0,"NPA",OFFSET('fantoma mama'!$A$23,0,$L279,1,1))</f>
        <v>NPA</v>
      </c>
      <c r="H279" s="1774" t="str">
        <f ca="1">IF(OFFSET('fantoma mama'!$A$24,0,$L279,1,1)=0,"NPA",OFFSET('fantoma mama'!$A$24,0,$L279,1,1)&amp;" / "&amp;OFFSET('fantoma mama'!$A$22,0,$L279,1,1))</f>
        <v>NPA</v>
      </c>
      <c r="I279" s="1769" t="str">
        <f t="shared" ca="1" si="11"/>
        <v>NA</v>
      </c>
      <c r="K279" s="1736" t="str">
        <f t="shared" ca="1" si="9"/>
        <v/>
      </c>
      <c r="L279" s="1778">
        <f>L276+1</f>
        <v>19</v>
      </c>
    </row>
    <row r="280" spans="1:12" x14ac:dyDescent="0.2">
      <c r="A280" s="1759">
        <f ca="1">A279</f>
        <v>46158</v>
      </c>
      <c r="B280" s="2621" t="s">
        <v>736</v>
      </c>
      <c r="C280" s="2622"/>
      <c r="D280" s="2622" t="str">
        <f ca="1">IF(OFFSET('fantoma mama'!$A$27,0,$L279,1,1)=0,"Não visível",IF(OFFSET('fantoma mama'!$A$27,0,$L279,1,1)="-","NPA",VLOOKUP(OFFSET('fantoma mama'!$A$27,0,$L279,1,1),IF(OFFSET('fantoma mama'!$A$5,0,$L279,1,1)="acr",Tabelas!$M$8:$N$12,Tabelas!$M$26:$N$30),2)))</f>
        <v>NPA</v>
      </c>
      <c r="E280" s="2622"/>
      <c r="F280" s="1774" t="str">
        <f ca="1">IF(D280="NPA","NR",IF(D280="Não visível","NC",IF(D280&gt;0.32,"NC","C")))</f>
        <v>NR</v>
      </c>
      <c r="G280" s="1771" t="str">
        <f ca="1">G279</f>
        <v>NPA</v>
      </c>
      <c r="H280" s="1771" t="str">
        <f ca="1">H279</f>
        <v>NPA</v>
      </c>
      <c r="I280" s="1772" t="str">
        <f t="shared" ca="1" si="11"/>
        <v>NA</v>
      </c>
      <c r="K280" s="1736" t="str">
        <f t="shared" ca="1" si="9"/>
        <v/>
      </c>
    </row>
    <row r="281" spans="1:12" x14ac:dyDescent="0.2">
      <c r="A281" s="1757">
        <f ca="1">A282</f>
        <v>46159</v>
      </c>
      <c r="B281" s="2625" t="s">
        <v>722</v>
      </c>
      <c r="C281" s="2626"/>
      <c r="D281" s="2626" t="str">
        <f ca="1">IF(OFFSET('fantoma mama'!$A$25,0,$L282,1,1)=0,"Não visível",IF(OFFSET('fantoma mama'!$A$25,0,$L282,1,1)="-","NPA",VLOOKUP(OFFSET('fantoma mama'!$A$25,0,$L282,1,1),IF(OFFSET('fantoma mama'!$A$5,0,$L282,1,1)="acr",Tabelas!$M$2:$N$7,Tabelas!$M$20:$N$25),2)))</f>
        <v>NPA</v>
      </c>
      <c r="E281" s="2626"/>
      <c r="F281" s="1773" t="str">
        <f ca="1">IF(D281="NPA","NR",IF(D281="Não visível","NC",IF(D281&gt;0.75,"NC","C")))</f>
        <v>NR</v>
      </c>
      <c r="G281" s="1767" t="str">
        <f ca="1">G282</f>
        <v>NPA</v>
      </c>
      <c r="H281" s="1767" t="str">
        <f ca="1">H282</f>
        <v>NPA</v>
      </c>
      <c r="I281" s="1768" t="str">
        <f t="shared" ca="1" si="11"/>
        <v>NA</v>
      </c>
      <c r="K281" s="1736" t="str">
        <f t="shared" ca="1" si="9"/>
        <v/>
      </c>
    </row>
    <row r="282" spans="1:12" x14ac:dyDescent="0.2">
      <c r="A282" s="1758">
        <f ca="1">IF(OFFSET('fantoma mama'!$A$4,0,$L282,1,1)=0,"",OFFSET('fantoma mama'!$A$4,0,$L282,1,1))</f>
        <v>46159</v>
      </c>
      <c r="B282" s="2627" t="s">
        <v>723</v>
      </c>
      <c r="C282" s="2628"/>
      <c r="D282" s="2628" t="str">
        <f ca="1">IF(OFFSET('fantoma mama'!$A$26,0,$L282,1,1)=0,"Não visível",IF(OFFSET('fantoma mama'!$A$26,0,$L282,1,1)="-","NPA",VLOOKUP(OFFSET('fantoma mama'!$A$26,0,$L282,1,1),IF(OFFSET('fantoma mama'!$A$5,0,$L282,1,1)="acr",Tabelas!$M$13:$N$17,Tabelas!$M$31:$N$35),2)))</f>
        <v>NPA</v>
      </c>
      <c r="E282" s="2628"/>
      <c r="F282" s="1774" t="str">
        <f ca="1">IF(D282="NPA","NR",IF(D282="Não visível","NC",IF(D282&gt;0.75,"NC","C")))</f>
        <v>NR</v>
      </c>
      <c r="G282" s="1774" t="str">
        <f ca="1">IF(OFFSET('fantoma mama'!$A$23,0,$L282,1,1)=0,"NPA",OFFSET('fantoma mama'!$A$23,0,$L282,1,1))</f>
        <v>NPA</v>
      </c>
      <c r="H282" s="1774" t="str">
        <f ca="1">IF(OFFSET('fantoma mama'!$A$24,0,$L282,1,1)=0,"NPA",OFFSET('fantoma mama'!$A$24,0,$L282,1,1)&amp;" / "&amp;OFFSET('fantoma mama'!$A$22,0,$L282,1,1))</f>
        <v>NPA</v>
      </c>
      <c r="I282" s="1769" t="str">
        <f t="shared" ca="1" si="11"/>
        <v>NA</v>
      </c>
      <c r="K282" s="1736" t="str">
        <f t="shared" ca="1" si="9"/>
        <v/>
      </c>
      <c r="L282" s="1778">
        <f>L279+1</f>
        <v>20</v>
      </c>
    </row>
    <row r="283" spans="1:12" x14ac:dyDescent="0.2">
      <c r="A283" s="1759">
        <f ca="1">A282</f>
        <v>46159</v>
      </c>
      <c r="B283" s="2621" t="s">
        <v>736</v>
      </c>
      <c r="C283" s="2622"/>
      <c r="D283" s="2622" t="str">
        <f ca="1">IF(OFFSET('fantoma mama'!$A$27,0,$L282,1,1)=0,"Não visível",IF(OFFSET('fantoma mama'!$A$27,0,$L282,1,1)="-","NPA",VLOOKUP(OFFSET('fantoma mama'!$A$27,0,$L282,1,1),IF(OFFSET('fantoma mama'!$A$5,0,$L282,1,1)="acr",Tabelas!$M$8:$N$12,Tabelas!$M$26:$N$30),2)))</f>
        <v>NPA</v>
      </c>
      <c r="E283" s="2622"/>
      <c r="F283" s="1774" t="str">
        <f ca="1">IF(D283="NPA","NR",IF(D283="Não visível","NC",IF(D283&gt;0.32,"NC","C")))</f>
        <v>NR</v>
      </c>
      <c r="G283" s="1771" t="str">
        <f ca="1">G282</f>
        <v>NPA</v>
      </c>
      <c r="H283" s="1771" t="str">
        <f ca="1">H282</f>
        <v>NPA</v>
      </c>
      <c r="I283" s="1772" t="str">
        <f t="shared" ca="1" si="11"/>
        <v>NA</v>
      </c>
      <c r="K283" s="1736" t="str">
        <f t="shared" ca="1" si="9"/>
        <v/>
      </c>
    </row>
    <row r="284" spans="1:12" x14ac:dyDescent="0.2">
      <c r="A284" s="1757">
        <f ca="1">A285</f>
        <v>46160</v>
      </c>
      <c r="B284" s="2625" t="s">
        <v>722</v>
      </c>
      <c r="C284" s="2626"/>
      <c r="D284" s="2626" t="str">
        <f ca="1">IF(OFFSET('fantoma mama'!$A$25,0,$L285,1,1)=0,"Não visível",IF(OFFSET('fantoma mama'!$A$25,0,$L285,1,1)="-","NPA",VLOOKUP(OFFSET('fantoma mama'!$A$25,0,$L285,1,1),IF(OFFSET('fantoma mama'!$A$5,0,$L285,1,1)="acr",Tabelas!$M$2:$N$7,Tabelas!$M$20:$N$25),2)))</f>
        <v>NPA</v>
      </c>
      <c r="E284" s="2626"/>
      <c r="F284" s="1773" t="str">
        <f ca="1">IF(D284="NPA","NR",IF(D284="Não visível","NC",IF(D284&gt;0.75,"NC","C")))</f>
        <v>NR</v>
      </c>
      <c r="G284" s="1767" t="str">
        <f ca="1">G285</f>
        <v>NPA</v>
      </c>
      <c r="H284" s="1767" t="str">
        <f ca="1">H285</f>
        <v>NPA</v>
      </c>
      <c r="I284" s="1768" t="str">
        <f t="shared" ca="1" si="11"/>
        <v>NA</v>
      </c>
      <c r="K284" s="1736" t="str">
        <f t="shared" ca="1" si="9"/>
        <v/>
      </c>
    </row>
    <row r="285" spans="1:12" x14ac:dyDescent="0.2">
      <c r="A285" s="1758">
        <f ca="1">IF(OFFSET('fantoma mama'!$A$4,0,$L285,1,1)=0,"",OFFSET('fantoma mama'!$A$4,0,$L285,1,1))</f>
        <v>46160</v>
      </c>
      <c r="B285" s="2627" t="s">
        <v>723</v>
      </c>
      <c r="C285" s="2628"/>
      <c r="D285" s="2628" t="str">
        <f ca="1">IF(OFFSET('fantoma mama'!$A$26,0,$L285,1,1)=0,"Não visível",IF(OFFSET('fantoma mama'!$A$26,0,$L285,1,1)="-","NPA",VLOOKUP(OFFSET('fantoma mama'!$A$26,0,$L285,1,1),IF(OFFSET('fantoma mama'!$A$5,0,$L285,1,1)="acr",Tabelas!$M$13:$N$17,Tabelas!$M$31:$N$35),2)))</f>
        <v>NPA</v>
      </c>
      <c r="E285" s="2628"/>
      <c r="F285" s="1774" t="str">
        <f ca="1">IF(D285="NPA","NR",IF(D285="Não visível","NC",IF(D285&gt;0.75,"NC","C")))</f>
        <v>NR</v>
      </c>
      <c r="G285" s="1774" t="str">
        <f ca="1">IF(OFFSET('fantoma mama'!$A$23,0,$L285,1,1)=0,"NPA",OFFSET('fantoma mama'!$A$23,0,$L285,1,1))</f>
        <v>NPA</v>
      </c>
      <c r="H285" s="1774" t="str">
        <f ca="1">IF(OFFSET('fantoma mama'!$A$24,0,$L285,1,1)=0,"NPA",OFFSET('fantoma mama'!$A$24,0,$L285,1,1)&amp;" / "&amp;OFFSET('fantoma mama'!$A$22,0,$L285,1,1))</f>
        <v>NPA</v>
      </c>
      <c r="I285" s="1769" t="str">
        <f t="shared" ca="1" si="11"/>
        <v>NA</v>
      </c>
      <c r="K285" s="1736" t="str">
        <f t="shared" ca="1" si="9"/>
        <v/>
      </c>
      <c r="L285" s="1778">
        <f>L282+1</f>
        <v>21</v>
      </c>
    </row>
    <row r="286" spans="1:12" x14ac:dyDescent="0.2">
      <c r="A286" s="1759">
        <f ca="1">A285</f>
        <v>46160</v>
      </c>
      <c r="B286" s="2621" t="s">
        <v>736</v>
      </c>
      <c r="C286" s="2622"/>
      <c r="D286" s="2622" t="str">
        <f ca="1">IF(OFFSET('fantoma mama'!$A$27,0,$L285,1,1)=0,"Não visível",IF(OFFSET('fantoma mama'!$A$27,0,$L285,1,1)="-","NPA",VLOOKUP(OFFSET('fantoma mama'!$A$27,0,$L285,1,1),IF(OFFSET('fantoma mama'!$A$5,0,$L285,1,1)="acr",Tabelas!$M$8:$N$12,Tabelas!$M$26:$N$30),2)))</f>
        <v>NPA</v>
      </c>
      <c r="E286" s="2622"/>
      <c r="F286" s="1774" t="str">
        <f ca="1">IF(D286="NPA","NR",IF(D286="Não visível","NC",IF(D286&gt;0.32,"NC","C")))</f>
        <v>NR</v>
      </c>
      <c r="G286" s="1771" t="str">
        <f ca="1">G285</f>
        <v>NPA</v>
      </c>
      <c r="H286" s="1771" t="str">
        <f ca="1">H285</f>
        <v>NPA</v>
      </c>
      <c r="I286" s="1772" t="str">
        <f t="shared" ca="1" si="11"/>
        <v>NA</v>
      </c>
      <c r="K286" s="1736" t="str">
        <f t="shared" ca="1" si="9"/>
        <v/>
      </c>
    </row>
    <row r="287" spans="1:12" x14ac:dyDescent="0.2">
      <c r="A287" s="1757">
        <f ca="1">A288</f>
        <v>46161</v>
      </c>
      <c r="B287" s="2625" t="s">
        <v>722</v>
      </c>
      <c r="C287" s="2626"/>
      <c r="D287" s="2626" t="str">
        <f ca="1">IF(OFFSET('fantoma mama'!$A$25,0,$L288,1,1)=0,"Não visível",IF(OFFSET('fantoma mama'!$A$25,0,$L288,1,1)="-","NPA",VLOOKUP(OFFSET('fantoma mama'!$A$25,0,$L288,1,1),IF(OFFSET('fantoma mama'!$A$5,0,$L288,1,1)="acr",Tabelas!$M$2:$N$7,Tabelas!$M$20:$N$25),2)))</f>
        <v>NPA</v>
      </c>
      <c r="E287" s="2626"/>
      <c r="F287" s="1773" t="str">
        <f ca="1">IF(D287="NPA","NR",IF(D287="Não visível","NC",IF(D287&gt;0.75,"NC","C")))</f>
        <v>NR</v>
      </c>
      <c r="G287" s="1767" t="str">
        <f ca="1">G288</f>
        <v>NPA</v>
      </c>
      <c r="H287" s="1767" t="str">
        <f ca="1">H288</f>
        <v>NPA</v>
      </c>
      <c r="I287" s="1768" t="str">
        <f t="shared" ca="1" si="11"/>
        <v>NA</v>
      </c>
      <c r="K287" s="1736" t="str">
        <f t="shared" ca="1" si="9"/>
        <v/>
      </c>
    </row>
    <row r="288" spans="1:12" x14ac:dyDescent="0.2">
      <c r="A288" s="1758">
        <f ca="1">IF(OFFSET('fantoma mama'!$A$4,0,$L288,1,1)=0,"",OFFSET('fantoma mama'!$A$4,0,$L288,1,1))</f>
        <v>46161</v>
      </c>
      <c r="B288" s="2627" t="s">
        <v>723</v>
      </c>
      <c r="C288" s="2628"/>
      <c r="D288" s="2628" t="str">
        <f ca="1">IF(OFFSET('fantoma mama'!$A$26,0,$L288,1,1)=0,"Não visível",IF(OFFSET('fantoma mama'!$A$26,0,$L288,1,1)="-","NPA",VLOOKUP(OFFSET('fantoma mama'!$A$26,0,$L288,1,1),IF(OFFSET('fantoma mama'!$A$5,0,$L288,1,1)="acr",Tabelas!$M$13:$N$17,Tabelas!$M$31:$N$35),2)))</f>
        <v>NPA</v>
      </c>
      <c r="E288" s="2628"/>
      <c r="F288" s="1774" t="str">
        <f ca="1">IF(D288="NPA","NR",IF(D288="Não visível","NC",IF(D288&gt;0.75,"NC","C")))</f>
        <v>NR</v>
      </c>
      <c r="G288" s="1774" t="str">
        <f ca="1">IF(OFFSET('fantoma mama'!$A$23,0,$L288,1,1)=0,"NPA",OFFSET('fantoma mama'!$A$23,0,$L288,1,1))</f>
        <v>NPA</v>
      </c>
      <c r="H288" s="1774" t="str">
        <f ca="1">IF(OFFSET('fantoma mama'!$A$24,0,$L288,1,1)=0,"NPA",OFFSET('fantoma mama'!$A$24,0,$L288,1,1)&amp;" / "&amp;OFFSET('fantoma mama'!$A$22,0,$L288,1,1))</f>
        <v>NPA</v>
      </c>
      <c r="I288" s="1769" t="str">
        <f t="shared" ca="1" si="11"/>
        <v>NA</v>
      </c>
      <c r="K288" s="1736" t="str">
        <f t="shared" ca="1" si="9"/>
        <v/>
      </c>
      <c r="L288" s="1778">
        <f>L285+1</f>
        <v>22</v>
      </c>
    </row>
    <row r="289" spans="1:12" x14ac:dyDescent="0.2">
      <c r="A289" s="1759">
        <f ca="1">A288</f>
        <v>46161</v>
      </c>
      <c r="B289" s="2621" t="s">
        <v>736</v>
      </c>
      <c r="C289" s="2622"/>
      <c r="D289" s="2622" t="str">
        <f ca="1">IF(OFFSET('fantoma mama'!$A$27,0,$L288,1,1)=0,"Não visível",IF(OFFSET('fantoma mama'!$A$27,0,$L288,1,1)="-","NPA",VLOOKUP(OFFSET('fantoma mama'!$A$27,0,$L288,1,1),IF(OFFSET('fantoma mama'!$A$5,0,$L288,1,1)="acr",Tabelas!$M$8:$N$12,Tabelas!$M$26:$N$30),2)))</f>
        <v>NPA</v>
      </c>
      <c r="E289" s="2622"/>
      <c r="F289" s="1774" t="str">
        <f ca="1">IF(D289="NPA","NR",IF(D289="Não visível","NC",IF(D289&gt;0.32,"NC","C")))</f>
        <v>NR</v>
      </c>
      <c r="G289" s="1771" t="str">
        <f ca="1">G288</f>
        <v>NPA</v>
      </c>
      <c r="H289" s="1771" t="str">
        <f ca="1">H288</f>
        <v>NPA</v>
      </c>
      <c r="I289" s="1772" t="str">
        <f t="shared" ca="1" si="11"/>
        <v>NA</v>
      </c>
      <c r="K289" s="1736" t="str">
        <f t="shared" ref="K289:K298" ca="1" si="12">IF(A289="","x","")</f>
        <v/>
      </c>
    </row>
    <row r="290" spans="1:12" x14ac:dyDescent="0.2">
      <c r="A290" s="1757">
        <f ca="1">A291</f>
        <v>46162</v>
      </c>
      <c r="B290" s="2625" t="s">
        <v>722</v>
      </c>
      <c r="C290" s="2626"/>
      <c r="D290" s="2626" t="str">
        <f ca="1">IF(OFFSET('fantoma mama'!$A$25,0,$L291,1,1)=0,"Não visível",IF(OFFSET('fantoma mama'!$A$25,0,$L291,1,1)="-","NPA",VLOOKUP(OFFSET('fantoma mama'!$A$25,0,$L291,1,1),IF(OFFSET('fantoma mama'!$A$5,0,$L291,1,1)="acr",Tabelas!$M$2:$N$7,Tabelas!$M$20:$N$25),2)))</f>
        <v>NPA</v>
      </c>
      <c r="E290" s="2626"/>
      <c r="F290" s="1773" t="str">
        <f ca="1">IF(D290="NPA","NR",IF(D290="Não visível","NC",IF(D290&gt;0.75,"NC","C")))</f>
        <v>NR</v>
      </c>
      <c r="G290" s="1767" t="str">
        <f ca="1">G291</f>
        <v>NPA</v>
      </c>
      <c r="H290" s="1767" t="str">
        <f ca="1">H291</f>
        <v>NPA</v>
      </c>
      <c r="I290" s="1768" t="str">
        <f t="shared" ca="1" si="11"/>
        <v>NA</v>
      </c>
      <c r="K290" s="1736" t="str">
        <f t="shared" ca="1" si="12"/>
        <v/>
      </c>
    </row>
    <row r="291" spans="1:12" x14ac:dyDescent="0.2">
      <c r="A291" s="1758">
        <f ca="1">IF(OFFSET('fantoma mama'!$A$4,0,$L291,1,1)=0,"",OFFSET('fantoma mama'!$A$4,0,$L291,1,1))</f>
        <v>46162</v>
      </c>
      <c r="B291" s="2627" t="s">
        <v>723</v>
      </c>
      <c r="C291" s="2628"/>
      <c r="D291" s="2628" t="str">
        <f ca="1">IF(OFFSET('fantoma mama'!$A$26,0,$L291,1,1)=0,"Não visível",IF(OFFSET('fantoma mama'!$A$26,0,$L291,1,1)="-","NPA",VLOOKUP(OFFSET('fantoma mama'!$A$26,0,$L291,1,1),IF(OFFSET('fantoma mama'!$A$5,0,$L291,1,1)="acr",Tabelas!$M$13:$N$17,Tabelas!$M$31:$N$35),2)))</f>
        <v>NPA</v>
      </c>
      <c r="E291" s="2628"/>
      <c r="F291" s="1774" t="str">
        <f ca="1">IF(D291="NPA","NR",IF(D291="Não visível","NC",IF(D291&gt;0.75,"NC","C")))</f>
        <v>NR</v>
      </c>
      <c r="G291" s="1774" t="str">
        <f ca="1">IF(OFFSET('fantoma mama'!$A$23,0,$L291,1,1)=0,"NPA",OFFSET('fantoma mama'!$A$23,0,$L291,1,1))</f>
        <v>NPA</v>
      </c>
      <c r="H291" s="1774" t="str">
        <f ca="1">IF(OFFSET('fantoma mama'!$A$24,0,$L291,1,1)=0,"NPA",OFFSET('fantoma mama'!$A$24,0,$L291,1,1)&amp;" / "&amp;OFFSET('fantoma mama'!$A$22,0,$L291,1,1))</f>
        <v>NPA</v>
      </c>
      <c r="I291" s="1769" t="str">
        <f t="shared" ca="1" si="11"/>
        <v>NA</v>
      </c>
      <c r="K291" s="1736" t="str">
        <f t="shared" ca="1" si="12"/>
        <v/>
      </c>
      <c r="L291" s="1778">
        <f>L288+1</f>
        <v>23</v>
      </c>
    </row>
    <row r="292" spans="1:12" x14ac:dyDescent="0.2">
      <c r="A292" s="1759">
        <f ca="1">A291</f>
        <v>46162</v>
      </c>
      <c r="B292" s="2621" t="s">
        <v>736</v>
      </c>
      <c r="C292" s="2622"/>
      <c r="D292" s="2622" t="str">
        <f ca="1">IF(OFFSET('fantoma mama'!$A$27,0,$L291,1,1)=0,"Não visível",IF(OFFSET('fantoma mama'!$A$27,0,$L291,1,1)="-","NPA",VLOOKUP(OFFSET('fantoma mama'!$A$27,0,$L291,1,1),IF(OFFSET('fantoma mama'!$A$5,0,$L291,1,1)="acr",Tabelas!$M$8:$N$12,Tabelas!$M$26:$N$30),2)))</f>
        <v>NPA</v>
      </c>
      <c r="E292" s="2622"/>
      <c r="F292" s="1774" t="str">
        <f ca="1">IF(D292="NPA","NR",IF(D292="Não visível","NC",IF(D292&gt;0.32,"NC","C")))</f>
        <v>NR</v>
      </c>
      <c r="G292" s="1771" t="str">
        <f ca="1">G291</f>
        <v>NPA</v>
      </c>
      <c r="H292" s="1771" t="str">
        <f ca="1">H291</f>
        <v>NPA</v>
      </c>
      <c r="I292" s="1772" t="str">
        <f t="shared" ca="1" si="11"/>
        <v>NA</v>
      </c>
      <c r="K292" s="1736" t="str">
        <f t="shared" ca="1" si="12"/>
        <v/>
      </c>
    </row>
    <row r="293" spans="1:12" x14ac:dyDescent="0.2">
      <c r="A293" s="1757">
        <f ca="1">A294</f>
        <v>46163</v>
      </c>
      <c r="B293" s="2625" t="s">
        <v>722</v>
      </c>
      <c r="C293" s="2626"/>
      <c r="D293" s="2626" t="str">
        <f ca="1">IF(OFFSET('fantoma mama'!$A$25,0,$L294,1,1)=0,"Não visível",IF(OFFSET('fantoma mama'!$A$25,0,$L294,1,1)="-","NPA",VLOOKUP(OFFSET('fantoma mama'!$A$25,0,$L294,1,1),IF(OFFSET('fantoma mama'!$A$5,0,$L294,1,1)="acr",Tabelas!$M$2:$N$7,Tabelas!$M$20:$N$25),2)))</f>
        <v>NPA</v>
      </c>
      <c r="E293" s="2626"/>
      <c r="F293" s="1773" t="str">
        <f ca="1">IF(D293="NPA","NR",IF(D293="Não visível","NC",IF(D293&gt;0.75,"NC","C")))</f>
        <v>NR</v>
      </c>
      <c r="G293" s="1767" t="str">
        <f ca="1">G294</f>
        <v>NPA</v>
      </c>
      <c r="H293" s="1767" t="str">
        <f ca="1">H294</f>
        <v>NPA</v>
      </c>
      <c r="I293" s="1768" t="str">
        <f t="shared" ca="1" si="11"/>
        <v>NA</v>
      </c>
      <c r="K293" s="1736" t="str">
        <f t="shared" ca="1" si="12"/>
        <v/>
      </c>
    </row>
    <row r="294" spans="1:12" x14ac:dyDescent="0.2">
      <c r="A294" s="1758">
        <f ca="1">IF(OFFSET('fantoma mama'!$A$4,0,$L294,1,1)=0,"",OFFSET('fantoma mama'!$A$4,0,$L294,1,1))</f>
        <v>46163</v>
      </c>
      <c r="B294" s="2627" t="s">
        <v>723</v>
      </c>
      <c r="C294" s="2628"/>
      <c r="D294" s="2628" t="str">
        <f ca="1">IF(OFFSET('fantoma mama'!$A$26,0,$L294,1,1)=0,"Não visível",IF(OFFSET('fantoma mama'!$A$26,0,$L294,1,1)="-","NPA",VLOOKUP(OFFSET('fantoma mama'!$A$26,0,$L294,1,1),IF(OFFSET('fantoma mama'!$A$5,0,$L294,1,1)="acr",Tabelas!$M$13:$N$17,Tabelas!$M$31:$N$35),2)))</f>
        <v>NPA</v>
      </c>
      <c r="E294" s="2628"/>
      <c r="F294" s="1774" t="str">
        <f ca="1">IF(D294="NPA","NR",IF(D294="Não visível","NC",IF(D294&gt;0.75,"NC","C")))</f>
        <v>NR</v>
      </c>
      <c r="G294" s="1774" t="str">
        <f ca="1">IF(OFFSET('fantoma mama'!$A$23,0,$L294,1,1)=0,"NPA",OFFSET('fantoma mama'!$A$23,0,$L294,1,1))</f>
        <v>NPA</v>
      </c>
      <c r="H294" s="1774" t="str">
        <f ca="1">IF(OFFSET('fantoma mama'!$A$24,0,$L294,1,1)=0,"NPA",OFFSET('fantoma mama'!$A$24,0,$L294,1,1)&amp;" / "&amp;OFFSET('fantoma mama'!$A$22,0,$L294,1,1))</f>
        <v>NPA</v>
      </c>
      <c r="I294" s="1769" t="str">
        <f t="shared" ca="1" si="11"/>
        <v>NA</v>
      </c>
      <c r="K294" s="1736" t="str">
        <f t="shared" ca="1" si="12"/>
        <v/>
      </c>
      <c r="L294" s="1778">
        <f>L291+1</f>
        <v>24</v>
      </c>
    </row>
    <row r="295" spans="1:12" x14ac:dyDescent="0.2">
      <c r="A295" s="1759">
        <f ca="1">A294</f>
        <v>46163</v>
      </c>
      <c r="B295" s="2621" t="s">
        <v>736</v>
      </c>
      <c r="C295" s="2622"/>
      <c r="D295" s="2622" t="str">
        <f ca="1">IF(OFFSET('fantoma mama'!$A$27,0,$L294,1,1)=0,"Não visível",IF(OFFSET('fantoma mama'!$A$27,0,$L294,1,1)="-","NPA",VLOOKUP(OFFSET('fantoma mama'!$A$27,0,$L294,1,1),IF(OFFSET('fantoma mama'!$A$5,0,$L294,1,1)="acr",Tabelas!$M$8:$N$12,Tabelas!$M$26:$N$30),2)))</f>
        <v>NPA</v>
      </c>
      <c r="E295" s="2622"/>
      <c r="F295" s="1774" t="str">
        <f ca="1">IF(D295="NPA","NR",IF(D295="Não visível","NC",IF(D295&gt;0.32,"NC","C")))</f>
        <v>NR</v>
      </c>
      <c r="G295" s="1771" t="str">
        <f ca="1">G294</f>
        <v>NPA</v>
      </c>
      <c r="H295" s="1771" t="str">
        <f ca="1">H294</f>
        <v>NPA</v>
      </c>
      <c r="I295" s="1772" t="str">
        <f t="shared" ca="1" si="11"/>
        <v>NA</v>
      </c>
      <c r="K295" s="1736" t="str">
        <f t="shared" ca="1" si="12"/>
        <v/>
      </c>
    </row>
    <row r="296" spans="1:12" x14ac:dyDescent="0.2">
      <c r="A296" s="1757">
        <f ca="1">A297</f>
        <v>46164</v>
      </c>
      <c r="B296" s="2625" t="s">
        <v>722</v>
      </c>
      <c r="C296" s="2626"/>
      <c r="D296" s="2626" t="str">
        <f ca="1">IF(OFFSET('fantoma mama'!$A$25,0,$L297,1,1)=0,"Não visível",IF(OFFSET('fantoma mama'!$A$25,0,$L297,1,1)="-","NPA",VLOOKUP(OFFSET('fantoma mama'!$A$25,0,$L297,1,1),IF(OFFSET('fantoma mama'!$A$5,0,$L297,1,1)="acr",Tabelas!$M$2:$N$7,Tabelas!$M$20:$N$25),2)))</f>
        <v>NPA</v>
      </c>
      <c r="E296" s="2626"/>
      <c r="F296" s="1773" t="str">
        <f ca="1">IF(D296="NPA","NR",IF(D296="Não visível","NC",IF(D296&gt;0.75,"NC","C")))</f>
        <v>NR</v>
      </c>
      <c r="G296" s="1767" t="str">
        <f ca="1">G297</f>
        <v>NPA</v>
      </c>
      <c r="H296" s="1767" t="str">
        <f ca="1">H297</f>
        <v>NPA</v>
      </c>
      <c r="I296" s="1768" t="str">
        <f t="shared" ca="1" si="11"/>
        <v>NA</v>
      </c>
      <c r="K296" s="1736" t="str">
        <f t="shared" ca="1" si="12"/>
        <v/>
      </c>
    </row>
    <row r="297" spans="1:12" x14ac:dyDescent="0.2">
      <c r="A297" s="1758">
        <f ca="1">IF(OFFSET('fantoma mama'!$A$4,0,$L297,1,1)=0,"",OFFSET('fantoma mama'!$A$4,0,$L297,1,1))</f>
        <v>46164</v>
      </c>
      <c r="B297" s="2627" t="s">
        <v>723</v>
      </c>
      <c r="C297" s="2628"/>
      <c r="D297" s="2628" t="str">
        <f ca="1">IF(OFFSET('fantoma mama'!$A$26,0,$L297,1,1)=0,"Não visível",IF(OFFSET('fantoma mama'!$A$26,0,$L297,1,1)="-","NPA",VLOOKUP(OFFSET('fantoma mama'!$A$26,0,$L297,1,1),IF(OFFSET('fantoma mama'!$A$5,0,$L297,1,1)="acr",Tabelas!$M$13:$N$17,Tabelas!$M$31:$N$35),2)))</f>
        <v>NPA</v>
      </c>
      <c r="E297" s="2628"/>
      <c r="F297" s="1774" t="str">
        <f ca="1">IF(D297="NPA","NR",IF(D297="Não visível","NC",IF(D297&gt;0.75,"NC","C")))</f>
        <v>NR</v>
      </c>
      <c r="G297" s="1774" t="str">
        <f ca="1">IF(OFFSET('fantoma mama'!$A$23,0,$L297,1,1)=0,"NPA",OFFSET('fantoma mama'!$A$23,0,$L297,1,1))</f>
        <v>NPA</v>
      </c>
      <c r="H297" s="1774" t="str">
        <f ca="1">IF(OFFSET('fantoma mama'!$A$24,0,$L297,1,1)=0,"NPA",OFFSET('fantoma mama'!$A$24,0,$L297,1,1)&amp;" / "&amp;OFFSET('fantoma mama'!$A$22,0,$L297,1,1))</f>
        <v>NPA</v>
      </c>
      <c r="I297" s="1769" t="str">
        <f t="shared" ca="1" si="11"/>
        <v>NA</v>
      </c>
      <c r="K297" s="1736" t="str">
        <f t="shared" ca="1" si="12"/>
        <v/>
      </c>
      <c r="L297" s="1778">
        <f>L294+1</f>
        <v>25</v>
      </c>
    </row>
    <row r="298" spans="1:12" x14ac:dyDescent="0.2">
      <c r="A298" s="1759">
        <f ca="1">A297</f>
        <v>46164</v>
      </c>
      <c r="B298" s="2621" t="s">
        <v>736</v>
      </c>
      <c r="C298" s="2622"/>
      <c r="D298" s="2622" t="str">
        <f ca="1">IF(OFFSET('fantoma mama'!$A$27,0,$L297,1,1)=0,"Não visível",IF(OFFSET('fantoma mama'!$A$27,0,$L297,1,1)="-","NPA",VLOOKUP(OFFSET('fantoma mama'!$A$27,0,$L297,1,1),IF(OFFSET('fantoma mama'!$A$5,0,$L297,1,1)="acr",Tabelas!$M$8:$N$12,Tabelas!$M$26:$N$30),2)))</f>
        <v>NPA</v>
      </c>
      <c r="E298" s="2622"/>
      <c r="F298" s="1774" t="str">
        <f ca="1">IF(D298="NPA","NR",IF(D298="Não visível","NC",IF(D298&gt;0.32,"NC","C")))</f>
        <v>NR</v>
      </c>
      <c r="G298" s="1771" t="str">
        <f ca="1">G297</f>
        <v>NPA</v>
      </c>
      <c r="H298" s="1771" t="str">
        <f ca="1">H297</f>
        <v>NPA</v>
      </c>
      <c r="I298" s="1772" t="str">
        <f t="shared" ca="1" si="11"/>
        <v>NA</v>
      </c>
      <c r="K298" s="1736" t="str">
        <f t="shared" ca="1" si="12"/>
        <v/>
      </c>
    </row>
    <row r="299" spans="1:12" x14ac:dyDescent="0.2">
      <c r="A299" s="2623" t="s">
        <v>1877</v>
      </c>
      <c r="B299" s="2623"/>
      <c r="C299" s="2623"/>
      <c r="D299" s="2623"/>
      <c r="E299" s="2623"/>
      <c r="F299" s="2623"/>
      <c r="G299" s="2623"/>
      <c r="H299" s="2623"/>
      <c r="I299" s="2623"/>
      <c r="K299" s="1736" t="str">
        <f>K223</f>
        <v>x</v>
      </c>
    </row>
    <row r="300" spans="1:12" x14ac:dyDescent="0.2">
      <c r="A300" s="2624"/>
      <c r="B300" s="2624"/>
      <c r="C300" s="2624"/>
      <c r="D300" s="2624"/>
      <c r="E300" s="2624"/>
      <c r="F300" s="2624"/>
      <c r="G300" s="2624"/>
      <c r="H300" s="2624"/>
      <c r="I300" s="2624"/>
      <c r="K300" s="1736" t="str">
        <f>K299</f>
        <v>x</v>
      </c>
    </row>
    <row r="301" spans="1:12" x14ac:dyDescent="0.2">
      <c r="K301" s="1736" t="str">
        <f>K302</f>
        <v>x</v>
      </c>
    </row>
    <row r="302" spans="1:12" ht="15.75" x14ac:dyDescent="0.25">
      <c r="A302" s="1742" t="str">
        <f>"Protocolo Padrão do Serviço de Mamografia ("&amp;IF('fantoma mama'!$B$29="m","manual",IF('fantoma mama'!$B$29="a","automático","semiautomático"))&amp;")"</f>
        <v>Protocolo Padrão do Serviço de Mamografia (automático)</v>
      </c>
      <c r="C302" s="1754"/>
      <c r="D302" s="1754"/>
      <c r="E302" s="1754"/>
      <c r="F302" s="1755"/>
      <c r="G302" s="1756"/>
      <c r="H302" s="1755"/>
      <c r="K302" s="1736" t="str">
        <f>IF(COUNTA('fantoma mama'!$B$15:$Z$16)&gt;0,"","x")</f>
        <v>x</v>
      </c>
    </row>
    <row r="303" spans="1:12" x14ac:dyDescent="0.2">
      <c r="A303" s="1762" t="s">
        <v>1873</v>
      </c>
      <c r="B303" s="2629" t="s">
        <v>1875</v>
      </c>
      <c r="C303" s="2629"/>
      <c r="D303" s="2630" t="s">
        <v>766</v>
      </c>
      <c r="E303" s="2630"/>
      <c r="F303" s="1760" t="s">
        <v>1874</v>
      </c>
      <c r="G303" s="1760" t="s">
        <v>0</v>
      </c>
      <c r="H303" s="1760" t="s">
        <v>1881</v>
      </c>
      <c r="I303" s="1761" t="str">
        <f>'fantoma mama'!$B$1</f>
        <v>IN 92</v>
      </c>
      <c r="K303" s="1736" t="str">
        <f>K302</f>
        <v>x</v>
      </c>
    </row>
    <row r="304" spans="1:12" x14ac:dyDescent="0.2">
      <c r="A304" s="1757">
        <f ca="1">A305</f>
        <v>46140</v>
      </c>
      <c r="B304" s="2625" t="s">
        <v>722</v>
      </c>
      <c r="C304" s="2626"/>
      <c r="D304" s="2626" t="str">
        <f ca="1">IF(OFFSET('fantoma mama'!$A$33,0,$L305,1,1)=0,"Não visível",IF(OFFSET('fantoma mama'!$A$33,0,$L305,1,1)="-","NPA",VLOOKUP(OFFSET('fantoma mama'!$A$33,0,$L305,1,1),IF(OFFSET('fantoma mama'!$A$5,0,$L305,1,1)="acr",Tabelas!$M$2:$N$7,Tabelas!$M$20:$N$25),2)))</f>
        <v>NPA</v>
      </c>
      <c r="E304" s="2626"/>
      <c r="F304" s="1773" t="str">
        <f ca="1">IF(D304="NPA","NR",IF(D304="Não visível","NC",IF(D304&gt;0.75,"NC","C")))</f>
        <v>NR</v>
      </c>
      <c r="G304" s="1767" t="str">
        <f ca="1">G305</f>
        <v>NPA</v>
      </c>
      <c r="H304" s="1767" t="str">
        <f ca="1">H305</f>
        <v>NPA</v>
      </c>
      <c r="I304" s="1768" t="str">
        <f t="shared" ref="I304:I306" ca="1" si="13">IF(F304="NC","Restrição",IF(F304="NR","NA","Sim"))</f>
        <v>NA</v>
      </c>
      <c r="K304" s="1736" t="str">
        <f ca="1">IF(A304="","x","")</f>
        <v/>
      </c>
      <c r="L304" s="1778" t="s">
        <v>1879</v>
      </c>
    </row>
    <row r="305" spans="1:12" x14ac:dyDescent="0.2">
      <c r="A305" s="1758">
        <f ca="1">IF(OFFSET('fantoma mama'!$A$4,0,$L305,1,1)=0,"",OFFSET('fantoma mama'!$A$4,0,$L305,1,1))</f>
        <v>46140</v>
      </c>
      <c r="B305" s="2627" t="s">
        <v>723</v>
      </c>
      <c r="C305" s="2628"/>
      <c r="D305" s="2628" t="str">
        <f ca="1">IF(OFFSET('fantoma mama'!$A$34,0,$L305,1,1)=0,"Não visível",IF(OFFSET('fantoma mama'!$A$34,0,$L305,1,1)="-","NPA",VLOOKUP(OFFSET('fantoma mama'!$A$34,0,$L305,1,1),IF(OFFSET('fantoma mama'!$A$5,0,$L305,1,1)="acr",Tabelas!$M$13:$N$17,Tabelas!$M$31:$N$35),2)))</f>
        <v>NPA</v>
      </c>
      <c r="E305" s="2628"/>
      <c r="F305" s="1774" t="str">
        <f ca="1">IF(D305="NPA","NR",IF(D305="Não visível","NC",IF(D305&gt;0.75,"NC","C")))</f>
        <v>NR</v>
      </c>
      <c r="G305" s="1774" t="str">
        <f ca="1">IF(OFFSET('fantoma mama'!$A$31,0,$L305,1,1)=0,"NPA",OFFSET('fantoma mama'!$A$31,0,$L305,1,1))</f>
        <v>NPA</v>
      </c>
      <c r="H305" s="1774" t="str">
        <f ca="1">IF(OFFSET('fantoma mama'!$A$32,0,$L305,1,1)=0,"NPA",OFFSET('fantoma mama'!$A$32,0,$L305,1,1)&amp;" / "&amp;OFFSET('fantoma mama'!$A$30,0,$L305,1,1))</f>
        <v>NPA</v>
      </c>
      <c r="I305" s="1769" t="str">
        <f t="shared" ca="1" si="13"/>
        <v>NA</v>
      </c>
      <c r="K305" s="1736" t="str">
        <f t="shared" ref="K305:K368" ca="1" si="14">IF(A305="","x","")</f>
        <v/>
      </c>
      <c r="L305" s="1778">
        <v>1</v>
      </c>
    </row>
    <row r="306" spans="1:12" x14ac:dyDescent="0.2">
      <c r="A306" s="1759">
        <f ca="1">A305</f>
        <v>46140</v>
      </c>
      <c r="B306" s="2621" t="s">
        <v>736</v>
      </c>
      <c r="C306" s="2622"/>
      <c r="D306" s="2622" t="str">
        <f ca="1">IF(OFFSET('fantoma mama'!$A$35,0,$L305,1,1)=0,"Não visível",IF(OFFSET('fantoma mama'!$A$35,0,$L305,1,1)="-","NPA",VLOOKUP(OFFSET('fantoma mama'!$A$35,0,$L305,1,1),IF(OFFSET('fantoma mama'!$A$5,0,$L305,1,1)="acr",Tabelas!$M$8:$N$12,Tabelas!$M$26:$N$30),2)))</f>
        <v>NPA</v>
      </c>
      <c r="E306" s="2622"/>
      <c r="F306" s="1774" t="str">
        <f ca="1">IF(D306="NPA","NR",IF(D306="Não visível","NC",IF(D306&gt;0.32,"NC","C")))</f>
        <v>NR</v>
      </c>
      <c r="G306" s="1771" t="str">
        <f ca="1">G305</f>
        <v>NPA</v>
      </c>
      <c r="H306" s="1771" t="str">
        <f ca="1">H305</f>
        <v>NPA</v>
      </c>
      <c r="I306" s="1772" t="str">
        <f t="shared" ca="1" si="13"/>
        <v>NA</v>
      </c>
      <c r="K306" s="1736" t="str">
        <f t="shared" ca="1" si="14"/>
        <v/>
      </c>
    </row>
    <row r="307" spans="1:12" x14ac:dyDescent="0.2">
      <c r="A307" s="1757">
        <f ca="1">A308</f>
        <v>46141</v>
      </c>
      <c r="B307" s="2625" t="s">
        <v>722</v>
      </c>
      <c r="C307" s="2626"/>
      <c r="D307" s="2626" t="str">
        <f ca="1">IF(OFFSET('fantoma mama'!$A$33,0,$L308,1,1)=0,"Não visível",IF(OFFSET('fantoma mama'!$A$33,0,$L308,1,1)="-","NPA",VLOOKUP(OFFSET('fantoma mama'!$A$33,0,$L308,1,1),IF(OFFSET('fantoma mama'!$A$5,0,$L308,1,1)="acr",Tabelas!$M$2:$N$7,Tabelas!$M$20:$N$25),2)))</f>
        <v>NPA</v>
      </c>
      <c r="E307" s="2626"/>
      <c r="F307" s="1773" t="str">
        <f ca="1">IF(D307="NPA","NR",IF(D307="Não visível","NC",IF(D307&gt;0.75,"NC","C")))</f>
        <v>NR</v>
      </c>
      <c r="G307" s="1767" t="str">
        <f ca="1">G308</f>
        <v>NPA</v>
      </c>
      <c r="H307" s="1767" t="str">
        <f ca="1">H308</f>
        <v>NPA</v>
      </c>
      <c r="I307" s="1768" t="str">
        <f t="shared" ref="I307:I321" ca="1" si="15">IF(F307="NC","Restrição",IF(F307="NR","NA","Sim"))</f>
        <v>NA</v>
      </c>
      <c r="K307" s="1736" t="str">
        <f t="shared" ca="1" si="14"/>
        <v/>
      </c>
    </row>
    <row r="308" spans="1:12" x14ac:dyDescent="0.2">
      <c r="A308" s="1758">
        <f ca="1">IF(OFFSET('fantoma mama'!$A$4,0,$L308,1,1)=0,"",OFFSET('fantoma mama'!$A$4,0,$L308,1,1))</f>
        <v>46141</v>
      </c>
      <c r="B308" s="2627" t="s">
        <v>723</v>
      </c>
      <c r="C308" s="2628"/>
      <c r="D308" s="2628" t="str">
        <f ca="1">IF(OFFSET('fantoma mama'!$A$34,0,$L308,1,1)=0,"Não visível",IF(OFFSET('fantoma mama'!$A$34,0,$L308,1,1)="-","NPA",VLOOKUP(OFFSET('fantoma mama'!$A$34,0,$L308,1,1),IF(OFFSET('fantoma mama'!$A$5,0,$L308,1,1)="acr",Tabelas!$M$13:$N$17,Tabelas!$M$31:$N$35),2)))</f>
        <v>NPA</v>
      </c>
      <c r="E308" s="2628"/>
      <c r="F308" s="1774" t="str">
        <f ca="1">IF(D308="NPA","NR",IF(D308="Não visível","NC",IF(D308&gt;0.75,"NC","C")))</f>
        <v>NR</v>
      </c>
      <c r="G308" s="1774" t="str">
        <f ca="1">IF(OFFSET('fantoma mama'!$A$31,0,$L308,1,1)=0,"NPA",OFFSET('fantoma mama'!$A$31,0,$L308,1,1))</f>
        <v>NPA</v>
      </c>
      <c r="H308" s="1774" t="str">
        <f ca="1">IF(OFFSET('fantoma mama'!$A$32,0,$L308,1,1)=0,"NPA",OFFSET('fantoma mama'!$A$32,0,$L308,1,1)&amp;" / "&amp;OFFSET('fantoma mama'!$A$30,0,$L308,1,1))</f>
        <v>NPA</v>
      </c>
      <c r="I308" s="1769" t="str">
        <f t="shared" ca="1" si="15"/>
        <v>NA</v>
      </c>
      <c r="K308" s="1736" t="str">
        <f t="shared" ca="1" si="14"/>
        <v/>
      </c>
      <c r="L308" s="1778">
        <f>L305+1</f>
        <v>2</v>
      </c>
    </row>
    <row r="309" spans="1:12" x14ac:dyDescent="0.2">
      <c r="A309" s="1759">
        <f ca="1">A308</f>
        <v>46141</v>
      </c>
      <c r="B309" s="2621" t="s">
        <v>736</v>
      </c>
      <c r="C309" s="2622"/>
      <c r="D309" s="2622" t="str">
        <f ca="1">IF(OFFSET('fantoma mama'!$A$35,0,$L308,1,1)=0,"Não visível",IF(OFFSET('fantoma mama'!$A$35,0,$L308,1,1)="-","NPA",VLOOKUP(OFFSET('fantoma mama'!$A$35,0,$L308,1,1),IF(OFFSET('fantoma mama'!$A$5,0,$L308,1,1)="acr",Tabelas!$M$8:$N$12,Tabelas!$M$26:$N$30),2)))</f>
        <v>NPA</v>
      </c>
      <c r="E309" s="2622"/>
      <c r="F309" s="1774" t="str">
        <f ca="1">IF(D309="NPA","NR",IF(D309="Não visível","NC",IF(D309&gt;0.32,"NC","C")))</f>
        <v>NR</v>
      </c>
      <c r="G309" s="1771" t="str">
        <f ca="1">G308</f>
        <v>NPA</v>
      </c>
      <c r="H309" s="1771" t="str">
        <f ca="1">H308</f>
        <v>NPA</v>
      </c>
      <c r="I309" s="1772" t="str">
        <f t="shared" ca="1" si="15"/>
        <v>NA</v>
      </c>
      <c r="K309" s="1736" t="str">
        <f t="shared" ca="1" si="14"/>
        <v/>
      </c>
    </row>
    <row r="310" spans="1:12" x14ac:dyDescent="0.2">
      <c r="A310" s="1757">
        <f ca="1">A311</f>
        <v>46142</v>
      </c>
      <c r="B310" s="2625" t="s">
        <v>722</v>
      </c>
      <c r="C310" s="2626"/>
      <c r="D310" s="2626" t="str">
        <f ca="1">IF(OFFSET('fantoma mama'!$A$33,0,$L311,1,1)=0,"Não visível",IF(OFFSET('fantoma mama'!$A$33,0,$L311,1,1)="-","NPA",VLOOKUP(OFFSET('fantoma mama'!$A$33,0,$L311,1,1),IF(OFFSET('fantoma mama'!$A$5,0,$L311,1,1)="acr",Tabelas!$M$2:$N$7,Tabelas!$M$20:$N$25),2)))</f>
        <v>NPA</v>
      </c>
      <c r="E310" s="2626"/>
      <c r="F310" s="1773" t="str">
        <f ca="1">IF(D310="NPA","NR",IF(D310="Não visível","NC",IF(D310&gt;0.75,"NC","C")))</f>
        <v>NR</v>
      </c>
      <c r="G310" s="1767" t="str">
        <f ca="1">G311</f>
        <v>NPA</v>
      </c>
      <c r="H310" s="1767" t="str">
        <f ca="1">H311</f>
        <v>NPA</v>
      </c>
      <c r="I310" s="1768" t="str">
        <f t="shared" ca="1" si="15"/>
        <v>NA</v>
      </c>
      <c r="K310" s="1736" t="str">
        <f t="shared" ca="1" si="14"/>
        <v/>
      </c>
    </row>
    <row r="311" spans="1:12" x14ac:dyDescent="0.2">
      <c r="A311" s="1758">
        <f ca="1">IF(OFFSET('fantoma mama'!$A$4,0,$L311,1,1)=0,"",OFFSET('fantoma mama'!$A$4,0,$L311,1,1))</f>
        <v>46142</v>
      </c>
      <c r="B311" s="2627" t="s">
        <v>723</v>
      </c>
      <c r="C311" s="2628"/>
      <c r="D311" s="2628" t="str">
        <f ca="1">IF(OFFSET('fantoma mama'!$A$34,0,$L311,1,1)=0,"Não visível",IF(OFFSET('fantoma mama'!$A$34,0,$L311,1,1)="-","NPA",VLOOKUP(OFFSET('fantoma mama'!$A$34,0,$L311,1,1),IF(OFFSET('fantoma mama'!$A$5,0,$L311,1,1)="acr",Tabelas!$M$13:$N$17,Tabelas!$M$31:$N$35),2)))</f>
        <v>NPA</v>
      </c>
      <c r="E311" s="2628"/>
      <c r="F311" s="1774" t="str">
        <f ca="1">IF(D311="NPA","NR",IF(D311="Não visível","NC",IF(D311&gt;0.75,"NC","C")))</f>
        <v>NR</v>
      </c>
      <c r="G311" s="1774" t="str">
        <f ca="1">IF(OFFSET('fantoma mama'!$A$31,0,$L311,1,1)=0,"NPA",OFFSET('fantoma mama'!$A$31,0,$L311,1,1))</f>
        <v>NPA</v>
      </c>
      <c r="H311" s="1774" t="str">
        <f ca="1">IF(OFFSET('fantoma mama'!$A$32,0,$L311,1,1)=0,"NPA",OFFSET('fantoma mama'!$A$32,0,$L311,1,1)&amp;" / "&amp;OFFSET('fantoma mama'!$A$30,0,$L311,1,1))</f>
        <v>NPA</v>
      </c>
      <c r="I311" s="1769" t="str">
        <f t="shared" ca="1" si="15"/>
        <v>NA</v>
      </c>
      <c r="K311" s="1736" t="str">
        <f t="shared" ca="1" si="14"/>
        <v/>
      </c>
      <c r="L311" s="1778">
        <f>L308+1</f>
        <v>3</v>
      </c>
    </row>
    <row r="312" spans="1:12" x14ac:dyDescent="0.2">
      <c r="A312" s="1759">
        <f ca="1">A311</f>
        <v>46142</v>
      </c>
      <c r="B312" s="2621" t="s">
        <v>736</v>
      </c>
      <c r="C312" s="2622"/>
      <c r="D312" s="2622" t="str">
        <f ca="1">IF(OFFSET('fantoma mama'!$A$35,0,$L311,1,1)=0,"Não visível",IF(OFFSET('fantoma mama'!$A$35,0,$L311,1,1)="-","NPA",VLOOKUP(OFFSET('fantoma mama'!$A$35,0,$L311,1,1),IF(OFFSET('fantoma mama'!$A$5,0,$L311,1,1)="acr",Tabelas!$M$8:$N$12,Tabelas!$M$26:$N$30),2)))</f>
        <v>NPA</v>
      </c>
      <c r="E312" s="2622"/>
      <c r="F312" s="1774" t="str">
        <f ca="1">IF(D312="NPA","NR",IF(D312="Não visível","NC",IF(D312&gt;0.32,"NC","C")))</f>
        <v>NR</v>
      </c>
      <c r="G312" s="1771" t="str">
        <f ca="1">G311</f>
        <v>NPA</v>
      </c>
      <c r="H312" s="1771" t="str">
        <f ca="1">H311</f>
        <v>NPA</v>
      </c>
      <c r="I312" s="1772" t="str">
        <f t="shared" ca="1" si="15"/>
        <v>NA</v>
      </c>
      <c r="K312" s="1736" t="str">
        <f t="shared" ca="1" si="14"/>
        <v/>
      </c>
    </row>
    <row r="313" spans="1:12" x14ac:dyDescent="0.2">
      <c r="A313" s="1757">
        <f ca="1">A314</f>
        <v>46143</v>
      </c>
      <c r="B313" s="2625" t="s">
        <v>722</v>
      </c>
      <c r="C313" s="2626"/>
      <c r="D313" s="2626" t="str">
        <f ca="1">IF(OFFSET('fantoma mama'!$A$33,0,$L314,1,1)=0,"Não visível",IF(OFFSET('fantoma mama'!$A$33,0,$L314,1,1)="-","NPA",VLOOKUP(OFFSET('fantoma mama'!$A$33,0,$L314,1,1),IF(OFFSET('fantoma mama'!$A$5,0,$L314,1,1)="acr",Tabelas!$M$2:$N$7,Tabelas!$M$20:$N$25),2)))</f>
        <v>NPA</v>
      </c>
      <c r="E313" s="2626"/>
      <c r="F313" s="1773" t="str">
        <f ca="1">IF(D313="NPA","NR",IF(D313="Não visível","NC",IF(D313&gt;0.75,"NC","C")))</f>
        <v>NR</v>
      </c>
      <c r="G313" s="1767" t="str">
        <f ca="1">G314</f>
        <v>NPA</v>
      </c>
      <c r="H313" s="1767" t="str">
        <f ca="1">H314</f>
        <v>NPA</v>
      </c>
      <c r="I313" s="1768" t="str">
        <f t="shared" ca="1" si="15"/>
        <v>NA</v>
      </c>
      <c r="K313" s="1736" t="str">
        <f t="shared" ca="1" si="14"/>
        <v/>
      </c>
    </row>
    <row r="314" spans="1:12" x14ac:dyDescent="0.2">
      <c r="A314" s="1758">
        <f ca="1">IF(OFFSET('fantoma mama'!$A$4,0,$L314,1,1)=0,"",OFFSET('fantoma mama'!$A$4,0,$L314,1,1))</f>
        <v>46143</v>
      </c>
      <c r="B314" s="2627" t="s">
        <v>723</v>
      </c>
      <c r="C314" s="2628"/>
      <c r="D314" s="2628" t="str">
        <f ca="1">IF(OFFSET('fantoma mama'!$A$34,0,$L314,1,1)=0,"Não visível",IF(OFFSET('fantoma mama'!$A$34,0,$L314,1,1)="-","NPA",VLOOKUP(OFFSET('fantoma mama'!$A$34,0,$L314,1,1),IF(OFFSET('fantoma mama'!$A$5,0,$L314,1,1)="acr",Tabelas!$M$13:$N$17,Tabelas!$M$31:$N$35),2)))</f>
        <v>NPA</v>
      </c>
      <c r="E314" s="2628"/>
      <c r="F314" s="1774" t="str">
        <f ca="1">IF(D314="NPA","NR",IF(D314="Não visível","NC",IF(D314&gt;0.75,"NC","C")))</f>
        <v>NR</v>
      </c>
      <c r="G314" s="1774" t="str">
        <f ca="1">IF(OFFSET('fantoma mama'!$A$31,0,$L314,1,1)=0,"NPA",OFFSET('fantoma mama'!$A$31,0,$L314,1,1))</f>
        <v>NPA</v>
      </c>
      <c r="H314" s="1774" t="str">
        <f ca="1">IF(OFFSET('fantoma mama'!$A$32,0,$L314,1,1)=0,"NPA",OFFSET('fantoma mama'!$A$32,0,$L314,1,1)&amp;" / "&amp;OFFSET('fantoma mama'!$A$30,0,$L314,1,1))</f>
        <v>NPA</v>
      </c>
      <c r="I314" s="1769" t="str">
        <f t="shared" ca="1" si="15"/>
        <v>NA</v>
      </c>
      <c r="K314" s="1736" t="str">
        <f t="shared" ca="1" si="14"/>
        <v/>
      </c>
      <c r="L314" s="1778">
        <f>L311+1</f>
        <v>4</v>
      </c>
    </row>
    <row r="315" spans="1:12" x14ac:dyDescent="0.2">
      <c r="A315" s="1759">
        <f ca="1">A314</f>
        <v>46143</v>
      </c>
      <c r="B315" s="2621" t="s">
        <v>736</v>
      </c>
      <c r="C315" s="2622"/>
      <c r="D315" s="2622" t="str">
        <f ca="1">IF(OFFSET('fantoma mama'!$A$35,0,$L314,1,1)=0,"Não visível",IF(OFFSET('fantoma mama'!$A$35,0,$L314,1,1)="-","NPA",VLOOKUP(OFFSET('fantoma mama'!$A$35,0,$L314,1,1),IF(OFFSET('fantoma mama'!$A$5,0,$L314,1,1)="acr",Tabelas!$M$8:$N$12,Tabelas!$M$26:$N$30),2)))</f>
        <v>NPA</v>
      </c>
      <c r="E315" s="2622"/>
      <c r="F315" s="1774" t="str">
        <f ca="1">IF(D315="NPA","NR",IF(D315="Não visível","NC",IF(D315&gt;0.32,"NC","C")))</f>
        <v>NR</v>
      </c>
      <c r="G315" s="1771" t="str">
        <f ca="1">G314</f>
        <v>NPA</v>
      </c>
      <c r="H315" s="1771" t="str">
        <f ca="1">H314</f>
        <v>NPA</v>
      </c>
      <c r="I315" s="1772" t="str">
        <f t="shared" ca="1" si="15"/>
        <v>NA</v>
      </c>
      <c r="K315" s="1736" t="str">
        <f t="shared" ca="1" si="14"/>
        <v/>
      </c>
    </row>
    <row r="316" spans="1:12" x14ac:dyDescent="0.2">
      <c r="A316" s="1757">
        <f ca="1">A317</f>
        <v>46144</v>
      </c>
      <c r="B316" s="2625" t="s">
        <v>722</v>
      </c>
      <c r="C316" s="2626"/>
      <c r="D316" s="2626" t="str">
        <f ca="1">IF(OFFSET('fantoma mama'!$A$33,0,$L317,1,1)=0,"Não visível",IF(OFFSET('fantoma mama'!$A$33,0,$L317,1,1)="-","NPA",VLOOKUP(OFFSET('fantoma mama'!$A$33,0,$L317,1,1),IF(OFFSET('fantoma mama'!$A$5,0,$L317,1,1)="acr",Tabelas!$M$2:$N$7,Tabelas!$M$20:$N$25),2)))</f>
        <v>NPA</v>
      </c>
      <c r="E316" s="2626"/>
      <c r="F316" s="1773" t="str">
        <f ca="1">IF(D316="NPA","NR",IF(D316="Não visível","NC",IF(D316&gt;0.75,"NC","C")))</f>
        <v>NR</v>
      </c>
      <c r="G316" s="1767" t="str">
        <f ca="1">G317</f>
        <v>NPA</v>
      </c>
      <c r="H316" s="1767" t="str">
        <f ca="1">H317</f>
        <v>NPA</v>
      </c>
      <c r="I316" s="1768" t="str">
        <f t="shared" ca="1" si="15"/>
        <v>NA</v>
      </c>
      <c r="K316" s="1736" t="str">
        <f t="shared" ca="1" si="14"/>
        <v/>
      </c>
    </row>
    <row r="317" spans="1:12" x14ac:dyDescent="0.2">
      <c r="A317" s="1758">
        <f ca="1">IF(OFFSET('fantoma mama'!$A$4,0,$L317,1,1)=0,"",OFFSET('fantoma mama'!$A$4,0,$L317,1,1))</f>
        <v>46144</v>
      </c>
      <c r="B317" s="2627" t="s">
        <v>723</v>
      </c>
      <c r="C317" s="2628"/>
      <c r="D317" s="2628" t="str">
        <f ca="1">IF(OFFSET('fantoma mama'!$A$34,0,$L317,1,1)=0,"Não visível",IF(OFFSET('fantoma mama'!$A$34,0,$L317,1,1)="-","NPA",VLOOKUP(OFFSET('fantoma mama'!$A$34,0,$L317,1,1),IF(OFFSET('fantoma mama'!$A$5,0,$L317,1,1)="acr",Tabelas!$M$13:$N$17,Tabelas!$M$31:$N$35),2)))</f>
        <v>NPA</v>
      </c>
      <c r="E317" s="2628"/>
      <c r="F317" s="1774" t="str">
        <f ca="1">IF(D317="NPA","NR",IF(D317="Não visível","NC",IF(D317&gt;0.75,"NC","C")))</f>
        <v>NR</v>
      </c>
      <c r="G317" s="1774" t="str">
        <f ca="1">IF(OFFSET('fantoma mama'!$A$31,0,$L317,1,1)=0,"NPA",OFFSET('fantoma mama'!$A$31,0,$L317,1,1))</f>
        <v>NPA</v>
      </c>
      <c r="H317" s="1774" t="str">
        <f ca="1">IF(OFFSET('fantoma mama'!$A$32,0,$L317,1,1)=0,"NPA",OFFSET('fantoma mama'!$A$32,0,$L317,1,1)&amp;" / "&amp;OFFSET('fantoma mama'!$A$30,0,$L317,1,1))</f>
        <v>NPA</v>
      </c>
      <c r="I317" s="1769" t="str">
        <f t="shared" ca="1" si="15"/>
        <v>NA</v>
      </c>
      <c r="K317" s="1736" t="str">
        <f t="shared" ca="1" si="14"/>
        <v/>
      </c>
      <c r="L317" s="1778">
        <f>L314+1</f>
        <v>5</v>
      </c>
    </row>
    <row r="318" spans="1:12" x14ac:dyDescent="0.2">
      <c r="A318" s="1759">
        <f ca="1">A317</f>
        <v>46144</v>
      </c>
      <c r="B318" s="2621" t="s">
        <v>736</v>
      </c>
      <c r="C318" s="2622"/>
      <c r="D318" s="2622" t="str">
        <f ca="1">IF(OFFSET('fantoma mama'!$A$35,0,$L317,1,1)=0,"Não visível",IF(OFFSET('fantoma mama'!$A$35,0,$L317,1,1)="-","NPA",VLOOKUP(OFFSET('fantoma mama'!$A$35,0,$L317,1,1),IF(OFFSET('fantoma mama'!$A$5,0,$L317,1,1)="acr",Tabelas!$M$8:$N$12,Tabelas!$M$26:$N$30),2)))</f>
        <v>NPA</v>
      </c>
      <c r="E318" s="2622"/>
      <c r="F318" s="1774" t="str">
        <f ca="1">IF(D318="NPA","NR",IF(D318="Não visível","NC",IF(D318&gt;0.32,"NC","C")))</f>
        <v>NR</v>
      </c>
      <c r="G318" s="1771" t="str">
        <f ca="1">G317</f>
        <v>NPA</v>
      </c>
      <c r="H318" s="1771" t="str">
        <f ca="1">H317</f>
        <v>NPA</v>
      </c>
      <c r="I318" s="1772" t="str">
        <f t="shared" ca="1" si="15"/>
        <v>NA</v>
      </c>
      <c r="K318" s="1736" t="str">
        <f t="shared" ca="1" si="14"/>
        <v/>
      </c>
    </row>
    <row r="319" spans="1:12" x14ac:dyDescent="0.2">
      <c r="A319" s="1757">
        <f ca="1">A320</f>
        <v>46145</v>
      </c>
      <c r="B319" s="2625" t="s">
        <v>722</v>
      </c>
      <c r="C319" s="2626"/>
      <c r="D319" s="2626" t="str">
        <f ca="1">IF(OFFSET('fantoma mama'!$A$33,0,$L320,1,1)=0,"Não visível",IF(OFFSET('fantoma mama'!$A$33,0,$L320,1,1)="-","NPA",VLOOKUP(OFFSET('fantoma mama'!$A$33,0,$L320,1,1),IF(OFFSET('fantoma mama'!$A$5,0,$L320,1,1)="acr",Tabelas!$M$2:$N$7,Tabelas!$M$20:$N$25),2)))</f>
        <v>NPA</v>
      </c>
      <c r="E319" s="2626"/>
      <c r="F319" s="1773" t="str">
        <f ca="1">IF(D319="NPA","NR",IF(D319="Não visível","NC",IF(D319&gt;0.75,"NC","C")))</f>
        <v>NR</v>
      </c>
      <c r="G319" s="1767" t="str">
        <f ca="1">G320</f>
        <v>NPA</v>
      </c>
      <c r="H319" s="1767" t="str">
        <f ca="1">H320</f>
        <v>NPA</v>
      </c>
      <c r="I319" s="1768" t="str">
        <f t="shared" ca="1" si="15"/>
        <v>NA</v>
      </c>
      <c r="K319" s="1736" t="str">
        <f t="shared" ca="1" si="14"/>
        <v/>
      </c>
    </row>
    <row r="320" spans="1:12" x14ac:dyDescent="0.2">
      <c r="A320" s="1758">
        <f ca="1">IF(OFFSET('fantoma mama'!$A$4,0,$L320,1,1)=0,"",OFFSET('fantoma mama'!$A$4,0,$L320,1,1))</f>
        <v>46145</v>
      </c>
      <c r="B320" s="2627" t="s">
        <v>723</v>
      </c>
      <c r="C320" s="2628"/>
      <c r="D320" s="2628" t="str">
        <f ca="1">IF(OFFSET('fantoma mama'!$A$34,0,$L320,1,1)=0,"Não visível",IF(OFFSET('fantoma mama'!$A$34,0,$L320,1,1)="-","NPA",VLOOKUP(OFFSET('fantoma mama'!$A$34,0,$L320,1,1),IF(OFFSET('fantoma mama'!$A$5,0,$L320,1,1)="acr",Tabelas!$M$13:$N$17,Tabelas!$M$31:$N$35),2)))</f>
        <v>NPA</v>
      </c>
      <c r="E320" s="2628"/>
      <c r="F320" s="1774" t="str">
        <f ca="1">IF(D320="NPA","NR",IF(D320="Não visível","NC",IF(D320&gt;0.75,"NC","C")))</f>
        <v>NR</v>
      </c>
      <c r="G320" s="1774" t="str">
        <f ca="1">IF(OFFSET('fantoma mama'!$A$31,0,$L320,1,1)=0,"NPA",OFFSET('fantoma mama'!$A$31,0,$L320,1,1))</f>
        <v>NPA</v>
      </c>
      <c r="H320" s="1774" t="str">
        <f ca="1">IF(OFFSET('fantoma mama'!$A$32,0,$L320,1,1)=0,"NPA",OFFSET('fantoma mama'!$A$32,0,$L320,1,1)&amp;" / "&amp;OFFSET('fantoma mama'!$A$30,0,$L320,1,1))</f>
        <v>NPA</v>
      </c>
      <c r="I320" s="1769" t="str">
        <f t="shared" ca="1" si="15"/>
        <v>NA</v>
      </c>
      <c r="K320" s="1736" t="str">
        <f t="shared" ca="1" si="14"/>
        <v/>
      </c>
      <c r="L320" s="1778">
        <f>L317+1</f>
        <v>6</v>
      </c>
    </row>
    <row r="321" spans="1:12" x14ac:dyDescent="0.2">
      <c r="A321" s="1759">
        <f ca="1">A320</f>
        <v>46145</v>
      </c>
      <c r="B321" s="2621" t="s">
        <v>736</v>
      </c>
      <c r="C321" s="2622"/>
      <c r="D321" s="2622" t="str">
        <f ca="1">IF(OFFSET('fantoma mama'!$A$35,0,$L320,1,1)=0,"Não visível",IF(OFFSET('fantoma mama'!$A$35,0,$L320,1,1)="-","NPA",VLOOKUP(OFFSET('fantoma mama'!$A$35,0,$L320,1,1),IF(OFFSET('fantoma mama'!$A$5,0,$L320,1,1)="acr",Tabelas!$M$8:$N$12,Tabelas!$M$26:$N$30),2)))</f>
        <v>NPA</v>
      </c>
      <c r="E321" s="2622"/>
      <c r="F321" s="1774" t="str">
        <f ca="1">IF(D321="NPA","NR",IF(D321="Não visível","NC",IF(D321&gt;0.32,"NC","C")))</f>
        <v>NR</v>
      </c>
      <c r="G321" s="1771" t="str">
        <f ca="1">G320</f>
        <v>NPA</v>
      </c>
      <c r="H321" s="1771" t="str">
        <f ca="1">H320</f>
        <v>NPA</v>
      </c>
      <c r="I321" s="1772" t="str">
        <f t="shared" ca="1" si="15"/>
        <v>NA</v>
      </c>
      <c r="K321" s="1736" t="str">
        <f t="shared" ca="1" si="14"/>
        <v/>
      </c>
    </row>
    <row r="322" spans="1:12" x14ac:dyDescent="0.2">
      <c r="A322" s="1757">
        <f ca="1">A323</f>
        <v>46146</v>
      </c>
      <c r="B322" s="2625" t="s">
        <v>722</v>
      </c>
      <c r="C322" s="2626"/>
      <c r="D322" s="2626" t="str">
        <f ca="1">IF(OFFSET('fantoma mama'!$A$33,0,$L323,1,1)=0,"Não visível",IF(OFFSET('fantoma mama'!$A$33,0,$L323,1,1)="-","NPA",VLOOKUP(OFFSET('fantoma mama'!$A$33,0,$L323,1,1),IF(OFFSET('fantoma mama'!$A$5,0,$L323,1,1)="acr",Tabelas!$M$2:$N$7,Tabelas!$M$20:$N$25),2)))</f>
        <v>NPA</v>
      </c>
      <c r="E322" s="2626"/>
      <c r="F322" s="1773" t="str">
        <f ca="1">IF(D322="NPA","NR",IF(D322="Não visível","NC",IF(D322&gt;0.75,"NC","C")))</f>
        <v>NR</v>
      </c>
      <c r="G322" s="1767" t="str">
        <f ca="1">G323</f>
        <v>NPA</v>
      </c>
      <c r="H322" s="1767" t="str">
        <f ca="1">H323</f>
        <v>NPA</v>
      </c>
      <c r="I322" s="1768" t="str">
        <f t="shared" ref="I322:I378" ca="1" si="16">IF(F322="NC","Restrição",IF(F322="NR","NA","Sim"))</f>
        <v>NA</v>
      </c>
      <c r="K322" s="1736" t="str">
        <f t="shared" ca="1" si="14"/>
        <v/>
      </c>
    </row>
    <row r="323" spans="1:12" x14ac:dyDescent="0.2">
      <c r="A323" s="1758">
        <f ca="1">IF(OFFSET('fantoma mama'!$A$4,0,$L323,1,1)=0,"",OFFSET('fantoma mama'!$A$4,0,$L323,1,1))</f>
        <v>46146</v>
      </c>
      <c r="B323" s="2627" t="s">
        <v>723</v>
      </c>
      <c r="C323" s="2628"/>
      <c r="D323" s="2628" t="str">
        <f ca="1">IF(OFFSET('fantoma mama'!$A$34,0,$L323,1,1)=0,"Não visível",IF(OFFSET('fantoma mama'!$A$34,0,$L323,1,1)="-","NPA",VLOOKUP(OFFSET('fantoma mama'!$A$34,0,$L323,1,1),IF(OFFSET('fantoma mama'!$A$5,0,$L323,1,1)="acr",Tabelas!$M$13:$N$17,Tabelas!$M$31:$N$35),2)))</f>
        <v>NPA</v>
      </c>
      <c r="E323" s="2628"/>
      <c r="F323" s="1774" t="str">
        <f ca="1">IF(D323="NPA","NR",IF(D323="Não visível","NC",IF(D323&gt;0.75,"NC","C")))</f>
        <v>NR</v>
      </c>
      <c r="G323" s="1774" t="str">
        <f ca="1">IF(OFFSET('fantoma mama'!$A$31,0,$L323,1,1)=0,"NPA",OFFSET('fantoma mama'!$A$31,0,$L323,1,1))</f>
        <v>NPA</v>
      </c>
      <c r="H323" s="1774" t="str">
        <f ca="1">IF(OFFSET('fantoma mama'!$A$32,0,$L323,1,1)=0,"NPA",OFFSET('fantoma mama'!$A$32,0,$L323,1,1)&amp;" / "&amp;OFFSET('fantoma mama'!$A$30,0,$L323,1,1))</f>
        <v>NPA</v>
      </c>
      <c r="I323" s="1769" t="str">
        <f t="shared" ca="1" si="16"/>
        <v>NA</v>
      </c>
      <c r="K323" s="1736" t="str">
        <f t="shared" ca="1" si="14"/>
        <v/>
      </c>
      <c r="L323" s="1778">
        <f>L320+1</f>
        <v>7</v>
      </c>
    </row>
    <row r="324" spans="1:12" x14ac:dyDescent="0.2">
      <c r="A324" s="1759">
        <f ca="1">A323</f>
        <v>46146</v>
      </c>
      <c r="B324" s="2621" t="s">
        <v>736</v>
      </c>
      <c r="C324" s="2622"/>
      <c r="D324" s="2622" t="str">
        <f ca="1">IF(OFFSET('fantoma mama'!$A$35,0,$L323,1,1)=0,"Não visível",IF(OFFSET('fantoma mama'!$A$35,0,$L323,1,1)="-","NPA",VLOOKUP(OFFSET('fantoma mama'!$A$35,0,$L323,1,1),IF(OFFSET('fantoma mama'!$A$5,0,$L323,1,1)="acr",Tabelas!$M$8:$N$12,Tabelas!$M$26:$N$30),2)))</f>
        <v>NPA</v>
      </c>
      <c r="E324" s="2622"/>
      <c r="F324" s="1774" t="str">
        <f ca="1">IF(D324="NPA","NR",IF(D324="Não visível","NC",IF(D324&gt;0.32,"NC","C")))</f>
        <v>NR</v>
      </c>
      <c r="G324" s="1771" t="str">
        <f ca="1">G323</f>
        <v>NPA</v>
      </c>
      <c r="H324" s="1771" t="str">
        <f ca="1">H323</f>
        <v>NPA</v>
      </c>
      <c r="I324" s="1772" t="str">
        <f t="shared" ca="1" si="16"/>
        <v>NA</v>
      </c>
      <c r="K324" s="1736" t="str">
        <f t="shared" ca="1" si="14"/>
        <v/>
      </c>
    </row>
    <row r="325" spans="1:12" x14ac:dyDescent="0.2">
      <c r="A325" s="1757">
        <f ca="1">A326</f>
        <v>46147</v>
      </c>
      <c r="B325" s="2625" t="s">
        <v>722</v>
      </c>
      <c r="C325" s="2626"/>
      <c r="D325" s="2626" t="str">
        <f ca="1">IF(OFFSET('fantoma mama'!$A$33,0,$L326,1,1)=0,"Não visível",IF(OFFSET('fantoma mama'!$A$33,0,$L326,1,1)="-","NPA",VLOOKUP(OFFSET('fantoma mama'!$A$33,0,$L326,1,1),IF(OFFSET('fantoma mama'!$A$5,0,$L326,1,1)="acr",Tabelas!$M$2:$N$7,Tabelas!$M$20:$N$25),2)))</f>
        <v>NPA</v>
      </c>
      <c r="E325" s="2626"/>
      <c r="F325" s="1773" t="str">
        <f ca="1">IF(D325="NPA","NR",IF(D325="Não visível","NC",IF(D325&gt;0.75,"NC","C")))</f>
        <v>NR</v>
      </c>
      <c r="G325" s="1767" t="str">
        <f ca="1">G326</f>
        <v>NPA</v>
      </c>
      <c r="H325" s="1767" t="str">
        <f ca="1">H326</f>
        <v>NPA</v>
      </c>
      <c r="I325" s="1768" t="str">
        <f t="shared" ca="1" si="16"/>
        <v>NA</v>
      </c>
      <c r="K325" s="1736" t="str">
        <f t="shared" ca="1" si="14"/>
        <v/>
      </c>
    </row>
    <row r="326" spans="1:12" x14ac:dyDescent="0.2">
      <c r="A326" s="1758">
        <f ca="1">IF(OFFSET('fantoma mama'!$A$4,0,$L326,1,1)=0,"",OFFSET('fantoma mama'!$A$4,0,$L326,1,1))</f>
        <v>46147</v>
      </c>
      <c r="B326" s="2627" t="s">
        <v>723</v>
      </c>
      <c r="C326" s="2628"/>
      <c r="D326" s="2628" t="str">
        <f ca="1">IF(OFFSET('fantoma mama'!$A$34,0,$L326,1,1)=0,"Não visível",IF(OFFSET('fantoma mama'!$A$34,0,$L326,1,1)="-","NPA",VLOOKUP(OFFSET('fantoma mama'!$A$34,0,$L326,1,1),IF(OFFSET('fantoma mama'!$A$5,0,$L326,1,1)="acr",Tabelas!$M$13:$N$17,Tabelas!$M$31:$N$35),2)))</f>
        <v>NPA</v>
      </c>
      <c r="E326" s="2628"/>
      <c r="F326" s="1774" t="str">
        <f ca="1">IF(D326="NPA","NR",IF(D326="Não visível","NC",IF(D326&gt;0.75,"NC","C")))</f>
        <v>NR</v>
      </c>
      <c r="G326" s="1774" t="str">
        <f ca="1">IF(OFFSET('fantoma mama'!$A$31,0,$L326,1,1)=0,"NPA",OFFSET('fantoma mama'!$A$31,0,$L326,1,1))</f>
        <v>NPA</v>
      </c>
      <c r="H326" s="1774" t="str">
        <f ca="1">IF(OFFSET('fantoma mama'!$A$32,0,$L326,1,1)=0,"NPA",OFFSET('fantoma mama'!$A$32,0,$L326,1,1)&amp;" / "&amp;OFFSET('fantoma mama'!$A$30,0,$L326,1,1))</f>
        <v>NPA</v>
      </c>
      <c r="I326" s="1769" t="str">
        <f t="shared" ca="1" si="16"/>
        <v>NA</v>
      </c>
      <c r="K326" s="1736" t="str">
        <f t="shared" ca="1" si="14"/>
        <v/>
      </c>
      <c r="L326" s="1778">
        <f>L323+1</f>
        <v>8</v>
      </c>
    </row>
    <row r="327" spans="1:12" x14ac:dyDescent="0.2">
      <c r="A327" s="1759">
        <f ca="1">A326</f>
        <v>46147</v>
      </c>
      <c r="B327" s="2621" t="s">
        <v>736</v>
      </c>
      <c r="C327" s="2622"/>
      <c r="D327" s="2622" t="str">
        <f ca="1">IF(OFFSET('fantoma mama'!$A$35,0,$L326,1,1)=0,"Não visível",IF(OFFSET('fantoma mama'!$A$35,0,$L326,1,1)="-","NPA",VLOOKUP(OFFSET('fantoma mama'!$A$35,0,$L326,1,1),IF(OFFSET('fantoma mama'!$A$5,0,$L326,1,1)="acr",Tabelas!$M$8:$N$12,Tabelas!$M$26:$N$30),2)))</f>
        <v>NPA</v>
      </c>
      <c r="E327" s="2622"/>
      <c r="F327" s="1774" t="str">
        <f ca="1">IF(D327="NPA","NR",IF(D327="Não visível","NC",IF(D327&gt;0.32,"NC","C")))</f>
        <v>NR</v>
      </c>
      <c r="G327" s="1771" t="str">
        <f ca="1">G326</f>
        <v>NPA</v>
      </c>
      <c r="H327" s="1771" t="str">
        <f ca="1">H326</f>
        <v>NPA</v>
      </c>
      <c r="I327" s="1772" t="str">
        <f t="shared" ca="1" si="16"/>
        <v>NA</v>
      </c>
      <c r="K327" s="1736" t="str">
        <f t="shared" ca="1" si="14"/>
        <v/>
      </c>
    </row>
    <row r="328" spans="1:12" x14ac:dyDescent="0.2">
      <c r="A328" s="1757">
        <f ca="1">A329</f>
        <v>46148</v>
      </c>
      <c r="B328" s="2625" t="s">
        <v>722</v>
      </c>
      <c r="C328" s="2626"/>
      <c r="D328" s="2626" t="str">
        <f ca="1">IF(OFFSET('fantoma mama'!$A$33,0,$L329,1,1)=0,"Não visível",IF(OFFSET('fantoma mama'!$A$33,0,$L329,1,1)="-","NPA",VLOOKUP(OFFSET('fantoma mama'!$A$33,0,$L329,1,1),IF(OFFSET('fantoma mama'!$A$5,0,$L329,1,1)="acr",Tabelas!$M$2:$N$7,Tabelas!$M$20:$N$25),2)))</f>
        <v>NPA</v>
      </c>
      <c r="E328" s="2626"/>
      <c r="F328" s="1773" t="str">
        <f ca="1">IF(D328="NPA","NR",IF(D328="Não visível","NC",IF(D328&gt;0.75,"NC","C")))</f>
        <v>NR</v>
      </c>
      <c r="G328" s="1767" t="str">
        <f ca="1">G329</f>
        <v>NPA</v>
      </c>
      <c r="H328" s="1767" t="str">
        <f ca="1">H329</f>
        <v>NPA</v>
      </c>
      <c r="I328" s="1768" t="str">
        <f t="shared" ca="1" si="16"/>
        <v>NA</v>
      </c>
      <c r="K328" s="1736" t="str">
        <f t="shared" ca="1" si="14"/>
        <v/>
      </c>
    </row>
    <row r="329" spans="1:12" x14ac:dyDescent="0.2">
      <c r="A329" s="1758">
        <f ca="1">IF(OFFSET('fantoma mama'!$A$4,0,$L329,1,1)=0,"",OFFSET('fantoma mama'!$A$4,0,$L329,1,1))</f>
        <v>46148</v>
      </c>
      <c r="B329" s="2627" t="s">
        <v>723</v>
      </c>
      <c r="C329" s="2628"/>
      <c r="D329" s="2628" t="str">
        <f ca="1">IF(OFFSET('fantoma mama'!$A$34,0,$L329,1,1)=0,"Não visível",IF(OFFSET('fantoma mama'!$A$34,0,$L329,1,1)="-","NPA",VLOOKUP(OFFSET('fantoma mama'!$A$34,0,$L329,1,1),IF(OFFSET('fantoma mama'!$A$5,0,$L329,1,1)="acr",Tabelas!$M$13:$N$17,Tabelas!$M$31:$N$35),2)))</f>
        <v>NPA</v>
      </c>
      <c r="E329" s="2628"/>
      <c r="F329" s="1774" t="str">
        <f ca="1">IF(D329="NPA","NR",IF(D329="Não visível","NC",IF(D329&gt;0.75,"NC","C")))</f>
        <v>NR</v>
      </c>
      <c r="G329" s="1774" t="str">
        <f ca="1">IF(OFFSET('fantoma mama'!$A$31,0,$L329,1,1)=0,"NPA",OFFSET('fantoma mama'!$A$31,0,$L329,1,1))</f>
        <v>NPA</v>
      </c>
      <c r="H329" s="1774" t="str">
        <f ca="1">IF(OFFSET('fantoma mama'!$A$32,0,$L329,1,1)=0,"NPA",OFFSET('fantoma mama'!$A$32,0,$L329,1,1)&amp;" / "&amp;OFFSET('fantoma mama'!$A$30,0,$L329,1,1))</f>
        <v>NPA</v>
      </c>
      <c r="I329" s="1769" t="str">
        <f t="shared" ca="1" si="16"/>
        <v>NA</v>
      </c>
      <c r="K329" s="1736" t="str">
        <f t="shared" ca="1" si="14"/>
        <v/>
      </c>
      <c r="L329" s="1778">
        <f>L326+1</f>
        <v>9</v>
      </c>
    </row>
    <row r="330" spans="1:12" x14ac:dyDescent="0.2">
      <c r="A330" s="1759">
        <f ca="1">A329</f>
        <v>46148</v>
      </c>
      <c r="B330" s="2621" t="s">
        <v>736</v>
      </c>
      <c r="C330" s="2622"/>
      <c r="D330" s="2622" t="str">
        <f ca="1">IF(OFFSET('fantoma mama'!$A$35,0,$L329,1,1)=0,"Não visível",IF(OFFSET('fantoma mama'!$A$35,0,$L329,1,1)="-","NPA",VLOOKUP(OFFSET('fantoma mama'!$A$35,0,$L329,1,1),IF(OFFSET('fantoma mama'!$A$5,0,$L329,1,1)="acr",Tabelas!$M$8:$N$12,Tabelas!$M$26:$N$30),2)))</f>
        <v>NPA</v>
      </c>
      <c r="E330" s="2622"/>
      <c r="F330" s="1774" t="str">
        <f ca="1">IF(D330="NPA","NR",IF(D330="Não visível","NC",IF(D330&gt;0.32,"NC","C")))</f>
        <v>NR</v>
      </c>
      <c r="G330" s="1771" t="str">
        <f ca="1">G329</f>
        <v>NPA</v>
      </c>
      <c r="H330" s="1771" t="str">
        <f ca="1">H329</f>
        <v>NPA</v>
      </c>
      <c r="I330" s="1772" t="str">
        <f t="shared" ca="1" si="16"/>
        <v>NA</v>
      </c>
      <c r="K330" s="1736" t="str">
        <f t="shared" ca="1" si="14"/>
        <v/>
      </c>
    </row>
    <row r="331" spans="1:12" x14ac:dyDescent="0.2">
      <c r="A331" s="1757">
        <f ca="1">A332</f>
        <v>46149</v>
      </c>
      <c r="B331" s="2625" t="s">
        <v>722</v>
      </c>
      <c r="C331" s="2626"/>
      <c r="D331" s="2626" t="str">
        <f ca="1">IF(OFFSET('fantoma mama'!$A$33,0,$L332,1,1)=0,"Não visível",IF(OFFSET('fantoma mama'!$A$33,0,$L332,1,1)="-","NPA",VLOOKUP(OFFSET('fantoma mama'!$A$33,0,$L332,1,1),IF(OFFSET('fantoma mama'!$A$5,0,$L332,1,1)="acr",Tabelas!$M$2:$N$7,Tabelas!$M$20:$N$25),2)))</f>
        <v>NPA</v>
      </c>
      <c r="E331" s="2626"/>
      <c r="F331" s="1773" t="str">
        <f ca="1">IF(D331="NPA","NR",IF(D331="Não visível","NC",IF(D331&gt;0.75,"NC","C")))</f>
        <v>NR</v>
      </c>
      <c r="G331" s="1767" t="str">
        <f ca="1">G332</f>
        <v>NPA</v>
      </c>
      <c r="H331" s="1767" t="str">
        <f ca="1">H332</f>
        <v>NPA</v>
      </c>
      <c r="I331" s="1768" t="str">
        <f t="shared" ca="1" si="16"/>
        <v>NA</v>
      </c>
      <c r="K331" s="1736" t="str">
        <f t="shared" ca="1" si="14"/>
        <v/>
      </c>
    </row>
    <row r="332" spans="1:12" x14ac:dyDescent="0.2">
      <c r="A332" s="1758">
        <f ca="1">IF(OFFSET('fantoma mama'!$A$4,0,$L332,1,1)=0,"",OFFSET('fantoma mama'!$A$4,0,$L332,1,1))</f>
        <v>46149</v>
      </c>
      <c r="B332" s="2627" t="s">
        <v>723</v>
      </c>
      <c r="C332" s="2628"/>
      <c r="D332" s="2628" t="str">
        <f ca="1">IF(OFFSET('fantoma mama'!$A$34,0,$L332,1,1)=0,"Não visível",IF(OFFSET('fantoma mama'!$A$34,0,$L332,1,1)="-","NPA",VLOOKUP(OFFSET('fantoma mama'!$A$34,0,$L332,1,1),IF(OFFSET('fantoma mama'!$A$5,0,$L332,1,1)="acr",Tabelas!$M$13:$N$17,Tabelas!$M$31:$N$35),2)))</f>
        <v>NPA</v>
      </c>
      <c r="E332" s="2628"/>
      <c r="F332" s="1774" t="str">
        <f ca="1">IF(D332="NPA","NR",IF(D332="Não visível","NC",IF(D332&gt;0.75,"NC","C")))</f>
        <v>NR</v>
      </c>
      <c r="G332" s="1774" t="str">
        <f ca="1">IF(OFFSET('fantoma mama'!$A$31,0,$L332,1,1)=0,"NPA",OFFSET('fantoma mama'!$A$31,0,$L332,1,1))</f>
        <v>NPA</v>
      </c>
      <c r="H332" s="1774" t="str">
        <f ca="1">IF(OFFSET('fantoma mama'!$A$32,0,$L332,1,1)=0,"NPA",OFFSET('fantoma mama'!$A$32,0,$L332,1,1)&amp;" / "&amp;OFFSET('fantoma mama'!$A$30,0,$L332,1,1))</f>
        <v>NPA</v>
      </c>
      <c r="I332" s="1769" t="str">
        <f t="shared" ca="1" si="16"/>
        <v>NA</v>
      </c>
      <c r="K332" s="1736" t="str">
        <f t="shared" ca="1" si="14"/>
        <v/>
      </c>
      <c r="L332" s="1778">
        <f>L329+1</f>
        <v>10</v>
      </c>
    </row>
    <row r="333" spans="1:12" x14ac:dyDescent="0.2">
      <c r="A333" s="1759">
        <f ca="1">A332</f>
        <v>46149</v>
      </c>
      <c r="B333" s="2621" t="s">
        <v>736</v>
      </c>
      <c r="C333" s="2622"/>
      <c r="D333" s="2622" t="str">
        <f ca="1">IF(OFFSET('fantoma mama'!$A$35,0,$L332,1,1)=0,"Não visível",IF(OFFSET('fantoma mama'!$A$35,0,$L332,1,1)="-","NPA",VLOOKUP(OFFSET('fantoma mama'!$A$35,0,$L332,1,1),IF(OFFSET('fantoma mama'!$A$5,0,$L332,1,1)="acr",Tabelas!$M$8:$N$12,Tabelas!$M$26:$N$30),2)))</f>
        <v>NPA</v>
      </c>
      <c r="E333" s="2622"/>
      <c r="F333" s="1774" t="str">
        <f ca="1">IF(D333="NPA","NR",IF(D333="Não visível","NC",IF(D333&gt;0.32,"NC","C")))</f>
        <v>NR</v>
      </c>
      <c r="G333" s="1771" t="str">
        <f ca="1">G332</f>
        <v>NPA</v>
      </c>
      <c r="H333" s="1771" t="str">
        <f ca="1">H332</f>
        <v>NPA</v>
      </c>
      <c r="I333" s="1772" t="str">
        <f t="shared" ca="1" si="16"/>
        <v>NA</v>
      </c>
      <c r="K333" s="1736" t="str">
        <f t="shared" ca="1" si="14"/>
        <v/>
      </c>
    </row>
    <row r="334" spans="1:12" x14ac:dyDescent="0.2">
      <c r="A334" s="1757">
        <f ca="1">A335</f>
        <v>46150</v>
      </c>
      <c r="B334" s="2625" t="s">
        <v>722</v>
      </c>
      <c r="C334" s="2626"/>
      <c r="D334" s="2626" t="str">
        <f ca="1">IF(OFFSET('fantoma mama'!$A$33,0,$L335,1,1)=0,"Não visível",IF(OFFSET('fantoma mama'!$A$33,0,$L335,1,1)="-","NPA",VLOOKUP(OFFSET('fantoma mama'!$A$33,0,$L335,1,1),IF(OFFSET('fantoma mama'!$A$5,0,$L335,1,1)="acr",Tabelas!$M$2:$N$7,Tabelas!$M$20:$N$25),2)))</f>
        <v>NPA</v>
      </c>
      <c r="E334" s="2626"/>
      <c r="F334" s="1773" t="str">
        <f ca="1">IF(D334="NPA","NR",IF(D334="Não visível","NC",IF(D334&gt;0.75,"NC","C")))</f>
        <v>NR</v>
      </c>
      <c r="G334" s="1767" t="str">
        <f ca="1">G335</f>
        <v>NPA</v>
      </c>
      <c r="H334" s="1767" t="str">
        <f ca="1">H335</f>
        <v>NPA</v>
      </c>
      <c r="I334" s="1768" t="str">
        <f t="shared" ca="1" si="16"/>
        <v>NA</v>
      </c>
      <c r="K334" s="1736" t="str">
        <f t="shared" ca="1" si="14"/>
        <v/>
      </c>
    </row>
    <row r="335" spans="1:12" x14ac:dyDescent="0.2">
      <c r="A335" s="1758">
        <f ca="1">IF(OFFSET('fantoma mama'!$A$4,0,$L335,1,1)=0,"",OFFSET('fantoma mama'!$A$4,0,$L335,1,1))</f>
        <v>46150</v>
      </c>
      <c r="B335" s="2627" t="s">
        <v>723</v>
      </c>
      <c r="C335" s="2628"/>
      <c r="D335" s="2628" t="str">
        <f ca="1">IF(OFFSET('fantoma mama'!$A$34,0,$L335,1,1)=0,"Não visível",IF(OFFSET('fantoma mama'!$A$34,0,$L335,1,1)="-","NPA",VLOOKUP(OFFSET('fantoma mama'!$A$34,0,$L335,1,1),IF(OFFSET('fantoma mama'!$A$5,0,$L335,1,1)="acr",Tabelas!$M$13:$N$17,Tabelas!$M$31:$N$35),2)))</f>
        <v>NPA</v>
      </c>
      <c r="E335" s="2628"/>
      <c r="F335" s="1774" t="str">
        <f ca="1">IF(D335="NPA","NR",IF(D335="Não visível","NC",IF(D335&gt;0.75,"NC","C")))</f>
        <v>NR</v>
      </c>
      <c r="G335" s="1774" t="str">
        <f ca="1">IF(OFFSET('fantoma mama'!$A$31,0,$L335,1,1)=0,"NPA",OFFSET('fantoma mama'!$A$31,0,$L335,1,1))</f>
        <v>NPA</v>
      </c>
      <c r="H335" s="1774" t="str">
        <f ca="1">IF(OFFSET('fantoma mama'!$A$32,0,$L335,1,1)=0,"NPA",OFFSET('fantoma mama'!$A$32,0,$L335,1,1)&amp;" / "&amp;OFFSET('fantoma mama'!$A$30,0,$L335,1,1))</f>
        <v>NPA</v>
      </c>
      <c r="I335" s="1769" t="str">
        <f t="shared" ca="1" si="16"/>
        <v>NA</v>
      </c>
      <c r="K335" s="1736" t="str">
        <f t="shared" ca="1" si="14"/>
        <v/>
      </c>
      <c r="L335" s="1778">
        <f>L332+1</f>
        <v>11</v>
      </c>
    </row>
    <row r="336" spans="1:12" x14ac:dyDescent="0.2">
      <c r="A336" s="1759">
        <f ca="1">A335</f>
        <v>46150</v>
      </c>
      <c r="B336" s="2621" t="s">
        <v>736</v>
      </c>
      <c r="C336" s="2622"/>
      <c r="D336" s="2622" t="str">
        <f ca="1">IF(OFFSET('fantoma mama'!$A$35,0,$L335,1,1)=0,"Não visível",IF(OFFSET('fantoma mama'!$A$35,0,$L335,1,1)="-","NPA",VLOOKUP(OFFSET('fantoma mama'!$A$35,0,$L335,1,1),IF(OFFSET('fantoma mama'!$A$5,0,$L335,1,1)="acr",Tabelas!$M$8:$N$12,Tabelas!$M$26:$N$30),2)))</f>
        <v>NPA</v>
      </c>
      <c r="E336" s="2622"/>
      <c r="F336" s="1774" t="str">
        <f ca="1">IF(D336="NPA","NR",IF(D336="Não visível","NC",IF(D336&gt;0.32,"NC","C")))</f>
        <v>NR</v>
      </c>
      <c r="G336" s="1771" t="str">
        <f ca="1">G335</f>
        <v>NPA</v>
      </c>
      <c r="H336" s="1771" t="str">
        <f ca="1">H335</f>
        <v>NPA</v>
      </c>
      <c r="I336" s="1772" t="str">
        <f t="shared" ca="1" si="16"/>
        <v>NA</v>
      </c>
      <c r="K336" s="1736" t="str">
        <f t="shared" ca="1" si="14"/>
        <v/>
      </c>
    </row>
    <row r="337" spans="1:12" x14ac:dyDescent="0.2">
      <c r="A337" s="1757">
        <f ca="1">A338</f>
        <v>46151</v>
      </c>
      <c r="B337" s="2625" t="s">
        <v>722</v>
      </c>
      <c r="C337" s="2626"/>
      <c r="D337" s="2626" t="str">
        <f ca="1">IF(OFFSET('fantoma mama'!$A$33,0,$L338,1,1)=0,"Não visível",IF(OFFSET('fantoma mama'!$A$33,0,$L338,1,1)="-","NPA",VLOOKUP(OFFSET('fantoma mama'!$A$33,0,$L338,1,1),IF(OFFSET('fantoma mama'!$A$5,0,$L338,1,1)="acr",Tabelas!$M$2:$N$7,Tabelas!$M$20:$N$25),2)))</f>
        <v>NPA</v>
      </c>
      <c r="E337" s="2626"/>
      <c r="F337" s="1773" t="str">
        <f ca="1">IF(D337="NPA","NR",IF(D337="Não visível","NC",IF(D337&gt;0.75,"NC","C")))</f>
        <v>NR</v>
      </c>
      <c r="G337" s="1767" t="str">
        <f ca="1">G338</f>
        <v>NPA</v>
      </c>
      <c r="H337" s="1767" t="str">
        <f ca="1">H338</f>
        <v>NPA</v>
      </c>
      <c r="I337" s="1768" t="str">
        <f t="shared" ca="1" si="16"/>
        <v>NA</v>
      </c>
      <c r="K337" s="1736" t="str">
        <f t="shared" ca="1" si="14"/>
        <v/>
      </c>
    </row>
    <row r="338" spans="1:12" x14ac:dyDescent="0.2">
      <c r="A338" s="1758">
        <f ca="1">IF(OFFSET('fantoma mama'!$A$4,0,$L338,1,1)=0,"",OFFSET('fantoma mama'!$A$4,0,$L338,1,1))</f>
        <v>46151</v>
      </c>
      <c r="B338" s="2627" t="s">
        <v>723</v>
      </c>
      <c r="C338" s="2628"/>
      <c r="D338" s="2628" t="str">
        <f ca="1">IF(OFFSET('fantoma mama'!$A$34,0,$L338,1,1)=0,"Não visível",IF(OFFSET('fantoma mama'!$A$34,0,$L338,1,1)="-","NPA",VLOOKUP(OFFSET('fantoma mama'!$A$34,0,$L338,1,1),IF(OFFSET('fantoma mama'!$A$5,0,$L338,1,1)="acr",Tabelas!$M$13:$N$17,Tabelas!$M$31:$N$35),2)))</f>
        <v>NPA</v>
      </c>
      <c r="E338" s="2628"/>
      <c r="F338" s="1774" t="str">
        <f ca="1">IF(D338="NPA","NR",IF(D338="Não visível","NC",IF(D338&gt;0.75,"NC","C")))</f>
        <v>NR</v>
      </c>
      <c r="G338" s="1774" t="str">
        <f ca="1">IF(OFFSET('fantoma mama'!$A$31,0,$L338,1,1)=0,"NPA",OFFSET('fantoma mama'!$A$31,0,$L338,1,1))</f>
        <v>NPA</v>
      </c>
      <c r="H338" s="1774" t="str">
        <f ca="1">IF(OFFSET('fantoma mama'!$A$32,0,$L338,1,1)=0,"NPA",OFFSET('fantoma mama'!$A$32,0,$L338,1,1)&amp;" / "&amp;OFFSET('fantoma mama'!$A$30,0,$L338,1,1))</f>
        <v>NPA</v>
      </c>
      <c r="I338" s="1769" t="str">
        <f t="shared" ca="1" si="16"/>
        <v>NA</v>
      </c>
      <c r="K338" s="1736" t="str">
        <f t="shared" ca="1" si="14"/>
        <v/>
      </c>
      <c r="L338" s="1778">
        <f>L335+1</f>
        <v>12</v>
      </c>
    </row>
    <row r="339" spans="1:12" x14ac:dyDescent="0.2">
      <c r="A339" s="1759">
        <f ca="1">A338</f>
        <v>46151</v>
      </c>
      <c r="B339" s="2621" t="s">
        <v>736</v>
      </c>
      <c r="C339" s="2622"/>
      <c r="D339" s="2622" t="str">
        <f ca="1">IF(OFFSET('fantoma mama'!$A$35,0,$L338,1,1)=0,"Não visível",IF(OFFSET('fantoma mama'!$A$35,0,$L338,1,1)="-","NPA",VLOOKUP(OFFSET('fantoma mama'!$A$35,0,$L338,1,1),IF(OFFSET('fantoma mama'!$A$5,0,$L338,1,1)="acr",Tabelas!$M$8:$N$12,Tabelas!$M$26:$N$30),2)))</f>
        <v>NPA</v>
      </c>
      <c r="E339" s="2622"/>
      <c r="F339" s="1774" t="str">
        <f ca="1">IF(D339="NPA","NR",IF(D339="Não visível","NC",IF(D339&gt;0.32,"NC","C")))</f>
        <v>NR</v>
      </c>
      <c r="G339" s="1771" t="str">
        <f ca="1">G338</f>
        <v>NPA</v>
      </c>
      <c r="H339" s="1771" t="str">
        <f ca="1">H338</f>
        <v>NPA</v>
      </c>
      <c r="I339" s="1772" t="str">
        <f t="shared" ca="1" si="16"/>
        <v>NA</v>
      </c>
      <c r="K339" s="1736" t="str">
        <f t="shared" ca="1" si="14"/>
        <v/>
      </c>
    </row>
    <row r="340" spans="1:12" x14ac:dyDescent="0.2">
      <c r="A340" s="1757">
        <f ca="1">A341</f>
        <v>46152</v>
      </c>
      <c r="B340" s="2625" t="s">
        <v>722</v>
      </c>
      <c r="C340" s="2626"/>
      <c r="D340" s="2626" t="str">
        <f ca="1">IF(OFFSET('fantoma mama'!$A$33,0,$L341,1,1)=0,"Não visível",IF(OFFSET('fantoma mama'!$A$33,0,$L341,1,1)="-","NPA",VLOOKUP(OFFSET('fantoma mama'!$A$33,0,$L341,1,1),IF(OFFSET('fantoma mama'!$A$5,0,$L341,1,1)="acr",Tabelas!$M$2:$N$7,Tabelas!$M$20:$N$25),2)))</f>
        <v>NPA</v>
      </c>
      <c r="E340" s="2626"/>
      <c r="F340" s="1773" t="str">
        <f ca="1">IF(D340="NPA","NR",IF(D340="Não visível","NC",IF(D340&gt;0.75,"NC","C")))</f>
        <v>NR</v>
      </c>
      <c r="G340" s="1767" t="str">
        <f ca="1">G341</f>
        <v>NPA</v>
      </c>
      <c r="H340" s="1767" t="str">
        <f ca="1">H341</f>
        <v>NPA</v>
      </c>
      <c r="I340" s="1768" t="str">
        <f t="shared" ca="1" si="16"/>
        <v>NA</v>
      </c>
      <c r="K340" s="1736" t="str">
        <f t="shared" ca="1" si="14"/>
        <v/>
      </c>
    </row>
    <row r="341" spans="1:12" x14ac:dyDescent="0.2">
      <c r="A341" s="1758">
        <f ca="1">IF(OFFSET('fantoma mama'!$A$4,0,$L341,1,1)=0,"",OFFSET('fantoma mama'!$A$4,0,$L341,1,1))</f>
        <v>46152</v>
      </c>
      <c r="B341" s="2627" t="s">
        <v>723</v>
      </c>
      <c r="C341" s="2628"/>
      <c r="D341" s="2628" t="str">
        <f ca="1">IF(OFFSET('fantoma mama'!$A$34,0,$L341,1,1)=0,"Não visível",IF(OFFSET('fantoma mama'!$A$34,0,$L341,1,1)="-","NPA",VLOOKUP(OFFSET('fantoma mama'!$A$34,0,$L341,1,1),IF(OFFSET('fantoma mama'!$A$5,0,$L341,1,1)="acr",Tabelas!$M$13:$N$17,Tabelas!$M$31:$N$35),2)))</f>
        <v>NPA</v>
      </c>
      <c r="E341" s="2628"/>
      <c r="F341" s="1774" t="str">
        <f ca="1">IF(D341="NPA","NR",IF(D341="Não visível","NC",IF(D341&gt;0.75,"NC","C")))</f>
        <v>NR</v>
      </c>
      <c r="G341" s="1774" t="str">
        <f ca="1">IF(OFFSET('fantoma mama'!$A$31,0,$L341,1,1)=0,"NPA",OFFSET('fantoma mama'!$A$31,0,$L341,1,1))</f>
        <v>NPA</v>
      </c>
      <c r="H341" s="1774" t="str">
        <f ca="1">IF(OFFSET('fantoma mama'!$A$32,0,$L341,1,1)=0,"NPA",OFFSET('fantoma mama'!$A$32,0,$L341,1,1)&amp;" / "&amp;OFFSET('fantoma mama'!$A$30,0,$L341,1,1))</f>
        <v>NPA</v>
      </c>
      <c r="I341" s="1769" t="str">
        <f t="shared" ca="1" si="16"/>
        <v>NA</v>
      </c>
      <c r="K341" s="1736" t="str">
        <f t="shared" ca="1" si="14"/>
        <v/>
      </c>
      <c r="L341" s="1778">
        <f>L338+1</f>
        <v>13</v>
      </c>
    </row>
    <row r="342" spans="1:12" x14ac:dyDescent="0.2">
      <c r="A342" s="1759">
        <f ca="1">A341</f>
        <v>46152</v>
      </c>
      <c r="B342" s="2621" t="s">
        <v>736</v>
      </c>
      <c r="C342" s="2622"/>
      <c r="D342" s="2622" t="str">
        <f ca="1">IF(OFFSET('fantoma mama'!$A$35,0,$L341,1,1)=0,"Não visível",IF(OFFSET('fantoma mama'!$A$35,0,$L341,1,1)="-","NPA",VLOOKUP(OFFSET('fantoma mama'!$A$35,0,$L341,1,1),IF(OFFSET('fantoma mama'!$A$5,0,$L341,1,1)="acr",Tabelas!$M$8:$N$12,Tabelas!$M$26:$N$30),2)))</f>
        <v>NPA</v>
      </c>
      <c r="E342" s="2622"/>
      <c r="F342" s="1774" t="str">
        <f ca="1">IF(D342="NPA","NR",IF(D342="Não visível","NC",IF(D342&gt;0.32,"NC","C")))</f>
        <v>NR</v>
      </c>
      <c r="G342" s="1771" t="str">
        <f ca="1">G341</f>
        <v>NPA</v>
      </c>
      <c r="H342" s="1771" t="str">
        <f ca="1">H341</f>
        <v>NPA</v>
      </c>
      <c r="I342" s="1772" t="str">
        <f t="shared" ca="1" si="16"/>
        <v>NA</v>
      </c>
      <c r="K342" s="1736" t="str">
        <f t="shared" ca="1" si="14"/>
        <v/>
      </c>
    </row>
    <row r="343" spans="1:12" x14ac:dyDescent="0.2">
      <c r="A343" s="1757">
        <f ca="1">A344</f>
        <v>46153</v>
      </c>
      <c r="B343" s="2625" t="s">
        <v>722</v>
      </c>
      <c r="C343" s="2626"/>
      <c r="D343" s="2626" t="str">
        <f ca="1">IF(OFFSET('fantoma mama'!$A$33,0,$L344,1,1)=0,"Não visível",IF(OFFSET('fantoma mama'!$A$33,0,$L344,1,1)="-","NPA",VLOOKUP(OFFSET('fantoma mama'!$A$33,0,$L344,1,1),IF(OFFSET('fantoma mama'!$A$5,0,$L344,1,1)="acr",Tabelas!$M$2:$N$7,Tabelas!$M$20:$N$25),2)))</f>
        <v>NPA</v>
      </c>
      <c r="E343" s="2626"/>
      <c r="F343" s="1773" t="str">
        <f ca="1">IF(D343="NPA","NR",IF(D343="Não visível","NC",IF(D343&gt;0.75,"NC","C")))</f>
        <v>NR</v>
      </c>
      <c r="G343" s="1767" t="str">
        <f ca="1">G344</f>
        <v>NPA</v>
      </c>
      <c r="H343" s="1767" t="str">
        <f ca="1">H344</f>
        <v>NPA</v>
      </c>
      <c r="I343" s="1768" t="str">
        <f t="shared" ca="1" si="16"/>
        <v>NA</v>
      </c>
      <c r="K343" s="1736" t="str">
        <f t="shared" ca="1" si="14"/>
        <v/>
      </c>
    </row>
    <row r="344" spans="1:12" x14ac:dyDescent="0.2">
      <c r="A344" s="1758">
        <f ca="1">IF(OFFSET('fantoma mama'!$A$4,0,$L344,1,1)=0,"",OFFSET('fantoma mama'!$A$4,0,$L344,1,1))</f>
        <v>46153</v>
      </c>
      <c r="B344" s="2627" t="s">
        <v>723</v>
      </c>
      <c r="C344" s="2628"/>
      <c r="D344" s="2628" t="str">
        <f ca="1">IF(OFFSET('fantoma mama'!$A$34,0,$L344,1,1)=0,"Não visível",IF(OFFSET('fantoma mama'!$A$34,0,$L344,1,1)="-","NPA",VLOOKUP(OFFSET('fantoma mama'!$A$34,0,$L344,1,1),IF(OFFSET('fantoma mama'!$A$5,0,$L344,1,1)="acr",Tabelas!$M$13:$N$17,Tabelas!$M$31:$N$35),2)))</f>
        <v>NPA</v>
      </c>
      <c r="E344" s="2628"/>
      <c r="F344" s="1774" t="str">
        <f ca="1">IF(D344="NPA","NR",IF(D344="Não visível","NC",IF(D344&gt;0.75,"NC","C")))</f>
        <v>NR</v>
      </c>
      <c r="G344" s="1774" t="str">
        <f ca="1">IF(OFFSET('fantoma mama'!$A$31,0,$L344,1,1)=0,"NPA",OFFSET('fantoma mama'!$A$31,0,$L344,1,1))</f>
        <v>NPA</v>
      </c>
      <c r="H344" s="1774" t="str">
        <f ca="1">IF(OFFSET('fantoma mama'!$A$32,0,$L344,1,1)=0,"NPA",OFFSET('fantoma mama'!$A$32,0,$L344,1,1)&amp;" / "&amp;OFFSET('fantoma mama'!$A$30,0,$L344,1,1))</f>
        <v>NPA</v>
      </c>
      <c r="I344" s="1769" t="str">
        <f t="shared" ca="1" si="16"/>
        <v>NA</v>
      </c>
      <c r="K344" s="1736" t="str">
        <f t="shared" ca="1" si="14"/>
        <v/>
      </c>
      <c r="L344" s="1778">
        <f>L341+1</f>
        <v>14</v>
      </c>
    </row>
    <row r="345" spans="1:12" x14ac:dyDescent="0.2">
      <c r="A345" s="1759">
        <f ca="1">A344</f>
        <v>46153</v>
      </c>
      <c r="B345" s="2621" t="s">
        <v>736</v>
      </c>
      <c r="C345" s="2622"/>
      <c r="D345" s="2622" t="str">
        <f ca="1">IF(OFFSET('fantoma mama'!$A$35,0,$L344,1,1)=0,"Não visível",IF(OFFSET('fantoma mama'!$A$35,0,$L344,1,1)="-","NPA",VLOOKUP(OFFSET('fantoma mama'!$A$35,0,$L344,1,1),IF(OFFSET('fantoma mama'!$A$5,0,$L344,1,1)="acr",Tabelas!$M$8:$N$12,Tabelas!$M$26:$N$30),2)))</f>
        <v>NPA</v>
      </c>
      <c r="E345" s="2622"/>
      <c r="F345" s="1774" t="str">
        <f ca="1">IF(D345="NPA","NR",IF(D345="Não visível","NC",IF(D345&gt;0.32,"NC","C")))</f>
        <v>NR</v>
      </c>
      <c r="G345" s="1771" t="str">
        <f ca="1">G344</f>
        <v>NPA</v>
      </c>
      <c r="H345" s="1771" t="str">
        <f ca="1">H344</f>
        <v>NPA</v>
      </c>
      <c r="I345" s="1772" t="str">
        <f t="shared" ca="1" si="16"/>
        <v>NA</v>
      </c>
      <c r="K345" s="1736" t="str">
        <f t="shared" ca="1" si="14"/>
        <v/>
      </c>
    </row>
    <row r="346" spans="1:12" x14ac:dyDescent="0.2">
      <c r="A346" s="1757">
        <f ca="1">A347</f>
        <v>46154</v>
      </c>
      <c r="B346" s="2625" t="s">
        <v>722</v>
      </c>
      <c r="C346" s="2626"/>
      <c r="D346" s="2626" t="str">
        <f ca="1">IF(OFFSET('fantoma mama'!$A$33,0,$L347,1,1)=0,"Não visível",IF(OFFSET('fantoma mama'!$A$33,0,$L347,1,1)="-","NPA",VLOOKUP(OFFSET('fantoma mama'!$A$33,0,$L347,1,1),IF(OFFSET('fantoma mama'!$A$5,0,$L347,1,1)="acr",Tabelas!$M$2:$N$7,Tabelas!$M$20:$N$25),2)))</f>
        <v>NPA</v>
      </c>
      <c r="E346" s="2626"/>
      <c r="F346" s="1773" t="str">
        <f ca="1">IF(D346="NPA","NR",IF(D346="Não visível","NC",IF(D346&gt;0.75,"NC","C")))</f>
        <v>NR</v>
      </c>
      <c r="G346" s="1767" t="str">
        <f ca="1">G347</f>
        <v>NPA</v>
      </c>
      <c r="H346" s="1767" t="str">
        <f ca="1">H347</f>
        <v>NPA</v>
      </c>
      <c r="I346" s="1768" t="str">
        <f t="shared" ca="1" si="16"/>
        <v>NA</v>
      </c>
      <c r="K346" s="1736" t="str">
        <f t="shared" ca="1" si="14"/>
        <v/>
      </c>
    </row>
    <row r="347" spans="1:12" x14ac:dyDescent="0.2">
      <c r="A347" s="1758">
        <f ca="1">IF(OFFSET('fantoma mama'!$A$4,0,$L347,1,1)=0,"",OFFSET('fantoma mama'!$A$4,0,$L347,1,1))</f>
        <v>46154</v>
      </c>
      <c r="B347" s="2627" t="s">
        <v>723</v>
      </c>
      <c r="C347" s="2628"/>
      <c r="D347" s="2628" t="str">
        <f ca="1">IF(OFFSET('fantoma mama'!$A$34,0,$L347,1,1)=0,"Não visível",IF(OFFSET('fantoma mama'!$A$34,0,$L347,1,1)="-","NPA",VLOOKUP(OFFSET('fantoma mama'!$A$34,0,$L347,1,1),IF(OFFSET('fantoma mama'!$A$5,0,$L347,1,1)="acr",Tabelas!$M$13:$N$17,Tabelas!$M$31:$N$35),2)))</f>
        <v>NPA</v>
      </c>
      <c r="E347" s="2628"/>
      <c r="F347" s="1774" t="str">
        <f ca="1">IF(D347="NPA","NR",IF(D347="Não visível","NC",IF(D347&gt;0.75,"NC","C")))</f>
        <v>NR</v>
      </c>
      <c r="G347" s="1774" t="str">
        <f ca="1">IF(OFFSET('fantoma mama'!$A$31,0,$L347,1,1)=0,"NPA",OFFSET('fantoma mama'!$A$31,0,$L347,1,1))</f>
        <v>NPA</v>
      </c>
      <c r="H347" s="1774" t="str">
        <f ca="1">IF(OFFSET('fantoma mama'!$A$32,0,$L347,1,1)=0,"NPA",OFFSET('fantoma mama'!$A$32,0,$L347,1,1)&amp;" / "&amp;OFFSET('fantoma mama'!$A$30,0,$L347,1,1))</f>
        <v>NPA</v>
      </c>
      <c r="I347" s="1769" t="str">
        <f t="shared" ca="1" si="16"/>
        <v>NA</v>
      </c>
      <c r="K347" s="1736" t="str">
        <f t="shared" ca="1" si="14"/>
        <v/>
      </c>
      <c r="L347" s="1778">
        <f>L344+1</f>
        <v>15</v>
      </c>
    </row>
    <row r="348" spans="1:12" x14ac:dyDescent="0.2">
      <c r="A348" s="1759">
        <f ca="1">A347</f>
        <v>46154</v>
      </c>
      <c r="B348" s="2621" t="s">
        <v>736</v>
      </c>
      <c r="C348" s="2622"/>
      <c r="D348" s="2622" t="str">
        <f ca="1">IF(OFFSET('fantoma mama'!$A$35,0,$L347,1,1)=0,"Não visível",IF(OFFSET('fantoma mama'!$A$35,0,$L347,1,1)="-","NPA",VLOOKUP(OFFSET('fantoma mama'!$A$35,0,$L347,1,1),IF(OFFSET('fantoma mama'!$A$5,0,$L347,1,1)="acr",Tabelas!$M$8:$N$12,Tabelas!$M$26:$N$30),2)))</f>
        <v>NPA</v>
      </c>
      <c r="E348" s="2622"/>
      <c r="F348" s="1774" t="str">
        <f ca="1">IF(D348="NPA","NR",IF(D348="Não visível","NC",IF(D348&gt;0.32,"NC","C")))</f>
        <v>NR</v>
      </c>
      <c r="G348" s="1771" t="str">
        <f ca="1">G347</f>
        <v>NPA</v>
      </c>
      <c r="H348" s="1771" t="str">
        <f ca="1">H347</f>
        <v>NPA</v>
      </c>
      <c r="I348" s="1772" t="str">
        <f t="shared" ca="1" si="16"/>
        <v>NA</v>
      </c>
      <c r="K348" s="1736" t="str">
        <f t="shared" ca="1" si="14"/>
        <v/>
      </c>
    </row>
    <row r="349" spans="1:12" x14ac:dyDescent="0.2">
      <c r="A349" s="1757">
        <f ca="1">A350</f>
        <v>46155</v>
      </c>
      <c r="B349" s="2625" t="s">
        <v>722</v>
      </c>
      <c r="C349" s="2626"/>
      <c r="D349" s="2626" t="str">
        <f ca="1">IF(OFFSET('fantoma mama'!$A$33,0,$L350,1,1)=0,"Não visível",IF(OFFSET('fantoma mama'!$A$33,0,$L350,1,1)="-","NPA",VLOOKUP(OFFSET('fantoma mama'!$A$33,0,$L350,1,1),IF(OFFSET('fantoma mama'!$A$5,0,$L350,1,1)="acr",Tabelas!$M$2:$N$7,Tabelas!$M$20:$N$25),2)))</f>
        <v>NPA</v>
      </c>
      <c r="E349" s="2626"/>
      <c r="F349" s="1773" t="str">
        <f ca="1">IF(D349="NPA","NR",IF(D349="Não visível","NC",IF(D349&gt;0.75,"NC","C")))</f>
        <v>NR</v>
      </c>
      <c r="G349" s="1767" t="str">
        <f ca="1">G350</f>
        <v>NPA</v>
      </c>
      <c r="H349" s="1767" t="str">
        <f ca="1">H350</f>
        <v>NPA</v>
      </c>
      <c r="I349" s="1768" t="str">
        <f t="shared" ca="1" si="16"/>
        <v>NA</v>
      </c>
      <c r="K349" s="1736" t="str">
        <f t="shared" ca="1" si="14"/>
        <v/>
      </c>
    </row>
    <row r="350" spans="1:12" x14ac:dyDescent="0.2">
      <c r="A350" s="1758">
        <f ca="1">IF(OFFSET('fantoma mama'!$A$4,0,$L350,1,1)=0,"",OFFSET('fantoma mama'!$A$4,0,$L350,1,1))</f>
        <v>46155</v>
      </c>
      <c r="B350" s="2627" t="s">
        <v>723</v>
      </c>
      <c r="C350" s="2628"/>
      <c r="D350" s="2628" t="str">
        <f ca="1">IF(OFFSET('fantoma mama'!$A$34,0,$L350,1,1)=0,"Não visível",IF(OFFSET('fantoma mama'!$A$34,0,$L350,1,1)="-","NPA",VLOOKUP(OFFSET('fantoma mama'!$A$34,0,$L350,1,1),IF(OFFSET('fantoma mama'!$A$5,0,$L350,1,1)="acr",Tabelas!$M$13:$N$17,Tabelas!$M$31:$N$35),2)))</f>
        <v>NPA</v>
      </c>
      <c r="E350" s="2628"/>
      <c r="F350" s="1774" t="str">
        <f ca="1">IF(D350="NPA","NR",IF(D350="Não visível","NC",IF(D350&gt;0.75,"NC","C")))</f>
        <v>NR</v>
      </c>
      <c r="G350" s="1774" t="str">
        <f ca="1">IF(OFFSET('fantoma mama'!$A$31,0,$L350,1,1)=0,"NPA",OFFSET('fantoma mama'!$A$31,0,$L350,1,1))</f>
        <v>NPA</v>
      </c>
      <c r="H350" s="1774" t="str">
        <f ca="1">IF(OFFSET('fantoma mama'!$A$32,0,$L350,1,1)=0,"NPA",OFFSET('fantoma mama'!$A$32,0,$L350,1,1)&amp;" / "&amp;OFFSET('fantoma mama'!$A$30,0,$L350,1,1))</f>
        <v>NPA</v>
      </c>
      <c r="I350" s="1769" t="str">
        <f t="shared" ca="1" si="16"/>
        <v>NA</v>
      </c>
      <c r="K350" s="1736" t="str">
        <f t="shared" ca="1" si="14"/>
        <v/>
      </c>
      <c r="L350" s="1778">
        <f>L347+1</f>
        <v>16</v>
      </c>
    </row>
    <row r="351" spans="1:12" x14ac:dyDescent="0.2">
      <c r="A351" s="1759">
        <f ca="1">A350</f>
        <v>46155</v>
      </c>
      <c r="B351" s="2621" t="s">
        <v>736</v>
      </c>
      <c r="C351" s="2622"/>
      <c r="D351" s="2622" t="str">
        <f ca="1">IF(OFFSET('fantoma mama'!$A$35,0,$L350,1,1)=0,"Não visível",IF(OFFSET('fantoma mama'!$A$35,0,$L350,1,1)="-","NPA",VLOOKUP(OFFSET('fantoma mama'!$A$35,0,$L350,1,1),IF(OFFSET('fantoma mama'!$A$5,0,$L350,1,1)="acr",Tabelas!$M$8:$N$12,Tabelas!$M$26:$N$30),2)))</f>
        <v>NPA</v>
      </c>
      <c r="E351" s="2622"/>
      <c r="F351" s="1774" t="str">
        <f ca="1">IF(D351="NPA","NR",IF(D351="Não visível","NC",IF(D351&gt;0.32,"NC","C")))</f>
        <v>NR</v>
      </c>
      <c r="G351" s="1771" t="str">
        <f ca="1">G350</f>
        <v>NPA</v>
      </c>
      <c r="H351" s="1771" t="str">
        <f ca="1">H350</f>
        <v>NPA</v>
      </c>
      <c r="I351" s="1772" t="str">
        <f t="shared" ca="1" si="16"/>
        <v>NA</v>
      </c>
      <c r="K351" s="1736" t="str">
        <f t="shared" ca="1" si="14"/>
        <v/>
      </c>
    </row>
    <row r="352" spans="1:12" x14ac:dyDescent="0.2">
      <c r="A352" s="1757">
        <f ca="1">A353</f>
        <v>46156</v>
      </c>
      <c r="B352" s="2625" t="s">
        <v>722</v>
      </c>
      <c r="C352" s="2626"/>
      <c r="D352" s="2626" t="str">
        <f ca="1">IF(OFFSET('fantoma mama'!$A$33,0,$L353,1,1)=0,"Não visível",IF(OFFSET('fantoma mama'!$A$33,0,$L353,1,1)="-","NPA",VLOOKUP(OFFSET('fantoma mama'!$A$33,0,$L353,1,1),IF(OFFSET('fantoma mama'!$A$5,0,$L353,1,1)="acr",Tabelas!$M$2:$N$7,Tabelas!$M$20:$N$25),2)))</f>
        <v>NPA</v>
      </c>
      <c r="E352" s="2626"/>
      <c r="F352" s="1773" t="str">
        <f ca="1">IF(D352="NPA","NR",IF(D352="Não visível","NC",IF(D352&gt;0.75,"NC","C")))</f>
        <v>NR</v>
      </c>
      <c r="G352" s="1767" t="str">
        <f ca="1">G353</f>
        <v>NPA</v>
      </c>
      <c r="H352" s="1767" t="str">
        <f ca="1">H353</f>
        <v>NPA</v>
      </c>
      <c r="I352" s="1768" t="str">
        <f t="shared" ca="1" si="16"/>
        <v>NA</v>
      </c>
      <c r="K352" s="1736" t="str">
        <f t="shared" ca="1" si="14"/>
        <v/>
      </c>
    </row>
    <row r="353" spans="1:12" x14ac:dyDescent="0.2">
      <c r="A353" s="1758">
        <f ca="1">IF(OFFSET('fantoma mama'!$A$4,0,$L353,1,1)=0,"",OFFSET('fantoma mama'!$A$4,0,$L353,1,1))</f>
        <v>46156</v>
      </c>
      <c r="B353" s="2627" t="s">
        <v>723</v>
      </c>
      <c r="C353" s="2628"/>
      <c r="D353" s="2628" t="str">
        <f ca="1">IF(OFFSET('fantoma mama'!$A$34,0,$L353,1,1)=0,"Não visível",IF(OFFSET('fantoma mama'!$A$34,0,$L353,1,1)="-","NPA",VLOOKUP(OFFSET('fantoma mama'!$A$34,0,$L353,1,1),IF(OFFSET('fantoma mama'!$A$5,0,$L353,1,1)="acr",Tabelas!$M$13:$N$17,Tabelas!$M$31:$N$35),2)))</f>
        <v>NPA</v>
      </c>
      <c r="E353" s="2628"/>
      <c r="F353" s="1774" t="str">
        <f ca="1">IF(D353="NPA","NR",IF(D353="Não visível","NC",IF(D353&gt;0.75,"NC","C")))</f>
        <v>NR</v>
      </c>
      <c r="G353" s="1774" t="str">
        <f ca="1">IF(OFFSET('fantoma mama'!$A$31,0,$L353,1,1)=0,"NPA",OFFSET('fantoma mama'!$A$31,0,$L353,1,1))</f>
        <v>NPA</v>
      </c>
      <c r="H353" s="1774" t="str">
        <f ca="1">IF(OFFSET('fantoma mama'!$A$32,0,$L353,1,1)=0,"NPA",OFFSET('fantoma mama'!$A$32,0,$L353,1,1)&amp;" / "&amp;OFFSET('fantoma mama'!$A$30,0,$L353,1,1))</f>
        <v>NPA</v>
      </c>
      <c r="I353" s="1769" t="str">
        <f t="shared" ca="1" si="16"/>
        <v>NA</v>
      </c>
      <c r="K353" s="1736" t="str">
        <f t="shared" ca="1" si="14"/>
        <v/>
      </c>
      <c r="L353" s="1778">
        <f>L350+1</f>
        <v>17</v>
      </c>
    </row>
    <row r="354" spans="1:12" x14ac:dyDescent="0.2">
      <c r="A354" s="1759">
        <f ca="1">A353</f>
        <v>46156</v>
      </c>
      <c r="B354" s="2621" t="s">
        <v>736</v>
      </c>
      <c r="C354" s="2622"/>
      <c r="D354" s="2622" t="str">
        <f ca="1">IF(OFFSET('fantoma mama'!$A$35,0,$L353,1,1)=0,"Não visível",IF(OFFSET('fantoma mama'!$A$35,0,$L353,1,1)="-","NPA",VLOOKUP(OFFSET('fantoma mama'!$A$35,0,$L353,1,1),IF(OFFSET('fantoma mama'!$A$5,0,$L353,1,1)="acr",Tabelas!$M$8:$N$12,Tabelas!$M$26:$N$30),2)))</f>
        <v>NPA</v>
      </c>
      <c r="E354" s="2622"/>
      <c r="F354" s="1774" t="str">
        <f ca="1">IF(D354="NPA","NR",IF(D354="Não visível","NC",IF(D354&gt;0.32,"NC","C")))</f>
        <v>NR</v>
      </c>
      <c r="G354" s="1771" t="str">
        <f ca="1">G353</f>
        <v>NPA</v>
      </c>
      <c r="H354" s="1771" t="str">
        <f ca="1">H353</f>
        <v>NPA</v>
      </c>
      <c r="I354" s="1772" t="str">
        <f t="shared" ca="1" si="16"/>
        <v>NA</v>
      </c>
      <c r="K354" s="1736" t="str">
        <f t="shared" ca="1" si="14"/>
        <v/>
      </c>
    </row>
    <row r="355" spans="1:12" x14ac:dyDescent="0.2">
      <c r="A355" s="1757">
        <f ca="1">A356</f>
        <v>46157</v>
      </c>
      <c r="B355" s="2625" t="s">
        <v>722</v>
      </c>
      <c r="C355" s="2626"/>
      <c r="D355" s="2626" t="str">
        <f ca="1">IF(OFFSET('fantoma mama'!$A$33,0,$L356,1,1)=0,"Não visível",IF(OFFSET('fantoma mama'!$A$33,0,$L356,1,1)="-","NPA",VLOOKUP(OFFSET('fantoma mama'!$A$33,0,$L356,1,1),IF(OFFSET('fantoma mama'!$A$5,0,$L356,1,1)="acr",Tabelas!$M$2:$N$7,Tabelas!$M$20:$N$25),2)))</f>
        <v>NPA</v>
      </c>
      <c r="E355" s="2626"/>
      <c r="F355" s="1773" t="str">
        <f ca="1">IF(D355="NPA","NR",IF(D355="Não visível","NC",IF(D355&gt;0.75,"NC","C")))</f>
        <v>NR</v>
      </c>
      <c r="G355" s="1767" t="str">
        <f ca="1">G356</f>
        <v>NPA</v>
      </c>
      <c r="H355" s="1767" t="str">
        <f ca="1">H356</f>
        <v>NPA</v>
      </c>
      <c r="I355" s="1768" t="str">
        <f t="shared" ca="1" si="16"/>
        <v>NA</v>
      </c>
      <c r="K355" s="1736" t="str">
        <f t="shared" ca="1" si="14"/>
        <v/>
      </c>
    </row>
    <row r="356" spans="1:12" x14ac:dyDescent="0.2">
      <c r="A356" s="1758">
        <f ca="1">IF(OFFSET('fantoma mama'!$A$4,0,$L356,1,1)=0,"",OFFSET('fantoma mama'!$A$4,0,$L356,1,1))</f>
        <v>46157</v>
      </c>
      <c r="B356" s="2627" t="s">
        <v>723</v>
      </c>
      <c r="C356" s="2628"/>
      <c r="D356" s="2628" t="str">
        <f ca="1">IF(OFFSET('fantoma mama'!$A$34,0,$L356,1,1)=0,"Não visível",IF(OFFSET('fantoma mama'!$A$34,0,$L356,1,1)="-","NPA",VLOOKUP(OFFSET('fantoma mama'!$A$34,0,$L356,1,1),IF(OFFSET('fantoma mama'!$A$5,0,$L356,1,1)="acr",Tabelas!$M$13:$N$17,Tabelas!$M$31:$N$35),2)))</f>
        <v>NPA</v>
      </c>
      <c r="E356" s="2628"/>
      <c r="F356" s="1774" t="str">
        <f ca="1">IF(D356="NPA","NR",IF(D356="Não visível","NC",IF(D356&gt;0.75,"NC","C")))</f>
        <v>NR</v>
      </c>
      <c r="G356" s="1774" t="str">
        <f ca="1">IF(OFFSET('fantoma mama'!$A$31,0,$L356,1,1)=0,"NPA",OFFSET('fantoma mama'!$A$31,0,$L356,1,1))</f>
        <v>NPA</v>
      </c>
      <c r="H356" s="1774" t="str">
        <f ca="1">IF(OFFSET('fantoma mama'!$A$32,0,$L356,1,1)=0,"NPA",OFFSET('fantoma mama'!$A$32,0,$L356,1,1)&amp;" / "&amp;OFFSET('fantoma mama'!$A$30,0,$L356,1,1))</f>
        <v>NPA</v>
      </c>
      <c r="I356" s="1769" t="str">
        <f t="shared" ca="1" si="16"/>
        <v>NA</v>
      </c>
      <c r="K356" s="1736" t="str">
        <f t="shared" ca="1" si="14"/>
        <v/>
      </c>
      <c r="L356" s="1778">
        <f>L353+1</f>
        <v>18</v>
      </c>
    </row>
    <row r="357" spans="1:12" x14ac:dyDescent="0.2">
      <c r="A357" s="1759">
        <f ca="1">A356</f>
        <v>46157</v>
      </c>
      <c r="B357" s="2621" t="s">
        <v>736</v>
      </c>
      <c r="C357" s="2622"/>
      <c r="D357" s="2622" t="str">
        <f ca="1">IF(OFFSET('fantoma mama'!$A$35,0,$L356,1,1)=0,"Não visível",IF(OFFSET('fantoma mama'!$A$35,0,$L356,1,1)="-","NPA",VLOOKUP(OFFSET('fantoma mama'!$A$35,0,$L356,1,1),IF(OFFSET('fantoma mama'!$A$5,0,$L356,1,1)="acr",Tabelas!$M$8:$N$12,Tabelas!$M$26:$N$30),2)))</f>
        <v>NPA</v>
      </c>
      <c r="E357" s="2622"/>
      <c r="F357" s="1774" t="str">
        <f ca="1">IF(D357="NPA","NR",IF(D357="Não visível","NC",IF(D357&gt;0.32,"NC","C")))</f>
        <v>NR</v>
      </c>
      <c r="G357" s="1771" t="str">
        <f ca="1">G356</f>
        <v>NPA</v>
      </c>
      <c r="H357" s="1771" t="str">
        <f ca="1">H356</f>
        <v>NPA</v>
      </c>
      <c r="I357" s="1772" t="str">
        <f t="shared" ca="1" si="16"/>
        <v>NA</v>
      </c>
      <c r="K357" s="1736" t="str">
        <f t="shared" ca="1" si="14"/>
        <v/>
      </c>
    </row>
    <row r="358" spans="1:12" x14ac:dyDescent="0.2">
      <c r="A358" s="1757">
        <f ca="1">A359</f>
        <v>46158</v>
      </c>
      <c r="B358" s="2625" t="s">
        <v>722</v>
      </c>
      <c r="C358" s="2626"/>
      <c r="D358" s="2626" t="str">
        <f ca="1">IF(OFFSET('fantoma mama'!$A$33,0,$L359,1,1)=0,"Não visível",IF(OFFSET('fantoma mama'!$A$33,0,$L359,1,1)="-","NPA",VLOOKUP(OFFSET('fantoma mama'!$A$33,0,$L359,1,1),IF(OFFSET('fantoma mama'!$A$5,0,$L359,1,1)="acr",Tabelas!$M$2:$N$7,Tabelas!$M$20:$N$25),2)))</f>
        <v>NPA</v>
      </c>
      <c r="E358" s="2626"/>
      <c r="F358" s="1773" t="str">
        <f ca="1">IF(D358="NPA","NR",IF(D358="Não visível","NC",IF(D358&gt;0.75,"NC","C")))</f>
        <v>NR</v>
      </c>
      <c r="G358" s="1767" t="str">
        <f ca="1">G359</f>
        <v>NPA</v>
      </c>
      <c r="H358" s="1767" t="str">
        <f ca="1">H359</f>
        <v>NPA</v>
      </c>
      <c r="I358" s="1768" t="str">
        <f t="shared" ca="1" si="16"/>
        <v>NA</v>
      </c>
      <c r="K358" s="1736" t="str">
        <f t="shared" ca="1" si="14"/>
        <v/>
      </c>
    </row>
    <row r="359" spans="1:12" x14ac:dyDescent="0.2">
      <c r="A359" s="1758">
        <f ca="1">IF(OFFSET('fantoma mama'!$A$4,0,$L359,1,1)=0,"",OFFSET('fantoma mama'!$A$4,0,$L359,1,1))</f>
        <v>46158</v>
      </c>
      <c r="B359" s="2627" t="s">
        <v>723</v>
      </c>
      <c r="C359" s="2628"/>
      <c r="D359" s="2628" t="str">
        <f ca="1">IF(OFFSET('fantoma mama'!$A$34,0,$L359,1,1)=0,"Não visível",IF(OFFSET('fantoma mama'!$A$34,0,$L359,1,1)="-","NPA",VLOOKUP(OFFSET('fantoma mama'!$A$34,0,$L359,1,1),IF(OFFSET('fantoma mama'!$A$5,0,$L359,1,1)="acr",Tabelas!$M$13:$N$17,Tabelas!$M$31:$N$35),2)))</f>
        <v>NPA</v>
      </c>
      <c r="E359" s="2628"/>
      <c r="F359" s="1774" t="str">
        <f ca="1">IF(D359="NPA","NR",IF(D359="Não visível","NC",IF(D359&gt;0.75,"NC","C")))</f>
        <v>NR</v>
      </c>
      <c r="G359" s="1774" t="str">
        <f ca="1">IF(OFFSET('fantoma mama'!$A$31,0,$L359,1,1)=0,"NPA",OFFSET('fantoma mama'!$A$31,0,$L359,1,1))</f>
        <v>NPA</v>
      </c>
      <c r="H359" s="1774" t="str">
        <f ca="1">IF(OFFSET('fantoma mama'!$A$32,0,$L359,1,1)=0,"NPA",OFFSET('fantoma mama'!$A$32,0,$L359,1,1)&amp;" / "&amp;OFFSET('fantoma mama'!$A$30,0,$L359,1,1))</f>
        <v>NPA</v>
      </c>
      <c r="I359" s="1769" t="str">
        <f t="shared" ca="1" si="16"/>
        <v>NA</v>
      </c>
      <c r="K359" s="1736" t="str">
        <f t="shared" ca="1" si="14"/>
        <v/>
      </c>
      <c r="L359" s="1778">
        <f>L356+1</f>
        <v>19</v>
      </c>
    </row>
    <row r="360" spans="1:12" x14ac:dyDescent="0.2">
      <c r="A360" s="1759">
        <f ca="1">A359</f>
        <v>46158</v>
      </c>
      <c r="B360" s="2621" t="s">
        <v>736</v>
      </c>
      <c r="C360" s="2622"/>
      <c r="D360" s="2622" t="str">
        <f ca="1">IF(OFFSET('fantoma mama'!$A$35,0,$L359,1,1)=0,"Não visível",IF(OFFSET('fantoma mama'!$A$35,0,$L359,1,1)="-","NPA",VLOOKUP(OFFSET('fantoma mama'!$A$35,0,$L359,1,1),IF(OFFSET('fantoma mama'!$A$5,0,$L359,1,1)="acr",Tabelas!$M$8:$N$12,Tabelas!$M$26:$N$30),2)))</f>
        <v>NPA</v>
      </c>
      <c r="E360" s="2622"/>
      <c r="F360" s="1774" t="str">
        <f ca="1">IF(D360="NPA","NR",IF(D360="Não visível","NC",IF(D360&gt;0.32,"NC","C")))</f>
        <v>NR</v>
      </c>
      <c r="G360" s="1771" t="str">
        <f ca="1">G359</f>
        <v>NPA</v>
      </c>
      <c r="H360" s="1771" t="str">
        <f ca="1">H359</f>
        <v>NPA</v>
      </c>
      <c r="I360" s="1772" t="str">
        <f t="shared" ca="1" si="16"/>
        <v>NA</v>
      </c>
      <c r="K360" s="1736" t="str">
        <f t="shared" ca="1" si="14"/>
        <v/>
      </c>
    </row>
    <row r="361" spans="1:12" x14ac:dyDescent="0.2">
      <c r="A361" s="1757">
        <f ca="1">A362</f>
        <v>46159</v>
      </c>
      <c r="B361" s="2625" t="s">
        <v>722</v>
      </c>
      <c r="C361" s="2626"/>
      <c r="D361" s="2626" t="str">
        <f ca="1">IF(OFFSET('fantoma mama'!$A$33,0,$L362,1,1)=0,"Não visível",IF(OFFSET('fantoma mama'!$A$33,0,$L362,1,1)="-","NPA",VLOOKUP(OFFSET('fantoma mama'!$A$33,0,$L362,1,1),IF(OFFSET('fantoma mama'!$A$5,0,$L362,1,1)="acr",Tabelas!$M$2:$N$7,Tabelas!$M$20:$N$25),2)))</f>
        <v>NPA</v>
      </c>
      <c r="E361" s="2626"/>
      <c r="F361" s="1773" t="str">
        <f ca="1">IF(D361="NPA","NR",IF(D361="Não visível","NC",IF(D361&gt;0.75,"NC","C")))</f>
        <v>NR</v>
      </c>
      <c r="G361" s="1767" t="str">
        <f ca="1">G362</f>
        <v>NPA</v>
      </c>
      <c r="H361" s="1767" t="str">
        <f ca="1">H362</f>
        <v>NPA</v>
      </c>
      <c r="I361" s="1768" t="str">
        <f t="shared" ca="1" si="16"/>
        <v>NA</v>
      </c>
      <c r="K361" s="1736" t="str">
        <f t="shared" ca="1" si="14"/>
        <v/>
      </c>
    </row>
    <row r="362" spans="1:12" x14ac:dyDescent="0.2">
      <c r="A362" s="1758">
        <f ca="1">IF(OFFSET('fantoma mama'!$A$4,0,$L362,1,1)=0,"",OFFSET('fantoma mama'!$A$4,0,$L362,1,1))</f>
        <v>46159</v>
      </c>
      <c r="B362" s="2627" t="s">
        <v>723</v>
      </c>
      <c r="C362" s="2628"/>
      <c r="D362" s="2628" t="str">
        <f ca="1">IF(OFFSET('fantoma mama'!$A$34,0,$L362,1,1)=0,"Não visível",IF(OFFSET('fantoma mama'!$A$34,0,$L362,1,1)="-","NPA",VLOOKUP(OFFSET('fantoma mama'!$A$34,0,$L362,1,1),IF(OFFSET('fantoma mama'!$A$5,0,$L362,1,1)="acr",Tabelas!$M$13:$N$17,Tabelas!$M$31:$N$35),2)))</f>
        <v>NPA</v>
      </c>
      <c r="E362" s="2628"/>
      <c r="F362" s="1774" t="str">
        <f ca="1">IF(D362="NPA","NR",IF(D362="Não visível","NC",IF(D362&gt;0.75,"NC","C")))</f>
        <v>NR</v>
      </c>
      <c r="G362" s="1774" t="str">
        <f ca="1">IF(OFFSET('fantoma mama'!$A$31,0,$L362,1,1)=0,"NPA",OFFSET('fantoma mama'!$A$31,0,$L362,1,1))</f>
        <v>NPA</v>
      </c>
      <c r="H362" s="1774" t="str">
        <f ca="1">IF(OFFSET('fantoma mama'!$A$32,0,$L362,1,1)=0,"NPA",OFFSET('fantoma mama'!$A$32,0,$L362,1,1)&amp;" / "&amp;OFFSET('fantoma mama'!$A$30,0,$L362,1,1))</f>
        <v>NPA</v>
      </c>
      <c r="I362" s="1769" t="str">
        <f t="shared" ca="1" si="16"/>
        <v>NA</v>
      </c>
      <c r="K362" s="1736" t="str">
        <f t="shared" ca="1" si="14"/>
        <v/>
      </c>
      <c r="L362" s="1778">
        <f>L359+1</f>
        <v>20</v>
      </c>
    </row>
    <row r="363" spans="1:12" x14ac:dyDescent="0.2">
      <c r="A363" s="1759">
        <f ca="1">A362</f>
        <v>46159</v>
      </c>
      <c r="B363" s="2621" t="s">
        <v>736</v>
      </c>
      <c r="C363" s="2622"/>
      <c r="D363" s="2622" t="str">
        <f ca="1">IF(OFFSET('fantoma mama'!$A$35,0,$L362,1,1)=0,"Não visível",IF(OFFSET('fantoma mama'!$A$35,0,$L362,1,1)="-","NPA",VLOOKUP(OFFSET('fantoma mama'!$A$35,0,$L362,1,1),IF(OFFSET('fantoma mama'!$A$5,0,$L362,1,1)="acr",Tabelas!$M$8:$N$12,Tabelas!$M$26:$N$30),2)))</f>
        <v>NPA</v>
      </c>
      <c r="E363" s="2622"/>
      <c r="F363" s="1774" t="str">
        <f ca="1">IF(D363="NPA","NR",IF(D363="Não visível","NC",IF(D363&gt;0.32,"NC","C")))</f>
        <v>NR</v>
      </c>
      <c r="G363" s="1771" t="str">
        <f ca="1">G362</f>
        <v>NPA</v>
      </c>
      <c r="H363" s="1771" t="str">
        <f ca="1">H362</f>
        <v>NPA</v>
      </c>
      <c r="I363" s="1772" t="str">
        <f t="shared" ca="1" si="16"/>
        <v>NA</v>
      </c>
      <c r="K363" s="1736" t="str">
        <f t="shared" ca="1" si="14"/>
        <v/>
      </c>
    </row>
    <row r="364" spans="1:12" x14ac:dyDescent="0.2">
      <c r="A364" s="1757">
        <f ca="1">A365</f>
        <v>46160</v>
      </c>
      <c r="B364" s="2625" t="s">
        <v>722</v>
      </c>
      <c r="C364" s="2626"/>
      <c r="D364" s="2626" t="str">
        <f ca="1">IF(OFFSET('fantoma mama'!$A$33,0,$L365,1,1)=0,"Não visível",IF(OFFSET('fantoma mama'!$A$33,0,$L365,1,1)="-","NPA",VLOOKUP(OFFSET('fantoma mama'!$A$33,0,$L365,1,1),IF(OFFSET('fantoma mama'!$A$5,0,$L365,1,1)="acr",Tabelas!$M$2:$N$7,Tabelas!$M$20:$N$25),2)))</f>
        <v>NPA</v>
      </c>
      <c r="E364" s="2626"/>
      <c r="F364" s="1773" t="str">
        <f ca="1">IF(D364="NPA","NR",IF(D364="Não visível","NC",IF(D364&gt;0.75,"NC","C")))</f>
        <v>NR</v>
      </c>
      <c r="G364" s="1767" t="str">
        <f ca="1">G365</f>
        <v>NPA</v>
      </c>
      <c r="H364" s="1767" t="str">
        <f ca="1">H365</f>
        <v>NPA</v>
      </c>
      <c r="I364" s="1768" t="str">
        <f t="shared" ca="1" si="16"/>
        <v>NA</v>
      </c>
      <c r="K364" s="1736" t="str">
        <f t="shared" ca="1" si="14"/>
        <v/>
      </c>
    </row>
    <row r="365" spans="1:12" x14ac:dyDescent="0.2">
      <c r="A365" s="1758">
        <f ca="1">IF(OFFSET('fantoma mama'!$A$4,0,$L365,1,1)=0,"",OFFSET('fantoma mama'!$A$4,0,$L365,1,1))</f>
        <v>46160</v>
      </c>
      <c r="B365" s="2627" t="s">
        <v>723</v>
      </c>
      <c r="C365" s="2628"/>
      <c r="D365" s="2628" t="str">
        <f ca="1">IF(OFFSET('fantoma mama'!$A$34,0,$L365,1,1)=0,"Não visível",IF(OFFSET('fantoma mama'!$A$34,0,$L365,1,1)="-","NPA",VLOOKUP(OFFSET('fantoma mama'!$A$34,0,$L365,1,1),IF(OFFSET('fantoma mama'!$A$5,0,$L365,1,1)="acr",Tabelas!$M$13:$N$17,Tabelas!$M$31:$N$35),2)))</f>
        <v>NPA</v>
      </c>
      <c r="E365" s="2628"/>
      <c r="F365" s="1774" t="str">
        <f ca="1">IF(D365="NPA","NR",IF(D365="Não visível","NC",IF(D365&gt;0.75,"NC","C")))</f>
        <v>NR</v>
      </c>
      <c r="G365" s="1774" t="str">
        <f ca="1">IF(OFFSET('fantoma mama'!$A$31,0,$L365,1,1)=0,"NPA",OFFSET('fantoma mama'!$A$31,0,$L365,1,1))</f>
        <v>NPA</v>
      </c>
      <c r="H365" s="1774" t="str">
        <f ca="1">IF(OFFSET('fantoma mama'!$A$32,0,$L365,1,1)=0,"NPA",OFFSET('fantoma mama'!$A$32,0,$L365,1,1)&amp;" / "&amp;OFFSET('fantoma mama'!$A$30,0,$L365,1,1))</f>
        <v>NPA</v>
      </c>
      <c r="I365" s="1769" t="str">
        <f t="shared" ca="1" si="16"/>
        <v>NA</v>
      </c>
      <c r="K365" s="1736" t="str">
        <f t="shared" ca="1" si="14"/>
        <v/>
      </c>
      <c r="L365" s="1778">
        <f>L362+1</f>
        <v>21</v>
      </c>
    </row>
    <row r="366" spans="1:12" x14ac:dyDescent="0.2">
      <c r="A366" s="1759">
        <f ca="1">A365</f>
        <v>46160</v>
      </c>
      <c r="B366" s="2621" t="s">
        <v>736</v>
      </c>
      <c r="C366" s="2622"/>
      <c r="D366" s="2622" t="str">
        <f ca="1">IF(OFFSET('fantoma mama'!$A$35,0,$L365,1,1)=0,"Não visível",IF(OFFSET('fantoma mama'!$A$35,0,$L365,1,1)="-","NPA",VLOOKUP(OFFSET('fantoma mama'!$A$35,0,$L365,1,1),IF(OFFSET('fantoma mama'!$A$5,0,$L365,1,1)="acr",Tabelas!$M$8:$N$12,Tabelas!$M$26:$N$30),2)))</f>
        <v>NPA</v>
      </c>
      <c r="E366" s="2622"/>
      <c r="F366" s="1774" t="str">
        <f ca="1">IF(D366="NPA","NR",IF(D366="Não visível","NC",IF(D366&gt;0.32,"NC","C")))</f>
        <v>NR</v>
      </c>
      <c r="G366" s="1771" t="str">
        <f ca="1">G365</f>
        <v>NPA</v>
      </c>
      <c r="H366" s="1771" t="str">
        <f ca="1">H365</f>
        <v>NPA</v>
      </c>
      <c r="I366" s="1772" t="str">
        <f t="shared" ca="1" si="16"/>
        <v>NA</v>
      </c>
      <c r="K366" s="1736" t="str">
        <f t="shared" ca="1" si="14"/>
        <v/>
      </c>
    </row>
    <row r="367" spans="1:12" x14ac:dyDescent="0.2">
      <c r="A367" s="1757">
        <f ca="1">A368</f>
        <v>46161</v>
      </c>
      <c r="B367" s="2625" t="s">
        <v>722</v>
      </c>
      <c r="C367" s="2626"/>
      <c r="D367" s="2626" t="str">
        <f ca="1">IF(OFFSET('fantoma mama'!$A$33,0,$L368,1,1)=0,"Não visível",IF(OFFSET('fantoma mama'!$A$33,0,$L368,1,1)="-","NPA",VLOOKUP(OFFSET('fantoma mama'!$A$33,0,$L368,1,1),IF(OFFSET('fantoma mama'!$A$5,0,$L368,1,1)="acr",Tabelas!$M$2:$N$7,Tabelas!$M$20:$N$25),2)))</f>
        <v>NPA</v>
      </c>
      <c r="E367" s="2626"/>
      <c r="F367" s="1773" t="str">
        <f ca="1">IF(D367="NPA","NR",IF(D367="Não visível","NC",IF(D367&gt;0.75,"NC","C")))</f>
        <v>NR</v>
      </c>
      <c r="G367" s="1767" t="str">
        <f ca="1">G368</f>
        <v>NPA</v>
      </c>
      <c r="H367" s="1767" t="str">
        <f ca="1">H368</f>
        <v>NPA</v>
      </c>
      <c r="I367" s="1768" t="str">
        <f t="shared" ca="1" si="16"/>
        <v>NA</v>
      </c>
      <c r="K367" s="1736" t="str">
        <f t="shared" ca="1" si="14"/>
        <v/>
      </c>
    </row>
    <row r="368" spans="1:12" x14ac:dyDescent="0.2">
      <c r="A368" s="1758">
        <f ca="1">IF(OFFSET('fantoma mama'!$A$4,0,$L368,1,1)=0,"",OFFSET('fantoma mama'!$A$4,0,$L368,1,1))</f>
        <v>46161</v>
      </c>
      <c r="B368" s="2627" t="s">
        <v>723</v>
      </c>
      <c r="C368" s="2628"/>
      <c r="D368" s="2628" t="str">
        <f ca="1">IF(OFFSET('fantoma mama'!$A$34,0,$L368,1,1)=0,"Não visível",IF(OFFSET('fantoma mama'!$A$34,0,$L368,1,1)="-","NPA",VLOOKUP(OFFSET('fantoma mama'!$A$34,0,$L368,1,1),IF(OFFSET('fantoma mama'!$A$5,0,$L368,1,1)="acr",Tabelas!$M$13:$N$17,Tabelas!$M$31:$N$35),2)))</f>
        <v>NPA</v>
      </c>
      <c r="E368" s="2628"/>
      <c r="F368" s="1774" t="str">
        <f ca="1">IF(D368="NPA","NR",IF(D368="Não visível","NC",IF(D368&gt;0.75,"NC","C")))</f>
        <v>NR</v>
      </c>
      <c r="G368" s="1774" t="str">
        <f ca="1">IF(OFFSET('fantoma mama'!$A$31,0,$L368,1,1)=0,"NPA",OFFSET('fantoma mama'!$A$31,0,$L368,1,1))</f>
        <v>NPA</v>
      </c>
      <c r="H368" s="1774" t="str">
        <f ca="1">IF(OFFSET('fantoma mama'!$A$32,0,$L368,1,1)=0,"NPA",OFFSET('fantoma mama'!$A$32,0,$L368,1,1)&amp;" / "&amp;OFFSET('fantoma mama'!$A$30,0,$L368,1,1))</f>
        <v>NPA</v>
      </c>
      <c r="I368" s="1769" t="str">
        <f t="shared" ca="1" si="16"/>
        <v>NA</v>
      </c>
      <c r="K368" s="1736" t="str">
        <f t="shared" ca="1" si="14"/>
        <v/>
      </c>
      <c r="L368" s="1778">
        <f>L365+1</f>
        <v>22</v>
      </c>
    </row>
    <row r="369" spans="1:12" x14ac:dyDescent="0.2">
      <c r="A369" s="1759">
        <f ca="1">A368</f>
        <v>46161</v>
      </c>
      <c r="B369" s="2621" t="s">
        <v>736</v>
      </c>
      <c r="C369" s="2622"/>
      <c r="D369" s="2622" t="str">
        <f ca="1">IF(OFFSET('fantoma mama'!$A$35,0,$L368,1,1)=0,"Não visível",IF(OFFSET('fantoma mama'!$A$35,0,$L368,1,1)="-","NPA",VLOOKUP(OFFSET('fantoma mama'!$A$35,0,$L368,1,1),IF(OFFSET('fantoma mama'!$A$5,0,$L368,1,1)="acr",Tabelas!$M$8:$N$12,Tabelas!$M$26:$N$30),2)))</f>
        <v>NPA</v>
      </c>
      <c r="E369" s="2622"/>
      <c r="F369" s="1774" t="str">
        <f ca="1">IF(D369="NPA","NR",IF(D369="Não visível","NC",IF(D369&gt;0.32,"NC","C")))</f>
        <v>NR</v>
      </c>
      <c r="G369" s="1771" t="str">
        <f ca="1">G368</f>
        <v>NPA</v>
      </c>
      <c r="H369" s="1771" t="str">
        <f ca="1">H368</f>
        <v>NPA</v>
      </c>
      <c r="I369" s="1772" t="str">
        <f t="shared" ca="1" si="16"/>
        <v>NA</v>
      </c>
      <c r="K369" s="1736" t="str">
        <f t="shared" ref="K369:K378" ca="1" si="17">IF(A369="","x","")</f>
        <v/>
      </c>
    </row>
    <row r="370" spans="1:12" x14ac:dyDescent="0.2">
      <c r="A370" s="1757">
        <f ca="1">A371</f>
        <v>46162</v>
      </c>
      <c r="B370" s="2625" t="s">
        <v>722</v>
      </c>
      <c r="C370" s="2626"/>
      <c r="D370" s="2626" t="str">
        <f ca="1">IF(OFFSET('fantoma mama'!$A$33,0,$L371,1,1)=0,"Não visível",IF(OFFSET('fantoma mama'!$A$33,0,$L371,1,1)="-","NPA",VLOOKUP(OFFSET('fantoma mama'!$A$33,0,$L371,1,1),IF(OFFSET('fantoma mama'!$A$5,0,$L371,1,1)="acr",Tabelas!$M$2:$N$7,Tabelas!$M$20:$N$25),2)))</f>
        <v>NPA</v>
      </c>
      <c r="E370" s="2626"/>
      <c r="F370" s="1773" t="str">
        <f ca="1">IF(D370="NPA","NR",IF(D370="Não visível","NC",IF(D370&gt;0.75,"NC","C")))</f>
        <v>NR</v>
      </c>
      <c r="G370" s="1767" t="str">
        <f ca="1">G371</f>
        <v>NPA</v>
      </c>
      <c r="H370" s="1767" t="str">
        <f ca="1">H371</f>
        <v>NPA</v>
      </c>
      <c r="I370" s="1768" t="str">
        <f t="shared" ca="1" si="16"/>
        <v>NA</v>
      </c>
      <c r="K370" s="1736" t="str">
        <f t="shared" ca="1" si="17"/>
        <v/>
      </c>
    </row>
    <row r="371" spans="1:12" x14ac:dyDescent="0.2">
      <c r="A371" s="1758">
        <f ca="1">IF(OFFSET('fantoma mama'!$A$4,0,$L371,1,1)=0,"",OFFSET('fantoma mama'!$A$4,0,$L371,1,1))</f>
        <v>46162</v>
      </c>
      <c r="B371" s="2627" t="s">
        <v>723</v>
      </c>
      <c r="C371" s="2628"/>
      <c r="D371" s="2628" t="str">
        <f ca="1">IF(OFFSET('fantoma mama'!$A$34,0,$L371,1,1)=0,"Não visível",IF(OFFSET('fantoma mama'!$A$34,0,$L371,1,1)="-","NPA",VLOOKUP(OFFSET('fantoma mama'!$A$34,0,$L371,1,1),IF(OFFSET('fantoma mama'!$A$5,0,$L371,1,1)="acr",Tabelas!$M$13:$N$17,Tabelas!$M$31:$N$35),2)))</f>
        <v>NPA</v>
      </c>
      <c r="E371" s="2628"/>
      <c r="F371" s="1774" t="str">
        <f ca="1">IF(D371="NPA","NR",IF(D371="Não visível","NC",IF(D371&gt;0.75,"NC","C")))</f>
        <v>NR</v>
      </c>
      <c r="G371" s="1774" t="str">
        <f ca="1">IF(OFFSET('fantoma mama'!$A$31,0,$L371,1,1)=0,"NPA",OFFSET('fantoma mama'!$A$31,0,$L371,1,1))</f>
        <v>NPA</v>
      </c>
      <c r="H371" s="1774" t="str">
        <f ca="1">IF(OFFSET('fantoma mama'!$A$32,0,$L371,1,1)=0,"NPA",OFFSET('fantoma mama'!$A$32,0,$L371,1,1)&amp;" / "&amp;OFFSET('fantoma mama'!$A$30,0,$L371,1,1))</f>
        <v>NPA</v>
      </c>
      <c r="I371" s="1769" t="str">
        <f t="shared" ca="1" si="16"/>
        <v>NA</v>
      </c>
      <c r="K371" s="1736" t="str">
        <f t="shared" ca="1" si="17"/>
        <v/>
      </c>
      <c r="L371" s="1778">
        <f>L368+1</f>
        <v>23</v>
      </c>
    </row>
    <row r="372" spans="1:12" x14ac:dyDescent="0.2">
      <c r="A372" s="1759">
        <f ca="1">A371</f>
        <v>46162</v>
      </c>
      <c r="B372" s="2621" t="s">
        <v>736</v>
      </c>
      <c r="C372" s="2622"/>
      <c r="D372" s="2622" t="str">
        <f ca="1">IF(OFFSET('fantoma mama'!$A$35,0,$L371,1,1)=0,"Não visível",IF(OFFSET('fantoma mama'!$A$35,0,$L371,1,1)="-","NPA",VLOOKUP(OFFSET('fantoma mama'!$A$35,0,$L371,1,1),IF(OFFSET('fantoma mama'!$A$5,0,$L371,1,1)="acr",Tabelas!$M$8:$N$12,Tabelas!$M$26:$N$30),2)))</f>
        <v>NPA</v>
      </c>
      <c r="E372" s="2622"/>
      <c r="F372" s="1774" t="str">
        <f ca="1">IF(D372="NPA","NR",IF(D372="Não visível","NC",IF(D372&gt;0.32,"NC","C")))</f>
        <v>NR</v>
      </c>
      <c r="G372" s="1771" t="str">
        <f ca="1">G371</f>
        <v>NPA</v>
      </c>
      <c r="H372" s="1771" t="str">
        <f ca="1">H371</f>
        <v>NPA</v>
      </c>
      <c r="I372" s="1772" t="str">
        <f t="shared" ca="1" si="16"/>
        <v>NA</v>
      </c>
      <c r="K372" s="1736" t="str">
        <f t="shared" ca="1" si="17"/>
        <v/>
      </c>
    </row>
    <row r="373" spans="1:12" x14ac:dyDescent="0.2">
      <c r="A373" s="1757">
        <f ca="1">A374</f>
        <v>46163</v>
      </c>
      <c r="B373" s="2625" t="s">
        <v>722</v>
      </c>
      <c r="C373" s="2626"/>
      <c r="D373" s="2626" t="str">
        <f ca="1">IF(OFFSET('fantoma mama'!$A$33,0,$L374,1,1)=0,"Não visível",IF(OFFSET('fantoma mama'!$A$33,0,$L374,1,1)="-","NPA",VLOOKUP(OFFSET('fantoma mama'!$A$33,0,$L374,1,1),IF(OFFSET('fantoma mama'!$A$5,0,$L374,1,1)="acr",Tabelas!$M$2:$N$7,Tabelas!$M$20:$N$25),2)))</f>
        <v>NPA</v>
      </c>
      <c r="E373" s="2626"/>
      <c r="F373" s="1773" t="str">
        <f ca="1">IF(D373="NPA","NR",IF(D373="Não visível","NC",IF(D373&gt;0.75,"NC","C")))</f>
        <v>NR</v>
      </c>
      <c r="G373" s="1767" t="str">
        <f ca="1">G374</f>
        <v>NPA</v>
      </c>
      <c r="H373" s="1767" t="str">
        <f ca="1">H374</f>
        <v>NPA</v>
      </c>
      <c r="I373" s="1768" t="str">
        <f t="shared" ca="1" si="16"/>
        <v>NA</v>
      </c>
      <c r="K373" s="1736" t="str">
        <f t="shared" ca="1" si="17"/>
        <v/>
      </c>
    </row>
    <row r="374" spans="1:12" x14ac:dyDescent="0.2">
      <c r="A374" s="1758">
        <f ca="1">IF(OFFSET('fantoma mama'!$A$4,0,$L374,1,1)=0,"",OFFSET('fantoma mama'!$A$4,0,$L374,1,1))</f>
        <v>46163</v>
      </c>
      <c r="B374" s="2627" t="s">
        <v>723</v>
      </c>
      <c r="C374" s="2628"/>
      <c r="D374" s="2628" t="str">
        <f ca="1">IF(OFFSET('fantoma mama'!$A$34,0,$L374,1,1)=0,"Não visível",IF(OFFSET('fantoma mama'!$A$34,0,$L374,1,1)="-","NPA",VLOOKUP(OFFSET('fantoma mama'!$A$34,0,$L374,1,1),IF(OFFSET('fantoma mama'!$A$5,0,$L374,1,1)="acr",Tabelas!$M$13:$N$17,Tabelas!$M$31:$N$35),2)))</f>
        <v>NPA</v>
      </c>
      <c r="E374" s="2628"/>
      <c r="F374" s="1774" t="str">
        <f ca="1">IF(D374="NPA","NR",IF(D374="Não visível","NC",IF(D374&gt;0.75,"NC","C")))</f>
        <v>NR</v>
      </c>
      <c r="G374" s="1774" t="str">
        <f ca="1">IF(OFFSET('fantoma mama'!$A$31,0,$L374,1,1)=0,"NPA",OFFSET('fantoma mama'!$A$31,0,$L374,1,1))</f>
        <v>NPA</v>
      </c>
      <c r="H374" s="1774" t="str">
        <f ca="1">IF(OFFSET('fantoma mama'!$A$32,0,$L374,1,1)=0,"NPA",OFFSET('fantoma mama'!$A$32,0,$L374,1,1)&amp;" / "&amp;OFFSET('fantoma mama'!$A$30,0,$L374,1,1))</f>
        <v>NPA</v>
      </c>
      <c r="I374" s="1769" t="str">
        <f t="shared" ca="1" si="16"/>
        <v>NA</v>
      </c>
      <c r="K374" s="1736" t="str">
        <f t="shared" ca="1" si="17"/>
        <v/>
      </c>
      <c r="L374" s="1778">
        <f>L371+1</f>
        <v>24</v>
      </c>
    </row>
    <row r="375" spans="1:12" x14ac:dyDescent="0.2">
      <c r="A375" s="1759">
        <f ca="1">A374</f>
        <v>46163</v>
      </c>
      <c r="B375" s="2621" t="s">
        <v>736</v>
      </c>
      <c r="C375" s="2622"/>
      <c r="D375" s="2622" t="str">
        <f ca="1">IF(OFFSET('fantoma mama'!$A$35,0,$L374,1,1)=0,"Não visível",IF(OFFSET('fantoma mama'!$A$35,0,$L374,1,1)="-","NPA",VLOOKUP(OFFSET('fantoma mama'!$A$35,0,$L374,1,1),IF(OFFSET('fantoma mama'!$A$5,0,$L374,1,1)="acr",Tabelas!$M$8:$N$12,Tabelas!$M$26:$N$30),2)))</f>
        <v>NPA</v>
      </c>
      <c r="E375" s="2622"/>
      <c r="F375" s="1774" t="str">
        <f ca="1">IF(D375="NPA","NR",IF(D375="Não visível","NC",IF(D375&gt;0.32,"NC","C")))</f>
        <v>NR</v>
      </c>
      <c r="G375" s="1771" t="str">
        <f ca="1">G374</f>
        <v>NPA</v>
      </c>
      <c r="H375" s="1771" t="str">
        <f ca="1">H374</f>
        <v>NPA</v>
      </c>
      <c r="I375" s="1772" t="str">
        <f t="shared" ca="1" si="16"/>
        <v>NA</v>
      </c>
      <c r="K375" s="1736" t="str">
        <f t="shared" ca="1" si="17"/>
        <v/>
      </c>
    </row>
    <row r="376" spans="1:12" x14ac:dyDescent="0.2">
      <c r="A376" s="1757">
        <f ca="1">A377</f>
        <v>46164</v>
      </c>
      <c r="B376" s="2625" t="s">
        <v>722</v>
      </c>
      <c r="C376" s="2626"/>
      <c r="D376" s="2626" t="str">
        <f ca="1">IF(OFFSET('fantoma mama'!$A$33,0,$L377,1,1)=0,"Não visível",IF(OFFSET('fantoma mama'!$A$33,0,$L377,1,1)="-","NPA",VLOOKUP(OFFSET('fantoma mama'!$A$33,0,$L377,1,1),IF(OFFSET('fantoma mama'!$A$5,0,$L377,1,1)="acr",Tabelas!$M$2:$N$7,Tabelas!$M$20:$N$25),2)))</f>
        <v>NPA</v>
      </c>
      <c r="E376" s="2626"/>
      <c r="F376" s="1773" t="str">
        <f ca="1">IF(D376="NPA","NR",IF(D376="Não visível","NC",IF(D376&gt;0.75,"NC","C")))</f>
        <v>NR</v>
      </c>
      <c r="G376" s="1767" t="str">
        <f ca="1">G377</f>
        <v>NPA</v>
      </c>
      <c r="H376" s="1767" t="str">
        <f ca="1">H377</f>
        <v>NPA</v>
      </c>
      <c r="I376" s="1768" t="str">
        <f t="shared" ca="1" si="16"/>
        <v>NA</v>
      </c>
      <c r="K376" s="1736" t="str">
        <f t="shared" ca="1" si="17"/>
        <v/>
      </c>
    </row>
    <row r="377" spans="1:12" x14ac:dyDescent="0.2">
      <c r="A377" s="1758">
        <f ca="1">IF(OFFSET('fantoma mama'!$A$4,0,$L377,1,1)=0,"",OFFSET('fantoma mama'!$A$4,0,$L377,1,1))</f>
        <v>46164</v>
      </c>
      <c r="B377" s="2627" t="s">
        <v>723</v>
      </c>
      <c r="C377" s="2628"/>
      <c r="D377" s="2628" t="str">
        <f ca="1">IF(OFFSET('fantoma mama'!$A$34,0,$L377,1,1)=0,"Não visível",IF(OFFSET('fantoma mama'!$A$34,0,$L377,1,1)="-","NPA",VLOOKUP(OFFSET('fantoma mama'!$A$34,0,$L377,1,1),IF(OFFSET('fantoma mama'!$A$5,0,$L377,1,1)="acr",Tabelas!$M$13:$N$17,Tabelas!$M$31:$N$35),2)))</f>
        <v>NPA</v>
      </c>
      <c r="E377" s="2628"/>
      <c r="F377" s="1774" t="str">
        <f ca="1">IF(D377="NPA","NR",IF(D377="Não visível","NC",IF(D377&gt;0.75,"NC","C")))</f>
        <v>NR</v>
      </c>
      <c r="G377" s="1774" t="str">
        <f ca="1">IF(OFFSET('fantoma mama'!$A$31,0,$L377,1,1)=0,"NPA",OFFSET('fantoma mama'!$A$31,0,$L377,1,1))</f>
        <v>NPA</v>
      </c>
      <c r="H377" s="1774" t="str">
        <f ca="1">IF(OFFSET('fantoma mama'!$A$32,0,$L377,1,1)=0,"NPA",OFFSET('fantoma mama'!$A$32,0,$L377,1,1)&amp;" / "&amp;OFFSET('fantoma mama'!$A$30,0,$L377,1,1))</f>
        <v>NPA</v>
      </c>
      <c r="I377" s="1769" t="str">
        <f t="shared" ca="1" si="16"/>
        <v>NA</v>
      </c>
      <c r="K377" s="1736" t="str">
        <f t="shared" ca="1" si="17"/>
        <v/>
      </c>
      <c r="L377" s="1778">
        <f>L374+1</f>
        <v>25</v>
      </c>
    </row>
    <row r="378" spans="1:12" x14ac:dyDescent="0.2">
      <c r="A378" s="1759">
        <f ca="1">A377</f>
        <v>46164</v>
      </c>
      <c r="B378" s="2621" t="s">
        <v>736</v>
      </c>
      <c r="C378" s="2622"/>
      <c r="D378" s="2622" t="str">
        <f ca="1">IF(OFFSET('fantoma mama'!$A$35,0,$L377,1,1)=0,"Não visível",IF(OFFSET('fantoma mama'!$A$35,0,$L377,1,1)="-","NPA",VLOOKUP(OFFSET('fantoma mama'!$A$35,0,$L377,1,1),IF(OFFSET('fantoma mama'!$A$5,0,$L377,1,1)="acr",Tabelas!$M$8:$N$12,Tabelas!$M$26:$N$30),2)))</f>
        <v>NPA</v>
      </c>
      <c r="E378" s="2622"/>
      <c r="F378" s="1774" t="str">
        <f ca="1">IF(D378="NPA","NR",IF(D378="Não visível","NC",IF(D378&gt;0.32,"NC","C")))</f>
        <v>NR</v>
      </c>
      <c r="G378" s="1771" t="str">
        <f ca="1">G377</f>
        <v>NPA</v>
      </c>
      <c r="H378" s="1771" t="str">
        <f ca="1">H377</f>
        <v>NPA</v>
      </c>
      <c r="I378" s="1772" t="str">
        <f t="shared" ca="1" si="16"/>
        <v>NA</v>
      </c>
      <c r="K378" s="1736" t="str">
        <f t="shared" ca="1" si="17"/>
        <v/>
      </c>
    </row>
    <row r="379" spans="1:12" ht="15" customHeight="1" x14ac:dyDescent="0.2">
      <c r="A379" s="2623" t="s">
        <v>1877</v>
      </c>
      <c r="B379" s="2623"/>
      <c r="C379" s="2623"/>
      <c r="D379" s="2623"/>
      <c r="E379" s="2623"/>
      <c r="F379" s="2623"/>
      <c r="G379" s="2623"/>
      <c r="H379" s="2623"/>
      <c r="I379" s="2623"/>
      <c r="K379" s="1736" t="str">
        <f>K303</f>
        <v>x</v>
      </c>
    </row>
    <row r="380" spans="1:12" x14ac:dyDescent="0.2">
      <c r="A380" s="2624"/>
      <c r="B380" s="2624"/>
      <c r="C380" s="2624"/>
      <c r="D380" s="2624"/>
      <c r="E380" s="2624"/>
      <c r="F380" s="2624"/>
      <c r="G380" s="2624"/>
      <c r="H380" s="2624"/>
      <c r="I380" s="2624"/>
      <c r="K380" s="1736" t="str">
        <f>K379</f>
        <v>x</v>
      </c>
    </row>
  </sheetData>
  <sheetProtection sheet="1" objects="1" scenarios="1"/>
  <autoFilter ref="K1:K380"/>
  <mergeCells count="506">
    <mergeCell ref="C12:J13"/>
    <mergeCell ref="C17:J17"/>
    <mergeCell ref="A22:J24"/>
    <mergeCell ref="A25:J26"/>
    <mergeCell ref="A29:J31"/>
    <mergeCell ref="A34:D34"/>
    <mergeCell ref="E34:J34"/>
    <mergeCell ref="A1:F1"/>
    <mergeCell ref="G1:H1"/>
    <mergeCell ref="I1:J1"/>
    <mergeCell ref="A3:J3"/>
    <mergeCell ref="A5:J5"/>
    <mergeCell ref="C9:J10"/>
    <mergeCell ref="A40:D40"/>
    <mergeCell ref="E40:J40"/>
    <mergeCell ref="A41:C41"/>
    <mergeCell ref="D41:F41"/>
    <mergeCell ref="G41:H41"/>
    <mergeCell ref="I41:J41"/>
    <mergeCell ref="A35:C35"/>
    <mergeCell ref="D35:F35"/>
    <mergeCell ref="G35:H35"/>
    <mergeCell ref="I35:J35"/>
    <mergeCell ref="A36:C37"/>
    <mergeCell ref="D36:F37"/>
    <mergeCell ref="G36:H37"/>
    <mergeCell ref="I36:J37"/>
    <mergeCell ref="A117:J118"/>
    <mergeCell ref="A119:J124"/>
    <mergeCell ref="A138:F138"/>
    <mergeCell ref="G138:H138"/>
    <mergeCell ref="I138:J138"/>
    <mergeCell ref="A127:J128"/>
    <mergeCell ref="A48:J59"/>
    <mergeCell ref="A60:J60"/>
    <mergeCell ref="A42:C43"/>
    <mergeCell ref="D42:F43"/>
    <mergeCell ref="G42:H43"/>
    <mergeCell ref="I42:J43"/>
    <mergeCell ref="A45:F45"/>
    <mergeCell ref="G45:H45"/>
    <mergeCell ref="I45:J45"/>
    <mergeCell ref="A97:F97"/>
    <mergeCell ref="G97:H97"/>
    <mergeCell ref="I97:J97"/>
    <mergeCell ref="B145:C145"/>
    <mergeCell ref="D145:E145"/>
    <mergeCell ref="B146:C146"/>
    <mergeCell ref="D146:E146"/>
    <mergeCell ref="A129:J133"/>
    <mergeCell ref="A134:J137"/>
    <mergeCell ref="B143:C143"/>
    <mergeCell ref="D143:E143"/>
    <mergeCell ref="B144:C144"/>
    <mergeCell ref="D144:E144"/>
    <mergeCell ref="B149:C149"/>
    <mergeCell ref="D149:E149"/>
    <mergeCell ref="B150:C150"/>
    <mergeCell ref="D150:E150"/>
    <mergeCell ref="B151:C151"/>
    <mergeCell ref="B147:C147"/>
    <mergeCell ref="D147:E147"/>
    <mergeCell ref="B148:C148"/>
    <mergeCell ref="D148:E148"/>
    <mergeCell ref="D154:E154"/>
    <mergeCell ref="B155:C155"/>
    <mergeCell ref="D155:E155"/>
    <mergeCell ref="B156:C156"/>
    <mergeCell ref="D156:E156"/>
    <mergeCell ref="B157:C157"/>
    <mergeCell ref="D151:E151"/>
    <mergeCell ref="B152:C152"/>
    <mergeCell ref="D152:E152"/>
    <mergeCell ref="B153:C153"/>
    <mergeCell ref="D153:E153"/>
    <mergeCell ref="B154:C154"/>
    <mergeCell ref="D160:E160"/>
    <mergeCell ref="B161:C161"/>
    <mergeCell ref="D161:E161"/>
    <mergeCell ref="B162:C162"/>
    <mergeCell ref="D162:E162"/>
    <mergeCell ref="B163:C163"/>
    <mergeCell ref="D157:E157"/>
    <mergeCell ref="B158:C158"/>
    <mergeCell ref="D158:E158"/>
    <mergeCell ref="B159:C159"/>
    <mergeCell ref="D159:E159"/>
    <mergeCell ref="B160:C160"/>
    <mergeCell ref="D166:E166"/>
    <mergeCell ref="B167:C167"/>
    <mergeCell ref="D167:E167"/>
    <mergeCell ref="B168:C168"/>
    <mergeCell ref="D168:E168"/>
    <mergeCell ref="B169:C169"/>
    <mergeCell ref="D163:E163"/>
    <mergeCell ref="B164:C164"/>
    <mergeCell ref="D164:E164"/>
    <mergeCell ref="B165:C165"/>
    <mergeCell ref="D165:E165"/>
    <mergeCell ref="B166:C166"/>
    <mergeCell ref="D172:E172"/>
    <mergeCell ref="B173:C173"/>
    <mergeCell ref="D173:E173"/>
    <mergeCell ref="B174:C174"/>
    <mergeCell ref="D174:E174"/>
    <mergeCell ref="B175:C175"/>
    <mergeCell ref="D169:E169"/>
    <mergeCell ref="B170:C170"/>
    <mergeCell ref="D170:E170"/>
    <mergeCell ref="B171:C171"/>
    <mergeCell ref="D171:E171"/>
    <mergeCell ref="B172:C172"/>
    <mergeCell ref="D178:E178"/>
    <mergeCell ref="B179:C179"/>
    <mergeCell ref="D179:E179"/>
    <mergeCell ref="B180:C180"/>
    <mergeCell ref="D180:E180"/>
    <mergeCell ref="B181:C181"/>
    <mergeCell ref="D175:E175"/>
    <mergeCell ref="B176:C176"/>
    <mergeCell ref="D176:E176"/>
    <mergeCell ref="B177:C177"/>
    <mergeCell ref="D177:E177"/>
    <mergeCell ref="B178:C178"/>
    <mergeCell ref="D184:E184"/>
    <mergeCell ref="B185:C185"/>
    <mergeCell ref="D185:E185"/>
    <mergeCell ref="B186:C186"/>
    <mergeCell ref="D186:E186"/>
    <mergeCell ref="B187:C187"/>
    <mergeCell ref="D181:E181"/>
    <mergeCell ref="B182:C182"/>
    <mergeCell ref="D182:E182"/>
    <mergeCell ref="B183:C183"/>
    <mergeCell ref="D183:E183"/>
    <mergeCell ref="B184:C184"/>
    <mergeCell ref="B192:C192"/>
    <mergeCell ref="D192:E192"/>
    <mergeCell ref="B193:C193"/>
    <mergeCell ref="D193:E193"/>
    <mergeCell ref="B190:C190"/>
    <mergeCell ref="D190:E190"/>
    <mergeCell ref="B191:C191"/>
    <mergeCell ref="D191:E191"/>
    <mergeCell ref="D187:E187"/>
    <mergeCell ref="B188:C188"/>
    <mergeCell ref="D188:E188"/>
    <mergeCell ref="B189:C189"/>
    <mergeCell ref="D189:E189"/>
    <mergeCell ref="B198:C198"/>
    <mergeCell ref="D198:E198"/>
    <mergeCell ref="B199:C199"/>
    <mergeCell ref="D199:E199"/>
    <mergeCell ref="B196:C196"/>
    <mergeCell ref="D196:E196"/>
    <mergeCell ref="B197:C197"/>
    <mergeCell ref="D197:E197"/>
    <mergeCell ref="B194:C194"/>
    <mergeCell ref="D194:E194"/>
    <mergeCell ref="B195:C195"/>
    <mergeCell ref="D195:E195"/>
    <mergeCell ref="B204:C204"/>
    <mergeCell ref="D204:E204"/>
    <mergeCell ref="B205:C205"/>
    <mergeCell ref="D205:E205"/>
    <mergeCell ref="B202:C202"/>
    <mergeCell ref="D202:E202"/>
    <mergeCell ref="B203:C203"/>
    <mergeCell ref="D203:E203"/>
    <mergeCell ref="B200:C200"/>
    <mergeCell ref="D200:E200"/>
    <mergeCell ref="B201:C201"/>
    <mergeCell ref="D201:E201"/>
    <mergeCell ref="B210:C210"/>
    <mergeCell ref="D210:E210"/>
    <mergeCell ref="B211:C211"/>
    <mergeCell ref="D211:E211"/>
    <mergeCell ref="B208:C208"/>
    <mergeCell ref="D208:E208"/>
    <mergeCell ref="B209:C209"/>
    <mergeCell ref="D209:E209"/>
    <mergeCell ref="B206:C206"/>
    <mergeCell ref="D206:E206"/>
    <mergeCell ref="B207:C207"/>
    <mergeCell ref="D207:E207"/>
    <mergeCell ref="B216:C216"/>
    <mergeCell ref="D216:E216"/>
    <mergeCell ref="B217:C217"/>
    <mergeCell ref="D217:E217"/>
    <mergeCell ref="B214:C214"/>
    <mergeCell ref="D214:E214"/>
    <mergeCell ref="B215:C215"/>
    <mergeCell ref="D215:E215"/>
    <mergeCell ref="B212:C212"/>
    <mergeCell ref="D212:E212"/>
    <mergeCell ref="B213:C213"/>
    <mergeCell ref="D213:E213"/>
    <mergeCell ref="B226:C226"/>
    <mergeCell ref="D226:E226"/>
    <mergeCell ref="B227:C227"/>
    <mergeCell ref="D227:E227"/>
    <mergeCell ref="B224:C224"/>
    <mergeCell ref="D224:E224"/>
    <mergeCell ref="B225:C225"/>
    <mergeCell ref="D225:E225"/>
    <mergeCell ref="B218:C218"/>
    <mergeCell ref="D218:E218"/>
    <mergeCell ref="B223:C223"/>
    <mergeCell ref="D223:E223"/>
    <mergeCell ref="B232:C232"/>
    <mergeCell ref="D232:E232"/>
    <mergeCell ref="B233:C233"/>
    <mergeCell ref="D233:E233"/>
    <mergeCell ref="B230:C230"/>
    <mergeCell ref="D230:E230"/>
    <mergeCell ref="B231:C231"/>
    <mergeCell ref="D231:E231"/>
    <mergeCell ref="B228:C228"/>
    <mergeCell ref="D228:E228"/>
    <mergeCell ref="B229:C229"/>
    <mergeCell ref="D229:E229"/>
    <mergeCell ref="B238:C238"/>
    <mergeCell ref="D238:E238"/>
    <mergeCell ref="B239:C239"/>
    <mergeCell ref="D239:E239"/>
    <mergeCell ref="B236:C236"/>
    <mergeCell ref="D236:E236"/>
    <mergeCell ref="B237:C237"/>
    <mergeCell ref="D237:E237"/>
    <mergeCell ref="B234:C234"/>
    <mergeCell ref="D234:E234"/>
    <mergeCell ref="B235:C235"/>
    <mergeCell ref="D235:E235"/>
    <mergeCell ref="B244:C244"/>
    <mergeCell ref="D244:E244"/>
    <mergeCell ref="B245:C245"/>
    <mergeCell ref="D245:E245"/>
    <mergeCell ref="B242:C242"/>
    <mergeCell ref="D242:E242"/>
    <mergeCell ref="B243:C243"/>
    <mergeCell ref="D243:E243"/>
    <mergeCell ref="B240:C240"/>
    <mergeCell ref="D240:E240"/>
    <mergeCell ref="B241:C241"/>
    <mergeCell ref="D241:E241"/>
    <mergeCell ref="B250:C250"/>
    <mergeCell ref="D250:E250"/>
    <mergeCell ref="B251:C251"/>
    <mergeCell ref="D251:E251"/>
    <mergeCell ref="B248:C248"/>
    <mergeCell ref="D248:E248"/>
    <mergeCell ref="B249:C249"/>
    <mergeCell ref="D249:E249"/>
    <mergeCell ref="B246:C246"/>
    <mergeCell ref="D246:E246"/>
    <mergeCell ref="B247:C247"/>
    <mergeCell ref="D247:E247"/>
    <mergeCell ref="B256:C256"/>
    <mergeCell ref="D256:E256"/>
    <mergeCell ref="B257:C257"/>
    <mergeCell ref="D257:E257"/>
    <mergeCell ref="B254:C254"/>
    <mergeCell ref="D254:E254"/>
    <mergeCell ref="B255:C255"/>
    <mergeCell ref="D255:E255"/>
    <mergeCell ref="B252:C252"/>
    <mergeCell ref="D252:E252"/>
    <mergeCell ref="B253:C253"/>
    <mergeCell ref="D253:E253"/>
    <mergeCell ref="B262:C262"/>
    <mergeCell ref="D262:E262"/>
    <mergeCell ref="B263:C263"/>
    <mergeCell ref="D263:E263"/>
    <mergeCell ref="B260:C260"/>
    <mergeCell ref="D260:E260"/>
    <mergeCell ref="B261:C261"/>
    <mergeCell ref="D261:E261"/>
    <mergeCell ref="B258:C258"/>
    <mergeCell ref="D258:E258"/>
    <mergeCell ref="B259:C259"/>
    <mergeCell ref="D259:E259"/>
    <mergeCell ref="B268:C268"/>
    <mergeCell ref="D268:E268"/>
    <mergeCell ref="B269:C269"/>
    <mergeCell ref="D269:E269"/>
    <mergeCell ref="B266:C266"/>
    <mergeCell ref="D266:E266"/>
    <mergeCell ref="B267:C267"/>
    <mergeCell ref="D267:E267"/>
    <mergeCell ref="B264:C264"/>
    <mergeCell ref="D264:E264"/>
    <mergeCell ref="B265:C265"/>
    <mergeCell ref="D265:E265"/>
    <mergeCell ref="B274:C274"/>
    <mergeCell ref="D274:E274"/>
    <mergeCell ref="B275:C275"/>
    <mergeCell ref="D275:E275"/>
    <mergeCell ref="B272:C272"/>
    <mergeCell ref="D272:E272"/>
    <mergeCell ref="B273:C273"/>
    <mergeCell ref="D273:E273"/>
    <mergeCell ref="B270:C270"/>
    <mergeCell ref="D270:E270"/>
    <mergeCell ref="B271:C271"/>
    <mergeCell ref="D271:E271"/>
    <mergeCell ref="B280:C280"/>
    <mergeCell ref="D280:E280"/>
    <mergeCell ref="B281:C281"/>
    <mergeCell ref="D281:E281"/>
    <mergeCell ref="B278:C278"/>
    <mergeCell ref="D278:E278"/>
    <mergeCell ref="B279:C279"/>
    <mergeCell ref="D279:E279"/>
    <mergeCell ref="B276:C276"/>
    <mergeCell ref="D276:E276"/>
    <mergeCell ref="B277:C277"/>
    <mergeCell ref="D277:E277"/>
    <mergeCell ref="B286:C286"/>
    <mergeCell ref="D286:E286"/>
    <mergeCell ref="B287:C287"/>
    <mergeCell ref="D287:E287"/>
    <mergeCell ref="B284:C284"/>
    <mergeCell ref="D284:E284"/>
    <mergeCell ref="B285:C285"/>
    <mergeCell ref="D285:E285"/>
    <mergeCell ref="B282:C282"/>
    <mergeCell ref="D282:E282"/>
    <mergeCell ref="B283:C283"/>
    <mergeCell ref="D283:E283"/>
    <mergeCell ref="B298:C298"/>
    <mergeCell ref="D298:E298"/>
    <mergeCell ref="A219:I220"/>
    <mergeCell ref="A299:I300"/>
    <mergeCell ref="B296:C296"/>
    <mergeCell ref="D296:E296"/>
    <mergeCell ref="B297:C297"/>
    <mergeCell ref="D297:E297"/>
    <mergeCell ref="B294:C294"/>
    <mergeCell ref="D294:E294"/>
    <mergeCell ref="B295:C295"/>
    <mergeCell ref="D295:E295"/>
    <mergeCell ref="B292:C292"/>
    <mergeCell ref="D292:E292"/>
    <mergeCell ref="B293:C293"/>
    <mergeCell ref="D293:E293"/>
    <mergeCell ref="B290:C290"/>
    <mergeCell ref="D290:E290"/>
    <mergeCell ref="B291:C291"/>
    <mergeCell ref="D291:E291"/>
    <mergeCell ref="B288:C288"/>
    <mergeCell ref="D288:E288"/>
    <mergeCell ref="B289:C289"/>
    <mergeCell ref="D289:E289"/>
    <mergeCell ref="B306:C306"/>
    <mergeCell ref="D306:E306"/>
    <mergeCell ref="B307:C307"/>
    <mergeCell ref="D307:E307"/>
    <mergeCell ref="B308:C308"/>
    <mergeCell ref="D308:E308"/>
    <mergeCell ref="B303:C303"/>
    <mergeCell ref="D303:E303"/>
    <mergeCell ref="B304:C304"/>
    <mergeCell ref="D304:E304"/>
    <mergeCell ref="B305:C305"/>
    <mergeCell ref="D305:E305"/>
    <mergeCell ref="B312:C312"/>
    <mergeCell ref="D312:E312"/>
    <mergeCell ref="B313:C313"/>
    <mergeCell ref="D313:E313"/>
    <mergeCell ref="B314:C314"/>
    <mergeCell ref="D314:E314"/>
    <mergeCell ref="B309:C309"/>
    <mergeCell ref="D309:E309"/>
    <mergeCell ref="B310:C310"/>
    <mergeCell ref="D310:E310"/>
    <mergeCell ref="B311:C311"/>
    <mergeCell ref="D311:E311"/>
    <mergeCell ref="B318:C318"/>
    <mergeCell ref="D318:E318"/>
    <mergeCell ref="B319:C319"/>
    <mergeCell ref="D319:E319"/>
    <mergeCell ref="B320:C320"/>
    <mergeCell ref="D320:E320"/>
    <mergeCell ref="B315:C315"/>
    <mergeCell ref="D315:E315"/>
    <mergeCell ref="B316:C316"/>
    <mergeCell ref="D316:E316"/>
    <mergeCell ref="B317:C317"/>
    <mergeCell ref="D317:E317"/>
    <mergeCell ref="B324:C324"/>
    <mergeCell ref="D324:E324"/>
    <mergeCell ref="B325:C325"/>
    <mergeCell ref="D325:E325"/>
    <mergeCell ref="B326:C326"/>
    <mergeCell ref="D326:E326"/>
    <mergeCell ref="B321:C321"/>
    <mergeCell ref="D321:E321"/>
    <mergeCell ref="B322:C322"/>
    <mergeCell ref="D322:E322"/>
    <mergeCell ref="B323:C323"/>
    <mergeCell ref="D323:E323"/>
    <mergeCell ref="B330:C330"/>
    <mergeCell ref="D330:E330"/>
    <mergeCell ref="B331:C331"/>
    <mergeCell ref="D331:E331"/>
    <mergeCell ref="B332:C332"/>
    <mergeCell ref="D332:E332"/>
    <mergeCell ref="B327:C327"/>
    <mergeCell ref="D327:E327"/>
    <mergeCell ref="B328:C328"/>
    <mergeCell ref="D328:E328"/>
    <mergeCell ref="B329:C329"/>
    <mergeCell ref="D329:E329"/>
    <mergeCell ref="B336:C336"/>
    <mergeCell ref="D336:E336"/>
    <mergeCell ref="B337:C337"/>
    <mergeCell ref="D337:E337"/>
    <mergeCell ref="B338:C338"/>
    <mergeCell ref="D338:E338"/>
    <mergeCell ref="B333:C333"/>
    <mergeCell ref="D333:E333"/>
    <mergeCell ref="B334:C334"/>
    <mergeCell ref="D334:E334"/>
    <mergeCell ref="B335:C335"/>
    <mergeCell ref="D335:E335"/>
    <mergeCell ref="B342:C342"/>
    <mergeCell ref="D342:E342"/>
    <mergeCell ref="B343:C343"/>
    <mergeCell ref="D343:E343"/>
    <mergeCell ref="B344:C344"/>
    <mergeCell ref="D344:E344"/>
    <mergeCell ref="B339:C339"/>
    <mergeCell ref="D339:E339"/>
    <mergeCell ref="B340:C340"/>
    <mergeCell ref="D340:E340"/>
    <mergeCell ref="B341:C341"/>
    <mergeCell ref="D341:E341"/>
    <mergeCell ref="B348:C348"/>
    <mergeCell ref="D348:E348"/>
    <mergeCell ref="B349:C349"/>
    <mergeCell ref="D349:E349"/>
    <mergeCell ref="B350:C350"/>
    <mergeCell ref="D350:E350"/>
    <mergeCell ref="B345:C345"/>
    <mergeCell ref="D345:E345"/>
    <mergeCell ref="B346:C346"/>
    <mergeCell ref="D346:E346"/>
    <mergeCell ref="B347:C347"/>
    <mergeCell ref="D347:E347"/>
    <mergeCell ref="B354:C354"/>
    <mergeCell ref="D354:E354"/>
    <mergeCell ref="B355:C355"/>
    <mergeCell ref="D355:E355"/>
    <mergeCell ref="B356:C356"/>
    <mergeCell ref="D356:E356"/>
    <mergeCell ref="B351:C351"/>
    <mergeCell ref="D351:E351"/>
    <mergeCell ref="B352:C352"/>
    <mergeCell ref="D352:E352"/>
    <mergeCell ref="B353:C353"/>
    <mergeCell ref="D353:E353"/>
    <mergeCell ref="B360:C360"/>
    <mergeCell ref="D360:E360"/>
    <mergeCell ref="B361:C361"/>
    <mergeCell ref="D361:E361"/>
    <mergeCell ref="B362:C362"/>
    <mergeCell ref="D362:E362"/>
    <mergeCell ref="B357:C357"/>
    <mergeCell ref="D357:E357"/>
    <mergeCell ref="B358:C358"/>
    <mergeCell ref="D358:E358"/>
    <mergeCell ref="B359:C359"/>
    <mergeCell ref="D359:E359"/>
    <mergeCell ref="B366:C366"/>
    <mergeCell ref="D366:E366"/>
    <mergeCell ref="B367:C367"/>
    <mergeCell ref="D367:E367"/>
    <mergeCell ref="B368:C368"/>
    <mergeCell ref="D368:E368"/>
    <mergeCell ref="B363:C363"/>
    <mergeCell ref="D363:E363"/>
    <mergeCell ref="B364:C364"/>
    <mergeCell ref="D364:E364"/>
    <mergeCell ref="B365:C365"/>
    <mergeCell ref="D365:E365"/>
    <mergeCell ref="B372:C372"/>
    <mergeCell ref="D372:E372"/>
    <mergeCell ref="B373:C373"/>
    <mergeCell ref="D373:E373"/>
    <mergeCell ref="B374:C374"/>
    <mergeCell ref="D374:E374"/>
    <mergeCell ref="B369:C369"/>
    <mergeCell ref="D369:E369"/>
    <mergeCell ref="B370:C370"/>
    <mergeCell ref="D370:E370"/>
    <mergeCell ref="B371:C371"/>
    <mergeCell ref="D371:E371"/>
    <mergeCell ref="B378:C378"/>
    <mergeCell ref="D378:E378"/>
    <mergeCell ref="A379:I380"/>
    <mergeCell ref="B375:C375"/>
    <mergeCell ref="D375:E375"/>
    <mergeCell ref="B376:C376"/>
    <mergeCell ref="D376:E376"/>
    <mergeCell ref="B377:C377"/>
    <mergeCell ref="D377:E377"/>
  </mergeCells>
  <conditionalFormatting sqref="I144:I146">
    <cfRule type="cellIs" dxfId="946" priority="63" operator="equal">
      <formula>"Restrição"</formula>
    </cfRule>
  </conditionalFormatting>
  <conditionalFormatting sqref="I147:I149">
    <cfRule type="cellIs" dxfId="945" priority="62" operator="equal">
      <formula>"Restrição"</formula>
    </cfRule>
  </conditionalFormatting>
  <conditionalFormatting sqref="I150:I152">
    <cfRule type="cellIs" dxfId="944" priority="61" operator="equal">
      <formula>"Restrição"</formula>
    </cfRule>
  </conditionalFormatting>
  <conditionalFormatting sqref="I153:I155">
    <cfRule type="cellIs" dxfId="943" priority="59" operator="equal">
      <formula>"Restrição"</formula>
    </cfRule>
  </conditionalFormatting>
  <conditionalFormatting sqref="I156:I218">
    <cfRule type="cellIs" dxfId="942" priority="58" operator="equal">
      <formula>"Restrição"</formula>
    </cfRule>
  </conditionalFormatting>
  <conditionalFormatting sqref="I358:I360">
    <cfRule type="cellIs" dxfId="941" priority="7" operator="equal">
      <formula>"Restrição"</formula>
    </cfRule>
  </conditionalFormatting>
  <conditionalFormatting sqref="I224:I226">
    <cfRule type="cellIs" dxfId="940" priority="54" operator="equal">
      <formula>"Restrição"</formula>
    </cfRule>
  </conditionalFormatting>
  <conditionalFormatting sqref="I355:I357">
    <cfRule type="cellIs" dxfId="939" priority="8" operator="equal">
      <formula>"Restrição"</formula>
    </cfRule>
  </conditionalFormatting>
  <conditionalFormatting sqref="I343:I345">
    <cfRule type="cellIs" dxfId="938" priority="12" operator="equal">
      <formula>"Restrição"</formula>
    </cfRule>
  </conditionalFormatting>
  <conditionalFormatting sqref="I331:I333">
    <cfRule type="cellIs" dxfId="937" priority="16" operator="equal">
      <formula>"Restrição"</formula>
    </cfRule>
  </conditionalFormatting>
  <conditionalFormatting sqref="I319:I321">
    <cfRule type="cellIs" dxfId="936" priority="20" operator="equal">
      <formula>"Restrição"</formula>
    </cfRule>
  </conditionalFormatting>
  <conditionalFormatting sqref="I227:I229">
    <cfRule type="cellIs" dxfId="935" priority="49" operator="equal">
      <formula>"Restrição"</formula>
    </cfRule>
  </conditionalFormatting>
  <conditionalFormatting sqref="I230:I232">
    <cfRule type="cellIs" dxfId="934" priority="48" operator="equal">
      <formula>"Restrição"</formula>
    </cfRule>
  </conditionalFormatting>
  <conditionalFormatting sqref="I233:I235">
    <cfRule type="cellIs" dxfId="933" priority="47" operator="equal">
      <formula>"Restrição"</formula>
    </cfRule>
  </conditionalFormatting>
  <conditionalFormatting sqref="I236:I238">
    <cfRule type="cellIs" dxfId="932" priority="46" operator="equal">
      <formula>"Restrição"</formula>
    </cfRule>
  </conditionalFormatting>
  <conditionalFormatting sqref="I239:I241">
    <cfRule type="cellIs" dxfId="931" priority="45" operator="equal">
      <formula>"Restrição"</formula>
    </cfRule>
  </conditionalFormatting>
  <conditionalFormatting sqref="I242:I244">
    <cfRule type="cellIs" dxfId="930" priority="44" operator="equal">
      <formula>"Restrição"</formula>
    </cfRule>
  </conditionalFormatting>
  <conditionalFormatting sqref="I245:I247">
    <cfRule type="cellIs" dxfId="929" priority="43" operator="equal">
      <formula>"Restrição"</formula>
    </cfRule>
  </conditionalFormatting>
  <conditionalFormatting sqref="I248:I250">
    <cfRule type="cellIs" dxfId="928" priority="42" operator="equal">
      <formula>"Restrição"</formula>
    </cfRule>
  </conditionalFormatting>
  <conditionalFormatting sqref="I251:I253">
    <cfRule type="cellIs" dxfId="927" priority="41" operator="equal">
      <formula>"Restrição"</formula>
    </cfRule>
  </conditionalFormatting>
  <conditionalFormatting sqref="I254:I256">
    <cfRule type="cellIs" dxfId="926" priority="40" operator="equal">
      <formula>"Restrição"</formula>
    </cfRule>
  </conditionalFormatting>
  <conditionalFormatting sqref="I257:I259">
    <cfRule type="cellIs" dxfId="925" priority="39" operator="equal">
      <formula>"Restrição"</formula>
    </cfRule>
  </conditionalFormatting>
  <conditionalFormatting sqref="I260:I262">
    <cfRule type="cellIs" dxfId="924" priority="38" operator="equal">
      <formula>"Restrição"</formula>
    </cfRule>
  </conditionalFormatting>
  <conditionalFormatting sqref="I263:I265">
    <cfRule type="cellIs" dxfId="923" priority="37" operator="equal">
      <formula>"Restrição"</formula>
    </cfRule>
  </conditionalFormatting>
  <conditionalFormatting sqref="I266:I268">
    <cfRule type="cellIs" dxfId="922" priority="36" operator="equal">
      <formula>"Restrição"</formula>
    </cfRule>
  </conditionalFormatting>
  <conditionalFormatting sqref="I269:I271">
    <cfRule type="cellIs" dxfId="921" priority="35" operator="equal">
      <formula>"Restrição"</formula>
    </cfRule>
  </conditionalFormatting>
  <conditionalFormatting sqref="I272:I274">
    <cfRule type="cellIs" dxfId="920" priority="34" operator="equal">
      <formula>"Restrição"</formula>
    </cfRule>
  </conditionalFormatting>
  <conditionalFormatting sqref="I275:I277">
    <cfRule type="cellIs" dxfId="919" priority="33" operator="equal">
      <formula>"Restrição"</formula>
    </cfRule>
  </conditionalFormatting>
  <conditionalFormatting sqref="I278:I280">
    <cfRule type="cellIs" dxfId="918" priority="32" operator="equal">
      <formula>"Restrição"</formula>
    </cfRule>
  </conditionalFormatting>
  <conditionalFormatting sqref="I281:I283">
    <cfRule type="cellIs" dxfId="917" priority="31" operator="equal">
      <formula>"Restrição"</formula>
    </cfRule>
  </conditionalFormatting>
  <conditionalFormatting sqref="I284:I286">
    <cfRule type="cellIs" dxfId="916" priority="30" operator="equal">
      <formula>"Restrição"</formula>
    </cfRule>
  </conditionalFormatting>
  <conditionalFormatting sqref="I287:I289">
    <cfRule type="cellIs" dxfId="915" priority="29" operator="equal">
      <formula>"Restrição"</formula>
    </cfRule>
  </conditionalFormatting>
  <conditionalFormatting sqref="I290:I292">
    <cfRule type="cellIs" dxfId="914" priority="28" operator="equal">
      <formula>"Restrição"</formula>
    </cfRule>
  </conditionalFormatting>
  <conditionalFormatting sqref="I293:I295">
    <cfRule type="cellIs" dxfId="913" priority="27" operator="equal">
      <formula>"Restrição"</formula>
    </cfRule>
  </conditionalFormatting>
  <conditionalFormatting sqref="I296:I298">
    <cfRule type="cellIs" dxfId="912" priority="26" operator="equal">
      <formula>"Restrição"</formula>
    </cfRule>
  </conditionalFormatting>
  <conditionalFormatting sqref="I304:I306">
    <cfRule type="cellIs" dxfId="911" priority="25" operator="equal">
      <formula>"Restrição"</formula>
    </cfRule>
  </conditionalFormatting>
  <conditionalFormatting sqref="I307:I309">
    <cfRule type="cellIs" dxfId="910" priority="24" operator="equal">
      <formula>"Restrição"</formula>
    </cfRule>
  </conditionalFormatting>
  <conditionalFormatting sqref="I310:I312">
    <cfRule type="cellIs" dxfId="909" priority="23" operator="equal">
      <formula>"Restrição"</formula>
    </cfRule>
  </conditionalFormatting>
  <conditionalFormatting sqref="I313:I315">
    <cfRule type="cellIs" dxfId="908" priority="22" operator="equal">
      <formula>"Restrição"</formula>
    </cfRule>
  </conditionalFormatting>
  <conditionalFormatting sqref="I316:I318">
    <cfRule type="cellIs" dxfId="907" priority="21" operator="equal">
      <formula>"Restrição"</formula>
    </cfRule>
  </conditionalFormatting>
  <conditionalFormatting sqref="I322:I324">
    <cfRule type="cellIs" dxfId="906" priority="19" operator="equal">
      <formula>"Restrição"</formula>
    </cfRule>
  </conditionalFormatting>
  <conditionalFormatting sqref="I325:I327">
    <cfRule type="cellIs" dxfId="905" priority="18" operator="equal">
      <formula>"Restrição"</formula>
    </cfRule>
  </conditionalFormatting>
  <conditionalFormatting sqref="I328:I330">
    <cfRule type="cellIs" dxfId="904" priority="17" operator="equal">
      <formula>"Restrição"</formula>
    </cfRule>
  </conditionalFormatting>
  <conditionalFormatting sqref="I334:I336">
    <cfRule type="cellIs" dxfId="903" priority="15" operator="equal">
      <formula>"Restrição"</formula>
    </cfRule>
  </conditionalFormatting>
  <conditionalFormatting sqref="I337:I339">
    <cfRule type="cellIs" dxfId="902" priority="14" operator="equal">
      <formula>"Restrição"</formula>
    </cfRule>
  </conditionalFormatting>
  <conditionalFormatting sqref="I340:I342">
    <cfRule type="cellIs" dxfId="901" priority="13" operator="equal">
      <formula>"Restrição"</formula>
    </cfRule>
  </conditionalFormatting>
  <conditionalFormatting sqref="I346:I348">
    <cfRule type="cellIs" dxfId="900" priority="11" operator="equal">
      <formula>"Restrição"</formula>
    </cfRule>
  </conditionalFormatting>
  <conditionalFormatting sqref="I349:I351">
    <cfRule type="cellIs" dxfId="899" priority="10" operator="equal">
      <formula>"Restrição"</formula>
    </cfRule>
  </conditionalFormatting>
  <conditionalFormatting sqref="I352:I354">
    <cfRule type="cellIs" dxfId="898" priority="9" operator="equal">
      <formula>"Restrição"</formula>
    </cfRule>
  </conditionalFormatting>
  <conditionalFormatting sqref="I361:I363">
    <cfRule type="cellIs" dxfId="897" priority="6" operator="equal">
      <formula>"Restrição"</formula>
    </cfRule>
  </conditionalFormatting>
  <conditionalFormatting sqref="I364:I366">
    <cfRule type="cellIs" dxfId="896" priority="5" operator="equal">
      <formula>"Restrição"</formula>
    </cfRule>
  </conditionalFormatting>
  <conditionalFormatting sqref="I367:I369">
    <cfRule type="cellIs" dxfId="895" priority="4" operator="equal">
      <formula>"Restrição"</formula>
    </cfRule>
  </conditionalFormatting>
  <conditionalFormatting sqref="I370:I372">
    <cfRule type="cellIs" dxfId="894" priority="3" operator="equal">
      <formula>"Restrição"</formula>
    </cfRule>
  </conditionalFormatting>
  <conditionalFormatting sqref="I373:I375">
    <cfRule type="cellIs" dxfId="893" priority="2" operator="equal">
      <formula>"Restrição"</formula>
    </cfRule>
  </conditionalFormatting>
  <conditionalFormatting sqref="I376:I378">
    <cfRule type="cellIs" dxfId="892" priority="1" operator="equal">
      <formula>"Restrição"</formula>
    </cfRule>
  </conditionalFormatting>
  <pageMargins left="0.511811024" right="0.511811024" top="0.78740157499999996" bottom="0.78740157499999996" header="0.31496062000000002" footer="0.31496062000000002"/>
  <pageSetup paperSize="9" scale="96" orientation="portrait" r:id="rId1"/>
  <rowBreaks count="5" manualBreakCount="5">
    <brk id="44" max="9" man="1"/>
    <brk id="96" max="9" man="1"/>
    <brk id="137" max="9" man="1"/>
    <brk id="185" max="9" man="1"/>
    <brk id="283" max="9" man="1"/>
  </rowBreaks>
  <colBreaks count="1" manualBreakCount="1">
    <brk id="10"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pageSetUpPr fitToPage="1"/>
  </sheetPr>
  <dimension ref="A1:R110"/>
  <sheetViews>
    <sheetView view="pageBreakPreview" zoomScale="145" zoomScaleNormal="100" zoomScaleSheetLayoutView="145" zoomScalePageLayoutView="85" workbookViewId="0">
      <pane ySplit="1" topLeftCell="A2" activePane="bottomLeft" state="frozen"/>
      <selection activeCell="V21" sqref="V21"/>
      <selection pane="bottomLeft" activeCell="V21" sqref="V21"/>
    </sheetView>
  </sheetViews>
  <sheetFormatPr defaultColWidth="9.140625" defaultRowHeight="15" x14ac:dyDescent="0.2"/>
  <cols>
    <col min="1" max="4" width="9.140625" style="230" customWidth="1"/>
    <col min="5" max="5" width="10.42578125" style="230" bestFit="1" customWidth="1"/>
    <col min="6" max="8" width="9.140625" style="230"/>
    <col min="9" max="10" width="9.140625" style="230" customWidth="1"/>
    <col min="11" max="16384" width="9.140625" style="230"/>
  </cols>
  <sheetData>
    <row r="1" spans="1:11" ht="15" customHeight="1" x14ac:dyDescent="0.25">
      <c r="A1" s="2636" t="e">
        <f>Cabeçalho!B6</f>
        <v>#N/A</v>
      </c>
      <c r="B1" s="2636"/>
      <c r="C1" s="2636"/>
      <c r="D1" s="2636"/>
      <c r="E1" s="2636"/>
      <c r="F1" s="2636"/>
      <c r="G1" s="2652" t="str">
        <f>IF(Cabeçalho!$B$15="",CONCATENATE(Cabeçalho!$B$14,IF(Cabeçalho!$B$16&lt;&gt;0," - ",""),UPPER(Cabeçalho!$B$16)),CONCATENATE(Cabeçalho!$B$14," - ",Cabeçalho!$B$15," - ",UPPER(Cabeçalho!$B$16)))</f>
        <v/>
      </c>
      <c r="H1" s="2652"/>
      <c r="I1" s="2682">
        <f ca="1">OFFSET('fantoma mama'!A4,0,'fantoma mama'!$B$13,1,1)</f>
        <v>46140</v>
      </c>
      <c r="J1" s="2682"/>
      <c r="K1" s="561" t="s">
        <v>648</v>
      </c>
    </row>
    <row r="2" spans="1:11" ht="15" customHeight="1" x14ac:dyDescent="0.2">
      <c r="A2" s="558"/>
      <c r="B2" s="558"/>
      <c r="C2" s="558"/>
      <c r="D2" s="558"/>
      <c r="E2" s="558"/>
      <c r="F2" s="558"/>
      <c r="G2" s="558"/>
      <c r="H2" s="558"/>
      <c r="I2" s="558"/>
      <c r="J2" s="558"/>
    </row>
    <row r="3" spans="1:11" ht="15" customHeight="1" x14ac:dyDescent="0.2">
      <c r="A3" s="2676" t="s">
        <v>733</v>
      </c>
      <c r="B3" s="2676"/>
      <c r="C3" s="2676"/>
      <c r="D3" s="2676"/>
      <c r="E3" s="2676"/>
      <c r="F3" s="2676"/>
      <c r="G3" s="2676"/>
      <c r="H3" s="2676"/>
      <c r="I3" s="2676"/>
      <c r="J3" s="2676"/>
    </row>
    <row r="4" spans="1:11" ht="15" customHeight="1" x14ac:dyDescent="0.2">
      <c r="A4" s="558"/>
      <c r="B4" s="558"/>
      <c r="C4" s="558"/>
      <c r="D4" s="558"/>
      <c r="E4" s="558"/>
      <c r="F4" s="558"/>
      <c r="G4" s="558"/>
      <c r="H4" s="558"/>
      <c r="I4" s="558"/>
      <c r="J4" s="558"/>
    </row>
    <row r="5" spans="1:11" ht="15" customHeight="1" x14ac:dyDescent="0.2">
      <c r="A5" s="2676" t="s">
        <v>114</v>
      </c>
      <c r="B5" s="2676"/>
      <c r="C5" s="2676"/>
      <c r="D5" s="2676"/>
      <c r="E5" s="2676"/>
      <c r="F5" s="2676"/>
      <c r="G5" s="2676"/>
      <c r="H5" s="2676"/>
      <c r="I5" s="2676"/>
      <c r="J5" s="2676"/>
      <c r="K5" s="235"/>
    </row>
    <row r="6" spans="1:11" ht="15" customHeight="1" x14ac:dyDescent="0.2">
      <c r="A6" s="558"/>
      <c r="B6" s="558"/>
      <c r="C6" s="558"/>
      <c r="D6" s="558"/>
      <c r="E6" s="558"/>
      <c r="F6" s="558"/>
      <c r="G6" s="558"/>
      <c r="H6" s="558"/>
      <c r="I6" s="558"/>
      <c r="J6" s="558"/>
    </row>
    <row r="7" spans="1:11" ht="15" customHeight="1" x14ac:dyDescent="0.2">
      <c r="A7" s="558"/>
      <c r="B7" s="558"/>
      <c r="C7" s="558"/>
      <c r="D7" s="558"/>
      <c r="E7" s="558"/>
      <c r="F7" s="558"/>
      <c r="G7" s="558"/>
      <c r="H7" s="558"/>
      <c r="I7" s="558"/>
      <c r="J7" s="558"/>
    </row>
    <row r="8" spans="1:11" ht="15" customHeight="1" x14ac:dyDescent="0.2">
      <c r="A8" s="558"/>
      <c r="B8" s="558"/>
      <c r="C8" s="558"/>
      <c r="D8" s="558"/>
      <c r="E8" s="558"/>
      <c r="F8" s="558"/>
      <c r="G8" s="558"/>
      <c r="H8" s="558"/>
      <c r="I8" s="558"/>
      <c r="J8" s="558"/>
    </row>
    <row r="9" spans="1:11" ht="15" customHeight="1" x14ac:dyDescent="0.2">
      <c r="A9" s="558"/>
      <c r="B9" s="558"/>
      <c r="C9" s="2677" t="e">
        <f>Cabeçalho!B6</f>
        <v>#N/A</v>
      </c>
      <c r="D9" s="2677"/>
      <c r="E9" s="2677"/>
      <c r="F9" s="2677"/>
      <c r="G9" s="2677"/>
      <c r="H9" s="2677"/>
      <c r="I9" s="2677"/>
      <c r="J9" s="2677"/>
    </row>
    <row r="10" spans="1:11" ht="15" customHeight="1" x14ac:dyDescent="0.2">
      <c r="A10" s="558"/>
      <c r="B10" s="558"/>
      <c r="C10" s="2677"/>
      <c r="D10" s="2677"/>
      <c r="E10" s="2677"/>
      <c r="F10" s="2677"/>
      <c r="G10" s="2677"/>
      <c r="H10" s="2677"/>
      <c r="I10" s="2677"/>
      <c r="J10" s="2677"/>
    </row>
    <row r="11" spans="1:11" ht="15" customHeight="1" x14ac:dyDescent="0.2">
      <c r="A11" s="558"/>
      <c r="B11" s="29"/>
      <c r="C11" s="29"/>
      <c r="D11" s="29"/>
      <c r="E11" s="29"/>
      <c r="F11" s="29"/>
      <c r="G11" s="29"/>
      <c r="H11" s="558"/>
      <c r="I11" s="558"/>
      <c r="J11" s="558"/>
    </row>
    <row r="12" spans="1:11" ht="15" customHeight="1" x14ac:dyDescent="0.2">
      <c r="A12" s="558"/>
      <c r="B12" s="558"/>
      <c r="C12" s="2674" t="e">
        <f>Cabeçalho!B7</f>
        <v>#N/A</v>
      </c>
      <c r="D12" s="2674"/>
      <c r="E12" s="2674"/>
      <c r="F12" s="2674"/>
      <c r="G12" s="2674"/>
      <c r="H12" s="2674"/>
      <c r="I12" s="2674"/>
      <c r="J12" s="2674"/>
    </row>
    <row r="13" spans="1:11" ht="15" customHeight="1" x14ac:dyDescent="0.2">
      <c r="A13" s="558"/>
      <c r="B13" s="29"/>
      <c r="C13" s="2674"/>
      <c r="D13" s="2674"/>
      <c r="E13" s="2674"/>
      <c r="F13" s="2674"/>
      <c r="G13" s="2674"/>
      <c r="H13" s="2674"/>
      <c r="I13" s="2674"/>
      <c r="J13" s="2674"/>
    </row>
    <row r="14" spans="1:11" ht="15" customHeight="1" x14ac:dyDescent="0.2">
      <c r="A14" s="558"/>
      <c r="B14" s="29"/>
      <c r="C14" s="29"/>
      <c r="D14" s="29"/>
      <c r="E14" s="29"/>
      <c r="F14" s="29"/>
      <c r="G14" s="29"/>
      <c r="H14" s="558"/>
      <c r="I14" s="558"/>
      <c r="J14" s="558"/>
    </row>
    <row r="15" spans="1:11" ht="15" customHeight="1" x14ac:dyDescent="0.2">
      <c r="A15" s="558"/>
      <c r="B15" s="558"/>
      <c r="C15" s="559" t="e">
        <f>Cabeçalho!B8</f>
        <v>#N/A</v>
      </c>
      <c r="D15" s="558"/>
      <c r="E15" s="29" t="e">
        <f>CONCATENATE(Cabeçalho!B9,", ",Cabeçalho!B10)</f>
        <v>#N/A</v>
      </c>
      <c r="F15" s="29"/>
      <c r="G15" s="29"/>
      <c r="H15" s="558"/>
      <c r="I15" s="558"/>
      <c r="J15" s="558"/>
    </row>
    <row r="16" spans="1:11" ht="15" customHeight="1" x14ac:dyDescent="0.2">
      <c r="A16" s="558"/>
      <c r="B16" s="558"/>
      <c r="C16" s="558"/>
      <c r="D16" s="558"/>
      <c r="E16" s="558"/>
      <c r="F16" s="558"/>
      <c r="G16" s="558"/>
      <c r="H16" s="558"/>
      <c r="I16" s="558"/>
      <c r="J16" s="558"/>
    </row>
    <row r="17" spans="1:10" ht="30" customHeight="1" x14ac:dyDescent="0.2">
      <c r="A17" s="558" t="s">
        <v>115</v>
      </c>
      <c r="B17" s="558"/>
      <c r="C17" s="2675" t="e">
        <f>Cabeçalho!B4</f>
        <v>#N/A</v>
      </c>
      <c r="D17" s="2675"/>
      <c r="E17" s="2675"/>
      <c r="F17" s="2675"/>
      <c r="G17" s="2675"/>
      <c r="H17" s="2675"/>
      <c r="I17" s="2675"/>
      <c r="J17" s="2675"/>
    </row>
    <row r="18" spans="1:10" ht="15" customHeight="1" x14ac:dyDescent="0.2">
      <c r="A18" s="558"/>
      <c r="B18" s="558"/>
      <c r="C18" s="559" t="e">
        <f>Cabeçalho!B5</f>
        <v>#N/A</v>
      </c>
      <c r="D18" s="558"/>
      <c r="E18" s="558"/>
      <c r="F18" s="558"/>
      <c r="G18" s="558"/>
      <c r="H18" s="558"/>
      <c r="I18" s="558"/>
      <c r="J18" s="558"/>
    </row>
    <row r="19" spans="1:10" ht="15" customHeight="1" x14ac:dyDescent="0.2">
      <c r="A19" s="558"/>
      <c r="B19" s="558"/>
      <c r="C19" s="29"/>
      <c r="D19" s="558"/>
      <c r="E19" s="558"/>
      <c r="F19" s="558"/>
      <c r="G19" s="558"/>
      <c r="H19" s="558"/>
      <c r="I19" s="558"/>
      <c r="J19" s="558"/>
    </row>
    <row r="20" spans="1:10" ht="15" customHeight="1" x14ac:dyDescent="0.2">
      <c r="A20" s="558"/>
      <c r="B20" s="558"/>
      <c r="C20" s="30"/>
      <c r="D20" s="558"/>
      <c r="E20" s="558"/>
      <c r="F20" s="558"/>
      <c r="G20" s="558"/>
      <c r="H20" s="558"/>
      <c r="I20" s="558"/>
      <c r="J20" s="558"/>
    </row>
    <row r="21" spans="1:10" ht="15" customHeight="1" x14ac:dyDescent="0.2">
      <c r="A21" s="29" t="s">
        <v>116</v>
      </c>
      <c r="B21" s="558"/>
      <c r="C21" s="558"/>
      <c r="D21" s="558"/>
      <c r="E21" s="558"/>
      <c r="F21" s="558"/>
      <c r="G21" s="558"/>
      <c r="H21" s="558"/>
      <c r="I21" s="558"/>
      <c r="J21" s="558"/>
    </row>
    <row r="22" spans="1:10" ht="15" customHeight="1" x14ac:dyDescent="0.2">
      <c r="A22" s="2660" t="str">
        <f>"               Este Laudo Técnico é parte do Programa de Garantia da Qualidade, conforme Resolução da Diretoria Colegiada - "&amp;VLOOKUP("rdc",IN_ANVISA[],2)&amp;"/"&amp;VLOOKUP("rdc",IN_ANVISA[],3)&amp;" da ANVISA e atende também ao teste de qualidade da imagem mamográfica previsto na Instrução Normativa "&amp;VLOOKUP("Mamografia",IN_ANVISA[],2)&amp;"/"&amp;VLOOKUP("Mamografia",IN_ANVISA[],3)&amp;" da ANVISA."</f>
        <v xml:space="preserve">               Este Laudo Técnico é parte do Programa de Garantia da Qualidade, conforme Resolução da Diretoria Colegiada - 611/2022 da ANVISA e atende também ao teste de qualidade da imagem mamográfica previsto na Instrução Normativa 92/2021 da ANVISA.</v>
      </c>
      <c r="B22" s="2660"/>
      <c r="C22" s="2660"/>
      <c r="D22" s="2660"/>
      <c r="E22" s="2660"/>
      <c r="F22" s="2660"/>
      <c r="G22" s="2660"/>
      <c r="H22" s="2660"/>
      <c r="I22" s="2660"/>
      <c r="J22" s="2660"/>
    </row>
    <row r="23" spans="1:10" ht="15" customHeight="1" x14ac:dyDescent="0.2">
      <c r="A23" s="2660"/>
      <c r="B23" s="2660"/>
      <c r="C23" s="2660"/>
      <c r="D23" s="2660"/>
      <c r="E23" s="2660"/>
      <c r="F23" s="2660"/>
      <c r="G23" s="2660"/>
      <c r="H23" s="2660"/>
      <c r="I23" s="2660"/>
      <c r="J23" s="2660"/>
    </row>
    <row r="24" spans="1:10" ht="15" customHeight="1" x14ac:dyDescent="0.2">
      <c r="A24" s="2660"/>
      <c r="B24" s="2660"/>
      <c r="C24" s="2660"/>
      <c r="D24" s="2660"/>
      <c r="E24" s="2660"/>
      <c r="F24" s="2660"/>
      <c r="G24" s="2660"/>
      <c r="H24" s="2660"/>
      <c r="I24" s="2660"/>
      <c r="J24" s="2660"/>
    </row>
    <row r="25" spans="1:10" ht="15" customHeight="1" x14ac:dyDescent="0.2">
      <c r="A25" s="2660" t="str">
        <f>IntroProtocolo</f>
        <v xml:space="preserve">               A metodologia utilizada atende aos "Protocolos para Execução de Testes em Sistemas de Radiologia Diagnóstica e Intervencionista" do CONFEA.</v>
      </c>
      <c r="B25" s="2660"/>
      <c r="C25" s="2660"/>
      <c r="D25" s="2660"/>
      <c r="E25" s="2660"/>
      <c r="F25" s="2660"/>
      <c r="G25" s="2660"/>
      <c r="H25" s="2660"/>
      <c r="I25" s="2660"/>
      <c r="J25" s="2660"/>
    </row>
    <row r="26" spans="1:10" ht="15" customHeight="1" x14ac:dyDescent="0.2">
      <c r="A26" s="2660"/>
      <c r="B26" s="2660"/>
      <c r="C26" s="2660"/>
      <c r="D26" s="2660"/>
      <c r="E26" s="2660"/>
      <c r="F26" s="2660"/>
      <c r="G26" s="2660"/>
      <c r="H26" s="2660"/>
      <c r="I26" s="2660"/>
      <c r="J26" s="2660"/>
    </row>
    <row r="27" spans="1:10" s="236" customFormat="1" ht="15" customHeight="1" x14ac:dyDescent="0.25">
      <c r="A27" s="250"/>
      <c r="B27" s="250"/>
      <c r="C27" s="250"/>
      <c r="D27" s="250"/>
      <c r="E27" s="250"/>
      <c r="F27" s="250"/>
      <c r="G27" s="250"/>
      <c r="H27" s="250"/>
      <c r="I27" s="250"/>
    </row>
    <row r="28" spans="1:10" ht="15" customHeight="1" x14ac:dyDescent="0.25">
      <c r="A28" s="237" t="s">
        <v>728</v>
      </c>
    </row>
    <row r="29" spans="1:10" ht="15" customHeight="1" x14ac:dyDescent="0.2">
      <c r="A29" s="2668" t="str">
        <f>"               Avaliar a qualidade da imagem através da análise das quantidades das estruturas visualizadas no fantoma, verificando a adequação à IN "&amp;VLOOKUP("Mamografia",IN_ANVISA[],2)&amp;"/"&amp;VLOOKUP("Mamografia",IN_ANVISA[],3)&amp;" da ANVISA e ao art. 28 da RDC "&amp;VLOOKUP("rdc",IN_ANVISA[],2)&amp;"/"&amp;VLOOKUP("rdc",IN_ANVISA[],3)&amp;" da ANVISA."</f>
        <v xml:space="preserve">               Avaliar a qualidade da imagem através da análise das quantidades das estruturas visualizadas no fantoma, verificando a adequação à IN 92/2021 da ANVISA e ao art. 28 da RDC 611/2022 da ANVISA.</v>
      </c>
      <c r="B29" s="2668"/>
      <c r="C29" s="2668"/>
      <c r="D29" s="2668"/>
      <c r="E29" s="2668"/>
      <c r="F29" s="2668"/>
      <c r="G29" s="2668"/>
      <c r="H29" s="2668"/>
      <c r="I29" s="2668"/>
      <c r="J29" s="2668"/>
    </row>
    <row r="30" spans="1:10" ht="15" customHeight="1" x14ac:dyDescent="0.2">
      <c r="A30" s="2668"/>
      <c r="B30" s="2668"/>
      <c r="C30" s="2668"/>
      <c r="D30" s="2668"/>
      <c r="E30" s="2668"/>
      <c r="F30" s="2668"/>
      <c r="G30" s="2668"/>
      <c r="H30" s="2668"/>
      <c r="I30" s="2668"/>
      <c r="J30" s="2668"/>
    </row>
    <row r="31" spans="1:10" ht="15" customHeight="1" x14ac:dyDescent="0.2">
      <c r="A31" s="2668"/>
      <c r="B31" s="2668"/>
      <c r="C31" s="2668"/>
      <c r="D31" s="2668"/>
      <c r="E31" s="2668"/>
      <c r="F31" s="2668"/>
      <c r="G31" s="2668"/>
      <c r="H31" s="2668"/>
      <c r="I31" s="2668"/>
      <c r="J31" s="2668"/>
    </row>
    <row r="32" spans="1:10" ht="15" customHeight="1" x14ac:dyDescent="0.2"/>
    <row r="33" spans="1:18" ht="15" customHeight="1" x14ac:dyDescent="0.2">
      <c r="A33" s="29" t="s">
        <v>118</v>
      </c>
      <c r="B33" s="558"/>
      <c r="C33" s="558"/>
      <c r="D33" s="558"/>
      <c r="E33" s="558"/>
      <c r="F33" s="558"/>
      <c r="G33" s="558"/>
      <c r="H33" s="558"/>
      <c r="I33" s="558"/>
      <c r="J33" s="558"/>
    </row>
    <row r="34" spans="1:18" ht="15" customHeight="1" x14ac:dyDescent="0.2">
      <c r="A34" s="2671" t="s">
        <v>124</v>
      </c>
      <c r="B34" s="2671"/>
      <c r="C34" s="2671"/>
      <c r="D34" s="2671"/>
      <c r="E34" s="2672" t="s">
        <v>329</v>
      </c>
      <c r="F34" s="2672"/>
      <c r="G34" s="2672"/>
      <c r="H34" s="2672"/>
      <c r="I34" s="2672"/>
      <c r="J34" s="2672"/>
    </row>
    <row r="35" spans="1:18" ht="15" customHeight="1" x14ac:dyDescent="0.2">
      <c r="A35" s="2669" t="s">
        <v>119</v>
      </c>
      <c r="B35" s="2669"/>
      <c r="C35" s="2669"/>
      <c r="D35" s="2669" t="s">
        <v>120</v>
      </c>
      <c r="E35" s="2669"/>
      <c r="F35" s="2669"/>
      <c r="G35" s="2669" t="s">
        <v>121</v>
      </c>
      <c r="H35" s="2669"/>
      <c r="I35" s="2669" t="s">
        <v>475</v>
      </c>
      <c r="J35" s="2669"/>
    </row>
    <row r="36" spans="1:18" ht="15" customHeight="1" x14ac:dyDescent="0.2">
      <c r="A36" s="2673" t="str">
        <f>IF(Cabeçalho!G3="","*",Cabeçalho!G3)</f>
        <v>*</v>
      </c>
      <c r="B36" s="2673"/>
      <c r="C36" s="2673"/>
      <c r="D36" s="2670" t="str">
        <f>IF(Cabeçalho!G4="","*",Cabeçalho!G4)</f>
        <v>*</v>
      </c>
      <c r="E36" s="2670"/>
      <c r="F36" s="2670"/>
      <c r="G36" s="2670" t="str">
        <f>IF(Cabeçalho!G5="","*",Cabeçalho!G5)</f>
        <v>*</v>
      </c>
      <c r="H36" s="2670"/>
      <c r="I36" s="2670" t="str">
        <f>IF(Cabeçalho!G6="","*",Cabeçalho!G6)</f>
        <v>*</v>
      </c>
      <c r="J36" s="2670"/>
    </row>
    <row r="37" spans="1:18" ht="15" customHeight="1" x14ac:dyDescent="0.2">
      <c r="A37" s="2673"/>
      <c r="B37" s="2673"/>
      <c r="C37" s="2673"/>
      <c r="D37" s="2670"/>
      <c r="E37" s="2670"/>
      <c r="F37" s="2670"/>
      <c r="G37" s="2670"/>
      <c r="H37" s="2670"/>
      <c r="I37" s="2670"/>
      <c r="J37" s="2670"/>
    </row>
    <row r="38" spans="1:18" ht="15" customHeight="1" x14ac:dyDescent="0.2">
      <c r="B38" s="558"/>
      <c r="C38" s="558"/>
      <c r="D38" s="558"/>
      <c r="E38" s="558"/>
      <c r="F38" s="558"/>
      <c r="G38" s="558"/>
      <c r="H38" s="558"/>
      <c r="I38" s="558"/>
      <c r="J38" s="558"/>
    </row>
    <row r="39" spans="1:18" ht="15" customHeight="1" x14ac:dyDescent="0.2">
      <c r="A39" s="230" t="str">
        <f ca="1">IF(OFFSET('fantoma mama'!A6,0,'fantoma mama'!$B$13,1,1)="",IF('fantoma mama'!B2="Impressora","Sistema de revelação: Digital",""),"Sistema de revelação: "&amp;OFFSET('fantoma mama'!A6,0,'fantoma mama'!$B$13,1,1))</f>
        <v/>
      </c>
      <c r="B39" s="558"/>
      <c r="C39" s="558"/>
      <c r="D39" s="558"/>
      <c r="E39" s="558"/>
      <c r="F39" s="558"/>
      <c r="G39" s="558"/>
      <c r="H39" s="558"/>
      <c r="I39" s="558"/>
      <c r="J39" s="558"/>
    </row>
    <row r="40" spans="1:18" ht="15" customHeight="1" x14ac:dyDescent="0.2">
      <c r="A40" s="2671" t="str">
        <f>IF('fantoma mama'!B2="Só arquivo","Sistema de registro de imagens:","Tipo de equipamento eletromédico:")</f>
        <v>Tipo de equipamento eletromédico:</v>
      </c>
      <c r="B40" s="2671"/>
      <c r="C40" s="2671"/>
      <c r="D40" s="2671"/>
      <c r="E40" s="2672" t="str">
        <f>'fantoma mama'!A8</f>
        <v>Somente arquivo digital</v>
      </c>
      <c r="F40" s="2672"/>
      <c r="G40" s="2672"/>
      <c r="H40" s="2672"/>
      <c r="I40" s="2672"/>
      <c r="J40" s="2672"/>
    </row>
    <row r="41" spans="1:18" ht="15" customHeight="1" x14ac:dyDescent="0.2">
      <c r="A41" s="2669" t="s">
        <v>119</v>
      </c>
      <c r="B41" s="2669"/>
      <c r="C41" s="2669"/>
      <c r="D41" s="2669" t="s">
        <v>120</v>
      </c>
      <c r="E41" s="2669"/>
      <c r="F41" s="2669"/>
      <c r="G41" s="2669" t="s">
        <v>121</v>
      </c>
      <c r="H41" s="2669"/>
      <c r="I41" s="2669" t="s">
        <v>475</v>
      </c>
      <c r="J41" s="2669"/>
      <c r="K41" s="230" t="str">
        <f>IF('fantoma mama'!B2="Só arquivo","x","")</f>
        <v/>
      </c>
    </row>
    <row r="42" spans="1:18" ht="15" customHeight="1" x14ac:dyDescent="0.2">
      <c r="A42" s="2673" t="str">
        <f>IF('fantoma mama'!B9="","*",'fantoma mama'!B9)</f>
        <v>*</v>
      </c>
      <c r="B42" s="2673"/>
      <c r="C42" s="2673"/>
      <c r="D42" s="2673" t="str">
        <f>IF('fantoma mama'!C9="","*",'fantoma mama'!C9)</f>
        <v>*</v>
      </c>
      <c r="E42" s="2673"/>
      <c r="F42" s="2673"/>
      <c r="G42" s="2670" t="str">
        <f>IF('fantoma mama'!D9="","*",'fantoma mama'!D9)</f>
        <v>*</v>
      </c>
      <c r="H42" s="2670"/>
      <c r="I42" s="2670" t="str">
        <f>IF('fantoma mama'!E9="","*",'fantoma mama'!E9)</f>
        <v>*</v>
      </c>
      <c r="J42" s="2670"/>
      <c r="K42" s="230" t="str">
        <f>K41</f>
        <v/>
      </c>
    </row>
    <row r="43" spans="1:18" ht="15" customHeight="1" x14ac:dyDescent="0.2">
      <c r="A43" s="2673"/>
      <c r="B43" s="2673"/>
      <c r="C43" s="2673"/>
      <c r="D43" s="2673"/>
      <c r="E43" s="2673"/>
      <c r="F43" s="2673"/>
      <c r="G43" s="2670"/>
      <c r="H43" s="2670"/>
      <c r="I43" s="2670"/>
      <c r="J43" s="2670"/>
      <c r="K43" s="230" t="str">
        <f>K42</f>
        <v/>
      </c>
    </row>
    <row r="44" spans="1:18" ht="15" customHeight="1" x14ac:dyDescent="0.2">
      <c r="A44" s="28" t="s">
        <v>139</v>
      </c>
      <c r="B44" s="239"/>
      <c r="C44" s="239"/>
      <c r="D44" s="240"/>
      <c r="E44" s="240"/>
      <c r="F44" s="240"/>
      <c r="G44" s="240"/>
      <c r="H44" s="240"/>
      <c r="K44" s="230" t="str">
        <f>K43</f>
        <v/>
      </c>
    </row>
    <row r="45" spans="1:18" ht="15" customHeight="1" x14ac:dyDescent="0.2">
      <c r="A45" s="2636" t="e">
        <f>A1</f>
        <v>#N/A</v>
      </c>
      <c r="B45" s="2636"/>
      <c r="C45" s="2636"/>
      <c r="D45" s="2636"/>
      <c r="E45" s="2636"/>
      <c r="F45" s="2636"/>
      <c r="G45" s="2679" t="str">
        <f>G1</f>
        <v/>
      </c>
      <c r="H45" s="2679"/>
      <c r="I45" s="2682">
        <f ca="1">I1</f>
        <v>46140</v>
      </c>
      <c r="J45" s="2682"/>
      <c r="L45" s="238"/>
      <c r="M45" s="238"/>
      <c r="N45" s="238"/>
      <c r="O45" s="238"/>
      <c r="P45" s="238"/>
      <c r="Q45" s="238"/>
      <c r="R45" s="238"/>
    </row>
    <row r="46" spans="1:18" ht="15" customHeight="1" x14ac:dyDescent="0.2">
      <c r="A46" s="254"/>
      <c r="B46" s="254"/>
      <c r="C46" s="254"/>
      <c r="D46" s="254"/>
      <c r="E46" s="560"/>
      <c r="F46" s="560"/>
      <c r="G46" s="560"/>
      <c r="H46" s="560"/>
      <c r="I46" s="249"/>
      <c r="J46" s="252"/>
      <c r="L46" s="238"/>
      <c r="M46" s="238"/>
      <c r="N46" s="238"/>
      <c r="O46" s="238"/>
      <c r="P46" s="238"/>
      <c r="Q46" s="238"/>
      <c r="R46" s="238"/>
    </row>
    <row r="47" spans="1:18" ht="15" customHeight="1" x14ac:dyDescent="0.25">
      <c r="A47" s="237" t="s">
        <v>729</v>
      </c>
      <c r="L47" s="238"/>
      <c r="M47" s="238"/>
      <c r="N47" s="238"/>
      <c r="O47" s="238"/>
      <c r="P47" s="238"/>
      <c r="Q47" s="238"/>
      <c r="R47" s="238"/>
    </row>
    <row r="48" spans="1:18" ht="15" customHeight="1" x14ac:dyDescent="0.2">
      <c r="A48" s="2668" t="str">
        <f>"               Avaliou-se a qualidade da imagem com o uso de ferramenta teste específica para mamografia: um simulador radiográfico de mama (fantoma)."&amp;"  Esta ferramenta simula uma mama comprimida e fornece informações de estruturas que simulam microcalcificações, fibras e massas tumorais."&amp;" A partir do fantoma, são produzidas as imagens a serem avaliadas.
               Na avaliação das imagens são seguidos os critérios da IN "&amp;VLOOKUP("Mamografia",IN_ANVISA[],2)&amp;"/"&amp;VLOOKUP("Mamografia",IN_ANVISA[],3)&amp;" da ANVISA"&amp;", que estabelece que os sistemas de mamografia devem ser capazes de identificar os artefatos que simulam fibras de tecido adiposo de 0,75 mm, microcalcificações de 0,32 mm e massas tumorais de 0,75 mm no fantoma, ou menores."</f>
        <v xml:space="preserve">               Avaliou-se a qualidade da imagem com o uso de ferramenta teste específica para mamografia: um simulador radiográfico de mama (fantoma).  Esta ferramenta simula uma mama comprimida e fornece informações de estruturas que simulam microcalcificações, fibras e massas tumorais. A partir do fantoma, são produzidas as imagens a serem avaliadas.
               Na avaliação das imagens são seguidos os critérios da IN 92/2021 da ANVISA, que estabelece que os sistemas de mamografia devem ser capazes de identificar os artefatos que simulam fibras de tecido adiposo de 0,75 mm, microcalcificações de 0,32 mm e massas tumorais de 0,75 mm no fantoma, ou menores.</v>
      </c>
      <c r="B48" s="2668"/>
      <c r="C48" s="2668"/>
      <c r="D48" s="2668"/>
      <c r="E48" s="2668"/>
      <c r="F48" s="2668"/>
      <c r="G48" s="2668"/>
      <c r="H48" s="2668"/>
      <c r="I48" s="2668"/>
      <c r="J48" s="2668"/>
      <c r="L48" s="238"/>
      <c r="M48" s="238"/>
      <c r="N48" s="238"/>
      <c r="O48" s="238"/>
      <c r="P48" s="238"/>
      <c r="Q48" s="238"/>
      <c r="R48" s="238"/>
    </row>
    <row r="49" spans="1:18" ht="15" customHeight="1" x14ac:dyDescent="0.2">
      <c r="A49" s="2668"/>
      <c r="B49" s="2668"/>
      <c r="C49" s="2668"/>
      <c r="D49" s="2668"/>
      <c r="E49" s="2668"/>
      <c r="F49" s="2668"/>
      <c r="G49" s="2668"/>
      <c r="H49" s="2668"/>
      <c r="I49" s="2668"/>
      <c r="J49" s="2668"/>
      <c r="L49" s="241"/>
      <c r="M49" s="241"/>
      <c r="N49" s="241"/>
      <c r="O49" s="241"/>
      <c r="P49" s="241"/>
      <c r="Q49" s="241"/>
      <c r="R49" s="238"/>
    </row>
    <row r="50" spans="1:18" ht="15" customHeight="1" x14ac:dyDescent="0.2">
      <c r="A50" s="2668"/>
      <c r="B50" s="2668"/>
      <c r="C50" s="2668"/>
      <c r="D50" s="2668"/>
      <c r="E50" s="2668"/>
      <c r="F50" s="2668"/>
      <c r="G50" s="2668"/>
      <c r="H50" s="2668"/>
      <c r="I50" s="2668"/>
      <c r="J50" s="2668"/>
    </row>
    <row r="51" spans="1:18" ht="15" customHeight="1" x14ac:dyDescent="0.2">
      <c r="A51" s="2668"/>
      <c r="B51" s="2668"/>
      <c r="C51" s="2668"/>
      <c r="D51" s="2668"/>
      <c r="E51" s="2668"/>
      <c r="F51" s="2668"/>
      <c r="G51" s="2668"/>
      <c r="H51" s="2668"/>
      <c r="I51" s="2668"/>
      <c r="J51" s="2668"/>
    </row>
    <row r="52" spans="1:18" ht="15" customHeight="1" x14ac:dyDescent="0.2">
      <c r="A52" s="2668"/>
      <c r="B52" s="2668"/>
      <c r="C52" s="2668"/>
      <c r="D52" s="2668"/>
      <c r="E52" s="2668"/>
      <c r="F52" s="2668"/>
      <c r="G52" s="2668"/>
      <c r="H52" s="2668"/>
      <c r="I52" s="2668"/>
      <c r="J52" s="2668"/>
    </row>
    <row r="53" spans="1:18" ht="15" customHeight="1" x14ac:dyDescent="0.2">
      <c r="A53" s="2668"/>
      <c r="B53" s="2668"/>
      <c r="C53" s="2668"/>
      <c r="D53" s="2668"/>
      <c r="E53" s="2668"/>
      <c r="F53" s="2668"/>
      <c r="G53" s="2668"/>
      <c r="H53" s="2668"/>
      <c r="I53" s="2668"/>
      <c r="J53" s="2668"/>
    </row>
    <row r="54" spans="1:18" ht="15" customHeight="1" x14ac:dyDescent="0.2">
      <c r="A54" s="2668"/>
      <c r="B54" s="2668"/>
      <c r="C54" s="2668"/>
      <c r="D54" s="2668"/>
      <c r="E54" s="2668"/>
      <c r="F54" s="2668"/>
      <c r="G54" s="2668"/>
      <c r="H54" s="2668"/>
      <c r="I54" s="2668"/>
      <c r="J54" s="2668"/>
    </row>
    <row r="55" spans="1:18" ht="15" customHeight="1" x14ac:dyDescent="0.2">
      <c r="A55" s="2668"/>
      <c r="B55" s="2668"/>
      <c r="C55" s="2668"/>
      <c r="D55" s="2668"/>
      <c r="E55" s="2668"/>
      <c r="F55" s="2668"/>
      <c r="G55" s="2668"/>
      <c r="H55" s="2668"/>
      <c r="I55" s="2668"/>
      <c r="J55" s="2668"/>
    </row>
    <row r="56" spans="1:18" ht="15" customHeight="1" x14ac:dyDescent="0.2">
      <c r="A56" s="2668"/>
      <c r="B56" s="2668"/>
      <c r="C56" s="2668"/>
      <c r="D56" s="2668"/>
      <c r="E56" s="2668"/>
      <c r="F56" s="2668"/>
      <c r="G56" s="2668"/>
      <c r="H56" s="2668"/>
      <c r="I56" s="2668"/>
      <c r="J56" s="2668"/>
    </row>
    <row r="57" spans="1:18" ht="15" customHeight="1" x14ac:dyDescent="0.2">
      <c r="A57" s="2668"/>
      <c r="B57" s="2668"/>
      <c r="C57" s="2668"/>
      <c r="D57" s="2668"/>
      <c r="E57" s="2668"/>
      <c r="F57" s="2668"/>
      <c r="G57" s="2668"/>
      <c r="H57" s="2668"/>
      <c r="I57" s="2668"/>
      <c r="J57" s="2668"/>
    </row>
    <row r="58" spans="1:18" ht="15" customHeight="1" x14ac:dyDescent="0.2">
      <c r="A58" s="2680" t="str">
        <f ca="1">IF(OFFSET('fantoma mama'!A11,0,'fantoma mama'!$B$13,1,1)&lt;&gt;"","               Para as avaliações utilizou-se o fantoma: "&amp;OFFSET('fantoma mama'!A11,0,'fantoma mama'!$B$13,1,1),"")</f>
        <v/>
      </c>
      <c r="B58" s="2680"/>
      <c r="C58" s="2680"/>
      <c r="D58" s="2680"/>
      <c r="E58" s="2680"/>
      <c r="F58" s="2680"/>
      <c r="G58" s="2680"/>
      <c r="H58" s="2680"/>
      <c r="I58" s="2680"/>
      <c r="J58" s="2680"/>
    </row>
    <row r="59" spans="1:18" ht="15" customHeight="1" x14ac:dyDescent="0.2">
      <c r="A59" s="1727"/>
      <c r="B59" s="1727"/>
      <c r="C59" s="1727"/>
      <c r="D59" s="1727"/>
      <c r="E59" s="1727"/>
      <c r="F59" s="1727"/>
      <c r="G59" s="1727"/>
      <c r="H59" s="1727"/>
      <c r="I59" s="1727"/>
      <c r="J59" s="1727"/>
    </row>
    <row r="60" spans="1:18" ht="15" customHeight="1" x14ac:dyDescent="0.25">
      <c r="A60" s="242" t="s">
        <v>730</v>
      </c>
      <c r="B60" s="238"/>
      <c r="C60" s="238"/>
      <c r="J60" s="238"/>
    </row>
    <row r="61" spans="1:18" ht="15" customHeight="1" x14ac:dyDescent="0.25">
      <c r="A61" s="230" t="str">
        <f ca="1">"Modo Manual"&amp;IF(OFFSET('fantoma mama'!A15,0,'fantoma mama'!$B$13,1,1)=0,"",CONCATENATE("      ",OFFSET('fantoma mama'!A15,0,'fantoma mama'!$B$13,1,1)," kVp")&amp;IF(OFFSET('fantoma mama'!A16,0,'fantoma mama'!$B$13,1,1)=0,"",CONCATENATE("      ",OFFSET('fantoma mama'!A16,0,'fantoma mama'!$B$13,1,1)," mAs")))</f>
        <v>Modo Manual</v>
      </c>
      <c r="C61" s="231"/>
      <c r="D61" s="231"/>
      <c r="E61" s="231"/>
      <c r="F61" s="243"/>
      <c r="G61" s="244"/>
      <c r="H61" s="243"/>
      <c r="J61" s="238"/>
    </row>
    <row r="62" spans="1:18" ht="15" customHeight="1" x14ac:dyDescent="0.25">
      <c r="A62" s="2661" t="s">
        <v>737</v>
      </c>
      <c r="B62" s="2662"/>
      <c r="C62" s="2663"/>
      <c r="D62" s="2664" t="s">
        <v>766</v>
      </c>
      <c r="E62" s="2665"/>
      <c r="F62" s="2666" t="s">
        <v>731</v>
      </c>
      <c r="G62" s="2667"/>
      <c r="H62" s="2667"/>
      <c r="I62" s="1643" t="str">
        <f>'fantoma mama'!B1</f>
        <v>IN 92</v>
      </c>
      <c r="J62" s="238"/>
    </row>
    <row r="63" spans="1:18" ht="15" customHeight="1" x14ac:dyDescent="0.2">
      <c r="A63" s="2653" t="s">
        <v>722</v>
      </c>
      <c r="B63" s="2654"/>
      <c r="C63" s="2655"/>
      <c r="D63" s="2656" t="str">
        <f ca="1">IF(OFFSET('fantoma mama'!A17,0,'fantoma mama'!$B$13,1,1)=0,"Não visível",IF(OFFSET('fantoma mama'!A17,0,'fantoma mama'!$B$13,1,1)="-","NPA",VLOOKUP(OFFSET('fantoma mama'!A17,0,'fantoma mama'!$B$13,1,1),IF(OFFSET('fantoma mama'!$A$5,0,'fantoma mama'!$B$13,1,1)="acr",Tabelas!$M$2:$N$7,Tabelas!$M$20:$N$25),2)))</f>
        <v>NPA</v>
      </c>
      <c r="E63" s="2657"/>
      <c r="F63" s="2658" t="str">
        <f ca="1">IF(D63="NPA","Não realizado",IF(D63="Não visível","Não conforme",IF(D63&gt;0.75,"Não conforme","Conforme")))</f>
        <v>Não realizado</v>
      </c>
      <c r="G63" s="2659"/>
      <c r="H63" s="2659"/>
      <c r="I63" s="251" t="str">
        <f ca="1">IF(F63="Não conforme","Restrição",IF(F63="Não realizado","NA","Sim"))</f>
        <v>NA</v>
      </c>
    </row>
    <row r="64" spans="1:18" s="237" customFormat="1" ht="15" customHeight="1" x14ac:dyDescent="0.25">
      <c r="A64" s="2653" t="s">
        <v>723</v>
      </c>
      <c r="B64" s="2654"/>
      <c r="C64" s="2655"/>
      <c r="D64" s="2656" t="str">
        <f ca="1">IF(OFFSET('fantoma mama'!A18,0,'fantoma mama'!$B$13,1,1)=0,"Não visível",IF(OFFSET('fantoma mama'!A18,0,'fantoma mama'!$B$13,1,1)="-","NPA",VLOOKUP(OFFSET('fantoma mama'!A18,0,'fantoma mama'!$B$13,1,1),IF(OFFSET('fantoma mama'!$A$5,0,'fantoma mama'!$B$13,1,1)="acr",Tabelas!$M$13:$N$17,Tabelas!$M$31:$N$35),2)))</f>
        <v>NPA</v>
      </c>
      <c r="E64" s="2657"/>
      <c r="F64" s="2658" t="str">
        <f ca="1">IF(D64="NPA","Não realizado",IF(D64="Não visível","Não conforme",IF(D64&gt;0.75,"Não conforme","Conforme")))</f>
        <v>Não realizado</v>
      </c>
      <c r="G64" s="2659"/>
      <c r="H64" s="2659"/>
      <c r="I64" s="251" t="str">
        <f ca="1">IF(F64="Não conforme","Restrição",IF(F64="Não realizado","NA","Sim"))</f>
        <v>NA</v>
      </c>
    </row>
    <row r="65" spans="1:9" ht="15" customHeight="1" x14ac:dyDescent="0.2">
      <c r="A65" s="2678" t="s">
        <v>736</v>
      </c>
      <c r="B65" s="2678"/>
      <c r="C65" s="2678"/>
      <c r="D65" s="2656" t="str">
        <f ca="1">IF(OFFSET('fantoma mama'!A19,0,'fantoma mama'!$B$13,1,1)=0,"Não visível",IF(OFFSET('fantoma mama'!A19,0,'fantoma mama'!$B$13,1,1)="-","NPA",VLOOKUP(OFFSET('fantoma mama'!A19,0,'fantoma mama'!$B$13,1,1),IF(OFFSET('fantoma mama'!$A$5,0,'fantoma mama'!$B$13,1,1)="acr",Tabelas!$M$8:$N$12,Tabelas!$M$26:$N$30),2)))</f>
        <v>NPA</v>
      </c>
      <c r="E65" s="2657"/>
      <c r="F65" s="2658" t="str">
        <f ca="1">IF(D65="NPA","Não realizado",IF(D65="Não visível","Não conforme",IF(D65&gt;0.32,"Não conforme","Conforme")))</f>
        <v>Não realizado</v>
      </c>
      <c r="G65" s="2659"/>
      <c r="H65" s="2659"/>
      <c r="I65" s="251" t="str">
        <f ca="1">IF(F65="Não conforme","Restrição",IF(F65="Não realizado","NA","Sim"))</f>
        <v>NA</v>
      </c>
    </row>
    <row r="66" spans="1:9" ht="15" customHeight="1" x14ac:dyDescent="0.2"/>
    <row r="67" spans="1:9" ht="15.75" x14ac:dyDescent="0.25">
      <c r="A67" s="253" t="str">
        <f ca="1">IF(OFFSET('fantoma mama'!A21,0,'fantoma mama'!$B$13,1,1)="s","Modo Semiautomático",IF(OFFSET('fantoma mama'!A21,0,'fantoma mama'!$B$13,1,1)="a","Modo Automático","Modo Semiautomático: Não Realizado"))&amp;IF(OFFSET('fantoma mama'!A21,0,'fantoma mama'!$B$13,1,1)&lt;&gt;0,IF(OFFSET('fantoma mama'!A23,0,'fantoma mama'!$B$13,1,1)=0,"",CONCATENATE("      ",OFFSET('fantoma mama'!A23,0,'fantoma mama'!$B$13,1,1)," kVp")),"")&amp;IF(OFFSET('fantoma mama'!A21,0,'fantoma mama'!$B$13,1,1)&lt;&gt;0,IF(OFFSET('fantoma mama'!A24,0,'fantoma mama'!$B$13,1,1)=0,"",CONCATENATE("      ",OFFSET('fantoma mama'!A24,0,'fantoma mama'!$B$13,1,1)," mAs")),"")&amp;IF(OFFSET('fantoma mama'!A21,0,'fantoma mama'!$B$13,1,1)&lt;&gt;0,IF(OFFSET('fantoma mama'!A22,0,'fantoma mama'!$B$13,1,1)="","",CONCATENATE("      Densidade ",OFFSET('fantoma mama'!A22,0,'fantoma mama'!$B$13,1,1))),"")</f>
        <v>Modo Automático</v>
      </c>
      <c r="C67" s="231"/>
      <c r="D67" s="231"/>
      <c r="E67" s="234"/>
      <c r="F67" s="243"/>
      <c r="G67" s="244"/>
      <c r="H67" s="243"/>
      <c r="I67" s="241"/>
    </row>
    <row r="68" spans="1:9" ht="15.6" customHeight="1" x14ac:dyDescent="0.25">
      <c r="A68" s="2661" t="s">
        <v>737</v>
      </c>
      <c r="B68" s="2662"/>
      <c r="C68" s="2663"/>
      <c r="D68" s="2664" t="s">
        <v>766</v>
      </c>
      <c r="E68" s="2665"/>
      <c r="F68" s="2666" t="s">
        <v>731</v>
      </c>
      <c r="G68" s="2667"/>
      <c r="H68" s="2667"/>
      <c r="I68" s="1643" t="str">
        <f>I62</f>
        <v>IN 92</v>
      </c>
    </row>
    <row r="69" spans="1:9" x14ac:dyDescent="0.2">
      <c r="A69" s="2653" t="s">
        <v>722</v>
      </c>
      <c r="B69" s="2654"/>
      <c r="C69" s="2655"/>
      <c r="D69" s="2656" t="str">
        <f ca="1">IF(OFFSET('fantoma mama'!A25,0,'fantoma mama'!$B$13,1,1)=0,"Não visível",IF(OFFSET('fantoma mama'!A25,0,'fantoma mama'!$B$13,1,1)="-","NPA",VLOOKUP(OFFSET('fantoma mama'!A25,0,'fantoma mama'!$B$13,1,1),IF(OFFSET('fantoma mama'!$A$5,0,'fantoma mama'!$B$13,1,1)="acr",Tabelas!$M$2:$N$7,Tabelas!$M$20:$N$25),2)))</f>
        <v>NPA</v>
      </c>
      <c r="E69" s="2657"/>
      <c r="F69" s="2658" t="str">
        <f ca="1">IF(D69="NPA","Não realizado",IF(D69="Não visível","Não conforme",IF(D69&gt;0.75,"Não conforme","Conforme")))</f>
        <v>Não realizado</v>
      </c>
      <c r="G69" s="2659"/>
      <c r="H69" s="2659"/>
      <c r="I69" s="251" t="str">
        <f ca="1">IF(F69="Não conforme","Restrição",IF(F69="Não realizado","NA","Sim"))</f>
        <v>NA</v>
      </c>
    </row>
    <row r="70" spans="1:9" x14ac:dyDescent="0.2">
      <c r="A70" s="2653" t="s">
        <v>723</v>
      </c>
      <c r="B70" s="2654"/>
      <c r="C70" s="2655"/>
      <c r="D70" s="2656" t="str">
        <f ca="1">IF(OFFSET('fantoma mama'!A26,0,'fantoma mama'!$B$13,1,1)=0,"Não visível",IF(OFFSET('fantoma mama'!A26,0,'fantoma mama'!$B$13,1,1)="-","NPA",VLOOKUP(OFFSET('fantoma mama'!A26,0,'fantoma mama'!$B$13,1,1),IF(OFFSET('fantoma mama'!$A$5,0,'fantoma mama'!$B$13,1,1)="acr",Tabelas!$M$13:$N$17,Tabelas!$M$31:$N$35),2)))</f>
        <v>NPA</v>
      </c>
      <c r="E70" s="2657"/>
      <c r="F70" s="2658" t="str">
        <f ca="1">IF(D70="NPA","Não realizado",IF(D70="Não visível","Não conforme",IF(D70&gt;0.75,"Não conforme","Conforme")))</f>
        <v>Não realizado</v>
      </c>
      <c r="G70" s="2659"/>
      <c r="H70" s="2659"/>
      <c r="I70" s="251" t="str">
        <f ca="1">IF(F70="Não conforme","Restrição",IF(F70="Não realizado","NA","Sim"))</f>
        <v>NA</v>
      </c>
    </row>
    <row r="71" spans="1:9" ht="15.75" customHeight="1" x14ac:dyDescent="0.2">
      <c r="A71" s="2681" t="s">
        <v>736</v>
      </c>
      <c r="B71" s="2681"/>
      <c r="C71" s="2681"/>
      <c r="D71" s="2656" t="str">
        <f ca="1">IF(OFFSET('fantoma mama'!A27,0,'fantoma mama'!$B$13,1,1)=0,"Não visível",IF(OFFSET('fantoma mama'!A27,0,'fantoma mama'!$B$13,1,1)="-","NPA",VLOOKUP(OFFSET('fantoma mama'!A27,0,'fantoma mama'!$B$13,1,1),IF(OFFSET('fantoma mama'!$A$5,0,'fantoma mama'!$B$13,1,1)="acr",Tabelas!$M$8:$N$12,Tabelas!$M$26:$N$30),2)))</f>
        <v>NPA</v>
      </c>
      <c r="E71" s="2657"/>
      <c r="F71" s="2658" t="str">
        <f ca="1">IF(D71="NPA","Não realizado",IF(D71="Não visível","Não conforme",IF(D71&gt;0.32,"Não conforme","Conforme")))</f>
        <v>Não realizado</v>
      </c>
      <c r="G71" s="2659"/>
      <c r="H71" s="2659"/>
      <c r="I71" s="251" t="str">
        <f ca="1">IF(F71="Não conforme","Restrição",IF(F71="Não realizado","NA","Sim"))</f>
        <v>NA</v>
      </c>
    </row>
    <row r="72" spans="1:9" ht="15.75" customHeight="1" x14ac:dyDescent="0.25">
      <c r="A72" s="245"/>
      <c r="B72" s="245"/>
      <c r="C72" s="246"/>
      <c r="D72" s="247"/>
      <c r="E72" s="241"/>
      <c r="F72" s="241"/>
      <c r="G72" s="241"/>
      <c r="H72" s="241"/>
      <c r="I72" s="241"/>
    </row>
    <row r="73" spans="1:9" ht="15.75" x14ac:dyDescent="0.25">
      <c r="A73" s="230" t="str">
        <f ca="1">"Protocolo Padrão: "&amp;IF(OFFSET('fantoma mama'!A29,0,'fantoma mama'!$B$13,1,1)="a","Modo Automático",IF(OFFSET('fantoma mama'!A29,0,'fantoma mama'!$B$13,1,1)="s","Modo Semiautomático",IF(OFFSET('fantoma mama'!A29,0,'fantoma mama'!$B$13,1,1)="m","Modo Manual","Não Realizado")))&amp;IF(OFFSET('fantoma mama'!A31,0,'fantoma mama'!$B$13,1,1)=0,"",CONCATENATE("      ",OFFSET('fantoma mama'!A31,0,'fantoma mama'!$B$13,1,1)," kVp"))&amp;IF(OFFSET('fantoma mama'!A32,0,'fantoma mama'!$B$13,1,1)=0,"",CONCATENATE("      ",OFFSET('fantoma mama'!A32,0,'fantoma mama'!$B$13,1,1)," mAs"))&amp;IF(OFFSET('fantoma mama'!A30,0,'fantoma mama'!$B$13,1,1)="","",CONCATENATE("      Densidade ",OFFSET('fantoma mama'!A30,0,'fantoma mama'!$B$13,1,1)))</f>
        <v>Protocolo Padrão: Modo Automático</v>
      </c>
      <c r="C73" s="231"/>
      <c r="D73" s="231"/>
      <c r="E73" s="234"/>
      <c r="F73" s="234"/>
      <c r="G73" s="244"/>
      <c r="H73" s="243"/>
      <c r="I73" s="241"/>
    </row>
    <row r="74" spans="1:9" ht="15.6" customHeight="1" x14ac:dyDescent="0.25">
      <c r="A74" s="2661" t="s">
        <v>737</v>
      </c>
      <c r="B74" s="2662"/>
      <c r="C74" s="2663"/>
      <c r="D74" s="2664" t="s">
        <v>766</v>
      </c>
      <c r="E74" s="2665"/>
      <c r="F74" s="2666" t="s">
        <v>731</v>
      </c>
      <c r="G74" s="2667"/>
      <c r="H74" s="2667"/>
      <c r="I74" s="1643" t="str">
        <f>I68</f>
        <v>IN 92</v>
      </c>
    </row>
    <row r="75" spans="1:9" ht="15.75" customHeight="1" x14ac:dyDescent="0.2">
      <c r="A75" s="2653" t="s">
        <v>722</v>
      </c>
      <c r="B75" s="2654"/>
      <c r="C75" s="2655"/>
      <c r="D75" s="2656" t="str">
        <f ca="1">IF(OFFSET('fantoma mama'!A33,0,'fantoma mama'!$B$13,1,1)=0,"Não visível",IF(OFFSET('fantoma mama'!A33,0,'fantoma mama'!$B$13,1,1)="-","NPA",VLOOKUP(OFFSET('fantoma mama'!A33,0,'fantoma mama'!$B$13,1,1),IF(OFFSET('fantoma mama'!$A$5,0,'fantoma mama'!$B$13,1,1)="acr",Tabelas!$M$2:$N$7,Tabelas!$M$20:$N$25),2)))</f>
        <v>NPA</v>
      </c>
      <c r="E75" s="2657"/>
      <c r="F75" s="2658" t="str">
        <f ca="1">IF(D75="NPA","Não realizado",IF(D75="Não visível","Não conforme",IF(D75&gt;0.75,"Não conforme","Conforme")))</f>
        <v>Não realizado</v>
      </c>
      <c r="G75" s="2659"/>
      <c r="H75" s="2659"/>
      <c r="I75" s="251" t="str">
        <f ca="1">IF(F75="Não conforme","Restrição",IF(F75="Não realizado","NA","Sim"))</f>
        <v>NA</v>
      </c>
    </row>
    <row r="76" spans="1:9" x14ac:dyDescent="0.2">
      <c r="A76" s="2653" t="s">
        <v>723</v>
      </c>
      <c r="B76" s="2654"/>
      <c r="C76" s="2655"/>
      <c r="D76" s="2656" t="str">
        <f ca="1">IF(OFFSET('fantoma mama'!A34,0,'fantoma mama'!$B$13,1,1)=0,"Não visível",IF(OFFSET('fantoma mama'!A34,0,'fantoma mama'!$B$13,1,1)="-","NPA",VLOOKUP(OFFSET('fantoma mama'!A34,0,'fantoma mama'!$B$13,1,1),IF(OFFSET('fantoma mama'!$A$5,0,'fantoma mama'!$B$13,1,1)="acr",Tabelas!$M$13:$N$17,Tabelas!$M$31:$N$35),2)))</f>
        <v>NPA</v>
      </c>
      <c r="E76" s="2657"/>
      <c r="F76" s="2658" t="str">
        <f ca="1">IF(D76="NPA","Não realizado",IF(D76="Não visível","Não conforme",IF(D76&gt;0.75,"Não conforme","Conforme")))</f>
        <v>Não realizado</v>
      </c>
      <c r="G76" s="2659"/>
      <c r="H76" s="2659"/>
      <c r="I76" s="251" t="str">
        <f ca="1">IF(F76="Não conforme","Restrição",IF(F76="Não realizado","NA","Sim"))</f>
        <v>NA</v>
      </c>
    </row>
    <row r="77" spans="1:9" ht="15.75" customHeight="1" x14ac:dyDescent="0.2">
      <c r="A77" s="2681" t="s">
        <v>736</v>
      </c>
      <c r="B77" s="2681"/>
      <c r="C77" s="2681"/>
      <c r="D77" s="2656" t="str">
        <f ca="1">IF(OFFSET('fantoma mama'!A35,0,'fantoma mama'!$B$13,1,1)=0,"Não visível",IF(OFFSET('fantoma mama'!A35,0,'fantoma mama'!$B$13,1,1)="-","NPA",VLOOKUP(OFFSET('fantoma mama'!A35,0,'fantoma mama'!$B$13,1,1),IF(OFFSET('fantoma mama'!$A$5,0,'fantoma mama'!$B$13,1,1)="acr",Tabelas!$M$8:$N$12,Tabelas!$M$26:$N$30),2)))</f>
        <v>NPA</v>
      </c>
      <c r="E77" s="2657"/>
      <c r="F77" s="2658" t="str">
        <f ca="1">IF(D77="NPA","Não realizado",IF(D77="Não visível","Não conforme",IF(D77&gt;0.32,"Não conforme","Conforme")))</f>
        <v>Não realizado</v>
      </c>
      <c r="G77" s="2659"/>
      <c r="H77" s="2659"/>
      <c r="I77" s="251" t="str">
        <f ca="1">IF(F77="Não conforme","Restrição",IF(F77="Não realizado","NA","Sim"))</f>
        <v>NA</v>
      </c>
    </row>
    <row r="78" spans="1:9" ht="15.75" customHeight="1" x14ac:dyDescent="0.2">
      <c r="A78" s="258" t="s">
        <v>1811</v>
      </c>
      <c r="B78" s="255"/>
      <c r="C78" s="255"/>
      <c r="D78" s="256"/>
      <c r="E78" s="256"/>
      <c r="F78" s="256"/>
      <c r="G78" s="256"/>
      <c r="H78" s="256"/>
      <c r="I78" s="257"/>
    </row>
    <row r="80" spans="1:9" ht="15.75" x14ac:dyDescent="0.25">
      <c r="A80" s="237" t="s">
        <v>735</v>
      </c>
      <c r="B80" s="248"/>
      <c r="C80" s="248"/>
      <c r="D80" s="248"/>
      <c r="E80" s="248"/>
      <c r="F80" s="248"/>
      <c r="G80" s="248"/>
      <c r="H80" s="248"/>
      <c r="I80" s="248"/>
    </row>
    <row r="81" spans="1:10" x14ac:dyDescent="0.2">
      <c r="A81" s="2685" t="str">
        <f>IntroPrazoArmazenamento</f>
        <v xml:space="preserve">               Este documento deve ser arquivado e mantido à disposição da autoridade sanitária local, garantindo sua rastreabilidade pelo prazo mínimo de 5 anos. </v>
      </c>
      <c r="B81" s="2685"/>
      <c r="C81" s="2685"/>
      <c r="D81" s="2685"/>
      <c r="E81" s="2685"/>
      <c r="F81" s="2685"/>
      <c r="G81" s="2685"/>
      <c r="H81" s="2685"/>
      <c r="I81" s="2685"/>
      <c r="J81" s="2685"/>
    </row>
    <row r="82" spans="1:10" x14ac:dyDescent="0.2">
      <c r="A82" s="2685"/>
      <c r="B82" s="2685"/>
      <c r="C82" s="2685"/>
      <c r="D82" s="2685"/>
      <c r="E82" s="2685"/>
      <c r="F82" s="2685"/>
      <c r="G82" s="2685"/>
      <c r="H82" s="2685"/>
      <c r="I82" s="2685"/>
      <c r="J82" s="2685"/>
    </row>
    <row r="83" spans="1:10" x14ac:dyDescent="0.2">
      <c r="A83" s="2683" t="str">
        <f ca="1">"               "&amp;OFFSET('fantoma mama'!A37,0,'fantoma mama'!$B$13,1,1)</f>
        <v xml:space="preserve">               Cuidar para que o Fantoma seja posicionado junto da borda da parede torácica, centralizado lateralmente, totalmente comprimido pela bandeja de compressão e percebido pelo sensor do Sistema automático de exposição (CAE). </v>
      </c>
      <c r="B83" s="2683"/>
      <c r="C83" s="2683"/>
      <c r="D83" s="2683"/>
      <c r="E83" s="2683"/>
      <c r="F83" s="2683"/>
      <c r="G83" s="2683"/>
      <c r="H83" s="2683"/>
      <c r="I83" s="2683"/>
      <c r="J83" s="2683"/>
    </row>
    <row r="84" spans="1:10" x14ac:dyDescent="0.2">
      <c r="A84" s="2683"/>
      <c r="B84" s="2683"/>
      <c r="C84" s="2683"/>
      <c r="D84" s="2683"/>
      <c r="E84" s="2683"/>
      <c r="F84" s="2683"/>
      <c r="G84" s="2683"/>
      <c r="H84" s="2683"/>
      <c r="I84" s="2683"/>
      <c r="J84" s="2683"/>
    </row>
    <row r="85" spans="1:10" x14ac:dyDescent="0.2">
      <c r="A85" s="2683"/>
      <c r="B85" s="2683"/>
      <c r="C85" s="2683"/>
      <c r="D85" s="2683"/>
      <c r="E85" s="2683"/>
      <c r="F85" s="2683"/>
      <c r="G85" s="2683"/>
      <c r="H85" s="2683"/>
      <c r="I85" s="2683"/>
      <c r="J85" s="2683"/>
    </row>
    <row r="86" spans="1:10" x14ac:dyDescent="0.2">
      <c r="A86" s="2683"/>
      <c r="B86" s="2683"/>
      <c r="C86" s="2683"/>
      <c r="D86" s="2683"/>
      <c r="E86" s="2683"/>
      <c r="F86" s="2683"/>
      <c r="G86" s="2683"/>
      <c r="H86" s="2683"/>
      <c r="I86" s="2683"/>
      <c r="J86" s="2683"/>
    </row>
    <row r="87" spans="1:10" x14ac:dyDescent="0.2">
      <c r="A87" s="2683"/>
      <c r="B87" s="2683"/>
      <c r="C87" s="2683"/>
      <c r="D87" s="2683"/>
      <c r="E87" s="2683"/>
      <c r="F87" s="2683"/>
      <c r="G87" s="2683"/>
      <c r="H87" s="2683"/>
      <c r="I87" s="2683"/>
      <c r="J87" s="2683"/>
    </row>
    <row r="88" spans="1:10" x14ac:dyDescent="0.2">
      <c r="A88" s="2683"/>
      <c r="B88" s="2683"/>
      <c r="C88" s="2683"/>
      <c r="D88" s="2683"/>
      <c r="E88" s="2683"/>
      <c r="F88" s="2683"/>
      <c r="G88" s="2683"/>
      <c r="H88" s="2683"/>
      <c r="I88" s="2683"/>
      <c r="J88" s="2683"/>
    </row>
    <row r="89" spans="1:10" x14ac:dyDescent="0.2">
      <c r="A89" s="2636" t="e">
        <f>A1</f>
        <v>#N/A</v>
      </c>
      <c r="B89" s="2636"/>
      <c r="C89" s="2636"/>
      <c r="D89" s="2636"/>
      <c r="E89" s="2636"/>
      <c r="F89" s="2636"/>
      <c r="G89" s="2679" t="str">
        <f>G1</f>
        <v/>
      </c>
      <c r="H89" s="2679"/>
      <c r="I89" s="2682">
        <f ca="1">I1</f>
        <v>46140</v>
      </c>
      <c r="J89" s="2682"/>
    </row>
    <row r="90" spans="1:10" x14ac:dyDescent="0.2">
      <c r="A90" s="1934"/>
      <c r="B90" s="1934"/>
      <c r="C90" s="1934"/>
      <c r="D90" s="1934"/>
      <c r="E90" s="1934"/>
      <c r="F90" s="1934"/>
      <c r="G90" s="1935"/>
      <c r="H90" s="1935"/>
      <c r="I90" s="1936"/>
      <c r="J90" s="1936"/>
    </row>
    <row r="91" spans="1:10" ht="15.75" x14ac:dyDescent="0.25">
      <c r="A91" s="237" t="s">
        <v>732</v>
      </c>
      <c r="B91" s="1934"/>
      <c r="C91" s="1934"/>
      <c r="D91" s="1934"/>
      <c r="E91" s="1934"/>
      <c r="F91" s="1934"/>
      <c r="G91" s="1935"/>
      <c r="H91" s="1935"/>
      <c r="I91" s="1936"/>
      <c r="J91" s="1936"/>
    </row>
    <row r="92" spans="1:10" x14ac:dyDescent="0.2">
      <c r="A92" s="2684"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92" s="2684"/>
      <c r="C92" s="2684"/>
      <c r="D92" s="2684"/>
      <c r="E92" s="2684"/>
      <c r="F92" s="2684"/>
      <c r="G92" s="2684"/>
      <c r="H92" s="2684"/>
      <c r="I92" s="2684"/>
      <c r="J92" s="2684"/>
    </row>
    <row r="93" spans="1:10" x14ac:dyDescent="0.2">
      <c r="A93" s="2684"/>
      <c r="B93" s="2684"/>
      <c r="C93" s="2684"/>
      <c r="D93" s="2684"/>
      <c r="E93" s="2684"/>
      <c r="F93" s="2684"/>
      <c r="G93" s="2684"/>
      <c r="H93" s="2684"/>
      <c r="I93" s="2684"/>
      <c r="J93" s="2684"/>
    </row>
    <row r="94" spans="1:10" x14ac:dyDescent="0.2">
      <c r="A94" s="2684"/>
      <c r="B94" s="2684"/>
      <c r="C94" s="2684"/>
      <c r="D94" s="2684"/>
      <c r="E94" s="2684"/>
      <c r="F94" s="2684"/>
      <c r="G94" s="2684"/>
      <c r="H94" s="2684"/>
      <c r="I94" s="2684"/>
      <c r="J94" s="2684"/>
    </row>
    <row r="95" spans="1:10" x14ac:dyDescent="0.2">
      <c r="A95" s="2684"/>
      <c r="B95" s="2684"/>
      <c r="C95" s="2684"/>
      <c r="D95" s="2684"/>
      <c r="E95" s="2684"/>
      <c r="F95" s="2684"/>
      <c r="G95" s="2684"/>
      <c r="H95" s="2684"/>
      <c r="I95" s="2684"/>
      <c r="J95" s="2684"/>
    </row>
    <row r="96" spans="1:10" x14ac:dyDescent="0.2">
      <c r="A96" s="2684"/>
      <c r="B96" s="2684"/>
      <c r="C96" s="2684"/>
      <c r="D96" s="2684"/>
      <c r="E96" s="2684"/>
      <c r="F96" s="2684"/>
      <c r="G96" s="2684"/>
      <c r="H96" s="2684"/>
      <c r="I96" s="2684"/>
      <c r="J96" s="2684"/>
    </row>
    <row r="97" spans="1:11" x14ac:dyDescent="0.2">
      <c r="A97" s="254"/>
      <c r="B97" s="254"/>
      <c r="C97" s="254"/>
      <c r="D97" s="254"/>
      <c r="E97" s="560"/>
      <c r="F97" s="560"/>
      <c r="G97" s="560"/>
      <c r="H97" s="560"/>
      <c r="I97" s="249"/>
      <c r="J97" s="252"/>
    </row>
    <row r="98" spans="1:11" ht="15.75" x14ac:dyDescent="0.25">
      <c r="A98" s="237" t="s">
        <v>2067</v>
      </c>
    </row>
    <row r="99" spans="1:11" ht="15.75" x14ac:dyDescent="0.25">
      <c r="A99" s="237"/>
    </row>
    <row r="100" spans="1:11" ht="31.5" customHeight="1" x14ac:dyDescent="0.2">
      <c r="A100" s="2668" t="str">
        <f ca="1">IF(COUNTIF($F$63:$H$77,"Não conforme")&gt;0,"               A visualização das estruturas do fantoma não cumpre os requisitos da Instrução Normativa "&amp;VLOOKUP("Mamografia",IN_ANVISA[],2)&amp;"/"&amp;VLOOKUP("Mamografia",IN_ANVISA[],3)&amp;" da ANVISA.","               A visualização das estruturas do fantoma atende ao Anexo I da Instrução Normativa "&amp;VLOOKUP("Mamografia",IN_ANVISA[],2)&amp;"/"&amp;VLOOKUP("Mamografia",IN_ANVISA[],3)&amp;" da ANVISA.")</f>
        <v xml:space="preserve">               A visualização das estruturas do fantoma atende ao Anexo I da Instrução Normativa 92/2021 da ANVISA.</v>
      </c>
      <c r="B100" s="2668"/>
      <c r="C100" s="2668"/>
      <c r="D100" s="2668"/>
      <c r="E100" s="2668"/>
      <c r="F100" s="2668"/>
      <c r="G100" s="2668"/>
      <c r="H100" s="2668"/>
      <c r="I100" s="2668"/>
      <c r="J100" s="2668"/>
    </row>
    <row r="101" spans="1:11" x14ac:dyDescent="0.2">
      <c r="A101" s="2668"/>
      <c r="B101" s="2668"/>
      <c r="C101" s="2668"/>
      <c r="D101" s="2668"/>
      <c r="E101" s="2668"/>
      <c r="F101" s="2668"/>
      <c r="G101" s="2668"/>
      <c r="H101" s="2668"/>
      <c r="I101" s="2668"/>
      <c r="J101" s="2668"/>
    </row>
    <row r="102" spans="1:11" x14ac:dyDescent="0.2">
      <c r="A102" s="2686" t="str">
        <f>Tabelas!G18</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102" s="2686"/>
      <c r="C102" s="2686"/>
      <c r="D102" s="2686"/>
      <c r="E102" s="2686"/>
      <c r="F102" s="2686"/>
      <c r="G102" s="2686"/>
      <c r="H102" s="2686"/>
      <c r="I102" s="2686"/>
      <c r="J102" s="2686"/>
      <c r="K102" s="230" t="str">
        <f ca="1">IF(COUNTIF(I63:I77,"Restrição")&gt;0,"","x")</f>
        <v>x</v>
      </c>
    </row>
    <row r="103" spans="1:11" x14ac:dyDescent="0.2">
      <c r="A103" s="2686"/>
      <c r="B103" s="2686"/>
      <c r="C103" s="2686"/>
      <c r="D103" s="2686"/>
      <c r="E103" s="2686"/>
      <c r="F103" s="2686"/>
      <c r="G103" s="2686"/>
      <c r="H103" s="2686"/>
      <c r="I103" s="2686"/>
      <c r="J103" s="2686"/>
      <c r="K103" s="230" t="str">
        <f ca="1">K102</f>
        <v>x</v>
      </c>
    </row>
    <row r="104" spans="1:11" x14ac:dyDescent="0.2">
      <c r="A104" s="2686"/>
      <c r="B104" s="2686"/>
      <c r="C104" s="2686"/>
      <c r="D104" s="2686"/>
      <c r="E104" s="2686"/>
      <c r="F104" s="2686"/>
      <c r="G104" s="2686"/>
      <c r="H104" s="2686"/>
      <c r="I104" s="2686"/>
      <c r="J104" s="2686"/>
      <c r="K104" s="230" t="str">
        <f t="shared" ref="K104:K110" ca="1" si="0">K103</f>
        <v>x</v>
      </c>
    </row>
    <row r="105" spans="1:11" x14ac:dyDescent="0.2">
      <c r="A105" s="2686"/>
      <c r="B105" s="2686"/>
      <c r="C105" s="2686"/>
      <c r="D105" s="2686"/>
      <c r="E105" s="2686"/>
      <c r="F105" s="2686"/>
      <c r="G105" s="2686"/>
      <c r="H105" s="2686"/>
      <c r="I105" s="2686"/>
      <c r="J105" s="2686"/>
      <c r="K105" s="230" t="str">
        <f t="shared" ca="1" si="0"/>
        <v>x</v>
      </c>
    </row>
    <row r="106" spans="1:11" x14ac:dyDescent="0.2">
      <c r="A106" s="2686"/>
      <c r="B106" s="2686"/>
      <c r="C106" s="2686"/>
      <c r="D106" s="2686"/>
      <c r="E106" s="2686"/>
      <c r="F106" s="2686"/>
      <c r="G106" s="2686"/>
      <c r="H106" s="2686"/>
      <c r="I106" s="2686"/>
      <c r="J106" s="2686"/>
      <c r="K106" s="230" t="str">
        <f t="shared" ca="1" si="0"/>
        <v>x</v>
      </c>
    </row>
    <row r="107" spans="1:11" ht="15.75" customHeight="1" x14ac:dyDescent="0.2">
      <c r="A107" s="2685" t="s">
        <v>1021</v>
      </c>
      <c r="B107" s="2685"/>
      <c r="C107" s="2685"/>
      <c r="D107" s="2685"/>
      <c r="E107" s="2685"/>
      <c r="F107" s="2685"/>
      <c r="G107" s="2685"/>
      <c r="H107" s="2685"/>
      <c r="I107" s="2685"/>
      <c r="J107" s="2685"/>
      <c r="K107" s="230" t="str">
        <f t="shared" ca="1" si="0"/>
        <v>x</v>
      </c>
    </row>
    <row r="108" spans="1:11" x14ac:dyDescent="0.2">
      <c r="A108" s="2685"/>
      <c r="B108" s="2685"/>
      <c r="C108" s="2685"/>
      <c r="D108" s="2685"/>
      <c r="E108" s="2685"/>
      <c r="F108" s="2685"/>
      <c r="G108" s="2685"/>
      <c r="H108" s="2685"/>
      <c r="I108" s="2685"/>
      <c r="J108" s="2685"/>
      <c r="K108" s="230" t="str">
        <f t="shared" ca="1" si="0"/>
        <v>x</v>
      </c>
    </row>
    <row r="109" spans="1:11" x14ac:dyDescent="0.2">
      <c r="A109" s="2685"/>
      <c r="B109" s="2685"/>
      <c r="C109" s="2685"/>
      <c r="D109" s="2685"/>
      <c r="E109" s="2685"/>
      <c r="F109" s="2685"/>
      <c r="G109" s="2685"/>
      <c r="H109" s="2685"/>
      <c r="I109" s="2685"/>
      <c r="J109" s="2685"/>
      <c r="K109" s="230" t="str">
        <f t="shared" ca="1" si="0"/>
        <v>x</v>
      </c>
    </row>
    <row r="110" spans="1:11" x14ac:dyDescent="0.2">
      <c r="A110" s="2685"/>
      <c r="B110" s="2685"/>
      <c r="C110" s="2685"/>
      <c r="D110" s="2685"/>
      <c r="E110" s="2685"/>
      <c r="F110" s="2685"/>
      <c r="G110" s="2685"/>
      <c r="H110" s="2685"/>
      <c r="I110" s="2685"/>
      <c r="J110" s="2685"/>
      <c r="K110" s="230" t="str">
        <f t="shared" ca="1" si="0"/>
        <v>x</v>
      </c>
    </row>
  </sheetData>
  <sheetProtection sheet="1" objects="1" scenarios="1" selectLockedCells="1" autoFilter="0"/>
  <autoFilter ref="K1:K110"/>
  <mergeCells count="81">
    <mergeCell ref="A92:J96"/>
    <mergeCell ref="G89:H89"/>
    <mergeCell ref="A89:F89"/>
    <mergeCell ref="A107:J110"/>
    <mergeCell ref="A81:J82"/>
    <mergeCell ref="A100:J101"/>
    <mergeCell ref="A102:J106"/>
    <mergeCell ref="F70:H70"/>
    <mergeCell ref="D77:E77"/>
    <mergeCell ref="F74:H74"/>
    <mergeCell ref="F75:H75"/>
    <mergeCell ref="F71:H71"/>
    <mergeCell ref="D70:E70"/>
    <mergeCell ref="D71:E71"/>
    <mergeCell ref="D75:E75"/>
    <mergeCell ref="D76:E76"/>
    <mergeCell ref="I1:J1"/>
    <mergeCell ref="I45:J45"/>
    <mergeCell ref="I89:J89"/>
    <mergeCell ref="A40:D40"/>
    <mergeCell ref="E40:J40"/>
    <mergeCell ref="A41:C41"/>
    <mergeCell ref="D41:F41"/>
    <mergeCell ref="G41:H41"/>
    <mergeCell ref="I41:J41"/>
    <mergeCell ref="A42:C43"/>
    <mergeCell ref="D68:E68"/>
    <mergeCell ref="D74:E74"/>
    <mergeCell ref="A83:J88"/>
    <mergeCell ref="F76:H76"/>
    <mergeCell ref="F77:H77"/>
    <mergeCell ref="A25:J26"/>
    <mergeCell ref="A76:C76"/>
    <mergeCell ref="A77:C77"/>
    <mergeCell ref="A74:C74"/>
    <mergeCell ref="A75:C75"/>
    <mergeCell ref="A70:C70"/>
    <mergeCell ref="A71:C71"/>
    <mergeCell ref="A68:C68"/>
    <mergeCell ref="A69:C69"/>
    <mergeCell ref="G42:H43"/>
    <mergeCell ref="A65:C65"/>
    <mergeCell ref="D65:E65"/>
    <mergeCell ref="F65:H65"/>
    <mergeCell ref="G45:H45"/>
    <mergeCell ref="A45:F45"/>
    <mergeCell ref="A58:J58"/>
    <mergeCell ref="A48:J57"/>
    <mergeCell ref="F68:H68"/>
    <mergeCell ref="F69:H69"/>
    <mergeCell ref="D69:E69"/>
    <mergeCell ref="C12:J13"/>
    <mergeCell ref="C17:J17"/>
    <mergeCell ref="A3:J3"/>
    <mergeCell ref="A5:J5"/>
    <mergeCell ref="C9:J10"/>
    <mergeCell ref="I35:J35"/>
    <mergeCell ref="I36:J37"/>
    <mergeCell ref="A34:D34"/>
    <mergeCell ref="E34:J34"/>
    <mergeCell ref="D42:F43"/>
    <mergeCell ref="I42:J43"/>
    <mergeCell ref="A36:C37"/>
    <mergeCell ref="D36:F37"/>
    <mergeCell ref="G36:H37"/>
    <mergeCell ref="G1:H1"/>
    <mergeCell ref="A1:F1"/>
    <mergeCell ref="A64:C64"/>
    <mergeCell ref="D64:E64"/>
    <mergeCell ref="F64:H64"/>
    <mergeCell ref="A22:J24"/>
    <mergeCell ref="A62:C62"/>
    <mergeCell ref="D62:E62"/>
    <mergeCell ref="F62:H62"/>
    <mergeCell ref="A63:C63"/>
    <mergeCell ref="D63:E63"/>
    <mergeCell ref="F63:H63"/>
    <mergeCell ref="A29:J31"/>
    <mergeCell ref="A35:C35"/>
    <mergeCell ref="D35:F35"/>
    <mergeCell ref="G35:H35"/>
  </mergeCells>
  <conditionalFormatting sqref="F63">
    <cfRule type="cellIs" dxfId="891" priority="27" stopIfTrue="1" operator="equal">
      <formula>"""Não satisfaz à Portaria."""</formula>
    </cfRule>
  </conditionalFormatting>
  <conditionalFormatting sqref="F78">
    <cfRule type="cellIs" dxfId="890" priority="15" stopIfTrue="1" operator="equal">
      <formula>"""Não satisfaz à Portaria."""</formula>
    </cfRule>
  </conditionalFormatting>
  <conditionalFormatting sqref="I63:I65">
    <cfRule type="cellIs" dxfId="889" priority="20" operator="equal">
      <formula>"Restrição"</formula>
    </cfRule>
  </conditionalFormatting>
  <conditionalFormatting sqref="I69:I71">
    <cfRule type="cellIs" dxfId="888" priority="17" operator="equal">
      <formula>"Restrição"</formula>
    </cfRule>
  </conditionalFormatting>
  <conditionalFormatting sqref="I75:I78">
    <cfRule type="cellIs" dxfId="887" priority="14" operator="equal">
      <formula>"Restrição"</formula>
    </cfRule>
  </conditionalFormatting>
  <conditionalFormatting sqref="F64:F65">
    <cfRule type="cellIs" dxfId="886" priority="13" stopIfTrue="1" operator="equal">
      <formula>"""Não satisfaz à Portaria."""</formula>
    </cfRule>
  </conditionalFormatting>
  <conditionalFormatting sqref="F69">
    <cfRule type="cellIs" dxfId="885" priority="4" stopIfTrue="1" operator="equal">
      <formula>"""Não satisfaz à Portaria."""</formula>
    </cfRule>
  </conditionalFormatting>
  <conditionalFormatting sqref="F70:F71">
    <cfRule type="cellIs" dxfId="884" priority="3" stopIfTrue="1" operator="equal">
      <formula>"""Não satisfaz à Portaria."""</formula>
    </cfRule>
  </conditionalFormatting>
  <conditionalFormatting sqref="F75">
    <cfRule type="cellIs" dxfId="883" priority="2" stopIfTrue="1" operator="equal">
      <formula>"""Não satisfaz à Portaria."""</formula>
    </cfRule>
  </conditionalFormatting>
  <conditionalFormatting sqref="F76:F77">
    <cfRule type="cellIs" dxfId="882" priority="1" stopIfTrue="1" operator="equal">
      <formula>"""Não satisfaz à Portaria."""</formula>
    </cfRule>
  </conditionalFormatting>
  <pageMargins left="0.78740157480314965" right="0.19685039370078741" top="1.5748031496062993" bottom="0.98425196850393704" header="0.31496062992125984" footer="0.51181102362204722"/>
  <pageSetup paperSize="9" scale="99" fitToHeight="0" orientation="portrait" r:id="rId1"/>
  <headerFooter alignWithMargins="0">
    <oddFooter>&amp;L&amp;F&amp;R&amp;P de &amp;N</oddFooter>
  </headerFooter>
  <rowBreaks count="2" manualBreakCount="2">
    <brk id="44" max="9" man="1"/>
    <brk id="88" max="9"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BC229"/>
  <sheetViews>
    <sheetView zoomScaleNormal="100" workbookViewId="0">
      <selection activeCell="V21" sqref="V21"/>
    </sheetView>
  </sheetViews>
  <sheetFormatPr defaultColWidth="8.5703125" defaultRowHeight="15" x14ac:dyDescent="0.25"/>
  <cols>
    <col min="1" max="1" width="24.42578125" style="215" bestFit="1" customWidth="1"/>
    <col min="2" max="2" width="30.42578125" style="215" bestFit="1" customWidth="1"/>
    <col min="3" max="3" width="8.5703125" style="215" bestFit="1" customWidth="1"/>
    <col min="4" max="4" width="10.140625" style="215" customWidth="1"/>
    <col min="5" max="5" width="8.5703125" style="215" bestFit="1" customWidth="1"/>
    <col min="6" max="6" width="16.42578125" style="215" bestFit="1" customWidth="1"/>
    <col min="7" max="7" width="14.5703125" style="215" bestFit="1" customWidth="1"/>
    <col min="8" max="8" width="9.42578125" style="215" bestFit="1" customWidth="1"/>
    <col min="9" max="9" width="12.42578125" style="215" customWidth="1"/>
    <col min="10" max="10" width="13" style="215" customWidth="1"/>
    <col min="11" max="11" width="15.85546875" style="215" customWidth="1"/>
    <col min="12" max="12" width="8.5703125" style="215" bestFit="1" customWidth="1"/>
    <col min="13" max="13" width="20.140625" style="215" bestFit="1" customWidth="1"/>
    <col min="14" max="14" width="16.42578125" style="215" bestFit="1" customWidth="1"/>
    <col min="15" max="15" width="21" style="215" customWidth="1"/>
    <col min="16" max="16" width="8.5703125" style="215" bestFit="1" customWidth="1"/>
    <col min="17" max="17" width="9.42578125" style="215" bestFit="1" customWidth="1"/>
    <col min="18" max="18" width="16.42578125" style="215" bestFit="1" customWidth="1"/>
    <col min="19" max="19" width="14.5703125" style="215" bestFit="1" customWidth="1"/>
    <col min="20" max="20" width="16.42578125" style="215" bestFit="1" customWidth="1"/>
    <col min="21" max="21" width="8.5703125" style="215" bestFit="1" customWidth="1"/>
    <col min="22" max="22" width="16.42578125" style="215" bestFit="1" customWidth="1"/>
    <col min="23" max="23" width="8.5703125" style="215" bestFit="1" customWidth="1"/>
    <col min="24" max="24" width="16.42578125" style="215" bestFit="1" customWidth="1"/>
    <col min="25" max="25" width="16.85546875" style="215" bestFit="1" customWidth="1"/>
    <col min="26" max="26" width="16.42578125" style="215" bestFit="1" customWidth="1"/>
    <col min="27" max="29" width="8.5703125" style="215" bestFit="1" customWidth="1"/>
    <col min="30" max="30" width="16.42578125" style="215" bestFit="1" customWidth="1"/>
    <col min="31" max="31" width="16.85546875" style="215" bestFit="1" customWidth="1"/>
    <col min="32" max="32" width="8.42578125" style="215" bestFit="1" customWidth="1"/>
    <col min="33" max="35" width="8.5703125" style="215" bestFit="1" customWidth="1"/>
    <col min="36" max="36" width="8.5703125" style="215" customWidth="1"/>
    <col min="37" max="37" width="14.5703125" style="215" bestFit="1" customWidth="1"/>
    <col min="38" max="38" width="7.5703125" style="215" bestFit="1" customWidth="1"/>
    <col min="39" max="40" width="8.5703125" style="215" bestFit="1" customWidth="1"/>
    <col min="41" max="42" width="8.5703125" style="215" customWidth="1"/>
    <col min="43" max="16384" width="8.5703125" style="215"/>
  </cols>
  <sheetData>
    <row r="1" spans="1:53" s="228" customFormat="1" ht="15.75" thickBot="1" x14ac:dyDescent="0.3">
      <c r="A1" s="1350" t="s">
        <v>1805</v>
      </c>
      <c r="B1" s="1350" t="str">
        <f>"IN "&amp;VLOOKUP("Mamografia",IN_ANVISA[],2)</f>
        <v>IN 92</v>
      </c>
    </row>
    <row r="2" spans="1:53" s="228" customFormat="1" ht="15.75" thickBot="1" x14ac:dyDescent="0.3">
      <c r="A2" s="2687" t="s">
        <v>1277</v>
      </c>
      <c r="B2" s="2688"/>
      <c r="C2" s="2688"/>
      <c r="D2" s="2688"/>
      <c r="E2" s="2688"/>
      <c r="F2" s="2688"/>
      <c r="G2" s="2689"/>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row>
    <row r="3" spans="1:53" s="228" customFormat="1" ht="16.5" thickBot="1" x14ac:dyDescent="0.3">
      <c r="A3" s="2690" t="s">
        <v>1049</v>
      </c>
      <c r="B3" s="2691"/>
      <c r="C3" s="2691"/>
      <c r="D3" s="2691"/>
      <c r="E3" s="2692"/>
      <c r="F3" s="943"/>
      <c r="G3" s="942" t="str">
        <f>IF(F3="Não","DFD pode estar incorreta.","")</f>
        <v/>
      </c>
      <c r="H3" s="215"/>
      <c r="I3" s="215"/>
      <c r="J3" s="215"/>
      <c r="K3" s="215"/>
      <c r="L3" s="215"/>
      <c r="M3" s="215"/>
      <c r="N3" s="215"/>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c r="AR3" s="215"/>
      <c r="AS3" s="215"/>
      <c r="AT3" s="215"/>
      <c r="AU3" s="215"/>
      <c r="AV3" s="215"/>
      <c r="AW3" s="215"/>
    </row>
    <row r="4" spans="1:53" s="228" customFormat="1" x14ac:dyDescent="0.25">
      <c r="A4" s="2690" t="s">
        <v>133</v>
      </c>
      <c r="B4" s="2691"/>
      <c r="C4" s="2691"/>
      <c r="D4" s="2691"/>
      <c r="E4" s="2692"/>
      <c r="F4" s="941" t="s">
        <v>272</v>
      </c>
      <c r="G4" s="215"/>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c r="AJ4" s="215"/>
      <c r="AK4" s="215"/>
      <c r="AL4" s="215"/>
      <c r="AM4" s="215"/>
      <c r="AN4" s="215"/>
      <c r="AO4" s="215"/>
      <c r="AP4" s="215"/>
      <c r="AQ4" s="215"/>
      <c r="AR4" s="215"/>
      <c r="AS4" s="215"/>
      <c r="AT4" s="215"/>
      <c r="AU4" s="215"/>
      <c r="AV4" s="215"/>
      <c r="AW4" s="215"/>
    </row>
    <row r="5" spans="1:53" s="228" customFormat="1" ht="15.75" thickBot="1" x14ac:dyDescent="0.3">
      <c r="A5" s="2690" t="s">
        <v>132</v>
      </c>
      <c r="B5" s="2691"/>
      <c r="C5" s="2691"/>
      <c r="D5" s="2691"/>
      <c r="E5" s="2692"/>
      <c r="F5" s="943" t="s">
        <v>272</v>
      </c>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row>
    <row r="6" spans="1:53" s="228" customFormat="1" ht="15.75" thickBot="1" x14ac:dyDescent="0.3">
      <c r="A6" s="215" t="s">
        <v>829</v>
      </c>
      <c r="B6" s="215"/>
      <c r="C6" s="215"/>
      <c r="D6" s="215"/>
      <c r="E6" s="215"/>
      <c r="F6" s="944" t="s">
        <v>199</v>
      </c>
      <c r="G6" s="215"/>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c r="AS6" s="215"/>
      <c r="AT6" s="215"/>
      <c r="AU6" s="215"/>
      <c r="AV6" s="215"/>
      <c r="AW6" s="215"/>
    </row>
    <row r="7" spans="1:53" s="228" customFormat="1" x14ac:dyDescent="0.25">
      <c r="A7" s="215"/>
      <c r="B7" s="215"/>
      <c r="C7" s="215"/>
      <c r="D7" s="215"/>
      <c r="E7" s="215"/>
      <c r="F7" s="215"/>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row>
    <row r="8" spans="1:53" s="228" customFormat="1" x14ac:dyDescent="0.25">
      <c r="A8" s="215"/>
      <c r="B8" s="215"/>
      <c r="C8" s="215"/>
      <c r="D8" s="215"/>
      <c r="E8" s="215"/>
      <c r="F8" s="215"/>
      <c r="G8" s="215"/>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row>
    <row r="9" spans="1:53" s="228" customFormat="1" ht="19.5" x14ac:dyDescent="0.25">
      <c r="A9" s="2722" t="s">
        <v>1797</v>
      </c>
      <c r="B9" s="2722"/>
      <c r="C9" s="2722"/>
      <c r="D9" s="2722"/>
      <c r="E9" s="2722"/>
      <c r="F9" s="2722"/>
      <c r="G9" s="2722"/>
      <c r="H9" s="215"/>
      <c r="I9" s="215"/>
      <c r="J9" s="215"/>
      <c r="K9" s="215"/>
      <c r="L9" s="215"/>
      <c r="M9" s="215"/>
      <c r="N9" s="215"/>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row>
    <row r="10" spans="1:53" s="228" customFormat="1" ht="15.75" thickBot="1" x14ac:dyDescent="0.3">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row>
    <row r="11" spans="1:53" s="228" customFormat="1" ht="15.75" thickBot="1" x14ac:dyDescent="0.3">
      <c r="A11" s="2687" t="s">
        <v>1141</v>
      </c>
      <c r="B11" s="2688"/>
      <c r="C11" s="2688"/>
      <c r="D11" s="2688"/>
      <c r="E11" s="2688"/>
      <c r="F11" s="2688"/>
      <c r="G11" s="2688"/>
      <c r="H11" s="2688"/>
      <c r="I11" s="2688"/>
      <c r="J11" s="2688"/>
      <c r="K11" s="2689"/>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row>
    <row r="12" spans="1:53" s="228" customFormat="1" ht="15.75" thickBot="1" x14ac:dyDescent="0.3">
      <c r="A12" s="2694" t="s">
        <v>463</v>
      </c>
      <c r="B12" s="2695"/>
      <c r="C12" s="2695"/>
      <c r="D12" s="2695"/>
      <c r="E12" s="2695"/>
      <c r="F12" s="215"/>
      <c r="G12" s="2695" t="s">
        <v>464</v>
      </c>
      <c r="H12" s="2695"/>
      <c r="I12" s="2695"/>
      <c r="J12" s="2695"/>
      <c r="K12" s="2695"/>
      <c r="L12" s="215"/>
      <c r="M12" s="945"/>
      <c r="N12" s="703"/>
      <c r="O12" s="946"/>
      <c r="P12" s="945"/>
      <c r="Q12" s="227"/>
      <c r="R12" s="227"/>
      <c r="S12" s="945"/>
      <c r="T12" s="703"/>
      <c r="U12" s="946"/>
      <c r="V12" s="945"/>
      <c r="W12" s="227"/>
      <c r="X12" s="227"/>
      <c r="Y12" s="945"/>
      <c r="Z12" s="703"/>
      <c r="AA12" s="946"/>
      <c r="AB12" s="945"/>
      <c r="AC12" s="227"/>
      <c r="AD12" s="227"/>
      <c r="AE12" s="945"/>
      <c r="AF12" s="703"/>
      <c r="AG12" s="946"/>
      <c r="AH12" s="945"/>
      <c r="AI12" s="227"/>
      <c r="AJ12" s="227"/>
      <c r="AK12" s="945"/>
      <c r="AL12" s="703"/>
      <c r="AM12" s="946"/>
      <c r="AN12" s="945"/>
      <c r="AO12" s="227"/>
      <c r="AP12" s="227"/>
      <c r="AQ12" s="227"/>
      <c r="AR12" s="215"/>
      <c r="AS12" s="215"/>
      <c r="AT12" s="215"/>
      <c r="AU12" s="215"/>
      <c r="AV12" s="215"/>
      <c r="AW12" s="215"/>
      <c r="AX12" s="215"/>
      <c r="AY12" s="215"/>
      <c r="AZ12" s="215"/>
      <c r="BA12" s="215"/>
    </row>
    <row r="13" spans="1:53" s="228" customFormat="1" ht="15.75" thickBot="1" x14ac:dyDescent="0.3">
      <c r="A13" s="947" t="s">
        <v>52</v>
      </c>
      <c r="B13" s="948"/>
      <c r="C13" s="949" t="str">
        <f>$F$6</f>
        <v>mAs</v>
      </c>
      <c r="D13" s="215"/>
      <c r="E13" s="215"/>
      <c r="F13" s="215"/>
      <c r="G13" s="950" t="s">
        <v>52</v>
      </c>
      <c r="H13" s="951"/>
      <c r="I13" s="949" t="str">
        <f>$F$6</f>
        <v>mAs</v>
      </c>
      <c r="J13" s="215"/>
      <c r="K13" s="215"/>
      <c r="L13" s="215"/>
      <c r="M13" s="945"/>
      <c r="N13" s="703"/>
      <c r="O13" s="227"/>
      <c r="P13" s="227"/>
      <c r="Q13" s="227"/>
      <c r="R13" s="227"/>
      <c r="S13" s="945"/>
      <c r="T13" s="703"/>
      <c r="U13" s="227"/>
      <c r="V13" s="227"/>
      <c r="W13" s="227"/>
      <c r="X13" s="227"/>
      <c r="Y13" s="945"/>
      <c r="Z13" s="703"/>
      <c r="AA13" s="227"/>
      <c r="AB13" s="227"/>
      <c r="AC13" s="227"/>
      <c r="AD13" s="227"/>
      <c r="AE13" s="945"/>
      <c r="AF13" s="703"/>
      <c r="AG13" s="227"/>
      <c r="AH13" s="227"/>
      <c r="AI13" s="227"/>
      <c r="AJ13" s="227"/>
      <c r="AK13" s="945"/>
      <c r="AL13" s="703"/>
      <c r="AM13" s="227"/>
      <c r="AN13" s="227"/>
      <c r="AO13" s="227"/>
      <c r="AP13" s="227"/>
      <c r="AQ13" s="227"/>
      <c r="AR13" s="215"/>
      <c r="AS13" s="215"/>
      <c r="AT13" s="215"/>
      <c r="AU13" s="215"/>
      <c r="AV13" s="215"/>
      <c r="AW13" s="215"/>
      <c r="AX13" s="215"/>
      <c r="AY13" s="215"/>
      <c r="AZ13" s="215"/>
      <c r="BA13" s="215"/>
    </row>
    <row r="14" spans="1:53" s="228" customFormat="1" ht="15.75" thickBot="1" x14ac:dyDescent="0.3">
      <c r="A14" s="952" t="s">
        <v>17</v>
      </c>
      <c r="B14" s="953" t="s">
        <v>5</v>
      </c>
      <c r="C14" s="2693" t="s">
        <v>50</v>
      </c>
      <c r="D14" s="2693"/>
      <c r="E14" s="954" t="s">
        <v>22</v>
      </c>
      <c r="F14" s="955"/>
      <c r="G14" s="952" t="s">
        <v>17</v>
      </c>
      <c r="H14" s="954" t="s">
        <v>5</v>
      </c>
      <c r="I14" s="2693" t="s">
        <v>50</v>
      </c>
      <c r="J14" s="2693"/>
      <c r="K14" s="954" t="s">
        <v>22</v>
      </c>
      <c r="L14" s="224"/>
      <c r="M14" s="848"/>
      <c r="N14" s="848"/>
      <c r="O14" s="2712"/>
      <c r="P14" s="2712"/>
      <c r="Q14" s="848"/>
      <c r="R14" s="848"/>
      <c r="S14" s="848"/>
      <c r="T14" s="848"/>
      <c r="U14" s="2712"/>
      <c r="V14" s="2712"/>
      <c r="W14" s="848"/>
      <c r="X14" s="848"/>
      <c r="Y14" s="848"/>
      <c r="Z14" s="848"/>
      <c r="AA14" s="2712"/>
      <c r="AB14" s="2712"/>
      <c r="AC14" s="848"/>
      <c r="AD14" s="227"/>
      <c r="AE14" s="848"/>
      <c r="AF14" s="848"/>
      <c r="AG14" s="2712"/>
      <c r="AH14" s="2712"/>
      <c r="AI14" s="848"/>
      <c r="AJ14" s="848"/>
      <c r="AK14" s="848"/>
      <c r="AL14" s="848"/>
      <c r="AM14" s="2712"/>
      <c r="AN14" s="2712"/>
      <c r="AO14" s="848"/>
      <c r="AP14" s="848"/>
      <c r="AQ14" s="227"/>
      <c r="AR14" s="215"/>
      <c r="AS14" s="215"/>
      <c r="AT14" s="215"/>
      <c r="AU14" s="215"/>
      <c r="AV14" s="215"/>
      <c r="AW14" s="215"/>
    </row>
    <row r="15" spans="1:53" s="228" customFormat="1" x14ac:dyDescent="0.25">
      <c r="A15" s="956"/>
      <c r="B15" s="957"/>
      <c r="C15" s="958" t="str">
        <f ca="1">IFERROR(IF(Cabeçalho!$G$28="Unfors",INDIRECT(ADDRESS(B15,1,1,1,"medidas Unfors"),1),INDIRECT(ADDRESS(B15,1,1,1,"medidas Fluke"),1)),"")</f>
        <v/>
      </c>
      <c r="D15" s="958" t="str">
        <f ca="1">IFERROR(IF(Cabeçalho!$G$28="Unfors",INDIRECT(ADDRESS(B15,2,1,1,"medidas Unfors"),1),"kVp médio"),"")</f>
        <v/>
      </c>
      <c r="E15" s="1206" t="str">
        <f ca="1">IFERROR(CONCATENATE(ROUND((C15/A15-1)*100,1)," %"),"")</f>
        <v/>
      </c>
      <c r="F15" s="215"/>
      <c r="G15" s="956"/>
      <c r="H15" s="959"/>
      <c r="I15" s="958" t="str">
        <f ca="1">IFERROR(IF(Cabeçalho!$G$28="Unfors",INDIRECT(ADDRESS(H15,1,1,1,"medidas Unfors"),1),INDIRECT(ADDRESS(H15,1,1,1,"medidas Fluke"),1)),"")</f>
        <v/>
      </c>
      <c r="J15" s="958" t="str">
        <f ca="1">IFERROR(IF(Cabeçalho!$G$28="Unfors",INDIRECT(ADDRESS(H15,2,1,1,"medidas Unfors"),1),"kVp médio"),"")</f>
        <v/>
      </c>
      <c r="K15" s="1206" t="str">
        <f ca="1">IFERROR(CONCATENATE(ROUND((I15/G15-1)*100,1)," %"),"")</f>
        <v/>
      </c>
      <c r="L15" s="215"/>
      <c r="M15" s="703"/>
      <c r="N15" s="703"/>
      <c r="O15" s="960"/>
      <c r="P15" s="960"/>
      <c r="Q15" s="961"/>
      <c r="R15" s="227"/>
      <c r="S15" s="703"/>
      <c r="T15" s="703"/>
      <c r="U15" s="960"/>
      <c r="V15" s="960"/>
      <c r="W15" s="961"/>
      <c r="X15" s="227"/>
      <c r="Y15" s="703"/>
      <c r="Z15" s="703"/>
      <c r="AA15" s="960"/>
      <c r="AB15" s="960"/>
      <c r="AC15" s="961"/>
      <c r="AD15" s="227"/>
      <c r="AE15" s="703"/>
      <c r="AF15" s="703"/>
      <c r="AG15" s="960"/>
      <c r="AH15" s="960"/>
      <c r="AI15" s="961"/>
      <c r="AJ15" s="962"/>
      <c r="AK15" s="703"/>
      <c r="AL15" s="703"/>
      <c r="AM15" s="960"/>
      <c r="AN15" s="960"/>
      <c r="AO15" s="961"/>
      <c r="AP15" s="962"/>
      <c r="AQ15" s="227"/>
      <c r="AR15" s="215"/>
      <c r="AS15" s="215"/>
      <c r="AT15" s="215"/>
      <c r="AU15" s="215"/>
      <c r="AV15" s="215"/>
      <c r="AW15" s="215"/>
    </row>
    <row r="16" spans="1:53" s="228" customFormat="1" x14ac:dyDescent="0.25">
      <c r="A16" s="854"/>
      <c r="B16" s="400"/>
      <c r="C16" s="958" t="str">
        <f ca="1">IFERROR(IF(Cabeçalho!$G$28="Unfors",INDIRECT(ADDRESS(B16,1,1,1,"medidas Unfors"),1),INDIRECT(ADDRESS(B16,1,1,1,"medidas Fluke"),1)),"")</f>
        <v/>
      </c>
      <c r="D16" s="958" t="str">
        <f ca="1">IFERROR(IF(Cabeçalho!$G$28="Unfors",INDIRECT(ADDRESS(B16,2,1,1,"medidas Unfors"),1),"kVp médio"),"")</f>
        <v/>
      </c>
      <c r="E16" s="1206" t="str">
        <f ca="1">IFERROR(CONCATENATE(ROUND((C16/A16-1)*100,1)," %"),"")</f>
        <v/>
      </c>
      <c r="F16" s="215"/>
      <c r="G16" s="854"/>
      <c r="H16" s="963"/>
      <c r="I16" s="958" t="str">
        <f ca="1">IFERROR(IF(Cabeçalho!$G$28="Unfors",INDIRECT(ADDRESS(H16,1,1,1,"medidas Unfors"),1),INDIRECT(ADDRESS(H16,1,1,1,"medidas Fluke"),1)),"")</f>
        <v/>
      </c>
      <c r="J16" s="958" t="str">
        <f ca="1">IFERROR(IF(Cabeçalho!$G$28="Unfors",INDIRECT(ADDRESS(H16,2,1,1,"medidas Unfors"),1),"kVp médio"),"")</f>
        <v/>
      </c>
      <c r="K16" s="1206" t="str">
        <f ca="1">IFERROR(CONCATENATE(ROUND((I16/G16-1)*100,1)," %"),"")</f>
        <v/>
      </c>
      <c r="L16" s="215"/>
      <c r="M16" s="703"/>
      <c r="N16" s="703"/>
      <c r="O16" s="960"/>
      <c r="P16" s="960"/>
      <c r="Q16" s="961"/>
      <c r="R16" s="227"/>
      <c r="S16" s="703"/>
      <c r="T16" s="703"/>
      <c r="U16" s="960"/>
      <c r="V16" s="960"/>
      <c r="W16" s="961"/>
      <c r="X16" s="227"/>
      <c r="Y16" s="703"/>
      <c r="Z16" s="703"/>
      <c r="AA16" s="960"/>
      <c r="AB16" s="960"/>
      <c r="AC16" s="961"/>
      <c r="AD16" s="227"/>
      <c r="AE16" s="703"/>
      <c r="AF16" s="703"/>
      <c r="AG16" s="960"/>
      <c r="AH16" s="960"/>
      <c r="AI16" s="961"/>
      <c r="AJ16" s="962"/>
      <c r="AK16" s="703"/>
      <c r="AL16" s="703"/>
      <c r="AM16" s="960"/>
      <c r="AN16" s="960"/>
      <c r="AO16" s="961"/>
      <c r="AP16" s="962"/>
      <c r="AQ16" s="227"/>
      <c r="AR16" s="215"/>
      <c r="AS16" s="215"/>
      <c r="AT16" s="215"/>
      <c r="AU16" s="215"/>
      <c r="AV16" s="215"/>
      <c r="AW16" s="215"/>
    </row>
    <row r="17" spans="1:53" s="228" customFormat="1" x14ac:dyDescent="0.25">
      <c r="A17" s="854"/>
      <c r="B17" s="400"/>
      <c r="C17" s="958" t="str">
        <f ca="1">IFERROR(IF(Cabeçalho!$G$28="Unfors",INDIRECT(ADDRESS(B17,1,1,1,"medidas Unfors"),1),INDIRECT(ADDRESS(B17,1,1,1,"medidas Fluke"),1)),"")</f>
        <v/>
      </c>
      <c r="D17" s="958" t="str">
        <f ca="1">IFERROR(IF(Cabeçalho!$G$28="Unfors",INDIRECT(ADDRESS(B17,2,1,1,"medidas Unfors"),1),"kVp médio"),"")</f>
        <v/>
      </c>
      <c r="E17" s="1206" t="str">
        <f t="shared" ref="E17:E19" ca="1" si="0">IFERROR(CONCATENATE(ROUND((C17/A17-1)*100,1)," %"),"")</f>
        <v/>
      </c>
      <c r="F17" s="215"/>
      <c r="G17" s="854"/>
      <c r="H17" s="963"/>
      <c r="I17" s="958" t="str">
        <f ca="1">IFERROR(IF(Cabeçalho!$G$28="Unfors",INDIRECT(ADDRESS(H17,1,1,1,"medidas Unfors"),1),INDIRECT(ADDRESS(H17,1,1,1,"medidas Fluke"),1)),"")</f>
        <v/>
      </c>
      <c r="J17" s="958" t="str">
        <f ca="1">IFERROR(IF(Cabeçalho!$G$28="Unfors",INDIRECT(ADDRESS(H17,2,1,1,"medidas Unfors"),1),"kVp médio"),"")</f>
        <v/>
      </c>
      <c r="K17" s="1206" t="str">
        <f t="shared" ref="K17:K19" ca="1" si="1">IFERROR(CONCATENATE(ROUND((I17/G17-1)*100,1)," %"),"")</f>
        <v/>
      </c>
      <c r="L17" s="215"/>
      <c r="M17" s="703"/>
      <c r="N17" s="703"/>
      <c r="O17" s="960"/>
      <c r="P17" s="960"/>
      <c r="Q17" s="961"/>
      <c r="R17" s="227"/>
      <c r="S17" s="703"/>
      <c r="T17" s="703"/>
      <c r="U17" s="960"/>
      <c r="V17" s="960"/>
      <c r="W17" s="961"/>
      <c r="X17" s="227"/>
      <c r="Y17" s="703"/>
      <c r="Z17" s="703"/>
      <c r="AA17" s="960"/>
      <c r="AB17" s="960"/>
      <c r="AC17" s="961"/>
      <c r="AD17" s="227"/>
      <c r="AE17" s="703"/>
      <c r="AF17" s="703"/>
      <c r="AG17" s="960"/>
      <c r="AH17" s="960"/>
      <c r="AI17" s="961"/>
      <c r="AJ17" s="962"/>
      <c r="AK17" s="703"/>
      <c r="AL17" s="703"/>
      <c r="AM17" s="960"/>
      <c r="AN17" s="960"/>
      <c r="AO17" s="961"/>
      <c r="AP17" s="962"/>
      <c r="AQ17" s="227"/>
      <c r="AR17" s="215"/>
      <c r="AS17" s="215"/>
      <c r="AT17" s="215"/>
      <c r="AU17" s="215"/>
      <c r="AV17" s="215"/>
      <c r="AW17" s="215"/>
    </row>
    <row r="18" spans="1:53" s="228" customFormat="1" x14ac:dyDescent="0.25">
      <c r="A18" s="854"/>
      <c r="B18" s="400"/>
      <c r="C18" s="958" t="str">
        <f ca="1">IFERROR(IF(Cabeçalho!$G$28="Unfors",INDIRECT(ADDRESS(B18,1,1,1,"medidas Unfors"),1),INDIRECT(ADDRESS(B18,1,1,1,"medidas Fluke"),1)),"")</f>
        <v/>
      </c>
      <c r="D18" s="958" t="str">
        <f ca="1">IFERROR(IF(Cabeçalho!$G$28="Unfors",INDIRECT(ADDRESS(B18,2,1,1,"medidas Unfors"),1),"kVp médio"),"")</f>
        <v/>
      </c>
      <c r="E18" s="1206" t="str">
        <f t="shared" ca="1" si="0"/>
        <v/>
      </c>
      <c r="F18" s="215"/>
      <c r="G18" s="854"/>
      <c r="H18" s="963"/>
      <c r="I18" s="958" t="str">
        <f ca="1">IFERROR(IF(Cabeçalho!$G$28="Unfors",INDIRECT(ADDRESS(H18,1,1,1,"medidas Unfors"),1),INDIRECT(ADDRESS(H18,1,1,1,"medidas Fluke"),1)),"")</f>
        <v/>
      </c>
      <c r="J18" s="958" t="str">
        <f ca="1">IFERROR(IF(Cabeçalho!$G$28="Unfors",INDIRECT(ADDRESS(H18,2,1,1,"medidas Unfors"),1),"kVp médio"),"")</f>
        <v/>
      </c>
      <c r="K18" s="1206" t="str">
        <f t="shared" ca="1" si="1"/>
        <v/>
      </c>
      <c r="L18" s="215"/>
      <c r="M18" s="703"/>
      <c r="N18" s="703"/>
      <c r="O18" s="960"/>
      <c r="P18" s="960"/>
      <c r="Q18" s="961"/>
      <c r="R18" s="227"/>
      <c r="S18" s="703"/>
      <c r="T18" s="703"/>
      <c r="U18" s="960"/>
      <c r="V18" s="960"/>
      <c r="W18" s="961"/>
      <c r="X18" s="227"/>
      <c r="Y18" s="703"/>
      <c r="Z18" s="703"/>
      <c r="AA18" s="960"/>
      <c r="AB18" s="960"/>
      <c r="AC18" s="961"/>
      <c r="AD18" s="227"/>
      <c r="AE18" s="703"/>
      <c r="AF18" s="703"/>
      <c r="AG18" s="960"/>
      <c r="AH18" s="960"/>
      <c r="AI18" s="961"/>
      <c r="AJ18" s="962"/>
      <c r="AK18" s="703"/>
      <c r="AL18" s="703"/>
      <c r="AM18" s="960"/>
      <c r="AN18" s="960"/>
      <c r="AO18" s="961"/>
      <c r="AP18" s="962"/>
      <c r="AQ18" s="227"/>
      <c r="AR18" s="215"/>
      <c r="AS18" s="215"/>
      <c r="AT18" s="215"/>
      <c r="AU18" s="215"/>
      <c r="AV18" s="215"/>
      <c r="AW18" s="215"/>
    </row>
    <row r="19" spans="1:53" s="228" customFormat="1" ht="15.75" thickBot="1" x14ac:dyDescent="0.3">
      <c r="A19" s="964"/>
      <c r="B19" s="965"/>
      <c r="C19" s="966" t="str">
        <f ca="1">IFERROR(IF(Cabeçalho!$G$28="Unfors",INDIRECT(ADDRESS(B19,1,1,1,"medidas Unfors"),1),INDIRECT(ADDRESS(B19,1,1,1,"medidas Fluke"),1)),"")</f>
        <v/>
      </c>
      <c r="D19" s="966" t="str">
        <f ca="1">IFERROR(IF(Cabeçalho!$G$28="Unfors",INDIRECT(ADDRESS(B19,2,1,1,"medidas Unfors"),1),"kVp médio"),"")</f>
        <v/>
      </c>
      <c r="E19" s="1207" t="str">
        <f t="shared" ca="1" si="0"/>
        <v/>
      </c>
      <c r="F19" s="215"/>
      <c r="G19" s="964"/>
      <c r="H19" s="644"/>
      <c r="I19" s="966" t="str">
        <f ca="1">IFERROR(IF(Cabeçalho!$G$28="Unfors",INDIRECT(ADDRESS(H19,1,1,1,"medidas Unfors"),1),INDIRECT(ADDRESS(H19,1,1,1,"medidas Fluke"),1)),"")</f>
        <v/>
      </c>
      <c r="J19" s="966" t="str">
        <f ca="1">IFERROR(IF(Cabeçalho!$G$28="Unfors",INDIRECT(ADDRESS(H19,2,1,1,"medidas Unfors"),1),"kVp médio"),"")</f>
        <v/>
      </c>
      <c r="K19" s="1207" t="str">
        <f t="shared" ca="1" si="1"/>
        <v/>
      </c>
      <c r="L19" s="215"/>
      <c r="M19" s="703"/>
      <c r="N19" s="703"/>
      <c r="O19" s="960"/>
      <c r="P19" s="960"/>
      <c r="Q19" s="961"/>
      <c r="R19" s="227"/>
      <c r="S19" s="703"/>
      <c r="T19" s="703"/>
      <c r="U19" s="960"/>
      <c r="V19" s="960"/>
      <c r="W19" s="961"/>
      <c r="X19" s="227"/>
      <c r="Y19" s="703"/>
      <c r="Z19" s="703"/>
      <c r="AA19" s="960"/>
      <c r="AB19" s="960"/>
      <c r="AC19" s="961"/>
      <c r="AD19" s="227"/>
      <c r="AE19" s="703"/>
      <c r="AF19" s="703"/>
      <c r="AG19" s="960"/>
      <c r="AH19" s="960"/>
      <c r="AI19" s="961"/>
      <c r="AJ19" s="962"/>
      <c r="AK19" s="703"/>
      <c r="AL19" s="703"/>
      <c r="AM19" s="960"/>
      <c r="AN19" s="960"/>
      <c r="AO19" s="961"/>
      <c r="AP19" s="962"/>
      <c r="AQ19" s="227"/>
      <c r="AR19" s="215"/>
      <c r="AS19" s="215"/>
      <c r="AT19" s="215"/>
      <c r="AU19" s="215"/>
      <c r="AV19" s="215"/>
      <c r="AW19" s="215"/>
    </row>
    <row r="20" spans="1:53" s="228" customFormat="1" x14ac:dyDescent="0.25">
      <c r="A20" s="215"/>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row>
    <row r="21" spans="1:53" s="228" customFormat="1" ht="15.75" thickBot="1" x14ac:dyDescent="0.3">
      <c r="A21" s="215"/>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row>
    <row r="22" spans="1:53" s="228" customFormat="1" ht="15.75" thickBot="1" x14ac:dyDescent="0.3">
      <c r="A22" s="2687" t="s">
        <v>24</v>
      </c>
      <c r="B22" s="2688"/>
      <c r="C22" s="2688"/>
      <c r="D22" s="2688"/>
      <c r="E22" s="2688"/>
      <c r="F22" s="2688"/>
      <c r="G22" s="2688"/>
      <c r="H22" s="2688"/>
      <c r="I22" s="1092"/>
      <c r="J22" s="1092"/>
      <c r="K22" s="1092"/>
      <c r="L22" s="1092"/>
      <c r="M22" s="1092"/>
      <c r="N22" s="1092"/>
      <c r="O22" s="1093"/>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row>
    <row r="23" spans="1:53" s="228" customFormat="1" ht="31.5" customHeight="1" thickBot="1" x14ac:dyDescent="0.3">
      <c r="A23" s="1094" t="s">
        <v>461</v>
      </c>
      <c r="B23" s="1519" t="s">
        <v>462</v>
      </c>
      <c r="C23" s="2700"/>
      <c r="D23" s="2700"/>
      <c r="E23" s="2700"/>
      <c r="F23" s="705" t="s">
        <v>714</v>
      </c>
      <c r="G23" s="224">
        <f>7*VLOOKUP($B$23,$K$24:$O$30,5,FALSE)</f>
        <v>7</v>
      </c>
      <c r="H23" s="700" t="s">
        <v>1247</v>
      </c>
      <c r="J23" s="215"/>
      <c r="K23" s="1102" t="s">
        <v>1249</v>
      </c>
      <c r="L23" s="1103" t="s">
        <v>470</v>
      </c>
      <c r="M23" s="2727" t="s">
        <v>1248</v>
      </c>
      <c r="N23" s="2727"/>
      <c r="O23" s="1103" t="s">
        <v>1246</v>
      </c>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row>
    <row r="24" spans="1:53" s="228" customFormat="1" x14ac:dyDescent="0.25">
      <c r="A24" s="224"/>
      <c r="B24" s="967"/>
      <c r="C24" s="968"/>
      <c r="D24" s="968"/>
      <c r="E24" s="968"/>
      <c r="F24" s="969" t="s">
        <v>662</v>
      </c>
      <c r="G24" s="970">
        <v>0.2</v>
      </c>
      <c r="H24" s="971"/>
      <c r="I24" s="705"/>
      <c r="J24" s="225"/>
      <c r="K24" s="924" t="s">
        <v>462</v>
      </c>
      <c r="L24" s="924">
        <v>0.12</v>
      </c>
      <c r="M24" s="909">
        <v>0.03</v>
      </c>
      <c r="N24" s="972" t="s">
        <v>1230</v>
      </c>
      <c r="O24" s="924">
        <v>1</v>
      </c>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row>
    <row r="25" spans="1:53" s="228" customFormat="1" ht="15.75" thickBot="1" x14ac:dyDescent="0.3">
      <c r="A25" s="2701" t="s">
        <v>463</v>
      </c>
      <c r="B25" s="2702"/>
      <c r="C25" s="2702"/>
      <c r="D25" s="2702"/>
      <c r="E25" s="945"/>
      <c r="F25" s="2702" t="s">
        <v>464</v>
      </c>
      <c r="G25" s="2702"/>
      <c r="H25" s="2702"/>
      <c r="I25" s="2702"/>
      <c r="J25" s="704"/>
      <c r="K25" s="924" t="s">
        <v>465</v>
      </c>
      <c r="L25" s="924">
        <v>0.19</v>
      </c>
      <c r="M25" s="909">
        <v>0.25</v>
      </c>
      <c r="N25" s="972" t="s">
        <v>1231</v>
      </c>
      <c r="O25" s="924">
        <v>0.86</v>
      </c>
      <c r="P25" s="945"/>
      <c r="Q25" s="227"/>
      <c r="R25" s="227"/>
      <c r="S25" s="945"/>
      <c r="T25" s="703"/>
      <c r="U25" s="946"/>
      <c r="V25" s="945"/>
      <c r="W25" s="227"/>
      <c r="X25" s="227"/>
      <c r="Y25" s="945"/>
      <c r="Z25" s="703"/>
      <c r="AA25" s="946"/>
      <c r="AB25" s="945"/>
      <c r="AC25" s="227"/>
      <c r="AD25" s="227"/>
      <c r="AE25" s="945"/>
      <c r="AF25" s="703"/>
      <c r="AG25" s="946"/>
      <c r="AH25" s="945"/>
      <c r="AI25" s="227"/>
      <c r="AJ25" s="227"/>
      <c r="AK25" s="945"/>
      <c r="AL25" s="703"/>
      <c r="AM25" s="946"/>
      <c r="AN25" s="945"/>
      <c r="AO25" s="227"/>
      <c r="AP25" s="227"/>
      <c r="AQ25" s="227"/>
      <c r="AR25" s="215"/>
      <c r="AS25" s="215"/>
      <c r="AT25" s="215"/>
      <c r="AU25" s="215"/>
      <c r="AV25" s="215"/>
      <c r="AW25" s="215"/>
      <c r="AX25" s="215"/>
      <c r="AY25" s="215"/>
      <c r="AZ25" s="215"/>
      <c r="BA25" s="215"/>
    </row>
    <row r="26" spans="1:53" s="228" customFormat="1" x14ac:dyDescent="0.25">
      <c r="A26" s="973" t="s">
        <v>52</v>
      </c>
      <c r="B26" s="974">
        <f>B13</f>
        <v>0</v>
      </c>
      <c r="C26" s="949" t="str">
        <f>$F$6</f>
        <v>mAs</v>
      </c>
      <c r="D26" s="975"/>
      <c r="E26" s="215"/>
      <c r="F26" s="973" t="s">
        <v>52</v>
      </c>
      <c r="G26" s="974">
        <f>H13</f>
        <v>0</v>
      </c>
      <c r="H26" s="949" t="str">
        <f>$F$6</f>
        <v>mAs</v>
      </c>
      <c r="I26" s="975"/>
      <c r="J26" s="215"/>
      <c r="K26" s="924" t="s">
        <v>466</v>
      </c>
      <c r="L26" s="924">
        <v>0.22</v>
      </c>
      <c r="M26" s="909">
        <v>0.25</v>
      </c>
      <c r="N26" s="972" t="s">
        <v>1231</v>
      </c>
      <c r="O26" s="924">
        <v>0.57999999999999996</v>
      </c>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row>
    <row r="27" spans="1:53" s="228" customFormat="1" x14ac:dyDescent="0.25">
      <c r="A27" s="973" t="s">
        <v>5</v>
      </c>
      <c r="B27" s="976"/>
      <c r="C27" s="977"/>
      <c r="D27" s="975"/>
      <c r="E27" s="215"/>
      <c r="F27" s="973" t="s">
        <v>5</v>
      </c>
      <c r="G27" s="976"/>
      <c r="H27" s="977"/>
      <c r="I27" s="975"/>
      <c r="J27" s="215"/>
      <c r="K27" s="924" t="s">
        <v>468</v>
      </c>
      <c r="L27" s="924">
        <v>0.32</v>
      </c>
      <c r="M27" s="909"/>
      <c r="N27" s="972"/>
      <c r="O27" s="924"/>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row>
    <row r="28" spans="1:53" s="228" customFormat="1" ht="15.75" thickBot="1" x14ac:dyDescent="0.3">
      <c r="A28" s="978" t="s">
        <v>53</v>
      </c>
      <c r="B28" s="979"/>
      <c r="C28" s="710" t="s">
        <v>12</v>
      </c>
      <c r="D28" s="975"/>
      <c r="E28" s="980"/>
      <c r="F28" s="978" t="s">
        <v>53</v>
      </c>
      <c r="G28" s="979"/>
      <c r="H28" s="710" t="s">
        <v>12</v>
      </c>
      <c r="I28" s="975"/>
      <c r="J28" s="215"/>
      <c r="K28" s="924" t="s">
        <v>469</v>
      </c>
      <c r="L28" s="924">
        <v>0.25</v>
      </c>
      <c r="M28" s="909"/>
      <c r="N28" s="972"/>
      <c r="O28" s="924"/>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row>
    <row r="29" spans="1:53" s="228" customFormat="1" x14ac:dyDescent="0.25">
      <c r="A29" s="981"/>
      <c r="B29" s="960" t="e">
        <f ca="1">ROUND(IF(Cabeçalho!$G$28="Unfors",INDIRECT(ADDRESS(B27,1,1,1,"medidas Unfors"),1),INDIRECT(ADDRESS(B27,1,1,1,"medidas Fluke"),1)),1)</f>
        <v>#VALUE!</v>
      </c>
      <c r="C29" s="982" t="s">
        <v>0</v>
      </c>
      <c r="D29" s="975"/>
      <c r="E29" s="215"/>
      <c r="F29" s="981"/>
      <c r="G29" s="960" t="e">
        <f ca="1">ROUND(IF(Cabeçalho!$G$28="Unfors",INDIRECT(ADDRESS(G27,1,1,1,"medidas Unfors"),1),INDIRECT(ADDRESS(G27,1,1,1,"medidas Fluke"),1)),1)</f>
        <v>#VALUE!</v>
      </c>
      <c r="H29" s="982" t="s">
        <v>0</v>
      </c>
      <c r="I29" s="975"/>
      <c r="J29" s="215"/>
      <c r="K29" s="924" t="s">
        <v>1229</v>
      </c>
      <c r="L29" s="924"/>
      <c r="M29" s="909">
        <v>0.06</v>
      </c>
      <c r="N29" s="972" t="s">
        <v>1230</v>
      </c>
      <c r="O29" s="924">
        <v>0.41</v>
      </c>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row>
    <row r="30" spans="1:53" s="228" customFormat="1" x14ac:dyDescent="0.25">
      <c r="A30" s="981"/>
      <c r="B30" s="960" t="e">
        <f ca="1">IF(Cabeçalho!$G$28="Unfors",INDIRECT(ADDRESS(B27,5,1,1,"medidas Unfors"),1),INDIRECT(ADDRESS(B27,5,1,1,"medidas Fluke"),1)/1000)</f>
        <v>#VALUE!</v>
      </c>
      <c r="C30" s="983" t="s">
        <v>2</v>
      </c>
      <c r="D30" s="975"/>
      <c r="E30" s="215"/>
      <c r="F30" s="981"/>
      <c r="G30" s="960" t="e">
        <f ca="1">IF(Cabeçalho!$G$28="Unfors",INDIRECT(ADDRESS(G27,5,1,1,"medidas Unfors"),1),INDIRECT(ADDRESS(G27,5,1,1,"medidas Fluke"),1)/1000)</f>
        <v>#VALUE!</v>
      </c>
      <c r="H30" s="983" t="s">
        <v>2</v>
      </c>
      <c r="I30" s="975"/>
      <c r="J30" s="215"/>
      <c r="K30" s="924" t="s">
        <v>467</v>
      </c>
      <c r="L30" s="924">
        <v>0.3</v>
      </c>
      <c r="M30" s="909">
        <v>0.05</v>
      </c>
      <c r="N30" s="972" t="s">
        <v>1231</v>
      </c>
      <c r="O30" s="924">
        <v>0.38</v>
      </c>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row>
    <row r="31" spans="1:53" s="228" customFormat="1" x14ac:dyDescent="0.25">
      <c r="A31" s="981"/>
      <c r="B31" s="984" t="e">
        <f ca="1">IF(Cabeçalho!$G$28="Unfors",INDIRECT(ADDRESS(B27,7,1,1,"medidas Unfors"),1),INDIRECT(ADDRESS(B27,6,1,1,"medidas Fluke"),1)/1000)</f>
        <v>#VALUE!</v>
      </c>
      <c r="C31" s="982" t="s">
        <v>3</v>
      </c>
      <c r="D31" s="975"/>
      <c r="E31" s="215"/>
      <c r="F31" s="981"/>
      <c r="G31" s="984" t="e">
        <f ca="1">IF(Cabeçalho!$G$28="Unfors",INDIRECT(ADDRESS(G27,7,1,1,"medidas Unfors"),1),INDIRECT(ADDRESS(G27,6,1,1,"medidas Fluke"),1)/1000)</f>
        <v>#VALUE!</v>
      </c>
      <c r="H31" s="982" t="s">
        <v>3</v>
      </c>
      <c r="I31" s="975"/>
      <c r="J31" s="215"/>
      <c r="K31" s="215"/>
      <c r="L31" s="215"/>
      <c r="M31" s="215"/>
      <c r="N31" s="215"/>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c r="AL31" s="215"/>
      <c r="AM31" s="215"/>
      <c r="AN31" s="215"/>
      <c r="AO31" s="215"/>
      <c r="AP31" s="215"/>
      <c r="AQ31" s="215"/>
      <c r="AR31" s="215"/>
      <c r="AS31" s="215"/>
      <c r="AT31" s="215"/>
      <c r="AU31" s="215"/>
      <c r="AV31" s="215"/>
      <c r="AW31" s="215"/>
    </row>
    <row r="32" spans="1:53" s="228" customFormat="1" x14ac:dyDescent="0.25">
      <c r="A32" s="981"/>
      <c r="B32" s="984" t="e">
        <f ca="1">ROUND(IF(Cabeçalho!$G$28="Unfors",INDIRECT(ADDRESS(B27,17,1,1,"medidas Unfors"),1),INDIRECT(ADDRESS(B27,7,1,1,"medidas Fluke"),1)),2)</f>
        <v>#VALUE!</v>
      </c>
      <c r="C32" s="982" t="s">
        <v>8</v>
      </c>
      <c r="D32" s="975"/>
      <c r="E32" s="215"/>
      <c r="F32" s="981"/>
      <c r="G32" s="984" t="e">
        <f ca="1">ROUND(IF(Cabeçalho!$G$28="Unfors",INDIRECT(ADDRESS(G27,17,1,1,"medidas Unfors"),1),INDIRECT(ADDRESS(G27,7,1,1,"medidas Fluke"),1)),2)</f>
        <v>#VALUE!</v>
      </c>
      <c r="H32" s="982" t="s">
        <v>8</v>
      </c>
      <c r="I32" s="975"/>
      <c r="J32" s="215"/>
      <c r="K32" s="215"/>
      <c r="L32" s="215"/>
      <c r="M32" s="215"/>
      <c r="N32" s="215"/>
      <c r="O32" s="215"/>
      <c r="P32" s="215"/>
      <c r="Q32" s="215"/>
      <c r="R32" s="215"/>
      <c r="S32" s="215"/>
      <c r="T32" s="215"/>
      <c r="U32" s="215"/>
      <c r="V32" s="215"/>
      <c r="W32" s="215"/>
      <c r="X32" s="215"/>
      <c r="Y32" s="215"/>
      <c r="Z32" s="215"/>
      <c r="AA32" s="215"/>
      <c r="AB32" s="215"/>
      <c r="AC32" s="215"/>
      <c r="AD32" s="215"/>
      <c r="AE32" s="215"/>
      <c r="AF32" s="215"/>
      <c r="AG32" s="215"/>
      <c r="AH32" s="215"/>
      <c r="AI32" s="215"/>
      <c r="AJ32" s="215"/>
      <c r="AK32" s="215"/>
      <c r="AL32" s="215"/>
      <c r="AM32" s="215"/>
      <c r="AN32" s="215"/>
      <c r="AO32" s="215"/>
      <c r="AP32" s="215"/>
      <c r="AQ32" s="215"/>
      <c r="AR32" s="215"/>
      <c r="AS32" s="215"/>
      <c r="AT32" s="215"/>
      <c r="AU32" s="215"/>
      <c r="AV32" s="215"/>
      <c r="AW32" s="215"/>
    </row>
    <row r="33" spans="1:49" s="228" customFormat="1" x14ac:dyDescent="0.25">
      <c r="A33" s="985" t="s">
        <v>1377</v>
      </c>
      <c r="B33" s="984" t="e">
        <f ca="1">B30</f>
        <v>#VALUE!</v>
      </c>
      <c r="C33" s="986" t="s">
        <v>2</v>
      </c>
      <c r="D33" s="987"/>
      <c r="E33" s="700"/>
      <c r="F33" s="985" t="s">
        <v>1377</v>
      </c>
      <c r="G33" s="984" t="e">
        <f ca="1">G30</f>
        <v>#VALUE!</v>
      </c>
      <c r="H33" s="986" t="s">
        <v>2</v>
      </c>
      <c r="I33" s="987"/>
      <c r="J33" s="215"/>
      <c r="K33" s="704"/>
      <c r="L33" s="215"/>
      <c r="M33" s="215"/>
      <c r="N33" s="215"/>
      <c r="O33" s="215"/>
      <c r="P33" s="215"/>
      <c r="Q33" s="215"/>
      <c r="R33" s="215"/>
      <c r="S33" s="215"/>
      <c r="T33" s="215"/>
      <c r="U33" s="215"/>
      <c r="V33" s="215"/>
      <c r="W33" s="215"/>
      <c r="X33" s="215"/>
      <c r="Y33" s="215"/>
      <c r="Z33" s="215"/>
      <c r="AA33" s="215"/>
      <c r="AB33" s="215"/>
      <c r="AC33" s="215"/>
      <c r="AD33" s="215"/>
      <c r="AE33" s="215"/>
      <c r="AF33" s="215"/>
      <c r="AG33" s="215"/>
      <c r="AH33" s="215"/>
      <c r="AI33" s="215"/>
      <c r="AJ33" s="215"/>
      <c r="AK33" s="215"/>
      <c r="AL33" s="215"/>
      <c r="AM33" s="215"/>
      <c r="AN33" s="215"/>
      <c r="AO33" s="215"/>
      <c r="AP33" s="215"/>
      <c r="AQ33" s="215"/>
      <c r="AR33" s="215"/>
      <c r="AS33" s="215"/>
      <c r="AT33" s="215"/>
      <c r="AU33" s="215"/>
      <c r="AV33" s="215"/>
      <c r="AW33" s="215"/>
    </row>
    <row r="34" spans="1:49" s="228" customFormat="1" x14ac:dyDescent="0.25">
      <c r="A34" s="981"/>
      <c r="B34" s="227"/>
      <c r="C34" s="227"/>
      <c r="D34" s="975"/>
      <c r="E34" s="215"/>
      <c r="F34" s="981"/>
      <c r="G34" s="227"/>
      <c r="H34" s="227"/>
      <c r="I34" s="97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row>
    <row r="35" spans="1:49" s="228" customFormat="1" x14ac:dyDescent="0.25">
      <c r="A35" s="1354" t="str">
        <f>B1</f>
        <v>IN 92</v>
      </c>
      <c r="B35" s="989" t="e">
        <f ca="1">IF(B33&lt;$G$23,"Não","Sim")</f>
        <v>#VALUE!</v>
      </c>
      <c r="C35" s="227"/>
      <c r="D35" s="975" t="str">
        <f ca="1">IFERROR(IF(B35="Não",IF(B33&lt;($G$23*(1-$G$24)),"Baixo","Aceitável"),""),"")</f>
        <v/>
      </c>
      <c r="E35" s="215"/>
      <c r="F35" s="1354" t="str">
        <f>B1</f>
        <v>IN 92</v>
      </c>
      <c r="G35" s="989" t="e">
        <f ca="1">IF(G33&lt;$G$23,"Não","Sim")</f>
        <v>#VALUE!</v>
      </c>
      <c r="H35" s="227"/>
      <c r="I35" s="975" t="str">
        <f ca="1">IFERROR(IF(G35="Não",IF(G33&lt;($G$23*(1-$G$24)),"Baixo","Aceitável"),""),"")</f>
        <v/>
      </c>
      <c r="J35" s="215"/>
      <c r="K35" s="215"/>
      <c r="L35" s="215"/>
      <c r="M35" s="215"/>
      <c r="N35" s="215"/>
      <c r="O35" s="215"/>
      <c r="P35" s="215"/>
      <c r="Q35" s="215"/>
      <c r="R35" s="215"/>
      <c r="S35" s="215"/>
      <c r="T35" s="215"/>
      <c r="U35" s="215"/>
      <c r="V35" s="215"/>
      <c r="W35" s="215"/>
      <c r="X35" s="215"/>
      <c r="Y35" s="215"/>
      <c r="Z35" s="215"/>
      <c r="AA35" s="215"/>
      <c r="AB35" s="215"/>
      <c r="AC35" s="215"/>
      <c r="AD35" s="215"/>
      <c r="AE35" s="215"/>
      <c r="AF35" s="215"/>
      <c r="AG35" s="215"/>
      <c r="AH35" s="215"/>
      <c r="AI35" s="215"/>
      <c r="AJ35" s="215"/>
      <c r="AK35" s="215"/>
      <c r="AL35" s="215"/>
      <c r="AM35" s="215"/>
      <c r="AN35" s="215"/>
      <c r="AO35" s="215"/>
      <c r="AP35" s="215"/>
      <c r="AQ35" s="215"/>
      <c r="AR35" s="215"/>
      <c r="AS35" s="215"/>
      <c r="AT35" s="215"/>
      <c r="AU35" s="215"/>
      <c r="AV35" s="215"/>
      <c r="AW35" s="215"/>
    </row>
    <row r="36" spans="1:49" s="228" customFormat="1" x14ac:dyDescent="0.25">
      <c r="A36" s="988" t="s">
        <v>378</v>
      </c>
      <c r="B36" s="989" t="e">
        <f ca="1">IF(B32&lt;=B29/100,"Restrição",IF(OR(B32&lt;B40,B32&gt;B41),"Não","Sim"))</f>
        <v>#VALUE!</v>
      </c>
      <c r="C36" s="227" t="str">
        <f ca="1">IFERROR(IF(B32&lt;=B29/100,"&lt;",IF(B32&lt;B40,"&lt;",IF(B32&gt;B41,"&gt;",""))),"")</f>
        <v/>
      </c>
      <c r="D36" s="975" t="str">
        <f ca="1">IF(D35="","",IF(B36&lt;&gt;"Sim",IF(D35&lt;&gt;"Aceitável",IF(B36&gt;(1+$G$24)*B41,"Alta",IF(B36&lt;(1-$G$24)*B40,"Baixa","")),""),""))</f>
        <v/>
      </c>
      <c r="E36" s="215"/>
      <c r="F36" s="988" t="s">
        <v>378</v>
      </c>
      <c r="G36" s="989" t="e">
        <f ca="1">IF(G32&lt;=G29/100,"Restrição",IF(OR(G32&lt;G40,G32&gt;G41),"Não","Sim"))</f>
        <v>#VALUE!</v>
      </c>
      <c r="H36" s="227" t="str">
        <f ca="1">IFERROR(IF(G32&lt;=G29/100,"&lt;",IF(G32&lt;G40,"&lt;",IF(G32&gt;G41,"&gt;",""))),"")</f>
        <v/>
      </c>
      <c r="I36" s="975" t="str">
        <f ca="1">IF(I35="","",IF(G36&lt;&gt;"Sim",IF(I35&lt;&gt;"Aceitável",IF(G36&gt;(1+$G$24)*G41,"Alta",IF(G36&lt;(1-$G$24)*G40,"Baixa","")),""),""))</f>
        <v/>
      </c>
      <c r="J36" s="215"/>
      <c r="K36" s="225" t="str">
        <f ca="1">IF(ISERR(G36),C36,IF(C36=H36,C36,"&lt;&gt;"))</f>
        <v/>
      </c>
      <c r="L36" s="215"/>
      <c r="M36" s="215"/>
      <c r="N36" s="215"/>
      <c r="O36" s="215"/>
      <c r="P36" s="215"/>
      <c r="Q36" s="215"/>
      <c r="R36" s="215"/>
      <c r="S36" s="215"/>
      <c r="T36" s="215"/>
      <c r="U36" s="215"/>
      <c r="V36" s="215"/>
      <c r="W36" s="215"/>
      <c r="X36" s="215"/>
      <c r="Y36" s="215"/>
      <c r="Z36" s="215"/>
      <c r="AA36" s="215"/>
      <c r="AB36" s="215"/>
      <c r="AC36" s="215"/>
      <c r="AD36" s="215"/>
      <c r="AE36" s="215"/>
      <c r="AF36" s="215"/>
      <c r="AG36" s="215"/>
      <c r="AH36" s="215"/>
      <c r="AI36" s="215"/>
      <c r="AJ36" s="215"/>
      <c r="AK36" s="215"/>
      <c r="AL36" s="215"/>
      <c r="AM36" s="215"/>
      <c r="AN36" s="215"/>
      <c r="AO36" s="215"/>
      <c r="AP36" s="215"/>
      <c r="AQ36" s="215"/>
      <c r="AR36" s="215"/>
      <c r="AS36" s="215"/>
      <c r="AT36" s="215"/>
      <c r="AU36" s="215"/>
      <c r="AV36" s="215"/>
      <c r="AW36" s="215"/>
    </row>
    <row r="37" spans="1:49" s="228" customFormat="1" x14ac:dyDescent="0.25">
      <c r="A37" s="990"/>
      <c r="B37" s="960"/>
      <c r="C37" s="945"/>
      <c r="D37" s="987"/>
      <c r="E37" s="215"/>
      <c r="F37" s="990"/>
      <c r="G37" s="960"/>
      <c r="H37" s="945"/>
      <c r="I37" s="987"/>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row>
    <row r="38" spans="1:49" s="228" customFormat="1" ht="15.75" thickBot="1" x14ac:dyDescent="0.3">
      <c r="A38" s="991" t="s">
        <v>27</v>
      </c>
      <c r="B38" s="992" t="e">
        <f ca="1">B26*B33/$G$23</f>
        <v>#VALUE!</v>
      </c>
      <c r="C38" s="993" t="str">
        <f>C26</f>
        <v>mAs</v>
      </c>
      <c r="D38" s="994" t="str">
        <f ca="1">IFERROR(IF(D35&lt;&gt;"Aceitável",IF(B38&gt;B27*(1+$G$24),"Maior",IF(B38&lt;B27*(1-$G$24),"Menor","Aceitável")),""),"")</f>
        <v/>
      </c>
      <c r="E38" s="215"/>
      <c r="F38" s="991" t="s">
        <v>27</v>
      </c>
      <c r="G38" s="992" t="e">
        <f ca="1">G26*G33/$G$23</f>
        <v>#VALUE!</v>
      </c>
      <c r="H38" s="993" t="str">
        <f>H26</f>
        <v>mAs</v>
      </c>
      <c r="I38" s="994" t="str">
        <f ca="1">IFERROR(IF(I35&lt;&gt;"Aceitável",IF(G38&gt;G27*(1+$G$24),"Maior",IF(G38&lt;G27*(1-$G$24),"Menor","Aceitável")),""),"")</f>
        <v/>
      </c>
      <c r="J38" s="215"/>
      <c r="K38" s="215"/>
      <c r="L38" s="215"/>
      <c r="M38" s="215"/>
      <c r="N38" s="215"/>
      <c r="O38" s="215"/>
      <c r="P38" s="215"/>
      <c r="Q38" s="215"/>
      <c r="R38" s="215"/>
      <c r="S38" s="215"/>
      <c r="T38" s="215"/>
      <c r="U38" s="215"/>
      <c r="V38" s="215"/>
      <c r="W38" s="215"/>
      <c r="X38" s="215"/>
      <c r="Y38" s="215"/>
      <c r="Z38" s="215"/>
      <c r="AA38" s="215"/>
      <c r="AB38" s="215"/>
      <c r="AC38" s="215"/>
      <c r="AD38" s="215"/>
      <c r="AE38" s="215"/>
      <c r="AF38" s="215"/>
      <c r="AG38" s="215"/>
      <c r="AH38" s="215"/>
      <c r="AI38" s="215"/>
      <c r="AJ38" s="215"/>
      <c r="AK38" s="215"/>
      <c r="AL38" s="215"/>
      <c r="AM38" s="215"/>
      <c r="AN38" s="215"/>
      <c r="AO38" s="215"/>
      <c r="AP38" s="215"/>
      <c r="AQ38" s="215"/>
      <c r="AR38" s="215"/>
      <c r="AS38" s="215"/>
      <c r="AT38" s="215"/>
      <c r="AU38" s="215"/>
      <c r="AV38" s="215"/>
      <c r="AW38" s="215"/>
    </row>
    <row r="39" spans="1:49" s="228" customFormat="1" x14ac:dyDescent="0.25">
      <c r="A39" s="215"/>
      <c r="B39" s="215"/>
      <c r="C39" s="215"/>
      <c r="D39" s="215"/>
      <c r="E39" s="215"/>
      <c r="F39" s="215"/>
      <c r="G39" s="215"/>
      <c r="H39" s="215"/>
      <c r="I39" s="215"/>
      <c r="J39" s="215"/>
      <c r="K39" s="215"/>
      <c r="L39" s="215"/>
      <c r="M39" s="215"/>
      <c r="N39" s="215"/>
      <c r="O39" s="215"/>
      <c r="P39" s="215"/>
      <c r="Q39" s="215"/>
      <c r="R39" s="215"/>
      <c r="S39" s="215"/>
      <c r="T39" s="215"/>
      <c r="U39" s="215"/>
      <c r="V39" s="215"/>
      <c r="W39" s="215"/>
      <c r="X39" s="215"/>
      <c r="Y39" s="215"/>
      <c r="Z39" s="215"/>
      <c r="AA39" s="215"/>
      <c r="AB39" s="215"/>
      <c r="AC39" s="215"/>
      <c r="AD39" s="215"/>
      <c r="AE39" s="215"/>
      <c r="AF39" s="215"/>
      <c r="AG39" s="215"/>
      <c r="AH39" s="215"/>
      <c r="AI39" s="215"/>
      <c r="AJ39" s="215"/>
      <c r="AK39" s="215"/>
      <c r="AL39" s="215"/>
      <c r="AM39" s="215"/>
      <c r="AN39" s="215"/>
      <c r="AO39" s="215"/>
      <c r="AP39" s="215"/>
      <c r="AQ39" s="215"/>
      <c r="AR39" s="215"/>
      <c r="AS39" s="215"/>
      <c r="AT39" s="215"/>
      <c r="AU39" s="215"/>
      <c r="AV39" s="215"/>
      <c r="AW39" s="215"/>
    </row>
    <row r="40" spans="1:49" s="228" customFormat="1" x14ac:dyDescent="0.25">
      <c r="A40" s="705" t="s">
        <v>471</v>
      </c>
      <c r="B40" s="995" t="e">
        <f ca="1">ROUND(B29/100+0.03,2)</f>
        <v>#VALUE!</v>
      </c>
      <c r="C40" s="215" t="s">
        <v>8</v>
      </c>
      <c r="D40" s="215"/>
      <c r="E40" s="215"/>
      <c r="F40" s="705" t="s">
        <v>471</v>
      </c>
      <c r="G40" s="995" t="e">
        <f ca="1">ROUND(G29/100+0.03,2)</f>
        <v>#VALUE!</v>
      </c>
      <c r="H40" s="215" t="s">
        <v>8</v>
      </c>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row>
    <row r="41" spans="1:49" s="228" customFormat="1" x14ac:dyDescent="0.25">
      <c r="A41" s="705" t="s">
        <v>472</v>
      </c>
      <c r="B41" s="995" t="e">
        <f ca="1">ROUND(B29/100+VLOOKUP($B$23,$K$24:$L$30,2,FALSE),2)</f>
        <v>#VALUE!</v>
      </c>
      <c r="C41" s="215" t="s">
        <v>8</v>
      </c>
      <c r="D41" s="215"/>
      <c r="E41" s="215"/>
      <c r="F41" s="705" t="s">
        <v>472</v>
      </c>
      <c r="G41" s="995" t="e">
        <f ca="1">ROUND(G29/100+VLOOKUP($B$23,$K$24:$L$30,2,FALSE),2)</f>
        <v>#VALUE!</v>
      </c>
      <c r="H41" s="215" t="s">
        <v>8</v>
      </c>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row>
    <row r="42" spans="1:49" s="228" customFormat="1" x14ac:dyDescent="0.25">
      <c r="A42" s="215"/>
      <c r="B42" s="215"/>
      <c r="C42" s="215"/>
      <c r="D42" s="215"/>
      <c r="E42" s="215"/>
      <c r="F42" s="215"/>
      <c r="G42" s="215"/>
      <c r="H42" s="215"/>
      <c r="I42" s="215"/>
      <c r="J42" s="215"/>
      <c r="K42" s="215"/>
      <c r="L42" s="215"/>
      <c r="M42" s="215"/>
      <c r="N42" s="215"/>
      <c r="O42" s="215"/>
      <c r="P42" s="215"/>
      <c r="Q42" s="215"/>
      <c r="R42" s="215"/>
      <c r="S42" s="215"/>
      <c r="T42" s="215"/>
      <c r="U42" s="215"/>
      <c r="V42" s="215"/>
      <c r="W42" s="215"/>
      <c r="X42" s="215"/>
      <c r="Y42" s="215"/>
      <c r="Z42" s="215"/>
      <c r="AA42" s="215"/>
      <c r="AB42" s="215"/>
      <c r="AC42" s="215"/>
      <c r="AD42" s="215"/>
      <c r="AE42" s="215"/>
      <c r="AF42" s="215"/>
      <c r="AG42" s="215"/>
      <c r="AH42" s="215"/>
      <c r="AI42" s="215"/>
      <c r="AJ42" s="215"/>
      <c r="AK42" s="215"/>
      <c r="AL42" s="215"/>
      <c r="AM42" s="215"/>
      <c r="AN42" s="215"/>
      <c r="AO42" s="215"/>
      <c r="AP42" s="215"/>
      <c r="AQ42" s="215"/>
      <c r="AR42" s="215"/>
      <c r="AS42" s="215"/>
      <c r="AT42" s="215"/>
      <c r="AU42" s="215"/>
      <c r="AV42" s="215"/>
      <c r="AW42" s="215"/>
    </row>
    <row r="43" spans="1:49" s="228" customFormat="1" ht="15.75" thickBot="1" x14ac:dyDescent="0.3">
      <c r="A43" s="215"/>
      <c r="B43" s="215"/>
      <c r="C43" s="215"/>
      <c r="D43" s="215"/>
      <c r="E43" s="215"/>
      <c r="F43" s="215"/>
      <c r="G43" s="215"/>
      <c r="H43" s="215"/>
      <c r="I43" s="215"/>
      <c r="J43" s="215"/>
      <c r="K43" s="215"/>
      <c r="L43" s="215"/>
      <c r="M43" s="215"/>
      <c r="N43" s="215"/>
      <c r="O43" s="215"/>
      <c r="P43" s="215"/>
      <c r="Q43" s="215"/>
      <c r="R43" s="215"/>
      <c r="S43" s="215"/>
      <c r="T43" s="215"/>
      <c r="U43" s="215"/>
      <c r="V43" s="215"/>
      <c r="W43" s="215"/>
      <c r="X43" s="215"/>
      <c r="Y43" s="215"/>
      <c r="Z43" s="215"/>
      <c r="AA43" s="215"/>
      <c r="AB43" s="215"/>
      <c r="AC43" s="215"/>
      <c r="AD43" s="215"/>
      <c r="AE43" s="215"/>
      <c r="AF43" s="215"/>
      <c r="AG43" s="215"/>
      <c r="AH43" s="215"/>
      <c r="AI43" s="215"/>
      <c r="AJ43" s="215"/>
      <c r="AK43" s="215"/>
      <c r="AL43" s="215"/>
      <c r="AM43" s="215"/>
      <c r="AN43" s="215"/>
      <c r="AO43" s="215"/>
      <c r="AP43" s="215"/>
      <c r="AQ43" s="215"/>
      <c r="AR43" s="215"/>
      <c r="AS43" s="215"/>
      <c r="AT43" s="215"/>
      <c r="AU43" s="215"/>
      <c r="AV43" s="215"/>
      <c r="AW43" s="215"/>
    </row>
    <row r="44" spans="1:49" s="228" customFormat="1" ht="15.75" thickBot="1" x14ac:dyDescent="0.3">
      <c r="A44" s="2687" t="s">
        <v>4</v>
      </c>
      <c r="B44" s="2688"/>
      <c r="C44" s="2688"/>
      <c r="D44" s="2688"/>
      <c r="E44" s="2688"/>
      <c r="F44" s="2688"/>
      <c r="G44" s="2688"/>
      <c r="H44" s="2688"/>
      <c r="I44" s="2688"/>
      <c r="J44" s="2688"/>
      <c r="K44" s="2688"/>
      <c r="L44" s="2688"/>
      <c r="M44" s="2689"/>
      <c r="N44" s="215"/>
      <c r="O44" s="215"/>
      <c r="P44" s="215"/>
      <c r="Q44" s="215"/>
      <c r="R44" s="215"/>
      <c r="S44" s="215"/>
      <c r="T44" s="215"/>
      <c r="U44" s="215"/>
      <c r="V44" s="215"/>
      <c r="W44" s="215"/>
      <c r="X44" s="215"/>
      <c r="Y44" s="215"/>
      <c r="Z44" s="215"/>
      <c r="AA44" s="215"/>
      <c r="AB44" s="215"/>
      <c r="AC44" s="215"/>
      <c r="AD44" s="215"/>
      <c r="AE44" s="215"/>
      <c r="AF44" s="215"/>
      <c r="AG44" s="215"/>
      <c r="AH44" s="215"/>
      <c r="AI44" s="215"/>
      <c r="AJ44" s="215"/>
      <c r="AK44" s="215"/>
      <c r="AL44" s="215"/>
      <c r="AM44" s="215"/>
      <c r="AN44" s="215"/>
      <c r="AO44" s="215"/>
      <c r="AP44" s="215"/>
      <c r="AQ44" s="215"/>
      <c r="AR44" s="215"/>
      <c r="AS44" s="215"/>
      <c r="AT44" s="215"/>
      <c r="AU44" s="215"/>
      <c r="AV44" s="215"/>
      <c r="AW44" s="215"/>
    </row>
    <row r="45" spans="1:49" s="228" customFormat="1" ht="15.75" thickBot="1" x14ac:dyDescent="0.3">
      <c r="A45" s="2703" t="s">
        <v>283</v>
      </c>
      <c r="B45" s="2703"/>
      <c r="C45" s="2703"/>
      <c r="D45" s="2703"/>
      <c r="E45" s="2703"/>
      <c r="F45" s="2703"/>
      <c r="G45" s="2703"/>
      <c r="H45" s="2703"/>
      <c r="I45" s="1353" t="str">
        <f>B1</f>
        <v>IN 92</v>
      </c>
      <c r="K45" s="1105" t="s">
        <v>284</v>
      </c>
      <c r="L45" s="1105"/>
      <c r="M45" s="1105"/>
      <c r="N45" s="1105"/>
      <c r="O45" s="1105"/>
      <c r="P45" s="1105"/>
      <c r="Q45" s="1105"/>
      <c r="R45" s="1105"/>
      <c r="S45" s="224" t="s">
        <v>1379</v>
      </c>
      <c r="T45" s="215"/>
      <c r="U45" s="215"/>
      <c r="V45" s="215"/>
      <c r="W45" s="215"/>
      <c r="X45" s="215"/>
      <c r="Y45" s="215"/>
      <c r="Z45" s="215"/>
      <c r="AA45" s="215"/>
      <c r="AB45" s="215"/>
      <c r="AC45" s="215"/>
      <c r="AD45" s="215"/>
      <c r="AE45" s="215"/>
      <c r="AF45" s="215"/>
      <c r="AG45" s="215"/>
      <c r="AH45" s="215"/>
      <c r="AI45" s="215"/>
      <c r="AJ45" s="215"/>
      <c r="AK45" s="215"/>
      <c r="AL45" s="215"/>
      <c r="AM45" s="215"/>
      <c r="AN45" s="215"/>
      <c r="AO45" s="215"/>
      <c r="AP45" s="215"/>
      <c r="AQ45" s="215"/>
      <c r="AR45" s="215"/>
      <c r="AS45" s="215"/>
      <c r="AT45" s="215"/>
      <c r="AU45" s="215"/>
      <c r="AV45" s="215"/>
      <c r="AW45" s="215"/>
    </row>
    <row r="46" spans="1:49" s="228" customFormat="1" ht="15.75" thickBot="1" x14ac:dyDescent="0.3">
      <c r="A46" s="996" t="str">
        <f>IF(F6="mAs","mAs selecionado","t selecionado")</f>
        <v>mAs selecionado</v>
      </c>
      <c r="B46" s="224" t="s">
        <v>5</v>
      </c>
      <c r="C46" s="225" t="s">
        <v>3</v>
      </c>
      <c r="D46" s="224" t="s">
        <v>22</v>
      </c>
      <c r="E46" s="215"/>
      <c r="F46" s="225" t="s">
        <v>0</v>
      </c>
      <c r="G46" s="225" t="s">
        <v>2</v>
      </c>
      <c r="H46" s="225" t="s">
        <v>51</v>
      </c>
      <c r="I46" s="225" t="s">
        <v>1378</v>
      </c>
      <c r="K46" s="224" t="str">
        <f>A46</f>
        <v>mAs selecionado</v>
      </c>
      <c r="L46" s="224" t="s">
        <v>5</v>
      </c>
      <c r="M46" s="225" t="s">
        <v>3</v>
      </c>
      <c r="N46" s="224" t="s">
        <v>22</v>
      </c>
      <c r="O46" s="215"/>
      <c r="P46" s="225" t="s">
        <v>0</v>
      </c>
      <c r="Q46" s="225" t="s">
        <v>2</v>
      </c>
      <c r="R46" s="225" t="s">
        <v>51</v>
      </c>
      <c r="S46" s="225" t="s">
        <v>1378</v>
      </c>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row>
    <row r="47" spans="1:49" s="228" customFormat="1" ht="15.75" thickBot="1" x14ac:dyDescent="0.3">
      <c r="A47" s="997"/>
      <c r="B47" s="998"/>
      <c r="C47" s="999" t="str">
        <f ca="1">IFERROR(IF(Cabeçalho!$G$28="Unfors",INDIRECT(ADDRESS(B47,7,1,1,"medidas Unfors"),1),INDIRECT(ADDRESS(B47,6,1,1,"medidas Fluke"),1)/1000),"")</f>
        <v/>
      </c>
      <c r="D47" s="1000" t="str">
        <f ca="1">IFERROR(CONCATENATE(ROUND((C47/A47-1)*100,1)," %"),"")</f>
        <v/>
      </c>
      <c r="E47" s="215" t="str">
        <f ca="1">IFERROR(IF(ROUND((C47/A47-1)*100,1)&gt;10,"Ruim",""),"")</f>
        <v/>
      </c>
      <c r="F47" s="980" t="str">
        <f ca="1">IFERROR(IF(Cabeçalho!$G$28="Unfors",INDIRECT(ADDRESS(B47,1,1,1,"medidas Unfors"),1),INDIRECT(ADDRESS(B47,1,1,1,"medidas Fluke"),1)),"")</f>
        <v/>
      </c>
      <c r="G47" s="226" t="str">
        <f ca="1">IFERROR(IF(Cabeçalho!$G$28="Unfors",INDIRECT(ADDRESS(B47,5,1,1,"medidas Unfors"),1),INDIRECT(ADDRESS(B47,5,1,1,"medidas Fluke"),1)/1000),"")</f>
        <v/>
      </c>
      <c r="H47" s="226" t="str">
        <f ca="1">IFERROR(IF(Cabeçalho!$G$28="Unfors",(INDIRECT(ADDRESS(B47,3,1,1,"medidas Unfors"),1))/A47,(INDIRECT(ADDRESS(B47,4,1,1,"medidas Fluke"),1))/A47/1000),"")</f>
        <v/>
      </c>
      <c r="I47" s="225" t="str">
        <f ca="1">IF(G47&lt;$G$23,"Não","Sim")</f>
        <v>Sim</v>
      </c>
      <c r="K47" s="997"/>
      <c r="L47" s="998"/>
      <c r="M47" s="999" t="str">
        <f ca="1">IFERROR(IF(Cabeçalho!$G$28="Unfors",INDIRECT(ADDRESS(L47,7,1,1,"medidas Unfors"),1),INDIRECT(ADDRESS(L47,6,1,1,"medidas Fluke"),1)/1000),"")</f>
        <v/>
      </c>
      <c r="N47" s="1000" t="str">
        <f ca="1">IFERROR(CONCATENATE(ROUND((M47/K47-1)*100,1)," %"),"")</f>
        <v/>
      </c>
      <c r="O47" s="215"/>
      <c r="P47" s="980" t="str">
        <f ca="1">IFERROR(IF(Cabeçalho!$G$28="Unfors",INDIRECT(ADDRESS(L47,1,1,1,"medidas Unfors"),1),INDIRECT(ADDRESS(L47,1,1,1,"medidas Fluke"),1)),"")</f>
        <v/>
      </c>
      <c r="Q47" s="226" t="str">
        <f ca="1">IFERROR(IF(Cabeçalho!$G$28="Unfors",INDIRECT(ADDRESS(L47,5,1,1,"medidas Unfors"),1),INDIRECT(ADDRESS(L47,5,1,1,"medidas Fluke"),1)/1000),"")</f>
        <v/>
      </c>
      <c r="R47" s="226" t="str">
        <f ca="1">IFERROR(IF(Cabeçalho!$G$28="Unfors",(INDIRECT(ADDRESS(L47,3,1,1,"medidas Unfors"),1))/K47,(INDIRECT(ADDRESS(L47,4,1,1,"medidas Fluke"),1))/K47/1000),"")</f>
        <v/>
      </c>
      <c r="S47" s="225" t="str">
        <f ca="1">IF(Q47&lt;$G$23,"Não","Sim")</f>
        <v>Sim</v>
      </c>
      <c r="T47" s="215"/>
      <c r="U47" s="215"/>
      <c r="V47" s="215"/>
      <c r="W47" s="215"/>
      <c r="X47" s="215"/>
      <c r="Y47" s="215"/>
      <c r="Z47" s="215"/>
      <c r="AA47" s="215"/>
      <c r="AB47" s="215"/>
      <c r="AC47" s="215"/>
      <c r="AD47" s="215"/>
      <c r="AE47" s="215"/>
      <c r="AF47" s="215"/>
      <c r="AG47" s="215"/>
      <c r="AH47" s="215"/>
      <c r="AI47" s="215"/>
      <c r="AJ47" s="215"/>
      <c r="AK47" s="215"/>
      <c r="AL47" s="215"/>
      <c r="AM47" s="215"/>
      <c r="AN47" s="215"/>
      <c r="AO47" s="215"/>
      <c r="AP47" s="215"/>
      <c r="AQ47" s="215"/>
      <c r="AR47" s="215"/>
      <c r="AS47" s="215"/>
      <c r="AT47" s="215"/>
      <c r="AU47" s="215"/>
      <c r="AV47" s="215"/>
      <c r="AW47" s="215"/>
    </row>
    <row r="48" spans="1:49" s="228" customFormat="1" ht="15.75" thickBot="1" x14ac:dyDescent="0.3">
      <c r="A48" s="854"/>
      <c r="B48" s="963"/>
      <c r="C48" s="999" t="str">
        <f ca="1">IFERROR(IF(Cabeçalho!$G$28="Unfors",INDIRECT(ADDRESS(B48,7,1,1,"medidas Unfors"),1),INDIRECT(ADDRESS(B48,6,1,1,"medidas Fluke"),1)/1000),"")</f>
        <v/>
      </c>
      <c r="D48" s="1000" t="str">
        <f t="shared" ref="D48:D53" ca="1" si="2">IFERROR(CONCATENATE(ROUND((C48/A48-1)*100,1)," %"),"")</f>
        <v/>
      </c>
      <c r="E48" s="215" t="str">
        <f t="shared" ref="E48:E53" ca="1" si="3">IFERROR(IF(ROUND((C48/A48-1)*100,1)&gt;10,"Ruim",""),"")</f>
        <v/>
      </c>
      <c r="F48" s="980" t="str">
        <f ca="1">IFERROR(IF(Cabeçalho!$G$28="Unfors",INDIRECT(ADDRESS(B48,1,1,1,"medidas Unfors"),1),INDIRECT(ADDRESS(B48,1,1,1,"medidas Fluke"),1)),"")</f>
        <v/>
      </c>
      <c r="G48" s="226" t="str">
        <f ca="1">IFERROR(IF(Cabeçalho!$G$28="Unfors",INDIRECT(ADDRESS(B48,5,1,1,"medidas Unfors"),1),INDIRECT(ADDRESS(B48,5,1,1,"medidas Fluke"),1)/1000),"")</f>
        <v/>
      </c>
      <c r="H48" s="226" t="str">
        <f ca="1">IFERROR(IF(Cabeçalho!$G$28="Unfors",(INDIRECT(ADDRESS(B48,3,1,1,"medidas Unfors"),1))/A48,(INDIRECT(ADDRESS(B48,4,1,1,"medidas Fluke"),1))/A48/1000),"")</f>
        <v/>
      </c>
      <c r="I48" s="225" t="str">
        <f t="shared" ref="I48:I53" ca="1" si="4">IF(G48&lt;$G$23,"Não","Sim")</f>
        <v>Sim</v>
      </c>
      <c r="K48" s="854"/>
      <c r="L48" s="963"/>
      <c r="M48" s="999" t="str">
        <f ca="1">IFERROR(IF(Cabeçalho!$G$28="Unfors",INDIRECT(ADDRESS(L48,7,1,1,"medidas Unfors"),1),INDIRECT(ADDRESS(L48,6,1,1,"medidas Fluke"),1)/1000),"")</f>
        <v/>
      </c>
      <c r="N48" s="1000" t="str">
        <f t="shared" ref="N48:N53" ca="1" si="5">IFERROR(CONCATENATE(ROUND((M48/K48-1)*100,1)," %"),"")</f>
        <v/>
      </c>
      <c r="O48" s="215"/>
      <c r="P48" s="980" t="str">
        <f ca="1">IFERROR(IF(Cabeçalho!$G$28="Unfors",INDIRECT(ADDRESS(L48,1,1,1,"medidas Unfors"),1),INDIRECT(ADDRESS(L48,1,1,1,"medidas Fluke"),1)),"")</f>
        <v/>
      </c>
      <c r="Q48" s="226" t="str">
        <f ca="1">IFERROR(IF(Cabeçalho!$G$28="Unfors",INDIRECT(ADDRESS(L48,5,1,1,"medidas Unfors"),1),INDIRECT(ADDRESS(L48,5,1,1,"medidas Fluke"),1)/1000),"")</f>
        <v/>
      </c>
      <c r="R48" s="226" t="str">
        <f ca="1">IFERROR(IF(Cabeçalho!$G$28="Unfors",(INDIRECT(ADDRESS(L48,3,1,1,"medidas Unfors"),1))/K48,(INDIRECT(ADDRESS(L48,4,1,1,"medidas Fluke"),1))/K48/1000),"")</f>
        <v/>
      </c>
      <c r="S48" s="225" t="str">
        <f t="shared" ref="S48:S53" ca="1" si="6">IF(Q48&lt;$G$23,"Não","Sim")</f>
        <v>Sim</v>
      </c>
      <c r="T48" s="215"/>
      <c r="U48" s="215"/>
      <c r="V48" s="215"/>
      <c r="W48" s="215"/>
      <c r="X48" s="215"/>
      <c r="Y48" s="215"/>
      <c r="Z48" s="215"/>
      <c r="AA48" s="215"/>
      <c r="AB48" s="215"/>
      <c r="AC48" s="215"/>
      <c r="AD48" s="215"/>
      <c r="AE48" s="215"/>
      <c r="AF48" s="215"/>
      <c r="AG48" s="215"/>
      <c r="AH48" s="215"/>
      <c r="AI48" s="215"/>
      <c r="AJ48" s="215"/>
      <c r="AK48" s="215"/>
      <c r="AL48" s="215"/>
      <c r="AM48" s="215"/>
      <c r="AN48" s="215"/>
      <c r="AO48" s="215"/>
      <c r="AP48" s="215"/>
      <c r="AQ48" s="215"/>
      <c r="AR48" s="215"/>
      <c r="AS48" s="215"/>
      <c r="AT48" s="215"/>
      <c r="AU48" s="215"/>
      <c r="AV48" s="215"/>
      <c r="AW48" s="215"/>
    </row>
    <row r="49" spans="1:49" s="228" customFormat="1" ht="15.75" thickBot="1" x14ac:dyDescent="0.3">
      <c r="A49" s="854"/>
      <c r="B49" s="963"/>
      <c r="C49" s="999" t="str">
        <f ca="1">IFERROR(IF(Cabeçalho!$G$28="Unfors",INDIRECT(ADDRESS(B49,7,1,1,"medidas Unfors"),1),INDIRECT(ADDRESS(B49,6,1,1,"medidas Fluke"),1)/1000),"")</f>
        <v/>
      </c>
      <c r="D49" s="1000" t="str">
        <f t="shared" ca="1" si="2"/>
        <v/>
      </c>
      <c r="E49" s="215" t="str">
        <f t="shared" ca="1" si="3"/>
        <v/>
      </c>
      <c r="F49" s="980" t="str">
        <f ca="1">IFERROR(IF(Cabeçalho!$G$28="Unfors",INDIRECT(ADDRESS(B49,1,1,1,"medidas Unfors"),1),INDIRECT(ADDRESS(B49,1,1,1,"medidas Fluke"),1)),"")</f>
        <v/>
      </c>
      <c r="G49" s="226" t="str">
        <f ca="1">IFERROR(IF(Cabeçalho!$G$28="Unfors",INDIRECT(ADDRESS(B49,5,1,1,"medidas Unfors"),1),INDIRECT(ADDRESS(B49,5,1,1,"medidas Fluke"),1)/1000),"")</f>
        <v/>
      </c>
      <c r="H49" s="226" t="str">
        <f ca="1">IFERROR(IF(Cabeçalho!$G$28="Unfors",(INDIRECT(ADDRESS(B49,3,1,1,"medidas Unfors"),1))/A49,(INDIRECT(ADDRESS(B49,4,1,1,"medidas Fluke"),1))/A49/1000),"")</f>
        <v/>
      </c>
      <c r="I49" s="225" t="str">
        <f t="shared" ca="1" si="4"/>
        <v>Sim</v>
      </c>
      <c r="K49" s="854"/>
      <c r="L49" s="963"/>
      <c r="M49" s="999" t="str">
        <f ca="1">IFERROR(IF(Cabeçalho!$G$28="Unfors",INDIRECT(ADDRESS(L49,7,1,1,"medidas Unfors"),1),INDIRECT(ADDRESS(L49,6,1,1,"medidas Fluke"),1)/1000),"")</f>
        <v/>
      </c>
      <c r="N49" s="1000" t="str">
        <f t="shared" ca="1" si="5"/>
        <v/>
      </c>
      <c r="O49" s="215"/>
      <c r="P49" s="980" t="str">
        <f ca="1">IFERROR(IF(Cabeçalho!$G$28="Unfors",INDIRECT(ADDRESS(L49,1,1,1,"medidas Unfors"),1),INDIRECT(ADDRESS(L49,1,1,1,"medidas Fluke"),1)),"")</f>
        <v/>
      </c>
      <c r="Q49" s="226" t="str">
        <f ca="1">IFERROR(IF(Cabeçalho!$G$28="Unfors",INDIRECT(ADDRESS(L49,5,1,1,"medidas Unfors"),1),INDIRECT(ADDRESS(L49,5,1,1,"medidas Fluke"),1)/1000),"")</f>
        <v/>
      </c>
      <c r="R49" s="226" t="str">
        <f ca="1">IFERROR(IF(Cabeçalho!$G$28="Unfors",(INDIRECT(ADDRESS(L49,3,1,1,"medidas Unfors"),1))/K49,(INDIRECT(ADDRESS(L49,4,1,1,"medidas Fluke"),1))/K49/1000),"")</f>
        <v/>
      </c>
      <c r="S49" s="225" t="str">
        <f t="shared" ca="1" si="6"/>
        <v>Sim</v>
      </c>
      <c r="T49" s="215"/>
      <c r="U49" s="215"/>
      <c r="V49" s="215"/>
      <c r="W49" s="215"/>
      <c r="X49" s="215"/>
      <c r="Y49" s="215"/>
      <c r="Z49" s="215"/>
      <c r="AA49" s="215"/>
      <c r="AB49" s="215"/>
      <c r="AC49" s="215"/>
      <c r="AD49" s="215"/>
      <c r="AE49" s="215"/>
      <c r="AF49" s="215"/>
      <c r="AG49" s="215"/>
      <c r="AH49" s="215"/>
      <c r="AI49" s="215"/>
      <c r="AJ49" s="215"/>
      <c r="AK49" s="215"/>
      <c r="AL49" s="215"/>
      <c r="AM49" s="215"/>
      <c r="AN49" s="215"/>
      <c r="AO49" s="215"/>
      <c r="AP49" s="215"/>
      <c r="AQ49" s="215"/>
      <c r="AR49" s="215"/>
      <c r="AS49" s="215"/>
      <c r="AT49" s="215"/>
      <c r="AU49" s="215"/>
      <c r="AV49" s="215"/>
      <c r="AW49" s="215"/>
    </row>
    <row r="50" spans="1:49" s="228" customFormat="1" ht="15.75" thickBot="1" x14ac:dyDescent="0.3">
      <c r="A50" s="854"/>
      <c r="B50" s="963"/>
      <c r="C50" s="999" t="str">
        <f ca="1">IFERROR(IF(Cabeçalho!$G$28="Unfors",INDIRECT(ADDRESS(B50,7,1,1,"medidas Unfors"),1),INDIRECT(ADDRESS(B50,6,1,1,"medidas Fluke"),1)/1000),"")</f>
        <v/>
      </c>
      <c r="D50" s="1000" t="str">
        <f t="shared" ca="1" si="2"/>
        <v/>
      </c>
      <c r="E50" s="215" t="str">
        <f t="shared" ca="1" si="3"/>
        <v/>
      </c>
      <c r="F50" s="980" t="str">
        <f ca="1">IFERROR(IF(Cabeçalho!$G$28="Unfors",INDIRECT(ADDRESS(B50,1,1,1,"medidas Unfors"),1),INDIRECT(ADDRESS(B50,1,1,1,"medidas Fluke"),1)),"")</f>
        <v/>
      </c>
      <c r="G50" s="226" t="str">
        <f ca="1">IFERROR(IF(Cabeçalho!$G$28="Unfors",INDIRECT(ADDRESS(B50,5,1,1,"medidas Unfors"),1),INDIRECT(ADDRESS(B50,5,1,1,"medidas Fluke"),1)/1000),"")</f>
        <v/>
      </c>
      <c r="H50" s="226" t="str">
        <f ca="1">IFERROR(IF(Cabeçalho!$G$28="Unfors",(INDIRECT(ADDRESS(B50,3,1,1,"medidas Unfors"),1))/A50,(INDIRECT(ADDRESS(B50,4,1,1,"medidas Fluke"),1))/A50/1000),"")</f>
        <v/>
      </c>
      <c r="I50" s="225" t="str">
        <f t="shared" ca="1" si="4"/>
        <v>Sim</v>
      </c>
      <c r="K50" s="854"/>
      <c r="L50" s="963"/>
      <c r="M50" s="999" t="str">
        <f ca="1">IFERROR(IF(Cabeçalho!$G$28="Unfors",INDIRECT(ADDRESS(L50,7,1,1,"medidas Unfors"),1),INDIRECT(ADDRESS(L50,6,1,1,"medidas Fluke"),1)/1000),"")</f>
        <v/>
      </c>
      <c r="N50" s="1000" t="str">
        <f t="shared" ca="1" si="5"/>
        <v/>
      </c>
      <c r="O50" s="215"/>
      <c r="P50" s="980" t="str">
        <f ca="1">IFERROR(IF(Cabeçalho!$G$28="Unfors",INDIRECT(ADDRESS(L50,1,1,1,"medidas Unfors"),1),INDIRECT(ADDRESS(L50,1,1,1,"medidas Fluke"),1)),"")</f>
        <v/>
      </c>
      <c r="Q50" s="226" t="str">
        <f ca="1">IFERROR(IF(Cabeçalho!$G$28="Unfors",INDIRECT(ADDRESS(L50,5,1,1,"medidas Unfors"),1),INDIRECT(ADDRESS(L50,5,1,1,"medidas Fluke"),1)/1000),"")</f>
        <v/>
      </c>
      <c r="R50" s="226" t="str">
        <f ca="1">IFERROR(IF(Cabeçalho!$G$28="Unfors",(INDIRECT(ADDRESS(L50,3,1,1,"medidas Unfors"),1))/K50,(INDIRECT(ADDRESS(L50,4,1,1,"medidas Fluke"),1))/K50/1000),"")</f>
        <v/>
      </c>
      <c r="S50" s="225" t="str">
        <f t="shared" ca="1" si="6"/>
        <v>Sim</v>
      </c>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row>
    <row r="51" spans="1:49" s="228" customFormat="1" ht="15.75" thickBot="1" x14ac:dyDescent="0.3">
      <c r="A51" s="854"/>
      <c r="B51" s="963"/>
      <c r="C51" s="999" t="str">
        <f ca="1">IFERROR(IF(Cabeçalho!$G$28="Unfors",INDIRECT(ADDRESS(B51,7,1,1,"medidas Unfors"),1),INDIRECT(ADDRESS(B51,6,1,1,"medidas Fluke"),1)/1000),"")</f>
        <v/>
      </c>
      <c r="D51" s="1000" t="str">
        <f t="shared" ca="1" si="2"/>
        <v/>
      </c>
      <c r="E51" s="215" t="str">
        <f t="shared" ca="1" si="3"/>
        <v/>
      </c>
      <c r="F51" s="980" t="str">
        <f ca="1">IFERROR(IF(Cabeçalho!$G$28="Unfors",INDIRECT(ADDRESS(B51,1,1,1,"medidas Unfors"),1),INDIRECT(ADDRESS(B51,1,1,1,"medidas Fluke"),1)),"")</f>
        <v/>
      </c>
      <c r="G51" s="226" t="str">
        <f ca="1">IFERROR(IF(Cabeçalho!$G$28="Unfors",INDIRECT(ADDRESS(B51,5,1,1,"medidas Unfors"),1),INDIRECT(ADDRESS(B51,5,1,1,"medidas Fluke"),1)/1000),"")</f>
        <v/>
      </c>
      <c r="H51" s="226" t="str">
        <f ca="1">IFERROR(IF(Cabeçalho!$G$28="Unfors",(INDIRECT(ADDRESS(B51,3,1,1,"medidas Unfors"),1))/A51,(INDIRECT(ADDRESS(B51,4,1,1,"medidas Fluke"),1))/A51/1000),"")</f>
        <v/>
      </c>
      <c r="I51" s="225" t="str">
        <f t="shared" ca="1" si="4"/>
        <v>Sim</v>
      </c>
      <c r="K51" s="854"/>
      <c r="L51" s="963"/>
      <c r="M51" s="999" t="str">
        <f ca="1">IFERROR(IF(Cabeçalho!$G$28="Unfors",INDIRECT(ADDRESS(L51,7,1,1,"medidas Unfors"),1),INDIRECT(ADDRESS(L51,6,1,1,"medidas Fluke"),1)/1000),"")</f>
        <v/>
      </c>
      <c r="N51" s="1000" t="str">
        <f t="shared" ca="1" si="5"/>
        <v/>
      </c>
      <c r="O51" s="215"/>
      <c r="P51" s="980" t="str">
        <f ca="1">IFERROR(IF(Cabeçalho!$G$28="Unfors",INDIRECT(ADDRESS(L51,1,1,1,"medidas Unfors"),1),INDIRECT(ADDRESS(L51,1,1,1,"medidas Fluke"),1)),"")</f>
        <v/>
      </c>
      <c r="Q51" s="226" t="str">
        <f ca="1">IFERROR(IF(Cabeçalho!$G$28="Unfors",INDIRECT(ADDRESS(L51,5,1,1,"medidas Unfors"),1),INDIRECT(ADDRESS(L51,5,1,1,"medidas Fluke"),1)/1000),"")</f>
        <v/>
      </c>
      <c r="R51" s="226" t="str">
        <f ca="1">IFERROR(IF(Cabeçalho!$G$28="Unfors",(INDIRECT(ADDRESS(L51,3,1,1,"medidas Unfors"),1))/K51,(INDIRECT(ADDRESS(L51,4,1,1,"medidas Fluke"),1))/K51/1000),"")</f>
        <v/>
      </c>
      <c r="S51" s="225" t="str">
        <f t="shared" ca="1" si="6"/>
        <v>Sim</v>
      </c>
      <c r="T51" s="215"/>
      <c r="U51" s="215"/>
      <c r="V51" s="215"/>
      <c r="W51" s="215"/>
      <c r="X51" s="215"/>
      <c r="Y51" s="215"/>
      <c r="Z51" s="215"/>
      <c r="AA51" s="215"/>
      <c r="AB51" s="215"/>
      <c r="AC51" s="215"/>
      <c r="AD51" s="215"/>
      <c r="AE51" s="215"/>
      <c r="AF51" s="215"/>
      <c r="AG51" s="215"/>
      <c r="AH51" s="215"/>
      <c r="AI51" s="215"/>
      <c r="AJ51" s="215"/>
      <c r="AK51" s="215"/>
      <c r="AL51" s="215"/>
      <c r="AM51" s="215"/>
      <c r="AN51" s="215"/>
      <c r="AO51" s="215"/>
      <c r="AP51" s="215"/>
      <c r="AQ51" s="215"/>
      <c r="AR51" s="215"/>
      <c r="AS51" s="215"/>
      <c r="AT51" s="215"/>
      <c r="AU51" s="215"/>
      <c r="AV51" s="215"/>
      <c r="AW51" s="215"/>
    </row>
    <row r="52" spans="1:49" s="228" customFormat="1" ht="15.75" thickBot="1" x14ac:dyDescent="0.3">
      <c r="A52" s="854"/>
      <c r="B52" s="963"/>
      <c r="C52" s="999" t="str">
        <f ca="1">IFERROR(IF(Cabeçalho!$G$28="Unfors",INDIRECT(ADDRESS(B52,7,1,1,"medidas Unfors"),1),INDIRECT(ADDRESS(B52,6,1,1,"medidas Fluke"),1)/1000),"")</f>
        <v/>
      </c>
      <c r="D52" s="1000" t="str">
        <f t="shared" ca="1" si="2"/>
        <v/>
      </c>
      <c r="E52" s="215" t="str">
        <f t="shared" ca="1" si="3"/>
        <v/>
      </c>
      <c r="F52" s="980" t="str">
        <f ca="1">IFERROR(IF(Cabeçalho!$G$28="Unfors",INDIRECT(ADDRESS(B52,1,1,1,"medidas Unfors"),1),INDIRECT(ADDRESS(B52,1,1,1,"medidas Fluke"),1)),"")</f>
        <v/>
      </c>
      <c r="G52" s="226" t="str">
        <f ca="1">IFERROR(IF(Cabeçalho!$G$28="Unfors",INDIRECT(ADDRESS(B52,5,1,1,"medidas Unfors"),1),INDIRECT(ADDRESS(B52,5,1,1,"medidas Fluke"),1)/1000),"")</f>
        <v/>
      </c>
      <c r="H52" s="226" t="str">
        <f ca="1">IFERROR(IF(Cabeçalho!$G$28="Unfors",(INDIRECT(ADDRESS(B52,3,1,1,"medidas Unfors"),1))/A52,(INDIRECT(ADDRESS(B52,4,1,1,"medidas Fluke"),1))/A52/1000),"")</f>
        <v/>
      </c>
      <c r="I52" s="225" t="str">
        <f t="shared" ca="1" si="4"/>
        <v>Sim</v>
      </c>
      <c r="K52" s="854"/>
      <c r="L52" s="963"/>
      <c r="M52" s="999" t="str">
        <f ca="1">IFERROR(IF(Cabeçalho!$G$28="Unfors",INDIRECT(ADDRESS(L52,7,1,1,"medidas Unfors"),1),INDIRECT(ADDRESS(L52,6,1,1,"medidas Fluke"),1)/1000),"")</f>
        <v/>
      </c>
      <c r="N52" s="1000" t="str">
        <f t="shared" ca="1" si="5"/>
        <v/>
      </c>
      <c r="O52" s="215"/>
      <c r="P52" s="980" t="str">
        <f ca="1">IFERROR(IF(Cabeçalho!$G$28="Unfors",INDIRECT(ADDRESS(L52,1,1,1,"medidas Unfors"),1),INDIRECT(ADDRESS(L52,1,1,1,"medidas Fluke"),1)),"")</f>
        <v/>
      </c>
      <c r="Q52" s="226" t="str">
        <f ca="1">IFERROR(IF(Cabeçalho!$G$28="Unfors",INDIRECT(ADDRESS(L52,5,1,1,"medidas Unfors"),1),INDIRECT(ADDRESS(L52,5,1,1,"medidas Fluke"),1)/1000),"")</f>
        <v/>
      </c>
      <c r="R52" s="226" t="str">
        <f ca="1">IFERROR(IF(Cabeçalho!$G$28="Unfors",(INDIRECT(ADDRESS(L52,3,1,1,"medidas Unfors"),1))/K52,(INDIRECT(ADDRESS(L52,4,1,1,"medidas Fluke"),1))/K52/1000),"")</f>
        <v/>
      </c>
      <c r="S52" s="225" t="str">
        <f t="shared" ca="1" si="6"/>
        <v>Sim</v>
      </c>
      <c r="T52" s="215"/>
      <c r="U52" s="215"/>
      <c r="V52" s="215"/>
      <c r="W52" s="215"/>
      <c r="X52" s="215"/>
      <c r="Y52" s="215"/>
      <c r="Z52" s="215"/>
      <c r="AA52" s="215"/>
      <c r="AB52" s="215"/>
      <c r="AC52" s="215"/>
      <c r="AD52" s="215"/>
      <c r="AE52" s="215"/>
      <c r="AF52" s="215"/>
      <c r="AG52" s="215"/>
      <c r="AH52" s="215"/>
      <c r="AI52" s="215"/>
      <c r="AJ52" s="215"/>
      <c r="AK52" s="215"/>
      <c r="AL52" s="215"/>
      <c r="AM52" s="215"/>
      <c r="AN52" s="215"/>
      <c r="AO52" s="215"/>
      <c r="AP52" s="215"/>
      <c r="AQ52" s="215"/>
      <c r="AR52" s="215"/>
      <c r="AS52" s="215"/>
      <c r="AT52" s="215"/>
      <c r="AU52" s="215"/>
      <c r="AV52" s="215"/>
      <c r="AW52" s="215"/>
    </row>
    <row r="53" spans="1:49" s="228" customFormat="1" ht="15.75" thickBot="1" x14ac:dyDescent="0.3">
      <c r="A53" s="964"/>
      <c r="B53" s="644"/>
      <c r="C53" s="1001" t="str">
        <f ca="1">IFERROR(IF(Cabeçalho!$G$28="Unfors",INDIRECT(ADDRESS(B53,7,1,1,"medidas Unfors"),1),INDIRECT(ADDRESS(B53,6,1,1,"medidas Fluke"),1)/1000),"")</f>
        <v/>
      </c>
      <c r="D53" s="1002" t="str">
        <f t="shared" ca="1" si="2"/>
        <v/>
      </c>
      <c r="E53" s="215" t="str">
        <f t="shared" ca="1" si="3"/>
        <v/>
      </c>
      <c r="F53" s="980" t="str">
        <f ca="1">IFERROR(IF(Cabeçalho!$G$28="Unfors",INDIRECT(ADDRESS(B53,1,1,1,"medidas Unfors"),1),INDIRECT(ADDRESS(B53,1,1,1,"medidas Fluke"),1)),"")</f>
        <v/>
      </c>
      <c r="G53" s="226" t="str">
        <f ca="1">IFERROR(IF(Cabeçalho!$G$28="Unfors",INDIRECT(ADDRESS(B53,5,1,1,"medidas Unfors"),1),INDIRECT(ADDRESS(B53,5,1,1,"medidas Fluke"),1)/1000),"")</f>
        <v/>
      </c>
      <c r="H53" s="226" t="str">
        <f ca="1">IFERROR(IF(Cabeçalho!$G$28="Unfors",(INDIRECT(ADDRESS(B53,3,1,1,"medidas Unfors"),1))/A53,(INDIRECT(ADDRESS(B53,4,1,1,"medidas Fluke"),1))/A53/1000),"")</f>
        <v/>
      </c>
      <c r="I53" s="225" t="str">
        <f t="shared" ca="1" si="4"/>
        <v>Sim</v>
      </c>
      <c r="K53" s="964"/>
      <c r="L53" s="644"/>
      <c r="M53" s="1001" t="str">
        <f ca="1">IFERROR(IF(Cabeçalho!$G$28="Unfors",INDIRECT(ADDRESS(L53,7,1,1,"medidas Unfors"),1),INDIRECT(ADDRESS(L53,6,1,1,"medidas Fluke"),1)/1000),"")</f>
        <v/>
      </c>
      <c r="N53" s="1002" t="str">
        <f t="shared" ca="1" si="5"/>
        <v/>
      </c>
      <c r="O53" s="215"/>
      <c r="P53" s="980" t="str">
        <f ca="1">IFERROR(IF(Cabeçalho!$G$28="Unfors",INDIRECT(ADDRESS(L53,1,1,1,"medidas Unfors"),1),INDIRECT(ADDRESS(L53,1,1,1,"medidas Fluke"),1)),"")</f>
        <v/>
      </c>
      <c r="Q53" s="226" t="str">
        <f ca="1">IFERROR(IF(Cabeçalho!$G$28="Unfors",INDIRECT(ADDRESS(L53,5,1,1,"medidas Unfors"),1),INDIRECT(ADDRESS(L53,5,1,1,"medidas Fluke"),1)/1000),"")</f>
        <v/>
      </c>
      <c r="R53" s="226" t="str">
        <f ca="1">IFERROR(IF(Cabeçalho!$G$28="Unfors",(INDIRECT(ADDRESS(L53,3,1,1,"medidas Unfors"),1))/K53,(INDIRECT(ADDRESS(L53,4,1,1,"medidas Fluke"),1))/K53/1000),"")</f>
        <v/>
      </c>
      <c r="S53" s="225" t="str">
        <f t="shared" ca="1" si="6"/>
        <v>Sim</v>
      </c>
      <c r="T53" s="215"/>
      <c r="U53" s="215"/>
      <c r="V53" s="215"/>
      <c r="W53" s="215"/>
      <c r="X53" s="215"/>
      <c r="Y53" s="215"/>
      <c r="Z53" s="215"/>
      <c r="AA53" s="215"/>
      <c r="AB53" s="215"/>
      <c r="AC53" s="215"/>
      <c r="AD53" s="215"/>
      <c r="AE53" s="215"/>
      <c r="AF53" s="215"/>
      <c r="AG53" s="215"/>
      <c r="AH53" s="215"/>
      <c r="AI53" s="215"/>
      <c r="AJ53" s="215"/>
      <c r="AK53" s="215"/>
      <c r="AL53" s="215"/>
      <c r="AM53" s="215"/>
      <c r="AN53" s="215"/>
      <c r="AO53" s="215"/>
      <c r="AP53" s="215"/>
      <c r="AQ53" s="215"/>
      <c r="AR53" s="215"/>
      <c r="AS53" s="215"/>
      <c r="AT53" s="215"/>
      <c r="AU53" s="215"/>
      <c r="AV53" s="215"/>
      <c r="AW53" s="215"/>
    </row>
    <row r="54" spans="1:49" ht="15.75" thickBot="1" x14ac:dyDescent="0.3">
      <c r="A54" s="703"/>
      <c r="B54" s="703"/>
      <c r="C54" s="977"/>
      <c r="D54" s="962"/>
      <c r="F54" s="980"/>
      <c r="G54" s="226"/>
      <c r="H54" s="226"/>
      <c r="J54" s="703"/>
      <c r="K54" s="703"/>
      <c r="L54" s="977"/>
      <c r="M54" s="962"/>
      <c r="O54" s="980"/>
      <c r="P54" s="226"/>
      <c r="Q54" s="226"/>
    </row>
    <row r="55" spans="1:49" x14ac:dyDescent="0.25">
      <c r="A55" s="1003" t="str">
        <f>$F$6</f>
        <v>mAs</v>
      </c>
      <c r="B55" s="1004" t="s">
        <v>2</v>
      </c>
      <c r="C55" s="1005" t="s">
        <v>8</v>
      </c>
      <c r="D55" s="962"/>
      <c r="E55" s="2704" t="s">
        <v>49</v>
      </c>
      <c r="F55" s="2705"/>
      <c r="G55" s="1006" t="e">
        <f ca="1">(LARGE(H47:H53,1)-SMALL(H47:H53,1))/AVERAGE(H47:H53)*100</f>
        <v>#NUM!</v>
      </c>
      <c r="H55" s="1007" t="s">
        <v>10</v>
      </c>
      <c r="J55" s="703"/>
      <c r="K55" s="703"/>
      <c r="L55" s="977"/>
      <c r="M55" s="962"/>
      <c r="O55" s="980"/>
      <c r="P55" s="226"/>
      <c r="Q55" s="226"/>
    </row>
    <row r="56" spans="1:49" x14ac:dyDescent="0.25">
      <c r="A56" s="1008">
        <f>B26</f>
        <v>0</v>
      </c>
      <c r="B56" s="1009" t="e">
        <f ca="1">B33</f>
        <v>#VALUE!</v>
      </c>
      <c r="C56" s="958" t="e">
        <f ca="1">B36</f>
        <v>#VALUE!</v>
      </c>
      <c r="D56" s="227"/>
      <c r="E56" s="2731" t="s">
        <v>54</v>
      </c>
      <c r="F56" s="2732"/>
      <c r="G56" s="1010" t="e">
        <f ca="1">(LARGE(R47:R53,1)-SMALL(R47:R53,1))/AVERAGE(R47:R53)*100</f>
        <v>#NUM!</v>
      </c>
      <c r="H56" s="1011" t="s">
        <v>10</v>
      </c>
      <c r="J56" s="703"/>
      <c r="K56" s="703"/>
      <c r="L56" s="977"/>
      <c r="M56" s="962"/>
      <c r="O56" s="980"/>
      <c r="P56" s="226"/>
      <c r="Q56" s="226"/>
    </row>
    <row r="57" spans="1:49" ht="15.75" thickBot="1" x14ac:dyDescent="0.3">
      <c r="A57" s="1008">
        <f>G26</f>
        <v>0</v>
      </c>
      <c r="B57" s="1009" t="e">
        <f ca="1">G33</f>
        <v>#VALUE!</v>
      </c>
      <c r="C57" s="958" t="e">
        <f ca="1">G36</f>
        <v>#VALUE!</v>
      </c>
      <c r="D57" s="227"/>
      <c r="E57" s="2733" t="s">
        <v>302</v>
      </c>
      <c r="F57" s="2734"/>
      <c r="G57" s="1012" t="str">
        <f>IF(A55="mA",(LARGE(B56:B57,1)-SMALL(B56:B57,1))/AVERAGE(B56:B57)*100,"NPA")</f>
        <v>NPA</v>
      </c>
      <c r="H57" s="1013" t="s">
        <v>10</v>
      </c>
      <c r="J57" s="703"/>
      <c r="K57" s="703"/>
      <c r="L57" s="977"/>
      <c r="M57" s="962"/>
      <c r="O57" s="980"/>
      <c r="P57" s="226"/>
      <c r="Q57" s="226"/>
    </row>
    <row r="58" spans="1:49" s="940" customFormat="1" x14ac:dyDescent="0.25">
      <c r="A58" s="938"/>
      <c r="B58" s="938"/>
      <c r="C58" s="938"/>
      <c r="D58" s="938"/>
      <c r="E58" s="938"/>
      <c r="F58" s="938"/>
      <c r="G58" s="938"/>
      <c r="H58" s="938"/>
      <c r="I58" s="938"/>
      <c r="J58" s="938"/>
      <c r="K58" s="938"/>
      <c r="L58" s="938"/>
      <c r="M58" s="938"/>
    </row>
    <row r="59" spans="1:49" s="940" customFormat="1" x14ac:dyDescent="0.25">
      <c r="A59" s="938"/>
      <c r="B59" s="938"/>
      <c r="C59" s="938"/>
      <c r="D59" s="938"/>
      <c r="E59" s="938"/>
      <c r="G59" s="229" t="s">
        <v>664</v>
      </c>
      <c r="H59" s="938" t="str">
        <f ca="1">IF(OR(COUNTIF(E47:E53,"Ruim")&gt;0,'LAUDO mamo'!N88&gt;0),"Ruim","Ok")</f>
        <v>Ok</v>
      </c>
      <c r="I59" s="938"/>
      <c r="J59" s="939" t="s">
        <v>716</v>
      </c>
      <c r="K59" s="938"/>
      <c r="L59" s="938"/>
      <c r="M59" s="938"/>
    </row>
    <row r="60" spans="1:49" s="940" customFormat="1" x14ac:dyDescent="0.25">
      <c r="A60" s="938"/>
      <c r="B60" s="938"/>
      <c r="C60" s="938"/>
      <c r="D60" s="938"/>
      <c r="E60" s="938"/>
      <c r="G60" s="229" t="s">
        <v>14</v>
      </c>
      <c r="H60" s="225" t="str">
        <f ca="1">IF(OR(D38="Maior",D38="Menor",I38="Maior",I38="Menor"),"Ruim","Ok")</f>
        <v>Ok</v>
      </c>
      <c r="I60" s="938"/>
      <c r="J60" s="939"/>
      <c r="K60" s="938"/>
      <c r="L60" s="938"/>
      <c r="M60" s="938"/>
    </row>
    <row r="61" spans="1:49" s="940" customFormat="1" x14ac:dyDescent="0.25">
      <c r="A61" s="938"/>
      <c r="B61" s="938"/>
      <c r="C61" s="938"/>
      <c r="D61" s="938"/>
      <c r="E61" s="938"/>
      <c r="G61" s="229" t="s">
        <v>665</v>
      </c>
      <c r="H61" s="225" t="str">
        <f ca="1">IF(OR(IFERROR((LARGE(F47:F53,1)-SMALL(F47:F53,1))/AVERAGE(F47:F53),0)&gt;0.1,IFERROR((LARGE(P47:P53,1)-SMALL(P47:P53,1))/AVERAGE(P47:P53),0)&gt;0.1),"Ruim","Ok")</f>
        <v>Ok</v>
      </c>
      <c r="I61" s="938"/>
      <c r="J61" s="939"/>
      <c r="K61" s="938"/>
      <c r="L61" s="938"/>
      <c r="M61" s="938"/>
    </row>
    <row r="62" spans="1:49" s="940" customFormat="1" x14ac:dyDescent="0.25">
      <c r="A62" s="938"/>
      <c r="B62" s="938"/>
      <c r="C62" s="938"/>
      <c r="D62" s="938"/>
      <c r="E62" s="938"/>
      <c r="G62" s="229" t="s">
        <v>666</v>
      </c>
      <c r="H62" s="225" t="str">
        <f ca="1">IF(OR(IFERROR((LARGE(G47:G53,1)-SMALL(G47:G53,1))/AVERAGE(G47:G53),0)&gt;0.2,IFERROR((LARGE(Q47:Q53,1)-SMALL(Q47:Q53,1))/AVERAGE(Q47:Q53),0)&gt;0.2),"Ruim","Ok")</f>
        <v>Ok</v>
      </c>
      <c r="I62" s="938"/>
      <c r="J62" s="939"/>
      <c r="K62" s="938"/>
      <c r="L62" s="938"/>
      <c r="M62" s="938"/>
    </row>
    <row r="63" spans="1:49" s="940" customFormat="1" ht="15.75" thickBot="1" x14ac:dyDescent="0.3">
      <c r="A63" s="938"/>
      <c r="B63" s="938"/>
      <c r="C63" s="938"/>
      <c r="D63" s="938"/>
      <c r="E63" s="938"/>
      <c r="G63" s="229"/>
      <c r="H63" s="225"/>
      <c r="I63" s="938"/>
      <c r="J63" s="1627"/>
      <c r="K63" s="938"/>
      <c r="L63" s="938"/>
      <c r="M63" s="938"/>
    </row>
    <row r="64" spans="1:49" s="940" customFormat="1" ht="15.75" thickBot="1" x14ac:dyDescent="0.3">
      <c r="A64" s="2687" t="s">
        <v>1798</v>
      </c>
      <c r="B64" s="2688"/>
      <c r="C64" s="2688"/>
      <c r="D64" s="2688"/>
      <c r="E64" s="2688"/>
      <c r="F64" s="2689"/>
      <c r="G64" s="229"/>
      <c r="H64" s="225"/>
      <c r="I64" s="938"/>
      <c r="J64" s="1627"/>
      <c r="K64" s="938"/>
      <c r="L64" s="938"/>
      <c r="M64" s="938"/>
    </row>
    <row r="65" spans="1:49" s="940" customFormat="1" x14ac:dyDescent="0.25">
      <c r="B65" s="1103" t="s">
        <v>865</v>
      </c>
      <c r="C65" s="1103" t="s">
        <v>1801</v>
      </c>
      <c r="D65" s="1635" t="s">
        <v>1802</v>
      </c>
      <c r="E65" s="229"/>
      <c r="F65" s="229"/>
      <c r="G65" s="229"/>
      <c r="H65" s="225"/>
      <c r="I65" s="938"/>
      <c r="J65" s="1627"/>
      <c r="K65" s="938"/>
      <c r="L65" s="938"/>
      <c r="M65" s="938"/>
    </row>
    <row r="66" spans="1:49" s="940" customFormat="1" x14ac:dyDescent="0.25">
      <c r="B66" s="937" t="s">
        <v>1799</v>
      </c>
      <c r="C66" s="400" t="s">
        <v>142</v>
      </c>
      <c r="D66" s="937" t="s">
        <v>1245</v>
      </c>
      <c r="E66" s="229"/>
      <c r="F66" s="229"/>
      <c r="G66" s="229"/>
      <c r="H66" s="225"/>
      <c r="I66" s="938"/>
      <c r="J66" s="1627"/>
      <c r="K66" s="938"/>
      <c r="L66" s="938"/>
      <c r="M66" s="938"/>
    </row>
    <row r="67" spans="1:49" s="940" customFormat="1" x14ac:dyDescent="0.25">
      <c r="B67" s="937" t="s">
        <v>1800</v>
      </c>
      <c r="C67" s="400"/>
      <c r="D67" s="400"/>
      <c r="E67" s="229"/>
      <c r="F67" s="229"/>
      <c r="G67" s="229"/>
      <c r="H67" s="225"/>
      <c r="I67" s="938"/>
      <c r="J67" s="1627"/>
      <c r="K67" s="938"/>
      <c r="L67" s="938"/>
      <c r="M67" s="938"/>
    </row>
    <row r="68" spans="1:49" s="940" customFormat="1" x14ac:dyDescent="0.25">
      <c r="B68" s="937" t="s">
        <v>1315</v>
      </c>
      <c r="C68" s="400"/>
      <c r="D68" s="400"/>
      <c r="E68" s="229"/>
      <c r="F68" s="229"/>
      <c r="G68" s="229"/>
      <c r="H68" s="225"/>
      <c r="I68" s="938"/>
      <c r="J68" s="1627"/>
      <c r="K68" s="938"/>
      <c r="L68" s="938"/>
      <c r="M68" s="938"/>
    </row>
    <row r="69" spans="1:49" s="940" customFormat="1" x14ac:dyDescent="0.25">
      <c r="B69" s="937" t="s">
        <v>3</v>
      </c>
      <c r="C69" s="849" t="str">
        <f ca="1">IFERROR(ROUND(IF(Cabeçalho!$G$28="Unfors",INDIRECT(ADDRESS(C70,7,1,1,"medidas Unfors"),1),INDIRECT(ADDRESS(C70,6,1,1,"medidas Fluke"),1)/1000),2),"")</f>
        <v/>
      </c>
      <c r="D69" s="849">
        <f ca="1">IFERROR(ROUND(IF(Cabeçalho!$G$28="Unfors",INDIRECT(ADDRESS(D70,7,1,1,"medidas Unfors"),1),INDIRECT(ADDRESS(D70,6,1,1,"medidas Fluke"),1)/1000),2),"")</f>
        <v>0</v>
      </c>
      <c r="E69" s="229"/>
      <c r="F69" s="229"/>
      <c r="G69" s="229"/>
      <c r="H69" s="225"/>
      <c r="I69" s="938"/>
      <c r="J69" s="1627"/>
      <c r="K69" s="938"/>
      <c r="L69" s="938"/>
      <c r="M69" s="938"/>
    </row>
    <row r="70" spans="1:49" s="940" customFormat="1" x14ac:dyDescent="0.25">
      <c r="B70" s="937" t="s">
        <v>521</v>
      </c>
      <c r="C70" s="400"/>
      <c r="D70" s="400">
        <v>1</v>
      </c>
      <c r="E70" s="229"/>
      <c r="F70" s="229"/>
      <c r="G70" s="229"/>
      <c r="H70" s="225"/>
      <c r="I70" s="938"/>
      <c r="J70" s="1627"/>
      <c r="K70" s="938"/>
      <c r="L70" s="938"/>
      <c r="M70" s="938"/>
    </row>
    <row r="71" spans="1:49" s="940" customFormat="1" x14ac:dyDescent="0.25">
      <c r="B71" s="1636" t="str">
        <f>B1</f>
        <v>IN 92</v>
      </c>
      <c r="C71" s="1638" t="str">
        <f>IF(C66="Sim",IF(C69&gt;3,"Restrição",IF(C69&gt;2,"Não","Sim")),"NA")</f>
        <v>NA</v>
      </c>
      <c r="D71" s="1637" t="str">
        <f ca="1">IF(D69&gt;2,"Restrição",IF(D69&gt;1.5,"Não","Sim"))</f>
        <v>Sim</v>
      </c>
      <c r="E71" s="229"/>
      <c r="F71" s="229"/>
      <c r="G71" s="229"/>
      <c r="H71" s="225"/>
      <c r="I71" s="938"/>
      <c r="J71" s="1630"/>
      <c r="K71" s="938"/>
      <c r="L71" s="938"/>
      <c r="M71" s="938"/>
    </row>
    <row r="72" spans="1:49" s="940" customFormat="1" x14ac:dyDescent="0.25">
      <c r="A72" s="938"/>
      <c r="B72" s="938"/>
      <c r="C72" s="938"/>
      <c r="D72" s="938"/>
      <c r="E72" s="938"/>
      <c r="G72" s="229"/>
      <c r="H72" s="225"/>
      <c r="I72" s="938"/>
      <c r="J72" s="1627"/>
      <c r="K72" s="938"/>
      <c r="L72" s="938"/>
      <c r="M72" s="938"/>
    </row>
    <row r="73" spans="1:49" s="940" customFormat="1" ht="19.5" x14ac:dyDescent="0.25">
      <c r="A73" s="2722" t="s">
        <v>1806</v>
      </c>
      <c r="B73" s="2722"/>
      <c r="C73" s="2722"/>
      <c r="D73" s="2722"/>
      <c r="E73" s="2722"/>
      <c r="F73" s="2722"/>
      <c r="G73" s="2722"/>
      <c r="H73" s="225"/>
      <c r="I73" s="938"/>
      <c r="J73" s="1627"/>
      <c r="K73" s="938"/>
      <c r="L73" s="938"/>
      <c r="M73" s="938"/>
    </row>
    <row r="74" spans="1:49" s="940" customFormat="1" ht="15.75" thickBot="1" x14ac:dyDescent="0.3">
      <c r="A74" s="938"/>
      <c r="B74" s="938"/>
      <c r="C74" s="938"/>
      <c r="D74" s="938"/>
      <c r="E74" s="938"/>
      <c r="G74" s="229"/>
      <c r="H74" s="938"/>
      <c r="I74" s="938"/>
      <c r="J74" s="939"/>
      <c r="K74" s="938"/>
      <c r="L74" s="938"/>
      <c r="M74" s="938"/>
    </row>
    <row r="75" spans="1:49" s="228" customFormat="1" ht="15.75" thickBot="1" x14ac:dyDescent="0.3">
      <c r="A75" s="2687" t="s">
        <v>6</v>
      </c>
      <c r="B75" s="2688"/>
      <c r="C75" s="2688"/>
      <c r="D75" s="2689"/>
      <c r="E75" s="215"/>
      <c r="I75" s="215"/>
      <c r="J75" s="215"/>
      <c r="K75" s="215"/>
      <c r="L75" s="215"/>
      <c r="M75" s="215"/>
      <c r="N75" s="215"/>
      <c r="O75" s="215"/>
      <c r="P75" s="215"/>
      <c r="Q75" s="215"/>
      <c r="R75" s="215"/>
      <c r="S75" s="215"/>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215"/>
      <c r="AS75" s="215"/>
      <c r="AT75" s="215"/>
      <c r="AU75" s="215"/>
      <c r="AV75" s="215"/>
      <c r="AW75" s="215"/>
    </row>
    <row r="76" spans="1:49" s="228" customFormat="1" ht="15.75" thickBot="1" x14ac:dyDescent="0.3">
      <c r="A76" s="223" t="s">
        <v>5</v>
      </c>
      <c r="B76" s="152" t="s">
        <v>0</v>
      </c>
      <c r="C76" s="152" t="s">
        <v>2</v>
      </c>
      <c r="D76" s="152" t="s">
        <v>3</v>
      </c>
      <c r="E76" s="225"/>
      <c r="I76" s="215"/>
      <c r="J76" s="215"/>
      <c r="K76" s="215"/>
      <c r="L76" s="215"/>
      <c r="M76" s="215"/>
      <c r="N76" s="215"/>
      <c r="O76" s="215"/>
      <c r="P76" s="215"/>
      <c r="Q76" s="215"/>
      <c r="R76" s="215"/>
      <c r="S76" s="215"/>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215"/>
      <c r="AS76" s="215"/>
      <c r="AT76" s="215"/>
      <c r="AU76" s="215"/>
      <c r="AV76" s="215"/>
      <c r="AW76" s="215"/>
    </row>
    <row r="77" spans="1:49" s="228" customFormat="1" x14ac:dyDescent="0.25">
      <c r="A77" s="1014"/>
      <c r="B77" s="1015" t="str">
        <f ca="1">IFERROR(IF(Cabeçalho!$G$28="Unfors",INDIRECT(ADDRESS(A77,1,1,1,"medidas Unfors"),1),INDIRECT(ADDRESS(A77,1,1,1,"medidas Fluke"),1)),"")</f>
        <v/>
      </c>
      <c r="C77" s="999" t="str">
        <f ca="1">IFERROR(IF(Cabeçalho!$G$28="Unfors",INDIRECT(ADDRESS(A77,5,1,1,"medidas Unfors"),1),INDIRECT(ADDRESS(A77,5,1,1,"medidas Fluke"),1)/1000),"")</f>
        <v/>
      </c>
      <c r="D77" s="1016" t="str">
        <f ca="1">IFERROR(IF(Cabeçalho!$G$28="Unfors",INDIRECT(ADDRESS(A77,7,1,1,"medidas Unfors"),1),INDIRECT(ADDRESS(A77,6,1,1,"medidas Fluke"),1)/1000),"")</f>
        <v/>
      </c>
      <c r="E77" s="980"/>
      <c r="I77" s="215"/>
      <c r="J77" s="215"/>
      <c r="K77" s="215"/>
      <c r="L77" s="215"/>
      <c r="M77" s="215"/>
      <c r="N77" s="215"/>
      <c r="O77" s="215"/>
      <c r="P77" s="215"/>
      <c r="Q77" s="215"/>
      <c r="R77" s="215"/>
      <c r="S77" s="215"/>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215"/>
      <c r="AS77" s="215"/>
      <c r="AT77" s="215"/>
      <c r="AU77" s="215"/>
      <c r="AV77" s="215"/>
      <c r="AW77" s="215"/>
    </row>
    <row r="78" spans="1:49" s="228" customFormat="1" x14ac:dyDescent="0.25">
      <c r="A78" s="1017"/>
      <c r="B78" s="1018" t="str">
        <f ca="1">IFERROR(IF(Cabeçalho!$G$28="Unfors",INDIRECT(ADDRESS(A78,1,1,1,"medidas Unfors"),1),INDIRECT(ADDRESS(A78,1,1,1,"medidas Fluke"),1)),"")</f>
        <v/>
      </c>
      <c r="C78" s="1019" t="str">
        <f ca="1">IFERROR(IF(Cabeçalho!$G$28="Unfors",INDIRECT(ADDRESS(A78,5,1,1,"medidas Unfors"),1),INDIRECT(ADDRESS(A78,5,1,1,"medidas Fluke"),1)/1000),"")</f>
        <v/>
      </c>
      <c r="D78" s="1020" t="str">
        <f ca="1">IFERROR(IF(Cabeçalho!$G$28="Unfors",INDIRECT(ADDRESS(A78,7,1,1,"medidas Unfors"),1),INDIRECT(ADDRESS(A78,6,1,1,"medidas Fluke"),1)/1000),"")</f>
        <v/>
      </c>
      <c r="E78" s="980"/>
      <c r="F78" s="215"/>
      <c r="G78" s="215"/>
      <c r="H78" s="215"/>
      <c r="I78" s="215"/>
      <c r="J78" s="215"/>
      <c r="K78" s="215"/>
      <c r="L78" s="215"/>
      <c r="M78" s="215"/>
      <c r="N78" s="215"/>
      <c r="O78" s="215"/>
      <c r="P78" s="215"/>
      <c r="Q78" s="215"/>
      <c r="R78" s="215"/>
      <c r="S78" s="215"/>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215"/>
      <c r="AS78" s="215"/>
      <c r="AT78" s="215"/>
      <c r="AU78" s="215"/>
      <c r="AV78" s="215"/>
      <c r="AW78" s="215"/>
    </row>
    <row r="79" spans="1:49" s="228" customFormat="1" x14ac:dyDescent="0.25">
      <c r="A79" s="1017"/>
      <c r="B79" s="1018" t="str">
        <f ca="1">IFERROR(IF(Cabeçalho!$G$28="Unfors",INDIRECT(ADDRESS(A79,1,1,1,"medidas Unfors"),1),INDIRECT(ADDRESS(A79,1,1,1,"medidas Fluke"),1)),"")</f>
        <v/>
      </c>
      <c r="C79" s="1019" t="str">
        <f ca="1">IFERROR(IF(Cabeçalho!$G$28="Unfors",INDIRECT(ADDRESS(A79,5,1,1,"medidas Unfors"),1),INDIRECT(ADDRESS(A79,5,1,1,"medidas Fluke"),1)/1000),"")</f>
        <v/>
      </c>
      <c r="D79" s="1020" t="str">
        <f ca="1">IFERROR(IF(Cabeçalho!$G$28="Unfors",INDIRECT(ADDRESS(A79,7,1,1,"medidas Unfors"),1),INDIRECT(ADDRESS(A79,6,1,1,"medidas Fluke"),1)/1000),"")</f>
        <v/>
      </c>
      <c r="E79" s="980"/>
      <c r="F79" s="215"/>
      <c r="G79" s="215"/>
      <c r="H79" s="215"/>
      <c r="I79" s="215"/>
      <c r="J79" s="215"/>
      <c r="K79" s="215"/>
      <c r="L79" s="215"/>
      <c r="M79" s="215"/>
      <c r="N79" s="215"/>
      <c r="O79" s="215"/>
      <c r="P79" s="215"/>
      <c r="Q79" s="215"/>
      <c r="R79" s="215"/>
      <c r="S79" s="215"/>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215"/>
      <c r="AS79" s="215"/>
      <c r="AT79" s="215"/>
      <c r="AU79" s="215"/>
      <c r="AV79" s="215"/>
      <c r="AW79" s="215"/>
    </row>
    <row r="80" spans="1:49" s="228" customFormat="1" x14ac:dyDescent="0.25">
      <c r="A80" s="1017"/>
      <c r="B80" s="1018" t="str">
        <f ca="1">IFERROR(IF(Cabeçalho!$G$28="Unfors",INDIRECT(ADDRESS(A80,1,1,1,"medidas Unfors"),1),INDIRECT(ADDRESS(A80,1,1,1,"medidas Fluke"),1)),"")</f>
        <v/>
      </c>
      <c r="C80" s="1019" t="str">
        <f ca="1">IFERROR(IF(Cabeçalho!$G$28="Unfors",INDIRECT(ADDRESS(A80,5,1,1,"medidas Unfors"),1),INDIRECT(ADDRESS(A80,5,1,1,"medidas Fluke"),1)/1000),"")</f>
        <v/>
      </c>
      <c r="D80" s="1020" t="str">
        <f ca="1">IFERROR(IF(Cabeçalho!$G$28="Unfors",INDIRECT(ADDRESS(A80,7,1,1,"medidas Unfors"),1),INDIRECT(ADDRESS(A80,6,1,1,"medidas Fluke"),1)/1000),"")</f>
        <v/>
      </c>
      <c r="E80" s="980"/>
      <c r="F80" s="215"/>
      <c r="G80" s="215"/>
      <c r="H80" s="215"/>
      <c r="I80" s="215"/>
      <c r="J80" s="215"/>
      <c r="K80" s="215"/>
      <c r="L80" s="215"/>
      <c r="M80" s="215"/>
      <c r="N80" s="215"/>
      <c r="O80" s="215"/>
      <c r="P80" s="215"/>
      <c r="Q80" s="215"/>
      <c r="R80" s="215"/>
      <c r="S80" s="215"/>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215"/>
      <c r="AS80" s="215"/>
      <c r="AT80" s="215"/>
      <c r="AU80" s="215"/>
      <c r="AV80" s="215"/>
      <c r="AW80" s="215"/>
    </row>
    <row r="81" spans="1:49" s="228" customFormat="1" ht="15.75" thickBot="1" x14ac:dyDescent="0.3">
      <c r="A81" s="1021"/>
      <c r="B81" s="1022" t="str">
        <f ca="1">IFERROR(IF(Cabeçalho!$G$28="Unfors",INDIRECT(ADDRESS(A81,1,1,1,"medidas Unfors"),1),INDIRECT(ADDRESS(A81,1,1,1,"medidas Fluke"),1)),"")</f>
        <v/>
      </c>
      <c r="C81" s="1023" t="str">
        <f ca="1">IFERROR(IF(Cabeçalho!$G$28="Unfors",INDIRECT(ADDRESS(A81,5,1,1,"medidas Unfors"),1),INDIRECT(ADDRESS(A81,5,1,1,"medidas Fluke"),1)/1000),"")</f>
        <v/>
      </c>
      <c r="D81" s="1024" t="str">
        <f ca="1">IFERROR(IF(Cabeçalho!$G$28="Unfors",INDIRECT(ADDRESS(A81,7,1,1,"medidas Unfors"),1),INDIRECT(ADDRESS(A81,6,1,1,"medidas Fluke"),1)/1000),"")</f>
        <v/>
      </c>
      <c r="E81" s="980"/>
      <c r="F81" s="215"/>
      <c r="G81" s="215"/>
      <c r="H81" s="215"/>
      <c r="I81" s="215"/>
      <c r="J81" s="215"/>
      <c r="K81" s="215"/>
      <c r="L81" s="215"/>
      <c r="M81" s="215"/>
      <c r="N81" s="215"/>
      <c r="O81" s="215"/>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215"/>
      <c r="AS81" s="215"/>
      <c r="AT81" s="215"/>
      <c r="AU81" s="215"/>
      <c r="AV81" s="215"/>
      <c r="AW81" s="215"/>
    </row>
    <row r="82" spans="1:49" s="228" customFormat="1" ht="15.75" thickBot="1" x14ac:dyDescent="0.3">
      <c r="A82" s="1025" t="s">
        <v>6</v>
      </c>
      <c r="B82" s="1026" t="s">
        <v>240</v>
      </c>
      <c r="C82" s="1026" t="e">
        <f ca="1">(LARGE(C77:C81,1)-SMALL(C77:C81,1))/AVERAGE(C77:C81)*100</f>
        <v>#NUM!</v>
      </c>
      <c r="D82" s="1027" t="e">
        <f ca="1">(LARGE(D77:D81,1)-SMALL(D77:D81,1))/AVERAGE(D77:D81)*100</f>
        <v>#NUM!</v>
      </c>
      <c r="E82" s="1028" t="s">
        <v>10</v>
      </c>
      <c r="F82" s="215"/>
      <c r="G82" s="215"/>
      <c r="H82" s="215"/>
      <c r="I82" s="215"/>
      <c r="J82" s="215"/>
      <c r="K82" s="215"/>
      <c r="L82" s="215"/>
      <c r="M82" s="215"/>
      <c r="N82" s="215"/>
      <c r="O82" s="215"/>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215"/>
      <c r="AS82" s="215"/>
      <c r="AT82" s="215"/>
      <c r="AU82" s="215"/>
      <c r="AV82" s="215"/>
      <c r="AW82" s="215"/>
    </row>
    <row r="83" spans="1:49" s="228" customFormat="1" x14ac:dyDescent="0.25">
      <c r="A83" s="1351" t="str">
        <f>B1</f>
        <v>IN 92</v>
      </c>
      <c r="B83" s="1352" t="e">
        <f ca="1">ROUND(_xlfn.STDEV.S(B77:B81)/AVERAGE(B77:B81),3)</f>
        <v>#DIV/0!</v>
      </c>
      <c r="C83" s="1029" t="s">
        <v>1241</v>
      </c>
      <c r="D83" s="1030"/>
      <c r="E83" s="1028"/>
      <c r="F83" s="215"/>
      <c r="G83" s="215"/>
      <c r="H83" s="215"/>
      <c r="I83" s="215"/>
      <c r="J83" s="215"/>
      <c r="K83" s="215"/>
      <c r="L83" s="215"/>
      <c r="M83" s="215"/>
      <c r="N83" s="215"/>
      <c r="O83" s="215"/>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215"/>
      <c r="AS83" s="215"/>
      <c r="AT83" s="215"/>
      <c r="AU83" s="215"/>
      <c r="AV83" s="215"/>
      <c r="AW83" s="215"/>
    </row>
    <row r="84" spans="1:49" s="940" customFormat="1" x14ac:dyDescent="0.25">
      <c r="A84" s="938"/>
      <c r="B84" s="938"/>
      <c r="C84" s="938"/>
      <c r="D84" s="938"/>
      <c r="E84" s="938"/>
      <c r="F84" s="938"/>
      <c r="G84" s="938"/>
      <c r="H84" s="938"/>
      <c r="I84" s="938"/>
      <c r="J84" s="938"/>
      <c r="K84" s="938"/>
      <c r="L84" s="938"/>
      <c r="M84" s="938"/>
    </row>
    <row r="85" spans="1:49" s="940" customFormat="1" ht="15.75" thickBot="1" x14ac:dyDescent="0.3">
      <c r="A85" s="938"/>
      <c r="B85" s="938"/>
      <c r="C85" s="938"/>
      <c r="D85" s="938"/>
      <c r="E85" s="938"/>
      <c r="F85" s="938"/>
      <c r="G85" s="938"/>
      <c r="H85" s="938"/>
      <c r="I85" s="938"/>
      <c r="J85" s="938"/>
      <c r="K85" s="938"/>
      <c r="L85" s="938"/>
      <c r="M85" s="938"/>
    </row>
    <row r="86" spans="1:49" s="940" customFormat="1" ht="15.6" customHeight="1" thickBot="1" x14ac:dyDescent="0.3">
      <c r="A86" s="2687" t="s">
        <v>1310</v>
      </c>
      <c r="B86" s="2688"/>
      <c r="C86" s="2688"/>
      <c r="D86" s="2688"/>
      <c r="E86" s="2688"/>
      <c r="F86" s="2688"/>
      <c r="G86" s="2688"/>
      <c r="H86" s="2688"/>
      <c r="I86" s="2688"/>
      <c r="J86" s="2689"/>
      <c r="K86" s="938"/>
      <c r="L86" s="938"/>
      <c r="M86" s="938"/>
    </row>
    <row r="87" spans="1:49" s="940" customFormat="1" x14ac:dyDescent="0.25">
      <c r="A87" s="1055" t="s">
        <v>1323</v>
      </c>
      <c r="B87" s="2043" t="s">
        <v>2314</v>
      </c>
      <c r="C87" s="938"/>
      <c r="D87" s="938"/>
      <c r="E87" s="938"/>
      <c r="G87" s="229"/>
      <c r="H87" s="938"/>
      <c r="I87" s="938"/>
      <c r="J87" s="939"/>
      <c r="K87" s="938"/>
      <c r="L87" s="938"/>
      <c r="M87" s="938"/>
    </row>
    <row r="88" spans="1:49" s="940" customFormat="1" x14ac:dyDescent="0.25">
      <c r="A88" s="1031"/>
      <c r="B88" s="938"/>
      <c r="C88" s="938"/>
      <c r="D88" s="938"/>
      <c r="E88" s="938"/>
      <c r="G88" s="229"/>
      <c r="H88" s="938"/>
      <c r="I88" s="938"/>
      <c r="J88" s="939"/>
      <c r="K88" s="938"/>
      <c r="L88" s="938"/>
      <c r="M88" s="938"/>
    </row>
    <row r="89" spans="1:49" s="940" customFormat="1" ht="15.6" customHeight="1" x14ac:dyDescent="0.25">
      <c r="A89" s="1032" t="s">
        <v>1311</v>
      </c>
      <c r="B89" s="1032" t="s">
        <v>1312</v>
      </c>
      <c r="C89" s="1524" t="s">
        <v>1714</v>
      </c>
      <c r="D89" s="1620" t="s">
        <v>1803</v>
      </c>
      <c r="E89" s="2487" t="s">
        <v>1313</v>
      </c>
      <c r="F89" s="2487"/>
      <c r="G89" s="2487"/>
      <c r="H89" s="2487"/>
      <c r="I89" s="2487"/>
      <c r="J89" s="1524" t="s">
        <v>1715</v>
      </c>
      <c r="K89" s="1032" t="s">
        <v>1314</v>
      </c>
    </row>
    <row r="90" spans="1:49" s="940" customFormat="1" x14ac:dyDescent="0.25">
      <c r="A90" s="937" t="s">
        <v>1315</v>
      </c>
      <c r="B90" s="400"/>
      <c r="C90" s="400"/>
      <c r="D90" s="400"/>
      <c r="E90" s="400"/>
      <c r="F90" s="400"/>
      <c r="G90" s="400"/>
      <c r="H90" s="400"/>
      <c r="I90" s="400"/>
      <c r="J90" s="400"/>
      <c r="K90" s="400"/>
    </row>
    <row r="91" spans="1:49" s="940" customFormat="1" x14ac:dyDescent="0.25">
      <c r="A91" s="1538" t="s">
        <v>521</v>
      </c>
      <c r="B91" s="1539"/>
      <c r="C91" s="1539"/>
      <c r="D91" s="1539"/>
      <c r="E91" s="1539"/>
      <c r="F91" s="1539"/>
      <c r="G91" s="1539"/>
      <c r="H91" s="1539"/>
      <c r="I91" s="1539"/>
      <c r="J91" s="1539"/>
      <c r="K91" s="1539"/>
    </row>
    <row r="92" spans="1:49" s="940" customFormat="1" x14ac:dyDescent="0.25">
      <c r="A92" s="937" t="s">
        <v>1</v>
      </c>
      <c r="B92" s="911" t="str">
        <f ca="1">IFERROR(IF(Cabeçalho!$G$28="Unfors",INDIRECT(ADDRESS(B91,IF($B$87="Sensor CT",1,3),1,1,"medidas Unfors"),1),INDIRECT(ADDRESS(B91,4,1,1,"medidas Fluke"),1)/1000),"")</f>
        <v/>
      </c>
      <c r="C92" s="911" t="str">
        <f ca="1">IFERROR(IF(Cabeçalho!$G$28="Unfors",INDIRECT(ADDRESS(C91,IF($B$87="Sensor CT",1,3),1,1,"medidas Unfors"),1),INDIRECT(ADDRESS(C91,4,1,1,"medidas Fluke"),1)/1000),"")</f>
        <v/>
      </c>
      <c r="D92" s="911" t="str">
        <f ca="1">IFERROR(IF(Cabeçalho!$G$28="Unfors",INDIRECT(ADDRESS(D91,IF($B$87="Sensor CT",1,3),1,1,"medidas Unfors"),1),INDIRECT(ADDRESS(D91,4,1,1,"medidas Fluke"),1)/1000),"")</f>
        <v/>
      </c>
      <c r="E92" s="911" t="str">
        <f ca="1">IFERROR(IF(Cabeçalho!$G$28="Unfors",INDIRECT(ADDRESS(E91,IF($B$87="Sensor CT",1,3),1,1,"medidas Unfors"),1),INDIRECT(ADDRESS(E91,4,1,1,"medidas Fluke"),1)/1000),"")</f>
        <v/>
      </c>
      <c r="F92" s="911" t="str">
        <f ca="1">IFERROR(IF(Cabeçalho!$G$28="Unfors",INDIRECT(ADDRESS(F91,IF($B$87="Sensor CT",1,3),1,1,"medidas Unfors"),1),INDIRECT(ADDRESS(F91,4,1,1,"medidas Fluke"),1)/1000),"")</f>
        <v/>
      </c>
      <c r="G92" s="911" t="str">
        <f ca="1">IFERROR(IF(Cabeçalho!$G$28="Unfors",INDIRECT(ADDRESS(G91,IF($B$87="Sensor CT",1,3),1,1,"medidas Unfors"),1),INDIRECT(ADDRESS(G91,4,1,1,"medidas Fluke"),1)/1000),"")</f>
        <v/>
      </c>
      <c r="H92" s="911" t="str">
        <f ca="1">IFERROR(IF(Cabeçalho!$G$28="Unfors",INDIRECT(ADDRESS(H91,IF($B$87="Sensor CT",1,3),1,1,"medidas Unfors"),1),INDIRECT(ADDRESS(H91,4,1,1,"medidas Fluke"),1)/1000),"")</f>
        <v/>
      </c>
      <c r="I92" s="911" t="str">
        <f ca="1">IFERROR(IF(Cabeçalho!$G$28="Unfors",INDIRECT(ADDRESS(I91,IF($B$87="Sensor CT",1,3),1,1,"medidas Unfors"),1),INDIRECT(ADDRESS(I91,4,1,1,"medidas Fluke"),1)/1000),"")</f>
        <v/>
      </c>
      <c r="J92" s="911" t="str">
        <f ca="1">IFERROR(IF(Cabeçalho!$G$28="Unfors",INDIRECT(ADDRESS(J91,IF($B$87="Sensor CT",1,3),1,1,"medidas Unfors"),1),INDIRECT(ADDRESS(J91,4,1,1,"medidas Fluke"),1)/1000),"")</f>
        <v/>
      </c>
      <c r="K92" s="911" t="str">
        <f ca="1">IFERROR(IF(Cabeçalho!$G$28="Unfors",INDIRECT(ADDRESS(K91,IF($B$87="Sensor CT",1,3),1,1,"medidas Unfors"),1),INDIRECT(ADDRESS(K91,4,1,1,"medidas Fluke"),1)/1000),"")</f>
        <v/>
      </c>
      <c r="L92" s="938"/>
    </row>
    <row r="93" spans="1:49" s="940" customFormat="1" x14ac:dyDescent="0.25">
      <c r="A93" s="1031"/>
      <c r="B93" s="938"/>
      <c r="C93" s="938"/>
      <c r="D93" s="938"/>
      <c r="E93" s="938"/>
      <c r="F93" s="938"/>
      <c r="G93" s="938"/>
      <c r="H93" s="938"/>
      <c r="I93" s="938"/>
      <c r="J93" s="938"/>
      <c r="K93" s="938"/>
      <c r="L93" s="938"/>
    </row>
    <row r="94" spans="1:49" s="940" customFormat="1" x14ac:dyDescent="0.25">
      <c r="A94" s="1031"/>
      <c r="B94" s="938"/>
      <c r="C94" s="938"/>
      <c r="D94" s="938"/>
      <c r="E94" s="938"/>
      <c r="F94" s="938"/>
      <c r="G94" s="938"/>
      <c r="H94" s="938"/>
      <c r="I94" s="938"/>
      <c r="J94" s="938"/>
      <c r="K94" s="938"/>
      <c r="L94" s="938"/>
    </row>
    <row r="95" spans="1:49" s="940" customFormat="1" ht="15.6" customHeight="1" x14ac:dyDescent="0.25">
      <c r="A95" s="2707" t="s">
        <v>2005</v>
      </c>
      <c r="B95" s="2708"/>
      <c r="C95" s="2708"/>
      <c r="D95" s="2708"/>
      <c r="E95" s="2708"/>
      <c r="F95" s="2708"/>
      <c r="G95" s="2708"/>
      <c r="H95" s="2708"/>
      <c r="I95" s="2708"/>
      <c r="J95" s="2708"/>
      <c r="K95" s="2708"/>
      <c r="L95" s="938"/>
    </row>
    <row r="96" spans="1:49" s="940" customFormat="1" ht="30" x14ac:dyDescent="0.25">
      <c r="A96" s="936" t="s">
        <v>1322</v>
      </c>
      <c r="B96" s="400"/>
      <c r="C96" s="400"/>
      <c r="D96" s="400"/>
      <c r="E96" s="937" t="s">
        <v>240</v>
      </c>
      <c r="F96" s="937" t="s">
        <v>240</v>
      </c>
      <c r="G96" s="400"/>
      <c r="H96" s="937" t="s">
        <v>240</v>
      </c>
      <c r="I96" s="937" t="s">
        <v>240</v>
      </c>
      <c r="J96" s="400"/>
      <c r="K96" s="400"/>
      <c r="L96" s="938"/>
    </row>
    <row r="97" spans="1:19" s="940" customFormat="1" x14ac:dyDescent="0.25">
      <c r="A97" s="937" t="s">
        <v>1316</v>
      </c>
      <c r="B97" s="400"/>
      <c r="C97" s="400"/>
      <c r="D97" s="400"/>
      <c r="E97" s="937" t="s">
        <v>240</v>
      </c>
      <c r="F97" s="937" t="s">
        <v>240</v>
      </c>
      <c r="G97" s="400"/>
      <c r="H97" s="937" t="s">
        <v>240</v>
      </c>
      <c r="I97" s="937" t="s">
        <v>240</v>
      </c>
      <c r="J97" s="400"/>
      <c r="K97" s="400"/>
      <c r="L97" s="938"/>
    </row>
    <row r="98" spans="1:19" s="940" customFormat="1" x14ac:dyDescent="0.25">
      <c r="A98" s="937" t="s">
        <v>1052</v>
      </c>
      <c r="B98" s="400"/>
      <c r="C98" s="400"/>
      <c r="D98" s="400"/>
      <c r="E98" s="937" t="s">
        <v>240</v>
      </c>
      <c r="F98" s="937" t="s">
        <v>240</v>
      </c>
      <c r="G98" s="400"/>
      <c r="H98" s="937" t="s">
        <v>240</v>
      </c>
      <c r="I98" s="937" t="s">
        <v>240</v>
      </c>
      <c r="J98" s="400"/>
      <c r="K98" s="400"/>
      <c r="L98" s="938"/>
    </row>
    <row r="99" spans="1:19" s="940" customFormat="1" x14ac:dyDescent="0.25">
      <c r="A99" s="937" t="s">
        <v>1317</v>
      </c>
      <c r="B99" s="400"/>
      <c r="C99" s="400"/>
      <c r="D99" s="400"/>
      <c r="E99" s="937" t="s">
        <v>240</v>
      </c>
      <c r="F99" s="937" t="s">
        <v>240</v>
      </c>
      <c r="G99" s="400"/>
      <c r="H99" s="937" t="s">
        <v>240</v>
      </c>
      <c r="I99" s="937" t="s">
        <v>240</v>
      </c>
      <c r="J99" s="400"/>
      <c r="K99" s="400"/>
      <c r="L99" s="938"/>
    </row>
    <row r="100" spans="1:19" s="940" customFormat="1" x14ac:dyDescent="0.25">
      <c r="A100" s="937" t="s">
        <v>1054</v>
      </c>
      <c r="B100" s="400"/>
      <c r="C100" s="400"/>
      <c r="D100" s="400"/>
      <c r="E100" s="937" t="s">
        <v>240</v>
      </c>
      <c r="F100" s="937" t="s">
        <v>240</v>
      </c>
      <c r="G100" s="400"/>
      <c r="H100" s="937" t="s">
        <v>240</v>
      </c>
      <c r="I100" s="937" t="s">
        <v>240</v>
      </c>
      <c r="J100" s="400"/>
      <c r="K100" s="400"/>
      <c r="L100" s="938"/>
    </row>
    <row r="101" spans="1:19" s="940" customFormat="1" x14ac:dyDescent="0.25">
      <c r="A101" s="937" t="s">
        <v>1318</v>
      </c>
      <c r="B101" s="400"/>
      <c r="C101" s="400"/>
      <c r="D101" s="400"/>
      <c r="E101" s="937" t="s">
        <v>240</v>
      </c>
      <c r="F101" s="937" t="s">
        <v>240</v>
      </c>
      <c r="G101" s="400"/>
      <c r="H101" s="937" t="s">
        <v>240</v>
      </c>
      <c r="I101" s="937" t="s">
        <v>240</v>
      </c>
      <c r="J101" s="400"/>
      <c r="K101" s="400"/>
      <c r="L101" s="938"/>
    </row>
    <row r="102" spans="1:19" s="940" customFormat="1" x14ac:dyDescent="0.25">
      <c r="A102" s="937" t="s">
        <v>1056</v>
      </c>
      <c r="B102" s="400"/>
      <c r="C102" s="400"/>
      <c r="D102" s="400"/>
      <c r="E102" s="937" t="s">
        <v>240</v>
      </c>
      <c r="F102" s="937" t="s">
        <v>240</v>
      </c>
      <c r="G102" s="400"/>
      <c r="H102" s="937" t="s">
        <v>240</v>
      </c>
      <c r="I102" s="937" t="s">
        <v>240</v>
      </c>
      <c r="J102" s="400"/>
      <c r="K102" s="400"/>
      <c r="L102" s="938"/>
    </row>
    <row r="103" spans="1:19" s="940" customFormat="1" x14ac:dyDescent="0.25">
      <c r="A103" s="937" t="s">
        <v>1319</v>
      </c>
      <c r="B103" s="400"/>
      <c r="C103" s="400"/>
      <c r="D103" s="400"/>
      <c r="E103" s="937" t="s">
        <v>240</v>
      </c>
      <c r="F103" s="937" t="s">
        <v>240</v>
      </c>
      <c r="G103" s="400"/>
      <c r="H103" s="937" t="s">
        <v>240</v>
      </c>
      <c r="I103" s="937" t="s">
        <v>240</v>
      </c>
      <c r="J103" s="400"/>
      <c r="K103" s="400"/>
      <c r="L103" s="938"/>
    </row>
    <row r="104" spans="1:19" s="940" customFormat="1" x14ac:dyDescent="0.25">
      <c r="A104" s="937" t="s">
        <v>1058</v>
      </c>
      <c r="B104" s="400"/>
      <c r="C104" s="400"/>
      <c r="D104" s="400"/>
      <c r="E104" s="937" t="s">
        <v>240</v>
      </c>
      <c r="F104" s="937" t="s">
        <v>240</v>
      </c>
      <c r="G104" s="400"/>
      <c r="H104" s="937" t="s">
        <v>240</v>
      </c>
      <c r="I104" s="937" t="s">
        <v>240</v>
      </c>
      <c r="J104" s="400"/>
      <c r="K104" s="400"/>
      <c r="L104" s="938"/>
    </row>
    <row r="105" spans="1:19" s="940" customFormat="1" x14ac:dyDescent="0.25">
      <c r="A105" s="937" t="s">
        <v>1320</v>
      </c>
      <c r="B105" s="400"/>
      <c r="C105" s="400"/>
      <c r="D105" s="400"/>
      <c r="E105" s="937" t="s">
        <v>240</v>
      </c>
      <c r="F105" s="937" t="s">
        <v>240</v>
      </c>
      <c r="G105" s="400"/>
      <c r="H105" s="937" t="s">
        <v>240</v>
      </c>
      <c r="I105" s="937" t="s">
        <v>240</v>
      </c>
      <c r="J105" s="400"/>
      <c r="K105" s="400"/>
      <c r="L105" s="938"/>
    </row>
    <row r="106" spans="1:19" s="940" customFormat="1" x14ac:dyDescent="0.25">
      <c r="A106" s="938"/>
      <c r="B106" s="938"/>
      <c r="C106" s="938"/>
      <c r="D106" s="938"/>
      <c r="E106" s="938"/>
      <c r="G106" s="229"/>
      <c r="H106" s="938"/>
      <c r="I106" s="938"/>
      <c r="J106" s="939"/>
      <c r="K106" s="938"/>
      <c r="L106" s="938"/>
      <c r="M106" s="938"/>
    </row>
    <row r="107" spans="1:19" s="940" customFormat="1" ht="15.75" thickBot="1" x14ac:dyDescent="0.3">
      <c r="A107" s="1055" t="s">
        <v>791</v>
      </c>
      <c r="B107" s="1033"/>
      <c r="C107" s="938"/>
      <c r="D107" s="938"/>
      <c r="E107" s="938"/>
      <c r="F107" s="938"/>
      <c r="G107" s="938"/>
      <c r="H107" s="938"/>
      <c r="I107" s="938"/>
      <c r="J107" s="938"/>
      <c r="K107" s="938"/>
      <c r="L107" s="938"/>
      <c r="M107" s="938"/>
    </row>
    <row r="108" spans="1:19" s="227" customFormat="1" ht="15.75" thickBot="1" x14ac:dyDescent="0.3">
      <c r="A108" s="2709" t="s">
        <v>830</v>
      </c>
      <c r="B108" s="2710"/>
      <c r="C108" s="2710"/>
      <c r="D108" s="2711"/>
      <c r="E108" s="1034"/>
      <c r="F108" s="1034"/>
      <c r="G108" s="1034"/>
      <c r="H108" s="1034"/>
      <c r="I108" s="1034"/>
      <c r="K108" s="2730"/>
      <c r="L108" s="2730"/>
      <c r="M108" s="2730"/>
      <c r="N108" s="2730"/>
      <c r="O108" s="2730"/>
      <c r="P108" s="2730"/>
      <c r="Q108" s="2730"/>
      <c r="R108" s="2730"/>
      <c r="S108" s="2730"/>
    </row>
    <row r="109" spans="1:19" s="227" customFormat="1" ht="15.75" thickBot="1" x14ac:dyDescent="0.3">
      <c r="A109" s="223" t="s">
        <v>5</v>
      </c>
      <c r="B109" s="152" t="s">
        <v>0</v>
      </c>
      <c r="C109" s="152" t="s">
        <v>1</v>
      </c>
      <c r="D109" s="152" t="s">
        <v>3</v>
      </c>
      <c r="E109" s="1034"/>
      <c r="F109" s="1034"/>
      <c r="G109" s="1035"/>
      <c r="H109" s="1034"/>
      <c r="I109" s="1034"/>
      <c r="K109" s="848"/>
      <c r="L109" s="989"/>
      <c r="M109" s="989"/>
      <c r="N109" s="848"/>
      <c r="O109" s="989"/>
      <c r="P109" s="989"/>
      <c r="Q109" s="848"/>
      <c r="R109" s="989"/>
      <c r="S109" s="989"/>
    </row>
    <row r="110" spans="1:19" s="227" customFormat="1" x14ac:dyDescent="0.25">
      <c r="A110" s="1014">
        <f>E91</f>
        <v>0</v>
      </c>
      <c r="B110" s="1015" t="str">
        <f ca="1">IFERROR(IF(Cabeçalho!$G$28="Unfors",INDIRECT(ADDRESS(A110,1,1,1,"medidas Unfors"),1),INDIRECT(ADDRESS(A110,1,1,1,"medidas Fluke"),1)),"")</f>
        <v/>
      </c>
      <c r="C110" s="1036" t="str">
        <f ca="1">IFERROR(IF(Cabeçalho!$G$28="Unfors",INDIRECT(ADDRESS(A110,3,1,1,"medidas Unfors"),1),INDIRECT(ADDRESS(A110,4,1,1,"medidas Fluke"),1)/1000),"")</f>
        <v/>
      </c>
      <c r="D110" s="1016" t="str">
        <f ca="1">IFERROR(IF(Cabeçalho!$G$28="Unfors",INDIRECT(ADDRESS(A110,7,1,1,"medidas Unfors"),1),INDIRECT(ADDRESS(A110,6,1,1,"medidas Fluke"),1)/1000),"")</f>
        <v/>
      </c>
      <c r="E110" s="1034"/>
      <c r="F110" s="1034"/>
      <c r="G110" s="1034"/>
      <c r="H110" s="1034"/>
      <c r="I110" s="1034"/>
      <c r="K110" s="703"/>
      <c r="L110" s="984"/>
      <c r="M110" s="984"/>
      <c r="N110" s="703"/>
      <c r="O110" s="984"/>
      <c r="P110" s="984"/>
      <c r="Q110" s="703"/>
      <c r="R110" s="984"/>
      <c r="S110" s="984"/>
    </row>
    <row r="111" spans="1:19" s="227" customFormat="1" x14ac:dyDescent="0.25">
      <c r="A111" s="1017">
        <f>F91</f>
        <v>0</v>
      </c>
      <c r="B111" s="1018" t="str">
        <f ca="1">IFERROR(IF(Cabeçalho!$G$28="Unfors",INDIRECT(ADDRESS(A111,1,1,1,"medidas Unfors"),1),INDIRECT(ADDRESS(A111,1,1,1,"medidas Fluke"),1)),"")</f>
        <v/>
      </c>
      <c r="C111" s="958" t="str">
        <f ca="1">IFERROR(IF(Cabeçalho!$G$28="Unfors",INDIRECT(ADDRESS(A111,3,1,1,"medidas Unfors"),1),INDIRECT(ADDRESS(A111,4,1,1,"medidas Fluke"),1)/1000),"")</f>
        <v/>
      </c>
      <c r="D111" s="1020" t="str">
        <f ca="1">IFERROR(IF(Cabeçalho!$G$28="Unfors",INDIRECT(ADDRESS(A111,7,1,1,"medidas Unfors"),1),INDIRECT(ADDRESS(A111,6,1,1,"medidas Fluke"),1)/1000),"")</f>
        <v/>
      </c>
      <c r="E111" s="1034"/>
      <c r="F111" s="1034"/>
      <c r="G111" s="1034"/>
      <c r="H111" s="1034"/>
      <c r="I111" s="1034"/>
      <c r="K111" s="703"/>
      <c r="L111" s="984"/>
      <c r="M111" s="984"/>
      <c r="N111" s="703"/>
      <c r="O111" s="984"/>
      <c r="P111" s="984"/>
      <c r="Q111" s="703"/>
      <c r="R111" s="984"/>
      <c r="S111" s="984"/>
    </row>
    <row r="112" spans="1:19" s="227" customFormat="1" x14ac:dyDescent="0.25">
      <c r="A112" s="1017">
        <f>G91</f>
        <v>0</v>
      </c>
      <c r="B112" s="1018" t="str">
        <f ca="1">IFERROR(IF(Cabeçalho!$G$28="Unfors",INDIRECT(ADDRESS(A112,1,1,1,"medidas Unfors"),1),INDIRECT(ADDRESS(A112,1,1,1,"medidas Fluke"),1)),"")</f>
        <v/>
      </c>
      <c r="C112" s="958" t="str">
        <f ca="1">IFERROR(IF(Cabeçalho!$G$28="Unfors",INDIRECT(ADDRESS(A112,3,1,1,"medidas Unfors"),1),INDIRECT(ADDRESS(A112,4,1,1,"medidas Fluke"),1)/1000),"")</f>
        <v/>
      </c>
      <c r="D112" s="1020" t="str">
        <f ca="1">IFERROR(IF(Cabeçalho!$G$28="Unfors",INDIRECT(ADDRESS(A112,7,1,1,"medidas Unfors"),1),INDIRECT(ADDRESS(A112,6,1,1,"medidas Fluke"),1)/1000),"")</f>
        <v/>
      </c>
      <c r="E112" s="1034"/>
      <c r="F112" s="1034"/>
      <c r="G112" s="1034"/>
      <c r="H112" s="1034"/>
      <c r="I112" s="1034"/>
      <c r="K112" s="703"/>
      <c r="L112" s="984"/>
      <c r="M112" s="984"/>
      <c r="N112" s="703"/>
      <c r="O112" s="984"/>
      <c r="P112" s="984"/>
      <c r="Q112" s="703"/>
      <c r="R112" s="984"/>
      <c r="S112" s="984"/>
    </row>
    <row r="113" spans="1:19" s="227" customFormat="1" x14ac:dyDescent="0.25">
      <c r="A113" s="1017">
        <f>H91</f>
        <v>0</v>
      </c>
      <c r="B113" s="1018" t="str">
        <f ca="1">IFERROR(IF(Cabeçalho!$G$28="Unfors",INDIRECT(ADDRESS(A113,1,1,1,"medidas Unfors"),1),INDIRECT(ADDRESS(A113,1,1,1,"medidas Fluke"),1)),"")</f>
        <v/>
      </c>
      <c r="C113" s="958" t="str">
        <f ca="1">IFERROR(IF(Cabeçalho!$G$28="Unfors",INDIRECT(ADDRESS(A113,3,1,1,"medidas Unfors"),1),INDIRECT(ADDRESS(A113,4,1,1,"medidas Fluke"),1)/1000),"")</f>
        <v/>
      </c>
      <c r="D113" s="1020" t="str">
        <f ca="1">IFERROR(IF(Cabeçalho!$G$28="Unfors",INDIRECT(ADDRESS(A113,7,1,1,"medidas Unfors"),1),INDIRECT(ADDRESS(A113,6,1,1,"medidas Fluke"),1)/1000),"")</f>
        <v/>
      </c>
      <c r="E113" s="1034"/>
      <c r="F113" s="1034"/>
      <c r="G113" s="1034"/>
      <c r="H113" s="1034"/>
      <c r="I113" s="1034"/>
      <c r="K113" s="703"/>
      <c r="L113" s="984"/>
      <c r="M113" s="984"/>
      <c r="N113" s="703"/>
      <c r="O113" s="984"/>
      <c r="P113" s="984"/>
      <c r="Q113" s="703"/>
      <c r="R113" s="984"/>
      <c r="S113" s="984"/>
    </row>
    <row r="114" spans="1:19" s="227" customFormat="1" ht="15.75" thickBot="1" x14ac:dyDescent="0.3">
      <c r="A114" s="1021">
        <f>I91</f>
        <v>0</v>
      </c>
      <c r="B114" s="1022" t="str">
        <f ca="1">IFERROR(IF(Cabeçalho!$G$28="Unfors",INDIRECT(ADDRESS(A114,1,1,1,"medidas Unfors"),1),INDIRECT(ADDRESS(A114,1,1,1,"medidas Fluke"),1)),"")</f>
        <v/>
      </c>
      <c r="C114" s="966" t="str">
        <f ca="1">IFERROR(IF(Cabeçalho!$G$28="Unfors",INDIRECT(ADDRESS(A114,3,1,1,"medidas Unfors"),1),INDIRECT(ADDRESS(A114,4,1,1,"medidas Fluke"),1)/1000),"")</f>
        <v/>
      </c>
      <c r="D114" s="1024" t="str">
        <f ca="1">IFERROR(IF(Cabeçalho!$G$28="Unfors",INDIRECT(ADDRESS(A114,7,1,1,"medidas Unfors"),1),INDIRECT(ADDRESS(A114,6,1,1,"medidas Fluke"),1)/1000),"")</f>
        <v/>
      </c>
      <c r="E114" s="1034"/>
      <c r="F114" s="1034"/>
      <c r="G114" s="1037"/>
      <c r="H114" s="1034"/>
      <c r="I114" s="1034"/>
      <c r="K114" s="703"/>
      <c r="L114" s="984"/>
      <c r="M114" s="984"/>
      <c r="N114" s="703"/>
      <c r="O114" s="984"/>
      <c r="P114" s="984"/>
      <c r="Q114" s="703"/>
      <c r="R114" s="984"/>
      <c r="S114" s="984"/>
    </row>
    <row r="115" spans="1:19" s="227" customFormat="1" ht="15.75" thickBot="1" x14ac:dyDescent="0.3">
      <c r="A115" s="1025" t="s">
        <v>6</v>
      </c>
      <c r="B115" s="1026" t="e">
        <f ca="1">(LARGE(B110:B114,1)-SMALL(B110:B114,1))/AVERAGE(B110:B114)*100</f>
        <v>#NUM!</v>
      </c>
      <c r="C115" s="1026" t="e">
        <f ca="1">(LARGE(C110:C114,1)-SMALL(C110:C114,1))/AVERAGE(C110:C114)*100</f>
        <v>#NUM!</v>
      </c>
      <c r="D115" s="1027" t="e">
        <f ca="1">(LARGE(D110:D114,1)-SMALL(D110:D114,1))/AVERAGE(D110:D114)*100</f>
        <v>#NUM!</v>
      </c>
      <c r="E115" s="1028" t="s">
        <v>10</v>
      </c>
      <c r="F115" s="1034"/>
      <c r="G115" s="1034"/>
      <c r="H115" s="1034"/>
      <c r="I115" s="1034"/>
      <c r="K115" s="703"/>
      <c r="L115" s="984"/>
      <c r="M115" s="984"/>
      <c r="N115" s="703"/>
      <c r="O115" s="984"/>
      <c r="P115" s="984"/>
      <c r="Q115" s="703"/>
      <c r="R115" s="984"/>
      <c r="S115" s="984"/>
    </row>
    <row r="117" spans="1:19" ht="15.75" thickBot="1" x14ac:dyDescent="0.3"/>
    <row r="118" spans="1:19" ht="15.75" thickBot="1" x14ac:dyDescent="0.3">
      <c r="A118" s="2724" t="s">
        <v>1373</v>
      </c>
      <c r="B118" s="2725"/>
      <c r="C118" s="2725"/>
      <c r="D118" s="2725"/>
      <c r="E118" s="2725"/>
      <c r="F118" s="2725"/>
      <c r="G118" s="2725"/>
      <c r="H118" s="2725"/>
      <c r="I118" s="2725"/>
      <c r="J118" s="2725"/>
      <c r="K118" s="2725"/>
      <c r="L118" s="2725"/>
      <c r="M118" s="2726"/>
    </row>
    <row r="119" spans="1:19" x14ac:dyDescent="0.25">
      <c r="A119" s="1039"/>
      <c r="B119" s="1039"/>
      <c r="C119" s="1039"/>
      <c r="D119" s="1039"/>
      <c r="E119" s="1038"/>
      <c r="F119" s="1035"/>
      <c r="G119" s="1035"/>
      <c r="H119" s="1035"/>
      <c r="I119" s="1035"/>
      <c r="J119" s="1035"/>
    </row>
    <row r="120" spans="1:19" ht="15.75" thickBot="1" x14ac:dyDescent="0.3">
      <c r="A120" s="1039"/>
      <c r="D120" s="1095" t="str">
        <f>IF(G66="Magnificação"," ← Você tem certeza? A princípio é para ser Contato!","")</f>
        <v/>
      </c>
      <c r="E120" s="1038"/>
      <c r="F120" s="1035"/>
      <c r="G120" s="1035"/>
      <c r="H120" s="1035"/>
      <c r="I120" s="1035"/>
      <c r="J120" s="1035"/>
    </row>
    <row r="121" spans="1:19" x14ac:dyDescent="0.25">
      <c r="A121" s="848"/>
      <c r="B121" s="850" t="s">
        <v>5</v>
      </c>
      <c r="C121" s="851" t="s">
        <v>199</v>
      </c>
      <c r="D121" s="852" t="s">
        <v>1</v>
      </c>
      <c r="E121" s="852" t="s">
        <v>3</v>
      </c>
      <c r="F121" s="853" t="s">
        <v>1216</v>
      </c>
      <c r="J121" s="1035"/>
    </row>
    <row r="122" spans="1:19" x14ac:dyDescent="0.25">
      <c r="A122" s="225" t="s">
        <v>375</v>
      </c>
      <c r="B122" s="854">
        <f>B91</f>
        <v>0</v>
      </c>
      <c r="C122" s="400">
        <f>B90</f>
        <v>0</v>
      </c>
      <c r="D122" s="849" t="str">
        <f ca="1">IFERROR(IF(Cabeçalho!$G$28="Unfors",INDIRECT(ADDRESS(B122,IF($B$87="Sensor CT",1,3),1,1,"medidas Unfors"),1),INDIRECT(ADDRESS(B122,4,1,1,"medidas Fluke"),1)/1000),"")</f>
        <v/>
      </c>
      <c r="E122" s="849" t="str">
        <f ca="1">IFERROR(IF(Cabeçalho!$G$28="Unfors",INDIRECT(ADDRESS(B122,7,1,1,"medidas Unfors"),1),INDIRECT(ADDRESS(B122,6,1,1,"medidas Fluke"),1)/1000),"")</f>
        <v/>
      </c>
      <c r="F122" s="855" t="str">
        <f ca="1">IFERROR(D122/C122,"")</f>
        <v/>
      </c>
      <c r="J122" s="1035"/>
    </row>
    <row r="123" spans="1:19" x14ac:dyDescent="0.25">
      <c r="A123" s="225" t="s">
        <v>473</v>
      </c>
      <c r="B123" s="854">
        <f>G91</f>
        <v>0</v>
      </c>
      <c r="C123" s="400">
        <f>G90</f>
        <v>0</v>
      </c>
      <c r="D123" s="849" t="str">
        <f ca="1">IFERROR(IF(Cabeçalho!$G$28="Unfors",INDIRECT(ADDRESS(B123,IF($B$87="Sensor CT",1,3),1,1,"medidas Unfors"),1),INDIRECT(ADDRESS(B123,4,1,1,"medidas Fluke"),1)/1000),"")</f>
        <v/>
      </c>
      <c r="E123" s="849" t="str">
        <f ca="1">IFERROR(IF(Cabeçalho!$G$28="Unfors",INDIRECT(ADDRESS(B123,7,1,1,"medidas Unfors"),1),INDIRECT(ADDRESS(B123,6,1,1,"medidas Fluke"),1)/1000),"")</f>
        <v/>
      </c>
      <c r="F123" s="855" t="str">
        <f ca="1">IFERROR(D123/C123,"")</f>
        <v/>
      </c>
      <c r="G123" s="1040" t="s">
        <v>1244</v>
      </c>
      <c r="J123" s="1035"/>
    </row>
    <row r="124" spans="1:19" x14ac:dyDescent="0.25">
      <c r="A124" s="225" t="s">
        <v>1321</v>
      </c>
      <c r="B124" s="854">
        <f>K91</f>
        <v>0</v>
      </c>
      <c r="C124" s="400">
        <f>K90</f>
        <v>0</v>
      </c>
      <c r="D124" s="849" t="str">
        <f ca="1">IFERROR(IF(Cabeçalho!$G$28="Unfors",INDIRECT(ADDRESS(B124,IF($B$87="Sensor CT",1,3),1,1,"medidas Unfors"),1),INDIRECT(ADDRESS(B124,4,1,1,"medidas Fluke"),1)/1000),"")</f>
        <v/>
      </c>
      <c r="E124" s="849" t="str">
        <f ca="1">IFERROR(IF(Cabeçalho!$G$28="Unfors",INDIRECT(ADDRESS(B124,7,1,1,"medidas Unfors"),1),INDIRECT(ADDRESS(B124,6,1,1,"medidas Fluke"),1)/1000),"")</f>
        <v/>
      </c>
      <c r="F124" s="855" t="str">
        <f ca="1">IFERROR(D124/C124,"")</f>
        <v/>
      </c>
      <c r="J124" s="1035"/>
    </row>
    <row r="125" spans="1:19" ht="15.75" thickBot="1" x14ac:dyDescent="0.3">
      <c r="B125" s="856" t="s">
        <v>474</v>
      </c>
      <c r="C125" s="857"/>
      <c r="D125" s="858" t="e">
        <f ca="1">ROUND((LARGE(D122:D124,1)-SMALL(D122:D124,1))/((LARGE(D122:D124,1)+SMALL(D122:D124,1))/2)*100,1)</f>
        <v>#NUM!</v>
      </c>
      <c r="E125" s="859" t="s">
        <v>10</v>
      </c>
      <c r="F125" s="860" t="e">
        <f ca="1">ROUND((LARGE(F122:F124,1)-SMALL(F122:F124,1))/((LARGE(F122:F124,1)+SMALL(F122:F124,1))/2)*100,1)</f>
        <v>#NUM!</v>
      </c>
      <c r="G125" s="1038" t="s">
        <v>1217</v>
      </c>
      <c r="J125" s="1035"/>
    </row>
    <row r="126" spans="1:19" x14ac:dyDescent="0.25">
      <c r="A126" s="1035"/>
      <c r="B126" s="1035"/>
      <c r="C126" s="1035"/>
      <c r="D126" s="1035"/>
      <c r="E126" s="1035"/>
      <c r="F126" s="1035"/>
      <c r="G126" s="1035"/>
      <c r="H126" s="1035"/>
      <c r="I126" s="1035"/>
      <c r="J126" s="1035"/>
    </row>
    <row r="127" spans="1:19" ht="15.75" thickBot="1" x14ac:dyDescent="0.3">
      <c r="A127" s="1035"/>
      <c r="B127" s="1035"/>
      <c r="C127" s="1035"/>
      <c r="D127" s="1035"/>
      <c r="E127" s="1035"/>
      <c r="F127" s="1035"/>
      <c r="G127" s="1035"/>
      <c r="H127" s="1035"/>
      <c r="I127" s="1035"/>
      <c r="J127" s="1035"/>
    </row>
    <row r="128" spans="1:19" ht="15.75" thickBot="1" x14ac:dyDescent="0.3">
      <c r="A128" s="2709" t="s">
        <v>1256</v>
      </c>
      <c r="B128" s="2710"/>
      <c r="C128" s="2710"/>
      <c r="D128" s="2710"/>
      <c r="E128" s="2710"/>
      <c r="F128" s="2710"/>
      <c r="G128" s="2710"/>
      <c r="H128" s="2710"/>
      <c r="I128" s="2710"/>
      <c r="J128" s="2710"/>
      <c r="K128" s="2710"/>
      <c r="L128" s="2710"/>
      <c r="M128" s="2710"/>
      <c r="N128" s="2711"/>
    </row>
    <row r="129" spans="1:14" x14ac:dyDescent="0.25">
      <c r="A129" s="2729" t="str">
        <f>"                    "&amp;A152</f>
        <v xml:space="preserve">                    Teste não aplicável! Chassis (de filme ou CR) são assessórios.</v>
      </c>
      <c r="B129" s="2729"/>
      <c r="C129" s="2729"/>
      <c r="D129" s="2729"/>
      <c r="E129" s="2729"/>
      <c r="F129" s="2729"/>
      <c r="G129" s="2729"/>
      <c r="H129" s="2729"/>
      <c r="I129" s="2729"/>
      <c r="J129" s="1035"/>
      <c r="L129" s="1920" t="s">
        <v>1637</v>
      </c>
      <c r="M129" s="848" t="s">
        <v>2003</v>
      </c>
      <c r="N129" s="1921" t="s">
        <v>2004</v>
      </c>
    </row>
    <row r="130" spans="1:14" x14ac:dyDescent="0.25">
      <c r="E130" s="1035"/>
      <c r="F130" s="1035"/>
      <c r="G130" s="1035"/>
      <c r="H130" s="1035"/>
      <c r="I130" s="1035"/>
      <c r="J130" s="1035"/>
      <c r="L130" s="1915">
        <v>20</v>
      </c>
      <c r="M130" s="1048">
        <v>115</v>
      </c>
      <c r="N130" s="1916">
        <v>105</v>
      </c>
    </row>
    <row r="131" spans="1:14" x14ac:dyDescent="0.25">
      <c r="B131" s="1041" t="s">
        <v>1002</v>
      </c>
      <c r="C131" s="892">
        <v>20</v>
      </c>
      <c r="D131" s="892">
        <v>45</v>
      </c>
      <c r="E131" s="892">
        <v>50</v>
      </c>
      <c r="F131" s="1042">
        <v>60</v>
      </c>
      <c r="G131" s="359"/>
      <c r="H131" s="359"/>
      <c r="I131" s="1042"/>
      <c r="J131" s="1035"/>
      <c r="L131" s="1915">
        <v>30</v>
      </c>
      <c r="M131" s="1048">
        <v>110</v>
      </c>
      <c r="N131" s="1916">
        <v>100</v>
      </c>
    </row>
    <row r="132" spans="1:14" x14ac:dyDescent="0.25">
      <c r="A132" s="1043" t="s">
        <v>1050</v>
      </c>
      <c r="B132" s="1041"/>
      <c r="C132" s="400">
        <f>B96</f>
        <v>0</v>
      </c>
      <c r="D132" s="400">
        <f>G96</f>
        <v>0</v>
      </c>
      <c r="E132" s="400">
        <f>J96</f>
        <v>0</v>
      </c>
      <c r="F132" s="400">
        <f>K96</f>
        <v>0</v>
      </c>
      <c r="G132" s="359"/>
      <c r="H132" s="359"/>
      <c r="I132" s="359"/>
      <c r="J132" s="1035"/>
      <c r="L132" s="1915">
        <v>40</v>
      </c>
      <c r="M132" s="1048">
        <v>105</v>
      </c>
      <c r="N132" s="1916">
        <v>95</v>
      </c>
    </row>
    <row r="133" spans="1:14" x14ac:dyDescent="0.25">
      <c r="A133" s="1043" t="s">
        <v>1051</v>
      </c>
      <c r="B133" s="1041" t="s">
        <v>1005</v>
      </c>
      <c r="C133" s="400">
        <f t="shared" ref="C133:C141" si="7">B97</f>
        <v>0</v>
      </c>
      <c r="D133" s="400">
        <f t="shared" ref="D133:D141" si="8">G97</f>
        <v>0</v>
      </c>
      <c r="E133" s="400">
        <f t="shared" ref="E133:E141" si="9">J97</f>
        <v>0</v>
      </c>
      <c r="F133" s="400">
        <f t="shared" ref="F133:F141" si="10">K97</f>
        <v>0</v>
      </c>
      <c r="G133" s="359"/>
      <c r="H133" s="359"/>
      <c r="I133" s="359"/>
      <c r="J133" s="1035"/>
      <c r="L133" s="1915">
        <v>45</v>
      </c>
      <c r="M133" s="1048">
        <v>103</v>
      </c>
      <c r="N133" s="1916">
        <v>93</v>
      </c>
    </row>
    <row r="134" spans="1:14" x14ac:dyDescent="0.25">
      <c r="A134" s="1043"/>
      <c r="B134" s="924" t="s">
        <v>1052</v>
      </c>
      <c r="C134" s="400">
        <f t="shared" si="7"/>
        <v>0</v>
      </c>
      <c r="D134" s="400">
        <f t="shared" si="8"/>
        <v>0</v>
      </c>
      <c r="E134" s="400">
        <f t="shared" si="9"/>
        <v>0</v>
      </c>
      <c r="F134" s="400">
        <f t="shared" si="10"/>
        <v>0</v>
      </c>
      <c r="G134" s="359"/>
      <c r="H134" s="359"/>
      <c r="I134" s="359"/>
      <c r="J134" s="1035"/>
      <c r="L134" s="1915">
        <v>50</v>
      </c>
      <c r="M134" s="1048">
        <v>100</v>
      </c>
      <c r="N134" s="1916">
        <v>90</v>
      </c>
    </row>
    <row r="135" spans="1:14" x14ac:dyDescent="0.25">
      <c r="A135" s="1043"/>
      <c r="B135" s="924" t="s">
        <v>1053</v>
      </c>
      <c r="C135" s="400">
        <f t="shared" si="7"/>
        <v>0</v>
      </c>
      <c r="D135" s="400">
        <f t="shared" si="8"/>
        <v>0</v>
      </c>
      <c r="E135" s="400">
        <f t="shared" si="9"/>
        <v>0</v>
      </c>
      <c r="F135" s="400">
        <f t="shared" si="10"/>
        <v>0</v>
      </c>
      <c r="G135" s="359"/>
      <c r="H135" s="359"/>
      <c r="I135" s="359"/>
      <c r="J135" s="1035"/>
      <c r="L135" s="1917">
        <v>60</v>
      </c>
      <c r="M135" s="1918">
        <v>95</v>
      </c>
      <c r="N135" s="1919">
        <v>85</v>
      </c>
    </row>
    <row r="136" spans="1:14" x14ac:dyDescent="0.25">
      <c r="A136" s="1043"/>
      <c r="B136" s="924" t="s">
        <v>1054</v>
      </c>
      <c r="C136" s="400">
        <f t="shared" si="7"/>
        <v>0</v>
      </c>
      <c r="D136" s="400">
        <f t="shared" si="8"/>
        <v>0</v>
      </c>
      <c r="E136" s="400">
        <f t="shared" si="9"/>
        <v>0</v>
      </c>
      <c r="F136" s="400">
        <f t="shared" si="10"/>
        <v>0</v>
      </c>
      <c r="G136" s="359"/>
      <c r="H136" s="359"/>
      <c r="I136" s="359"/>
      <c r="J136" s="1035"/>
      <c r="L136" s="227"/>
      <c r="M136" s="1048"/>
      <c r="N136" s="1048"/>
    </row>
    <row r="137" spans="1:14" x14ac:dyDescent="0.25">
      <c r="A137" s="1043"/>
      <c r="B137" s="924" t="s">
        <v>1055</v>
      </c>
      <c r="C137" s="400">
        <f t="shared" si="7"/>
        <v>0</v>
      </c>
      <c r="D137" s="400">
        <f t="shared" si="8"/>
        <v>0</v>
      </c>
      <c r="E137" s="400">
        <f t="shared" si="9"/>
        <v>0</v>
      </c>
      <c r="F137" s="400">
        <f t="shared" si="10"/>
        <v>0</v>
      </c>
      <c r="G137" s="359"/>
      <c r="H137" s="359"/>
      <c r="I137" s="359"/>
      <c r="J137" s="1035"/>
      <c r="M137" s="995"/>
      <c r="N137" s="995"/>
    </row>
    <row r="138" spans="1:14" x14ac:dyDescent="0.25">
      <c r="A138" s="1043"/>
      <c r="B138" s="924" t="s">
        <v>1056</v>
      </c>
      <c r="C138" s="400">
        <f t="shared" si="7"/>
        <v>0</v>
      </c>
      <c r="D138" s="400">
        <f t="shared" si="8"/>
        <v>0</v>
      </c>
      <c r="E138" s="400">
        <f t="shared" si="9"/>
        <v>0</v>
      </c>
      <c r="F138" s="400">
        <f t="shared" si="10"/>
        <v>0</v>
      </c>
      <c r="G138" s="359"/>
      <c r="H138" s="359"/>
      <c r="I138" s="359"/>
      <c r="J138" s="1035"/>
    </row>
    <row r="139" spans="1:14" x14ac:dyDescent="0.25">
      <c r="A139" s="1043"/>
      <c r="B139" s="924" t="s">
        <v>1057</v>
      </c>
      <c r="C139" s="400">
        <f t="shared" si="7"/>
        <v>0</v>
      </c>
      <c r="D139" s="400">
        <f t="shared" si="8"/>
        <v>0</v>
      </c>
      <c r="E139" s="400">
        <f t="shared" si="9"/>
        <v>0</v>
      </c>
      <c r="F139" s="400">
        <f t="shared" si="10"/>
        <v>0</v>
      </c>
      <c r="G139" s="359"/>
      <c r="H139" s="359"/>
      <c r="I139" s="359"/>
      <c r="J139" s="1035"/>
    </row>
    <row r="140" spans="1:14" x14ac:dyDescent="0.25">
      <c r="A140" s="1043"/>
      <c r="B140" s="924" t="s">
        <v>1058</v>
      </c>
      <c r="C140" s="400">
        <f t="shared" si="7"/>
        <v>0</v>
      </c>
      <c r="D140" s="400">
        <f t="shared" si="8"/>
        <v>0</v>
      </c>
      <c r="E140" s="400">
        <f t="shared" si="9"/>
        <v>0</v>
      </c>
      <c r="F140" s="400">
        <f t="shared" si="10"/>
        <v>0</v>
      </c>
      <c r="G140" s="359"/>
      <c r="H140" s="359"/>
      <c r="I140" s="359"/>
      <c r="J140" s="1035"/>
    </row>
    <row r="141" spans="1:14" x14ac:dyDescent="0.25">
      <c r="A141" s="1043"/>
      <c r="B141" s="924" t="s">
        <v>1059</v>
      </c>
      <c r="C141" s="400">
        <f t="shared" si="7"/>
        <v>0</v>
      </c>
      <c r="D141" s="400">
        <f t="shared" si="8"/>
        <v>0</v>
      </c>
      <c r="E141" s="400">
        <f t="shared" si="9"/>
        <v>0</v>
      </c>
      <c r="F141" s="400">
        <f t="shared" si="10"/>
        <v>0</v>
      </c>
      <c r="G141" s="359"/>
      <c r="H141" s="359"/>
      <c r="I141" s="359"/>
      <c r="J141" s="1035"/>
    </row>
    <row r="142" spans="1:14" x14ac:dyDescent="0.25">
      <c r="A142" s="1043"/>
      <c r="B142" s="1041" t="s">
        <v>1060</v>
      </c>
      <c r="C142" s="359">
        <f>AVERAGE(C134,C136,C138,C140)</f>
        <v>0</v>
      </c>
      <c r="D142" s="359">
        <f t="shared" ref="D142:I142" si="11">AVERAGE(D134,D136,D138,D140)</f>
        <v>0</v>
      </c>
      <c r="E142" s="359">
        <f t="shared" si="11"/>
        <v>0</v>
      </c>
      <c r="F142" s="359">
        <f>AVERAGE(F134,F136,F138,F140)</f>
        <v>0</v>
      </c>
      <c r="G142" s="359" t="e">
        <f t="shared" si="11"/>
        <v>#DIV/0!</v>
      </c>
      <c r="H142" s="359" t="e">
        <f t="shared" si="11"/>
        <v>#DIV/0!</v>
      </c>
      <c r="I142" s="359" t="e">
        <f t="shared" si="11"/>
        <v>#DIV/0!</v>
      </c>
      <c r="J142" s="1035"/>
    </row>
    <row r="143" spans="1:14" x14ac:dyDescent="0.25">
      <c r="A143" s="1043"/>
      <c r="B143" s="1041" t="s">
        <v>1061</v>
      </c>
      <c r="C143" s="359">
        <f>AVERAGE(C135,C137,C139,C141)</f>
        <v>0</v>
      </c>
      <c r="D143" s="359">
        <f t="shared" ref="D143:I143" si="12">AVERAGE(D135,D137,D139,D141)</f>
        <v>0</v>
      </c>
      <c r="E143" s="359">
        <f t="shared" si="12"/>
        <v>0</v>
      </c>
      <c r="F143" s="359">
        <f>AVERAGE(F135,F137,F139,F141)</f>
        <v>0</v>
      </c>
      <c r="G143" s="359" t="e">
        <f t="shared" si="12"/>
        <v>#DIV/0!</v>
      </c>
      <c r="H143" s="359" t="e">
        <f t="shared" si="12"/>
        <v>#DIV/0!</v>
      </c>
      <c r="I143" s="359" t="e">
        <f t="shared" si="12"/>
        <v>#DIV/0!</v>
      </c>
      <c r="J143" s="1035"/>
    </row>
    <row r="144" spans="1:14" x14ac:dyDescent="0.25">
      <c r="B144" s="1041" t="s">
        <v>1004</v>
      </c>
      <c r="C144" s="400" t="str">
        <f>IFERROR(ROUND(ABS((C132-C142)/((C133^2+C143^2)/2)^0.5),1),"NPA")</f>
        <v>NPA</v>
      </c>
      <c r="D144" s="400" t="str">
        <f t="shared" ref="D144:I144" si="13">IFERROR(ROUND(ABS((D132-D142)/((D133^2+D143^2)/2)^0.5),1),"NPA")</f>
        <v>NPA</v>
      </c>
      <c r="E144" s="400" t="str">
        <f t="shared" si="13"/>
        <v>NPA</v>
      </c>
      <c r="F144" s="400" t="str">
        <f t="shared" si="13"/>
        <v>NPA</v>
      </c>
      <c r="G144" s="400" t="str">
        <f t="shared" si="13"/>
        <v>NPA</v>
      </c>
      <c r="H144" s="400" t="str">
        <f t="shared" si="13"/>
        <v>NPA</v>
      </c>
      <c r="I144" s="400" t="str">
        <f t="shared" si="13"/>
        <v>NPA</v>
      </c>
      <c r="J144" s="1035"/>
    </row>
    <row r="145" spans="1:48" x14ac:dyDescent="0.25">
      <c r="B145" s="1041" t="s">
        <v>2007</v>
      </c>
      <c r="C145" s="924">
        <f>IFERROR(LOOKUP(C131,$L$130:$L$135,$M$130:$M$135),"")</f>
        <v>115</v>
      </c>
      <c r="D145" s="1403">
        <f t="shared" ref="D145:I145" si="14">LOOKUP(D131,$L$130:$L$135,$M$130:$M$135)</f>
        <v>103</v>
      </c>
      <c r="E145" s="1403">
        <f t="shared" si="14"/>
        <v>100</v>
      </c>
      <c r="F145" s="1403">
        <f t="shared" si="14"/>
        <v>95</v>
      </c>
      <c r="G145" s="1403" t="e">
        <f t="shared" si="14"/>
        <v>#N/A</v>
      </c>
      <c r="H145" s="1403" t="e">
        <f t="shared" si="14"/>
        <v>#N/A</v>
      </c>
      <c r="I145" s="1403" t="e">
        <f t="shared" si="14"/>
        <v>#N/A</v>
      </c>
      <c r="J145" s="1035"/>
    </row>
    <row r="146" spans="1:48" x14ac:dyDescent="0.25">
      <c r="B146" s="1041" t="s">
        <v>1003</v>
      </c>
      <c r="C146" s="1403">
        <f>IFERROR(LOOKUP(C131,$L$130:$L$135,$N$130:$N$135),"")</f>
        <v>105</v>
      </c>
      <c r="D146" s="1403">
        <f t="shared" ref="D146:I146" si="15">IFERROR(LOOKUP(D131,$L$130:$L$135,$N$130:$N$135),"")</f>
        <v>93</v>
      </c>
      <c r="E146" s="1403">
        <f t="shared" si="15"/>
        <v>90</v>
      </c>
      <c r="F146" s="1403">
        <f t="shared" si="15"/>
        <v>85</v>
      </c>
      <c r="G146" s="1403" t="str">
        <f t="shared" si="15"/>
        <v/>
      </c>
      <c r="H146" s="1403" t="str">
        <f t="shared" si="15"/>
        <v/>
      </c>
      <c r="I146" s="1403" t="str">
        <f t="shared" si="15"/>
        <v/>
      </c>
      <c r="J146" s="1035"/>
    </row>
    <row r="147" spans="1:48" x14ac:dyDescent="0.25">
      <c r="B147" s="1355" t="str">
        <f>B1</f>
        <v>IN 92</v>
      </c>
      <c r="C147" s="924" t="str">
        <f>IF(Cabeçalho!$G$20&lt;&gt;"Filme",IF(C149="NPA","NPA",IF(C149&gt;=C145,"Sim",IF(C149&lt;C146,"Restrição","Não"))),"NA")</f>
        <v>NPA</v>
      </c>
      <c r="D147" s="1403" t="str">
        <f>IF(Cabeçalho!$G$20&lt;&gt;"Filme",IF(D149="NPA","NPA",IF(D149&gt;=D145,"Sim",IF(D149&lt;D146,"Restrição","Não"))),"NA")</f>
        <v>NPA</v>
      </c>
      <c r="E147" s="1403" t="str">
        <f>IF(Cabeçalho!$G$20&lt;&gt;"Filme",IF(E149="NPA","NPA",IF(E149&gt;=E145,"Sim",IF(E149&lt;E146,"Restrição","Não"))),"NA")</f>
        <v>NPA</v>
      </c>
      <c r="F147" s="1403" t="str">
        <f>IF(Cabeçalho!$G$20&lt;&gt;"Filme",IF(F149="NPA","NPA",IF(F149&gt;=F145,"Sim",IF(F149&lt;F146,"Restrição","Não"))),"NA")</f>
        <v>NPA</v>
      </c>
      <c r="G147" s="1403" t="str">
        <f>IF(Cabeçalho!$G$20&lt;&gt;"Filme",IF(G149="NPA","NPA",IF(G149&gt;=G145,"Sim",IF(G149&lt;G146,"Restrição","Não"))),"NA")</f>
        <v>NPA</v>
      </c>
      <c r="H147" s="1403" t="str">
        <f>IF(Cabeçalho!$G$20&lt;&gt;"Filme",IF(H149="NPA","NPA",IF(H149&gt;=H145,"Sim",IF(H149&lt;H146,"Restrição","Não"))),"NA")</f>
        <v>NPA</v>
      </c>
      <c r="I147" s="1403" t="str">
        <f>IF(Cabeçalho!$G$20&lt;&gt;"Filme",IF(I149="NPA","NPA",IF(I149&gt;=I145,"Sim",IF(I149&lt;I146,"Restrição","Não"))),"NA")</f>
        <v>NPA</v>
      </c>
      <c r="J147" s="1035"/>
    </row>
    <row r="148" spans="1:48" x14ac:dyDescent="0.25">
      <c r="B148" s="1541" t="s">
        <v>2008</v>
      </c>
      <c r="C148" s="1403" t="str">
        <f>E144</f>
        <v>NPA</v>
      </c>
      <c r="E148" s="1906"/>
      <c r="F148" s="1906"/>
      <c r="G148" s="1906"/>
      <c r="H148" s="1906"/>
      <c r="I148" s="1906"/>
      <c r="J148" s="1035"/>
    </row>
    <row r="149" spans="1:48" x14ac:dyDescent="0.25">
      <c r="B149" s="848" t="s">
        <v>2002</v>
      </c>
      <c r="C149" s="989" t="str">
        <f>IFERROR(ROUND($C$148/C144*100,2),"NPA")</f>
        <v>NPA</v>
      </c>
      <c r="D149" s="1906" t="str">
        <f t="shared" ref="D149:I149" si="16">IFERROR(ROUND($C$148/D144*100,2),"NPA")</f>
        <v>NPA</v>
      </c>
      <c r="E149" s="1906" t="str">
        <f t="shared" si="16"/>
        <v>NPA</v>
      </c>
      <c r="F149" s="1906" t="str">
        <f t="shared" si="16"/>
        <v>NPA</v>
      </c>
      <c r="G149" s="1906" t="str">
        <f t="shared" si="16"/>
        <v>NPA</v>
      </c>
      <c r="H149" s="1906" t="str">
        <f t="shared" si="16"/>
        <v>NPA</v>
      </c>
      <c r="I149" s="1906" t="str">
        <f t="shared" si="16"/>
        <v>NPA</v>
      </c>
      <c r="J149" s="1035"/>
    </row>
    <row r="150" spans="1:48" s="228" customFormat="1" ht="15.75" thickBot="1" x14ac:dyDescent="0.3">
      <c r="A150" s="215"/>
      <c r="B150" s="215"/>
      <c r="C150" s="215"/>
      <c r="D150" s="215"/>
      <c r="E150" s="215"/>
      <c r="F150" s="215"/>
      <c r="G150" s="215"/>
      <c r="H150" s="215"/>
      <c r="I150" s="215"/>
      <c r="J150" s="215"/>
      <c r="K150" s="215"/>
      <c r="L150" s="215"/>
      <c r="M150" s="215"/>
      <c r="N150" s="215"/>
      <c r="O150" s="215"/>
      <c r="P150" s="215"/>
      <c r="Q150" s="215"/>
      <c r="R150" s="215"/>
      <c r="S150" s="215"/>
      <c r="T150" s="215"/>
      <c r="U150" s="215"/>
      <c r="V150" s="215"/>
      <c r="W150" s="215"/>
      <c r="X150" s="215"/>
      <c r="Y150" s="215"/>
      <c r="Z150" s="215"/>
      <c r="AA150" s="215"/>
      <c r="AB150" s="215"/>
      <c r="AC150" s="215"/>
      <c r="AD150" s="215"/>
      <c r="AE150" s="215"/>
      <c r="AF150" s="215"/>
      <c r="AG150" s="215"/>
      <c r="AH150" s="215"/>
      <c r="AI150" s="215"/>
      <c r="AJ150" s="215"/>
      <c r="AK150" s="215"/>
      <c r="AL150" s="215"/>
      <c r="AM150" s="215"/>
      <c r="AN150" s="215"/>
      <c r="AO150" s="215"/>
      <c r="AP150" s="215"/>
      <c r="AQ150" s="215"/>
      <c r="AR150" s="215"/>
      <c r="AS150" s="215"/>
      <c r="AT150" s="215"/>
      <c r="AU150" s="215"/>
      <c r="AV150" s="215"/>
    </row>
    <row r="151" spans="1:48" s="228" customFormat="1" ht="15.75" thickBot="1" x14ac:dyDescent="0.3">
      <c r="A151" s="2698" t="s">
        <v>2006</v>
      </c>
      <c r="B151" s="2699"/>
      <c r="C151" s="2699"/>
      <c r="D151" s="2699"/>
      <c r="E151" s="2699"/>
      <c r="F151" s="2699"/>
      <c r="G151" s="2706"/>
      <c r="H151" s="215"/>
      <c r="I151" s="215"/>
      <c r="J151" s="215"/>
      <c r="K151" s="215"/>
      <c r="L151" s="215"/>
      <c r="M151" s="215"/>
      <c r="N151" s="215"/>
      <c r="O151" s="215"/>
      <c r="P151" s="215"/>
      <c r="Q151" s="215"/>
      <c r="R151" s="215"/>
      <c r="S151" s="215"/>
      <c r="T151" s="215"/>
      <c r="U151" s="215"/>
      <c r="V151" s="215"/>
      <c r="W151" s="215"/>
      <c r="X151" s="215"/>
      <c r="Y151" s="215"/>
      <c r="Z151" s="215"/>
      <c r="AA151" s="215"/>
      <c r="AB151" s="215"/>
      <c r="AC151" s="215"/>
      <c r="AD151" s="215"/>
      <c r="AE151" s="215"/>
      <c r="AF151" s="215"/>
      <c r="AG151" s="215"/>
      <c r="AH151" s="215"/>
      <c r="AI151" s="215"/>
      <c r="AJ151" s="215"/>
      <c r="AK151" s="215"/>
      <c r="AL151" s="215"/>
      <c r="AM151" s="215"/>
      <c r="AN151" s="215"/>
      <c r="AO151" s="215"/>
      <c r="AP151" s="215"/>
      <c r="AQ151" s="215"/>
      <c r="AR151" s="215"/>
      <c r="AS151" s="215"/>
      <c r="AT151" s="215"/>
      <c r="AU151" s="215"/>
      <c r="AV151" s="215"/>
    </row>
    <row r="152" spans="1:48" s="227" customFormat="1" x14ac:dyDescent="0.25">
      <c r="A152" s="2728" t="str">
        <f>IF(Cabeçalho!$G$20="DR","","Teste não aplicável! Chassis (de filme ou CR) são assessórios.")</f>
        <v>Teste não aplicável! Chassis (de filme ou CR) são assessórios.</v>
      </c>
      <c r="B152" s="2728"/>
      <c r="C152" s="2728"/>
      <c r="D152" s="2728"/>
      <c r="E152" s="2728"/>
      <c r="F152" s="2728"/>
      <c r="G152" s="2728"/>
    </row>
    <row r="153" spans="1:48" s="227" customFormat="1" x14ac:dyDescent="0.25">
      <c r="A153" s="1039"/>
      <c r="B153" s="1039"/>
      <c r="C153" s="1039"/>
      <c r="D153" s="1039"/>
      <c r="E153" s="1039"/>
      <c r="F153" s="1039"/>
      <c r="G153" s="1039"/>
    </row>
    <row r="154" spans="1:48" x14ac:dyDescent="0.25">
      <c r="A154" s="635" t="s">
        <v>1067</v>
      </c>
      <c r="B154" s="635" t="s">
        <v>924</v>
      </c>
      <c r="C154" s="635" t="s">
        <v>1068</v>
      </c>
      <c r="D154" s="224" t="s">
        <v>1761</v>
      </c>
      <c r="E154" s="224" t="s">
        <v>10</v>
      </c>
      <c r="F154" s="955"/>
    </row>
    <row r="155" spans="1:48" x14ac:dyDescent="0.25">
      <c r="A155" s="709" t="s">
        <v>1069</v>
      </c>
      <c r="B155" s="708">
        <v>12</v>
      </c>
      <c r="C155" s="708"/>
      <c r="D155" s="225" t="e">
        <f>B155/C155</f>
        <v>#DIV/0!</v>
      </c>
      <c r="E155" s="980">
        <f>ABS(B155/$B$160-1)</f>
        <v>6.25E-2</v>
      </c>
    </row>
    <row r="156" spans="1:48" x14ac:dyDescent="0.25">
      <c r="A156" s="709" t="s">
        <v>1070</v>
      </c>
      <c r="B156" s="708">
        <v>13</v>
      </c>
      <c r="C156" s="708"/>
      <c r="D156" s="225" t="e">
        <f t="shared" ref="D156:D159" si="17">B156/C156</f>
        <v>#DIV/0!</v>
      </c>
      <c r="E156" s="980">
        <f t="shared" ref="E156:E159" si="18">ABS(B156/$B$160-1)</f>
        <v>1.5625E-2</v>
      </c>
    </row>
    <row r="157" spans="1:48" x14ac:dyDescent="0.25">
      <c r="A157" s="709" t="s">
        <v>1071</v>
      </c>
      <c r="B157" s="708">
        <v>14</v>
      </c>
      <c r="C157" s="708"/>
      <c r="D157" s="225" t="e">
        <f t="shared" si="17"/>
        <v>#DIV/0!</v>
      </c>
      <c r="E157" s="980">
        <f t="shared" si="18"/>
        <v>9.375E-2</v>
      </c>
    </row>
    <row r="158" spans="1:48" ht="15.75" thickBot="1" x14ac:dyDescent="0.3">
      <c r="A158" s="709" t="s">
        <v>1072</v>
      </c>
      <c r="B158" s="708">
        <v>13</v>
      </c>
      <c r="C158" s="708"/>
      <c r="D158" s="225" t="e">
        <f t="shared" si="17"/>
        <v>#DIV/0!</v>
      </c>
      <c r="E158" s="980">
        <f t="shared" si="18"/>
        <v>1.5625E-2</v>
      </c>
    </row>
    <row r="159" spans="1:48" x14ac:dyDescent="0.25">
      <c r="A159" s="709" t="s">
        <v>1073</v>
      </c>
      <c r="B159" s="708">
        <v>12</v>
      </c>
      <c r="C159" s="708"/>
      <c r="D159" s="225" t="e">
        <f t="shared" si="17"/>
        <v>#DIV/0!</v>
      </c>
      <c r="E159" s="980">
        <f t="shared" si="18"/>
        <v>6.25E-2</v>
      </c>
      <c r="F159" s="1924" t="str">
        <f>B1</f>
        <v>IN 92</v>
      </c>
      <c r="H159" s="705"/>
      <c r="I159" s="706"/>
    </row>
    <row r="160" spans="1:48" ht="15.75" thickBot="1" x14ac:dyDescent="0.3">
      <c r="A160" s="224" t="s">
        <v>563</v>
      </c>
      <c r="B160" s="225">
        <f>AVERAGE(B155:B159)</f>
        <v>12.8</v>
      </c>
      <c r="C160" s="225"/>
      <c r="D160" s="225"/>
      <c r="E160" s="1922">
        <f>LARGE(E155:E159,1)</f>
        <v>9.375E-2</v>
      </c>
      <c r="F160" s="1923" t="str">
        <f>IF(E160&gt;0.25,"Restrição",IF(E160&gt;0.15,"Não","Sim"))</f>
        <v>Sim</v>
      </c>
      <c r="H160" s="705"/>
      <c r="I160" s="706"/>
    </row>
    <row r="161" spans="1:14" ht="15.75" thickBot="1" x14ac:dyDescent="0.3">
      <c r="A161" s="224"/>
      <c r="B161" s="225"/>
      <c r="C161" s="225"/>
      <c r="D161" s="702"/>
      <c r="I161" s="225"/>
      <c r="J161" s="980"/>
      <c r="K161" s="226"/>
      <c r="L161" s="226"/>
      <c r="M161" s="225"/>
      <c r="N161" s="225"/>
    </row>
    <row r="162" spans="1:14" ht="15.75" thickBot="1" x14ac:dyDescent="0.3">
      <c r="A162" s="2698" t="s">
        <v>1485</v>
      </c>
      <c r="B162" s="2699"/>
      <c r="C162" s="2699"/>
      <c r="D162" s="702"/>
      <c r="I162" s="225"/>
      <c r="J162" s="980"/>
      <c r="K162" s="226"/>
      <c r="L162" s="226"/>
      <c r="M162" s="225"/>
      <c r="N162" s="225"/>
    </row>
    <row r="163" spans="1:14" x14ac:dyDescent="0.25">
      <c r="A163" s="2696" t="s">
        <v>1484</v>
      </c>
      <c r="B163" s="2697"/>
      <c r="C163" s="708" t="s">
        <v>273</v>
      </c>
      <c r="D163" s="702"/>
      <c r="I163" s="225"/>
      <c r="J163" s="980"/>
      <c r="K163" s="226"/>
      <c r="L163" s="226"/>
      <c r="M163" s="225"/>
      <c r="N163" s="225"/>
    </row>
    <row r="164" spans="1:14" ht="15.75" thickBot="1" x14ac:dyDescent="0.3">
      <c r="E164" s="1035"/>
      <c r="F164" s="1035"/>
      <c r="G164" s="1035"/>
      <c r="H164" s="1035"/>
      <c r="I164" s="1035"/>
      <c r="J164" s="1035"/>
    </row>
    <row r="165" spans="1:14" ht="15.75" thickBot="1" x14ac:dyDescent="0.3">
      <c r="A165" s="2687" t="s">
        <v>477</v>
      </c>
      <c r="B165" s="2688"/>
      <c r="C165" s="2688"/>
      <c r="D165" s="2688"/>
      <c r="E165" s="2688"/>
      <c r="F165" s="2689"/>
    </row>
    <row r="166" spans="1:14" x14ac:dyDescent="0.25">
      <c r="A166" s="2723" t="s">
        <v>478</v>
      </c>
      <c r="B166" s="2723"/>
      <c r="C166" s="1053" t="s">
        <v>272</v>
      </c>
      <c r="D166" s="228"/>
      <c r="E166" s="228"/>
      <c r="F166" s="228"/>
    </row>
    <row r="167" spans="1:14" ht="15.75" thickBot="1" x14ac:dyDescent="0.3">
      <c r="A167" s="1044" t="s">
        <v>1287</v>
      </c>
      <c r="B167" s="1044"/>
      <c r="C167" s="1100" t="s">
        <v>1288</v>
      </c>
      <c r="D167" s="228"/>
      <c r="E167" s="228"/>
      <c r="F167" s="228"/>
    </row>
    <row r="168" spans="1:14" s="225" customFormat="1" ht="30.75" customHeight="1" x14ac:dyDescent="0.25">
      <c r="A168" s="1925" t="s">
        <v>1804</v>
      </c>
      <c r="B168" s="641" t="s">
        <v>479</v>
      </c>
      <c r="C168" s="1101" t="s">
        <v>858</v>
      </c>
      <c r="D168" s="641" t="str">
        <f>B1</f>
        <v>IN 92</v>
      </c>
      <c r="E168" s="2713" t="s">
        <v>1218</v>
      </c>
      <c r="F168" s="2714"/>
    </row>
    <row r="169" spans="1:14" x14ac:dyDescent="0.25">
      <c r="A169" s="1045">
        <v>20</v>
      </c>
      <c r="B169" s="400"/>
      <c r="C169" s="849">
        <f>ABS(IF($C$167="mm indicado após compressão",A169,E169)-B169)</f>
        <v>20</v>
      </c>
      <c r="D169" s="849" t="str">
        <f>IF(B169="","NPA",IF(ABS(C169)&gt;10,"Restrição",IF(ABS(C169)&gt;5,"Não","Sim")))</f>
        <v>NPA</v>
      </c>
      <c r="E169" s="2715">
        <v>21</v>
      </c>
      <c r="F169" s="2716"/>
    </row>
    <row r="170" spans="1:14" x14ac:dyDescent="0.25">
      <c r="A170" s="1045">
        <v>30</v>
      </c>
      <c r="B170" s="400"/>
      <c r="C170" s="849">
        <f t="shared" ref="C170:C174" si="19">ABS(IF($C$167="mm indicado após compressão",A170,E170)-B170)</f>
        <v>30</v>
      </c>
      <c r="D170" s="849" t="str">
        <f t="shared" ref="D170:D174" si="20">IF(B170="","NPA",IF(ABS(C170)&gt;10,"Restrição",IF(ABS(C170)&gt;5,"Não","Sim")))</f>
        <v>NPA</v>
      </c>
      <c r="E170" s="2715">
        <v>32</v>
      </c>
      <c r="F170" s="2716"/>
    </row>
    <row r="171" spans="1:14" x14ac:dyDescent="0.25">
      <c r="A171" s="1045">
        <v>40</v>
      </c>
      <c r="B171" s="400"/>
      <c r="C171" s="849">
        <f t="shared" si="19"/>
        <v>40</v>
      </c>
      <c r="D171" s="849" t="str">
        <f t="shared" si="20"/>
        <v>NPA</v>
      </c>
      <c r="E171" s="2715">
        <v>45</v>
      </c>
      <c r="F171" s="2716"/>
    </row>
    <row r="172" spans="1:14" x14ac:dyDescent="0.25">
      <c r="A172" s="1045">
        <v>45</v>
      </c>
      <c r="B172" s="400"/>
      <c r="C172" s="849">
        <f t="shared" si="19"/>
        <v>45</v>
      </c>
      <c r="D172" s="849" t="str">
        <f t="shared" si="20"/>
        <v>NPA</v>
      </c>
      <c r="E172" s="2715">
        <v>53</v>
      </c>
      <c r="F172" s="2716"/>
    </row>
    <row r="173" spans="1:14" x14ac:dyDescent="0.25">
      <c r="A173" s="1045">
        <v>50</v>
      </c>
      <c r="B173" s="400"/>
      <c r="C173" s="849">
        <f t="shared" si="19"/>
        <v>50</v>
      </c>
      <c r="D173" s="849" t="str">
        <f t="shared" si="20"/>
        <v>NPA</v>
      </c>
      <c r="E173" s="2715">
        <v>60</v>
      </c>
      <c r="F173" s="2716"/>
    </row>
    <row r="174" spans="1:14" ht="15.75" thickBot="1" x14ac:dyDescent="0.3">
      <c r="A174" s="1046">
        <v>60</v>
      </c>
      <c r="B174" s="965"/>
      <c r="C174" s="1047">
        <f t="shared" si="19"/>
        <v>60</v>
      </c>
      <c r="D174" s="1047" t="str">
        <f t="shared" si="20"/>
        <v>NPA</v>
      </c>
      <c r="E174" s="2719">
        <v>75</v>
      </c>
      <c r="F174" s="2720"/>
    </row>
    <row r="176" spans="1:14" ht="15.75" thickBot="1" x14ac:dyDescent="0.3">
      <c r="A176" s="1035"/>
      <c r="B176" s="1035"/>
      <c r="C176" s="1035"/>
      <c r="D176" s="1035"/>
      <c r="E176" s="1035"/>
      <c r="F176" s="1035"/>
      <c r="G176" s="1035"/>
      <c r="H176" s="1035"/>
      <c r="I176" s="1035"/>
      <c r="J176" s="1035"/>
      <c r="K176" s="1035"/>
    </row>
    <row r="177" spans="1:55" s="228" customFormat="1" ht="15.75" thickBot="1" x14ac:dyDescent="0.3">
      <c r="A177" s="2687" t="s">
        <v>488</v>
      </c>
      <c r="B177" s="2688"/>
      <c r="C177" s="2688"/>
      <c r="D177" s="2689"/>
      <c r="E177" s="215"/>
      <c r="F177" s="215"/>
      <c r="G177" s="215"/>
      <c r="H177" s="215"/>
      <c r="I177" s="225"/>
      <c r="J177" s="980"/>
      <c r="K177" s="226"/>
      <c r="L177" s="226"/>
      <c r="M177" s="225"/>
      <c r="N177" s="225"/>
      <c r="O177" s="215"/>
      <c r="P177" s="215"/>
      <c r="Q177" s="215"/>
      <c r="R177" s="215"/>
      <c r="S177" s="215"/>
      <c r="T177" s="215"/>
      <c r="U177" s="215"/>
      <c r="V177" s="215"/>
      <c r="W177" s="215"/>
      <c r="X177" s="215"/>
      <c r="Y177" s="215"/>
      <c r="Z177" s="215"/>
      <c r="AA177" s="215"/>
      <c r="AB177" s="215"/>
      <c r="AC177" s="215"/>
      <c r="AD177" s="215"/>
      <c r="AE177" s="215"/>
      <c r="AF177" s="215"/>
      <c r="AG177" s="215"/>
      <c r="AH177" s="215"/>
      <c r="AI177" s="215"/>
      <c r="AJ177" s="215"/>
      <c r="AK177" s="215"/>
      <c r="AL177" s="215"/>
      <c r="AM177" s="215"/>
      <c r="AN177" s="215"/>
      <c r="AO177" s="215"/>
      <c r="AP177" s="215"/>
      <c r="AQ177" s="215"/>
      <c r="AR177" s="215"/>
      <c r="AS177" s="215"/>
      <c r="AT177" s="215"/>
      <c r="AU177" s="215"/>
      <c r="AV177" s="215"/>
      <c r="AW177" s="215"/>
      <c r="AX177" s="215"/>
      <c r="AY177" s="215"/>
      <c r="AZ177" s="215"/>
      <c r="BA177" s="215"/>
      <c r="BB177" s="215"/>
      <c r="BC177" s="215"/>
    </row>
    <row r="178" spans="1:55" s="228" customFormat="1" x14ac:dyDescent="0.25">
      <c r="A178" s="1050" t="s">
        <v>1062</v>
      </c>
      <c r="B178" s="1054"/>
      <c r="C178" s="955" t="s">
        <v>12</v>
      </c>
      <c r="D178" s="2721">
        <f>ABS(B178-B179)</f>
        <v>0</v>
      </c>
      <c r="E178" s="215"/>
      <c r="F178" s="215"/>
      <c r="G178" s="215"/>
      <c r="H178" s="215"/>
      <c r="I178" s="225"/>
      <c r="J178" s="980"/>
      <c r="K178" s="226"/>
      <c r="L178" s="226"/>
      <c r="M178" s="225"/>
      <c r="N178" s="225"/>
      <c r="O178" s="215"/>
      <c r="P178" s="215"/>
      <c r="Q178" s="215"/>
      <c r="R178" s="215"/>
      <c r="S178" s="215"/>
      <c r="T178" s="215"/>
      <c r="U178" s="215"/>
      <c r="V178" s="215"/>
      <c r="W178" s="215"/>
      <c r="X178" s="215"/>
      <c r="Y178" s="215"/>
      <c r="Z178" s="215"/>
      <c r="AA178" s="215"/>
      <c r="AB178" s="215"/>
      <c r="AC178" s="215"/>
      <c r="AD178" s="215"/>
      <c r="AE178" s="215"/>
      <c r="AF178" s="215"/>
      <c r="AG178" s="215"/>
      <c r="AH178" s="215"/>
      <c r="AI178" s="215"/>
      <c r="AJ178" s="215"/>
      <c r="AK178" s="215"/>
      <c r="AL178" s="215"/>
      <c r="AM178" s="215"/>
      <c r="AN178" s="215"/>
      <c r="AO178" s="215"/>
      <c r="AP178" s="215"/>
      <c r="AQ178" s="215"/>
      <c r="AR178" s="215"/>
      <c r="AS178" s="215"/>
      <c r="AT178" s="215"/>
      <c r="AU178" s="215"/>
      <c r="AV178" s="215"/>
      <c r="AW178" s="215"/>
      <c r="AX178" s="215"/>
      <c r="AY178" s="215"/>
      <c r="AZ178" s="215"/>
      <c r="BA178" s="215"/>
      <c r="BB178" s="215"/>
      <c r="BC178" s="215"/>
    </row>
    <row r="179" spans="1:55" s="228" customFormat="1" x14ac:dyDescent="0.25">
      <c r="A179" s="1050" t="s">
        <v>1063</v>
      </c>
      <c r="B179" s="1051"/>
      <c r="C179" s="955" t="s">
        <v>12</v>
      </c>
      <c r="D179" s="2718"/>
      <c r="E179" s="215"/>
      <c r="F179" s="215"/>
      <c r="G179" s="215"/>
      <c r="H179" s="215"/>
      <c r="I179" s="225"/>
      <c r="J179" s="980"/>
      <c r="K179" s="226"/>
      <c r="L179" s="226"/>
      <c r="M179" s="225"/>
      <c r="N179" s="225"/>
      <c r="O179" s="215"/>
      <c r="P179" s="215"/>
      <c r="Q179" s="215"/>
      <c r="R179" s="215"/>
      <c r="S179" s="215"/>
      <c r="T179" s="215"/>
      <c r="U179" s="215"/>
      <c r="V179" s="215"/>
      <c r="W179" s="215"/>
      <c r="X179" s="215"/>
      <c r="Y179" s="215"/>
      <c r="Z179" s="215"/>
      <c r="AA179" s="215"/>
      <c r="AB179" s="215"/>
      <c r="AC179" s="215"/>
      <c r="AD179" s="215"/>
      <c r="AE179" s="215"/>
      <c r="AF179" s="215"/>
      <c r="AG179" s="215"/>
      <c r="AH179" s="215"/>
      <c r="AI179" s="215"/>
      <c r="AJ179" s="215"/>
      <c r="AK179" s="215"/>
      <c r="AL179" s="215"/>
      <c r="AM179" s="215"/>
      <c r="AN179" s="215"/>
      <c r="AO179" s="215"/>
      <c r="AP179" s="215"/>
      <c r="AQ179" s="215"/>
      <c r="AR179" s="215"/>
      <c r="AS179" s="215"/>
      <c r="AT179" s="215"/>
      <c r="AU179" s="215"/>
      <c r="AV179" s="215"/>
      <c r="AW179" s="215"/>
      <c r="AX179" s="215"/>
      <c r="AY179" s="215"/>
      <c r="AZ179" s="215"/>
      <c r="BA179" s="215"/>
      <c r="BB179" s="215"/>
      <c r="BC179" s="215"/>
    </row>
    <row r="180" spans="1:55" s="228" customFormat="1" x14ac:dyDescent="0.25">
      <c r="A180" s="1050" t="s">
        <v>1064</v>
      </c>
      <c r="B180" s="1051"/>
      <c r="C180" s="955" t="s">
        <v>12</v>
      </c>
      <c r="D180" s="2717">
        <f>ABS(B180-B181)</f>
        <v>0</v>
      </c>
      <c r="E180" s="215"/>
      <c r="F180" s="215"/>
      <c r="G180" s="215"/>
      <c r="H180" s="215"/>
      <c r="I180" s="225"/>
      <c r="J180" s="980"/>
      <c r="K180" s="226"/>
      <c r="L180" s="226"/>
      <c r="M180" s="225"/>
      <c r="N180" s="225"/>
      <c r="O180" s="215"/>
      <c r="P180" s="215"/>
      <c r="Q180" s="215"/>
      <c r="R180" s="215"/>
      <c r="S180" s="215"/>
      <c r="T180" s="215"/>
      <c r="U180" s="215"/>
      <c r="V180" s="215"/>
      <c r="W180" s="215"/>
      <c r="X180" s="215"/>
      <c r="Y180" s="215"/>
      <c r="Z180" s="215"/>
      <c r="AA180" s="215"/>
      <c r="AB180" s="215"/>
      <c r="AC180" s="215"/>
      <c r="AD180" s="215"/>
      <c r="AE180" s="215"/>
      <c r="AF180" s="215"/>
      <c r="AG180" s="215"/>
      <c r="AH180" s="215"/>
      <c r="AI180" s="215"/>
      <c r="AJ180" s="215"/>
      <c r="AK180" s="215"/>
      <c r="AL180" s="215"/>
      <c r="AM180" s="215"/>
      <c r="AN180" s="215"/>
      <c r="AO180" s="215"/>
      <c r="AP180" s="215"/>
      <c r="AQ180" s="215"/>
      <c r="AR180" s="215"/>
      <c r="AS180" s="215"/>
      <c r="AT180" s="215"/>
      <c r="AU180" s="215"/>
      <c r="AV180" s="215"/>
      <c r="AW180" s="215"/>
      <c r="AX180" s="215"/>
      <c r="AY180" s="215"/>
      <c r="AZ180" s="215"/>
      <c r="BA180" s="215"/>
      <c r="BB180" s="215"/>
      <c r="BC180" s="215"/>
    </row>
    <row r="181" spans="1:55" s="228" customFormat="1" ht="15.75" thickBot="1" x14ac:dyDescent="0.3">
      <c r="A181" s="1050" t="s">
        <v>1065</v>
      </c>
      <c r="B181" s="808"/>
      <c r="C181" s="955" t="s">
        <v>12</v>
      </c>
      <c r="D181" s="2718"/>
      <c r="E181" s="215"/>
      <c r="F181" s="215"/>
      <c r="G181" s="215"/>
      <c r="H181" s="215"/>
      <c r="I181" s="225"/>
      <c r="J181" s="980"/>
      <c r="K181" s="226"/>
      <c r="L181" s="226"/>
      <c r="M181" s="225"/>
      <c r="N181" s="225"/>
      <c r="O181" s="215"/>
      <c r="P181" s="215"/>
      <c r="Q181" s="215"/>
      <c r="R181" s="215"/>
      <c r="S181" s="215"/>
      <c r="T181" s="215"/>
      <c r="U181" s="215"/>
      <c r="V181" s="215"/>
      <c r="W181" s="215"/>
      <c r="X181" s="215"/>
      <c r="Y181" s="215"/>
      <c r="Z181" s="215"/>
      <c r="AA181" s="215"/>
      <c r="AB181" s="215"/>
      <c r="AC181" s="215"/>
      <c r="AD181" s="215"/>
      <c r="AE181" s="215"/>
      <c r="AF181" s="215"/>
      <c r="AG181" s="215"/>
      <c r="AH181" s="215"/>
      <c r="AI181" s="215"/>
      <c r="AJ181" s="215"/>
      <c r="AK181" s="215"/>
      <c r="AL181" s="215"/>
      <c r="AM181" s="215"/>
      <c r="AN181" s="215"/>
      <c r="AO181" s="215"/>
      <c r="AP181" s="215"/>
      <c r="AQ181" s="215"/>
      <c r="AR181" s="215"/>
      <c r="AS181" s="215"/>
      <c r="AT181" s="215"/>
      <c r="AU181" s="215"/>
      <c r="AV181" s="215"/>
      <c r="AW181" s="215"/>
      <c r="AX181" s="215"/>
      <c r="AY181" s="215"/>
      <c r="AZ181" s="215"/>
      <c r="BA181" s="215"/>
      <c r="BB181" s="215"/>
      <c r="BC181" s="215"/>
    </row>
    <row r="182" spans="1:55" s="228" customFormat="1" x14ac:dyDescent="0.25">
      <c r="A182" s="973" t="s">
        <v>476</v>
      </c>
      <c r="B182" s="1010">
        <f>ROUND(LARGE(D178:D181,1)*10,1)</f>
        <v>0</v>
      </c>
      <c r="C182" s="1622" t="s">
        <v>32</v>
      </c>
      <c r="D182" s="215"/>
      <c r="F182" s="215"/>
      <c r="G182" s="215"/>
      <c r="H182" s="215"/>
      <c r="I182" s="225"/>
      <c r="J182" s="980"/>
      <c r="K182" s="226"/>
      <c r="L182" s="226"/>
      <c r="M182" s="225"/>
      <c r="N182" s="225"/>
      <c r="O182" s="215"/>
      <c r="P182" s="215"/>
      <c r="Q182" s="215"/>
      <c r="R182" s="215"/>
      <c r="S182" s="215"/>
      <c r="T182" s="215"/>
      <c r="U182" s="215"/>
      <c r="V182" s="215"/>
      <c r="W182" s="215"/>
      <c r="X182" s="215"/>
      <c r="Y182" s="215"/>
      <c r="Z182" s="215"/>
      <c r="AA182" s="215"/>
      <c r="AB182" s="215"/>
      <c r="AC182" s="215"/>
      <c r="AD182" s="215"/>
      <c r="AE182" s="215"/>
      <c r="AF182" s="215"/>
      <c r="AG182" s="215"/>
      <c r="AH182" s="215"/>
      <c r="AI182" s="215"/>
      <c r="AJ182" s="215"/>
      <c r="AK182" s="215"/>
      <c r="AL182" s="215"/>
      <c r="AM182" s="215"/>
      <c r="AN182" s="215"/>
      <c r="AO182" s="215"/>
      <c r="AP182" s="215"/>
      <c r="AQ182" s="215"/>
      <c r="AR182" s="215"/>
      <c r="AS182" s="215"/>
      <c r="AT182" s="215"/>
      <c r="AU182" s="215"/>
      <c r="AV182" s="215"/>
      <c r="AW182" s="215"/>
      <c r="AX182" s="215"/>
      <c r="AY182" s="215"/>
      <c r="AZ182" s="215"/>
      <c r="BA182" s="215"/>
      <c r="BB182" s="215"/>
      <c r="BC182" s="215"/>
    </row>
    <row r="183" spans="1:55" x14ac:dyDescent="0.25">
      <c r="A183" s="707"/>
      <c r="B183" s="703"/>
      <c r="C183" s="955"/>
      <c r="D183" s="702"/>
      <c r="I183" s="225"/>
      <c r="J183" s="980"/>
      <c r="K183" s="226"/>
      <c r="L183" s="226"/>
      <c r="M183" s="225"/>
      <c r="N183" s="225"/>
    </row>
    <row r="184" spans="1:55" ht="15.75" thickBot="1" x14ac:dyDescent="0.3">
      <c r="A184" s="707"/>
      <c r="B184" s="703"/>
      <c r="C184" s="955"/>
      <c r="D184" s="702"/>
      <c r="I184" s="225"/>
      <c r="J184" s="980"/>
      <c r="K184" s="226"/>
      <c r="L184" s="226"/>
      <c r="M184" s="225"/>
      <c r="N184" s="225"/>
    </row>
    <row r="185" spans="1:55" s="228" customFormat="1" ht="15.75" thickBot="1" x14ac:dyDescent="0.3">
      <c r="A185" s="2687" t="s">
        <v>316</v>
      </c>
      <c r="B185" s="2688"/>
      <c r="C185" s="2688"/>
      <c r="D185" s="2688"/>
      <c r="E185" s="2688"/>
      <c r="F185" s="2688"/>
      <c r="G185" s="2689"/>
      <c r="H185" s="225"/>
      <c r="I185" s="225"/>
      <c r="J185" s="980"/>
      <c r="K185" s="226"/>
      <c r="L185" s="226"/>
      <c r="M185" s="225"/>
      <c r="N185" s="225"/>
      <c r="O185" s="215"/>
      <c r="P185" s="215"/>
      <c r="Q185" s="215"/>
      <c r="R185" s="215"/>
      <c r="S185" s="215"/>
      <c r="T185" s="215"/>
      <c r="U185" s="215"/>
      <c r="V185" s="215"/>
      <c r="W185" s="215"/>
      <c r="X185" s="215"/>
      <c r="Y185" s="215"/>
      <c r="Z185" s="215"/>
      <c r="AA185" s="215"/>
      <c r="AB185" s="215"/>
      <c r="AC185" s="215"/>
      <c r="AD185" s="215"/>
      <c r="AE185" s="215"/>
      <c r="AF185" s="215"/>
      <c r="AG185" s="215"/>
      <c r="AH185" s="215"/>
      <c r="AI185" s="215"/>
      <c r="AJ185" s="215"/>
      <c r="AK185" s="215"/>
      <c r="AL185" s="215"/>
      <c r="AM185" s="215"/>
      <c r="AN185" s="215"/>
      <c r="AO185" s="215"/>
      <c r="AP185" s="215"/>
      <c r="AQ185" s="215"/>
      <c r="AR185" s="215"/>
      <c r="AS185" s="215"/>
      <c r="AT185" s="215"/>
      <c r="AU185" s="215"/>
      <c r="AV185" s="215"/>
      <c r="AW185" s="215"/>
      <c r="AX185" s="215"/>
      <c r="AY185" s="215"/>
      <c r="AZ185" s="215"/>
      <c r="BA185" s="215"/>
      <c r="BB185" s="215"/>
      <c r="BC185" s="215"/>
    </row>
    <row r="186" spans="1:55" s="228" customFormat="1" x14ac:dyDescent="0.25">
      <c r="A186" s="707" t="s">
        <v>317</v>
      </c>
      <c r="B186" s="224" t="str">
        <f>IF(B188&lt;&gt;"",A188,IF(B191&lt;&gt;"",A190,A193))</f>
        <v>Passos</v>
      </c>
      <c r="C186" s="955"/>
      <c r="D186" s="702"/>
      <c r="E186" s="215"/>
      <c r="F186" s="215"/>
      <c r="G186" s="215"/>
      <c r="H186" s="215"/>
      <c r="I186" s="225"/>
      <c r="J186" s="980"/>
      <c r="K186" s="226"/>
      <c r="L186" s="226"/>
      <c r="M186" s="225"/>
      <c r="N186" s="225"/>
      <c r="O186" s="215"/>
      <c r="P186" s="215"/>
      <c r="Q186" s="215"/>
      <c r="R186" s="215"/>
      <c r="S186" s="215"/>
      <c r="T186" s="215"/>
      <c r="U186" s="215"/>
      <c r="V186" s="215"/>
      <c r="W186" s="215"/>
      <c r="X186" s="215"/>
      <c r="Y186" s="215"/>
      <c r="Z186" s="215"/>
      <c r="AA186" s="215"/>
      <c r="AB186" s="215"/>
      <c r="AC186" s="215"/>
      <c r="AD186" s="215"/>
      <c r="AE186" s="215"/>
      <c r="AF186" s="215"/>
      <c r="AG186" s="215"/>
      <c r="AH186" s="215"/>
      <c r="AI186" s="215"/>
      <c r="AJ186" s="215"/>
      <c r="AK186" s="215"/>
      <c r="AL186" s="215"/>
      <c r="AM186" s="215"/>
      <c r="AN186" s="215"/>
      <c r="AO186" s="215"/>
      <c r="AP186" s="215"/>
      <c r="AQ186" s="215"/>
      <c r="AR186" s="215"/>
      <c r="AS186" s="215"/>
      <c r="AT186" s="215"/>
      <c r="AU186" s="215"/>
      <c r="AV186" s="215"/>
      <c r="AW186" s="215"/>
      <c r="AX186" s="215"/>
      <c r="AY186" s="215"/>
      <c r="AZ186" s="215"/>
      <c r="BA186" s="215"/>
      <c r="BB186" s="215"/>
      <c r="BC186" s="215"/>
    </row>
    <row r="187" spans="1:55" s="228" customFormat="1" x14ac:dyDescent="0.25">
      <c r="A187" s="702"/>
      <c r="B187" s="702"/>
      <c r="C187" s="702"/>
      <c r="D187" s="702"/>
      <c r="E187" s="215"/>
      <c r="F187" s="215"/>
      <c r="G187" s="215"/>
      <c r="H187" s="215"/>
      <c r="I187" s="225"/>
      <c r="J187" s="980"/>
      <c r="K187" s="226"/>
      <c r="L187" s="226"/>
      <c r="M187" s="225"/>
      <c r="N187" s="225"/>
      <c r="O187" s="215"/>
      <c r="P187" s="215"/>
      <c r="Q187" s="215"/>
      <c r="R187" s="215"/>
      <c r="S187" s="215"/>
      <c r="T187" s="215"/>
      <c r="U187" s="215"/>
      <c r="V187" s="215"/>
      <c r="W187" s="215"/>
      <c r="X187" s="215"/>
      <c r="Y187" s="215"/>
      <c r="Z187" s="215"/>
      <c r="AA187" s="215"/>
      <c r="AB187" s="215"/>
      <c r="AC187" s="215"/>
      <c r="AD187" s="215"/>
      <c r="AE187" s="215"/>
      <c r="AF187" s="215"/>
      <c r="AG187" s="215"/>
      <c r="AH187" s="215"/>
      <c r="AI187" s="215"/>
      <c r="AJ187" s="215"/>
      <c r="AK187" s="215"/>
      <c r="AL187" s="215"/>
      <c r="AM187" s="215"/>
      <c r="AN187" s="215"/>
      <c r="AO187" s="215"/>
      <c r="AP187" s="215"/>
      <c r="AQ187" s="215"/>
      <c r="AR187" s="215"/>
      <c r="AS187" s="215"/>
      <c r="AT187" s="215"/>
      <c r="AU187" s="215"/>
      <c r="AV187" s="215"/>
      <c r="AW187" s="215"/>
      <c r="AX187" s="215"/>
      <c r="AY187" s="215"/>
      <c r="AZ187" s="215"/>
      <c r="BA187" s="215"/>
      <c r="BB187" s="215"/>
      <c r="BC187" s="215"/>
    </row>
    <row r="188" spans="1:55" s="228" customFormat="1" x14ac:dyDescent="0.25">
      <c r="A188" s="707" t="s">
        <v>318</v>
      </c>
      <c r="B188" s="708"/>
      <c r="C188" s="955" t="s">
        <v>319</v>
      </c>
      <c r="D188" s="702"/>
      <c r="E188" s="215"/>
      <c r="F188" s="215"/>
      <c r="G188" s="215"/>
      <c r="H188" s="225"/>
      <c r="I188" s="980"/>
      <c r="J188" s="226"/>
      <c r="K188" s="226"/>
      <c r="L188" s="225"/>
      <c r="M188" s="225"/>
      <c r="N188" s="215"/>
      <c r="O188" s="215"/>
      <c r="P188" s="215"/>
      <c r="Q188" s="215"/>
      <c r="R188" s="215"/>
      <c r="S188" s="215"/>
      <c r="T188" s="215"/>
      <c r="U188" s="215"/>
      <c r="V188" s="215"/>
      <c r="W188" s="215"/>
      <c r="X188" s="215"/>
      <c r="Y188" s="215"/>
      <c r="Z188" s="215"/>
      <c r="AA188" s="215"/>
      <c r="AB188" s="215"/>
      <c r="AC188" s="215"/>
      <c r="AD188" s="215"/>
      <c r="AE188" s="215"/>
      <c r="AF188" s="215"/>
      <c r="AG188" s="215"/>
      <c r="AH188" s="215"/>
      <c r="AI188" s="215"/>
      <c r="AJ188" s="215"/>
      <c r="AK188" s="215"/>
      <c r="AL188" s="215"/>
      <c r="AM188" s="215"/>
      <c r="AN188" s="215"/>
      <c r="AO188" s="215"/>
      <c r="AP188" s="215"/>
      <c r="AQ188" s="215"/>
      <c r="AR188" s="215"/>
      <c r="AS188" s="215"/>
      <c r="AT188" s="215"/>
      <c r="AU188" s="215"/>
      <c r="AV188" s="215"/>
      <c r="AW188" s="215"/>
      <c r="AX188" s="215"/>
      <c r="AY188" s="215"/>
      <c r="AZ188" s="215"/>
      <c r="BA188" s="215"/>
      <c r="BB188" s="215"/>
    </row>
    <row r="189" spans="1:55" s="228" customFormat="1" x14ac:dyDescent="0.25">
      <c r="A189" s="707"/>
      <c r="B189" s="703"/>
      <c r="C189" s="945"/>
      <c r="D189" s="702"/>
      <c r="E189" s="215"/>
      <c r="F189" s="215"/>
      <c r="G189" s="215"/>
      <c r="H189" s="225"/>
      <c r="I189" s="980"/>
      <c r="J189" s="226"/>
      <c r="K189" s="226"/>
      <c r="L189" s="225"/>
      <c r="M189" s="225"/>
      <c r="N189" s="215"/>
      <c r="O189" s="215"/>
      <c r="P189" s="215"/>
      <c r="Q189" s="215"/>
      <c r="R189" s="215"/>
      <c r="S189" s="215"/>
      <c r="T189" s="215"/>
      <c r="U189" s="215"/>
      <c r="V189" s="215"/>
      <c r="W189" s="215"/>
      <c r="X189" s="215"/>
      <c r="Y189" s="215"/>
      <c r="Z189" s="215"/>
      <c r="AA189" s="215"/>
      <c r="AB189" s="215"/>
      <c r="AC189" s="215"/>
      <c r="AD189" s="215"/>
      <c r="AE189" s="215"/>
      <c r="AF189" s="215"/>
      <c r="AG189" s="215"/>
      <c r="AH189" s="215"/>
      <c r="AI189" s="215"/>
      <c r="AJ189" s="215"/>
      <c r="AK189" s="215"/>
      <c r="AL189" s="215"/>
      <c r="AM189" s="215"/>
      <c r="AN189" s="215"/>
      <c r="AO189" s="215"/>
      <c r="AP189" s="215"/>
      <c r="AQ189" s="215"/>
      <c r="AR189" s="215"/>
      <c r="AS189" s="215"/>
      <c r="AT189" s="215"/>
      <c r="AU189" s="215"/>
      <c r="AV189" s="215"/>
      <c r="AW189" s="215"/>
      <c r="AX189" s="215"/>
      <c r="AY189" s="215"/>
      <c r="AZ189" s="215"/>
      <c r="BA189" s="215"/>
      <c r="BB189" s="215"/>
    </row>
    <row r="190" spans="1:55" s="228" customFormat="1" x14ac:dyDescent="0.25">
      <c r="A190" s="705" t="s">
        <v>326</v>
      </c>
      <c r="B190" s="701" t="s">
        <v>320</v>
      </c>
      <c r="C190" s="224" t="s">
        <v>321</v>
      </c>
      <c r="D190" s="955"/>
      <c r="E190" s="215"/>
      <c r="F190" s="215"/>
      <c r="G190" s="215"/>
      <c r="H190" s="225"/>
      <c r="I190" s="980"/>
      <c r="J190" s="226"/>
      <c r="K190" s="226"/>
      <c r="L190" s="225"/>
      <c r="M190" s="225"/>
      <c r="N190" s="215"/>
      <c r="O190" s="215"/>
      <c r="P190" s="215"/>
      <c r="Q190" s="215"/>
      <c r="R190" s="215"/>
      <c r="S190" s="215"/>
      <c r="T190" s="215"/>
      <c r="U190" s="215"/>
      <c r="V190" s="215"/>
      <c r="W190" s="215"/>
      <c r="X190" s="215"/>
      <c r="Y190" s="215"/>
      <c r="Z190" s="215"/>
      <c r="AA190" s="215"/>
      <c r="AB190" s="215"/>
      <c r="AC190" s="215"/>
      <c r="AD190" s="215"/>
      <c r="AE190" s="215"/>
      <c r="AF190" s="215"/>
      <c r="AG190" s="215"/>
      <c r="AH190" s="215"/>
      <c r="AI190" s="215"/>
      <c r="AJ190" s="215"/>
      <c r="AK190" s="215"/>
      <c r="AL190" s="215"/>
      <c r="AM190" s="215"/>
      <c r="AN190" s="215"/>
      <c r="AO190" s="215"/>
      <c r="AP190" s="215"/>
      <c r="AQ190" s="215"/>
      <c r="AR190" s="215"/>
      <c r="AS190" s="215"/>
      <c r="AT190" s="215"/>
      <c r="AU190" s="215"/>
      <c r="AV190" s="215"/>
      <c r="AW190" s="215"/>
      <c r="AX190" s="215"/>
      <c r="AY190" s="215"/>
      <c r="AZ190" s="215"/>
      <c r="BA190" s="215"/>
      <c r="BB190" s="215"/>
    </row>
    <row r="191" spans="1:55" s="228" customFormat="1" x14ac:dyDescent="0.25">
      <c r="A191" s="705" t="s">
        <v>1066</v>
      </c>
      <c r="B191" s="708"/>
      <c r="C191" s="708"/>
      <c r="D191" s="215"/>
      <c r="E191" s="215"/>
      <c r="F191" s="215"/>
      <c r="G191" s="215"/>
      <c r="H191" s="225"/>
      <c r="I191" s="980"/>
      <c r="J191" s="226"/>
      <c r="K191" s="226"/>
      <c r="L191" s="225"/>
      <c r="M191" s="225"/>
      <c r="N191" s="215"/>
      <c r="O191" s="215"/>
      <c r="P191" s="215"/>
      <c r="Q191" s="215"/>
      <c r="R191" s="215"/>
      <c r="S191" s="215"/>
      <c r="T191" s="215"/>
      <c r="U191" s="215"/>
      <c r="V191" s="215"/>
      <c r="W191" s="215"/>
      <c r="X191" s="215"/>
      <c r="Y191" s="215"/>
      <c r="Z191" s="215"/>
      <c r="AA191" s="215"/>
      <c r="AB191" s="215"/>
      <c r="AC191" s="215"/>
      <c r="AD191" s="215"/>
      <c r="AE191" s="215"/>
      <c r="AF191" s="215"/>
      <c r="AG191" s="215"/>
      <c r="AH191" s="215"/>
      <c r="AI191" s="215"/>
      <c r="AJ191" s="215"/>
      <c r="AK191" s="215"/>
      <c r="AL191" s="215"/>
      <c r="AM191" s="215"/>
      <c r="AN191" s="215"/>
      <c r="AO191" s="215"/>
      <c r="AP191" s="215"/>
      <c r="AQ191" s="215"/>
      <c r="AR191" s="215"/>
      <c r="AS191" s="215"/>
      <c r="AT191" s="215"/>
      <c r="AU191" s="215"/>
      <c r="AV191" s="215"/>
      <c r="AW191" s="215"/>
      <c r="AX191" s="215"/>
      <c r="AY191" s="215"/>
      <c r="AZ191" s="215"/>
      <c r="BA191" s="215"/>
      <c r="BB191" s="215"/>
    </row>
    <row r="192" spans="1:55" s="228" customFormat="1" x14ac:dyDescent="0.25">
      <c r="A192" s="705"/>
      <c r="B192" s="706"/>
      <c r="C192" s="706"/>
      <c r="D192" s="215"/>
      <c r="E192" s="215"/>
      <c r="F192" s="215"/>
      <c r="G192" s="215"/>
      <c r="H192" s="225"/>
      <c r="I192" s="980"/>
      <c r="J192" s="226"/>
      <c r="K192" s="226"/>
      <c r="L192" s="225"/>
      <c r="M192" s="225"/>
      <c r="N192" s="215"/>
      <c r="O192" s="215"/>
      <c r="P192" s="215"/>
      <c r="Q192" s="215"/>
      <c r="R192" s="215"/>
      <c r="S192" s="215"/>
      <c r="T192" s="215"/>
      <c r="U192" s="215"/>
      <c r="V192" s="215"/>
      <c r="W192" s="215"/>
      <c r="X192" s="215"/>
      <c r="Y192" s="215"/>
      <c r="Z192" s="215"/>
      <c r="AA192" s="215"/>
      <c r="AB192" s="215"/>
      <c r="AC192" s="215"/>
      <c r="AD192" s="215"/>
      <c r="AE192" s="215"/>
      <c r="AF192" s="215"/>
      <c r="AG192" s="215"/>
      <c r="AH192" s="215"/>
      <c r="AI192" s="215"/>
      <c r="AJ192" s="215"/>
      <c r="AK192" s="215"/>
      <c r="AL192" s="215"/>
      <c r="AM192" s="215"/>
      <c r="AN192" s="215"/>
      <c r="AO192" s="215"/>
      <c r="AP192" s="215"/>
      <c r="AQ192" s="215"/>
      <c r="AR192" s="215"/>
      <c r="AS192" s="215"/>
      <c r="AT192" s="215"/>
      <c r="AU192" s="215"/>
      <c r="AV192" s="215"/>
      <c r="AW192" s="215"/>
      <c r="AX192" s="215"/>
      <c r="AY192" s="215"/>
      <c r="AZ192" s="215"/>
      <c r="BA192" s="215"/>
      <c r="BB192" s="215"/>
    </row>
    <row r="193" spans="1:47" s="228" customFormat="1" x14ac:dyDescent="0.25">
      <c r="A193" s="707" t="s">
        <v>325</v>
      </c>
      <c r="B193" s="708">
        <v>1</v>
      </c>
      <c r="C193" s="708">
        <v>2</v>
      </c>
      <c r="D193" s="708">
        <v>3</v>
      </c>
      <c r="E193" s="708">
        <v>4</v>
      </c>
      <c r="F193" s="708">
        <v>5</v>
      </c>
      <c r="G193" s="708">
        <v>6</v>
      </c>
      <c r="H193" s="215"/>
      <c r="I193" s="215"/>
      <c r="J193" s="215"/>
      <c r="N193" s="215"/>
      <c r="O193" s="215"/>
      <c r="P193" s="215"/>
      <c r="Q193" s="215"/>
      <c r="R193" s="215"/>
      <c r="S193" s="215"/>
      <c r="T193" s="215"/>
      <c r="U193" s="215"/>
      <c r="V193" s="215"/>
      <c r="W193" s="215"/>
      <c r="X193" s="215"/>
      <c r="Y193" s="215"/>
      <c r="Z193" s="215"/>
      <c r="AA193" s="215"/>
      <c r="AB193" s="215"/>
      <c r="AC193" s="215"/>
      <c r="AD193" s="215"/>
      <c r="AE193" s="215"/>
      <c r="AF193" s="215"/>
      <c r="AG193" s="215"/>
      <c r="AH193" s="215"/>
      <c r="AI193" s="215"/>
      <c r="AJ193" s="215"/>
      <c r="AK193" s="215"/>
      <c r="AL193" s="215"/>
      <c r="AM193" s="215"/>
      <c r="AN193" s="215"/>
      <c r="AO193" s="215"/>
      <c r="AP193" s="215"/>
      <c r="AQ193" s="215"/>
      <c r="AR193" s="215"/>
      <c r="AS193" s="215"/>
      <c r="AT193" s="215"/>
      <c r="AU193" s="215"/>
    </row>
    <row r="194" spans="1:47" s="228" customFormat="1" x14ac:dyDescent="0.25">
      <c r="A194" s="707" t="s">
        <v>1066</v>
      </c>
      <c r="B194" s="708"/>
      <c r="C194" s="708"/>
      <c r="D194" s="708"/>
      <c r="E194" s="708"/>
      <c r="F194" s="708"/>
      <c r="G194" s="708"/>
      <c r="H194" s="215"/>
      <c r="I194" s="215"/>
      <c r="J194" s="215"/>
      <c r="N194" s="215"/>
      <c r="O194" s="215"/>
      <c r="P194" s="215"/>
      <c r="Q194" s="215"/>
      <c r="R194" s="215"/>
      <c r="S194" s="215"/>
      <c r="T194" s="215"/>
      <c r="U194" s="215"/>
      <c r="V194" s="215"/>
      <c r="W194" s="215"/>
      <c r="X194" s="215"/>
      <c r="Y194" s="215"/>
      <c r="Z194" s="215"/>
      <c r="AA194" s="215"/>
      <c r="AB194" s="215"/>
      <c r="AC194" s="215"/>
      <c r="AD194" s="215"/>
      <c r="AE194" s="215"/>
      <c r="AF194" s="215"/>
      <c r="AG194" s="215"/>
      <c r="AH194" s="215"/>
      <c r="AI194" s="215"/>
      <c r="AJ194" s="215"/>
      <c r="AK194" s="215"/>
      <c r="AL194" s="215"/>
      <c r="AM194" s="215"/>
      <c r="AN194" s="215"/>
      <c r="AO194" s="215"/>
      <c r="AP194" s="215"/>
      <c r="AQ194" s="215"/>
      <c r="AR194" s="215"/>
      <c r="AS194" s="215"/>
      <c r="AT194" s="215"/>
      <c r="AU194" s="215"/>
    </row>
    <row r="195" spans="1:47" s="228" customFormat="1" x14ac:dyDescent="0.25">
      <c r="A195" s="215"/>
      <c r="B195" s="215"/>
      <c r="C195" s="215"/>
      <c r="D195" s="215"/>
      <c r="E195" s="215"/>
      <c r="F195" s="215"/>
      <c r="G195" s="215"/>
      <c r="H195" s="215"/>
      <c r="I195" s="215"/>
      <c r="J195" s="215"/>
      <c r="N195" s="215"/>
      <c r="O195" s="215"/>
      <c r="P195" s="215"/>
      <c r="Q195" s="215"/>
      <c r="R195" s="215"/>
      <c r="S195" s="215"/>
      <c r="T195" s="215"/>
      <c r="U195" s="215"/>
      <c r="V195" s="215"/>
      <c r="W195" s="215"/>
      <c r="X195" s="215"/>
      <c r="Y195" s="215"/>
      <c r="Z195" s="215"/>
      <c r="AA195" s="215"/>
      <c r="AB195" s="215"/>
      <c r="AC195" s="215"/>
      <c r="AD195" s="215"/>
      <c r="AE195" s="215"/>
      <c r="AF195" s="215"/>
      <c r="AG195" s="215"/>
      <c r="AH195" s="215"/>
      <c r="AI195" s="215"/>
      <c r="AJ195" s="215"/>
      <c r="AK195" s="215"/>
      <c r="AL195" s="215"/>
      <c r="AM195" s="215"/>
      <c r="AN195" s="215"/>
      <c r="AO195" s="215"/>
      <c r="AP195" s="215"/>
      <c r="AQ195" s="215"/>
      <c r="AR195" s="215"/>
      <c r="AS195" s="215"/>
      <c r="AT195" s="215"/>
      <c r="AU195" s="215"/>
    </row>
    <row r="196" spans="1:47" ht="15.75" thickBot="1" x14ac:dyDescent="0.3">
      <c r="A196" s="1035"/>
      <c r="B196" s="1035"/>
      <c r="C196" s="1035"/>
      <c r="D196" s="1035"/>
      <c r="E196" s="1035"/>
      <c r="F196" s="1035"/>
      <c r="G196" s="1035"/>
      <c r="H196" s="1035"/>
      <c r="I196" s="1035"/>
      <c r="J196" s="1035"/>
      <c r="K196" s="1035"/>
    </row>
    <row r="197" spans="1:47" ht="15.75" thickBot="1" x14ac:dyDescent="0.3">
      <c r="A197" s="2687" t="s">
        <v>2010</v>
      </c>
      <c r="B197" s="2688"/>
      <c r="C197" s="2688"/>
      <c r="D197" s="2688"/>
      <c r="E197" s="2688"/>
      <c r="F197" s="2688"/>
      <c r="G197" s="2689"/>
      <c r="H197" s="1035"/>
      <c r="I197" s="1035"/>
      <c r="J197" s="1035"/>
      <c r="K197" s="1035"/>
    </row>
    <row r="198" spans="1:47" x14ac:dyDescent="0.25">
      <c r="A198" s="1048" t="s">
        <v>1250</v>
      </c>
      <c r="B198" s="982">
        <f>IF(Cabeçalho!$G$20="Filme","Convencional",Cabeçalho!$G$20)</f>
        <v>0</v>
      </c>
      <c r="C198" s="1035"/>
      <c r="D198" s="1035"/>
      <c r="E198" s="1048"/>
      <c r="F198" s="1049"/>
      <c r="G198" s="1035"/>
      <c r="H198" s="1035"/>
      <c r="I198" s="1035"/>
      <c r="J198" s="1035"/>
      <c r="K198" s="1035"/>
    </row>
    <row r="199" spans="1:47" x14ac:dyDescent="0.25">
      <c r="A199" s="1048" t="s">
        <v>2807</v>
      </c>
      <c r="B199" s="1214"/>
      <c r="C199" s="1035"/>
      <c r="D199" s="1035"/>
      <c r="E199" s="1048"/>
      <c r="F199" s="1049"/>
      <c r="G199" s="1035"/>
      <c r="H199" s="1035"/>
      <c r="I199" s="1035"/>
      <c r="J199" s="1035"/>
      <c r="K199" s="1035"/>
    </row>
    <row r="200" spans="1:47" x14ac:dyDescent="0.25">
      <c r="A200" s="955" t="s">
        <v>283</v>
      </c>
      <c r="C200" s="1035"/>
      <c r="D200" s="1035"/>
      <c r="E200" s="1035"/>
      <c r="F200" s="1035"/>
      <c r="G200" s="1035"/>
      <c r="H200" s="1035"/>
      <c r="I200" s="1035"/>
      <c r="J200" s="1035"/>
      <c r="K200" s="1035"/>
    </row>
    <row r="201" spans="1:47" x14ac:dyDescent="0.25">
      <c r="A201" s="892" t="s">
        <v>16</v>
      </c>
      <c r="B201" s="1214"/>
      <c r="C201" s="1035"/>
      <c r="D201" s="1035"/>
      <c r="E201" s="1035"/>
      <c r="F201" s="1035"/>
      <c r="G201" s="1035"/>
      <c r="H201" s="1035"/>
      <c r="I201" s="1035"/>
      <c r="J201" s="1035"/>
      <c r="K201" s="1035"/>
    </row>
    <row r="202" spans="1:47" x14ac:dyDescent="0.25">
      <c r="A202" s="892" t="s">
        <v>13</v>
      </c>
      <c r="B202" s="1214"/>
      <c r="C202" s="1035"/>
      <c r="D202" s="1035"/>
      <c r="E202" s="1035"/>
      <c r="F202" s="1035"/>
      <c r="G202" s="1035"/>
      <c r="H202" s="1035"/>
      <c r="I202" s="1035"/>
      <c r="J202" s="1035"/>
      <c r="K202" s="1035"/>
    </row>
    <row r="203" spans="1:47" x14ac:dyDescent="0.25">
      <c r="A203" s="635" t="str">
        <f>IF(B203="TOR","Conjuntos visíveis","Melhor grade visível")</f>
        <v>Melhor grade visível</v>
      </c>
      <c r="B203" s="1214"/>
      <c r="C203" s="892" t="s">
        <v>1251</v>
      </c>
      <c r="D203" s="892" t="s">
        <v>1252</v>
      </c>
      <c r="E203" s="1035"/>
      <c r="F203" s="1035"/>
      <c r="G203" s="1035"/>
      <c r="H203" s="1035"/>
      <c r="I203" s="1035"/>
      <c r="J203" s="1035"/>
      <c r="K203" s="1035"/>
    </row>
    <row r="204" spans="1:47" x14ac:dyDescent="0.25">
      <c r="A204" s="635" t="s">
        <v>1716</v>
      </c>
      <c r="B204" s="911" t="str">
        <f>IFERROR(IF(B199="TOR",VLOOKUP(B203,TORCDR_REspacial[#All],2,FALSE),IF(B199="CoreView",B203,"")),"")</f>
        <v/>
      </c>
      <c r="C204" s="910" t="str">
        <f>IF($B$198="Convencional",12,"Digite")</f>
        <v>Digite</v>
      </c>
      <c r="D204" s="910" t="str">
        <f>IF($B$198="Convencional",10,"Digite")</f>
        <v>Digite</v>
      </c>
      <c r="E204" s="1049" t="str">
        <f>IF($B$198="Convencional",""," ←  Digite a especificação do fabricante")</f>
        <v xml:space="preserve"> ←  Digite a especificação do fabricante</v>
      </c>
      <c r="F204" s="1035"/>
      <c r="G204" s="1035"/>
      <c r="H204" s="1035"/>
      <c r="I204" s="1035"/>
      <c r="J204" s="1035"/>
      <c r="K204" s="1035"/>
    </row>
    <row r="205" spans="1:47" x14ac:dyDescent="0.25">
      <c r="A205" s="1541" t="str">
        <f>B1</f>
        <v>IN 92</v>
      </c>
      <c r="B205" s="1540" t="str">
        <f>IFERROR(IF(B204=0,"NPA",IF(AND(C204="Digite",D204="Digite"),"NPA",IF(B204&lt;D204,"Restrição",IF(B204&lt;C204,"Não","Sim")))),"NPA")</f>
        <v>NPA</v>
      </c>
      <c r="C205" s="1035"/>
      <c r="D205" s="1035"/>
      <c r="E205" s="1035"/>
      <c r="F205" s="1035"/>
      <c r="G205" s="1035"/>
      <c r="H205" s="1035"/>
      <c r="I205" s="1035"/>
      <c r="J205" s="1035"/>
      <c r="K205" s="1035"/>
    </row>
    <row r="206" spans="1:47" x14ac:dyDescent="0.25">
      <c r="A206" s="1035"/>
      <c r="B206" s="1035"/>
      <c r="C206" s="1035"/>
      <c r="D206" s="1035"/>
      <c r="E206" s="1035"/>
      <c r="F206" s="1035"/>
      <c r="G206" s="1035"/>
      <c r="H206" s="1035"/>
      <c r="I206" s="1035"/>
      <c r="J206" s="1035"/>
      <c r="K206" s="1035"/>
    </row>
    <row r="207" spans="1:47" x14ac:dyDescent="0.25">
      <c r="A207" s="955" t="s">
        <v>284</v>
      </c>
      <c r="C207" s="1035"/>
      <c r="D207" s="1035"/>
      <c r="E207" s="1035"/>
      <c r="F207" s="1035"/>
      <c r="G207" s="1035"/>
      <c r="H207" s="1035"/>
      <c r="I207" s="1035"/>
      <c r="J207" s="1035"/>
      <c r="K207" s="1035"/>
    </row>
    <row r="208" spans="1:47" x14ac:dyDescent="0.25">
      <c r="A208" s="892" t="s">
        <v>16</v>
      </c>
      <c r="B208" s="1214"/>
      <c r="C208" s="1035"/>
      <c r="D208" s="1035"/>
      <c r="E208" s="1035"/>
      <c r="F208" s="1035"/>
      <c r="G208" s="1035"/>
      <c r="H208" s="1035"/>
      <c r="I208" s="1035"/>
      <c r="J208" s="1035"/>
      <c r="K208" s="1035"/>
    </row>
    <row r="209" spans="1:55" x14ac:dyDescent="0.25">
      <c r="A209" s="892" t="s">
        <v>13</v>
      </c>
      <c r="B209" s="1214"/>
      <c r="C209" s="1035"/>
      <c r="D209" s="1035"/>
      <c r="E209" s="1035"/>
      <c r="F209" s="1035"/>
      <c r="G209" s="1035"/>
      <c r="H209" s="1035"/>
      <c r="I209" s="1035"/>
      <c r="J209" s="1035"/>
      <c r="K209" s="1035"/>
    </row>
    <row r="210" spans="1:55" x14ac:dyDescent="0.25">
      <c r="A210" s="1626" t="str">
        <f>IF(B210="TOR","Conjuntos visíveis","Melhor grade visível")</f>
        <v>Melhor grade visível</v>
      </c>
      <c r="B210" s="1214"/>
      <c r="C210" s="892" t="s">
        <v>1251</v>
      </c>
      <c r="D210" s="892" t="s">
        <v>1252</v>
      </c>
      <c r="E210" s="1035"/>
      <c r="F210" s="1035"/>
      <c r="G210" s="1035"/>
      <c r="H210" s="1035"/>
      <c r="I210" s="1035"/>
      <c r="J210" s="1035"/>
      <c r="K210" s="1035"/>
    </row>
    <row r="211" spans="1:55" x14ac:dyDescent="0.25">
      <c r="A211" s="1626" t="s">
        <v>1716</v>
      </c>
      <c r="B211" s="911" t="str">
        <f>IFERROR(IF(B199="TOR",VLOOKUP(B210,TORCDR_REspacial[#All],2,FALSE),IF(B199="CoreView",B210,"")),"")</f>
        <v/>
      </c>
      <c r="C211" s="910" t="str">
        <f>IF($B$198="Convencional",12,"Digite")</f>
        <v>Digite</v>
      </c>
      <c r="D211" s="910" t="str">
        <f>IF($B$198="Convencional",10,"Digite")</f>
        <v>Digite</v>
      </c>
      <c r="E211" s="1049" t="str">
        <f>IF($B$198="Convencional",""," ←  Digite a especificação do fabricante")</f>
        <v xml:space="preserve"> ←  Digite a especificação do fabricante</v>
      </c>
      <c r="F211" s="1035"/>
      <c r="G211" s="1035"/>
      <c r="H211" s="1035"/>
      <c r="I211" s="1035"/>
      <c r="J211" s="1035"/>
      <c r="K211" s="1035"/>
    </row>
    <row r="212" spans="1:55" x14ac:dyDescent="0.25">
      <c r="A212" s="1541">
        <f>B6</f>
        <v>0</v>
      </c>
      <c r="B212" s="1540" t="str">
        <f>IFERROR(IF(B211=0,"NPA",IF(AND(C211="Digite",D211="Digite"),"NPA",IF(B211&lt;D211,"Restrição",IF(B211&lt;C211,"Não","Sim")))),"NPA")</f>
        <v>NPA</v>
      </c>
      <c r="C212" s="1035"/>
      <c r="D212" s="1035"/>
      <c r="E212" s="1035"/>
      <c r="F212" s="1035"/>
      <c r="G212" s="1035"/>
      <c r="H212" s="1035"/>
      <c r="I212" s="1035"/>
      <c r="J212" s="1035"/>
      <c r="K212" s="1035"/>
    </row>
    <row r="213" spans="1:55" x14ac:dyDescent="0.25">
      <c r="A213" s="1035"/>
      <c r="B213" s="1035"/>
      <c r="C213" s="1035"/>
      <c r="D213" s="1035"/>
      <c r="E213" s="1035"/>
      <c r="F213" s="1035"/>
      <c r="G213" s="1035"/>
      <c r="H213" s="1035"/>
      <c r="I213" s="1035"/>
      <c r="J213" s="1035"/>
      <c r="K213" s="1035"/>
    </row>
    <row r="214" spans="1:55" ht="15.75" thickBot="1" x14ac:dyDescent="0.3">
      <c r="A214" s="1035"/>
      <c r="B214" s="1035"/>
      <c r="C214" s="1035"/>
      <c r="D214" s="1035"/>
      <c r="E214" s="1035"/>
      <c r="F214" s="1035"/>
      <c r="G214" s="1035"/>
      <c r="H214" s="1035"/>
      <c r="I214" s="1035"/>
      <c r="J214" s="1035"/>
      <c r="K214" s="1035"/>
    </row>
    <row r="215" spans="1:55" s="228" customFormat="1" ht="15.75" thickBot="1" x14ac:dyDescent="0.3">
      <c r="A215" s="2687" t="s">
        <v>111</v>
      </c>
      <c r="B215" s="2688"/>
      <c r="C215" s="2688"/>
      <c r="D215" s="2688"/>
      <c r="E215" s="2689"/>
      <c r="F215" s="215"/>
      <c r="G215" s="215"/>
      <c r="H215" s="215"/>
      <c r="I215" s="225"/>
      <c r="J215" s="225"/>
      <c r="K215" s="225"/>
      <c r="L215" s="225"/>
      <c r="M215" s="225"/>
      <c r="N215" s="225"/>
      <c r="O215" s="225"/>
      <c r="P215" s="215"/>
      <c r="Q215" s="215"/>
      <c r="R215" s="215"/>
      <c r="S215" s="215"/>
      <c r="T215" s="215"/>
      <c r="U215" s="215"/>
      <c r="V215" s="215"/>
      <c r="W215" s="215"/>
      <c r="X215" s="215"/>
      <c r="Y215" s="215"/>
      <c r="Z215" s="215"/>
      <c r="AA215" s="215"/>
      <c r="AB215" s="215"/>
      <c r="AC215" s="215"/>
      <c r="AD215" s="215"/>
      <c r="AE215" s="215"/>
      <c r="AF215" s="215"/>
      <c r="AG215" s="215"/>
      <c r="AH215" s="215"/>
      <c r="AI215" s="215"/>
      <c r="AJ215" s="215"/>
      <c r="AK215" s="215"/>
      <c r="AL215" s="215"/>
      <c r="AM215" s="215"/>
      <c r="AN215" s="215"/>
      <c r="AO215" s="215"/>
      <c r="AP215" s="215"/>
      <c r="AQ215" s="215"/>
      <c r="AR215" s="215"/>
      <c r="AS215" s="215"/>
      <c r="AT215" s="215"/>
      <c r="AU215" s="215"/>
      <c r="AV215" s="215"/>
      <c r="AW215" s="215"/>
      <c r="AX215" s="215"/>
      <c r="AY215" s="215"/>
      <c r="AZ215" s="215"/>
      <c r="BA215" s="215"/>
      <c r="BB215" s="215"/>
      <c r="BC215" s="215"/>
    </row>
    <row r="216" spans="1:55" x14ac:dyDescent="0.25">
      <c r="A216" s="1039"/>
      <c r="B216" s="1039"/>
      <c r="C216" s="1039"/>
      <c r="D216" s="1039"/>
      <c r="E216" s="1039"/>
      <c r="I216" s="225"/>
      <c r="J216" s="225"/>
      <c r="K216" s="225"/>
      <c r="L216" s="225"/>
      <c r="M216" s="225"/>
      <c r="N216" s="225"/>
      <c r="O216" s="225"/>
    </row>
    <row r="217" spans="1:55" s="228" customFormat="1" x14ac:dyDescent="0.25">
      <c r="A217" s="635" t="s">
        <v>161</v>
      </c>
      <c r="B217" s="400" t="s">
        <v>441</v>
      </c>
      <c r="C217" s="215"/>
      <c r="D217" s="215"/>
      <c r="E217" s="215"/>
      <c r="F217" s="215"/>
      <c r="G217" s="215"/>
      <c r="H217" s="215"/>
      <c r="I217" s="225"/>
      <c r="J217" s="215"/>
      <c r="K217" s="215"/>
      <c r="L217" s="225"/>
      <c r="M217" s="225"/>
      <c r="N217" s="225"/>
      <c r="O217" s="225"/>
      <c r="P217" s="215"/>
      <c r="Q217" s="215"/>
      <c r="R217" s="215"/>
      <c r="S217" s="215"/>
      <c r="T217" s="215"/>
      <c r="U217" s="215"/>
      <c r="V217" s="215"/>
      <c r="W217" s="215"/>
      <c r="X217" s="215"/>
      <c r="Y217" s="215"/>
      <c r="Z217" s="215"/>
      <c r="AA217" s="215"/>
      <c r="AB217" s="215"/>
      <c r="AC217" s="215"/>
      <c r="AD217" s="215"/>
      <c r="AE217" s="215"/>
      <c r="AF217" s="215"/>
      <c r="AG217" s="215"/>
      <c r="AH217" s="215"/>
      <c r="AI217" s="215"/>
      <c r="AJ217" s="215"/>
      <c r="AK217" s="215"/>
      <c r="AL217" s="215"/>
      <c r="AM217" s="215"/>
      <c r="AN217" s="215"/>
      <c r="AO217" s="215"/>
      <c r="AP217" s="215"/>
      <c r="AQ217" s="215"/>
      <c r="AR217" s="215"/>
      <c r="AS217" s="215"/>
      <c r="AT217" s="215"/>
      <c r="AU217" s="215"/>
      <c r="AV217" s="215"/>
      <c r="AW217" s="215"/>
      <c r="AX217" s="215"/>
      <c r="AY217" s="215"/>
      <c r="AZ217" s="215"/>
      <c r="BA217" s="215"/>
      <c r="BB217" s="215"/>
      <c r="BC217" s="215"/>
    </row>
    <row r="218" spans="1:55" s="228" customFormat="1" x14ac:dyDescent="0.25">
      <c r="A218" s="892" t="s">
        <v>1253</v>
      </c>
      <c r="B218" s="400">
        <v>62</v>
      </c>
      <c r="C218" s="945" t="s">
        <v>1074</v>
      </c>
      <c r="D218" s="227"/>
      <c r="E218" s="227"/>
      <c r="F218" s="215"/>
      <c r="G218" s="215"/>
      <c r="H218" s="215"/>
      <c r="I218" s="225"/>
      <c r="J218" s="215"/>
      <c r="K218" s="215"/>
      <c r="L218" s="226"/>
      <c r="M218" s="225"/>
      <c r="N218" s="225"/>
      <c r="O218" s="215"/>
      <c r="P218" s="215"/>
      <c r="Q218" s="215"/>
      <c r="R218" s="215"/>
      <c r="S218" s="215"/>
      <c r="T218" s="215"/>
      <c r="U218" s="215"/>
      <c r="V218" s="215"/>
      <c r="W218" s="215"/>
      <c r="X218" s="215"/>
      <c r="Y218" s="215"/>
      <c r="Z218" s="215"/>
      <c r="AA218" s="215"/>
      <c r="AB218" s="215"/>
      <c r="AC218" s="215"/>
      <c r="AD218" s="215"/>
      <c r="AE218" s="215"/>
      <c r="AF218" s="215"/>
      <c r="AG218" s="215"/>
      <c r="AH218" s="215"/>
      <c r="AI218" s="215"/>
      <c r="AJ218" s="215"/>
      <c r="AK218" s="215"/>
      <c r="AL218" s="215"/>
      <c r="AM218" s="215"/>
      <c r="AN218" s="215"/>
      <c r="AO218" s="215"/>
      <c r="AP218" s="215"/>
      <c r="AQ218" s="215"/>
      <c r="AR218" s="215"/>
      <c r="AS218" s="215"/>
      <c r="AT218" s="215"/>
      <c r="AU218" s="215"/>
      <c r="AV218" s="215"/>
      <c r="AW218" s="215"/>
      <c r="AX218" s="215"/>
      <c r="AY218" s="215"/>
      <c r="AZ218" s="215"/>
      <c r="BA218" s="215"/>
      <c r="BB218" s="215"/>
      <c r="BC218" s="215"/>
    </row>
    <row r="219" spans="1:55" s="228" customFormat="1" x14ac:dyDescent="0.25">
      <c r="A219" s="635" t="s">
        <v>1254</v>
      </c>
      <c r="B219" s="400">
        <v>1.2</v>
      </c>
      <c r="C219" s="710" t="s">
        <v>1074</v>
      </c>
      <c r="D219" s="1927">
        <f>B219/$B$218</f>
        <v>1.935483870967742E-2</v>
      </c>
      <c r="E219" s="227"/>
      <c r="F219" s="215"/>
      <c r="G219" s="215"/>
      <c r="H219" s="215"/>
      <c r="I219" s="225"/>
      <c r="J219" s="215"/>
      <c r="K219" s="215"/>
      <c r="L219" s="226"/>
      <c r="M219" s="225"/>
      <c r="N219" s="225"/>
      <c r="O219" s="215"/>
      <c r="P219" s="215"/>
      <c r="Q219" s="215"/>
      <c r="R219" s="215"/>
      <c r="S219" s="215"/>
      <c r="T219" s="215"/>
      <c r="U219" s="215"/>
      <c r="V219" s="215"/>
      <c r="W219" s="215"/>
      <c r="X219" s="215"/>
      <c r="Y219" s="215"/>
      <c r="Z219" s="215"/>
      <c r="AA219" s="215"/>
      <c r="AB219" s="215"/>
      <c r="AC219" s="215"/>
      <c r="AD219" s="215"/>
      <c r="AE219" s="215"/>
      <c r="AF219" s="215"/>
      <c r="AG219" s="215"/>
      <c r="AH219" s="215"/>
      <c r="AI219" s="215"/>
      <c r="AJ219" s="215"/>
      <c r="AK219" s="215"/>
      <c r="AL219" s="215"/>
      <c r="AM219" s="215"/>
      <c r="AN219" s="215"/>
      <c r="AO219" s="215"/>
      <c r="AP219" s="215"/>
      <c r="AQ219" s="215"/>
      <c r="AR219" s="215"/>
      <c r="AS219" s="215"/>
      <c r="AT219" s="215"/>
      <c r="AU219" s="215"/>
      <c r="AV219" s="215"/>
      <c r="AW219" s="215"/>
      <c r="AX219" s="215"/>
      <c r="AY219" s="215"/>
      <c r="AZ219" s="215"/>
      <c r="BA219" s="215"/>
      <c r="BB219" s="215"/>
      <c r="BC219" s="215"/>
    </row>
    <row r="220" spans="1:55" s="228" customFormat="1" ht="36" customHeight="1" x14ac:dyDescent="0.25">
      <c r="A220" s="912" t="s">
        <v>1255</v>
      </c>
      <c r="B220" s="400">
        <v>0</v>
      </c>
      <c r="C220" s="710" t="s">
        <v>1074</v>
      </c>
      <c r="D220" s="1927">
        <f>B220/$B$218</f>
        <v>0</v>
      </c>
      <c r="E220" s="227"/>
      <c r="F220" s="215"/>
      <c r="G220" s="215"/>
      <c r="H220" s="215"/>
      <c r="I220" s="225"/>
      <c r="J220" s="215"/>
      <c r="K220" s="215"/>
      <c r="L220" s="226"/>
      <c r="M220" s="225"/>
      <c r="N220" s="225"/>
      <c r="O220" s="215"/>
      <c r="P220" s="215"/>
      <c r="Q220" s="215"/>
      <c r="R220" s="215"/>
      <c r="S220" s="215"/>
      <c r="T220" s="215"/>
      <c r="U220" s="215"/>
      <c r="V220" s="215"/>
      <c r="W220" s="215"/>
      <c r="X220" s="215"/>
      <c r="Y220" s="215"/>
      <c r="Z220" s="215"/>
      <c r="AA220" s="215"/>
      <c r="AB220" s="215"/>
      <c r="AC220" s="215"/>
      <c r="AD220" s="215"/>
      <c r="AE220" s="215"/>
      <c r="AF220" s="215"/>
      <c r="AG220" s="215"/>
      <c r="AH220" s="215"/>
      <c r="AI220" s="215"/>
      <c r="AJ220" s="215"/>
      <c r="AK220" s="215"/>
      <c r="AL220" s="215"/>
      <c r="AM220" s="215"/>
      <c r="AN220" s="215"/>
      <c r="AO220" s="215"/>
      <c r="AP220" s="215"/>
      <c r="AQ220" s="215"/>
      <c r="AR220" s="215"/>
      <c r="AS220" s="215"/>
      <c r="AT220" s="215"/>
      <c r="AU220" s="215"/>
      <c r="AV220" s="215"/>
      <c r="AW220" s="215"/>
      <c r="AX220" s="215"/>
      <c r="AY220" s="215"/>
      <c r="AZ220" s="215"/>
      <c r="BA220" s="215"/>
      <c r="BB220" s="215"/>
      <c r="BC220" s="215"/>
    </row>
    <row r="221" spans="1:55" s="228" customFormat="1" ht="60" x14ac:dyDescent="0.25">
      <c r="A221" s="925" t="s">
        <v>1046</v>
      </c>
      <c r="B221" s="400" t="s">
        <v>273</v>
      </c>
      <c r="C221" s="702"/>
      <c r="D221" s="702"/>
      <c r="E221" s="215"/>
      <c r="F221" s="215"/>
      <c r="G221" s="215"/>
      <c r="H221" s="215"/>
      <c r="I221" s="225"/>
      <c r="J221" s="980"/>
      <c r="K221" s="226"/>
      <c r="L221" s="226"/>
      <c r="M221" s="225"/>
      <c r="N221" s="225"/>
      <c r="O221" s="215"/>
      <c r="P221" s="215"/>
      <c r="Q221" s="215"/>
      <c r="R221" s="215"/>
      <c r="S221" s="215"/>
      <c r="T221" s="215"/>
      <c r="U221" s="215"/>
      <c r="V221" s="215"/>
      <c r="W221" s="215"/>
      <c r="X221" s="215"/>
      <c r="Y221" s="215"/>
      <c r="Z221" s="215"/>
      <c r="AA221" s="215"/>
      <c r="AB221" s="215"/>
      <c r="AC221" s="215"/>
      <c r="AD221" s="215"/>
      <c r="AE221" s="215"/>
      <c r="AF221" s="215"/>
      <c r="AG221" s="215"/>
      <c r="AH221" s="215"/>
      <c r="AI221" s="215"/>
      <c r="AJ221" s="215"/>
      <c r="AK221" s="215"/>
      <c r="AL221" s="215"/>
      <c r="AM221" s="215"/>
      <c r="AN221" s="215"/>
      <c r="AO221" s="215"/>
      <c r="AP221" s="215"/>
      <c r="AQ221" s="215"/>
      <c r="AR221" s="215"/>
      <c r="AS221" s="215"/>
      <c r="AT221" s="215"/>
      <c r="AU221" s="215"/>
      <c r="AV221" s="215"/>
      <c r="AW221" s="215"/>
      <c r="AX221" s="215"/>
      <c r="AY221" s="215"/>
      <c r="AZ221" s="215"/>
      <c r="BA221" s="215"/>
      <c r="BB221" s="215"/>
      <c r="BC221" s="215"/>
    </row>
    <row r="222" spans="1:55" x14ac:dyDescent="0.25">
      <c r="A222" s="913"/>
      <c r="B222" s="703"/>
      <c r="C222" s="702"/>
      <c r="D222" s="702"/>
      <c r="I222" s="225"/>
      <c r="J222" s="980"/>
      <c r="K222" s="226"/>
      <c r="L222" s="226"/>
      <c r="M222" s="225"/>
      <c r="N222" s="225"/>
    </row>
    <row r="223" spans="1:55" s="228" customFormat="1" x14ac:dyDescent="0.25">
      <c r="A223" s="925" t="s">
        <v>182</v>
      </c>
      <c r="B223" s="914">
        <f>ROUNDDOWN(MIN(D219:D220)*100,1)</f>
        <v>0</v>
      </c>
      <c r="C223" s="702"/>
      <c r="D223" s="702"/>
      <c r="E223" s="215"/>
      <c r="F223" s="215"/>
      <c r="G223" s="215"/>
      <c r="H223" s="215"/>
      <c r="I223" s="225"/>
      <c r="J223" s="980"/>
      <c r="K223" s="226"/>
      <c r="L223" s="226"/>
      <c r="M223" s="225"/>
      <c r="N223" s="225"/>
      <c r="O223" s="215"/>
      <c r="P223" s="215"/>
      <c r="Q223" s="215"/>
      <c r="R223" s="215"/>
      <c r="S223" s="215"/>
      <c r="T223" s="215"/>
      <c r="U223" s="215"/>
      <c r="V223" s="215"/>
      <c r="W223" s="215"/>
      <c r="X223" s="215"/>
      <c r="Y223" s="215"/>
      <c r="Z223" s="215"/>
      <c r="AA223" s="215"/>
      <c r="AB223" s="215"/>
      <c r="AC223" s="215"/>
      <c r="AD223" s="215"/>
      <c r="AE223" s="215"/>
      <c r="AF223" s="215"/>
      <c r="AG223" s="215"/>
      <c r="AH223" s="215"/>
      <c r="AI223" s="215"/>
      <c r="AJ223" s="215"/>
      <c r="AK223" s="215"/>
      <c r="AL223" s="215"/>
      <c r="AM223" s="215"/>
      <c r="AN223" s="215"/>
      <c r="AO223" s="215"/>
      <c r="AP223" s="215"/>
      <c r="AQ223" s="215"/>
      <c r="AR223" s="215"/>
      <c r="AS223" s="215"/>
      <c r="AT223" s="215"/>
      <c r="AU223" s="215"/>
      <c r="AV223" s="215"/>
      <c r="AW223" s="215"/>
      <c r="AX223" s="215"/>
      <c r="AY223" s="215"/>
      <c r="AZ223" s="215"/>
      <c r="BA223" s="215"/>
      <c r="BB223" s="215"/>
      <c r="BC223" s="215"/>
    </row>
    <row r="224" spans="1:55" s="228" customFormat="1" x14ac:dyDescent="0.25">
      <c r="A224" s="1356" t="str">
        <f>B1</f>
        <v>IN 92</v>
      </c>
      <c r="B224" s="400" t="str">
        <f>IF(B223&lt;2,"Sim",IF(B223&lt;4,"Não","Restrição"))</f>
        <v>Sim</v>
      </c>
      <c r="C224" s="702"/>
      <c r="D224" s="702"/>
      <c r="E224" s="215"/>
      <c r="F224" s="215"/>
      <c r="G224" s="215"/>
      <c r="H224" s="215"/>
      <c r="I224" s="225"/>
      <c r="J224" s="980"/>
      <c r="K224" s="226"/>
      <c r="L224" s="226"/>
      <c r="M224" s="225"/>
      <c r="N224" s="225"/>
      <c r="O224" s="215"/>
      <c r="P224" s="215"/>
      <c r="Q224" s="215"/>
      <c r="R224" s="215"/>
      <c r="S224" s="215"/>
      <c r="T224" s="215"/>
      <c r="U224" s="215"/>
      <c r="V224" s="215"/>
      <c r="W224" s="215"/>
      <c r="X224" s="215"/>
      <c r="Y224" s="215"/>
      <c r="Z224" s="215"/>
      <c r="AA224" s="215"/>
      <c r="AB224" s="215"/>
      <c r="AC224" s="215"/>
      <c r="AD224" s="215"/>
      <c r="AE224" s="215"/>
      <c r="AF224" s="215"/>
      <c r="AG224" s="215"/>
      <c r="AH224" s="215"/>
      <c r="AI224" s="215"/>
      <c r="AJ224" s="215"/>
      <c r="AK224" s="215"/>
      <c r="AL224" s="215"/>
      <c r="AM224" s="215"/>
      <c r="AN224" s="215"/>
      <c r="AO224" s="215"/>
      <c r="AP224" s="215"/>
      <c r="AQ224" s="215"/>
      <c r="AR224" s="215"/>
      <c r="AS224" s="215"/>
      <c r="AT224" s="215"/>
      <c r="AU224" s="215"/>
      <c r="AV224" s="215"/>
      <c r="AW224" s="215"/>
      <c r="AX224" s="215"/>
      <c r="AY224" s="215"/>
      <c r="AZ224" s="215"/>
      <c r="BA224" s="215"/>
      <c r="BB224" s="215"/>
      <c r="BC224" s="215"/>
    </row>
    <row r="225" spans="1:55" s="228" customFormat="1" x14ac:dyDescent="0.25">
      <c r="A225" s="913"/>
      <c r="B225" s="702"/>
      <c r="C225" s="702"/>
      <c r="D225" s="702"/>
      <c r="E225" s="215"/>
      <c r="F225" s="215"/>
      <c r="G225" s="215"/>
      <c r="H225" s="215"/>
      <c r="I225" s="225"/>
      <c r="J225" s="980"/>
      <c r="K225" s="226"/>
      <c r="L225" s="226"/>
      <c r="M225" s="225"/>
      <c r="N225" s="225"/>
      <c r="O225" s="215"/>
      <c r="P225" s="215"/>
      <c r="Q225" s="215"/>
      <c r="R225" s="215"/>
      <c r="S225" s="215"/>
      <c r="T225" s="215"/>
      <c r="U225" s="215"/>
      <c r="V225" s="215"/>
      <c r="W225" s="215"/>
      <c r="X225" s="215"/>
      <c r="Y225" s="215"/>
      <c r="Z225" s="215"/>
      <c r="AA225" s="215"/>
      <c r="AB225" s="215"/>
      <c r="AC225" s="215"/>
      <c r="AD225" s="215"/>
      <c r="AE225" s="215"/>
      <c r="AF225" s="215"/>
      <c r="AG225" s="215"/>
      <c r="AH225" s="215"/>
      <c r="AI225" s="215"/>
      <c r="AJ225" s="215"/>
      <c r="AK225" s="215"/>
      <c r="AL225" s="215"/>
      <c r="AM225" s="215"/>
      <c r="AN225" s="215"/>
      <c r="AO225" s="215"/>
      <c r="AP225" s="215"/>
      <c r="AQ225" s="215"/>
      <c r="AR225" s="215"/>
      <c r="AS225" s="215"/>
      <c r="AT225" s="215"/>
      <c r="AU225" s="215"/>
      <c r="AV225" s="215"/>
      <c r="AW225" s="215"/>
      <c r="AX225" s="215"/>
      <c r="AY225" s="215"/>
      <c r="AZ225" s="215"/>
      <c r="BA225" s="215"/>
      <c r="BB225" s="215"/>
      <c r="BC225" s="215"/>
    </row>
    <row r="226" spans="1:55" ht="15.75" thickBot="1" x14ac:dyDescent="0.3">
      <c r="A226" s="225"/>
      <c r="I226" s="225"/>
      <c r="J226" s="980"/>
      <c r="K226" s="226"/>
      <c r="L226" s="226"/>
      <c r="M226" s="225"/>
      <c r="N226" s="225"/>
    </row>
    <row r="227" spans="1:55" ht="15.75" thickBot="1" x14ac:dyDescent="0.3">
      <c r="A227" s="2687" t="s">
        <v>1702</v>
      </c>
      <c r="B227" s="2689"/>
    </row>
    <row r="228" spans="1:55" x14ac:dyDescent="0.25">
      <c r="A228" s="1621"/>
      <c r="B228" s="1621"/>
      <c r="C228" s="1621"/>
      <c r="D228" s="1621"/>
      <c r="E228" s="1621"/>
    </row>
    <row r="229" spans="1:55" x14ac:dyDescent="0.25">
      <c r="A229" s="1626" t="s">
        <v>1807</v>
      </c>
      <c r="B229" s="400" t="s">
        <v>273</v>
      </c>
    </row>
  </sheetData>
  <sheetProtection selectLockedCells="1" autoFilter="0"/>
  <sortState ref="J22:N27">
    <sortCondition ref="J21"/>
  </sortState>
  <mergeCells count="56">
    <mergeCell ref="A227:B227"/>
    <mergeCell ref="A9:G9"/>
    <mergeCell ref="A73:G73"/>
    <mergeCell ref="A64:F64"/>
    <mergeCell ref="A166:B166"/>
    <mergeCell ref="E89:I89"/>
    <mergeCell ref="A118:M118"/>
    <mergeCell ref="M23:N23"/>
    <mergeCell ref="A86:J86"/>
    <mergeCell ref="A152:G152"/>
    <mergeCell ref="A129:I129"/>
    <mergeCell ref="A44:M44"/>
    <mergeCell ref="K108:S108"/>
    <mergeCell ref="E56:F56"/>
    <mergeCell ref="E57:F57"/>
    <mergeCell ref="A108:D108"/>
    <mergeCell ref="A215:E215"/>
    <mergeCell ref="E168:F168"/>
    <mergeCell ref="E169:F169"/>
    <mergeCell ref="E170:F170"/>
    <mergeCell ref="E172:F172"/>
    <mergeCell ref="E173:F173"/>
    <mergeCell ref="A197:G197"/>
    <mergeCell ref="A177:D177"/>
    <mergeCell ref="A185:G185"/>
    <mergeCell ref="D180:D181"/>
    <mergeCell ref="E174:F174"/>
    <mergeCell ref="D178:D179"/>
    <mergeCell ref="E171:F171"/>
    <mergeCell ref="AM14:AN14"/>
    <mergeCell ref="O14:P14"/>
    <mergeCell ref="U14:V14"/>
    <mergeCell ref="AA14:AB14"/>
    <mergeCell ref="AG14:AH14"/>
    <mergeCell ref="A163:B163"/>
    <mergeCell ref="A162:C162"/>
    <mergeCell ref="A165:F165"/>
    <mergeCell ref="A22:H22"/>
    <mergeCell ref="C23:E23"/>
    <mergeCell ref="A25:D25"/>
    <mergeCell ref="F25:I25"/>
    <mergeCell ref="A75:D75"/>
    <mergeCell ref="A45:H45"/>
    <mergeCell ref="E55:F55"/>
    <mergeCell ref="A151:G151"/>
    <mergeCell ref="A95:K95"/>
    <mergeCell ref="A128:N128"/>
    <mergeCell ref="A11:K11"/>
    <mergeCell ref="A2:G2"/>
    <mergeCell ref="A4:E4"/>
    <mergeCell ref="A5:E5"/>
    <mergeCell ref="C14:D14"/>
    <mergeCell ref="I14:J14"/>
    <mergeCell ref="A12:E12"/>
    <mergeCell ref="G12:K12"/>
    <mergeCell ref="A3:E3"/>
  </mergeCells>
  <dataValidations count="8">
    <dataValidation type="list" allowBlank="1" showInputMessage="1" showErrorMessage="1" sqref="B221:B222 B229 C163">
      <formula1>"Sim,Não"</formula1>
    </dataValidation>
    <dataValidation type="list" allowBlank="1" showInputMessage="1" showErrorMessage="1" sqref="F6">
      <formula1>"mA,mAs"</formula1>
    </dataValidation>
    <dataValidation type="list" allowBlank="1" showInputMessage="1" showErrorMessage="1" sqref="A46">
      <formula1>"t selecionado,mAs selecionado"</formula1>
    </dataValidation>
    <dataValidation type="list" allowBlank="1" showInputMessage="1" showErrorMessage="1" sqref="C167">
      <formula1>"mm indicado após compressão,Espessura da mama equivalente"</formula1>
    </dataValidation>
    <dataValidation type="decimal" operator="greaterThan" allowBlank="1" showInputMessage="1" showErrorMessage="1" errorTitle="Digite um valor maior que 0!" error="Para existir compressão a força deve ser maior do que zero." sqref="B188 B191:C191 B194:G194">
      <formula1>0</formula1>
    </dataValidation>
    <dataValidation type="list" allowBlank="1" showInputMessage="1" showErrorMessage="1" sqref="C66">
      <formula1>"Sim,NA"</formula1>
    </dataValidation>
    <dataValidation type="list" allowBlank="1" showInputMessage="1" showErrorMessage="1" sqref="B87">
      <formula1>"Sensor CT,Sensor multipropósito"</formula1>
    </dataValidation>
    <dataValidation type="list" allowBlank="1" showInputMessage="1" showErrorMessage="1" sqref="B199">
      <formula1>"TOR,CoreView"</formula1>
    </dataValidation>
  </dataValidations>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Tabelas2!$D$5:$D$6</xm:f>
          </x14:formula1>
          <xm:sqref>F3:F5 C166</xm:sqref>
        </x14:dataValidation>
        <x14:dataValidation type="list" allowBlank="1" showInputMessage="1" showErrorMessage="1">
          <x14:formula1>
            <xm:f>Tabelas2!$E$2:$E$3</xm:f>
          </x14:formula1>
          <xm:sqref>N12 T12 Z12 AF12 AL12 AL25 T25 Z25 AF25</xm:sqref>
        </x14:dataValidation>
        <x14:dataValidation type="list" allowBlank="1" showInputMessage="1" showErrorMessage="1">
          <x14:formula1>
            <xm:f>Tabelas2!$G$12:$G$14</xm:f>
          </x14:formula1>
          <xm:sqref>E217</xm:sqref>
        </x14:dataValidation>
        <x14:dataValidation type="list" allowBlank="1" showInputMessage="1" showErrorMessage="1">
          <x14:formula1>
            <xm:f>Tabelas2!$G$2:$G$5</xm:f>
          </x14:formula1>
          <xm:sqref>B217</xm:sqref>
        </x14:dataValidation>
        <x14:dataValidation type="list" allowBlank="1" showInputMessage="1" showErrorMessage="1">
          <x14:formula1>
            <xm:f>Tabelas2!$G$21:$G$27</xm:f>
          </x14:formula1>
          <xm:sqref>B23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R291"/>
  <sheetViews>
    <sheetView view="pageBreakPreview" zoomScale="115" zoomScaleNormal="100" zoomScaleSheetLayoutView="115" workbookViewId="0">
      <pane ySplit="1" topLeftCell="A198" activePane="bottomLeft" state="frozen"/>
      <selection activeCell="V21" sqref="V21"/>
      <selection pane="bottomLeft" activeCell="V21" sqref="V21"/>
    </sheetView>
  </sheetViews>
  <sheetFormatPr defaultColWidth="9.140625" defaultRowHeight="15" customHeight="1" x14ac:dyDescent="0.25"/>
  <cols>
    <col min="1" max="9" width="9.140625" style="2272" customWidth="1"/>
    <col min="10" max="10" width="9.140625" style="2272"/>
    <col min="11" max="11" width="9.140625" style="2274"/>
    <col min="12" max="17" width="9.140625" style="2272"/>
    <col min="18" max="18" width="11" style="2272" bestFit="1" customWidth="1"/>
    <col min="19" max="16384" width="9.140625" style="2272"/>
  </cols>
  <sheetData>
    <row r="1" spans="1:11" s="2274" customFormat="1" ht="15" customHeight="1" x14ac:dyDescent="0.25">
      <c r="A1" s="2479" t="e">
        <f>Cabeçalho!B6</f>
        <v>#N/A</v>
      </c>
      <c r="B1" s="2479"/>
      <c r="C1" s="2479"/>
      <c r="D1" s="2479"/>
      <c r="E1" s="2745" t="e">
        <f>IF(Cabeçalho!$B$15="",CONCATENATE(LOOKUP(Cabeçalho!$B$14,Tabelas2!$A$23:$A$32,Tabelas2!$B$23:$B$32),IF(Cabeçalho!$B$16&lt;&gt;0," - ",""),UPPER(Cabeçalho!$B$16)),CONCATENATE(LOOKUP(Cabeçalho!$B$14,Tabelas2!$A$23:$A$32,Tabelas2!$B$23:$B$32)," - ",Cabeçalho!$B$15," - ",UPPER(Cabeçalho!$B$16)))</f>
        <v>#N/A</v>
      </c>
      <c r="F1" s="2745"/>
      <c r="G1" s="2745"/>
      <c r="H1" s="2745"/>
      <c r="I1" s="2276" t="s">
        <v>112</v>
      </c>
      <c r="J1" s="2278" t="e">
        <f>IF(Cabeçalho!B12="","",Cabeçalho!B12)</f>
        <v>#N/A</v>
      </c>
      <c r="K1" s="279" t="s">
        <v>648</v>
      </c>
    </row>
    <row r="3" spans="1:11" ht="15" customHeight="1" x14ac:dyDescent="0.25">
      <c r="A3" s="2483" t="s">
        <v>113</v>
      </c>
      <c r="B3" s="2483"/>
      <c r="C3" s="2483"/>
      <c r="D3" s="2483"/>
      <c r="E3" s="2483"/>
      <c r="F3" s="2483"/>
      <c r="G3" s="2483"/>
      <c r="H3" s="2483"/>
      <c r="I3" s="2483"/>
    </row>
    <row r="5" spans="1:11" ht="15" customHeight="1" x14ac:dyDescent="0.25">
      <c r="A5" s="2483" t="s">
        <v>114</v>
      </c>
      <c r="B5" s="2483"/>
      <c r="C5" s="2483"/>
      <c r="D5" s="2483"/>
      <c r="E5" s="2483"/>
      <c r="F5" s="2483"/>
      <c r="G5" s="2483"/>
      <c r="H5" s="2483"/>
      <c r="I5" s="2483"/>
    </row>
    <row r="9" spans="1:11" ht="15" customHeight="1" x14ac:dyDescent="0.25">
      <c r="C9" s="2581" t="e">
        <f>Cabeçalho!B6</f>
        <v>#N/A</v>
      </c>
      <c r="D9" s="2581"/>
      <c r="E9" s="2581"/>
      <c r="F9" s="2581"/>
      <c r="G9" s="2581"/>
      <c r="H9" s="2581"/>
      <c r="I9" s="2581"/>
      <c r="J9" s="2581"/>
    </row>
    <row r="10" spans="1:11" ht="15" customHeight="1" x14ac:dyDescent="0.25">
      <c r="C10" s="2581"/>
      <c r="D10" s="2581"/>
      <c r="E10" s="2581"/>
      <c r="F10" s="2581"/>
      <c r="G10" s="2581"/>
      <c r="H10" s="2581"/>
      <c r="I10" s="2581"/>
      <c r="J10" s="2581"/>
    </row>
    <row r="11" spans="1:11" ht="15" customHeight="1" x14ac:dyDescent="0.25">
      <c r="B11" s="281"/>
      <c r="C11" s="281"/>
      <c r="D11" s="281"/>
      <c r="E11" s="281"/>
      <c r="F11" s="281"/>
      <c r="G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row>
    <row r="15" spans="1:11" ht="15" customHeight="1" x14ac:dyDescent="0.25">
      <c r="C15" s="280" t="e">
        <f>Cabeçalho!B8</f>
        <v>#N/A</v>
      </c>
      <c r="E15" s="281" t="e">
        <f>CONCATENATE(Cabeçalho!B9,", ",Cabeçalho!B10)</f>
        <v>#N/A</v>
      </c>
      <c r="F15" s="281"/>
      <c r="G15" s="281"/>
    </row>
    <row r="17" spans="1:10" ht="30" customHeight="1" x14ac:dyDescent="0.25">
      <c r="A17" s="2272" t="s">
        <v>115</v>
      </c>
      <c r="C17" s="2746" t="e">
        <f>Cabeçalho!B4</f>
        <v>#N/A</v>
      </c>
      <c r="D17" s="2746"/>
      <c r="E17" s="2746"/>
      <c r="F17" s="2746"/>
      <c r="G17" s="2746"/>
      <c r="H17" s="2746"/>
      <c r="I17" s="2746"/>
      <c r="J17" s="2746"/>
    </row>
    <row r="18" spans="1:10" ht="15" customHeight="1" x14ac:dyDescent="0.25">
      <c r="C18" s="281" t="e">
        <f>Cabeçalho!B5</f>
        <v>#N/A</v>
      </c>
    </row>
    <row r="19" spans="1:10" ht="15" customHeight="1" x14ac:dyDescent="0.25">
      <c r="C19" s="281"/>
    </row>
    <row r="20" spans="1:10" ht="15" customHeight="1" x14ac:dyDescent="0.25">
      <c r="A20" s="2272" t="s">
        <v>2337</v>
      </c>
      <c r="C20" s="281"/>
    </row>
    <row r="21" spans="1:10" ht="15" customHeight="1" x14ac:dyDescent="0.25">
      <c r="C21" s="281"/>
    </row>
    <row r="22" spans="1:10" ht="15" customHeight="1" x14ac:dyDescent="0.25">
      <c r="C22" s="281"/>
    </row>
    <row r="23" spans="1:10" ht="15" customHeight="1" x14ac:dyDescent="0.25">
      <c r="C23" s="281"/>
    </row>
    <row r="24" spans="1:10" ht="15" customHeight="1" x14ac:dyDescent="0.25">
      <c r="A24" s="2467" t="s">
        <v>2338</v>
      </c>
      <c r="B24" s="2467"/>
      <c r="C24" s="2467"/>
      <c r="D24" s="2467" t="s">
        <v>2339</v>
      </c>
      <c r="E24" s="2467"/>
      <c r="F24" s="2467"/>
      <c r="G24" s="2467" t="s">
        <v>2340</v>
      </c>
      <c r="H24" s="2467"/>
      <c r="I24" s="2467"/>
      <c r="J24" s="2467"/>
    </row>
    <row r="25" spans="1:10" ht="15" customHeight="1" x14ac:dyDescent="0.25">
      <c r="C25" s="281"/>
    </row>
    <row r="26" spans="1:10" ht="15" customHeight="1" x14ac:dyDescent="0.25">
      <c r="A26" s="281" t="s">
        <v>116</v>
      </c>
    </row>
    <row r="27" spans="1:10" ht="15" customHeight="1" x14ac:dyDescent="0.25">
      <c r="A27" s="2476" t="str">
        <f>IntroRDC</f>
        <v xml:space="preserve">               Este Laudo Técnico é parte do Programa de Garantia da Qualidade, conforme Resolução da Diretoria Colegiada - RDC 611/2022 da ANVISA.</v>
      </c>
      <c r="B27" s="2476"/>
      <c r="C27" s="2476"/>
      <c r="D27" s="2476"/>
      <c r="E27" s="2476"/>
      <c r="F27" s="2476"/>
      <c r="G27" s="2476"/>
      <c r="H27" s="2476"/>
      <c r="I27" s="2476"/>
      <c r="J27" s="2476"/>
    </row>
    <row r="28" spans="1:10" ht="15" customHeight="1" x14ac:dyDescent="0.25">
      <c r="A28" s="2476"/>
      <c r="B28" s="2476"/>
      <c r="C28" s="2476"/>
      <c r="D28" s="2476"/>
      <c r="E28" s="2476"/>
      <c r="F28" s="2476"/>
      <c r="G28" s="2476"/>
      <c r="H28" s="2476"/>
      <c r="I28" s="2476"/>
      <c r="J28" s="2476"/>
    </row>
    <row r="29" spans="1:10" ht="15" customHeight="1" x14ac:dyDescent="0.25">
      <c r="A29" s="2476" t="s">
        <v>2069</v>
      </c>
      <c r="B29" s="2476"/>
      <c r="C29" s="2476"/>
      <c r="D29" s="2476"/>
      <c r="E29" s="2476"/>
      <c r="F29" s="2476"/>
      <c r="G29" s="2476"/>
      <c r="H29" s="2476"/>
      <c r="I29" s="2476"/>
      <c r="J29" s="2476"/>
    </row>
    <row r="30" spans="1:10" ht="15" customHeight="1" x14ac:dyDescent="0.25">
      <c r="A30" s="2476"/>
      <c r="B30" s="2476"/>
      <c r="C30" s="2476"/>
      <c r="D30" s="2476"/>
      <c r="E30" s="2476"/>
      <c r="F30" s="2476"/>
      <c r="G30" s="2476"/>
      <c r="H30" s="2476"/>
      <c r="I30" s="2476"/>
      <c r="J30" s="2476"/>
    </row>
    <row r="31" spans="1:10" ht="15" customHeight="1" x14ac:dyDescent="0.25">
      <c r="A31" s="2476" t="str">
        <f>IntroProtocolo</f>
        <v xml:space="preserve">               A metodologia utilizada atende aos "Protocolos para Execução de Testes em Sistemas de Radiologia Diagnóstica e Intervencionista" do CONFEA.</v>
      </c>
      <c r="B31" s="2476"/>
      <c r="C31" s="2476"/>
      <c r="D31" s="2476"/>
      <c r="E31" s="2476"/>
      <c r="F31" s="2476"/>
      <c r="G31" s="2476"/>
      <c r="H31" s="2476"/>
      <c r="I31" s="2476"/>
      <c r="J31" s="2476"/>
    </row>
    <row r="32" spans="1:10" ht="15" customHeight="1" x14ac:dyDescent="0.25">
      <c r="A32" s="2476"/>
      <c r="B32" s="2476"/>
      <c r="C32" s="2476"/>
      <c r="D32" s="2476"/>
      <c r="E32" s="2476"/>
      <c r="F32" s="2476"/>
      <c r="G32" s="2476"/>
      <c r="H32" s="2476"/>
      <c r="I32" s="2476"/>
      <c r="J32" s="2476"/>
    </row>
    <row r="34" spans="1:11" ht="15" customHeight="1" x14ac:dyDescent="0.25">
      <c r="A34" s="281" t="s">
        <v>117</v>
      </c>
    </row>
    <row r="35" spans="1:11" ht="15" customHeight="1" x14ac:dyDescent="0.25">
      <c r="A35" s="2476" t="str">
        <f>"                Verificar parâmetros técnicos e condições de desempenho do equipamento de raios X e a conformidade do mesmo com a Instrução Normativa "&amp;VLOOKUP("Mamografia",IN_ANVISA[],2)&amp;"/"&amp;VLOOKUP("Mamografia",IN_ANVISA[],3)&amp;" da ANVISA, a Portaria de Consolidação PRC-5/2017 do MS e a Norma Regulamentadora NR-32 do MTb."</f>
        <v xml:space="preserve">                Verificar parâmetros técnicos e condições de desempenho do equipamento de raios X e a conformidade do mesmo com a Instrução Normativa 92/2021 da ANVISA, a Portaria de Consolidação PRC-5/2017 do MS e a Norma Regulamentadora NR-32 do MTb.</v>
      </c>
      <c r="B35" s="2476"/>
      <c r="C35" s="2476"/>
      <c r="D35" s="2476"/>
      <c r="E35" s="2476"/>
      <c r="F35" s="2476"/>
      <c r="G35" s="2476"/>
      <c r="H35" s="2476"/>
      <c r="I35" s="2476"/>
      <c r="J35" s="2476"/>
    </row>
    <row r="36" spans="1:11" ht="15" customHeight="1" x14ac:dyDescent="0.25">
      <c r="A36" s="2476"/>
      <c r="B36" s="2476"/>
      <c r="C36" s="2476"/>
      <c r="D36" s="2476"/>
      <c r="E36" s="2476"/>
      <c r="F36" s="2476"/>
      <c r="G36" s="2476"/>
      <c r="H36" s="2476"/>
      <c r="I36" s="2476"/>
      <c r="J36" s="2476"/>
    </row>
    <row r="37" spans="1:11" ht="15" customHeight="1" x14ac:dyDescent="0.25">
      <c r="A37" s="2476"/>
      <c r="B37" s="2476"/>
      <c r="C37" s="2476"/>
      <c r="D37" s="2476"/>
      <c r="E37" s="2476"/>
      <c r="F37" s="2476"/>
      <c r="G37" s="2476"/>
      <c r="H37" s="2476"/>
      <c r="I37" s="2476"/>
      <c r="J37" s="2476"/>
    </row>
    <row r="38" spans="1:11" ht="15" customHeight="1" x14ac:dyDescent="0.25">
      <c r="A38" s="2476" t="str">
        <f>OBJETIVO</f>
        <v xml:space="preserve">                Fornecer elementos para aceitação ou rejeição do equipamento, bem como para corrigir eventuais desvios, falhas e anomalias.</v>
      </c>
      <c r="B38" s="2476"/>
      <c r="C38" s="2476"/>
      <c r="D38" s="2476"/>
      <c r="E38" s="2476"/>
      <c r="F38" s="2476"/>
      <c r="G38" s="2476"/>
      <c r="H38" s="2476"/>
      <c r="I38" s="2476"/>
      <c r="J38" s="2476"/>
    </row>
    <row r="39" spans="1:11" ht="15" customHeight="1" x14ac:dyDescent="0.25">
      <c r="A39" s="2476"/>
      <c r="B39" s="2476"/>
      <c r="C39" s="2476"/>
      <c r="D39" s="2476"/>
      <c r="E39" s="2476"/>
      <c r="F39" s="2476"/>
      <c r="G39" s="2476"/>
      <c r="H39" s="2476"/>
      <c r="I39" s="2476"/>
      <c r="J39" s="2476"/>
    </row>
    <row r="40" spans="1:11" ht="15" customHeight="1" x14ac:dyDescent="0.25">
      <c r="A40" s="2476" t="str">
        <f>ObjetivoCorreções</f>
        <v xml:space="preserve">               Verificar possíveis correções realizadas após o laudo de 00/01/00 deste mesmo equipamento.</v>
      </c>
      <c r="B40" s="2476"/>
      <c r="C40" s="2476"/>
      <c r="D40" s="2476"/>
      <c r="E40" s="2476"/>
      <c r="F40" s="2476"/>
      <c r="G40" s="2476"/>
      <c r="H40" s="2476"/>
      <c r="I40" s="2476"/>
      <c r="J40" s="2476"/>
      <c r="K40" s="2272" t="str">
        <f>IF(Cabeçalho!$B$17="","x","")</f>
        <v>x</v>
      </c>
    </row>
    <row r="41" spans="1:11" ht="15" customHeight="1" x14ac:dyDescent="0.25">
      <c r="A41" s="2476"/>
      <c r="B41" s="2476"/>
      <c r="C41" s="2476"/>
      <c r="D41" s="2476"/>
      <c r="E41" s="2476"/>
      <c r="F41" s="2476"/>
      <c r="G41" s="2476"/>
      <c r="H41" s="2476"/>
      <c r="I41" s="2476"/>
      <c r="J41" s="2476"/>
      <c r="K41" s="2272" t="str">
        <f>K40</f>
        <v>x</v>
      </c>
    </row>
    <row r="42" spans="1:11" ht="15" customHeight="1" x14ac:dyDescent="0.25">
      <c r="A42" s="2269"/>
      <c r="B42" s="2269"/>
      <c r="C42" s="2269"/>
      <c r="D42" s="2269"/>
      <c r="E42" s="2269"/>
      <c r="F42" s="2269"/>
      <c r="G42" s="2269"/>
      <c r="H42" s="2269"/>
      <c r="I42" s="2269"/>
      <c r="J42" s="2269"/>
    </row>
    <row r="43" spans="1:11" ht="15" customHeight="1" x14ac:dyDescent="0.25">
      <c r="A43" s="281" t="s">
        <v>118</v>
      </c>
    </row>
    <row r="44" spans="1:11" ht="15" customHeight="1" x14ac:dyDescent="0.25">
      <c r="A44" s="2465" t="s">
        <v>119</v>
      </c>
      <c r="B44" s="2465"/>
      <c r="C44" s="2465"/>
      <c r="D44" s="2465" t="s">
        <v>120</v>
      </c>
      <c r="E44" s="2465"/>
      <c r="F44" s="2465"/>
      <c r="G44" s="2465" t="s">
        <v>121</v>
      </c>
      <c r="H44" s="2465"/>
      <c r="I44" s="2465" t="s">
        <v>475</v>
      </c>
      <c r="J44" s="2465"/>
    </row>
    <row r="45" spans="1:11" ht="15" customHeight="1" x14ac:dyDescent="0.25">
      <c r="A45" s="2482" t="str">
        <f>IF(Cabeçalho!G3="","*",Cabeçalho!G3)</f>
        <v>*</v>
      </c>
      <c r="B45" s="2482"/>
      <c r="C45" s="2482"/>
      <c r="D45" s="2472" t="str">
        <f>IF(Cabeçalho!G4="","*",Cabeçalho!G4)</f>
        <v>*</v>
      </c>
      <c r="E45" s="2472"/>
      <c r="F45" s="2472"/>
      <c r="G45" s="2472" t="str">
        <f>IF(Cabeçalho!G5="","*",Cabeçalho!G5)</f>
        <v>*</v>
      </c>
      <c r="H45" s="2472"/>
      <c r="I45" s="2472" t="str">
        <f>IF(Cabeçalho!G6="","*",Cabeçalho!G6)</f>
        <v>*</v>
      </c>
      <c r="J45" s="2472"/>
    </row>
    <row r="46" spans="1:11" ht="15" customHeight="1" x14ac:dyDescent="0.25">
      <c r="A46" s="2482"/>
      <c r="B46" s="2482"/>
      <c r="C46" s="2482"/>
      <c r="D46" s="2472"/>
      <c r="E46" s="2472"/>
      <c r="F46" s="2472"/>
      <c r="G46" s="2472"/>
      <c r="H46" s="2472"/>
      <c r="I46" s="2472"/>
      <c r="J46" s="2472"/>
    </row>
    <row r="47" spans="1:11" ht="15" customHeight="1" x14ac:dyDescent="0.25">
      <c r="A47" s="284" t="s">
        <v>835</v>
      </c>
    </row>
    <row r="48" spans="1:11" ht="15" customHeight="1" x14ac:dyDescent="0.25">
      <c r="A48" s="2475" t="s">
        <v>124</v>
      </c>
      <c r="B48" s="2475"/>
      <c r="C48" s="2475"/>
      <c r="D48" s="2475"/>
      <c r="E48" s="2473" t="s">
        <v>329</v>
      </c>
      <c r="F48" s="2473"/>
      <c r="G48" s="2473"/>
      <c r="H48" s="2473"/>
      <c r="I48" s="2473"/>
      <c r="J48" s="2473"/>
    </row>
    <row r="49" spans="1:10" ht="15" customHeight="1" x14ac:dyDescent="0.25">
      <c r="E49" s="2273"/>
      <c r="F49" s="2273"/>
      <c r="G49" s="2273"/>
      <c r="H49" s="2273"/>
      <c r="I49" s="2273"/>
      <c r="J49" s="2273"/>
    </row>
    <row r="50" spans="1:10" ht="15" customHeight="1" x14ac:dyDescent="0.25">
      <c r="A50" s="2473" t="s">
        <v>367</v>
      </c>
      <c r="B50" s="2473"/>
      <c r="C50" s="2473"/>
      <c r="D50" s="2473"/>
      <c r="E50" s="2473" t="str">
        <f>IF(Cabeçalho!G25=60,"Retificado em meia onda",IF(Cabeçalho!G25=120,"Retificado em onda completa",IF(Cabeçalho!G25="---","Retificado em alta frequência","Descarga capacitiva")))</f>
        <v>Descarga capacitiva</v>
      </c>
      <c r="F50" s="2473"/>
      <c r="G50" s="2473"/>
      <c r="H50" s="2473"/>
      <c r="I50" s="2473"/>
      <c r="J50" s="2473"/>
    </row>
    <row r="51" spans="1:10" ht="15" customHeight="1" x14ac:dyDescent="0.25">
      <c r="A51" s="2273" t="s">
        <v>1856</v>
      </c>
      <c r="B51" s="2273"/>
      <c r="C51" s="2273"/>
      <c r="D51" s="2273"/>
      <c r="E51" s="2273" t="str">
        <f>IF(Cabeçalho!G20&lt;&gt;"",Cabeçalho!G20,"NI")</f>
        <v>NI</v>
      </c>
      <c r="F51" s="2273"/>
      <c r="G51" s="2273"/>
      <c r="H51" s="2273"/>
      <c r="I51" s="2273"/>
      <c r="J51" s="2273"/>
    </row>
    <row r="52" spans="1:10" ht="15" customHeight="1" x14ac:dyDescent="0.25">
      <c r="A52" s="2473" t="s">
        <v>2349</v>
      </c>
      <c r="B52" s="2473"/>
      <c r="C52" s="2473"/>
      <c r="D52" s="2473"/>
      <c r="E52" s="2273" t="str">
        <f>IF(Cabeçalho!E24&lt;&gt;"",Cabeçalho!E24,"NI")</f>
        <v>NI</v>
      </c>
      <c r="F52" s="2273"/>
      <c r="G52" s="2273"/>
      <c r="H52" s="2273"/>
      <c r="I52" s="2273"/>
      <c r="J52" s="2273"/>
    </row>
    <row r="53" spans="1:10" ht="15" customHeight="1" x14ac:dyDescent="0.25">
      <c r="A53" s="2473" t="s">
        <v>2350</v>
      </c>
      <c r="B53" s="2473"/>
      <c r="C53" s="2473"/>
      <c r="D53" s="2473"/>
      <c r="E53" s="2273" t="str">
        <f>IF(Cabeçalho!G22&lt;&gt;"",Cabeçalho!G22,"NI")</f>
        <v>NI</v>
      </c>
      <c r="F53" s="2273"/>
      <c r="G53" s="2273"/>
      <c r="H53" s="2273"/>
      <c r="I53" s="2273"/>
      <c r="J53" s="2273"/>
    </row>
    <row r="54" spans="1:10" ht="15" customHeight="1" x14ac:dyDescent="0.25">
      <c r="A54" s="2473" t="s">
        <v>2351</v>
      </c>
      <c r="B54" s="2473"/>
      <c r="C54" s="2473"/>
      <c r="D54" s="2473"/>
      <c r="E54" s="2273" t="str">
        <f>IF(Cabeçalho!G23&lt;&gt;"",Cabeçalho!G23,"NI")</f>
        <v>NI</v>
      </c>
      <c r="F54" s="2273"/>
      <c r="G54" s="2273"/>
      <c r="H54" s="2273"/>
      <c r="I54" s="2273"/>
      <c r="J54" s="2273"/>
    </row>
    <row r="55" spans="1:10" ht="15" customHeight="1" x14ac:dyDescent="0.25">
      <c r="A55" s="2272" t="s">
        <v>2352</v>
      </c>
      <c r="E55" s="2273" t="str">
        <f>IF(Cabeçalho!E25&lt;&gt;"",Cabeçalho!E25,"NI")</f>
        <v>NI</v>
      </c>
      <c r="F55" s="2273"/>
      <c r="G55" s="2273"/>
      <c r="H55" s="2273"/>
      <c r="I55" s="2273"/>
      <c r="J55" s="2273"/>
    </row>
    <row r="56" spans="1:10" ht="15" customHeight="1" x14ac:dyDescent="0.25">
      <c r="A56" s="2473" t="s">
        <v>2353</v>
      </c>
      <c r="B56" s="2473"/>
      <c r="C56" s="2473"/>
      <c r="D56" s="2473"/>
      <c r="E56" s="2273" t="str">
        <f>IF(Cabeçalho!E22&lt;&gt;"",Cabeçalho!E22,"NI")</f>
        <v>NI</v>
      </c>
      <c r="F56" s="2273"/>
      <c r="G56" s="2273"/>
      <c r="H56" s="2273"/>
      <c r="I56" s="2273"/>
      <c r="J56" s="2273"/>
    </row>
    <row r="57" spans="1:10" ht="15" customHeight="1" x14ac:dyDescent="0.25">
      <c r="A57" s="2473" t="s">
        <v>2354</v>
      </c>
      <c r="B57" s="2473"/>
      <c r="C57" s="2473"/>
      <c r="D57" s="2473"/>
      <c r="E57" s="2273" t="str">
        <f>IF(Cabeçalho!E23&lt;&gt;"",Cabeçalho!E23,"NI")</f>
        <v>NI</v>
      </c>
      <c r="F57" s="2273"/>
      <c r="G57" s="2273"/>
      <c r="H57" s="2273"/>
      <c r="I57" s="2273"/>
      <c r="J57" s="2273"/>
    </row>
    <row r="58" spans="1:10" ht="15" customHeight="1" x14ac:dyDescent="0.25">
      <c r="A58" s="2473" t="s">
        <v>2355</v>
      </c>
      <c r="B58" s="2473"/>
      <c r="C58" s="2473"/>
      <c r="D58" s="2473"/>
      <c r="E58" s="2273" t="str">
        <f>IF(Cabeçalho!B15&lt;&gt;"",Cabeçalho!B15,"NI")</f>
        <v>NI</v>
      </c>
      <c r="F58" s="2273"/>
      <c r="G58" s="2273"/>
      <c r="H58" s="2273"/>
      <c r="I58" s="2273"/>
    </row>
    <row r="59" spans="1:10" ht="15" customHeight="1" x14ac:dyDescent="0.25">
      <c r="A59" s="2473" t="s">
        <v>2328</v>
      </c>
      <c r="B59" s="2473"/>
      <c r="C59" s="2473"/>
      <c r="D59" s="2473"/>
      <c r="E59" s="2273" t="str">
        <f>IF(Cabeçalho!B16&lt;&gt;"",Cabeçalho!B16,"NI")</f>
        <v>NI</v>
      </c>
      <c r="F59" s="2273"/>
      <c r="G59" s="2273"/>
      <c r="H59" s="2273"/>
      <c r="I59" s="2273"/>
    </row>
    <row r="60" spans="1:10" ht="15" customHeight="1" x14ac:dyDescent="0.25">
      <c r="A60" s="2162" t="s">
        <v>2678</v>
      </c>
      <c r="E60" s="2273"/>
      <c r="F60" s="2273"/>
      <c r="G60" s="2273"/>
      <c r="H60" s="2273"/>
      <c r="I60" s="2273"/>
    </row>
    <row r="61" spans="1:10" ht="15" customHeight="1" x14ac:dyDescent="0.25">
      <c r="E61" s="2273"/>
      <c r="F61" s="2273"/>
      <c r="G61" s="2273"/>
      <c r="H61" s="2273"/>
      <c r="I61" s="2273"/>
    </row>
    <row r="62" spans="1:10" ht="15" customHeight="1" x14ac:dyDescent="0.25">
      <c r="E62" s="2273"/>
      <c r="F62" s="2273"/>
      <c r="G62" s="2273"/>
      <c r="H62" s="2273"/>
      <c r="I62" s="2273"/>
    </row>
    <row r="63" spans="1:10" ht="15" customHeight="1" x14ac:dyDescent="0.25">
      <c r="A63" s="281" t="s">
        <v>125</v>
      </c>
    </row>
    <row r="64" spans="1:10" ht="15" customHeight="1" x14ac:dyDescent="0.25">
      <c r="A64" s="2465" t="s">
        <v>129</v>
      </c>
      <c r="B64" s="2465"/>
      <c r="C64" s="2465"/>
      <c r="D64" s="2465"/>
      <c r="E64" s="2465"/>
      <c r="F64" s="2271" t="s">
        <v>368</v>
      </c>
      <c r="G64" s="2465" t="s">
        <v>369</v>
      </c>
      <c r="H64" s="2465"/>
      <c r="I64" s="2465"/>
    </row>
    <row r="65" spans="1:18" ht="15" customHeight="1" x14ac:dyDescent="0.25">
      <c r="A65" s="2744" t="s">
        <v>127</v>
      </c>
      <c r="B65" s="2744"/>
      <c r="C65" s="2744"/>
      <c r="D65" s="2744"/>
      <c r="E65" s="2744"/>
      <c r="F65" s="2015" t="str">
        <f>mamo!B1</f>
        <v>IN 92</v>
      </c>
      <c r="G65" s="2472" t="str">
        <f>mamo!F4</f>
        <v>Sim</v>
      </c>
      <c r="H65" s="2472"/>
      <c r="I65" s="2472"/>
    </row>
    <row r="66" spans="1:18" ht="15" customHeight="1" x14ac:dyDescent="0.25">
      <c r="A66" s="2744" t="s">
        <v>128</v>
      </c>
      <c r="B66" s="2744"/>
      <c r="C66" s="2744"/>
      <c r="D66" s="2744"/>
      <c r="E66" s="2744"/>
      <c r="F66" s="2015" t="str">
        <f>mamo!B1</f>
        <v>IN 92</v>
      </c>
      <c r="G66" s="2470" t="str">
        <f>mamo!F5</f>
        <v>Sim</v>
      </c>
      <c r="H66" s="2470"/>
      <c r="I66" s="2470"/>
    </row>
    <row r="67" spans="1:18" ht="15" customHeight="1" x14ac:dyDescent="0.25">
      <c r="A67" s="2744" t="s">
        <v>239</v>
      </c>
      <c r="B67" s="2744"/>
      <c r="C67" s="2744"/>
      <c r="D67" s="2744"/>
      <c r="E67" s="2744"/>
      <c r="F67" s="2015" t="str">
        <f>F66&amp;" / NR-32"</f>
        <v>IN 92 / NR-32</v>
      </c>
      <c r="G67" s="2750" t="str">
        <f>mamo!B217</f>
        <v>Em condições de funcionamento</v>
      </c>
      <c r="H67" s="2750"/>
      <c r="I67" s="2750"/>
    </row>
    <row r="68" spans="1:18" ht="15" customHeight="1" x14ac:dyDescent="0.25">
      <c r="A68" s="2481" t="s">
        <v>2718</v>
      </c>
      <c r="B68" s="2481"/>
      <c r="C68" s="2481"/>
      <c r="D68" s="2481"/>
      <c r="E68" s="2481"/>
      <c r="F68" s="2481"/>
      <c r="G68" s="2481"/>
      <c r="H68" s="2481"/>
      <c r="I68" s="2481"/>
    </row>
    <row r="70" spans="1:18" ht="15" customHeight="1" x14ac:dyDescent="0.25">
      <c r="A70" s="281" t="s">
        <v>138</v>
      </c>
      <c r="L70" s="2206" t="s">
        <v>658</v>
      </c>
      <c r="M70" s="2206" t="s">
        <v>273</v>
      </c>
      <c r="N70" s="2274" t="s">
        <v>715</v>
      </c>
    </row>
    <row r="71" spans="1:18" ht="15" customHeight="1" x14ac:dyDescent="0.25">
      <c r="A71" s="281" t="s">
        <v>164</v>
      </c>
      <c r="K71" s="2274">
        <f t="shared" ref="K71:K73" si="0">K70</f>
        <v>0</v>
      </c>
      <c r="L71" s="2274">
        <f>SUM(L74:L84)</f>
        <v>0</v>
      </c>
      <c r="M71" s="2274">
        <f>SUM(M74:M84)</f>
        <v>0</v>
      </c>
      <c r="N71" s="2274">
        <f>SUM(L71:M71)</f>
        <v>0</v>
      </c>
    </row>
    <row r="72" spans="1:18" ht="15" customHeight="1" x14ac:dyDescent="0.25">
      <c r="A72" s="2272" t="s">
        <v>2356</v>
      </c>
      <c r="C72" s="2272" t="s">
        <v>2548</v>
      </c>
      <c r="K72" s="2274">
        <f t="shared" si="0"/>
        <v>0</v>
      </c>
      <c r="L72" s="2274"/>
      <c r="M72" s="2274"/>
      <c r="N72" s="2274"/>
    </row>
    <row r="73" spans="1:18" ht="15" customHeight="1" x14ac:dyDescent="0.25">
      <c r="A73" s="2272" t="s">
        <v>2358</v>
      </c>
      <c r="C73" s="2272" t="s">
        <v>2359</v>
      </c>
      <c r="K73" s="2274">
        <f t="shared" si="0"/>
        <v>0</v>
      </c>
      <c r="L73" s="2274"/>
      <c r="M73" s="2274"/>
      <c r="N73" s="2274"/>
    </row>
    <row r="74" spans="1:18" ht="15" customHeight="1" x14ac:dyDescent="0.25">
      <c r="A74" s="2747" t="s">
        <v>300</v>
      </c>
      <c r="B74" s="2747"/>
      <c r="C74" s="2747"/>
      <c r="I74" s="2018"/>
      <c r="K74" s="2274" t="str">
        <f>IF(B75="","x","")</f>
        <v>x</v>
      </c>
      <c r="L74" s="2274" t="str">
        <f>IFERROR(IF(K74="x","",COUNTIF(B74:J74,"Restrição")),"")</f>
        <v/>
      </c>
      <c r="M74" s="2274" t="str">
        <f>IFERROR(IF(K74="x","",COUNTIF(B74:J74,"Não")),"")</f>
        <v/>
      </c>
    </row>
    <row r="75" spans="1:18" ht="15" customHeight="1" x14ac:dyDescent="0.25">
      <c r="A75" s="2077" t="s">
        <v>201</v>
      </c>
      <c r="B75" s="2078" t="str">
        <f>IF(mamo!A15&lt;&gt;0,mamo!A15,"")</f>
        <v/>
      </c>
      <c r="C75" s="2078" t="str">
        <f>IF(mamo!A16&lt;&gt;0,mamo!A16,"")</f>
        <v/>
      </c>
      <c r="D75" s="2078" t="str">
        <f>IF(mamo!A17&lt;&gt;0,mamo!A17,"")</f>
        <v/>
      </c>
      <c r="E75" s="2078" t="str">
        <f>IF(mamo!A18&lt;&gt;0,mamo!A18,"")</f>
        <v/>
      </c>
      <c r="F75" s="2078" t="str">
        <f>IF(mamo!A19&lt;&gt;0,mamo!A19,"")</f>
        <v/>
      </c>
      <c r="G75" s="2078"/>
      <c r="H75" s="2078" t="str">
        <f>IF(convencional!G20&lt;&gt;0,convencional!G20,"")</f>
        <v/>
      </c>
      <c r="I75" s="2288" t="str">
        <f>IF(convencional!G21&lt;&gt;0,convencional!G21,"")</f>
        <v/>
      </c>
      <c r="K75" s="2274" t="str">
        <f>K74</f>
        <v>x</v>
      </c>
      <c r="L75" s="2274" t="str">
        <f t="shared" ref="L75:L84" si="1">IFERROR(IF(K75="x","",COUNTIF(B75:J75,"Restrição")),"")</f>
        <v/>
      </c>
      <c r="M75" s="2274" t="str">
        <f t="shared" ref="M75:M84" si="2">IFERROR(IF(K75="x","",COUNTIF(B75:J75,"Não")),"")</f>
        <v/>
      </c>
    </row>
    <row r="76" spans="1:18" ht="15" customHeight="1" x14ac:dyDescent="0.25">
      <c r="A76" s="2077" t="s">
        <v>202</v>
      </c>
      <c r="B76" s="1133" t="str">
        <f>IF(B75="","",IF(TYPE(mamo!C15)=16,"NF",IF(mamo!C15&lt;&gt;0,mamo!C15,"NM")))</f>
        <v/>
      </c>
      <c r="C76" s="1133" t="str">
        <f>IF(B75="","",IF(TYPE(mamo!C16)=16,"NF",IF(mamo!C16&lt;&gt;0,mamo!C16,"NM")))</f>
        <v/>
      </c>
      <c r="D76" s="1133" t="str">
        <f>IF(B75="","",IF(TYPE(mamo!C17)=16,"NF",IF(mamo!C17&lt;&gt;0,mamo!C17,"NM")))</f>
        <v/>
      </c>
      <c r="E76" s="1133" t="str">
        <f>IF(B75="","",IF(TYPE(mamo!C18)=16,"NF",IF(mamo!C18&lt;&gt;0,mamo!C18,"NM")))</f>
        <v/>
      </c>
      <c r="F76" s="1133" t="str">
        <f>IF(B75="","",IF(TYPE(mamo!C19)=16,"NF",IF(mamo!C19&lt;&gt;0,mamo!C19,"NM")))</f>
        <v/>
      </c>
      <c r="G76" s="1133"/>
      <c r="H76" s="1133" t="str">
        <f>IF(H75="","",IF(TYPE(convencional!I20)=16,"NF",IF(convencional!I20&lt;&gt;0,convencional!I20,"NM")))</f>
        <v/>
      </c>
      <c r="I76" s="1133" t="str">
        <f>IF(I75="","",IF(TYPE(convencional!I21)=16,"NF",IF(convencional!I21&lt;&gt;0,convencional!I21,"NM")))</f>
        <v/>
      </c>
      <c r="K76" s="2274" t="str">
        <f>K75</f>
        <v>x</v>
      </c>
      <c r="L76" s="2274" t="str">
        <f t="shared" si="1"/>
        <v/>
      </c>
      <c r="M76" s="2274" t="str">
        <f t="shared" si="2"/>
        <v/>
      </c>
    </row>
    <row r="77" spans="1:18" ht="15" customHeight="1" x14ac:dyDescent="0.25">
      <c r="A77" s="2077" t="s">
        <v>2778</v>
      </c>
      <c r="B77" s="1133" t="str">
        <f ca="1">mamo!$E15</f>
        <v/>
      </c>
      <c r="C77" s="1133" t="str">
        <f ca="1">mamo!$E16</f>
        <v/>
      </c>
      <c r="D77" s="1133" t="str">
        <f ca="1">mamo!$E17</f>
        <v/>
      </c>
      <c r="E77" s="1133" t="str">
        <f ca="1">mamo!$E18</f>
        <v/>
      </c>
      <c r="F77" s="1133" t="str">
        <f ca="1">mamo!$E19</f>
        <v/>
      </c>
      <c r="G77" s="1133"/>
      <c r="H77" s="1133"/>
      <c r="I77" s="1133"/>
      <c r="K77" s="2274" t="str">
        <f>K75</f>
        <v>x</v>
      </c>
      <c r="L77" s="2274"/>
      <c r="M77" s="2274"/>
    </row>
    <row r="78" spans="1:18" ht="15" customHeight="1" x14ac:dyDescent="0.25">
      <c r="A78" s="2289" t="str">
        <f>F65</f>
        <v>IN 92</v>
      </c>
      <c r="B78" s="1136" t="str">
        <f>IF(B75="","",IF(TYPE(B76)=1,IF(ABS((B76-B75)/B75)&lt;=0.05,"Sim",IF(ABS((B76-B75)/B75)&gt;0.1,"Restrição","Não")),"-"))</f>
        <v/>
      </c>
      <c r="C78" s="1136" t="str">
        <f t="shared" ref="C78:I78" si="3">IF(C75="","",IF(TYPE(C76)=1,IF(ABS((C76-C75)/C75)&lt;=0.05,"Sim",IF(ABS((C76-C75)/C75)&gt;0.1,"Restrição","Não")),"-"))</f>
        <v/>
      </c>
      <c r="D78" s="1136" t="str">
        <f t="shared" si="3"/>
        <v/>
      </c>
      <c r="E78" s="1136" t="str">
        <f t="shared" si="3"/>
        <v/>
      </c>
      <c r="F78" s="1136" t="str">
        <f t="shared" si="3"/>
        <v/>
      </c>
      <c r="G78" s="1136" t="str">
        <f t="shared" si="3"/>
        <v/>
      </c>
      <c r="H78" s="1136" t="str">
        <f t="shared" si="3"/>
        <v/>
      </c>
      <c r="I78" s="1136" t="str">
        <f t="shared" si="3"/>
        <v/>
      </c>
      <c r="K78" s="2274" t="str">
        <f>K76</f>
        <v>x</v>
      </c>
      <c r="L78" s="2274" t="str">
        <f t="shared" si="1"/>
        <v/>
      </c>
      <c r="M78" s="2274" t="str">
        <f t="shared" si="2"/>
        <v/>
      </c>
      <c r="R78" s="2272" t="str">
        <f>IF(COUNTIF(B78:I78,"Não")&lt;&gt;0,"Não conforme",IF(COUNTIF(B78:I78,"Restrição")&lt;&gt;0,"Não conforme",IF(COUNTIF(B78:I78,"Sim")&lt;&gt;0,"Conforme","NPA")))</f>
        <v>NPA</v>
      </c>
    </row>
    <row r="79" spans="1:18" ht="15" customHeight="1" x14ac:dyDescent="0.25">
      <c r="A79" s="281"/>
      <c r="C79" s="2274"/>
      <c r="I79" s="2018"/>
      <c r="L79" s="2274"/>
      <c r="M79" s="2274"/>
    </row>
    <row r="80" spans="1:18" ht="15" customHeight="1" x14ac:dyDescent="0.25">
      <c r="A80" s="2747" t="s">
        <v>315</v>
      </c>
      <c r="B80" s="2747"/>
      <c r="C80" s="2747"/>
      <c r="I80" s="2018"/>
      <c r="K80" s="2274" t="str">
        <f>IF(B81="","x","")</f>
        <v>x</v>
      </c>
      <c r="L80" s="2274" t="str">
        <f t="shared" si="1"/>
        <v/>
      </c>
      <c r="M80" s="2274" t="str">
        <f t="shared" si="2"/>
        <v/>
      </c>
    </row>
    <row r="81" spans="1:18" ht="15" customHeight="1" x14ac:dyDescent="0.25">
      <c r="A81" s="2290" t="s">
        <v>201</v>
      </c>
      <c r="B81" s="2207" t="str">
        <f>IF(mamo!G15&lt;&gt;0,mamo!G15,"")</f>
        <v/>
      </c>
      <c r="C81" s="2207" t="str">
        <f>IF(mamo!G16&lt;&gt;0,mamo!G16,"")</f>
        <v/>
      </c>
      <c r="D81" s="2207" t="str">
        <f>IF(mamo!G17&lt;&gt;0,mamo!G17,"")</f>
        <v/>
      </c>
      <c r="E81" s="2207" t="str">
        <f>IF(mamo!G18&lt;&gt;0,mamo!G18,"")</f>
        <v/>
      </c>
      <c r="F81" s="2207" t="str">
        <f>IF(mamo!G19&lt;&gt;0,mamo!G19,"")</f>
        <v/>
      </c>
      <c r="G81" s="2207"/>
      <c r="H81" s="2207" t="str">
        <f>IF(convencional!M20&lt;&gt;0,convencional!M20,"")</f>
        <v/>
      </c>
      <c r="I81" s="2291" t="str">
        <f>IF(convencional!M21&lt;&gt;0,convencional!M21,"")</f>
        <v/>
      </c>
      <c r="J81" s="163"/>
      <c r="K81" s="2274" t="str">
        <f>K80</f>
        <v>x</v>
      </c>
      <c r="L81" s="2274" t="str">
        <f t="shared" si="1"/>
        <v/>
      </c>
      <c r="M81" s="2274" t="str">
        <f t="shared" si="2"/>
        <v/>
      </c>
    </row>
    <row r="82" spans="1:18" ht="15" customHeight="1" x14ac:dyDescent="0.25">
      <c r="A82" s="2290" t="s">
        <v>202</v>
      </c>
      <c r="B82" s="1514" t="str">
        <f>IF(B81="","",IF(TYPE(mamo!I15)=16,"NF",IF(mamo!I15&lt;&gt;0,mamo!I15,"NM")))</f>
        <v/>
      </c>
      <c r="C82" s="1514" t="str">
        <f>IF(B81="","",IF(TYPE(mamo!I16)=16,"NF",IF(mamo!I16&lt;&gt;0,mamo!I16,"NM")))</f>
        <v/>
      </c>
      <c r="D82" s="1514" t="str">
        <f>IF(B81="","",IF(TYPE(mamo!I17)=16,"NF",IF(mamo!I17&lt;&gt;0,mamo!I17,"NM")))</f>
        <v/>
      </c>
      <c r="E82" s="1514" t="str">
        <f>IF(B81="","",IF(TYPE(mamo!I18)=16,"NF",IF(mamo!I18&lt;&gt;0,mamo!I18,"NM")))</f>
        <v/>
      </c>
      <c r="F82" s="1514" t="str">
        <f>IF(B81="","",IF(TYPE(mamo!I19)=16,"NF",IF(mamo!I19&lt;&gt;0,mamo!I19,"NM")))</f>
        <v/>
      </c>
      <c r="G82" s="1514"/>
      <c r="H82" s="1514" t="str">
        <f>IF(H81="","",IF(TYPE(convencional!O20)=16,"NF",IF(convencional!O20&lt;&gt;0,convencional!O20,"NM")))</f>
        <v/>
      </c>
      <c r="I82" s="2292" t="str">
        <f>IF(I81="","",IF(TYPE(convencional!O21)=16,"NF",IF(convencional!O21&lt;&gt;0,convencional!O21,"NM")))</f>
        <v/>
      </c>
      <c r="J82" s="163"/>
      <c r="K82" s="2274" t="str">
        <f>K81</f>
        <v>x</v>
      </c>
      <c r="L82" s="2274" t="str">
        <f t="shared" si="1"/>
        <v/>
      </c>
      <c r="M82" s="2274" t="str">
        <f t="shared" si="2"/>
        <v/>
      </c>
    </row>
    <row r="83" spans="1:18" ht="15" customHeight="1" x14ac:dyDescent="0.25">
      <c r="A83" s="2077" t="s">
        <v>2778</v>
      </c>
      <c r="B83" s="1514" t="str">
        <f ca="1">mamo!$K15</f>
        <v/>
      </c>
      <c r="C83" s="1514" t="str">
        <f ca="1">mamo!$K16</f>
        <v/>
      </c>
      <c r="D83" s="1514" t="str">
        <f ca="1">mamo!$K17</f>
        <v/>
      </c>
      <c r="E83" s="1514" t="str">
        <f ca="1">mamo!$K18</f>
        <v/>
      </c>
      <c r="F83" s="1514" t="str">
        <f ca="1">mamo!$K19</f>
        <v/>
      </c>
      <c r="G83" s="1514"/>
      <c r="H83" s="1514"/>
      <c r="I83" s="2292"/>
      <c r="J83" s="163"/>
      <c r="K83" s="2274" t="str">
        <f>K81</f>
        <v>x</v>
      </c>
      <c r="L83" s="2274"/>
      <c r="M83" s="2274"/>
    </row>
    <row r="84" spans="1:18" ht="15" customHeight="1" x14ac:dyDescent="0.25">
      <c r="A84" s="2289" t="str">
        <f>A78</f>
        <v>IN 92</v>
      </c>
      <c r="B84" s="1136" t="str">
        <f t="shared" ref="B84:I84" si="4">IF(B81="","",IF(TYPE(B82)=1,IF(ABS((B82-B81)/B81)&lt;=0.05,"Sim",IF(ABS((B82-B81)/B81)&gt;0.1,"Restrição","Não")),"-"))</f>
        <v/>
      </c>
      <c r="C84" s="1136" t="str">
        <f t="shared" si="4"/>
        <v/>
      </c>
      <c r="D84" s="1136" t="str">
        <f t="shared" si="4"/>
        <v/>
      </c>
      <c r="E84" s="1136" t="str">
        <f t="shared" si="4"/>
        <v/>
      </c>
      <c r="F84" s="1136" t="str">
        <f t="shared" si="4"/>
        <v/>
      </c>
      <c r="G84" s="1136" t="str">
        <f t="shared" si="4"/>
        <v/>
      </c>
      <c r="H84" s="1136" t="str">
        <f t="shared" si="4"/>
        <v/>
      </c>
      <c r="I84" s="1136" t="str">
        <f t="shared" si="4"/>
        <v/>
      </c>
      <c r="K84" s="2274" t="str">
        <f>K82</f>
        <v>x</v>
      </c>
      <c r="L84" s="2274" t="str">
        <f t="shared" si="1"/>
        <v/>
      </c>
      <c r="M84" s="2274" t="str">
        <f t="shared" si="2"/>
        <v/>
      </c>
      <c r="R84" s="2272" t="str">
        <f>IF(COUNTIF(B84:I84,"Não")&lt;&gt;0,"Não conforme",IF(COUNTIF(B84:I84,"Restrição")&lt;&gt;0,"Não conforme",IF(COUNTIF(B84:I84,"Sim")&lt;&gt;0,"Conforme","NPA")))</f>
        <v>NPA</v>
      </c>
    </row>
    <row r="85" spans="1:18" ht="15" customHeight="1" x14ac:dyDescent="0.25">
      <c r="A85" s="2481" t="s">
        <v>2789</v>
      </c>
      <c r="B85" s="2481"/>
      <c r="C85" s="2481"/>
      <c r="D85" s="2481"/>
      <c r="E85" s="2481"/>
      <c r="F85" s="2481"/>
      <c r="G85" s="2481"/>
      <c r="H85" s="2481"/>
      <c r="I85" s="2481"/>
      <c r="K85" s="2274" t="str">
        <f t="shared" ref="K85:K86" si="5">K84</f>
        <v>x</v>
      </c>
    </row>
    <row r="86" spans="1:18" ht="15" customHeight="1" x14ac:dyDescent="0.25">
      <c r="A86" s="2293" t="s">
        <v>2790</v>
      </c>
      <c r="B86" s="2270"/>
      <c r="C86" s="2270"/>
      <c r="D86" s="2270"/>
      <c r="E86" s="2270"/>
      <c r="F86" s="2270"/>
      <c r="G86" s="2270"/>
      <c r="H86" s="2270"/>
      <c r="I86" s="2270"/>
      <c r="K86" s="2274" t="str">
        <f t="shared" si="5"/>
        <v>x</v>
      </c>
    </row>
    <row r="87" spans="1:18" ht="15" customHeight="1" x14ac:dyDescent="0.25">
      <c r="A87" s="2481"/>
      <c r="B87" s="2481"/>
      <c r="C87" s="2481"/>
      <c r="D87" s="2481"/>
      <c r="E87" s="2481"/>
      <c r="F87" s="2481"/>
      <c r="G87" s="2481"/>
      <c r="H87" s="2481"/>
      <c r="I87" s="2481"/>
      <c r="L87" s="2206" t="s">
        <v>658</v>
      </c>
      <c r="M87" s="2206" t="s">
        <v>273</v>
      </c>
      <c r="N87" s="2274" t="s">
        <v>715</v>
      </c>
    </row>
    <row r="88" spans="1:18" ht="15" customHeight="1" x14ac:dyDescent="0.25">
      <c r="A88" s="281" t="s">
        <v>145</v>
      </c>
      <c r="K88" s="2274">
        <f t="shared" ref="K88:K90" si="6">K87</f>
        <v>0</v>
      </c>
      <c r="L88" s="2274">
        <f>SUM(L91:L98)</f>
        <v>0</v>
      </c>
      <c r="M88" s="2274">
        <f>SUM(M91:M98)</f>
        <v>0</v>
      </c>
      <c r="N88" s="2274">
        <f>SUM(L88:M88)</f>
        <v>0</v>
      </c>
    </row>
    <row r="89" spans="1:18" ht="15" customHeight="1" x14ac:dyDescent="0.25">
      <c r="A89" s="2272" t="s">
        <v>2356</v>
      </c>
      <c r="C89" s="2130" t="s">
        <v>2610</v>
      </c>
      <c r="K89" s="2274">
        <f t="shared" si="6"/>
        <v>0</v>
      </c>
      <c r="L89" s="2274"/>
      <c r="M89" s="2274"/>
      <c r="N89" s="2274"/>
    </row>
    <row r="90" spans="1:18" ht="15" customHeight="1" x14ac:dyDescent="0.25">
      <c r="A90" s="2272" t="s">
        <v>2358</v>
      </c>
      <c r="C90" s="2272" t="s">
        <v>2359</v>
      </c>
      <c r="K90" s="2274">
        <f t="shared" si="6"/>
        <v>0</v>
      </c>
      <c r="L90" s="2274"/>
      <c r="M90" s="2274"/>
      <c r="N90" s="2274"/>
    </row>
    <row r="91" spans="1:18" ht="15" customHeight="1" x14ac:dyDescent="0.25">
      <c r="A91" s="2747" t="s">
        <v>300</v>
      </c>
      <c r="B91" s="2747"/>
      <c r="C91" s="2747"/>
      <c r="K91" s="2274" t="str">
        <f>IF(OR(mamo!A46="mAs selecionado",C92=0),"x","")</f>
        <v>x</v>
      </c>
      <c r="L91" s="2274" t="str">
        <f>IFERROR(IF(K91="x","",COUNTIF(C91:J91,"Restrição")),"")</f>
        <v/>
      </c>
      <c r="M91" s="2274" t="str">
        <f>IFERROR(IF(K91="x","",COUNTIF(C91:J91,"Não")),"")</f>
        <v/>
      </c>
    </row>
    <row r="92" spans="1:18" ht="15" customHeight="1" x14ac:dyDescent="0.25">
      <c r="A92" s="2735" t="s">
        <v>140</v>
      </c>
      <c r="B92" s="2735"/>
      <c r="C92" s="2294">
        <f>mamo!A47</f>
        <v>0</v>
      </c>
      <c r="D92" s="2294">
        <f>mamo!A48</f>
        <v>0</v>
      </c>
      <c r="E92" s="2294">
        <f>mamo!A49</f>
        <v>0</v>
      </c>
      <c r="F92" s="2294">
        <f>mamo!A50</f>
        <v>0</v>
      </c>
      <c r="G92" s="2294">
        <f>mamo!A51</f>
        <v>0</v>
      </c>
      <c r="H92" s="2294">
        <f>mamo!A52</f>
        <v>0</v>
      </c>
      <c r="I92" s="2295">
        <f>mamo!A53</f>
        <v>0</v>
      </c>
      <c r="J92" s="163"/>
      <c r="K92" s="2274" t="str">
        <f>K91</f>
        <v>x</v>
      </c>
      <c r="L92" s="2274" t="str">
        <f t="shared" ref="L92:L98" si="7">IFERROR(IF(K92="x","",COUNTIF(C92:J92,"Restrição")),"")</f>
        <v/>
      </c>
      <c r="M92" s="2274" t="str">
        <f t="shared" ref="M92:M98" si="8">IFERROR(IF(K92="x","",COUNTIF(C92:J92,"Não")),"")</f>
        <v/>
      </c>
    </row>
    <row r="93" spans="1:18" ht="15" customHeight="1" x14ac:dyDescent="0.25">
      <c r="A93" s="2735" t="s">
        <v>141</v>
      </c>
      <c r="B93" s="2735"/>
      <c r="C93" s="1134" t="str">
        <f ca="1">mamo!C47</f>
        <v/>
      </c>
      <c r="D93" s="1134" t="str">
        <f ca="1">mamo!C48</f>
        <v/>
      </c>
      <c r="E93" s="1134" t="str">
        <f ca="1">mamo!C49</f>
        <v/>
      </c>
      <c r="F93" s="1134" t="str">
        <f ca="1">mamo!C50</f>
        <v/>
      </c>
      <c r="G93" s="1134" t="str">
        <f ca="1">mamo!C51</f>
        <v/>
      </c>
      <c r="H93" s="1134" t="str">
        <f ca="1">mamo!C52</f>
        <v/>
      </c>
      <c r="I93" s="2296" t="str">
        <f ca="1">mamo!C53</f>
        <v/>
      </c>
      <c r="J93" s="163"/>
      <c r="K93" s="2274" t="str">
        <f>K92</f>
        <v>x</v>
      </c>
      <c r="L93" s="2274" t="str">
        <f t="shared" si="7"/>
        <v/>
      </c>
      <c r="M93" s="2274" t="str">
        <f t="shared" si="8"/>
        <v/>
      </c>
      <c r="R93" s="2272" t="str">
        <f ca="1">IF(COUNTIF(B93:I93,"Não")&lt;&gt;0,"Não conforme",IF(COUNTIF(B93:I93,"Restrição")&lt;&gt;0,"Não conforme",IF(COUNTIF(B93:I93,"Sim")&lt;&gt;0,"Conforme","NPA")))</f>
        <v>NPA</v>
      </c>
    </row>
    <row r="94" spans="1:18" ht="15" customHeight="1" x14ac:dyDescent="0.25">
      <c r="A94" s="2735" t="s">
        <v>2780</v>
      </c>
      <c r="B94" s="2735"/>
      <c r="C94" s="1134" t="str">
        <f ca="1">mamo!D47</f>
        <v/>
      </c>
      <c r="D94" s="1134" t="str">
        <f ca="1">mamo!D48</f>
        <v/>
      </c>
      <c r="E94" s="1134" t="str">
        <f ca="1">mamo!D49</f>
        <v/>
      </c>
      <c r="F94" s="1134" t="str">
        <f ca="1">mamo!D50</f>
        <v/>
      </c>
      <c r="G94" s="1134" t="str">
        <f ca="1">mamo!D51</f>
        <v/>
      </c>
      <c r="H94" s="1134" t="str">
        <f ca="1">mamo!D52</f>
        <v/>
      </c>
      <c r="I94" s="2296" t="str">
        <f ca="1">mamo!D53</f>
        <v/>
      </c>
      <c r="J94" s="163"/>
      <c r="K94" s="2274" t="str">
        <f>K93</f>
        <v>x</v>
      </c>
      <c r="L94" s="2274"/>
      <c r="M94" s="2274"/>
    </row>
    <row r="95" spans="1:18" ht="15" customHeight="1" x14ac:dyDescent="0.25">
      <c r="A95" s="2297"/>
      <c r="B95" s="2297"/>
      <c r="C95" s="2200"/>
      <c r="D95" s="1514"/>
      <c r="E95" s="1514"/>
      <c r="F95" s="1514"/>
      <c r="G95" s="1514"/>
      <c r="H95" s="1514"/>
      <c r="I95" s="2292"/>
      <c r="J95" s="163"/>
      <c r="K95" s="2274" t="str">
        <f>K96</f>
        <v>x</v>
      </c>
      <c r="L95" s="2274" t="str">
        <f t="shared" si="7"/>
        <v/>
      </c>
      <c r="M95" s="2274" t="str">
        <f t="shared" si="8"/>
        <v/>
      </c>
    </row>
    <row r="96" spans="1:18" ht="15" customHeight="1" x14ac:dyDescent="0.25">
      <c r="A96" s="2743" t="s">
        <v>301</v>
      </c>
      <c r="B96" s="2743"/>
      <c r="C96" s="2743"/>
      <c r="D96" s="163"/>
      <c r="E96" s="163"/>
      <c r="F96" s="163"/>
      <c r="G96" s="163"/>
      <c r="H96" s="163"/>
      <c r="I96" s="2298"/>
      <c r="J96" s="163"/>
      <c r="K96" s="2274" t="str">
        <f>IF(OR(mamo!K46="mAs selecionado",C97=0),"x","")</f>
        <v>x</v>
      </c>
      <c r="L96" s="2274" t="str">
        <f t="shared" si="7"/>
        <v/>
      </c>
      <c r="M96" s="2274" t="str">
        <f t="shared" si="8"/>
        <v/>
      </c>
    </row>
    <row r="97" spans="1:18" ht="15" customHeight="1" x14ac:dyDescent="0.25">
      <c r="A97" s="2735" t="s">
        <v>140</v>
      </c>
      <c r="B97" s="2735"/>
      <c r="C97" s="2294">
        <f>mamo!K47</f>
        <v>0</v>
      </c>
      <c r="D97" s="2294">
        <f>mamo!K48</f>
        <v>0</v>
      </c>
      <c r="E97" s="2294">
        <f>mamo!K49</f>
        <v>0</v>
      </c>
      <c r="F97" s="2294">
        <f>mamo!K50</f>
        <v>0</v>
      </c>
      <c r="G97" s="2294">
        <f>mamo!K51</f>
        <v>0</v>
      </c>
      <c r="H97" s="2294">
        <f>mamo!K52</f>
        <v>0</v>
      </c>
      <c r="I97" s="2295">
        <f>mamo!K53</f>
        <v>0</v>
      </c>
      <c r="J97" s="163"/>
      <c r="K97" s="2274" t="str">
        <f>K96</f>
        <v>x</v>
      </c>
      <c r="L97" s="2274" t="str">
        <f t="shared" si="7"/>
        <v/>
      </c>
      <c r="M97" s="2274" t="str">
        <f t="shared" si="8"/>
        <v/>
      </c>
    </row>
    <row r="98" spans="1:18" ht="15" customHeight="1" x14ac:dyDescent="0.25">
      <c r="A98" s="2735" t="s">
        <v>141</v>
      </c>
      <c r="B98" s="2735"/>
      <c r="C98" s="1134" t="str">
        <f ca="1">mamo!M47</f>
        <v/>
      </c>
      <c r="D98" s="1134" t="str">
        <f ca="1">mamo!M48</f>
        <v/>
      </c>
      <c r="E98" s="1134" t="str">
        <f ca="1">mamo!M49</f>
        <v/>
      </c>
      <c r="F98" s="1134" t="str">
        <f ca="1">mamo!M50</f>
        <v/>
      </c>
      <c r="G98" s="1134" t="str">
        <f ca="1">mamo!M52</f>
        <v/>
      </c>
      <c r="H98" s="1134" t="str">
        <f ca="1">mamo!M52</f>
        <v/>
      </c>
      <c r="I98" s="2296" t="str">
        <f ca="1">mamo!M53</f>
        <v/>
      </c>
      <c r="J98" s="163"/>
      <c r="K98" s="2274" t="str">
        <f>K97</f>
        <v>x</v>
      </c>
      <c r="L98" s="2274" t="str">
        <f t="shared" si="7"/>
        <v/>
      </c>
      <c r="M98" s="2274" t="str">
        <f t="shared" si="8"/>
        <v/>
      </c>
      <c r="R98" s="2272" t="str">
        <f ca="1">IF(COUNTIF(B98:I98,"Não")&lt;&gt;0,"Não conforme",IF(COUNTIF(B98:I98,"Restrição")&lt;&gt;0,"Não conforme",IF(COUNTIF(B98:I98,"Sim")&lt;&gt;0,"Conforme","NPA")))</f>
        <v>NPA</v>
      </c>
    </row>
    <row r="99" spans="1:18" ht="15" customHeight="1" x14ac:dyDescent="0.25">
      <c r="A99" s="2735" t="s">
        <v>2780</v>
      </c>
      <c r="B99" s="2735"/>
      <c r="C99" s="1134" t="str">
        <f ca="1">mamo!N47</f>
        <v/>
      </c>
      <c r="D99" s="1134" t="str">
        <f ca="1">mamo!N48</f>
        <v/>
      </c>
      <c r="E99" s="1134" t="str">
        <f ca="1">mamo!N49</f>
        <v/>
      </c>
      <c r="F99" s="1134" t="str">
        <f ca="1">mamo!N50</f>
        <v/>
      </c>
      <c r="G99" s="1134" t="str">
        <f ca="1">mamo!N51</f>
        <v/>
      </c>
      <c r="H99" s="1134" t="str">
        <f ca="1">mamo!N52</f>
        <v/>
      </c>
      <c r="I99" s="2296" t="str">
        <f ca="1">mamo!N53</f>
        <v/>
      </c>
      <c r="J99" s="163"/>
      <c r="K99" s="2274" t="str">
        <f>K98</f>
        <v>x</v>
      </c>
      <c r="L99" s="2274"/>
      <c r="M99" s="2274"/>
    </row>
    <row r="100" spans="1:18" ht="15" customHeight="1" x14ac:dyDescent="0.25">
      <c r="A100" s="2476" t="s">
        <v>287</v>
      </c>
      <c r="B100" s="2476"/>
      <c r="C100" s="2476"/>
      <c r="D100" s="2476"/>
      <c r="E100" s="2476"/>
      <c r="F100" s="2476"/>
      <c r="G100" s="2476"/>
      <c r="H100" s="2476"/>
      <c r="I100" s="2476"/>
      <c r="K100" s="2274" t="str">
        <f>IF(AND(K92="x",K97="x"),"","x")</f>
        <v/>
      </c>
    </row>
    <row r="101" spans="1:18" ht="15" customHeight="1" x14ac:dyDescent="0.25">
      <c r="A101" s="2293" t="s">
        <v>2791</v>
      </c>
      <c r="B101" s="2269"/>
      <c r="C101" s="2269"/>
      <c r="D101" s="2269"/>
      <c r="E101" s="2269"/>
      <c r="F101" s="2269"/>
      <c r="G101" s="2269"/>
      <c r="H101" s="2269"/>
      <c r="I101" s="2269"/>
    </row>
    <row r="103" spans="1:18" ht="15" customHeight="1" x14ac:dyDescent="0.25">
      <c r="A103" s="281" t="s">
        <v>486</v>
      </c>
      <c r="L103" s="2206" t="s">
        <v>658</v>
      </c>
      <c r="M103" s="2206" t="s">
        <v>273</v>
      </c>
      <c r="N103" s="2274" t="s">
        <v>715</v>
      </c>
      <c r="O103" s="2279" t="s">
        <v>482</v>
      </c>
      <c r="P103" s="2279" t="s">
        <v>481</v>
      </c>
    </row>
    <row r="104" spans="1:18" ht="15" customHeight="1" x14ac:dyDescent="0.25">
      <c r="A104" s="2272" t="s">
        <v>2356</v>
      </c>
      <c r="C104" s="2272" t="s">
        <v>2611</v>
      </c>
      <c r="L104" s="2206"/>
      <c r="M104" s="2206"/>
      <c r="N104" s="2274"/>
      <c r="O104" s="2279"/>
      <c r="P104" s="2279"/>
    </row>
    <row r="105" spans="1:18" ht="15" customHeight="1" x14ac:dyDescent="0.25">
      <c r="A105" s="2272" t="s">
        <v>2358</v>
      </c>
      <c r="C105" s="2272" t="s">
        <v>2359</v>
      </c>
      <c r="L105" s="2206"/>
      <c r="M105" s="2206"/>
      <c r="N105" s="2274"/>
      <c r="O105" s="2279"/>
      <c r="P105" s="2279"/>
    </row>
    <row r="106" spans="1:18" ht="15" customHeight="1" x14ac:dyDescent="0.25">
      <c r="A106" s="2735" t="s">
        <v>330</v>
      </c>
      <c r="B106" s="2735"/>
      <c r="C106" s="2299">
        <f>mamo!B193</f>
        <v>1</v>
      </c>
      <c r="D106" s="2299">
        <f>mamo!C193</f>
        <v>2</v>
      </c>
      <c r="E106" s="2299">
        <f>mamo!D193</f>
        <v>3</v>
      </c>
      <c r="F106" s="2299">
        <f>mamo!E193</f>
        <v>4</v>
      </c>
      <c r="G106" s="2299">
        <f>mamo!F193</f>
        <v>5</v>
      </c>
      <c r="H106" s="2299">
        <f>mamo!G193</f>
        <v>6</v>
      </c>
      <c r="I106" s="2299"/>
      <c r="J106" s="2300"/>
      <c r="K106" s="2274" t="str">
        <f>IF(mamo!B186="Passos","","x")</f>
        <v/>
      </c>
      <c r="L106" s="2274">
        <f>SUM(L107:L121)</f>
        <v>0</v>
      </c>
      <c r="M106" s="2274">
        <f>SUM(M107:M121)</f>
        <v>0</v>
      </c>
      <c r="N106" s="2274">
        <f>SUM(L106:M106)</f>
        <v>0</v>
      </c>
      <c r="O106" s="2274">
        <f>SUM(M106:N106)</f>
        <v>0</v>
      </c>
      <c r="P106" s="2274">
        <f>SUM(N106:O106)</f>
        <v>0</v>
      </c>
    </row>
    <row r="107" spans="1:18" ht="15" customHeight="1" x14ac:dyDescent="0.25">
      <c r="A107" s="2735" t="s">
        <v>487</v>
      </c>
      <c r="B107" s="2735"/>
      <c r="C107" s="2301">
        <f>mamo!B194*9.8</f>
        <v>0</v>
      </c>
      <c r="D107" s="2301">
        <f>mamo!C194*9.8</f>
        <v>0</v>
      </c>
      <c r="E107" s="2301">
        <f>mamo!D194*9.8</f>
        <v>0</v>
      </c>
      <c r="F107" s="2301">
        <f>mamo!E194*9.8</f>
        <v>0</v>
      </c>
      <c r="G107" s="2301">
        <f>mamo!F194*9.8</f>
        <v>0</v>
      </c>
      <c r="H107" s="2301">
        <f>mamo!G194*9.8</f>
        <v>0</v>
      </c>
      <c r="I107" s="2301"/>
      <c r="J107" s="2300"/>
      <c r="K107" s="2274" t="str">
        <f>K106</f>
        <v/>
      </c>
      <c r="L107" s="2274">
        <f>IFERROR(IF(K107="x","",COUNTIF(C107:J107,"Restrição")),"")</f>
        <v>0</v>
      </c>
      <c r="M107" s="2274">
        <f>IFERROR(IF(K107="x","",COUNTIF(C107:J107,"Não")),"")</f>
        <v>0</v>
      </c>
      <c r="N107" s="2274">
        <f t="shared" ref="N107:N122" si="9">SUM(L107:M107)</f>
        <v>0</v>
      </c>
      <c r="O107" s="2302">
        <f t="shared" ref="O107:O119" si="10">IF(A107="PRC-5",N107,0)</f>
        <v>0</v>
      </c>
      <c r="P107" s="2302">
        <f>IF(A107="IN 54",N107,0)</f>
        <v>0</v>
      </c>
    </row>
    <row r="108" spans="1:18" ht="15" customHeight="1" x14ac:dyDescent="0.25">
      <c r="A108" s="2735" t="str">
        <f>A84</f>
        <v>IN 92</v>
      </c>
      <c r="B108" s="2735"/>
      <c r="C108" s="2301" t="str">
        <f t="shared" ref="C108:H108" si="11">IF(C107=0,"",IF(C106=0,0,IF(OR(C107&gt;300,C107&lt;70),"Restrição",IF(OR(C107&lt;150,C107&gt;200),"Não","Sim"))))</f>
        <v/>
      </c>
      <c r="D108" s="2301" t="str">
        <f t="shared" si="11"/>
        <v/>
      </c>
      <c r="E108" s="2301" t="str">
        <f t="shared" si="11"/>
        <v/>
      </c>
      <c r="F108" s="2301" t="str">
        <f t="shared" si="11"/>
        <v/>
      </c>
      <c r="G108" s="2301" t="str">
        <f t="shared" si="11"/>
        <v/>
      </c>
      <c r="H108" s="2301" t="str">
        <f t="shared" si="11"/>
        <v/>
      </c>
      <c r="I108" s="2301"/>
      <c r="J108" s="2300"/>
      <c r="K108" s="2274" t="str">
        <f>K107</f>
        <v/>
      </c>
      <c r="L108" s="2274">
        <f t="shared" ref="L108:L121" si="12">IFERROR(IF(K108="x","",COUNTIF(C108:J108,"Restrição")),"")</f>
        <v>0</v>
      </c>
      <c r="M108" s="2274">
        <f t="shared" ref="M108:M122" si="13">IFERROR(IF(K108="x","",COUNTIF(C108:J108,"Não")),"")</f>
        <v>0</v>
      </c>
      <c r="N108" s="2274">
        <f t="shared" si="9"/>
        <v>0</v>
      </c>
      <c r="O108" s="2302">
        <f t="shared" si="10"/>
        <v>0</v>
      </c>
      <c r="P108" s="2302">
        <f t="shared" ref="P108:P119" si="14">IF(A108="IN 54",N108,0)</f>
        <v>0</v>
      </c>
      <c r="R108" s="2272" t="str">
        <f>IF(COUNTIF(C108:I108,"Não")&lt;&gt;0,"Não conforme",IF(COUNTIF(C108:I108,"Restrição")&lt;&gt;0,"Não conforme","Conforme"))</f>
        <v>Conforme</v>
      </c>
    </row>
    <row r="109" spans="1:18" ht="15" customHeight="1" x14ac:dyDescent="0.25">
      <c r="A109" s="2177" t="s">
        <v>2792</v>
      </c>
      <c r="B109" s="2177"/>
      <c r="C109" s="2177"/>
      <c r="D109" s="2177"/>
      <c r="E109" s="2177"/>
      <c r="F109" s="2177"/>
      <c r="G109" s="2177"/>
      <c r="H109" s="2177"/>
      <c r="I109" s="2177"/>
      <c r="K109" s="2274" t="str">
        <f>K108</f>
        <v/>
      </c>
      <c r="L109" s="2274">
        <f t="shared" si="12"/>
        <v>0</v>
      </c>
      <c r="M109" s="2274">
        <f t="shared" si="13"/>
        <v>0</v>
      </c>
      <c r="N109" s="2274">
        <f t="shared" si="9"/>
        <v>0</v>
      </c>
      <c r="O109" s="2302">
        <f t="shared" si="10"/>
        <v>0</v>
      </c>
      <c r="P109" s="2302">
        <f t="shared" si="14"/>
        <v>0</v>
      </c>
    </row>
    <row r="110" spans="1:18" ht="15" customHeight="1" x14ac:dyDescent="0.25">
      <c r="A110" s="2270"/>
      <c r="B110" s="2270"/>
      <c r="C110" s="2270"/>
      <c r="D110" s="2270"/>
      <c r="E110" s="2270"/>
      <c r="F110" s="2270"/>
      <c r="G110" s="2270"/>
      <c r="H110" s="2270"/>
      <c r="I110" s="2270"/>
      <c r="K110" s="2274" t="str">
        <f>K109</f>
        <v/>
      </c>
      <c r="L110" s="2274">
        <f t="shared" si="12"/>
        <v>0</v>
      </c>
      <c r="M110" s="2274">
        <f>IFERROR(IF(K110="x","",COUNTIF(C110:J110,"Não")),"")</f>
        <v>0</v>
      </c>
      <c r="N110" s="2274">
        <f t="shared" si="9"/>
        <v>0</v>
      </c>
      <c r="O110" s="2302">
        <f t="shared" si="10"/>
        <v>0</v>
      </c>
      <c r="P110" s="2302">
        <f t="shared" si="14"/>
        <v>0</v>
      </c>
    </row>
    <row r="111" spans="1:18" ht="15" customHeight="1" x14ac:dyDescent="0.25">
      <c r="A111" s="2735" t="s">
        <v>330</v>
      </c>
      <c r="B111" s="2735"/>
      <c r="C111" s="2212" t="str">
        <f>mamo!B190</f>
        <v>mínimo</v>
      </c>
      <c r="D111" s="2212" t="str">
        <f>mamo!C190</f>
        <v>máximo</v>
      </c>
      <c r="E111" s="2270"/>
      <c r="F111" s="2270"/>
      <c r="G111" s="2270"/>
      <c r="H111" s="2270"/>
      <c r="I111" s="2270"/>
      <c r="K111" s="2274" t="str">
        <f>IF(mamo!B186="Potenciômetro","","x")</f>
        <v>x</v>
      </c>
      <c r="L111" s="2274" t="str">
        <f>IFERROR(IF(K111="x","",COUNTIF(C111:J111,"Restrição")),"")</f>
        <v/>
      </c>
      <c r="M111" s="2274" t="str">
        <f t="shared" si="13"/>
        <v/>
      </c>
      <c r="N111" s="2274">
        <f t="shared" si="9"/>
        <v>0</v>
      </c>
      <c r="O111" s="2302">
        <f t="shared" si="10"/>
        <v>0</v>
      </c>
      <c r="P111" s="2302">
        <f t="shared" si="14"/>
        <v>0</v>
      </c>
    </row>
    <row r="112" spans="1:18" ht="15" customHeight="1" x14ac:dyDescent="0.25">
      <c r="A112" s="2735" t="s">
        <v>487</v>
      </c>
      <c r="B112" s="2735"/>
      <c r="C112" s="2165">
        <f>mamo!B191*9.8</f>
        <v>0</v>
      </c>
      <c r="D112" s="2165">
        <f>mamo!C191*9.8</f>
        <v>0</v>
      </c>
      <c r="E112" s="2270"/>
      <c r="F112" s="2270"/>
      <c r="G112" s="2270"/>
      <c r="H112" s="2270"/>
      <c r="I112" s="2270"/>
      <c r="K112" s="2274" t="str">
        <f>K111</f>
        <v>x</v>
      </c>
      <c r="L112" s="2274" t="str">
        <f>IFERROR(IF(K112="x","",COUNTIF(C112:J112,"Restrição")),"")</f>
        <v/>
      </c>
      <c r="M112" s="2274" t="str">
        <f t="shared" si="13"/>
        <v/>
      </c>
      <c r="N112" s="2274">
        <f t="shared" si="9"/>
        <v>0</v>
      </c>
      <c r="O112" s="2302">
        <f t="shared" si="10"/>
        <v>0</v>
      </c>
      <c r="P112" s="2302">
        <f t="shared" si="14"/>
        <v>0</v>
      </c>
    </row>
    <row r="113" spans="1:18" ht="15" customHeight="1" x14ac:dyDescent="0.25">
      <c r="A113" s="2735" t="str">
        <f>A108</f>
        <v>IN 92</v>
      </c>
      <c r="B113" s="2735"/>
      <c r="C113" s="2301" t="str">
        <f>IF(C112=0,"",IF(C111=0,0,IF(OR(C112&gt;300,C112&lt;70),"Restrição",IF(OR(C112&lt;150,C112&gt;200),"Não","Sim"))))</f>
        <v/>
      </c>
      <c r="D113" s="2301" t="str">
        <f>IF(D112=0,"",IF(D111=0,0,IF(OR(D112&gt;300,D112&lt;70),"Restrição",IF(OR(D112&lt;150,D112&gt;200),"Não","Sim"))))</f>
        <v/>
      </c>
      <c r="E113" s="2270"/>
      <c r="F113" s="2270"/>
      <c r="G113" s="2270"/>
      <c r="H113" s="2270"/>
      <c r="I113" s="2270"/>
      <c r="K113" s="2274" t="str">
        <f>K112</f>
        <v>x</v>
      </c>
      <c r="L113" s="2274" t="str">
        <f t="shared" si="12"/>
        <v/>
      </c>
      <c r="M113" s="2274" t="str">
        <f t="shared" si="13"/>
        <v/>
      </c>
      <c r="N113" s="2274">
        <f t="shared" si="9"/>
        <v>0</v>
      </c>
      <c r="O113" s="2302">
        <f t="shared" si="10"/>
        <v>0</v>
      </c>
      <c r="P113" s="2302">
        <f t="shared" si="14"/>
        <v>0</v>
      </c>
      <c r="R113" s="2272" t="str">
        <f>IF(COUNTIF(C113:I113,"Não")&lt;&gt;0,"Não conforme",IF(COUNTIF(C113:I113,"Restrição")&lt;&gt;0,"Não conforme","Conforme"))</f>
        <v>Conforme</v>
      </c>
    </row>
    <row r="114" spans="1:18" ht="15" customHeight="1" x14ac:dyDescent="0.25">
      <c r="A114" s="2177" t="s">
        <v>2792</v>
      </c>
      <c r="B114" s="2177"/>
      <c r="C114" s="2177"/>
      <c r="D114" s="2177"/>
      <c r="E114" s="2270"/>
      <c r="F114" s="2270"/>
      <c r="G114" s="2270"/>
      <c r="H114" s="2270"/>
      <c r="I114" s="2270"/>
      <c r="K114" s="2274" t="str">
        <f>K113</f>
        <v>x</v>
      </c>
      <c r="L114" s="2274" t="str">
        <f t="shared" si="12"/>
        <v/>
      </c>
      <c r="M114" s="2274" t="str">
        <f t="shared" si="13"/>
        <v/>
      </c>
      <c r="N114" s="2274">
        <f t="shared" si="9"/>
        <v>0</v>
      </c>
      <c r="O114" s="2302">
        <f t="shared" si="10"/>
        <v>0</v>
      </c>
      <c r="P114" s="2302">
        <f t="shared" si="14"/>
        <v>0</v>
      </c>
    </row>
    <row r="115" spans="1:18" ht="15" customHeight="1" x14ac:dyDescent="0.25">
      <c r="A115" s="2270"/>
      <c r="B115" s="2270"/>
      <c r="C115" s="2270"/>
      <c r="D115" s="2270"/>
      <c r="E115" s="2270"/>
      <c r="F115" s="2270"/>
      <c r="G115" s="2270"/>
      <c r="H115" s="2270"/>
      <c r="I115" s="2270"/>
      <c r="K115" s="2274" t="str">
        <f>K114</f>
        <v>x</v>
      </c>
      <c r="L115" s="2274" t="str">
        <f t="shared" si="12"/>
        <v/>
      </c>
      <c r="M115" s="2274" t="str">
        <f t="shared" si="13"/>
        <v/>
      </c>
      <c r="N115" s="2274">
        <f t="shared" si="9"/>
        <v>0</v>
      </c>
      <c r="O115" s="2302">
        <f t="shared" si="10"/>
        <v>0</v>
      </c>
      <c r="P115" s="2302">
        <f t="shared" si="14"/>
        <v>0</v>
      </c>
    </row>
    <row r="116" spans="1:18" ht="15" customHeight="1" x14ac:dyDescent="0.25">
      <c r="A116" s="2735" t="s">
        <v>330</v>
      </c>
      <c r="B116" s="2735"/>
      <c r="C116" s="2212" t="s">
        <v>318</v>
      </c>
      <c r="D116" s="2270"/>
      <c r="E116" s="2270"/>
      <c r="F116" s="2270"/>
      <c r="G116" s="2270"/>
      <c r="H116" s="2270"/>
      <c r="I116" s="2270"/>
      <c r="K116" s="2274" t="str">
        <f>IF(mamo!B186="Sem ajuste","","x")</f>
        <v>x</v>
      </c>
      <c r="L116" s="2274" t="str">
        <f t="shared" si="12"/>
        <v/>
      </c>
      <c r="M116" s="2274" t="str">
        <f t="shared" si="13"/>
        <v/>
      </c>
      <c r="N116" s="2274">
        <f t="shared" si="9"/>
        <v>0</v>
      </c>
      <c r="O116" s="2302">
        <f t="shared" si="10"/>
        <v>0</v>
      </c>
      <c r="P116" s="2302">
        <f t="shared" si="14"/>
        <v>0</v>
      </c>
    </row>
    <row r="117" spans="1:18" ht="15" customHeight="1" x14ac:dyDescent="0.25">
      <c r="A117" s="2735" t="s">
        <v>487</v>
      </c>
      <c r="B117" s="2735"/>
      <c r="C117" s="2165">
        <f>mamo!B188*9.8</f>
        <v>0</v>
      </c>
      <c r="D117" s="2270"/>
      <c r="E117" s="2270"/>
      <c r="F117" s="2270"/>
      <c r="G117" s="2270"/>
      <c r="H117" s="2270"/>
      <c r="I117" s="2270"/>
      <c r="K117" s="2274" t="str">
        <f>K116</f>
        <v>x</v>
      </c>
      <c r="L117" s="2274" t="str">
        <f t="shared" si="12"/>
        <v/>
      </c>
      <c r="M117" s="2274" t="str">
        <f t="shared" si="13"/>
        <v/>
      </c>
      <c r="N117" s="2274">
        <f t="shared" si="9"/>
        <v>0</v>
      </c>
      <c r="O117" s="2302">
        <f t="shared" si="10"/>
        <v>0</v>
      </c>
      <c r="P117" s="2302">
        <f t="shared" si="14"/>
        <v>0</v>
      </c>
    </row>
    <row r="118" spans="1:18" ht="15" customHeight="1" x14ac:dyDescent="0.25">
      <c r="A118" s="2735" t="str">
        <f>A113</f>
        <v>IN 92</v>
      </c>
      <c r="B118" s="2735"/>
      <c r="C118" s="2301" t="str">
        <f>IF(C117=0,"",IF(C116=0,0,IF(OR(C117&gt;300,C117&lt;70),"Restrição",IF(OR(C117&lt;150,C117&gt;200),"Não","Sim"))))</f>
        <v/>
      </c>
      <c r="D118" s="2270"/>
      <c r="E118" s="2270"/>
      <c r="F118" s="2270"/>
      <c r="G118" s="2270"/>
      <c r="H118" s="2270"/>
      <c r="I118" s="2270"/>
      <c r="K118" s="2274" t="str">
        <f>K117</f>
        <v>x</v>
      </c>
      <c r="L118" s="2274" t="str">
        <f t="shared" si="12"/>
        <v/>
      </c>
      <c r="M118" s="2274" t="str">
        <f t="shared" si="13"/>
        <v/>
      </c>
      <c r="N118" s="2274">
        <f t="shared" si="9"/>
        <v>0</v>
      </c>
      <c r="O118" s="2302">
        <f t="shared" si="10"/>
        <v>0</v>
      </c>
      <c r="P118" s="2302">
        <f t="shared" si="14"/>
        <v>0</v>
      </c>
      <c r="R118" s="2272" t="str">
        <f>IF(COUNTIF(C118:I118,"Não")&lt;&gt;0,"Não conforme",IF(COUNTIF(C118:I118,"Restrição")&lt;&gt;0,"Não conforme","Conforme"))</f>
        <v>Conforme</v>
      </c>
    </row>
    <row r="119" spans="1:18" ht="15" customHeight="1" x14ac:dyDescent="0.25">
      <c r="A119" s="2177" t="s">
        <v>2792</v>
      </c>
      <c r="B119" s="2177"/>
      <c r="C119" s="2177"/>
      <c r="D119" s="2177"/>
      <c r="K119" s="2274" t="str">
        <f>K118</f>
        <v>x</v>
      </c>
      <c r="L119" s="2274" t="str">
        <f t="shared" si="12"/>
        <v/>
      </c>
      <c r="M119" s="2274" t="str">
        <f t="shared" si="13"/>
        <v/>
      </c>
      <c r="N119" s="2274">
        <f t="shared" si="9"/>
        <v>0</v>
      </c>
      <c r="O119" s="2302">
        <f t="shared" si="10"/>
        <v>0</v>
      </c>
      <c r="P119" s="2302">
        <f t="shared" si="14"/>
        <v>0</v>
      </c>
    </row>
    <row r="120" spans="1:18" ht="15" customHeight="1" x14ac:dyDescent="0.25">
      <c r="A120" s="2293" t="s">
        <v>2793</v>
      </c>
      <c r="B120" s="2177"/>
      <c r="C120" s="2177"/>
      <c r="D120" s="2177"/>
      <c r="L120" s="2274"/>
      <c r="M120" s="2274"/>
      <c r="N120" s="2274"/>
      <c r="O120" s="2302"/>
      <c r="P120" s="2302"/>
    </row>
    <row r="121" spans="1:18" ht="15" customHeight="1" x14ac:dyDescent="0.25">
      <c r="A121" s="2270"/>
      <c r="B121" s="2270"/>
      <c r="C121" s="2270"/>
      <c r="D121" s="2270"/>
      <c r="E121" s="2270"/>
      <c r="F121" s="2270"/>
      <c r="G121" s="2270"/>
      <c r="H121" s="2270"/>
      <c r="I121" s="2270"/>
      <c r="K121" s="2274" t="str">
        <f>K122</f>
        <v>x</v>
      </c>
      <c r="L121" s="2274" t="str">
        <f t="shared" si="12"/>
        <v/>
      </c>
      <c r="M121" s="2274" t="str">
        <f t="shared" si="13"/>
        <v/>
      </c>
      <c r="N121" s="2274">
        <f t="shared" si="9"/>
        <v>0</v>
      </c>
    </row>
    <row r="122" spans="1:18" ht="15" customHeight="1" x14ac:dyDescent="0.25">
      <c r="A122" s="281" t="s">
        <v>1007</v>
      </c>
      <c r="K122" s="2274" t="str">
        <f>IF(Cabeçalho!G20&lt;&gt;"DR","x",IF(COUNTIF(mamo!C144:I144,"NPA")&lt;7,"","x"))</f>
        <v>x</v>
      </c>
      <c r="L122" s="2274" t="str">
        <f>IFERROR(IF(K122="x","",COUNTIF(C122:J122,"Restrição")),"")</f>
        <v/>
      </c>
      <c r="M122" s="2274" t="str">
        <f t="shared" si="13"/>
        <v/>
      </c>
      <c r="N122" s="2274">
        <f t="shared" si="9"/>
        <v>0</v>
      </c>
    </row>
    <row r="123" spans="1:18" ht="15" customHeight="1" x14ac:dyDescent="0.25">
      <c r="A123" s="2272" t="s">
        <v>2356</v>
      </c>
      <c r="C123" s="2130" t="s">
        <v>2612</v>
      </c>
      <c r="L123" s="2274"/>
      <c r="M123" s="2274"/>
      <c r="N123" s="2274"/>
    </row>
    <row r="124" spans="1:18" ht="15" customHeight="1" x14ac:dyDescent="0.25">
      <c r="A124" s="2272" t="s">
        <v>2358</v>
      </c>
      <c r="C124" s="2272" t="s">
        <v>2359</v>
      </c>
      <c r="L124" s="2274"/>
      <c r="M124" s="2274"/>
      <c r="N124" s="2274"/>
    </row>
    <row r="125" spans="1:18" ht="15" customHeight="1" x14ac:dyDescent="0.25">
      <c r="A125" s="2735" t="s">
        <v>906</v>
      </c>
      <c r="B125" s="2739"/>
      <c r="C125" s="2303">
        <f>IF(mamo!C131=0,"",mamo!C131)</f>
        <v>20</v>
      </c>
      <c r="D125" s="2303">
        <f>IF(mamo!D131=0,"",mamo!D131)</f>
        <v>45</v>
      </c>
      <c r="E125" s="2303">
        <f>IF(mamo!E131=0,"",mamo!E131)</f>
        <v>50</v>
      </c>
      <c r="F125" s="2303">
        <f>IF(mamo!F131=0,"",mamo!F131)</f>
        <v>60</v>
      </c>
      <c r="G125" s="2303" t="str">
        <f>IF(mamo!G131=0,"",mamo!G131)</f>
        <v/>
      </c>
      <c r="H125" s="2303" t="str">
        <f>IF(mamo!H131=0,"",mamo!H131)</f>
        <v/>
      </c>
      <c r="I125" s="2303" t="str">
        <f>IF(mamo!I131=0,"",mamo!I131)</f>
        <v/>
      </c>
      <c r="J125" s="285"/>
      <c r="K125" s="2274" t="str">
        <f>K122</f>
        <v>x</v>
      </c>
      <c r="L125" s="2274" t="str">
        <f>IFERROR(IF(K125="x","",COUNTIF(C125:J125,"Restrição")),"")</f>
        <v/>
      </c>
      <c r="M125" s="2274" t="str">
        <f>IFERROR(IF(K125="x","",COUNTIF(C125:J125,"Não")),"")</f>
        <v/>
      </c>
      <c r="N125" s="2274">
        <f>SUM(L125:M125)</f>
        <v>0</v>
      </c>
    </row>
    <row r="126" spans="1:18" ht="15" customHeight="1" x14ac:dyDescent="0.25">
      <c r="A126" s="2735" t="s">
        <v>1004</v>
      </c>
      <c r="B126" s="2739"/>
      <c r="C126" s="2304" t="str">
        <f>IF(C125="","",mamo!C144)</f>
        <v>NPA</v>
      </c>
      <c r="D126" s="2304" t="str">
        <f>IF(D125="","",mamo!D144)</f>
        <v>NPA</v>
      </c>
      <c r="E126" s="2304" t="str">
        <f>IF(E125="","",mamo!E144)</f>
        <v>NPA</v>
      </c>
      <c r="F126" s="1134" t="str">
        <f>IF(F125="","",mamo!F144)</f>
        <v>NPA</v>
      </c>
      <c r="G126" s="1134" t="str">
        <f>IF(G125="","",mamo!G144)</f>
        <v/>
      </c>
      <c r="H126" s="1134" t="str">
        <f>IF(H125="","",mamo!H144)</f>
        <v/>
      </c>
      <c r="I126" s="1134" t="str">
        <f>IF(I125="","",mamo!I144)</f>
        <v/>
      </c>
      <c r="J126" s="285"/>
      <c r="K126" s="2274" t="str">
        <f>K125</f>
        <v>x</v>
      </c>
      <c r="L126" s="2274" t="str">
        <f>IFERROR(IF(K126="x","",COUNTIF(C126:J126,"Restrição")),"")</f>
        <v/>
      </c>
      <c r="M126" s="2274" t="str">
        <f>IFERROR(IF(K126="x","",COUNTIF(C126:J126,"Não")),"")</f>
        <v/>
      </c>
      <c r="N126" s="2274">
        <f>SUM(L126:M126)</f>
        <v>0</v>
      </c>
    </row>
    <row r="127" spans="1:18" ht="15" customHeight="1" x14ac:dyDescent="0.25">
      <c r="A127" s="2739" t="s">
        <v>2002</v>
      </c>
      <c r="B127" s="2740"/>
      <c r="C127" s="1134" t="str">
        <f>IFERROR(IF(C125="","",mamo!C149),"")</f>
        <v>NPA</v>
      </c>
      <c r="D127" s="1134" t="str">
        <f>IFERROR(IF(D125="","",mamo!D149),"")</f>
        <v>NPA</v>
      </c>
      <c r="E127" s="1134" t="str">
        <f>IFERROR(IF(E125="","",mamo!E149),"")</f>
        <v>NPA</v>
      </c>
      <c r="F127" s="1134" t="str">
        <f>IFERROR(IF(F125="","",mamo!F149),"")</f>
        <v>NPA</v>
      </c>
      <c r="G127" s="1134" t="str">
        <f>IFERROR(IF(G125="","",mamo!G149),"")</f>
        <v/>
      </c>
      <c r="H127" s="1134" t="str">
        <f>IFERROR(IF(H125="","",mamo!H149),"")</f>
        <v/>
      </c>
      <c r="I127" s="1134" t="str">
        <f>IFERROR(IF(I125="","",mamo!I149),"")</f>
        <v/>
      </c>
      <c r="J127" s="285"/>
      <c r="K127" s="2274" t="str">
        <f>K126</f>
        <v>x</v>
      </c>
      <c r="L127" s="2274"/>
      <c r="M127" s="2274"/>
      <c r="N127" s="2274">
        <f>SUM(L127:M127)</f>
        <v>0</v>
      </c>
    </row>
    <row r="128" spans="1:18" ht="15" customHeight="1" x14ac:dyDescent="0.25">
      <c r="A128" s="2735" t="str">
        <f>A118</f>
        <v>IN 92</v>
      </c>
      <c r="B128" s="2739"/>
      <c r="C128" s="1514" t="str">
        <f>IF(C125="","",mamo!C147)</f>
        <v>NPA</v>
      </c>
      <c r="D128" s="1514" t="str">
        <f>IF(D125="","",mamo!D147)</f>
        <v>NPA</v>
      </c>
      <c r="E128" s="1514" t="str">
        <f>IF(E125="","",mamo!E147)</f>
        <v>NPA</v>
      </c>
      <c r="F128" s="1514" t="str">
        <f>IF(F125="","",mamo!F147)</f>
        <v>NPA</v>
      </c>
      <c r="G128" s="1514" t="str">
        <f>IF(G125="","",mamo!G147)</f>
        <v/>
      </c>
      <c r="H128" s="1514" t="str">
        <f>IF(H125="","",mamo!H147)</f>
        <v/>
      </c>
      <c r="I128" s="1514" t="str">
        <f>IF(I125="","",mamo!I147)</f>
        <v/>
      </c>
      <c r="J128" s="285"/>
      <c r="K128" s="2274" t="str">
        <f>K127</f>
        <v>x</v>
      </c>
      <c r="L128" s="2274" t="str">
        <f>IFERROR(IF(K128="x","",COUNTIF(C128:J128,"Restrição")),"")</f>
        <v/>
      </c>
      <c r="M128" s="2274" t="str">
        <f>IFERROR(IF(K128="x","",COUNTIF(C128:J128,"Não")),"")</f>
        <v/>
      </c>
      <c r="N128" s="2274">
        <f>SUM(L128:M128)</f>
        <v>0</v>
      </c>
      <c r="R128" s="2272" t="str">
        <f>IF(COUNTIF(C128:I128,"Não")&lt;&gt;0,"Não conforme",IF(COUNTIF(C128:I128,"Restrição")&lt;&gt;0,"Não conforme","Conforme"))</f>
        <v>Conforme</v>
      </c>
    </row>
    <row r="129" spans="1:18" ht="15" customHeight="1" x14ac:dyDescent="0.25">
      <c r="A129" s="2177" t="s">
        <v>2792</v>
      </c>
      <c r="B129" s="2270"/>
      <c r="C129" s="2270"/>
      <c r="D129" s="2270"/>
      <c r="E129" s="2270"/>
      <c r="F129" s="2270"/>
      <c r="G129" s="2270"/>
      <c r="H129" s="2270"/>
      <c r="I129" s="2270"/>
      <c r="J129" s="2270"/>
      <c r="L129" s="2274"/>
      <c r="M129" s="2274"/>
      <c r="N129" s="2274"/>
    </row>
    <row r="130" spans="1:18" ht="34.5" customHeight="1" x14ac:dyDescent="0.25">
      <c r="A130" s="2742" t="s">
        <v>2794</v>
      </c>
      <c r="B130" s="2742"/>
      <c r="C130" s="2742"/>
      <c r="D130" s="2742"/>
      <c r="E130" s="2742"/>
      <c r="F130" s="2742"/>
      <c r="G130" s="2742"/>
      <c r="H130" s="2742"/>
      <c r="I130" s="2742"/>
      <c r="J130" s="2742"/>
      <c r="L130" s="2274"/>
      <c r="M130" s="2274"/>
      <c r="N130" s="2274"/>
    </row>
    <row r="131" spans="1:18" ht="15" customHeight="1" x14ac:dyDescent="0.25">
      <c r="A131" s="2177"/>
      <c r="B131" s="2270"/>
      <c r="C131" s="2270"/>
      <c r="D131" s="2270"/>
      <c r="E131" s="2270"/>
      <c r="F131" s="2270"/>
      <c r="G131" s="2270"/>
      <c r="H131" s="2270"/>
      <c r="I131" s="2270"/>
      <c r="J131" s="2270"/>
      <c r="L131" s="2274"/>
      <c r="M131" s="2274"/>
      <c r="N131" s="2274"/>
    </row>
    <row r="132" spans="1:18" ht="15" customHeight="1" x14ac:dyDescent="0.25">
      <c r="A132" s="281" t="str">
        <f>"Demais testes da "&amp;mamo!B1&amp;":"</f>
        <v>Demais testes da IN 92:</v>
      </c>
      <c r="N132" s="2274"/>
    </row>
    <row r="133" spans="1:18" ht="15" customHeight="1" x14ac:dyDescent="0.25">
      <c r="A133" s="2465" t="s">
        <v>146</v>
      </c>
      <c r="B133" s="2465"/>
      <c r="C133" s="2465"/>
      <c r="D133" s="2465" t="s">
        <v>2066</v>
      </c>
      <c r="E133" s="2465"/>
      <c r="F133" s="2465"/>
      <c r="G133" s="2321" t="s">
        <v>2362</v>
      </c>
      <c r="H133" s="2465" t="s">
        <v>369</v>
      </c>
      <c r="I133" s="2465"/>
      <c r="J133" s="2321" t="str">
        <f>mamo!B1</f>
        <v>IN 92</v>
      </c>
      <c r="L133" s="2206" t="s">
        <v>658</v>
      </c>
      <c r="M133" s="2206" t="s">
        <v>273</v>
      </c>
      <c r="N133" s="2274" t="s">
        <v>715</v>
      </c>
    </row>
    <row r="134" spans="1:18" ht="29.25" customHeight="1" x14ac:dyDescent="0.25">
      <c r="A134" s="2462" t="s">
        <v>210</v>
      </c>
      <c r="B134" s="2462"/>
      <c r="C134" s="2462"/>
      <c r="D134" s="2462" t="s">
        <v>2592</v>
      </c>
      <c r="E134" s="2462"/>
      <c r="F134" s="2462"/>
      <c r="G134" s="2323" t="s">
        <v>2801</v>
      </c>
      <c r="H134" s="2741" t="e">
        <f ca="1">mamo!B83</f>
        <v>#DIV/0!</v>
      </c>
      <c r="I134" s="2741"/>
      <c r="J134" s="2320" t="e">
        <f ca="1">IF(mamo!B83&gt;0.1,"Restrição",IF(mamo!B83&gt;0.05,"Não","Sim"))</f>
        <v>#DIV/0!</v>
      </c>
      <c r="L134" s="2274" t="str">
        <f ca="1">IFERROR(IF(J134="Restrição",1,0),"")</f>
        <v/>
      </c>
      <c r="M134" s="2274" t="str">
        <f t="shared" ref="M134:M141" ca="1" si="15">IFERROR(IF(J134="Não",1,0),"")</f>
        <v/>
      </c>
      <c r="N134" s="2274">
        <f ca="1">SUM(L134:M134)</f>
        <v>0</v>
      </c>
      <c r="R134" s="2272" t="e">
        <f t="shared" ref="R134:R153" ca="1" si="16">IF(J134="Não","Não conforme",IF(J134="Restrição","Não conforme",IF(J134="Sim","Conforme",IF(J134="NPA","NPA","NA"))))</f>
        <v>#DIV/0!</v>
      </c>
    </row>
    <row r="135" spans="1:18" ht="30.75" customHeight="1" x14ac:dyDescent="0.25">
      <c r="A135" s="2462" t="str">
        <f ca="1">"Tempo máximo de exposição no CAE - "&amp;IF(LARGE(mamo!C69:D69,1)=mamo!C69,"Magnificação","Contato")</f>
        <v>Tempo máximo de exposição no CAE - Contato</v>
      </c>
      <c r="B135" s="2462"/>
      <c r="C135" s="2462"/>
      <c r="D135" s="2462" t="s">
        <v>2613</v>
      </c>
      <c r="E135" s="2462"/>
      <c r="F135" s="2462"/>
      <c r="G135" s="2323" t="s">
        <v>2614</v>
      </c>
      <c r="H135" s="2492">
        <f ca="1">LARGE(mamo!C69:D69,1)</f>
        <v>0</v>
      </c>
      <c r="I135" s="2492"/>
      <c r="J135" s="2320" t="str">
        <f ca="1">IF(LARGE(mamo!C69:D69,1)=mamo!C69,mamo!C71,mamo!D71)</f>
        <v>Sim</v>
      </c>
      <c r="L135" s="2274">
        <f ca="1">IF(ISERR(H135),0,IFERROR(IF(J135="Restrição",1,0),""))</f>
        <v>0</v>
      </c>
      <c r="M135" s="2274">
        <f t="shared" ca="1" si="15"/>
        <v>0</v>
      </c>
      <c r="N135" s="2274">
        <f ca="1">SUM(L135:M135)</f>
        <v>0</v>
      </c>
      <c r="R135" s="2272" t="str">
        <f t="shared" ca="1" si="16"/>
        <v>Conforme</v>
      </c>
    </row>
    <row r="136" spans="1:18" ht="30.75" customHeight="1" x14ac:dyDescent="0.25">
      <c r="A136" s="2462" t="s">
        <v>483</v>
      </c>
      <c r="B136" s="2462"/>
      <c r="C136" s="2462"/>
      <c r="D136" s="2462" t="s">
        <v>2615</v>
      </c>
      <c r="E136" s="2462"/>
      <c r="F136" s="2462"/>
      <c r="G136" s="2323" t="s">
        <v>2802</v>
      </c>
      <c r="H136" s="2492" t="str">
        <f ca="1">IFERROR(CONCATENATE(ROUND(mamo!C115,1)," %"),"NPA")</f>
        <v>NPA</v>
      </c>
      <c r="I136" s="2492"/>
      <c r="J136" s="2320" t="str">
        <f ca="1">IFERROR(IF(mamo!C115&gt;30,"Restrição",IF(mamo!C115&gt;15,"Não","Sim")),"NPA")</f>
        <v>NPA</v>
      </c>
      <c r="L136" s="2274">
        <f t="shared" ref="L136:L141" ca="1" si="17">IFERROR(IF(J136="Restrição",1,0),"")</f>
        <v>0</v>
      </c>
      <c r="M136" s="2274">
        <f t="shared" ca="1" si="15"/>
        <v>0</v>
      </c>
      <c r="N136" s="2274">
        <f ca="1">SUM(L136:M136)</f>
        <v>0</v>
      </c>
      <c r="R136" s="2272" t="str">
        <f t="shared" ca="1" si="16"/>
        <v>NPA</v>
      </c>
    </row>
    <row r="137" spans="1:18" ht="43.5" customHeight="1" x14ac:dyDescent="0.25">
      <c r="A137" s="2462" t="s">
        <v>484</v>
      </c>
      <c r="B137" s="2462"/>
      <c r="C137" s="2462"/>
      <c r="D137" s="2462" t="s">
        <v>2616</v>
      </c>
      <c r="E137" s="2462"/>
      <c r="F137" s="2462"/>
      <c r="G137" s="2323" t="s">
        <v>2743</v>
      </c>
      <c r="H137" s="2492" t="str">
        <f ca="1">IFERROR(CONCATENATE(mamo!D125," %"),"NPA")</f>
        <v>NPA</v>
      </c>
      <c r="I137" s="2492"/>
      <c r="J137" s="2320" t="str">
        <f ca="1">IFERROR(IF(mamo!D125&gt;30,"Restrição",IF(mamo!D125&gt;=15,"Não","Sim")),"NPA")</f>
        <v>NPA</v>
      </c>
      <c r="L137" s="2274">
        <f t="shared" ca="1" si="17"/>
        <v>0</v>
      </c>
      <c r="M137" s="2274">
        <f t="shared" ca="1" si="15"/>
        <v>0</v>
      </c>
      <c r="N137" s="2274">
        <f ca="1">SUM(L137:M137)</f>
        <v>0</v>
      </c>
      <c r="R137" s="2272" t="str">
        <f ca="1">IF(J137="Não","Não conforme",IF(J137="Restrição","Não conforme",IF(J137="Sim","Conforme",IF(J137="NPA","NPA","NA"))))</f>
        <v>NPA</v>
      </c>
    </row>
    <row r="138" spans="1:18" ht="34.5" customHeight="1" x14ac:dyDescent="0.25">
      <c r="A138" s="2462" t="str">
        <f>"Taxa de dose (rendimento) @ FF, 28 kV, "&amp;mamo!B28&amp;" cm, "&amp;mamo!B23</f>
        <v>Taxa de dose (rendimento) @ FF, 28 kV,  cm, Mo/Mo</v>
      </c>
      <c r="B138" s="2462"/>
      <c r="C138" s="2462"/>
      <c r="D138" s="2462" t="s">
        <v>2617</v>
      </c>
      <c r="E138" s="2462"/>
      <c r="F138" s="2462"/>
      <c r="G138" s="2323" t="s">
        <v>2744</v>
      </c>
      <c r="H138" s="2492" t="e">
        <f ca="1">CONCATENATE(ROUND(mamo!B33,1)," mGy/s")</f>
        <v>#VALUE!</v>
      </c>
      <c r="I138" s="2492"/>
      <c r="J138" s="2320" t="e">
        <f ca="1">IF(mamo!B35="Restrição","Restrição",IF(mamo!B35="Não","Não",IF(mamo!B35="Sim","Sim",IF(mamo!B35="#VALOR!","NA","NPA"))))</f>
        <v>#VALUE!</v>
      </c>
      <c r="K138" s="2274" t="str">
        <f ca="1">IF(ISERR(J138),"x","")</f>
        <v>x</v>
      </c>
      <c r="L138" s="2274" t="str">
        <f t="shared" ca="1" si="17"/>
        <v/>
      </c>
      <c r="M138" s="2274" t="str">
        <f t="shared" ca="1" si="15"/>
        <v/>
      </c>
      <c r="N138" s="2274">
        <f t="shared" ref="N138:N153" ca="1" si="18">SUM(L138:M138)</f>
        <v>0</v>
      </c>
      <c r="R138" s="2272" t="e">
        <f t="shared" ca="1" si="16"/>
        <v>#VALUE!</v>
      </c>
    </row>
    <row r="139" spans="1:18" ht="30.75" customHeight="1" x14ac:dyDescent="0.25">
      <c r="A139" s="2462" t="str">
        <f>"Taxa de dose (rendimento) @ FG, 28 kV, "&amp;mamo!G28&amp;" cm, "&amp;mamo!B23</f>
        <v>Taxa de dose (rendimento) @ FG, 28 kV,  cm, Mo/Mo</v>
      </c>
      <c r="B139" s="2462"/>
      <c r="C139" s="2462"/>
      <c r="D139" s="2462" t="s">
        <v>2617</v>
      </c>
      <c r="E139" s="2462"/>
      <c r="F139" s="2462"/>
      <c r="G139" s="2323" t="s">
        <v>2744</v>
      </c>
      <c r="H139" s="2492" t="e">
        <f ca="1">CONCATENATE(ROUND(mamo!G33,1)," mGy/s")</f>
        <v>#VALUE!</v>
      </c>
      <c r="I139" s="2492"/>
      <c r="J139" s="2320" t="e">
        <f ca="1">IF(mamo!G35="Restrição","Restrição",IF(mamo!G35="Não","Não",IF(mamo!G35="Sim","Sim",IF(mamo!G35="#VALOR!","NA","NPA"))))</f>
        <v>#VALUE!</v>
      </c>
      <c r="K139" s="2274" t="str">
        <f ca="1">IF(ISERR(J139),"x","")</f>
        <v>x</v>
      </c>
      <c r="L139" s="2274" t="str">
        <f t="shared" ca="1" si="17"/>
        <v/>
      </c>
      <c r="M139" s="2274" t="str">
        <f t="shared" ca="1" si="15"/>
        <v/>
      </c>
      <c r="N139" s="2274">
        <f t="shared" ca="1" si="18"/>
        <v>0</v>
      </c>
      <c r="R139" s="2272" t="e">
        <f t="shared" ca="1" si="16"/>
        <v>#VALUE!</v>
      </c>
    </row>
    <row r="140" spans="1:18" ht="102.75" customHeight="1" x14ac:dyDescent="0.25">
      <c r="A140" s="2462" t="e">
        <f ca="1">CONCATENATE("Camada semirredutora @ FF, ",mamo!B29," kV")</f>
        <v>#VALUE!</v>
      </c>
      <c r="B140" s="2462"/>
      <c r="C140" s="2462"/>
      <c r="D140" s="2462" t="s">
        <v>2618</v>
      </c>
      <c r="E140" s="2462"/>
      <c r="F140" s="2462"/>
      <c r="G140" s="2323" t="s">
        <v>2619</v>
      </c>
      <c r="H140" s="2492" t="e">
        <f ca="1">CONCATENATE(mamo!B32," mm Al")</f>
        <v>#VALUE!</v>
      </c>
      <c r="I140" s="2492"/>
      <c r="J140" s="2320" t="e">
        <f ca="1">mamo!B36</f>
        <v>#VALUE!</v>
      </c>
      <c r="K140" s="2274" t="str">
        <f ca="1">IF(ISERR(J140),"x","")</f>
        <v>x</v>
      </c>
      <c r="L140" s="2274" t="str">
        <f t="shared" ca="1" si="17"/>
        <v/>
      </c>
      <c r="M140" s="2274" t="str">
        <f t="shared" ca="1" si="15"/>
        <v/>
      </c>
      <c r="N140" s="2274">
        <f t="shared" ca="1" si="18"/>
        <v>0</v>
      </c>
      <c r="R140" s="2272" t="e">
        <f t="shared" ca="1" si="16"/>
        <v>#VALUE!</v>
      </c>
    </row>
    <row r="141" spans="1:18" ht="110.25" customHeight="1" x14ac:dyDescent="0.25">
      <c r="A141" s="2462" t="e">
        <f ca="1">CONCATENATE("Camada semirredutora @ FG, ",mamo!G29," kV")</f>
        <v>#VALUE!</v>
      </c>
      <c r="B141" s="2462"/>
      <c r="C141" s="2462"/>
      <c r="D141" s="2462" t="s">
        <v>2618</v>
      </c>
      <c r="E141" s="2462"/>
      <c r="F141" s="2462"/>
      <c r="G141" s="2323" t="s">
        <v>2619</v>
      </c>
      <c r="H141" s="2492" t="e">
        <f ca="1">CONCATENATE(mamo!G32," mm Al")</f>
        <v>#VALUE!</v>
      </c>
      <c r="I141" s="2492"/>
      <c r="J141" s="2320" t="e">
        <f ca="1">mamo!G36</f>
        <v>#VALUE!</v>
      </c>
      <c r="K141" s="2274" t="str">
        <f ca="1">IF(ISERR(J141),"x","")</f>
        <v>x</v>
      </c>
      <c r="L141" s="2274" t="str">
        <f t="shared" ca="1" si="17"/>
        <v/>
      </c>
      <c r="M141" s="2274" t="str">
        <f t="shared" ca="1" si="15"/>
        <v/>
      </c>
      <c r="N141" s="2274">
        <f t="shared" ca="1" si="18"/>
        <v>0</v>
      </c>
      <c r="R141" s="2272" t="e">
        <f t="shared" ca="1" si="16"/>
        <v>#VALUE!</v>
      </c>
    </row>
    <row r="142" spans="1:18" ht="94.5" customHeight="1" x14ac:dyDescent="0.25">
      <c r="A142" s="2462" t="str">
        <f>"Resolução espacial - Ref. "&amp;IF(ISNUMBER(mamo!C204),mamo!C204,"NI")</f>
        <v>Resolução espacial - Ref. NI</v>
      </c>
      <c r="B142" s="2462"/>
      <c r="C142" s="2462"/>
      <c r="D142" s="2462" t="s">
        <v>2620</v>
      </c>
      <c r="E142" s="2462"/>
      <c r="F142" s="2462"/>
      <c r="G142" s="2323" t="s">
        <v>2621</v>
      </c>
      <c r="H142" s="2492" t="str">
        <f>IFERROR(mamo!B204&amp;" pl/mm","NPA")</f>
        <v xml:space="preserve"> pl/mm</v>
      </c>
      <c r="I142" s="2492"/>
      <c r="J142" s="2305" t="str">
        <f>mamo!B205</f>
        <v>NPA</v>
      </c>
      <c r="K142" s="2274">
        <f>mamo!E200</f>
        <v>0</v>
      </c>
      <c r="L142" s="2274" t="str">
        <f>IFERROR(IF(#REF!="Restrição",1,0),"")</f>
        <v/>
      </c>
      <c r="M142" s="2274" t="str">
        <f>IFERROR(IF(#REF!="Não",1,0),"")</f>
        <v/>
      </c>
      <c r="N142" s="2274">
        <f t="shared" si="18"/>
        <v>0</v>
      </c>
      <c r="R142" s="2272" t="str">
        <f t="shared" si="16"/>
        <v>NPA</v>
      </c>
    </row>
    <row r="143" spans="1:18" ht="42.75" customHeight="1" x14ac:dyDescent="0.25">
      <c r="A143" s="2462" t="s">
        <v>36</v>
      </c>
      <c r="B143" s="2462"/>
      <c r="C143" s="2462"/>
      <c r="D143" s="2462" t="s">
        <v>2622</v>
      </c>
      <c r="E143" s="2462"/>
      <c r="F143" s="2462"/>
      <c r="G143" s="2323" t="s">
        <v>2803</v>
      </c>
      <c r="H143" s="2492" t="str">
        <f>IF(ISERR(mamo!B223),"NPA",CONCATENATE(mamo!B223," %"))</f>
        <v>0 %</v>
      </c>
      <c r="I143" s="2492"/>
      <c r="J143" s="2320" t="str">
        <f>IF(H143="NPA","NPA",mamo!B224)</f>
        <v>Sim</v>
      </c>
      <c r="L143" s="2274">
        <f t="shared" ref="L143:L153" si="19">IFERROR(IF(J143="Restrição",1,0),"")</f>
        <v>0</v>
      </c>
      <c r="M143" s="2274">
        <f t="shared" ref="M143:M153" si="20">IFERROR(IF(J143="Não",1,0),"")</f>
        <v>0</v>
      </c>
      <c r="N143" s="2274">
        <f t="shared" si="18"/>
        <v>0</v>
      </c>
      <c r="R143" s="2272" t="str">
        <f t="shared" si="16"/>
        <v>Conforme</v>
      </c>
    </row>
    <row r="144" spans="1:18" ht="30.75" customHeight="1" x14ac:dyDescent="0.25">
      <c r="A144" s="2462" t="s">
        <v>488</v>
      </c>
      <c r="B144" s="2462"/>
      <c r="C144" s="2462"/>
      <c r="D144" s="2462" t="s">
        <v>2623</v>
      </c>
      <c r="E144" s="2462"/>
      <c r="F144" s="2462"/>
      <c r="G144" s="2323" t="s">
        <v>2745</v>
      </c>
      <c r="H144" s="2492" t="str">
        <f>IF(mamo!B178=0,"NPA",CONCATENATE(mamo!B182," mm"))</f>
        <v>NPA</v>
      </c>
      <c r="I144" s="2492"/>
      <c r="J144" s="2320" t="str">
        <f>IF(H144="NPA","NPA",IF(mamo!B182&gt;10,"Restrição",IF(mamo!B182&gt;5,"Não","Sim")))</f>
        <v>NPA</v>
      </c>
      <c r="L144" s="2274">
        <f t="shared" si="19"/>
        <v>0</v>
      </c>
      <c r="M144" s="2274">
        <f t="shared" si="20"/>
        <v>0</v>
      </c>
      <c r="N144" s="2274">
        <f t="shared" si="18"/>
        <v>0</v>
      </c>
      <c r="R144" s="2272" t="str">
        <f t="shared" si="16"/>
        <v>NPA</v>
      </c>
    </row>
    <row r="145" spans="1:18" ht="30.75" customHeight="1" x14ac:dyDescent="0.25">
      <c r="A145" s="2462" t="str">
        <f>CONCATENATE("Indicação da espessura da mama comprimida @ ",mamo!A169," mm")</f>
        <v>Indicação da espessura da mama comprimida @ 20 mm</v>
      </c>
      <c r="B145" s="2462"/>
      <c r="C145" s="2462"/>
      <c r="D145" s="2462" t="s">
        <v>2624</v>
      </c>
      <c r="E145" s="2462"/>
      <c r="F145" s="2462"/>
      <c r="G145" s="2323" t="s">
        <v>2745</v>
      </c>
      <c r="H145" s="2492" t="str">
        <f>IF(mamo!$C$166="Não","Não possui",IF(mamo!B169=0,"NPA",CONCATENATE(mamo!B169," mm")))</f>
        <v>NPA</v>
      </c>
      <c r="I145" s="2492"/>
      <c r="J145" s="2166" t="str">
        <f>IF(H145="Não possui","NA",mamo!D169)</f>
        <v>NPA</v>
      </c>
      <c r="K145" s="2274" t="str">
        <f t="shared" ref="K145:K150" si="21">IF(AND(H145="NPA",J145="NPA"),"x","")</f>
        <v>x</v>
      </c>
      <c r="L145" s="2274">
        <f t="shared" si="19"/>
        <v>0</v>
      </c>
      <c r="M145" s="2274">
        <f t="shared" si="20"/>
        <v>0</v>
      </c>
      <c r="N145" s="2274">
        <f t="shared" si="18"/>
        <v>0</v>
      </c>
      <c r="R145" s="2272" t="str">
        <f t="shared" si="16"/>
        <v>NPA</v>
      </c>
    </row>
    <row r="146" spans="1:18" ht="30.75" customHeight="1" x14ac:dyDescent="0.25">
      <c r="A146" s="2462" t="str">
        <f>CONCATENATE("Indicação da espessura da mama comprimida @ ",mamo!A170," mm")</f>
        <v>Indicação da espessura da mama comprimida @ 30 mm</v>
      </c>
      <c r="B146" s="2462"/>
      <c r="C146" s="2462"/>
      <c r="D146" s="2462" t="s">
        <v>2624</v>
      </c>
      <c r="E146" s="2462"/>
      <c r="F146" s="2462"/>
      <c r="G146" s="2323" t="s">
        <v>2745</v>
      </c>
      <c r="H146" s="2492" t="str">
        <f>IF(mamo!$C$166="Não","Não possui",IF(mamo!B170=0,"NPA",CONCATENATE(mamo!B170," mm")))</f>
        <v>NPA</v>
      </c>
      <c r="I146" s="2492"/>
      <c r="J146" s="2166" t="str">
        <f>IF(H146="Não possui","NA",mamo!D170)</f>
        <v>NPA</v>
      </c>
      <c r="K146" s="2274" t="str">
        <f t="shared" si="21"/>
        <v>x</v>
      </c>
      <c r="L146" s="2274">
        <f t="shared" si="19"/>
        <v>0</v>
      </c>
      <c r="M146" s="2274">
        <f t="shared" si="20"/>
        <v>0</v>
      </c>
      <c r="N146" s="2274">
        <f t="shared" si="18"/>
        <v>0</v>
      </c>
      <c r="R146" s="2272" t="str">
        <f t="shared" si="16"/>
        <v>NPA</v>
      </c>
    </row>
    <row r="147" spans="1:18" ht="30.75" customHeight="1" x14ac:dyDescent="0.25">
      <c r="A147" s="2462" t="str">
        <f>CONCATENATE("Indicação da espessura da mama comprimida @ ",mamo!A171," mm")</f>
        <v>Indicação da espessura da mama comprimida @ 40 mm</v>
      </c>
      <c r="B147" s="2462"/>
      <c r="C147" s="2462"/>
      <c r="D147" s="2462" t="s">
        <v>2624</v>
      </c>
      <c r="E147" s="2462"/>
      <c r="F147" s="2462"/>
      <c r="G147" s="2323" t="s">
        <v>2745</v>
      </c>
      <c r="H147" s="2492" t="str">
        <f>IF(mamo!$C$166="Não","Não possui",IF(mamo!B171=0,"NPA",CONCATENATE(mamo!B171," mm")))</f>
        <v>NPA</v>
      </c>
      <c r="I147" s="2492"/>
      <c r="J147" s="2166" t="str">
        <f>IF(H147="Não possui","NA",mamo!D171)</f>
        <v>NPA</v>
      </c>
      <c r="K147" s="2274" t="str">
        <f t="shared" si="21"/>
        <v>x</v>
      </c>
      <c r="L147" s="2274">
        <f t="shared" si="19"/>
        <v>0</v>
      </c>
      <c r="M147" s="2274">
        <f t="shared" si="20"/>
        <v>0</v>
      </c>
      <c r="N147" s="2274">
        <f>SUM(L147:M147)</f>
        <v>0</v>
      </c>
      <c r="R147" s="2272" t="str">
        <f t="shared" si="16"/>
        <v>NPA</v>
      </c>
    </row>
    <row r="148" spans="1:18" ht="30.75" customHeight="1" x14ac:dyDescent="0.25">
      <c r="A148" s="2462" t="str">
        <f>CONCATENATE("Indicação da espessura da mama comprimida @ ",mamo!A172," mm")</f>
        <v>Indicação da espessura da mama comprimida @ 45 mm</v>
      </c>
      <c r="B148" s="2462"/>
      <c r="C148" s="2462"/>
      <c r="D148" s="2462" t="s">
        <v>2624</v>
      </c>
      <c r="E148" s="2462"/>
      <c r="F148" s="2462"/>
      <c r="G148" s="2323" t="s">
        <v>2745</v>
      </c>
      <c r="H148" s="2492" t="str">
        <f>IF(mamo!$C$166="Não","Não possui",IF(mamo!B172=0,"NPA",CONCATENATE(mamo!B172," mm")))</f>
        <v>NPA</v>
      </c>
      <c r="I148" s="2492"/>
      <c r="J148" s="2166" t="str">
        <f>IF(H148="Não possui","NA",mamo!D172)</f>
        <v>NPA</v>
      </c>
      <c r="K148" s="2274" t="str">
        <f t="shared" si="21"/>
        <v>x</v>
      </c>
      <c r="L148" s="2274">
        <f t="shared" si="19"/>
        <v>0</v>
      </c>
      <c r="M148" s="2274">
        <f t="shared" si="20"/>
        <v>0</v>
      </c>
      <c r="N148" s="2274">
        <f t="shared" si="18"/>
        <v>0</v>
      </c>
      <c r="R148" s="2272" t="str">
        <f t="shared" si="16"/>
        <v>NPA</v>
      </c>
    </row>
    <row r="149" spans="1:18" s="2095" customFormat="1" ht="30.75" customHeight="1" x14ac:dyDescent="0.25">
      <c r="A149" s="2462" t="str">
        <f>CONCATENATE("Indicação da espessura da mama comprimida @ ",mamo!A173," mm")</f>
        <v>Indicação da espessura da mama comprimida @ 50 mm</v>
      </c>
      <c r="B149" s="2462"/>
      <c r="C149" s="2462"/>
      <c r="D149" s="2462" t="s">
        <v>2624</v>
      </c>
      <c r="E149" s="2462"/>
      <c r="F149" s="2462"/>
      <c r="G149" s="2323" t="s">
        <v>2745</v>
      </c>
      <c r="H149" s="2492" t="str">
        <f>IF(mamo!$C$166="Não","Não possui",IF(mamo!B173=0,"NPA",CONCATENATE(mamo!B173," mm")))</f>
        <v>NPA</v>
      </c>
      <c r="I149" s="2492"/>
      <c r="J149" s="2305" t="str">
        <f>IF(H149="Não possui","NA",mamo!D173)</f>
        <v>NPA</v>
      </c>
      <c r="K149" s="2274" t="str">
        <f t="shared" si="21"/>
        <v>x</v>
      </c>
      <c r="L149" s="2306">
        <f t="shared" si="19"/>
        <v>0</v>
      </c>
      <c r="M149" s="2306">
        <f t="shared" si="20"/>
        <v>0</v>
      </c>
      <c r="N149" s="2306">
        <f>SUM(L149:M149)</f>
        <v>0</v>
      </c>
      <c r="R149" s="2272" t="str">
        <f t="shared" si="16"/>
        <v>NPA</v>
      </c>
    </row>
    <row r="150" spans="1:18" s="2095" customFormat="1" ht="30.75" customHeight="1" x14ac:dyDescent="0.25">
      <c r="A150" s="2462" t="str">
        <f>CONCATENATE("Indicação da espessura da mama comprimida @ ",mamo!A174," mm")</f>
        <v>Indicação da espessura da mama comprimida @ 60 mm</v>
      </c>
      <c r="B150" s="2462"/>
      <c r="C150" s="2462"/>
      <c r="D150" s="2462" t="s">
        <v>2624</v>
      </c>
      <c r="E150" s="2462"/>
      <c r="F150" s="2462"/>
      <c r="G150" s="2323" t="s">
        <v>2745</v>
      </c>
      <c r="H150" s="2492" t="str">
        <f>IF(mamo!$C$166="Não","Não possui",IF(mamo!B174=0,"NPA",CONCATENATE(mamo!B174," mm")))</f>
        <v>NPA</v>
      </c>
      <c r="I150" s="2492"/>
      <c r="J150" s="2305" t="str">
        <f>IF(H150="Não possui","NA",mamo!D174)</f>
        <v>NPA</v>
      </c>
      <c r="K150" s="2274" t="str">
        <f t="shared" si="21"/>
        <v>x</v>
      </c>
      <c r="L150" s="2306">
        <f t="shared" si="19"/>
        <v>0</v>
      </c>
      <c r="M150" s="2306">
        <f t="shared" si="20"/>
        <v>0</v>
      </c>
      <c r="N150" s="2306">
        <f>SUM(L150:M150)</f>
        <v>0</v>
      </c>
      <c r="R150" s="2272" t="str">
        <f t="shared" si="16"/>
        <v>NPA</v>
      </c>
    </row>
    <row r="151" spans="1:18" s="2095" customFormat="1" ht="30.75" customHeight="1" x14ac:dyDescent="0.25">
      <c r="A151" s="2462" t="s">
        <v>1702</v>
      </c>
      <c r="B151" s="2462"/>
      <c r="C151" s="2462"/>
      <c r="D151" s="2462" t="s">
        <v>2625</v>
      </c>
      <c r="E151" s="2462"/>
      <c r="F151" s="2462"/>
      <c r="G151" s="2323" t="s">
        <v>2746</v>
      </c>
      <c r="H151" s="2492" t="str">
        <f>IF(mamo!B229="Não","Sem artefatos","Existentes")</f>
        <v>Sem artefatos</v>
      </c>
      <c r="I151" s="2492"/>
      <c r="J151" s="2320" t="str">
        <f>IF(mamo!B229="Não","Sim","Não")</f>
        <v>Sim</v>
      </c>
      <c r="K151" s="2274"/>
      <c r="L151" s="2274">
        <f t="shared" si="19"/>
        <v>0</v>
      </c>
      <c r="M151" s="2274">
        <f t="shared" si="20"/>
        <v>0</v>
      </c>
      <c r="N151" s="2274">
        <f>SUM(L151:M151)</f>
        <v>0</v>
      </c>
      <c r="R151" s="2272" t="str">
        <f t="shared" si="16"/>
        <v>Conforme</v>
      </c>
    </row>
    <row r="152" spans="1:18" s="2095" customFormat="1" ht="30.75" customHeight="1" x14ac:dyDescent="0.25">
      <c r="A152" s="2462" t="s">
        <v>1485</v>
      </c>
      <c r="B152" s="2462"/>
      <c r="C152" s="2462"/>
      <c r="D152" s="2462" t="s">
        <v>2626</v>
      </c>
      <c r="E152" s="2462"/>
      <c r="F152" s="2462"/>
      <c r="G152" s="2323" t="s">
        <v>2746</v>
      </c>
      <c r="H152" s="2492" t="str">
        <f>IF(Cabeçalho!G20="DR",IF(mamo!C163="Não","Sem imagem residual","Há imagem residual"),"NA")</f>
        <v>NA</v>
      </c>
      <c r="I152" s="2492"/>
      <c r="J152" s="2320" t="str">
        <f>IF(Cabeçalho!G20="DR",IF(mamo!C163="Não","Sim","Não"),"NA")</f>
        <v>NA</v>
      </c>
      <c r="K152" s="2274"/>
      <c r="L152" s="2274">
        <f t="shared" si="19"/>
        <v>0</v>
      </c>
      <c r="M152" s="2274">
        <f t="shared" si="20"/>
        <v>0</v>
      </c>
      <c r="N152" s="2274">
        <f>SUM(L152:M152)</f>
        <v>0</v>
      </c>
      <c r="R152" s="2272" t="str">
        <f t="shared" si="16"/>
        <v>NA</v>
      </c>
    </row>
    <row r="153" spans="1:18" ht="30.75" customHeight="1" x14ac:dyDescent="0.25">
      <c r="A153" s="2462" t="s">
        <v>1038</v>
      </c>
      <c r="B153" s="2462"/>
      <c r="C153" s="2462"/>
      <c r="D153" s="2462" t="s">
        <v>2627</v>
      </c>
      <c r="E153" s="2462"/>
      <c r="F153" s="2462"/>
      <c r="G153" s="2201" t="s">
        <v>2804</v>
      </c>
      <c r="H153" s="2492" t="str">
        <f>IF(Cabeçalho!G20="DR",IFERROR(CONCATENATE(ROUND(mamo!E160*100,1)," %"),"NPA"),"NA")</f>
        <v>NA</v>
      </c>
      <c r="I153" s="2492"/>
      <c r="J153" s="2320" t="str">
        <f>IF(Cabeçalho!G20="DR",IFERROR(mamo!F160,"NPA"),"NA")</f>
        <v>NA</v>
      </c>
      <c r="L153" s="2274">
        <f t="shared" si="19"/>
        <v>0</v>
      </c>
      <c r="M153" s="2274">
        <f t="shared" si="20"/>
        <v>0</v>
      </c>
      <c r="N153" s="2274">
        <f t="shared" si="18"/>
        <v>0</v>
      </c>
      <c r="R153" s="2272" t="str">
        <f t="shared" si="16"/>
        <v>NA</v>
      </c>
    </row>
    <row r="154" spans="1:18" ht="15" customHeight="1" x14ac:dyDescent="0.25">
      <c r="A154" s="2748" t="s">
        <v>2795</v>
      </c>
      <c r="B154" s="2748"/>
      <c r="C154" s="2748"/>
      <c r="D154" s="2748"/>
      <c r="E154" s="2748"/>
      <c r="F154" s="2748"/>
      <c r="G154" s="2748"/>
      <c r="H154" s="2748"/>
      <c r="I154" s="2748"/>
      <c r="J154" s="2748"/>
      <c r="N154" s="2274"/>
    </row>
    <row r="155" spans="1:18" ht="15" customHeight="1" x14ac:dyDescent="0.25">
      <c r="A155" s="2748"/>
      <c r="B155" s="2748"/>
      <c r="C155" s="2748"/>
      <c r="D155" s="2748"/>
      <c r="E155" s="2748"/>
      <c r="F155" s="2748"/>
      <c r="G155" s="2748"/>
      <c r="H155" s="2748"/>
      <c r="I155" s="2748"/>
      <c r="J155" s="2748"/>
      <c r="N155" s="2274"/>
    </row>
    <row r="156" spans="1:18" ht="15" customHeight="1" x14ac:dyDescent="0.25">
      <c r="A156" s="2270"/>
      <c r="B156" s="2270"/>
      <c r="C156" s="2270"/>
      <c r="D156" s="2270"/>
      <c r="E156" s="2270"/>
      <c r="F156" s="2270"/>
      <c r="G156" s="2270"/>
      <c r="H156" s="2270"/>
      <c r="I156" s="2270"/>
    </row>
    <row r="157" spans="1:18" ht="15" customHeight="1" x14ac:dyDescent="0.25">
      <c r="A157" s="281" t="s">
        <v>191</v>
      </c>
    </row>
    <row r="158" spans="1:18" ht="15" customHeight="1" x14ac:dyDescent="0.25">
      <c r="A158" s="2476" t="str">
        <f>CONCATENATE("                ",Tabelas2!S4)</f>
        <v xml:space="preserve">                Medidor de tensão, tempo, dose e camada semirredutora marca RaySafe, modelo X2 8251010-6, série 257741, sensor modelo 8252010-6, série 260722, certificado de calibração em anexo.</v>
      </c>
      <c r="B158" s="2476"/>
      <c r="C158" s="2476"/>
      <c r="D158" s="2476"/>
      <c r="E158" s="2476"/>
      <c r="F158" s="2476"/>
      <c r="G158" s="2476"/>
      <c r="H158" s="2476"/>
      <c r="I158" s="2476"/>
      <c r="J158" s="2476"/>
    </row>
    <row r="159" spans="1:18" ht="15" customHeight="1" x14ac:dyDescent="0.25">
      <c r="A159" s="2476"/>
      <c r="B159" s="2476"/>
      <c r="C159" s="2476"/>
      <c r="D159" s="2476"/>
      <c r="E159" s="2476"/>
      <c r="F159" s="2476"/>
      <c r="G159" s="2476"/>
      <c r="H159" s="2476"/>
      <c r="I159" s="2476"/>
      <c r="J159" s="2476"/>
    </row>
    <row r="160" spans="1:18" ht="15" customHeight="1" x14ac:dyDescent="0.25">
      <c r="A160" s="2476" t="s">
        <v>155</v>
      </c>
      <c r="B160" s="2476"/>
      <c r="C160" s="2476"/>
      <c r="D160" s="2476"/>
      <c r="E160" s="2476"/>
      <c r="F160" s="2476"/>
      <c r="G160" s="2476"/>
      <c r="H160" s="2476"/>
      <c r="I160" s="2476"/>
      <c r="J160" s="2476"/>
    </row>
    <row r="161" spans="1:11" ht="15" customHeight="1" x14ac:dyDescent="0.25">
      <c r="A161" s="2269"/>
      <c r="B161" s="2269"/>
      <c r="C161" s="2269"/>
      <c r="D161" s="2269"/>
      <c r="E161" s="2269"/>
      <c r="F161" s="2269"/>
      <c r="G161" s="2269"/>
      <c r="H161" s="2269"/>
      <c r="I161" s="2269"/>
      <c r="J161" s="2269"/>
    </row>
    <row r="162" spans="1:11" ht="15" customHeight="1" x14ac:dyDescent="0.25">
      <c r="A162" s="281" t="s">
        <v>192</v>
      </c>
      <c r="B162" s="2269"/>
      <c r="C162" s="2269"/>
      <c r="D162" s="2269"/>
      <c r="E162" s="2269"/>
      <c r="F162" s="2269"/>
      <c r="G162" s="2269"/>
      <c r="H162" s="2269"/>
      <c r="I162" s="2269"/>
    </row>
    <row r="163" spans="1:11" ht="15" customHeight="1" x14ac:dyDescent="0.25">
      <c r="A163" s="2469" t="str">
        <f>IntroPrazoArmazenamento</f>
        <v xml:space="preserve">               Este documento deve ser arquivado e mantido à disposição da autoridade sanitária local, garantindo sua rastreabilidade pelo prazo mínimo de 5 anos. </v>
      </c>
      <c r="B163" s="2469"/>
      <c r="C163" s="2469"/>
      <c r="D163" s="2469"/>
      <c r="E163" s="2469"/>
      <c r="F163" s="2469"/>
      <c r="G163" s="2469"/>
      <c r="H163" s="2469"/>
      <c r="I163" s="2469"/>
      <c r="J163" s="2469"/>
    </row>
    <row r="164" spans="1:11" ht="15" customHeight="1" x14ac:dyDescent="0.25">
      <c r="A164" s="2469"/>
      <c r="B164" s="2469"/>
      <c r="C164" s="2469"/>
      <c r="D164" s="2469"/>
      <c r="E164" s="2469"/>
      <c r="F164" s="2469"/>
      <c r="G164" s="2469"/>
      <c r="H164" s="2469"/>
      <c r="I164" s="2469"/>
      <c r="J164" s="2469"/>
    </row>
    <row r="165" spans="1:11" s="2020" customFormat="1" ht="15" customHeight="1" x14ac:dyDescent="0.25">
      <c r="A165" s="2476" t="s">
        <v>331</v>
      </c>
      <c r="B165" s="2476"/>
      <c r="C165" s="2476"/>
      <c r="D165" s="2476"/>
      <c r="E165" s="2476"/>
      <c r="F165" s="2476"/>
      <c r="G165" s="2476"/>
      <c r="H165" s="2476"/>
      <c r="I165" s="2476"/>
      <c r="J165" s="2476"/>
      <c r="K165" s="2280" t="str">
        <f>IF(AND(mamo!B220&lt;&gt;0,K169=""),"","x")</f>
        <v>x</v>
      </c>
    </row>
    <row r="166" spans="1:11" s="2020" customFormat="1" ht="15" customHeight="1" x14ac:dyDescent="0.25">
      <c r="A166" s="2476"/>
      <c r="B166" s="2476"/>
      <c r="C166" s="2476"/>
      <c r="D166" s="2476"/>
      <c r="E166" s="2476"/>
      <c r="F166" s="2476"/>
      <c r="G166" s="2476"/>
      <c r="H166" s="2476"/>
      <c r="I166" s="2476"/>
      <c r="J166" s="2476"/>
      <c r="K166" s="2280" t="str">
        <f>K165</f>
        <v>x</v>
      </c>
    </row>
    <row r="167" spans="1:11" s="2020" customFormat="1" ht="15" customHeight="1" x14ac:dyDescent="0.25">
      <c r="A167" s="2476"/>
      <c r="B167" s="2476"/>
      <c r="C167" s="2476"/>
      <c r="D167" s="2476"/>
      <c r="E167" s="2476"/>
      <c r="F167" s="2476"/>
      <c r="G167" s="2476"/>
      <c r="H167" s="2476"/>
      <c r="I167" s="2476"/>
      <c r="J167" s="2476"/>
      <c r="K167" s="2280" t="str">
        <f>K166</f>
        <v>x</v>
      </c>
    </row>
    <row r="168" spans="1:11" s="2020" customFormat="1" ht="15" customHeight="1" x14ac:dyDescent="0.25">
      <c r="A168" s="2476"/>
      <c r="B168" s="2476"/>
      <c r="C168" s="2476"/>
      <c r="D168" s="2476"/>
      <c r="E168" s="2476"/>
      <c r="F168" s="2476"/>
      <c r="G168" s="2476"/>
      <c r="H168" s="2476"/>
      <c r="I168" s="2476"/>
      <c r="J168" s="2476"/>
      <c r="K168" s="2280" t="str">
        <f>K167</f>
        <v>x</v>
      </c>
    </row>
    <row r="169" spans="1:11" s="2020" customFormat="1" ht="15" customHeight="1" x14ac:dyDescent="0.25">
      <c r="A169" s="2476" t="s">
        <v>499</v>
      </c>
      <c r="B169" s="2476"/>
      <c r="C169" s="2476"/>
      <c r="D169" s="2476"/>
      <c r="E169" s="2476"/>
      <c r="F169" s="2476"/>
      <c r="G169" s="2476"/>
      <c r="H169" s="2476"/>
      <c r="I169" s="2476"/>
      <c r="J169" s="2476"/>
      <c r="K169" s="2280" t="str">
        <f>IF(mamo!B221="Sim","","x")</f>
        <v>x</v>
      </c>
    </row>
    <row r="170" spans="1:11" s="2020" customFormat="1" ht="15" customHeight="1" x14ac:dyDescent="0.25">
      <c r="A170" s="2476"/>
      <c r="B170" s="2476"/>
      <c r="C170" s="2476"/>
      <c r="D170" s="2476"/>
      <c r="E170" s="2476"/>
      <c r="F170" s="2476"/>
      <c r="G170" s="2476"/>
      <c r="H170" s="2476"/>
      <c r="I170" s="2476"/>
      <c r="J170" s="2476"/>
      <c r="K170" s="2280" t="str">
        <f>K169</f>
        <v>x</v>
      </c>
    </row>
    <row r="171" spans="1:11" s="2020" customFormat="1" ht="15" customHeight="1" x14ac:dyDescent="0.25">
      <c r="A171" s="2476"/>
      <c r="B171" s="2476"/>
      <c r="C171" s="2476"/>
      <c r="D171" s="2476"/>
      <c r="E171" s="2476"/>
      <c r="F171" s="2476"/>
      <c r="G171" s="2476"/>
      <c r="H171" s="2476"/>
      <c r="I171" s="2476"/>
      <c r="J171" s="2476"/>
      <c r="K171" s="2280" t="str">
        <f>K170</f>
        <v>x</v>
      </c>
    </row>
    <row r="172" spans="1:11" ht="15" customHeight="1" x14ac:dyDescent="0.25">
      <c r="A172" s="2476" t="s">
        <v>491</v>
      </c>
      <c r="B172" s="2476"/>
      <c r="C172" s="2476"/>
      <c r="D172" s="2476"/>
      <c r="E172" s="2476"/>
      <c r="F172" s="2476"/>
      <c r="G172" s="2476"/>
      <c r="H172" s="2476"/>
      <c r="I172" s="2476"/>
      <c r="J172" s="2476"/>
      <c r="K172" s="2274" t="str">
        <f>IF(G67&lt;&gt;"Em condições de funcionamento","","x")</f>
        <v>x</v>
      </c>
    </row>
    <row r="173" spans="1:11" ht="15" customHeight="1" x14ac:dyDescent="0.25">
      <c r="A173" s="2476"/>
      <c r="B173" s="2476"/>
      <c r="C173" s="2476"/>
      <c r="D173" s="2476"/>
      <c r="E173" s="2476"/>
      <c r="F173" s="2476"/>
      <c r="G173" s="2476"/>
      <c r="H173" s="2476"/>
      <c r="I173" s="2476"/>
      <c r="J173" s="2476"/>
      <c r="K173" s="2274" t="str">
        <f>K172</f>
        <v>x</v>
      </c>
    </row>
    <row r="174" spans="1:11" ht="15" customHeight="1" x14ac:dyDescent="0.25">
      <c r="A174" s="2476" t="s">
        <v>492</v>
      </c>
      <c r="B174" s="2476"/>
      <c r="C174" s="2476"/>
      <c r="D174" s="2476"/>
      <c r="E174" s="2476"/>
      <c r="F174" s="2476"/>
      <c r="G174" s="2476"/>
      <c r="H174" s="2476"/>
      <c r="I174" s="2476"/>
      <c r="J174" s="2476"/>
      <c r="K174" s="2274" t="s">
        <v>649</v>
      </c>
    </row>
    <row r="175" spans="1:11" ht="15" customHeight="1" x14ac:dyDescent="0.25">
      <c r="A175" s="2476"/>
      <c r="B175" s="2476"/>
      <c r="C175" s="2476"/>
      <c r="D175" s="2476"/>
      <c r="E175" s="2476"/>
      <c r="F175" s="2476"/>
      <c r="G175" s="2476"/>
      <c r="H175" s="2476"/>
      <c r="I175" s="2476"/>
      <c r="J175" s="2476"/>
      <c r="K175" s="2274" t="s">
        <v>649</v>
      </c>
    </row>
    <row r="176" spans="1:11" ht="15" customHeight="1" x14ac:dyDescent="0.25">
      <c r="A176" s="2476" t="s">
        <v>493</v>
      </c>
      <c r="B176" s="2476"/>
      <c r="C176" s="2476"/>
      <c r="D176" s="2476"/>
      <c r="E176" s="2476"/>
      <c r="F176" s="2476"/>
      <c r="G176" s="2476"/>
      <c r="H176" s="2476"/>
      <c r="I176" s="2476"/>
      <c r="J176" s="2476"/>
      <c r="K176" s="2274" t="s">
        <v>649</v>
      </c>
    </row>
    <row r="177" spans="1:11" ht="15" customHeight="1" x14ac:dyDescent="0.25">
      <c r="A177" s="2476"/>
      <c r="B177" s="2476"/>
      <c r="C177" s="2476"/>
      <c r="D177" s="2476"/>
      <c r="E177" s="2476"/>
      <c r="F177" s="2476"/>
      <c r="G177" s="2476"/>
      <c r="H177" s="2476"/>
      <c r="I177" s="2476"/>
      <c r="J177" s="2476"/>
      <c r="K177" s="2274" t="str">
        <f>K176</f>
        <v>x</v>
      </c>
    </row>
    <row r="178" spans="1:11" ht="15" customHeight="1" x14ac:dyDescent="0.25">
      <c r="A178" s="2476" t="s">
        <v>494</v>
      </c>
      <c r="B178" s="2476"/>
      <c r="C178" s="2476"/>
      <c r="D178" s="2476"/>
      <c r="E178" s="2476"/>
      <c r="F178" s="2476"/>
      <c r="G178" s="2476"/>
      <c r="H178" s="2476"/>
      <c r="I178" s="2476"/>
      <c r="J178" s="2476"/>
      <c r="K178" s="2274" t="s">
        <v>649</v>
      </c>
    </row>
    <row r="179" spans="1:11" ht="15" customHeight="1" x14ac:dyDescent="0.25">
      <c r="A179" s="2476"/>
      <c r="B179" s="2476"/>
      <c r="C179" s="2476"/>
      <c r="D179" s="2476"/>
      <c r="E179" s="2476"/>
      <c r="F179" s="2476"/>
      <c r="G179" s="2476"/>
      <c r="H179" s="2476"/>
      <c r="I179" s="2476"/>
      <c r="J179" s="2476"/>
      <c r="K179" s="2274" t="s">
        <v>649</v>
      </c>
    </row>
    <row r="180" spans="1:11" ht="15" customHeight="1" x14ac:dyDescent="0.25">
      <c r="A180" s="2476" t="s">
        <v>495</v>
      </c>
      <c r="B180" s="2476"/>
      <c r="C180" s="2476"/>
      <c r="D180" s="2476"/>
      <c r="E180" s="2476"/>
      <c r="F180" s="2476"/>
      <c r="G180" s="2476"/>
      <c r="H180" s="2476"/>
      <c r="I180" s="2476"/>
      <c r="J180" s="2476"/>
      <c r="K180" s="2274" t="str">
        <f ca="1">IF(OR(N137&gt;0,N136&gt;0,N135&gt;0),"","x")</f>
        <v>x</v>
      </c>
    </row>
    <row r="181" spans="1:11" ht="15" customHeight="1" x14ac:dyDescent="0.25">
      <c r="A181" s="2476"/>
      <c r="B181" s="2476"/>
      <c r="C181" s="2476"/>
      <c r="D181" s="2476"/>
      <c r="E181" s="2476"/>
      <c r="F181" s="2476"/>
      <c r="G181" s="2476"/>
      <c r="H181" s="2476"/>
      <c r="I181" s="2476"/>
      <c r="J181" s="2476"/>
      <c r="K181" s="2274" t="str">
        <f ca="1">K180</f>
        <v>x</v>
      </c>
    </row>
    <row r="182" spans="1:11" ht="15" customHeight="1" x14ac:dyDescent="0.25">
      <c r="A182" s="2476" t="s">
        <v>1796</v>
      </c>
      <c r="B182" s="2476"/>
      <c r="C182" s="2476"/>
      <c r="D182" s="2476"/>
      <c r="E182" s="2476"/>
      <c r="F182" s="2476"/>
      <c r="G182" s="2476"/>
      <c r="H182" s="2476"/>
      <c r="I182" s="2476"/>
      <c r="J182" s="2476"/>
      <c r="K182" s="2274" t="str">
        <f>IF(J151="Não","","x")</f>
        <v>x</v>
      </c>
    </row>
    <row r="183" spans="1:11" ht="15" customHeight="1" x14ac:dyDescent="0.25">
      <c r="A183" s="2476"/>
      <c r="B183" s="2476"/>
      <c r="C183" s="2476"/>
      <c r="D183" s="2476"/>
      <c r="E183" s="2476"/>
      <c r="F183" s="2476"/>
      <c r="G183" s="2476"/>
      <c r="H183" s="2476"/>
      <c r="I183" s="2476"/>
      <c r="J183" s="2476"/>
      <c r="K183" s="2274" t="str">
        <f>K182</f>
        <v>x</v>
      </c>
    </row>
    <row r="184" spans="1:11" ht="15" customHeight="1" x14ac:dyDescent="0.25">
      <c r="A184" s="2476" t="s">
        <v>2011</v>
      </c>
      <c r="B184" s="2476"/>
      <c r="C184" s="2476"/>
      <c r="D184" s="2476"/>
      <c r="E184" s="2476"/>
      <c r="F184" s="2476"/>
      <c r="G184" s="2476"/>
      <c r="H184" s="2476"/>
      <c r="I184" s="2476"/>
      <c r="J184" s="2476"/>
      <c r="K184" s="2274" t="str">
        <f>IF(AND(J151="Sim",J152="Sim"),"","x")</f>
        <v>x</v>
      </c>
    </row>
    <row r="185" spans="1:11" ht="15" customHeight="1" x14ac:dyDescent="0.25">
      <c r="A185" s="2476"/>
      <c r="B185" s="2476"/>
      <c r="C185" s="2476"/>
      <c r="D185" s="2476"/>
      <c r="E185" s="2476"/>
      <c r="F185" s="2476"/>
      <c r="G185" s="2476"/>
      <c r="H185" s="2476"/>
      <c r="I185" s="2476"/>
      <c r="J185" s="2476"/>
      <c r="K185" s="2274" t="str">
        <f>K184</f>
        <v>x</v>
      </c>
    </row>
    <row r="186" spans="1:11" ht="15" customHeight="1" x14ac:dyDescent="0.25">
      <c r="A186" s="2476"/>
      <c r="B186" s="2476"/>
      <c r="C186" s="2476"/>
      <c r="D186" s="2476"/>
      <c r="E186" s="2476"/>
      <c r="F186" s="2476"/>
      <c r="G186" s="2476"/>
      <c r="H186" s="2476"/>
      <c r="I186" s="2476"/>
      <c r="J186" s="2476"/>
      <c r="K186" s="2274" t="str">
        <f>K184</f>
        <v>x</v>
      </c>
    </row>
    <row r="187" spans="1:11" ht="15" customHeight="1" x14ac:dyDescent="0.25">
      <c r="A187" s="2476"/>
      <c r="B187" s="2476"/>
      <c r="C187" s="2476"/>
      <c r="D187" s="2476"/>
      <c r="E187" s="2476"/>
      <c r="F187" s="2476"/>
      <c r="G187" s="2476"/>
      <c r="H187" s="2476"/>
      <c r="I187" s="2476"/>
      <c r="J187" s="2476"/>
      <c r="K187" s="2274" t="str">
        <f>K184</f>
        <v>x</v>
      </c>
    </row>
    <row r="188" spans="1:11" ht="15" customHeight="1" x14ac:dyDescent="0.25">
      <c r="A188" s="2476" t="s">
        <v>1706</v>
      </c>
      <c r="B188" s="2476"/>
      <c r="C188" s="2476"/>
      <c r="D188" s="2476"/>
      <c r="E188" s="2476"/>
      <c r="F188" s="2476"/>
      <c r="G188" s="2476"/>
      <c r="H188" s="2476"/>
      <c r="I188" s="2476"/>
      <c r="J188" s="2476"/>
      <c r="K188" s="2020" t="str">
        <f>IF(Cabeçalho!$B$20="Indisponível","","x")</f>
        <v/>
      </c>
    </row>
    <row r="189" spans="1:11" ht="15" customHeight="1" x14ac:dyDescent="0.25">
      <c r="A189" s="2476"/>
      <c r="B189" s="2476"/>
      <c r="C189" s="2476"/>
      <c r="D189" s="2476"/>
      <c r="E189" s="2476"/>
      <c r="F189" s="2476"/>
      <c r="G189" s="2476"/>
      <c r="H189" s="2476"/>
      <c r="I189" s="2476"/>
      <c r="J189" s="2476"/>
      <c r="K189" s="2020" t="str">
        <f>K188</f>
        <v/>
      </c>
    </row>
    <row r="190" spans="1:11" ht="15" customHeight="1" x14ac:dyDescent="0.25">
      <c r="A190" s="2476"/>
      <c r="B190" s="2476"/>
      <c r="C190" s="2476"/>
      <c r="D190" s="2476"/>
      <c r="E190" s="2476"/>
      <c r="F190" s="2476"/>
      <c r="G190" s="2476"/>
      <c r="H190" s="2476"/>
      <c r="I190" s="2476"/>
      <c r="J190" s="2476"/>
      <c r="K190" s="2020" t="str">
        <f>K189</f>
        <v/>
      </c>
    </row>
    <row r="191" spans="1:11" ht="15" customHeight="1" x14ac:dyDescent="0.25">
      <c r="A191" s="2269"/>
      <c r="B191" s="2269"/>
      <c r="C191" s="2269"/>
      <c r="D191" s="2269"/>
      <c r="E191" s="2269"/>
      <c r="F191" s="2269"/>
      <c r="G191" s="2269"/>
      <c r="H191" s="2269"/>
      <c r="I191" s="2269"/>
      <c r="J191" s="2269"/>
      <c r="K191" s="2020"/>
    </row>
    <row r="192" spans="1:11" ht="15" customHeight="1" x14ac:dyDescent="0.25">
      <c r="A192" s="281" t="s">
        <v>1083</v>
      </c>
      <c r="B192" s="2269"/>
      <c r="C192" s="2269"/>
      <c r="D192" s="2269"/>
      <c r="E192" s="2269"/>
      <c r="F192" s="2269"/>
      <c r="G192" s="2269"/>
      <c r="H192" s="2269"/>
      <c r="I192" s="2269"/>
      <c r="J192" s="2269"/>
      <c r="K192" s="2020"/>
    </row>
    <row r="193" spans="1:11" ht="15" customHeight="1" x14ac:dyDescent="0.25">
      <c r="A193" s="2477"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93" s="2477"/>
      <c r="C193" s="2477"/>
      <c r="D193" s="2477"/>
      <c r="E193" s="2477"/>
      <c r="F193" s="2477"/>
      <c r="G193" s="2477"/>
      <c r="H193" s="2477"/>
      <c r="I193" s="2477"/>
      <c r="J193" s="2477"/>
      <c r="K193" s="2020"/>
    </row>
    <row r="194" spans="1:11" ht="15" customHeight="1" x14ac:dyDescent="0.25">
      <c r="A194" s="2477"/>
      <c r="B194" s="2477"/>
      <c r="C194" s="2477"/>
      <c r="D194" s="2477"/>
      <c r="E194" s="2477"/>
      <c r="F194" s="2477"/>
      <c r="G194" s="2477"/>
      <c r="H194" s="2477"/>
      <c r="I194" s="2477"/>
      <c r="J194" s="2477"/>
      <c r="K194" s="2020"/>
    </row>
    <row r="195" spans="1:11" ht="15" customHeight="1" x14ac:dyDescent="0.25">
      <c r="A195" s="2477"/>
      <c r="B195" s="2477"/>
      <c r="C195" s="2477"/>
      <c r="D195" s="2477"/>
      <c r="E195" s="2477"/>
      <c r="F195" s="2477"/>
      <c r="G195" s="2477"/>
      <c r="H195" s="2477"/>
      <c r="I195" s="2477"/>
      <c r="J195" s="2477"/>
      <c r="K195" s="2020"/>
    </row>
    <row r="196" spans="1:11" ht="15" customHeight="1" x14ac:dyDescent="0.25">
      <c r="A196" s="2477"/>
      <c r="B196" s="2477"/>
      <c r="C196" s="2477"/>
      <c r="D196" s="2477"/>
      <c r="E196" s="2477"/>
      <c r="F196" s="2477"/>
      <c r="G196" s="2477"/>
      <c r="H196" s="2477"/>
      <c r="I196" s="2477"/>
      <c r="J196" s="2477"/>
      <c r="K196" s="2020"/>
    </row>
    <row r="197" spans="1:11" ht="15" customHeight="1" x14ac:dyDescent="0.25">
      <c r="A197" s="2477"/>
      <c r="B197" s="2477"/>
      <c r="C197" s="2477"/>
      <c r="D197" s="2477"/>
      <c r="E197" s="2477"/>
      <c r="F197" s="2477"/>
      <c r="G197" s="2477"/>
      <c r="H197" s="2477"/>
      <c r="I197" s="2477"/>
      <c r="J197" s="2477"/>
      <c r="K197" s="2020"/>
    </row>
    <row r="198" spans="1:11" s="2020" customFormat="1" ht="15" customHeight="1" x14ac:dyDescent="0.25">
      <c r="A198" s="2477"/>
      <c r="B198" s="2477"/>
      <c r="C198" s="2477"/>
      <c r="D198" s="2477"/>
      <c r="E198" s="2477"/>
      <c r="F198" s="2477"/>
      <c r="G198" s="2477"/>
      <c r="H198" s="2477"/>
      <c r="I198" s="2477"/>
      <c r="J198" s="2477"/>
      <c r="K198" s="2280"/>
    </row>
    <row r="199" spans="1:11" s="2020" customFormat="1" ht="15" customHeight="1" x14ac:dyDescent="0.25">
      <c r="A199" s="2275"/>
      <c r="B199" s="2275"/>
      <c r="C199" s="2275"/>
      <c r="D199" s="2275"/>
      <c r="E199" s="2275"/>
      <c r="F199" s="2275"/>
      <c r="G199" s="2275"/>
      <c r="H199" s="2275"/>
      <c r="I199" s="2275"/>
      <c r="J199" s="2275"/>
      <c r="K199" s="2280"/>
    </row>
    <row r="200" spans="1:11" s="2020" customFormat="1" ht="15" customHeight="1" x14ac:dyDescent="0.25">
      <c r="A200" s="281" t="s">
        <v>2514</v>
      </c>
      <c r="B200" s="2275"/>
      <c r="C200" s="2275"/>
      <c r="D200" s="2275"/>
      <c r="E200" s="2275"/>
      <c r="F200" s="2275"/>
      <c r="G200" s="2275"/>
      <c r="H200" s="2275"/>
      <c r="I200" s="2275"/>
      <c r="J200" s="2275"/>
      <c r="K200" s="2280"/>
    </row>
    <row r="201" spans="1:11" s="2020" customFormat="1" ht="15" customHeight="1" x14ac:dyDescent="0.25">
      <c r="A201" s="2487" t="s">
        <v>146</v>
      </c>
      <c r="B201" s="2487"/>
      <c r="C201" s="2487"/>
      <c r="D201" s="2487"/>
      <c r="E201" s="2487"/>
      <c r="F201" s="2618" t="s">
        <v>2457</v>
      </c>
      <c r="G201" s="2618"/>
      <c r="H201" s="2097" t="s">
        <v>2458</v>
      </c>
      <c r="I201" s="2487" t="s">
        <v>2423</v>
      </c>
      <c r="J201" s="2487"/>
      <c r="K201" s="2280"/>
    </row>
    <row r="202" spans="1:11" s="2020" customFormat="1" ht="15" customHeight="1" x14ac:dyDescent="0.25">
      <c r="A202" s="2736" t="s">
        <v>2546</v>
      </c>
      <c r="B202" s="2737"/>
      <c r="C202" s="2737"/>
      <c r="D202" s="2737"/>
      <c r="E202" s="2738"/>
      <c r="F202" s="2460" t="s">
        <v>2359</v>
      </c>
      <c r="G202" s="2460"/>
      <c r="H202" s="2282" t="str">
        <f>IF(F202="-","NA",IF(OR(I202="NA",I202="NPA"),"NA",IF(F202="Quadrienal",$J$1+1461,IF(F202="Bienal",$J$1+730,IF(F202="Anual",$J$1+365,IF(F202="Semestral",$J$1+182,IF(F202="Mensal",$J$1+30,IF(F202="Semanal",$J$1+7))))))))</f>
        <v>NA</v>
      </c>
      <c r="I202" s="2454" t="str">
        <f>IF(COUNTIF(R78:R84,"Não conforme")&lt;&gt;0,"Não conforme",IF(COUNTIF(R78:R84,"Conforme")&lt;&gt;0,"Conforme","NPA"))</f>
        <v>NPA</v>
      </c>
      <c r="J202" s="2454"/>
      <c r="K202" s="2280"/>
    </row>
    <row r="203" spans="1:11" s="2020" customFormat="1" ht="15" customHeight="1" x14ac:dyDescent="0.25">
      <c r="A203" s="2736" t="s">
        <v>2547</v>
      </c>
      <c r="B203" s="2737"/>
      <c r="C203" s="2737"/>
      <c r="D203" s="2737"/>
      <c r="E203" s="2738"/>
      <c r="F203" s="2460" t="s">
        <v>2359</v>
      </c>
      <c r="G203" s="2460"/>
      <c r="H203" s="2331" t="str">
        <f t="shared" ref="H203:H224" ca="1" si="22">IF(F203="-","NA",IF(OR(I203="NA",I203="NPA"),"NA",IF(F203="Quadrienal",$J$1+1461,IF(F203="Bienal",$J$1+730,IF(F203="Anual",$J$1+365,IF(F203="Semestral",$J$1+182,IF(F203="Mensal",$J$1+30,IF(F203="Semanal",$J$1+7))))))))</f>
        <v>NA</v>
      </c>
      <c r="I203" s="2454" t="str">
        <f ca="1">IF(COUNTIF(R93:R98,"Não conforme")&lt;&gt;0,"Não conforme",IF(COUNTIF(R93:R98,"Conforme")&lt;&gt;0,"Conforme","NPA"))</f>
        <v>NPA</v>
      </c>
      <c r="J203" s="2454"/>
      <c r="K203" s="2280"/>
    </row>
    <row r="204" spans="1:11" s="2020" customFormat="1" ht="30" customHeight="1" x14ac:dyDescent="0.25">
      <c r="A204" s="2736" t="s">
        <v>2628</v>
      </c>
      <c r="B204" s="2737"/>
      <c r="C204" s="2737"/>
      <c r="D204" s="2737"/>
      <c r="E204" s="2738"/>
      <c r="F204" s="2460" t="s">
        <v>2359</v>
      </c>
      <c r="G204" s="2460"/>
      <c r="H204" s="2331" t="e">
        <f t="shared" si="22"/>
        <v>#N/A</v>
      </c>
      <c r="I204" s="2454" t="str">
        <f>IF(COUNTIF(R108:R118,"Não conforme")&lt;&gt;0,"Não conforme",IF(COUNTIF(R108:R118,"Conforme")&lt;&gt;0,"Conforme","NPA"))</f>
        <v>Conforme</v>
      </c>
      <c r="J204" s="2454"/>
      <c r="K204" s="2280"/>
    </row>
    <row r="205" spans="1:11" s="2020" customFormat="1" ht="15" customHeight="1" x14ac:dyDescent="0.25">
      <c r="A205" s="2736" t="s">
        <v>1007</v>
      </c>
      <c r="B205" s="2737"/>
      <c r="C205" s="2737"/>
      <c r="D205" s="2737"/>
      <c r="E205" s="2738"/>
      <c r="F205" s="2460" t="s">
        <v>2359</v>
      </c>
      <c r="G205" s="2460"/>
      <c r="H205" s="2331" t="e">
        <f t="shared" si="22"/>
        <v>#N/A</v>
      </c>
      <c r="I205" s="2454" t="str">
        <f>R128</f>
        <v>Conforme</v>
      </c>
      <c r="J205" s="2454" t="s">
        <v>857</v>
      </c>
      <c r="K205" s="2280"/>
    </row>
    <row r="206" spans="1:11" s="2020" customFormat="1" ht="15" customHeight="1" x14ac:dyDescent="0.25">
      <c r="A206" s="2736" t="s">
        <v>210</v>
      </c>
      <c r="B206" s="2737"/>
      <c r="C206" s="2737"/>
      <c r="D206" s="2737"/>
      <c r="E206" s="2738"/>
      <c r="F206" s="2460" t="s">
        <v>2359</v>
      </c>
      <c r="G206" s="2460"/>
      <c r="H206" s="2331" t="e">
        <f t="shared" ca="1" si="22"/>
        <v>#DIV/0!</v>
      </c>
      <c r="I206" s="2454" t="e">
        <f t="shared" ref="I206:I211" ca="1" si="23">R134</f>
        <v>#DIV/0!</v>
      </c>
      <c r="J206" s="2454" t="s">
        <v>857</v>
      </c>
      <c r="K206" s="2280"/>
    </row>
    <row r="207" spans="1:11" s="2020" customFormat="1" ht="15" customHeight="1" x14ac:dyDescent="0.25">
      <c r="A207" s="2736" t="str">
        <f>"Tempo máximo de exposição no CAE - "&amp;IF(LARGE(mamo!C141:D141,1)=mamo!C141,"Magnificação","Contato")</f>
        <v>Tempo máximo de exposição no CAE - Magnificação</v>
      </c>
      <c r="B207" s="2737"/>
      <c r="C207" s="2737"/>
      <c r="D207" s="2737"/>
      <c r="E207" s="2738"/>
      <c r="F207" s="2460" t="s">
        <v>2359</v>
      </c>
      <c r="G207" s="2460"/>
      <c r="H207" s="2331" t="e">
        <f t="shared" ca="1" si="22"/>
        <v>#N/A</v>
      </c>
      <c r="I207" s="2454" t="str">
        <f t="shared" ca="1" si="23"/>
        <v>Conforme</v>
      </c>
      <c r="J207" s="2454" t="s">
        <v>857</v>
      </c>
      <c r="K207" s="2280"/>
    </row>
    <row r="208" spans="1:11" s="2020" customFormat="1" ht="15" customHeight="1" x14ac:dyDescent="0.25">
      <c r="A208" s="2736" t="s">
        <v>483</v>
      </c>
      <c r="B208" s="2737"/>
      <c r="C208" s="2737"/>
      <c r="D208" s="2737"/>
      <c r="E208" s="2738"/>
      <c r="F208" s="2460" t="s">
        <v>2359</v>
      </c>
      <c r="G208" s="2460"/>
      <c r="H208" s="2331" t="str">
        <f t="shared" ca="1" si="22"/>
        <v>NA</v>
      </c>
      <c r="I208" s="2454" t="str">
        <f t="shared" ca="1" si="23"/>
        <v>NPA</v>
      </c>
      <c r="J208" s="2454" t="s">
        <v>857</v>
      </c>
      <c r="K208" s="2280"/>
    </row>
    <row r="209" spans="1:11" s="2020" customFormat="1" ht="15" customHeight="1" x14ac:dyDescent="0.25">
      <c r="A209" s="2736" t="s">
        <v>484</v>
      </c>
      <c r="B209" s="2737"/>
      <c r="C209" s="2737"/>
      <c r="D209" s="2737"/>
      <c r="E209" s="2738"/>
      <c r="F209" s="2460" t="s">
        <v>2359</v>
      </c>
      <c r="G209" s="2460"/>
      <c r="H209" s="2331" t="str">
        <f t="shared" ca="1" si="22"/>
        <v>NA</v>
      </c>
      <c r="I209" s="2454" t="str">
        <f ca="1">R137</f>
        <v>NPA</v>
      </c>
      <c r="J209" s="2454" t="s">
        <v>857</v>
      </c>
      <c r="K209" s="2280"/>
    </row>
    <row r="210" spans="1:11" s="2020" customFormat="1" ht="15" customHeight="1" x14ac:dyDescent="0.25">
      <c r="A210" s="2736" t="str">
        <f>"Taxa de dose (rendimento) @ FF, 28 kV, "&amp;mamo!B100&amp;" cm, "&amp;mamo!B95</f>
        <v xml:space="preserve">Taxa de dose (rendimento) @ FF, 28 kV,  cm, </v>
      </c>
      <c r="B210" s="2737"/>
      <c r="C210" s="2737"/>
      <c r="D210" s="2737"/>
      <c r="E210" s="2738"/>
      <c r="F210" s="2460" t="s">
        <v>2359</v>
      </c>
      <c r="G210" s="2460"/>
      <c r="H210" s="2331" t="e">
        <f t="shared" ca="1" si="22"/>
        <v>#VALUE!</v>
      </c>
      <c r="I210" s="2454" t="e">
        <f t="shared" ca="1" si="23"/>
        <v>#VALUE!</v>
      </c>
      <c r="J210" s="2454" t="s">
        <v>857</v>
      </c>
      <c r="K210" s="2280"/>
    </row>
    <row r="211" spans="1:11" s="2020" customFormat="1" ht="15" customHeight="1" x14ac:dyDescent="0.25">
      <c r="A211" s="2736" t="str">
        <f>"Taxa de dose (rendimento) @ FG, 28 kV, "&amp;mamo!G100&amp;" cm, "&amp;mamo!B95</f>
        <v xml:space="preserve">Taxa de dose (rendimento) @ FG, 28 kV,  cm, </v>
      </c>
      <c r="B211" s="2737"/>
      <c r="C211" s="2737"/>
      <c r="D211" s="2737"/>
      <c r="E211" s="2738"/>
      <c r="F211" s="2460" t="s">
        <v>2359</v>
      </c>
      <c r="G211" s="2460"/>
      <c r="H211" s="2331" t="e">
        <f t="shared" ca="1" si="22"/>
        <v>#VALUE!</v>
      </c>
      <c r="I211" s="2454" t="e">
        <f t="shared" ca="1" si="23"/>
        <v>#VALUE!</v>
      </c>
      <c r="J211" s="2454" t="s">
        <v>857</v>
      </c>
      <c r="K211" s="2280"/>
    </row>
    <row r="212" spans="1:11" s="2020" customFormat="1" ht="15" customHeight="1" x14ac:dyDescent="0.25">
      <c r="A212" s="2736" t="s">
        <v>2629</v>
      </c>
      <c r="B212" s="2737"/>
      <c r="C212" s="2737"/>
      <c r="D212" s="2737"/>
      <c r="E212" s="2738"/>
      <c r="F212" s="2460" t="s">
        <v>2359</v>
      </c>
      <c r="G212" s="2460"/>
      <c r="H212" s="2331" t="str">
        <f t="shared" ca="1" si="22"/>
        <v>NA</v>
      </c>
      <c r="I212" s="2454" t="str">
        <f ca="1">IF(COUNTIF(R140:R141,"Não conforme")&lt;&gt;0,"Não conforme",IF(COUNTIF(R140:R141,"Conforme")&lt;&gt;0,"Conforme","NPA"))</f>
        <v>NPA</v>
      </c>
      <c r="J212" s="2454"/>
      <c r="K212" s="2280"/>
    </row>
    <row r="213" spans="1:11" s="2020" customFormat="1" ht="15" customHeight="1" x14ac:dyDescent="0.25">
      <c r="A213" s="2736" t="s">
        <v>2630</v>
      </c>
      <c r="B213" s="2737"/>
      <c r="C213" s="2737"/>
      <c r="D213" s="2737"/>
      <c r="E213" s="2738"/>
      <c r="F213" s="2460" t="s">
        <v>2359</v>
      </c>
      <c r="G213" s="2460"/>
      <c r="H213" s="2331" t="str">
        <f t="shared" si="22"/>
        <v>NA</v>
      </c>
      <c r="I213" s="2454" t="str">
        <f>R142</f>
        <v>NPA</v>
      </c>
      <c r="J213" s="2454" t="s">
        <v>857</v>
      </c>
      <c r="K213" s="2280"/>
    </row>
    <row r="214" spans="1:11" s="2020" customFormat="1" ht="15" customHeight="1" x14ac:dyDescent="0.25">
      <c r="A214" s="2736" t="s">
        <v>36</v>
      </c>
      <c r="B214" s="2737"/>
      <c r="C214" s="2737"/>
      <c r="D214" s="2737"/>
      <c r="E214" s="2738"/>
      <c r="F214" s="2460" t="s">
        <v>2359</v>
      </c>
      <c r="G214" s="2460"/>
      <c r="H214" s="2331" t="e">
        <f t="shared" si="22"/>
        <v>#N/A</v>
      </c>
      <c r="I214" s="2454" t="str">
        <f>R143</f>
        <v>Conforme</v>
      </c>
      <c r="J214" s="2454" t="s">
        <v>857</v>
      </c>
      <c r="K214" s="2280"/>
    </row>
    <row r="215" spans="1:11" s="2020" customFormat="1" ht="15" customHeight="1" x14ac:dyDescent="0.25">
      <c r="A215" s="2736" t="s">
        <v>488</v>
      </c>
      <c r="B215" s="2737"/>
      <c r="C215" s="2737"/>
      <c r="D215" s="2737"/>
      <c r="E215" s="2738"/>
      <c r="F215" s="2460" t="s">
        <v>2359</v>
      </c>
      <c r="G215" s="2460"/>
      <c r="H215" s="2331" t="str">
        <f t="shared" si="22"/>
        <v>NA</v>
      </c>
      <c r="I215" s="2454" t="str">
        <f>R144</f>
        <v>NPA</v>
      </c>
      <c r="J215" s="2454" t="s">
        <v>142</v>
      </c>
      <c r="K215" s="2280"/>
    </row>
    <row r="216" spans="1:11" s="2020" customFormat="1" ht="15" customHeight="1" x14ac:dyDescent="0.25">
      <c r="A216" s="2736" t="s">
        <v>2631</v>
      </c>
      <c r="B216" s="2737"/>
      <c r="C216" s="2737"/>
      <c r="D216" s="2737"/>
      <c r="E216" s="2738"/>
      <c r="F216" s="2460" t="s">
        <v>2359</v>
      </c>
      <c r="G216" s="2460"/>
      <c r="H216" s="2331" t="str">
        <f t="shared" si="22"/>
        <v>NA</v>
      </c>
      <c r="I216" s="2454" t="str">
        <f>R145</f>
        <v>NPA</v>
      </c>
      <c r="J216" s="2454" t="s">
        <v>857</v>
      </c>
      <c r="K216" s="2280"/>
    </row>
    <row r="217" spans="1:11" s="2020" customFormat="1" ht="15" customHeight="1" x14ac:dyDescent="0.25">
      <c r="A217" s="2736" t="s">
        <v>2632</v>
      </c>
      <c r="B217" s="2737"/>
      <c r="C217" s="2737"/>
      <c r="D217" s="2737"/>
      <c r="E217" s="2738"/>
      <c r="F217" s="2460" t="s">
        <v>2359</v>
      </c>
      <c r="G217" s="2460"/>
      <c r="H217" s="2331" t="str">
        <f t="shared" si="22"/>
        <v>NA</v>
      </c>
      <c r="I217" s="2454" t="str">
        <f t="shared" ref="I217:I220" si="24">R146</f>
        <v>NPA</v>
      </c>
      <c r="J217" s="2454" t="s">
        <v>857</v>
      </c>
      <c r="K217" s="2280"/>
    </row>
    <row r="218" spans="1:11" s="2020" customFormat="1" ht="15" customHeight="1" x14ac:dyDescent="0.25">
      <c r="A218" s="2736" t="s">
        <v>2633</v>
      </c>
      <c r="B218" s="2737"/>
      <c r="C218" s="2737"/>
      <c r="D218" s="2737"/>
      <c r="E218" s="2738"/>
      <c r="F218" s="2460" t="s">
        <v>2359</v>
      </c>
      <c r="G218" s="2460"/>
      <c r="H218" s="2331" t="str">
        <f t="shared" si="22"/>
        <v>NA</v>
      </c>
      <c r="I218" s="2454" t="str">
        <f t="shared" si="24"/>
        <v>NPA</v>
      </c>
      <c r="J218" s="2454" t="s">
        <v>857</v>
      </c>
      <c r="K218" s="2280"/>
    </row>
    <row r="219" spans="1:11" s="2020" customFormat="1" ht="15" customHeight="1" x14ac:dyDescent="0.25">
      <c r="A219" s="2736" t="s">
        <v>2634</v>
      </c>
      <c r="B219" s="2737"/>
      <c r="C219" s="2737"/>
      <c r="D219" s="2737"/>
      <c r="E219" s="2738"/>
      <c r="F219" s="2460" t="s">
        <v>2359</v>
      </c>
      <c r="G219" s="2460"/>
      <c r="H219" s="2331" t="str">
        <f t="shared" si="22"/>
        <v>NA</v>
      </c>
      <c r="I219" s="2454" t="str">
        <f t="shared" si="24"/>
        <v>NPA</v>
      </c>
      <c r="J219" s="2454" t="s">
        <v>857</v>
      </c>
      <c r="K219" s="2280"/>
    </row>
    <row r="220" spans="1:11" s="2020" customFormat="1" ht="15" customHeight="1" x14ac:dyDescent="0.25">
      <c r="A220" s="2736" t="s">
        <v>2635</v>
      </c>
      <c r="B220" s="2737"/>
      <c r="C220" s="2737"/>
      <c r="D220" s="2737"/>
      <c r="E220" s="2738"/>
      <c r="F220" s="2460" t="s">
        <v>2359</v>
      </c>
      <c r="G220" s="2460"/>
      <c r="H220" s="2331" t="str">
        <f t="shared" si="22"/>
        <v>NA</v>
      </c>
      <c r="I220" s="2454" t="str">
        <f t="shared" si="24"/>
        <v>NPA</v>
      </c>
      <c r="J220" s="2454" t="s">
        <v>857</v>
      </c>
      <c r="K220" s="2280"/>
    </row>
    <row r="221" spans="1:11" s="2020" customFormat="1" ht="15" customHeight="1" x14ac:dyDescent="0.25">
      <c r="A221" s="2736" t="s">
        <v>2636</v>
      </c>
      <c r="B221" s="2737"/>
      <c r="C221" s="2737"/>
      <c r="D221" s="2737"/>
      <c r="E221" s="2738"/>
      <c r="F221" s="2460" t="s">
        <v>2359</v>
      </c>
      <c r="G221" s="2460"/>
      <c r="H221" s="2331" t="str">
        <f t="shared" si="22"/>
        <v>NA</v>
      </c>
      <c r="I221" s="2454" t="str">
        <f>R150</f>
        <v>NPA</v>
      </c>
      <c r="J221" s="2454" t="s">
        <v>857</v>
      </c>
      <c r="K221" s="2280"/>
    </row>
    <row r="222" spans="1:11" s="2020" customFormat="1" ht="15" customHeight="1" x14ac:dyDescent="0.25">
      <c r="A222" s="2736" t="s">
        <v>1702</v>
      </c>
      <c r="B222" s="2737"/>
      <c r="C222" s="2737"/>
      <c r="D222" s="2737"/>
      <c r="E222" s="2738"/>
      <c r="F222" s="2460" t="s">
        <v>2359</v>
      </c>
      <c r="G222" s="2460"/>
      <c r="H222" s="2331" t="e">
        <f t="shared" si="22"/>
        <v>#N/A</v>
      </c>
      <c r="I222" s="2454" t="str">
        <f>R151</f>
        <v>Conforme</v>
      </c>
      <c r="J222" s="2454" t="s">
        <v>857</v>
      </c>
      <c r="K222" s="2280"/>
    </row>
    <row r="223" spans="1:11" s="2020" customFormat="1" ht="15" customHeight="1" x14ac:dyDescent="0.25">
      <c r="A223" s="2736" t="s">
        <v>1485</v>
      </c>
      <c r="B223" s="2737"/>
      <c r="C223" s="2737"/>
      <c r="D223" s="2737"/>
      <c r="E223" s="2738"/>
      <c r="F223" s="2460" t="s">
        <v>2359</v>
      </c>
      <c r="G223" s="2460"/>
      <c r="H223" s="2331" t="str">
        <f t="shared" si="22"/>
        <v>NA</v>
      </c>
      <c r="I223" s="2454" t="str">
        <f>R152</f>
        <v>NA</v>
      </c>
      <c r="J223" s="2454" t="s">
        <v>857</v>
      </c>
      <c r="K223" s="2280"/>
    </row>
    <row r="224" spans="1:11" s="2020" customFormat="1" ht="15" customHeight="1" x14ac:dyDescent="0.25">
      <c r="A224" s="2736" t="s">
        <v>1038</v>
      </c>
      <c r="B224" s="2737"/>
      <c r="C224" s="2737"/>
      <c r="D224" s="2737"/>
      <c r="E224" s="2738"/>
      <c r="F224" s="2460" t="s">
        <v>2359</v>
      </c>
      <c r="G224" s="2460"/>
      <c r="H224" s="2331" t="str">
        <f t="shared" si="22"/>
        <v>NA</v>
      </c>
      <c r="I224" s="2454" t="str">
        <f>R153</f>
        <v>NA</v>
      </c>
      <c r="J224" s="2454" t="s">
        <v>142</v>
      </c>
      <c r="K224" s="2280"/>
    </row>
    <row r="225" spans="1:11" s="2020" customFormat="1" ht="15" customHeight="1" x14ac:dyDescent="0.25">
      <c r="A225" s="284" t="s">
        <v>2796</v>
      </c>
      <c r="B225" s="2275"/>
      <c r="C225" s="2275"/>
      <c r="D225" s="2275"/>
      <c r="E225" s="2275"/>
      <c r="F225" s="2275"/>
      <c r="G225" s="2275"/>
      <c r="H225" s="2275"/>
      <c r="I225" s="2275"/>
      <c r="J225" s="2275"/>
      <c r="K225" s="2280"/>
    </row>
    <row r="226" spans="1:11" s="2020" customFormat="1" ht="15" customHeight="1" x14ac:dyDescent="0.25">
      <c r="A226" s="2275"/>
      <c r="B226" s="2275"/>
      <c r="C226" s="2275"/>
      <c r="D226" s="2275"/>
      <c r="E226" s="2275"/>
      <c r="F226" s="2275"/>
      <c r="G226" s="2275"/>
      <c r="H226" s="2275"/>
      <c r="I226" s="2275"/>
      <c r="J226" s="2275"/>
      <c r="K226" s="2280"/>
    </row>
    <row r="227" spans="1:11" ht="15" customHeight="1" x14ac:dyDescent="0.25">
      <c r="A227" s="281" t="s">
        <v>2072</v>
      </c>
    </row>
    <row r="228" spans="1:11" ht="15" customHeight="1" x14ac:dyDescent="0.25">
      <c r="A228" s="281" t="s">
        <v>237</v>
      </c>
    </row>
    <row r="229" spans="1:11" ht="15" customHeight="1" x14ac:dyDescent="0.25">
      <c r="A229" s="2476" t="s">
        <v>2012</v>
      </c>
      <c r="B229" s="2476"/>
      <c r="C229" s="2476"/>
      <c r="D229" s="2476"/>
      <c r="E229" s="2476"/>
      <c r="F229" s="2476"/>
      <c r="G229" s="2476"/>
      <c r="H229" s="2476"/>
      <c r="I229" s="2476"/>
      <c r="J229" s="2476"/>
      <c r="K229" s="2274" t="str">
        <f>IF(G67&lt;&gt;"Em condições de funcionamento","","x")</f>
        <v>x</v>
      </c>
    </row>
    <row r="230" spans="1:11" ht="15" customHeight="1" x14ac:dyDescent="0.25">
      <c r="A230" s="2476"/>
      <c r="B230" s="2476"/>
      <c r="C230" s="2476"/>
      <c r="D230" s="2476"/>
      <c r="E230" s="2476"/>
      <c r="F230" s="2476"/>
      <c r="G230" s="2476"/>
      <c r="H230" s="2476"/>
      <c r="I230" s="2476"/>
      <c r="J230" s="2476"/>
      <c r="K230" s="2274" t="str">
        <f>K229</f>
        <v>x</v>
      </c>
    </row>
    <row r="231" spans="1:11" ht="15" customHeight="1" x14ac:dyDescent="0.25">
      <c r="A231" s="2468" t="s">
        <v>2083</v>
      </c>
      <c r="B231" s="2468"/>
      <c r="C231" s="2468"/>
      <c r="D231" s="2468"/>
      <c r="E231" s="2468"/>
      <c r="F231" s="2468"/>
      <c r="G231" s="2468"/>
      <c r="H231" s="2468"/>
      <c r="I231" s="2468"/>
      <c r="J231" s="2468"/>
      <c r="K231" s="2274" t="str">
        <f>IF(K229="x","","x")</f>
        <v/>
      </c>
    </row>
    <row r="232" spans="1:11" ht="15" customHeight="1" x14ac:dyDescent="0.25">
      <c r="A232" s="2269"/>
      <c r="B232" s="2269"/>
      <c r="C232" s="2269"/>
      <c r="D232" s="2269"/>
      <c r="E232" s="2269"/>
      <c r="F232" s="2269"/>
      <c r="G232" s="2269"/>
      <c r="H232" s="2269"/>
      <c r="I232" s="2269"/>
    </row>
    <row r="233" spans="1:11" ht="15" customHeight="1" x14ac:dyDescent="0.25">
      <c r="A233" s="281" t="s">
        <v>238</v>
      </c>
    </row>
    <row r="234" spans="1:11" ht="15" customHeight="1" x14ac:dyDescent="0.25">
      <c r="A234" s="2749" t="str">
        <f>"Instrução Normativa "&amp;VLOOKUP("Mamografia",IN_ANVISA[],2)&amp;"/"&amp;VLOOKUP("Mamografia",IN_ANVISA[],3)&amp;" da ANVISA:"</f>
        <v>Instrução Normativa 92/2021 da ANVISA:</v>
      </c>
      <c r="B234" s="2749"/>
      <c r="C234" s="2749"/>
      <c r="D234" s="2749"/>
      <c r="E234" s="2749"/>
      <c r="F234" s="2749"/>
      <c r="G234" s="2749"/>
      <c r="H234" s="2749"/>
      <c r="I234" s="2749"/>
      <c r="J234" s="2749"/>
    </row>
    <row r="235" spans="1:11" ht="15" customHeight="1" x14ac:dyDescent="0.25">
      <c r="A235" s="2476" t="s">
        <v>2013</v>
      </c>
      <c r="B235" s="2476"/>
      <c r="C235" s="2476"/>
      <c r="D235" s="2476"/>
      <c r="E235" s="2476"/>
      <c r="F235" s="2476"/>
      <c r="G235" s="2476"/>
      <c r="H235" s="2476"/>
      <c r="I235" s="2476"/>
      <c r="J235" s="2476"/>
      <c r="K235" s="2274" t="s">
        <v>649</v>
      </c>
    </row>
    <row r="236" spans="1:11" ht="15" customHeight="1" x14ac:dyDescent="0.25">
      <c r="A236" s="2476"/>
      <c r="B236" s="2476"/>
      <c r="C236" s="2476"/>
      <c r="D236" s="2476"/>
      <c r="E236" s="2476"/>
      <c r="F236" s="2476"/>
      <c r="G236" s="2476"/>
      <c r="H236" s="2476"/>
      <c r="I236" s="2476"/>
      <c r="J236" s="2476"/>
      <c r="K236" s="2274" t="str">
        <f>K235</f>
        <v>x</v>
      </c>
    </row>
    <row r="237" spans="1:11" ht="15" customHeight="1" x14ac:dyDescent="0.25">
      <c r="A237" s="2476" t="s">
        <v>383</v>
      </c>
      <c r="B237" s="2476"/>
      <c r="C237" s="2476"/>
      <c r="D237" s="2476"/>
      <c r="E237" s="2476"/>
      <c r="F237" s="2476"/>
      <c r="G237" s="2476"/>
      <c r="H237" s="2476"/>
      <c r="I237" s="2476"/>
      <c r="J237" s="2476"/>
      <c r="K237" s="2274" t="str">
        <f>IF(G65&lt;&gt;"Sim","","x")</f>
        <v>x</v>
      </c>
    </row>
    <row r="238" spans="1:11" ht="15" customHeight="1" x14ac:dyDescent="0.25">
      <c r="A238" s="2476"/>
      <c r="B238" s="2476"/>
      <c r="C238" s="2476"/>
      <c r="D238" s="2476"/>
      <c r="E238" s="2476"/>
      <c r="F238" s="2476"/>
      <c r="G238" s="2476"/>
      <c r="H238" s="2476"/>
      <c r="I238" s="2476"/>
      <c r="J238" s="2476"/>
      <c r="K238" s="2274" t="str">
        <f>K237</f>
        <v>x</v>
      </c>
    </row>
    <row r="239" spans="1:11" ht="15" customHeight="1" x14ac:dyDescent="0.25">
      <c r="A239" s="2476"/>
      <c r="B239" s="2476"/>
      <c r="C239" s="2476"/>
      <c r="D239" s="2476"/>
      <c r="E239" s="2476"/>
      <c r="F239" s="2476"/>
      <c r="G239" s="2476"/>
      <c r="H239" s="2476"/>
      <c r="I239" s="2476"/>
      <c r="J239" s="2476"/>
      <c r="K239" s="2274" t="str">
        <f>K238</f>
        <v>x</v>
      </c>
    </row>
    <row r="240" spans="1:11" ht="15" customHeight="1" x14ac:dyDescent="0.25">
      <c r="A240" s="2476" t="s">
        <v>384</v>
      </c>
      <c r="B240" s="2476"/>
      <c r="C240" s="2476"/>
      <c r="D240" s="2476"/>
      <c r="E240" s="2476"/>
      <c r="F240" s="2476"/>
      <c r="G240" s="2476"/>
      <c r="H240" s="2476"/>
      <c r="I240" s="2476"/>
      <c r="J240" s="2476"/>
      <c r="K240" s="2274" t="str">
        <f>IF(G66&lt;&gt;"Sim","","x")</f>
        <v>x</v>
      </c>
    </row>
    <row r="241" spans="1:11" ht="15" customHeight="1" x14ac:dyDescent="0.25">
      <c r="A241" s="2476"/>
      <c r="B241" s="2476"/>
      <c r="C241" s="2476"/>
      <c r="D241" s="2476"/>
      <c r="E241" s="2476"/>
      <c r="F241" s="2476"/>
      <c r="G241" s="2476"/>
      <c r="H241" s="2476"/>
      <c r="I241" s="2476"/>
      <c r="J241" s="2476"/>
      <c r="K241" s="2274" t="str">
        <f>K240</f>
        <v>x</v>
      </c>
    </row>
    <row r="242" spans="1:11" ht="15" customHeight="1" x14ac:dyDescent="0.25">
      <c r="A242" s="2476"/>
      <c r="B242" s="2476"/>
      <c r="C242" s="2476"/>
      <c r="D242" s="2476"/>
      <c r="E242" s="2476"/>
      <c r="F242" s="2476"/>
      <c r="G242" s="2476"/>
      <c r="H242" s="2476"/>
      <c r="I242" s="2476"/>
      <c r="J242" s="2476"/>
      <c r="K242" s="2274" t="str">
        <f>K241</f>
        <v>x</v>
      </c>
    </row>
    <row r="243" spans="1:11" ht="15" customHeight="1" x14ac:dyDescent="0.25">
      <c r="A243" s="2476" t="s">
        <v>1458</v>
      </c>
      <c r="B243" s="2476"/>
      <c r="C243" s="2476"/>
      <c r="D243" s="2476"/>
      <c r="E243" s="2476"/>
      <c r="F243" s="2476"/>
      <c r="G243" s="2476"/>
      <c r="H243" s="2476"/>
      <c r="I243" s="2476"/>
      <c r="J243" s="2476"/>
      <c r="K243" s="2274" t="str">
        <f>IF(N71&gt;0,"","x")</f>
        <v>x</v>
      </c>
    </row>
    <row r="244" spans="1:11" ht="15" customHeight="1" x14ac:dyDescent="0.25">
      <c r="A244" s="2476"/>
      <c r="B244" s="2476"/>
      <c r="C244" s="2476"/>
      <c r="D244" s="2476"/>
      <c r="E244" s="2476"/>
      <c r="F244" s="2476"/>
      <c r="G244" s="2476"/>
      <c r="H244" s="2476"/>
      <c r="I244" s="2476"/>
      <c r="J244" s="2476"/>
      <c r="K244" s="2274" t="str">
        <f>K243</f>
        <v>x</v>
      </c>
    </row>
    <row r="245" spans="1:11" ht="15" customHeight="1" x14ac:dyDescent="0.25">
      <c r="A245" s="2476" t="s">
        <v>2797</v>
      </c>
      <c r="B245" s="2476"/>
      <c r="C245" s="2476"/>
      <c r="D245" s="2476"/>
      <c r="E245" s="2476"/>
      <c r="F245" s="2476"/>
      <c r="G245" s="2476"/>
      <c r="H245" s="2476"/>
      <c r="I245" s="2476"/>
      <c r="J245" s="2476"/>
      <c r="K245" s="2274" t="str">
        <f ca="1">IF(N134&gt;0,"","x")</f>
        <v>x</v>
      </c>
    </row>
    <row r="246" spans="1:11" ht="15" customHeight="1" x14ac:dyDescent="0.25">
      <c r="A246" s="2476"/>
      <c r="B246" s="2476"/>
      <c r="C246" s="2476"/>
      <c r="D246" s="2476"/>
      <c r="E246" s="2476"/>
      <c r="F246" s="2476"/>
      <c r="G246" s="2476"/>
      <c r="H246" s="2476"/>
      <c r="I246" s="2476"/>
      <c r="J246" s="2476"/>
      <c r="K246" s="2274" t="str">
        <f ca="1">K245</f>
        <v>x</v>
      </c>
    </row>
    <row r="247" spans="1:11" ht="15" customHeight="1" x14ac:dyDescent="0.25">
      <c r="A247" s="2476" t="s">
        <v>2798</v>
      </c>
      <c r="B247" s="2476"/>
      <c r="C247" s="2476"/>
      <c r="D247" s="2476"/>
      <c r="E247" s="2476"/>
      <c r="F247" s="2476"/>
      <c r="G247" s="2476"/>
      <c r="H247" s="2476"/>
      <c r="I247" s="2476"/>
      <c r="J247" s="2476"/>
      <c r="K247" s="2274" t="str">
        <f ca="1">IF(N135&gt;0,"","x")</f>
        <v>x</v>
      </c>
    </row>
    <row r="248" spans="1:11" ht="15" customHeight="1" x14ac:dyDescent="0.25">
      <c r="A248" s="2476"/>
      <c r="B248" s="2476"/>
      <c r="C248" s="2476"/>
      <c r="D248" s="2476"/>
      <c r="E248" s="2476"/>
      <c r="F248" s="2476"/>
      <c r="G248" s="2476"/>
      <c r="H248" s="2476"/>
      <c r="I248" s="2476"/>
      <c r="J248" s="2476"/>
      <c r="K248" s="2274" t="str">
        <f ca="1">K247</f>
        <v>x</v>
      </c>
    </row>
    <row r="249" spans="1:11" ht="15" customHeight="1" x14ac:dyDescent="0.25">
      <c r="A249" s="2476"/>
      <c r="B249" s="2476"/>
      <c r="C249" s="2476"/>
      <c r="D249" s="2476"/>
      <c r="E249" s="2476"/>
      <c r="F249" s="2476"/>
      <c r="G249" s="2476"/>
      <c r="H249" s="2476"/>
      <c r="I249" s="2476"/>
      <c r="J249" s="2476"/>
      <c r="K249" s="2274" t="str">
        <f ca="1">K248</f>
        <v>x</v>
      </c>
    </row>
    <row r="250" spans="1:11" ht="15" customHeight="1" x14ac:dyDescent="0.25">
      <c r="A250" s="2476" t="s">
        <v>496</v>
      </c>
      <c r="B250" s="2476"/>
      <c r="C250" s="2476"/>
      <c r="D250" s="2476"/>
      <c r="E250" s="2476"/>
      <c r="F250" s="2476"/>
      <c r="G250" s="2476"/>
      <c r="H250" s="2476"/>
      <c r="I250" s="2476"/>
      <c r="J250" s="2476"/>
      <c r="K250" s="2274" t="str">
        <f ca="1">IF(N136&gt;0,"","x")</f>
        <v>x</v>
      </c>
    </row>
    <row r="251" spans="1:11" ht="15" customHeight="1" x14ac:dyDescent="0.25">
      <c r="A251" s="2476"/>
      <c r="B251" s="2476"/>
      <c r="C251" s="2476"/>
      <c r="D251" s="2476"/>
      <c r="E251" s="2476"/>
      <c r="F251" s="2476"/>
      <c r="G251" s="2476"/>
      <c r="H251" s="2476"/>
      <c r="I251" s="2476"/>
      <c r="J251" s="2476"/>
      <c r="K251" s="2274" t="str">
        <f ca="1">K250</f>
        <v>x</v>
      </c>
    </row>
    <row r="252" spans="1:11" ht="15" customHeight="1" x14ac:dyDescent="0.25">
      <c r="A252" s="2476" t="s">
        <v>497</v>
      </c>
      <c r="B252" s="2476"/>
      <c r="C252" s="2476"/>
      <c r="D252" s="2476"/>
      <c r="E252" s="2476"/>
      <c r="F252" s="2476"/>
      <c r="G252" s="2476"/>
      <c r="H252" s="2476"/>
      <c r="I252" s="2476"/>
      <c r="J252" s="2476"/>
      <c r="K252" s="2274" t="str">
        <f ca="1">IF(N137&gt;0,"","x")</f>
        <v>x</v>
      </c>
    </row>
    <row r="253" spans="1:11" ht="15" customHeight="1" x14ac:dyDescent="0.25">
      <c r="A253" s="2476"/>
      <c r="B253" s="2476"/>
      <c r="C253" s="2476"/>
      <c r="D253" s="2476"/>
      <c r="E253" s="2476"/>
      <c r="F253" s="2476"/>
      <c r="G253" s="2476"/>
      <c r="H253" s="2476"/>
      <c r="I253" s="2476"/>
      <c r="J253" s="2476"/>
      <c r="K253" s="2274" t="str">
        <f ca="1">K252</f>
        <v>x</v>
      </c>
    </row>
    <row r="254" spans="1:11" ht="15" customHeight="1" x14ac:dyDescent="0.25">
      <c r="A254" s="2476" t="str">
        <f ca="1">"                O rendimento do tubo está fora de tolerância ("&amp;mamo!G23&amp;" mGy/s) devido a"&amp;IF(mamo!K36="&gt;"," filtração do feixe primário e","")&amp;" erro na corrente anódica. Os circuitos eletrônicos que controlam as correntes anódicas devem ser ajustados."</f>
        <v xml:space="preserve">                O rendimento do tubo está fora de tolerância (7 mGy/s) devido a erro na corrente anódica. Os circuitos eletrônicos que controlam as correntes anódicas devem ser ajustados.</v>
      </c>
      <c r="B254" s="2476"/>
      <c r="C254" s="2476"/>
      <c r="D254" s="2476"/>
      <c r="E254" s="2476"/>
      <c r="F254" s="2476"/>
      <c r="G254" s="2476"/>
      <c r="H254" s="2476"/>
      <c r="I254" s="2476"/>
      <c r="J254" s="2476"/>
      <c r="K254" s="2274" t="str">
        <f ca="1">IF((N138+N139)&gt;0,"","x")</f>
        <v>x</v>
      </c>
    </row>
    <row r="255" spans="1:11" ht="15" customHeight="1" x14ac:dyDescent="0.25">
      <c r="A255" s="2476"/>
      <c r="B255" s="2476"/>
      <c r="C255" s="2476"/>
      <c r="D255" s="2476"/>
      <c r="E255" s="2476"/>
      <c r="F255" s="2476"/>
      <c r="G255" s="2476"/>
      <c r="H255" s="2476"/>
      <c r="I255" s="2476"/>
      <c r="J255" s="2476"/>
      <c r="K255" s="2274" t="str">
        <f ca="1">K254</f>
        <v>x</v>
      </c>
    </row>
    <row r="256" spans="1:11" ht="15" customHeight="1" x14ac:dyDescent="0.25">
      <c r="A256" s="2476"/>
      <c r="B256" s="2476"/>
      <c r="C256" s="2476"/>
      <c r="D256" s="2476"/>
      <c r="E256" s="2476"/>
      <c r="F256" s="2476"/>
      <c r="G256" s="2476"/>
      <c r="H256" s="2476"/>
      <c r="I256" s="2476"/>
      <c r="J256" s="2476"/>
      <c r="K256" s="2274" t="str">
        <f ca="1">K255</f>
        <v>x</v>
      </c>
    </row>
    <row r="257" spans="1:11" ht="15" customHeight="1" x14ac:dyDescent="0.25">
      <c r="A257" s="2476" t="e">
        <f ca="1">CONCATENATE("                A camada semirredutora está ",IF(mamo!K36="&lt;","abaixo do permitido ",IF(mamo!K36="&gt;","acima do permitido ","fora da faixa permitida. ")),"(",mamo!B40," mm Al à ",mamo!B41," mm Al @ ",mamo!B29," kVp). ",IF(mamo!K36="&lt;","Deve ser acrescentada filtração ao feixe primário.",IF(mamo!K36="&gt;","Sugere-se substituir o tubo de raios X.","")))</f>
        <v>#VALUE!</v>
      </c>
      <c r="B257" s="2476"/>
      <c r="C257" s="2476"/>
      <c r="D257" s="2476"/>
      <c r="E257" s="2476"/>
      <c r="F257" s="2476"/>
      <c r="G257" s="2476"/>
      <c r="H257" s="2476"/>
      <c r="I257" s="2476"/>
      <c r="J257" s="2476"/>
      <c r="K257" s="2274" t="str">
        <f ca="1">IF((N140+N141)&gt;0,IF(mamo!K36&lt;&gt;"","","x"),"x")</f>
        <v>x</v>
      </c>
    </row>
    <row r="258" spans="1:11" ht="15" customHeight="1" x14ac:dyDescent="0.25">
      <c r="A258" s="2476"/>
      <c r="B258" s="2476"/>
      <c r="C258" s="2476"/>
      <c r="D258" s="2476"/>
      <c r="E258" s="2476"/>
      <c r="F258" s="2476"/>
      <c r="G258" s="2476"/>
      <c r="H258" s="2476"/>
      <c r="I258" s="2476"/>
      <c r="J258" s="2476"/>
      <c r="K258" s="2274" t="str">
        <f ca="1">K257</f>
        <v>x</v>
      </c>
    </row>
    <row r="259" spans="1:11" ht="15" customHeight="1" x14ac:dyDescent="0.25">
      <c r="A259" s="2476" t="s">
        <v>2799</v>
      </c>
      <c r="B259" s="2476"/>
      <c r="C259" s="2476"/>
      <c r="D259" s="2476"/>
      <c r="E259" s="2476"/>
      <c r="F259" s="2476"/>
      <c r="G259" s="2476"/>
      <c r="H259" s="2476"/>
      <c r="I259" s="2476"/>
      <c r="J259" s="2476"/>
      <c r="K259" s="2274" t="str">
        <f>IF(N142&gt;0,"","x")</f>
        <v>x</v>
      </c>
    </row>
    <row r="260" spans="1:11" ht="15" customHeight="1" x14ac:dyDescent="0.25">
      <c r="A260" s="2476"/>
      <c r="B260" s="2476"/>
      <c r="C260" s="2476"/>
      <c r="D260" s="2476"/>
      <c r="E260" s="2476"/>
      <c r="F260" s="2476"/>
      <c r="G260" s="2476"/>
      <c r="H260" s="2476"/>
      <c r="I260" s="2476"/>
      <c r="J260" s="2476"/>
      <c r="K260" s="2274" t="str">
        <f>K259</f>
        <v>x</v>
      </c>
    </row>
    <row r="261" spans="1:11" ht="15" customHeight="1" x14ac:dyDescent="0.25">
      <c r="A261" s="2476" t="s">
        <v>2800</v>
      </c>
      <c r="B261" s="2476"/>
      <c r="C261" s="2476"/>
      <c r="D261" s="2476"/>
      <c r="E261" s="2476"/>
      <c r="F261" s="2476"/>
      <c r="G261" s="2476"/>
      <c r="H261" s="2476"/>
      <c r="I261" s="2476"/>
      <c r="J261" s="2476"/>
      <c r="K261" s="2274" t="str">
        <f>IF(N143&gt;0,"","x")</f>
        <v>x</v>
      </c>
    </row>
    <row r="262" spans="1:11" ht="15" customHeight="1" x14ac:dyDescent="0.25">
      <c r="A262" s="2476"/>
      <c r="B262" s="2476"/>
      <c r="C262" s="2476"/>
      <c r="D262" s="2476"/>
      <c r="E262" s="2476"/>
      <c r="F262" s="2476"/>
      <c r="G262" s="2476"/>
      <c r="H262" s="2476"/>
      <c r="I262" s="2476"/>
      <c r="J262" s="2476"/>
      <c r="K262" s="2274" t="str">
        <f>K261</f>
        <v>x</v>
      </c>
    </row>
    <row r="263" spans="1:11" ht="15" customHeight="1" x14ac:dyDescent="0.25">
      <c r="A263" s="2476"/>
      <c r="B263" s="2476"/>
      <c r="C263" s="2476"/>
      <c r="D263" s="2476"/>
      <c r="E263" s="2476"/>
      <c r="F263" s="2476"/>
      <c r="G263" s="2476"/>
      <c r="H263" s="2476"/>
      <c r="I263" s="2476"/>
      <c r="J263" s="2476"/>
      <c r="K263" s="2274" t="str">
        <f>K262</f>
        <v>x</v>
      </c>
    </row>
    <row r="264" spans="1:11" ht="15" customHeight="1" x14ac:dyDescent="0.25">
      <c r="A264" s="2476" t="s">
        <v>1375</v>
      </c>
      <c r="B264" s="2476"/>
      <c r="C264" s="2476"/>
      <c r="D264" s="2476"/>
      <c r="E264" s="2476"/>
      <c r="F264" s="2476"/>
      <c r="G264" s="2476"/>
      <c r="H264" s="2476"/>
      <c r="I264" s="2476"/>
      <c r="J264" s="2476"/>
      <c r="K264" s="2274" t="str">
        <f>IF(P106&gt;0,"","x")</f>
        <v>x</v>
      </c>
    </row>
    <row r="265" spans="1:11" ht="15" customHeight="1" x14ac:dyDescent="0.25">
      <c r="A265" s="2476"/>
      <c r="B265" s="2476"/>
      <c r="C265" s="2476"/>
      <c r="D265" s="2476"/>
      <c r="E265" s="2476"/>
      <c r="F265" s="2476"/>
      <c r="G265" s="2476"/>
      <c r="H265" s="2476"/>
      <c r="I265" s="2476"/>
      <c r="J265" s="2476"/>
      <c r="K265" s="2274" t="str">
        <f>K264</f>
        <v>x</v>
      </c>
    </row>
    <row r="266" spans="1:11" ht="15" customHeight="1" x14ac:dyDescent="0.25">
      <c r="A266" s="2476" t="s">
        <v>500</v>
      </c>
      <c r="B266" s="2476"/>
      <c r="C266" s="2476"/>
      <c r="D266" s="2476"/>
      <c r="E266" s="2476"/>
      <c r="F266" s="2476"/>
      <c r="G266" s="2476"/>
      <c r="H266" s="2476"/>
      <c r="I266" s="2476"/>
      <c r="J266" s="2476"/>
      <c r="K266" s="2274" t="str">
        <f>IF(N144&gt;0,"","x")</f>
        <v>x</v>
      </c>
    </row>
    <row r="267" spans="1:11" ht="15" customHeight="1" x14ac:dyDescent="0.25">
      <c r="A267" s="2476"/>
      <c r="B267" s="2476"/>
      <c r="C267" s="2476"/>
      <c r="D267" s="2476"/>
      <c r="E267" s="2476"/>
      <c r="F267" s="2476"/>
      <c r="G267" s="2476"/>
      <c r="H267" s="2476"/>
      <c r="I267" s="2476"/>
      <c r="J267" s="2476"/>
      <c r="K267" s="2274" t="str">
        <f>K266</f>
        <v>x</v>
      </c>
    </row>
    <row r="268" spans="1:11" ht="15" customHeight="1" x14ac:dyDescent="0.25">
      <c r="A268" s="2476"/>
      <c r="B268" s="2476"/>
      <c r="C268" s="2476"/>
      <c r="D268" s="2476"/>
      <c r="E268" s="2476"/>
      <c r="F268" s="2476"/>
      <c r="G268" s="2476"/>
      <c r="H268" s="2476"/>
      <c r="I268" s="2476"/>
      <c r="J268" s="2476"/>
      <c r="K268" s="2274" t="str">
        <f>K267</f>
        <v>x</v>
      </c>
    </row>
    <row r="269" spans="1:11" ht="15" customHeight="1" x14ac:dyDescent="0.25">
      <c r="A269" s="2476" t="s">
        <v>501</v>
      </c>
      <c r="B269" s="2476"/>
      <c r="C269" s="2476"/>
      <c r="D269" s="2476"/>
      <c r="E269" s="2476"/>
      <c r="F269" s="2476"/>
      <c r="G269" s="2476"/>
      <c r="H269" s="2476"/>
      <c r="I269" s="2476"/>
      <c r="J269" s="2476"/>
      <c r="K269" s="2274" t="str">
        <f>IF(SUM(N145:N150)&gt;0,"","x")</f>
        <v>x</v>
      </c>
    </row>
    <row r="270" spans="1:11" ht="15" customHeight="1" x14ac:dyDescent="0.25">
      <c r="A270" s="2476"/>
      <c r="B270" s="2476"/>
      <c r="C270" s="2476"/>
      <c r="D270" s="2476"/>
      <c r="E270" s="2476"/>
      <c r="F270" s="2476"/>
      <c r="G270" s="2476"/>
      <c r="H270" s="2476"/>
      <c r="I270" s="2476"/>
      <c r="J270" s="2476"/>
      <c r="K270" s="2274" t="str">
        <f>K269</f>
        <v>x</v>
      </c>
    </row>
    <row r="271" spans="1:11" ht="15" customHeight="1" x14ac:dyDescent="0.25">
      <c r="A271" s="2476" t="s">
        <v>1486</v>
      </c>
      <c r="B271" s="2476"/>
      <c r="C271" s="2476"/>
      <c r="D271" s="2476"/>
      <c r="E271" s="2476"/>
      <c r="F271" s="2476"/>
      <c r="G271" s="2476"/>
      <c r="H271" s="2476"/>
      <c r="I271" s="2476"/>
      <c r="J271" s="2476"/>
      <c r="K271" s="2274" t="str">
        <f>IF(J152="Não","","x")</f>
        <v>x</v>
      </c>
    </row>
    <row r="272" spans="1:11" ht="15" customHeight="1" x14ac:dyDescent="0.25">
      <c r="A272" s="2476"/>
      <c r="B272" s="2476"/>
      <c r="C272" s="2476"/>
      <c r="D272" s="2476"/>
      <c r="E272" s="2476"/>
      <c r="F272" s="2476"/>
      <c r="G272" s="2476"/>
      <c r="H272" s="2476"/>
      <c r="I272" s="2476"/>
      <c r="J272" s="2476"/>
      <c r="K272" s="2274" t="str">
        <f>K271</f>
        <v>x</v>
      </c>
    </row>
    <row r="273" spans="1:11" ht="15" customHeight="1" x14ac:dyDescent="0.25">
      <c r="A273" s="2476" t="s">
        <v>2014</v>
      </c>
      <c r="B273" s="2476"/>
      <c r="C273" s="2476"/>
      <c r="D273" s="2476"/>
      <c r="E273" s="2476"/>
      <c r="F273" s="2476"/>
      <c r="G273" s="2476"/>
      <c r="H273" s="2476"/>
      <c r="I273" s="2476"/>
      <c r="J273" s="2476"/>
      <c r="K273" s="2274" t="str">
        <f>IF(COUNTIF(C128:I128,"Não")+COUNTIF(C128:I128,"Restrição")&gt;0,"","x")</f>
        <v>x</v>
      </c>
    </row>
    <row r="274" spans="1:11" ht="15" customHeight="1" x14ac:dyDescent="0.25">
      <c r="A274" s="2476"/>
      <c r="B274" s="2476"/>
      <c r="C274" s="2476"/>
      <c r="D274" s="2476"/>
      <c r="E274" s="2476"/>
      <c r="F274" s="2476"/>
      <c r="G274" s="2476"/>
      <c r="H274" s="2476"/>
      <c r="I274" s="2476"/>
      <c r="J274" s="2476"/>
      <c r="K274" s="2274" t="str">
        <f>K273</f>
        <v>x</v>
      </c>
    </row>
    <row r="275" spans="1:11" ht="15" customHeight="1" x14ac:dyDescent="0.25">
      <c r="A275" s="2476"/>
      <c r="B275" s="2476"/>
      <c r="C275" s="2476"/>
      <c r="D275" s="2476"/>
      <c r="E275" s="2476"/>
      <c r="F275" s="2476"/>
      <c r="G275" s="2476"/>
      <c r="H275" s="2476"/>
      <c r="I275" s="2476"/>
      <c r="J275" s="2476"/>
      <c r="K275" s="2274" t="str">
        <f>K273</f>
        <v>x</v>
      </c>
    </row>
    <row r="276" spans="1:11" ht="15" customHeight="1" x14ac:dyDescent="0.25">
      <c r="A276" s="2476"/>
      <c r="B276" s="2476"/>
      <c r="C276" s="2476"/>
      <c r="D276" s="2476"/>
      <c r="E276" s="2476"/>
      <c r="F276" s="2476"/>
      <c r="G276" s="2476"/>
      <c r="H276" s="2476"/>
      <c r="I276" s="2476"/>
      <c r="J276" s="2476"/>
      <c r="K276" s="2274" t="str">
        <f>K273</f>
        <v>x</v>
      </c>
    </row>
    <row r="277" spans="1:11" ht="15" customHeight="1" x14ac:dyDescent="0.25">
      <c r="A277" s="2476" t="s">
        <v>1808</v>
      </c>
      <c r="B277" s="2476"/>
      <c r="C277" s="2476"/>
      <c r="D277" s="2476"/>
      <c r="E277" s="2476"/>
      <c r="F277" s="2476"/>
      <c r="G277" s="2476"/>
      <c r="H277" s="2476"/>
      <c r="I277" s="2476"/>
      <c r="J277" s="2476"/>
      <c r="K277" s="2274" t="str">
        <f>IF(N153&gt;0,"","x")</f>
        <v>x</v>
      </c>
    </row>
    <row r="278" spans="1:11" ht="15" customHeight="1" x14ac:dyDescent="0.25">
      <c r="A278" s="2476"/>
      <c r="B278" s="2476"/>
      <c r="C278" s="2476"/>
      <c r="D278" s="2476"/>
      <c r="E278" s="2476"/>
      <c r="F278" s="2476"/>
      <c r="G278" s="2476"/>
      <c r="H278" s="2476"/>
      <c r="I278" s="2476"/>
      <c r="J278" s="2476"/>
      <c r="K278" s="2274" t="str">
        <f>K277</f>
        <v>x</v>
      </c>
    </row>
    <row r="279" spans="1:11" ht="15" customHeight="1" x14ac:dyDescent="0.25">
      <c r="A279" s="2476"/>
      <c r="B279" s="2476"/>
      <c r="C279" s="2476"/>
      <c r="D279" s="2476"/>
      <c r="E279" s="2476"/>
      <c r="F279" s="2476"/>
      <c r="G279" s="2476"/>
      <c r="H279" s="2476"/>
      <c r="I279" s="2476"/>
      <c r="J279" s="2476"/>
      <c r="K279" s="2274" t="str">
        <f>K278</f>
        <v>x</v>
      </c>
    </row>
    <row r="280" spans="1:11" ht="15" customHeight="1" x14ac:dyDescent="0.25">
      <c r="A280" s="2476" t="str">
        <f>"                Para os demais itens o equipamento atende os requisitos da Instrução Normativa "&amp;VLOOKUP("Mamografia",IN_ANVISA[],2)&amp;"/"&amp;VLOOKUP("Mamografia",IN_ANVISA[],3)&amp;" da ANVISA."</f>
        <v xml:space="preserve">                Para os demais itens o equipamento atende os requisitos da Instrução Normativa 92/2021 da ANVISA.</v>
      </c>
      <c r="B280" s="2476"/>
      <c r="C280" s="2476"/>
      <c r="D280" s="2476"/>
      <c r="E280" s="2476"/>
      <c r="F280" s="2476"/>
      <c r="G280" s="2476"/>
      <c r="H280" s="2476"/>
      <c r="I280" s="2476"/>
      <c r="J280" s="2476"/>
      <c r="K280" s="2274" t="str">
        <f ca="1">IF(COUNTIF(K235:K279,"")&gt;0,"","x")</f>
        <v>x</v>
      </c>
    </row>
    <row r="281" spans="1:11" ht="15" customHeight="1" x14ac:dyDescent="0.25">
      <c r="A281" s="2476"/>
      <c r="B281" s="2476"/>
      <c r="C281" s="2476"/>
      <c r="D281" s="2476"/>
      <c r="E281" s="2476"/>
      <c r="F281" s="2476"/>
      <c r="G281" s="2476"/>
      <c r="H281" s="2476"/>
      <c r="I281" s="2476"/>
      <c r="J281" s="2476"/>
      <c r="K281" s="2274" t="str">
        <f ca="1">K280</f>
        <v>x</v>
      </c>
    </row>
    <row r="282" spans="1:11" ht="15" customHeight="1" x14ac:dyDescent="0.25">
      <c r="A282" s="2476" t="str">
        <f>"                Para os itens testados o equipamento atende os requisitos da Instrução Normativa "&amp;VLOOKUP("Mamografia",IN_ANVISA[],2)&amp;"/"&amp;VLOOKUP("Mamografia",IN_ANVISA[],3)&amp;" da ANVISA."</f>
        <v xml:space="preserve">                Para os itens testados o equipamento atende os requisitos da Instrução Normativa 92/2021 da ANVISA.</v>
      </c>
      <c r="B282" s="2476"/>
      <c r="C282" s="2476"/>
      <c r="D282" s="2476"/>
      <c r="E282" s="2476"/>
      <c r="F282" s="2476"/>
      <c r="G282" s="2476"/>
      <c r="H282" s="2476"/>
      <c r="I282" s="2476"/>
      <c r="J282" s="2476"/>
      <c r="K282" s="2274" t="str">
        <f ca="1">IF(K280="","x","")</f>
        <v/>
      </c>
    </row>
    <row r="283" spans="1:11" ht="15" customHeight="1" x14ac:dyDescent="0.25">
      <c r="A283" s="2476"/>
      <c r="B283" s="2476"/>
      <c r="C283" s="2476"/>
      <c r="D283" s="2476"/>
      <c r="E283" s="2476"/>
      <c r="F283" s="2476"/>
      <c r="G283" s="2476"/>
      <c r="H283" s="2476"/>
      <c r="I283" s="2476"/>
      <c r="J283" s="2476"/>
      <c r="K283" s="2274" t="str">
        <f ca="1">K282</f>
        <v/>
      </c>
    </row>
    <row r="284" spans="1:11" ht="15" customHeight="1" x14ac:dyDescent="0.25">
      <c r="A284" s="2476" t="str">
        <f>"                O equipamento atende os requisitos da Instrução Normativa "&amp;VLOOKUP("Mamografia",IN_ANVISA[],2)&amp;"/"&amp;VLOOKUP("Mamografia",IN_ANVISA[],3)&amp;" da ANVISA."</f>
        <v xml:space="preserve">                O equipamento atende os requisitos da Instrução Normativa 92/2021 da ANVISA.</v>
      </c>
      <c r="B284" s="2476"/>
      <c r="C284" s="2476"/>
      <c r="D284" s="2476"/>
      <c r="E284" s="2476"/>
      <c r="F284" s="2476"/>
      <c r="G284" s="2476"/>
      <c r="H284" s="2476"/>
      <c r="I284" s="2476"/>
      <c r="J284" s="2476"/>
      <c r="K284" s="2274" t="s">
        <v>649</v>
      </c>
    </row>
    <row r="285" spans="1:11" ht="15" customHeight="1" x14ac:dyDescent="0.25">
      <c r="A285" s="2476"/>
      <c r="B285" s="2476"/>
      <c r="C285" s="2476"/>
      <c r="D285" s="2476"/>
      <c r="E285" s="2476"/>
      <c r="F285" s="2476"/>
      <c r="G285" s="2476"/>
      <c r="H285" s="2476"/>
      <c r="I285" s="2476"/>
      <c r="J285" s="2476"/>
      <c r="K285" s="2274" t="s">
        <v>649</v>
      </c>
    </row>
    <row r="286" spans="1:11" ht="15" customHeight="1" x14ac:dyDescent="0.25">
      <c r="A286" s="2269"/>
      <c r="B286" s="2269"/>
      <c r="C286" s="2269"/>
      <c r="D286" s="2269"/>
      <c r="E286" s="2269"/>
      <c r="F286" s="2269"/>
      <c r="G286" s="2269"/>
      <c r="H286" s="2269"/>
      <c r="I286" s="2269"/>
      <c r="J286" s="2269"/>
      <c r="K286" s="2274" t="str">
        <f ca="1">K287</f>
        <v>x</v>
      </c>
    </row>
    <row r="287" spans="1:11" ht="15" customHeight="1" x14ac:dyDescent="0.25">
      <c r="A287" s="2476"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287" s="2476"/>
      <c r="C287" s="2476"/>
      <c r="D287" s="2476"/>
      <c r="E287" s="2476"/>
      <c r="F287" s="2476"/>
      <c r="G287" s="2476"/>
      <c r="H287" s="2476"/>
      <c r="I287" s="2476"/>
      <c r="J287" s="2476"/>
      <c r="K287" s="2274" t="str">
        <f ca="1">IF(SUM(L71:L155)&gt;0,"","x")</f>
        <v>x</v>
      </c>
    </row>
    <row r="288" spans="1:11" ht="15" customHeight="1" x14ac:dyDescent="0.25">
      <c r="A288" s="2476"/>
      <c r="B288" s="2476"/>
      <c r="C288" s="2476"/>
      <c r="D288" s="2476"/>
      <c r="E288" s="2476"/>
      <c r="F288" s="2476"/>
      <c r="G288" s="2476"/>
      <c r="H288" s="2476"/>
      <c r="I288" s="2476"/>
      <c r="J288" s="2476"/>
      <c r="K288" s="2274" t="str">
        <f ca="1">K287</f>
        <v>x</v>
      </c>
    </row>
    <row r="289" spans="1:11" ht="15" customHeight="1" x14ac:dyDescent="0.25">
      <c r="A289" s="2476"/>
      <c r="B289" s="2476"/>
      <c r="C289" s="2476"/>
      <c r="D289" s="2476"/>
      <c r="E289" s="2476"/>
      <c r="F289" s="2476"/>
      <c r="G289" s="2476"/>
      <c r="H289" s="2476"/>
      <c r="I289" s="2476"/>
      <c r="J289" s="2476"/>
      <c r="K289" s="2274" t="str">
        <f ca="1">K288</f>
        <v>x</v>
      </c>
    </row>
    <row r="290" spans="1:11" ht="15" customHeight="1" x14ac:dyDescent="0.25">
      <c r="A290" s="2476"/>
      <c r="B290" s="2476"/>
      <c r="C290" s="2476"/>
      <c r="D290" s="2476"/>
      <c r="E290" s="2476"/>
      <c r="F290" s="2476"/>
      <c r="G290" s="2476"/>
      <c r="H290" s="2476"/>
      <c r="I290" s="2476"/>
      <c r="J290" s="2476"/>
      <c r="K290" s="2274" t="str">
        <f ca="1">K289</f>
        <v>x</v>
      </c>
    </row>
    <row r="291" spans="1:11" ht="15" customHeight="1" x14ac:dyDescent="0.25">
      <c r="A291" s="2476"/>
      <c r="B291" s="2476"/>
      <c r="C291" s="2476"/>
      <c r="D291" s="2476"/>
      <c r="E291" s="2476"/>
      <c r="F291" s="2476"/>
      <c r="G291" s="2476"/>
      <c r="H291" s="2476"/>
      <c r="I291" s="2476"/>
      <c r="J291" s="2476"/>
      <c r="K291" s="2274" t="str">
        <f ca="1">K290</f>
        <v>x</v>
      </c>
    </row>
  </sheetData>
  <sheetProtection selectLockedCells="1" autoFilter="0"/>
  <autoFilter ref="K1:K291"/>
  <mergeCells count="246">
    <mergeCell ref="A269:J270"/>
    <mergeCell ref="A261:J263"/>
    <mergeCell ref="A259:J260"/>
    <mergeCell ref="A250:J251"/>
    <mergeCell ref="A252:J253"/>
    <mergeCell ref="A271:J272"/>
    <mergeCell ref="A111:B111"/>
    <mergeCell ref="A112:B112"/>
    <mergeCell ref="H140:I140"/>
    <mergeCell ref="H141:I141"/>
    <mergeCell ref="H142:I142"/>
    <mergeCell ref="H143:I143"/>
    <mergeCell ref="I217:J217"/>
    <mergeCell ref="F218:G218"/>
    <mergeCell ref="I218:J218"/>
    <mergeCell ref="H148:I148"/>
    <mergeCell ref="H149:I149"/>
    <mergeCell ref="H150:I150"/>
    <mergeCell ref="A224:E224"/>
    <mergeCell ref="H144:I144"/>
    <mergeCell ref="D140:F140"/>
    <mergeCell ref="D142:F142"/>
    <mergeCell ref="F222:G222"/>
    <mergeCell ref="I222:J222"/>
    <mergeCell ref="A59:D59"/>
    <mergeCell ref="A284:J285"/>
    <mergeCell ref="A287:J291"/>
    <mergeCell ref="A257:J258"/>
    <mergeCell ref="A234:J234"/>
    <mergeCell ref="A243:J244"/>
    <mergeCell ref="A247:J249"/>
    <mergeCell ref="A245:J246"/>
    <mergeCell ref="A235:J236"/>
    <mergeCell ref="A237:J239"/>
    <mergeCell ref="A240:J242"/>
    <mergeCell ref="A277:J279"/>
    <mergeCell ref="A280:J281"/>
    <mergeCell ref="A282:J283"/>
    <mergeCell ref="A254:J256"/>
    <mergeCell ref="A264:J265"/>
    <mergeCell ref="A266:J268"/>
    <mergeCell ref="A273:J276"/>
    <mergeCell ref="G65:I65"/>
    <mergeCell ref="A66:E66"/>
    <mergeCell ref="G67:I67"/>
    <mergeCell ref="A68:I68"/>
    <mergeCell ref="A108:B108"/>
    <mergeCell ref="A107:B107"/>
    <mergeCell ref="A91:C91"/>
    <mergeCell ref="A74:C74"/>
    <mergeCell ref="A80:C80"/>
    <mergeCell ref="A85:I85"/>
    <mergeCell ref="A67:E67"/>
    <mergeCell ref="A87:I87"/>
    <mergeCell ref="D143:F143"/>
    <mergeCell ref="A231:J231"/>
    <mergeCell ref="A229:J230"/>
    <mergeCell ref="A154:J155"/>
    <mergeCell ref="A201:E201"/>
    <mergeCell ref="F201:G201"/>
    <mergeCell ref="I201:J201"/>
    <mergeCell ref="F202:G202"/>
    <mergeCell ref="I202:J202"/>
    <mergeCell ref="F203:G203"/>
    <mergeCell ref="I203:J203"/>
    <mergeCell ref="F215:G215"/>
    <mergeCell ref="I215:J215"/>
    <mergeCell ref="F210:G210"/>
    <mergeCell ref="I210:J210"/>
    <mergeCell ref="F211:G211"/>
    <mergeCell ref="I216:J216"/>
    <mergeCell ref="F217:G217"/>
    <mergeCell ref="A1:D1"/>
    <mergeCell ref="E1:H1"/>
    <mergeCell ref="C12:J13"/>
    <mergeCell ref="C17:J17"/>
    <mergeCell ref="A29:J30"/>
    <mergeCell ref="A35:J37"/>
    <mergeCell ref="A38:J39"/>
    <mergeCell ref="A44:C44"/>
    <mergeCell ref="D44:F44"/>
    <mergeCell ref="G44:H44"/>
    <mergeCell ref="I44:J44"/>
    <mergeCell ref="A3:I3"/>
    <mergeCell ref="A5:I5"/>
    <mergeCell ref="A40:J41"/>
    <mergeCell ref="C9:J10"/>
    <mergeCell ref="A31:J32"/>
    <mergeCell ref="A27:J28"/>
    <mergeCell ref="A24:C24"/>
    <mergeCell ref="D24:F24"/>
    <mergeCell ref="G24:J24"/>
    <mergeCell ref="G64:I64"/>
    <mergeCell ref="F204:G204"/>
    <mergeCell ref="I204:J204"/>
    <mergeCell ref="F205:G205"/>
    <mergeCell ref="I205:J205"/>
    <mergeCell ref="F206:G206"/>
    <mergeCell ref="A45:C46"/>
    <mergeCell ref="D45:F46"/>
    <mergeCell ref="G45:H46"/>
    <mergeCell ref="I45:J46"/>
    <mergeCell ref="A48:D48"/>
    <mergeCell ref="E48:J48"/>
    <mergeCell ref="A106:B106"/>
    <mergeCell ref="A64:E64"/>
    <mergeCell ref="A96:C96"/>
    <mergeCell ref="A97:B97"/>
    <mergeCell ref="A98:B98"/>
    <mergeCell ref="A65:E65"/>
    <mergeCell ref="A100:I100"/>
    <mergeCell ref="A92:B92"/>
    <mergeCell ref="A93:B93"/>
    <mergeCell ref="G66:I66"/>
    <mergeCell ref="A50:D50"/>
    <mergeCell ref="E50:J50"/>
    <mergeCell ref="A213:E213"/>
    <mergeCell ref="F223:G223"/>
    <mergeCell ref="I223:J223"/>
    <mergeCell ref="A214:E214"/>
    <mergeCell ref="F224:G224"/>
    <mergeCell ref="I224:J224"/>
    <mergeCell ref="F219:G219"/>
    <mergeCell ref="I219:J219"/>
    <mergeCell ref="F220:G220"/>
    <mergeCell ref="I220:J220"/>
    <mergeCell ref="F221:G221"/>
    <mergeCell ref="I221:J221"/>
    <mergeCell ref="F216:G216"/>
    <mergeCell ref="A221:E221"/>
    <mergeCell ref="A222:E222"/>
    <mergeCell ref="A223:E223"/>
    <mergeCell ref="A218:E218"/>
    <mergeCell ref="A215:E215"/>
    <mergeCell ref="A220:E220"/>
    <mergeCell ref="A219:E219"/>
    <mergeCell ref="I213:J213"/>
    <mergeCell ref="A216:E216"/>
    <mergeCell ref="A217:E217"/>
    <mergeCell ref="F213:G213"/>
    <mergeCell ref="D150:F150"/>
    <mergeCell ref="D153:F153"/>
    <mergeCell ref="I206:J206"/>
    <mergeCell ref="A193:J198"/>
    <mergeCell ref="A163:J164"/>
    <mergeCell ref="A205:E205"/>
    <mergeCell ref="A184:J187"/>
    <mergeCell ref="A178:J179"/>
    <mergeCell ref="A180:J181"/>
    <mergeCell ref="A160:J160"/>
    <mergeCell ref="A176:J177"/>
    <mergeCell ref="A169:J171"/>
    <mergeCell ref="A206:E206"/>
    <mergeCell ref="A203:E203"/>
    <mergeCell ref="A204:E204"/>
    <mergeCell ref="H151:I151"/>
    <mergeCell ref="H152:I152"/>
    <mergeCell ref="H153:I153"/>
    <mergeCell ref="A158:J159"/>
    <mergeCell ref="D136:F136"/>
    <mergeCell ref="D137:F137"/>
    <mergeCell ref="D138:F138"/>
    <mergeCell ref="D139:F139"/>
    <mergeCell ref="A133:C133"/>
    <mergeCell ref="H136:I136"/>
    <mergeCell ref="H137:I137"/>
    <mergeCell ref="H138:I138"/>
    <mergeCell ref="H139:I139"/>
    <mergeCell ref="A127:B127"/>
    <mergeCell ref="H133:I133"/>
    <mergeCell ref="A125:B125"/>
    <mergeCell ref="H134:I134"/>
    <mergeCell ref="H135:I135"/>
    <mergeCell ref="A126:B126"/>
    <mergeCell ref="A128:B128"/>
    <mergeCell ref="D133:F133"/>
    <mergeCell ref="A130:J130"/>
    <mergeCell ref="D134:F134"/>
    <mergeCell ref="D135:F135"/>
    <mergeCell ref="A209:E209"/>
    <mergeCell ref="A210:E210"/>
    <mergeCell ref="A211:E211"/>
    <mergeCell ref="A165:J168"/>
    <mergeCell ref="A172:J173"/>
    <mergeCell ref="A202:E202"/>
    <mergeCell ref="F207:G207"/>
    <mergeCell ref="I207:J207"/>
    <mergeCell ref="A212:E212"/>
    <mergeCell ref="F212:G212"/>
    <mergeCell ref="I212:J212"/>
    <mergeCell ref="I208:J208"/>
    <mergeCell ref="F209:G209"/>
    <mergeCell ref="I209:J209"/>
    <mergeCell ref="I211:J211"/>
    <mergeCell ref="A188:J190"/>
    <mergeCell ref="A207:E207"/>
    <mergeCell ref="A208:E208"/>
    <mergeCell ref="A174:J175"/>
    <mergeCell ref="I214:J214"/>
    <mergeCell ref="F208:G208"/>
    <mergeCell ref="H145:I145"/>
    <mergeCell ref="H146:I146"/>
    <mergeCell ref="H147:I147"/>
    <mergeCell ref="A182:J183"/>
    <mergeCell ref="D144:F144"/>
    <mergeCell ref="D145:F145"/>
    <mergeCell ref="D146:F146"/>
    <mergeCell ref="D147:F147"/>
    <mergeCell ref="D148:F148"/>
    <mergeCell ref="D149:F149"/>
    <mergeCell ref="A144:C144"/>
    <mergeCell ref="A145:C145"/>
    <mergeCell ref="A146:C146"/>
    <mergeCell ref="A147:C147"/>
    <mergeCell ref="A148:C148"/>
    <mergeCell ref="A149:C149"/>
    <mergeCell ref="A150:C150"/>
    <mergeCell ref="A151:C151"/>
    <mergeCell ref="A152:C152"/>
    <mergeCell ref="A153:C153"/>
    <mergeCell ref="D151:F151"/>
    <mergeCell ref="D152:F152"/>
    <mergeCell ref="D141:F141"/>
    <mergeCell ref="F214:G214"/>
    <mergeCell ref="A52:D52"/>
    <mergeCell ref="A53:D53"/>
    <mergeCell ref="A54:D54"/>
    <mergeCell ref="A56:D56"/>
    <mergeCell ref="A57:D57"/>
    <mergeCell ref="A58:D58"/>
    <mergeCell ref="A134:C134"/>
    <mergeCell ref="A135:C135"/>
    <mergeCell ref="A136:C136"/>
    <mergeCell ref="A137:C137"/>
    <mergeCell ref="A138:C138"/>
    <mergeCell ref="A139:C139"/>
    <mergeCell ref="A140:C140"/>
    <mergeCell ref="A141:C141"/>
    <mergeCell ref="A142:C142"/>
    <mergeCell ref="A143:C143"/>
    <mergeCell ref="A99:B99"/>
    <mergeCell ref="A94:B94"/>
    <mergeCell ref="A113:B113"/>
    <mergeCell ref="A116:B116"/>
    <mergeCell ref="A117:B117"/>
    <mergeCell ref="A118:B118"/>
  </mergeCells>
  <conditionalFormatting sqref="J144:J146 J148">
    <cfRule type="cellIs" dxfId="881" priority="233" operator="equal">
      <formula>"não"</formula>
    </cfRule>
  </conditionalFormatting>
  <conditionalFormatting sqref="B76:B77 C77:H77">
    <cfRule type="notContainsBlanks" dxfId="880" priority="223">
      <formula>LEN(TRIM(B76))&gt;0</formula>
    </cfRule>
  </conditionalFormatting>
  <conditionalFormatting sqref="B75">
    <cfRule type="notContainsBlanks" dxfId="879" priority="222">
      <formula>LEN(TRIM(B75))&gt;0</formula>
    </cfRule>
  </conditionalFormatting>
  <conditionalFormatting sqref="B78:I78">
    <cfRule type="cellIs" dxfId="878" priority="220" operator="equal">
      <formula>"não"</formula>
    </cfRule>
    <cfRule type="notContainsBlanks" dxfId="877" priority="221">
      <formula>LEN(TRIM(B78))&gt;0</formula>
    </cfRule>
  </conditionalFormatting>
  <conditionalFormatting sqref="C75:I76 I77">
    <cfRule type="notContainsBlanks" dxfId="876" priority="224">
      <formula>LEN(TRIM(C75))&gt;0</formula>
    </cfRule>
  </conditionalFormatting>
  <conditionalFormatting sqref="H81:I83">
    <cfRule type="notContainsBlanks" dxfId="875" priority="219">
      <formula>LEN(TRIM(H81))&gt;0</formula>
    </cfRule>
  </conditionalFormatting>
  <conditionalFormatting sqref="C92:I94">
    <cfRule type="cellIs" dxfId="874" priority="198" operator="equal">
      <formula>"não"</formula>
    </cfRule>
    <cfRule type="notContainsBlanks" dxfId="873" priority="199">
      <formula>LEN(TRIM(C92))&gt;0</formula>
    </cfRule>
  </conditionalFormatting>
  <conditionalFormatting sqref="C97:I99">
    <cfRule type="cellIs" dxfId="872" priority="196" operator="equal">
      <formula>"não"</formula>
    </cfRule>
    <cfRule type="notContainsBlanks" dxfId="871" priority="197">
      <formula>LEN(TRIM(C97))&gt;0</formula>
    </cfRule>
  </conditionalFormatting>
  <conditionalFormatting sqref="J144:J146 J148">
    <cfRule type="containsText" dxfId="870" priority="179" operator="containsText" text="não">
      <formula>NOT(ISERROR(SEARCH("não",J144)))</formula>
    </cfRule>
  </conditionalFormatting>
  <conditionalFormatting sqref="B82:B83 C83:F83">
    <cfRule type="notContainsBlanks" dxfId="869" priority="135">
      <formula>LEN(TRIM(B82))&gt;0</formula>
    </cfRule>
  </conditionalFormatting>
  <conditionalFormatting sqref="B81">
    <cfRule type="notContainsBlanks" dxfId="868" priority="134">
      <formula>LEN(TRIM(B81))&gt;0</formula>
    </cfRule>
  </conditionalFormatting>
  <conditionalFormatting sqref="C81:G82 G83">
    <cfRule type="notContainsBlanks" dxfId="867" priority="136">
      <formula>LEN(TRIM(C81))&gt;0</formula>
    </cfRule>
  </conditionalFormatting>
  <conditionalFormatting sqref="G65">
    <cfRule type="cellIs" dxfId="866" priority="110" operator="equal">
      <formula>"não"</formula>
    </cfRule>
  </conditionalFormatting>
  <conditionalFormatting sqref="G65">
    <cfRule type="containsText" dxfId="865" priority="109" operator="containsText" text="não">
      <formula>NOT(ISERROR(SEARCH("não",G65)))</formula>
    </cfRule>
  </conditionalFormatting>
  <conditionalFormatting sqref="G66">
    <cfRule type="cellIs" dxfId="864" priority="108" operator="equal">
      <formula>"não"</formula>
    </cfRule>
  </conditionalFormatting>
  <conditionalFormatting sqref="J134:J135">
    <cfRule type="cellIs" dxfId="863" priority="104" operator="equal">
      <formula>"não"</formula>
    </cfRule>
  </conditionalFormatting>
  <conditionalFormatting sqref="J134:J135">
    <cfRule type="containsText" dxfId="862" priority="103" operator="containsText" text="não">
      <formula>NOT(ISERROR(SEARCH("não",J134)))</formula>
    </cfRule>
  </conditionalFormatting>
  <conditionalFormatting sqref="J136">
    <cfRule type="cellIs" dxfId="861" priority="97" operator="equal">
      <formula>"não"</formula>
    </cfRule>
  </conditionalFormatting>
  <conditionalFormatting sqref="J136">
    <cfRule type="containsText" dxfId="860" priority="96" operator="containsText" text="não">
      <formula>NOT(ISERROR(SEARCH("não",J136)))</formula>
    </cfRule>
  </conditionalFormatting>
  <conditionalFormatting sqref="J137">
    <cfRule type="cellIs" dxfId="859" priority="95" operator="equal">
      <formula>"não"</formula>
    </cfRule>
  </conditionalFormatting>
  <conditionalFormatting sqref="J137">
    <cfRule type="containsText" dxfId="858" priority="94" operator="containsText" text="não">
      <formula>NOT(ISERROR(SEARCH("não",J137)))</formula>
    </cfRule>
  </conditionalFormatting>
  <conditionalFormatting sqref="J138:J139">
    <cfRule type="containsText" dxfId="857" priority="90" operator="containsText" text="não">
      <formula>NOT(ISERROR(SEARCH("não",J138)))</formula>
    </cfRule>
  </conditionalFormatting>
  <conditionalFormatting sqref="J138:J139">
    <cfRule type="cellIs" dxfId="856" priority="91" operator="equal">
      <formula>"não"</formula>
    </cfRule>
  </conditionalFormatting>
  <conditionalFormatting sqref="J140:J141">
    <cfRule type="containsText" dxfId="855" priority="88" operator="containsText" text="não">
      <formula>NOT(ISERROR(SEARCH("não",J140)))</formula>
    </cfRule>
  </conditionalFormatting>
  <conditionalFormatting sqref="J140:J141">
    <cfRule type="cellIs" dxfId="854" priority="89" operator="equal">
      <formula>"não"</formula>
    </cfRule>
  </conditionalFormatting>
  <conditionalFormatting sqref="J143">
    <cfRule type="containsText" dxfId="853" priority="74" operator="containsText" text="não">
      <formula>NOT(ISERROR(SEARCH("não",J143)))</formula>
    </cfRule>
  </conditionalFormatting>
  <conditionalFormatting sqref="J143">
    <cfRule type="cellIs" dxfId="852" priority="75" operator="equal">
      <formula>"não"</formula>
    </cfRule>
  </conditionalFormatting>
  <conditionalFormatting sqref="C108:I108">
    <cfRule type="cellIs" dxfId="851" priority="70" operator="equal">
      <formula>"não"</formula>
    </cfRule>
  </conditionalFormatting>
  <conditionalFormatting sqref="G67">
    <cfRule type="cellIs" dxfId="850" priority="67" operator="equal">
      <formula>"não"</formula>
    </cfRule>
  </conditionalFormatting>
  <conditionalFormatting sqref="J153">
    <cfRule type="cellIs" dxfId="849" priority="64" operator="equal">
      <formula>"não"</formula>
    </cfRule>
  </conditionalFormatting>
  <conditionalFormatting sqref="J153">
    <cfRule type="containsText" dxfId="848" priority="63" operator="containsText" text="não">
      <formula>NOT(ISERROR(SEARCH("não",J153)))</formula>
    </cfRule>
  </conditionalFormatting>
  <conditionalFormatting sqref="G65:I67 J153 C108:I108 B78:I78 J143:J146 J148 J134:J141">
    <cfRule type="cellIs" dxfId="847" priority="62" operator="equal">
      <formula>"Restrição"</formula>
    </cfRule>
  </conditionalFormatting>
  <conditionalFormatting sqref="C92:I92 C97:I97">
    <cfRule type="cellIs" dxfId="846" priority="59" operator="equal">
      <formula>0</formula>
    </cfRule>
  </conditionalFormatting>
  <conditionalFormatting sqref="C111:D111">
    <cfRule type="notContainsBlanks" dxfId="845" priority="58">
      <formula>LEN(TRIM(C111))&gt;0</formula>
    </cfRule>
  </conditionalFormatting>
  <conditionalFormatting sqref="C116">
    <cfRule type="notContainsBlanks" dxfId="844" priority="52">
      <formula>LEN(TRIM(C116))&gt;0</formula>
    </cfRule>
  </conditionalFormatting>
  <conditionalFormatting sqref="C106:J108">
    <cfRule type="cellIs" dxfId="843" priority="46" operator="notEqual">
      <formula>0</formula>
    </cfRule>
  </conditionalFormatting>
  <conditionalFormatting sqref="C128:I128">
    <cfRule type="cellIs" dxfId="842" priority="36" operator="equal">
      <formula>"Restrição"</formula>
    </cfRule>
    <cfRule type="cellIs" dxfId="841" priority="37" operator="equal">
      <formula>"Não"</formula>
    </cfRule>
  </conditionalFormatting>
  <conditionalFormatting sqref="J149">
    <cfRule type="cellIs" dxfId="840" priority="35" operator="equal">
      <formula>"não"</formula>
    </cfRule>
  </conditionalFormatting>
  <conditionalFormatting sqref="J149">
    <cfRule type="containsText" dxfId="839" priority="34" operator="containsText" text="não">
      <formula>NOT(ISERROR(SEARCH("não",J149)))</formula>
    </cfRule>
  </conditionalFormatting>
  <conditionalFormatting sqref="J149">
    <cfRule type="cellIs" dxfId="838" priority="33" operator="equal">
      <formula>"Restrição"</formula>
    </cfRule>
  </conditionalFormatting>
  <conditionalFormatting sqref="J150">
    <cfRule type="cellIs" dxfId="837" priority="32" operator="equal">
      <formula>"não"</formula>
    </cfRule>
  </conditionalFormatting>
  <conditionalFormatting sqref="J150">
    <cfRule type="containsText" dxfId="836" priority="31" operator="containsText" text="não">
      <formula>NOT(ISERROR(SEARCH("não",J150)))</formula>
    </cfRule>
  </conditionalFormatting>
  <conditionalFormatting sqref="J150">
    <cfRule type="cellIs" dxfId="835" priority="30" operator="equal">
      <formula>"Restrição"</formula>
    </cfRule>
  </conditionalFormatting>
  <conditionalFormatting sqref="C125:I128">
    <cfRule type="notContainsBlanks" dxfId="834" priority="27">
      <formula>LEN(TRIM(C125))&gt;0</formula>
    </cfRule>
  </conditionalFormatting>
  <conditionalFormatting sqref="C113:D113">
    <cfRule type="cellIs" dxfId="833" priority="26" operator="equal">
      <formula>"não"</formula>
    </cfRule>
  </conditionalFormatting>
  <conditionalFormatting sqref="C113:D113">
    <cfRule type="cellIs" dxfId="832" priority="25" operator="equal">
      <formula>"Restrição"</formula>
    </cfRule>
  </conditionalFormatting>
  <conditionalFormatting sqref="C113:D113">
    <cfRule type="cellIs" dxfId="831" priority="24" operator="notEqual">
      <formula>0</formula>
    </cfRule>
  </conditionalFormatting>
  <conditionalFormatting sqref="C118">
    <cfRule type="cellIs" dxfId="830" priority="23" operator="equal">
      <formula>"não"</formula>
    </cfRule>
  </conditionalFormatting>
  <conditionalFormatting sqref="C118">
    <cfRule type="cellIs" dxfId="829" priority="22" operator="equal">
      <formula>"Restrição"</formula>
    </cfRule>
  </conditionalFormatting>
  <conditionalFormatting sqref="C118">
    <cfRule type="cellIs" dxfId="828" priority="21" operator="notEqual">
      <formula>0</formula>
    </cfRule>
  </conditionalFormatting>
  <conditionalFormatting sqref="B84:I84">
    <cfRule type="cellIs" dxfId="827" priority="16" operator="equal">
      <formula>"não"</formula>
    </cfRule>
    <cfRule type="notContainsBlanks" dxfId="826" priority="17">
      <formula>LEN(TRIM(B84))&gt;0</formula>
    </cfRule>
  </conditionalFormatting>
  <conditionalFormatting sqref="B84:I84">
    <cfRule type="cellIs" dxfId="825" priority="15" operator="equal">
      <formula>"Restrição"</formula>
    </cfRule>
  </conditionalFormatting>
  <conditionalFormatting sqref="J142">
    <cfRule type="cellIs" dxfId="824" priority="14" operator="equal">
      <formula>"não"</formula>
    </cfRule>
  </conditionalFormatting>
  <conditionalFormatting sqref="J142">
    <cfRule type="containsText" dxfId="823" priority="13" operator="containsText" text="não">
      <formula>NOT(ISERROR(SEARCH("não",J142)))</formula>
    </cfRule>
  </conditionalFormatting>
  <conditionalFormatting sqref="J142">
    <cfRule type="cellIs" dxfId="822" priority="12" operator="equal">
      <formula>"Restrição"</formula>
    </cfRule>
  </conditionalFormatting>
  <conditionalFormatting sqref="J151">
    <cfRule type="cellIs" dxfId="821" priority="11" operator="equal">
      <formula>"não"</formula>
    </cfRule>
  </conditionalFormatting>
  <conditionalFormatting sqref="J151">
    <cfRule type="containsText" dxfId="820" priority="10" operator="containsText" text="não">
      <formula>NOT(ISERROR(SEARCH("não",J151)))</formula>
    </cfRule>
  </conditionalFormatting>
  <conditionalFormatting sqref="J151">
    <cfRule type="cellIs" dxfId="819" priority="9" operator="equal">
      <formula>"Restrição"</formula>
    </cfRule>
  </conditionalFormatting>
  <conditionalFormatting sqref="J147">
    <cfRule type="cellIs" dxfId="818" priority="8" operator="equal">
      <formula>"não"</formula>
    </cfRule>
  </conditionalFormatting>
  <conditionalFormatting sqref="J147">
    <cfRule type="containsText" dxfId="817" priority="7" operator="containsText" text="não">
      <formula>NOT(ISERROR(SEARCH("não",J147)))</formula>
    </cfRule>
  </conditionalFormatting>
  <conditionalFormatting sqref="J147">
    <cfRule type="cellIs" dxfId="816" priority="6" operator="equal">
      <formula>"Restrição"</formula>
    </cfRule>
  </conditionalFormatting>
  <conditionalFormatting sqref="J152">
    <cfRule type="cellIs" dxfId="815" priority="5" operator="equal">
      <formula>"não"</formula>
    </cfRule>
  </conditionalFormatting>
  <conditionalFormatting sqref="J152">
    <cfRule type="containsText" dxfId="814" priority="4" operator="containsText" text="não">
      <formula>NOT(ISERROR(SEARCH("não",J152)))</formula>
    </cfRule>
  </conditionalFormatting>
  <conditionalFormatting sqref="J152">
    <cfRule type="cellIs" dxfId="813" priority="3" operator="equal">
      <formula>"Restrição"</formula>
    </cfRule>
  </conditionalFormatting>
  <conditionalFormatting sqref="I202:J224">
    <cfRule type="cellIs" dxfId="812" priority="1" operator="equal">
      <formula>"RESTRIÇÃO"</formula>
    </cfRule>
    <cfRule type="cellIs" dxfId="811" priority="2" operator="equal">
      <formula>"Não Conforme"</formula>
    </cfRule>
  </conditionalFormatting>
  <pageMargins left="0.78740157480314965" right="0.19685039370078741" top="1.4566929133858268" bottom="1.1811023622047245" header="0.31496062992125984" footer="0.51181102362204722"/>
  <pageSetup paperSize="9" scale="97" orientation="portrait" r:id="rId1"/>
  <headerFooter>
    <oddFooter>&amp;L&amp;F&amp;R&amp;P de &amp;N</oddFooter>
  </headerFooter>
  <rowBreaks count="1" manualBreakCount="1">
    <brk id="57" max="9"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EU70"/>
  <sheetViews>
    <sheetView zoomScale="70" zoomScaleNormal="70" workbookViewId="0">
      <pane xSplit="1" topLeftCell="B1" activePane="topRight" state="frozen"/>
      <selection activeCell="C12" sqref="C12:J13"/>
      <selection pane="topRight" activeCell="C12" sqref="C12:J13"/>
    </sheetView>
  </sheetViews>
  <sheetFormatPr defaultColWidth="9.140625" defaultRowHeight="15" x14ac:dyDescent="0.25"/>
  <cols>
    <col min="1" max="1" width="33.42578125" style="1876" bestFit="1" customWidth="1"/>
    <col min="2" max="2" width="22.5703125" style="1882" customWidth="1"/>
    <col min="3" max="53" width="22.5703125" style="1878" customWidth="1"/>
    <col min="54" max="16384" width="9.140625" style="1879"/>
  </cols>
  <sheetData>
    <row r="1" spans="1:16375" ht="20.25" thickBot="1" x14ac:dyDescent="0.3">
      <c r="B1" s="1877" t="str">
        <f>tomografia!B1</f>
        <v>IN 93</v>
      </c>
      <c r="C1" s="1897" t="s">
        <v>1961</v>
      </c>
    </row>
    <row r="2" spans="1:16375" ht="16.5" thickBot="1" x14ac:dyDescent="0.3">
      <c r="A2" s="1900">
        <v>1</v>
      </c>
      <c r="B2" s="1898" t="s">
        <v>1958</v>
      </c>
      <c r="C2" s="1897"/>
    </row>
    <row r="3" spans="1:16375" ht="15" customHeight="1" x14ac:dyDescent="0.25">
      <c r="A3" s="1879"/>
    </row>
    <row r="4" spans="1:16375" ht="15" customHeight="1" x14ac:dyDescent="0.25">
      <c r="A4" s="1879"/>
      <c r="B4" s="1881">
        <v>1</v>
      </c>
      <c r="C4" s="1881">
        <f>B4+1</f>
        <v>2</v>
      </c>
      <c r="D4" s="1881">
        <f t="shared" ref="D4:BA4" si="0">C4+1</f>
        <v>3</v>
      </c>
      <c r="E4" s="1881">
        <f t="shared" si="0"/>
        <v>4</v>
      </c>
      <c r="F4" s="1881">
        <f t="shared" si="0"/>
        <v>5</v>
      </c>
      <c r="G4" s="1881">
        <f t="shared" si="0"/>
        <v>6</v>
      </c>
      <c r="H4" s="1881">
        <f t="shared" si="0"/>
        <v>7</v>
      </c>
      <c r="I4" s="1881">
        <f t="shared" si="0"/>
        <v>8</v>
      </c>
      <c r="J4" s="1881">
        <f t="shared" si="0"/>
        <v>9</v>
      </c>
      <c r="K4" s="1881">
        <f t="shared" si="0"/>
        <v>10</v>
      </c>
      <c r="L4" s="1881">
        <f t="shared" si="0"/>
        <v>11</v>
      </c>
      <c r="M4" s="1881">
        <f t="shared" si="0"/>
        <v>12</v>
      </c>
      <c r="N4" s="1881">
        <f t="shared" si="0"/>
        <v>13</v>
      </c>
      <c r="O4" s="1881">
        <f t="shared" si="0"/>
        <v>14</v>
      </c>
      <c r="P4" s="1881">
        <f t="shared" si="0"/>
        <v>15</v>
      </c>
      <c r="Q4" s="1881">
        <f t="shared" si="0"/>
        <v>16</v>
      </c>
      <c r="R4" s="1881">
        <f t="shared" si="0"/>
        <v>17</v>
      </c>
      <c r="S4" s="1881">
        <f t="shared" si="0"/>
        <v>18</v>
      </c>
      <c r="T4" s="1881">
        <f t="shared" si="0"/>
        <v>19</v>
      </c>
      <c r="U4" s="1881">
        <f t="shared" si="0"/>
        <v>20</v>
      </c>
      <c r="V4" s="1881">
        <f t="shared" si="0"/>
        <v>21</v>
      </c>
      <c r="W4" s="1881">
        <f t="shared" si="0"/>
        <v>22</v>
      </c>
      <c r="X4" s="1881">
        <f t="shared" si="0"/>
        <v>23</v>
      </c>
      <c r="Y4" s="1881">
        <f t="shared" si="0"/>
        <v>24</v>
      </c>
      <c r="Z4" s="1881">
        <f t="shared" si="0"/>
        <v>25</v>
      </c>
      <c r="AA4" s="1881">
        <f t="shared" si="0"/>
        <v>26</v>
      </c>
      <c r="AB4" s="1881">
        <f t="shared" si="0"/>
        <v>27</v>
      </c>
      <c r="AC4" s="1881">
        <f t="shared" si="0"/>
        <v>28</v>
      </c>
      <c r="AD4" s="1881">
        <f t="shared" si="0"/>
        <v>29</v>
      </c>
      <c r="AE4" s="1881">
        <f t="shared" si="0"/>
        <v>30</v>
      </c>
      <c r="AF4" s="1881">
        <f t="shared" si="0"/>
        <v>31</v>
      </c>
      <c r="AG4" s="1881">
        <f t="shared" si="0"/>
        <v>32</v>
      </c>
      <c r="AH4" s="1881">
        <f t="shared" si="0"/>
        <v>33</v>
      </c>
      <c r="AI4" s="1881">
        <f t="shared" si="0"/>
        <v>34</v>
      </c>
      <c r="AJ4" s="1881">
        <f t="shared" si="0"/>
        <v>35</v>
      </c>
      <c r="AK4" s="1881">
        <f t="shared" si="0"/>
        <v>36</v>
      </c>
      <c r="AL4" s="1881">
        <f t="shared" si="0"/>
        <v>37</v>
      </c>
      <c r="AM4" s="1881">
        <f t="shared" si="0"/>
        <v>38</v>
      </c>
      <c r="AN4" s="1881">
        <f t="shared" si="0"/>
        <v>39</v>
      </c>
      <c r="AO4" s="1881">
        <f t="shared" si="0"/>
        <v>40</v>
      </c>
      <c r="AP4" s="1881">
        <f t="shared" si="0"/>
        <v>41</v>
      </c>
      <c r="AQ4" s="1881">
        <f t="shared" si="0"/>
        <v>42</v>
      </c>
      <c r="AR4" s="1881">
        <f t="shared" si="0"/>
        <v>43</v>
      </c>
      <c r="AS4" s="1881">
        <f t="shared" si="0"/>
        <v>44</v>
      </c>
      <c r="AT4" s="1881">
        <f t="shared" si="0"/>
        <v>45</v>
      </c>
      <c r="AU4" s="1881">
        <f t="shared" si="0"/>
        <v>46</v>
      </c>
      <c r="AV4" s="1881">
        <f t="shared" si="0"/>
        <v>47</v>
      </c>
      <c r="AW4" s="1881">
        <f t="shared" si="0"/>
        <v>48</v>
      </c>
      <c r="AX4" s="1881">
        <f t="shared" si="0"/>
        <v>49</v>
      </c>
      <c r="AY4" s="1881">
        <f t="shared" si="0"/>
        <v>50</v>
      </c>
      <c r="AZ4" s="1881">
        <f t="shared" si="0"/>
        <v>51</v>
      </c>
      <c r="BA4" s="1881">
        <f t="shared" si="0"/>
        <v>52</v>
      </c>
    </row>
    <row r="5" spans="1:16375" x14ac:dyDescent="0.25">
      <c r="A5" s="1876" t="s">
        <v>718</v>
      </c>
      <c r="B5" s="1886"/>
      <c r="C5" s="1886"/>
      <c r="D5" s="1886"/>
      <c r="E5" s="1886"/>
      <c r="F5" s="1886"/>
      <c r="G5" s="1886"/>
      <c r="H5" s="1886"/>
      <c r="I5" s="1886"/>
      <c r="J5" s="1886"/>
      <c r="K5" s="1886"/>
      <c r="L5" s="1886"/>
      <c r="M5" s="1886"/>
      <c r="N5" s="1886"/>
      <c r="O5" s="1886"/>
      <c r="P5" s="1886"/>
      <c r="Q5" s="1886"/>
      <c r="R5" s="1886"/>
      <c r="S5" s="1886"/>
      <c r="T5" s="1886"/>
      <c r="U5" s="1886"/>
      <c r="V5" s="1886"/>
      <c r="W5" s="1886"/>
      <c r="X5" s="1886"/>
      <c r="Y5" s="1886"/>
      <c r="Z5" s="1886"/>
      <c r="AA5" s="1886"/>
      <c r="AB5" s="1886"/>
      <c r="AC5" s="1886"/>
      <c r="AD5" s="1886"/>
      <c r="AE5" s="1886"/>
      <c r="AF5" s="1886"/>
      <c r="AG5" s="1886"/>
      <c r="AH5" s="1886"/>
      <c r="AI5" s="1886"/>
      <c r="AJ5" s="1886"/>
      <c r="AK5" s="1886"/>
      <c r="AL5" s="1886"/>
      <c r="AM5" s="1886"/>
      <c r="AN5" s="1886"/>
      <c r="AO5" s="1886"/>
      <c r="AP5" s="1886"/>
      <c r="AQ5" s="1886"/>
      <c r="AR5" s="1886"/>
      <c r="AS5" s="1886"/>
      <c r="AT5" s="1886"/>
      <c r="AU5" s="1886"/>
      <c r="AV5" s="1886"/>
      <c r="AW5" s="1886"/>
      <c r="AX5" s="1886"/>
      <c r="AY5" s="1886"/>
      <c r="AZ5" s="1886"/>
      <c r="BA5" s="1886"/>
    </row>
    <row r="6" spans="1:16375" x14ac:dyDescent="0.25">
      <c r="A6" s="1876" t="s">
        <v>298</v>
      </c>
      <c r="B6" s="1886" t="s">
        <v>1973</v>
      </c>
      <c r="C6" s="1886" t="s">
        <v>1973</v>
      </c>
      <c r="D6" s="1886" t="s">
        <v>1973</v>
      </c>
      <c r="E6" s="1886" t="s">
        <v>1973</v>
      </c>
      <c r="F6" s="1886" t="s">
        <v>1973</v>
      </c>
      <c r="G6" s="1886" t="s">
        <v>1973</v>
      </c>
      <c r="H6" s="1886" t="s">
        <v>1973</v>
      </c>
      <c r="I6" s="1886" t="s">
        <v>1973</v>
      </c>
      <c r="J6" s="1886" t="s">
        <v>1973</v>
      </c>
      <c r="K6" s="1886" t="s">
        <v>1973</v>
      </c>
      <c r="L6" s="1886" t="s">
        <v>1973</v>
      </c>
      <c r="M6" s="1886" t="s">
        <v>1973</v>
      </c>
      <c r="N6" s="1886" t="s">
        <v>1973</v>
      </c>
      <c r="O6" s="1886" t="s">
        <v>1973</v>
      </c>
      <c r="P6" s="1886" t="s">
        <v>1973</v>
      </c>
      <c r="Q6" s="1886" t="s">
        <v>1973</v>
      </c>
      <c r="R6" s="1886" t="s">
        <v>1973</v>
      </c>
      <c r="S6" s="1886" t="s">
        <v>1973</v>
      </c>
      <c r="T6" s="1886" t="s">
        <v>1973</v>
      </c>
      <c r="U6" s="1886" t="s">
        <v>1973</v>
      </c>
      <c r="V6" s="1886" t="s">
        <v>1973</v>
      </c>
      <c r="W6" s="1886" t="s">
        <v>1973</v>
      </c>
      <c r="X6" s="1886" t="s">
        <v>1973</v>
      </c>
      <c r="Y6" s="1886" t="s">
        <v>1973</v>
      </c>
      <c r="Z6" s="1886" t="s">
        <v>1973</v>
      </c>
      <c r="AA6" s="1886" t="s">
        <v>1973</v>
      </c>
      <c r="AB6" s="1886" t="s">
        <v>1973</v>
      </c>
      <c r="AC6" s="1886" t="s">
        <v>1973</v>
      </c>
      <c r="AD6" s="1886" t="s">
        <v>1973</v>
      </c>
      <c r="AE6" s="1886" t="s">
        <v>1973</v>
      </c>
      <c r="AF6" s="1886" t="s">
        <v>1973</v>
      </c>
      <c r="AG6" s="1886" t="s">
        <v>1973</v>
      </c>
      <c r="AH6" s="1886" t="s">
        <v>1973</v>
      </c>
      <c r="AI6" s="1886" t="s">
        <v>1973</v>
      </c>
      <c r="AJ6" s="1886" t="s">
        <v>1973</v>
      </c>
      <c r="AK6" s="1886" t="s">
        <v>1973</v>
      </c>
      <c r="AL6" s="1886" t="s">
        <v>1973</v>
      </c>
      <c r="AM6" s="1886" t="s">
        <v>1973</v>
      </c>
      <c r="AN6" s="1886" t="s">
        <v>1973</v>
      </c>
      <c r="AO6" s="1886" t="s">
        <v>1973</v>
      </c>
      <c r="AP6" s="1886" t="s">
        <v>1973</v>
      </c>
      <c r="AQ6" s="1886" t="s">
        <v>1973</v>
      </c>
      <c r="AR6" s="1886" t="s">
        <v>1973</v>
      </c>
      <c r="AS6" s="1886" t="s">
        <v>1973</v>
      </c>
      <c r="AT6" s="1886" t="s">
        <v>1973</v>
      </c>
      <c r="AU6" s="1886" t="s">
        <v>1973</v>
      </c>
      <c r="AV6" s="1886" t="s">
        <v>1973</v>
      </c>
      <c r="AW6" s="1886" t="s">
        <v>1973</v>
      </c>
      <c r="AX6" s="1886" t="s">
        <v>1973</v>
      </c>
      <c r="AY6" s="1886" t="s">
        <v>1973</v>
      </c>
      <c r="AZ6" s="1886" t="s">
        <v>1973</v>
      </c>
      <c r="BA6" s="1886" t="s">
        <v>1973</v>
      </c>
    </row>
    <row r="7" spans="1:16375" x14ac:dyDescent="0.25">
      <c r="B7" s="1876"/>
      <c r="C7" s="1876"/>
      <c r="D7" s="1876"/>
      <c r="E7" s="1876"/>
      <c r="F7" s="1876"/>
      <c r="G7" s="1876"/>
      <c r="H7" s="1876"/>
      <c r="I7" s="1876"/>
      <c r="J7" s="1876"/>
      <c r="K7" s="1876"/>
      <c r="L7" s="1876"/>
      <c r="M7" s="1876"/>
      <c r="N7" s="1876"/>
      <c r="O7" s="1876"/>
      <c r="P7" s="1876"/>
      <c r="Q7" s="1876"/>
      <c r="R7" s="1876"/>
      <c r="S7" s="1876"/>
      <c r="T7" s="1876"/>
      <c r="U7" s="1876"/>
      <c r="V7" s="1876"/>
      <c r="W7" s="1876"/>
      <c r="X7" s="1876"/>
      <c r="Y7" s="1876"/>
      <c r="Z7" s="1876"/>
      <c r="AA7" s="1876"/>
      <c r="AB7" s="1876"/>
      <c r="AC7" s="1876"/>
      <c r="AD7" s="1876"/>
      <c r="AE7" s="1876"/>
      <c r="AF7" s="1876"/>
      <c r="AG7" s="1876"/>
      <c r="AH7" s="1876"/>
      <c r="AI7" s="1876"/>
      <c r="AJ7" s="1876"/>
      <c r="AK7" s="1876"/>
      <c r="AL7" s="1876"/>
      <c r="AM7" s="1876"/>
      <c r="AN7" s="1876"/>
      <c r="AO7" s="1876"/>
      <c r="AP7" s="1876"/>
      <c r="AQ7" s="1876"/>
      <c r="AR7" s="1876"/>
      <c r="AS7" s="1876"/>
      <c r="AT7" s="1876"/>
      <c r="AU7" s="1876"/>
      <c r="AV7" s="1876"/>
      <c r="AW7" s="1876"/>
      <c r="AX7" s="1876"/>
      <c r="AY7" s="1876"/>
      <c r="AZ7" s="1876"/>
      <c r="BA7" s="1876"/>
      <c r="BB7" s="1876"/>
      <c r="BC7" s="1876"/>
      <c r="BD7" s="1876"/>
      <c r="BE7" s="1876"/>
      <c r="BF7" s="1876"/>
      <c r="BG7" s="1876"/>
      <c r="BH7" s="1876"/>
      <c r="BI7" s="1876"/>
      <c r="BJ7" s="1876"/>
      <c r="BK7" s="1876"/>
      <c r="BL7" s="1876"/>
      <c r="BM7" s="1876"/>
      <c r="BN7" s="1876"/>
      <c r="BO7" s="1876"/>
      <c r="BP7" s="1876"/>
      <c r="BQ7" s="1876"/>
      <c r="BR7" s="1876"/>
      <c r="BS7" s="1876"/>
      <c r="BT7" s="1876"/>
      <c r="BU7" s="1876"/>
      <c r="BV7" s="1876"/>
      <c r="BW7" s="1876"/>
      <c r="BX7" s="1876"/>
      <c r="BY7" s="1876"/>
      <c r="BZ7" s="1876"/>
      <c r="CA7" s="1876"/>
      <c r="CB7" s="1876"/>
      <c r="CC7" s="1876"/>
      <c r="CD7" s="1876"/>
      <c r="CE7" s="1876"/>
      <c r="CF7" s="1876"/>
      <c r="CG7" s="1876"/>
      <c r="CH7" s="1876"/>
      <c r="CI7" s="1876"/>
      <c r="CJ7" s="1876"/>
      <c r="CK7" s="1876"/>
      <c r="CL7" s="1876"/>
      <c r="CM7" s="1876"/>
      <c r="CN7" s="1876"/>
      <c r="CO7" s="1876"/>
      <c r="CP7" s="1876"/>
      <c r="CQ7" s="1876"/>
      <c r="CR7" s="1876"/>
      <c r="CS7" s="1876"/>
      <c r="CT7" s="1876"/>
      <c r="CU7" s="1876"/>
      <c r="CV7" s="1876"/>
      <c r="CW7" s="1876"/>
      <c r="CX7" s="1876"/>
      <c r="CY7" s="1876"/>
      <c r="CZ7" s="1876"/>
      <c r="DA7" s="1876"/>
      <c r="DB7" s="1876"/>
      <c r="DC7" s="1876"/>
      <c r="DD7" s="1876"/>
      <c r="DE7" s="1876"/>
      <c r="DF7" s="1876"/>
      <c r="DG7" s="1876"/>
      <c r="DH7" s="1876"/>
      <c r="DI7" s="1876"/>
      <c r="DJ7" s="1876"/>
      <c r="DK7" s="1876"/>
      <c r="DL7" s="1876"/>
      <c r="DM7" s="1876"/>
      <c r="DN7" s="1876"/>
      <c r="DO7" s="1876"/>
      <c r="DP7" s="1876"/>
      <c r="DQ7" s="1876"/>
      <c r="DR7" s="1876"/>
      <c r="DS7" s="1876"/>
      <c r="DT7" s="1876"/>
      <c r="DU7" s="1876"/>
      <c r="DV7" s="1876"/>
      <c r="DW7" s="1876"/>
      <c r="DX7" s="1876"/>
      <c r="DY7" s="1876"/>
      <c r="DZ7" s="1876"/>
      <c r="EA7" s="1876"/>
      <c r="EB7" s="1876"/>
      <c r="EC7" s="1876"/>
      <c r="ED7" s="1876"/>
      <c r="EE7" s="1876"/>
      <c r="EF7" s="1876"/>
      <c r="EG7" s="1876"/>
      <c r="EH7" s="1876"/>
      <c r="EI7" s="1876"/>
      <c r="EJ7" s="1876"/>
      <c r="EK7" s="1876"/>
      <c r="EL7" s="1876"/>
      <c r="EM7" s="1876"/>
      <c r="EN7" s="1876"/>
      <c r="EO7" s="1876"/>
      <c r="EP7" s="1876"/>
      <c r="EQ7" s="1876"/>
      <c r="ER7" s="1876"/>
      <c r="ES7" s="1876"/>
      <c r="ET7" s="1876"/>
      <c r="EU7" s="1876"/>
      <c r="EV7" s="1876"/>
      <c r="EW7" s="1876"/>
      <c r="EX7" s="1876"/>
      <c r="EY7" s="1876"/>
      <c r="EZ7" s="1876"/>
      <c r="FA7" s="1876"/>
      <c r="FB7" s="1876"/>
      <c r="FC7" s="1876"/>
      <c r="FD7" s="1876"/>
      <c r="FE7" s="1876"/>
      <c r="FF7" s="1876"/>
      <c r="FG7" s="1876"/>
      <c r="FH7" s="1876"/>
      <c r="FI7" s="1876"/>
      <c r="FJ7" s="1876"/>
      <c r="FK7" s="1876"/>
      <c r="FL7" s="1876"/>
      <c r="FM7" s="1876"/>
      <c r="FN7" s="1876"/>
      <c r="FO7" s="1876"/>
      <c r="FP7" s="1876"/>
      <c r="FQ7" s="1876"/>
      <c r="FR7" s="1876"/>
      <c r="FS7" s="1876"/>
      <c r="FT7" s="1876"/>
      <c r="FU7" s="1876"/>
      <c r="FV7" s="1876"/>
      <c r="FW7" s="1876"/>
      <c r="FX7" s="1876"/>
      <c r="FY7" s="1876"/>
      <c r="FZ7" s="1876"/>
      <c r="GA7" s="1876"/>
      <c r="GB7" s="1876"/>
      <c r="GC7" s="1876"/>
      <c r="GD7" s="1876"/>
      <c r="GE7" s="1876"/>
      <c r="GF7" s="1876"/>
      <c r="GG7" s="1876"/>
      <c r="GH7" s="1876"/>
      <c r="GI7" s="1876"/>
      <c r="GJ7" s="1876"/>
      <c r="GK7" s="1876"/>
      <c r="GL7" s="1876"/>
      <c r="GM7" s="1876"/>
      <c r="GN7" s="1876"/>
      <c r="GO7" s="1876"/>
      <c r="GP7" s="1876"/>
      <c r="GQ7" s="1876"/>
      <c r="GR7" s="1876"/>
      <c r="GS7" s="1876"/>
      <c r="GT7" s="1876"/>
      <c r="GU7" s="1876"/>
      <c r="GV7" s="1876"/>
      <c r="GW7" s="1876"/>
      <c r="GX7" s="1876"/>
      <c r="GY7" s="1876"/>
      <c r="GZ7" s="1876"/>
      <c r="HA7" s="1876"/>
      <c r="HB7" s="1876"/>
      <c r="HC7" s="1876"/>
      <c r="HD7" s="1876"/>
      <c r="HE7" s="1876"/>
      <c r="HF7" s="1876"/>
      <c r="HG7" s="1876"/>
      <c r="HH7" s="1876"/>
      <c r="HI7" s="1876"/>
      <c r="HJ7" s="1876"/>
      <c r="HK7" s="1876"/>
      <c r="HL7" s="1876"/>
      <c r="HM7" s="1876"/>
      <c r="HN7" s="1876"/>
      <c r="HO7" s="1876"/>
      <c r="HP7" s="1876"/>
      <c r="HQ7" s="1876"/>
      <c r="HR7" s="1876"/>
      <c r="HS7" s="1876"/>
      <c r="HT7" s="1876"/>
      <c r="HU7" s="1876"/>
      <c r="HV7" s="1876"/>
      <c r="HW7" s="1876"/>
      <c r="HX7" s="1876"/>
      <c r="HY7" s="1876"/>
      <c r="HZ7" s="1876"/>
      <c r="IA7" s="1876"/>
      <c r="IB7" s="1876"/>
      <c r="IC7" s="1876"/>
      <c r="ID7" s="1876"/>
      <c r="IE7" s="1876"/>
      <c r="IF7" s="1876"/>
      <c r="IG7" s="1876"/>
      <c r="IH7" s="1876"/>
      <c r="II7" s="1876"/>
      <c r="IJ7" s="1876"/>
      <c r="IK7" s="1876"/>
      <c r="IL7" s="1876"/>
      <c r="IM7" s="1876"/>
      <c r="IN7" s="1876"/>
      <c r="IO7" s="1876"/>
      <c r="IP7" s="1876"/>
      <c r="IQ7" s="1876"/>
      <c r="IR7" s="1876"/>
      <c r="IS7" s="1876"/>
      <c r="IT7" s="1876"/>
      <c r="IU7" s="1876"/>
      <c r="IV7" s="1876"/>
      <c r="IW7" s="1876"/>
      <c r="IX7" s="1876"/>
      <c r="IY7" s="1876"/>
      <c r="IZ7" s="1876"/>
      <c r="JA7" s="1876"/>
      <c r="JB7" s="1876"/>
      <c r="JC7" s="1876"/>
      <c r="JD7" s="1876"/>
      <c r="JE7" s="1876"/>
      <c r="JF7" s="1876"/>
      <c r="JG7" s="1876"/>
      <c r="JH7" s="1876"/>
      <c r="JI7" s="1876"/>
      <c r="JJ7" s="1876"/>
      <c r="JK7" s="1876"/>
      <c r="JL7" s="1876"/>
      <c r="JM7" s="1876"/>
      <c r="JN7" s="1876"/>
      <c r="JO7" s="1876"/>
      <c r="JP7" s="1876"/>
      <c r="JQ7" s="1876"/>
      <c r="JR7" s="1876"/>
      <c r="JS7" s="1876"/>
      <c r="JT7" s="1876"/>
      <c r="JU7" s="1876"/>
      <c r="JV7" s="1876"/>
      <c r="JW7" s="1876"/>
      <c r="JX7" s="1876"/>
      <c r="JY7" s="1876"/>
      <c r="JZ7" s="1876"/>
      <c r="KA7" s="1876"/>
      <c r="KB7" s="1876"/>
      <c r="KC7" s="1876"/>
      <c r="KD7" s="1876"/>
      <c r="KE7" s="1876"/>
      <c r="KF7" s="1876"/>
      <c r="KG7" s="1876"/>
      <c r="KH7" s="1876"/>
      <c r="KI7" s="1876"/>
      <c r="KJ7" s="1876"/>
      <c r="KK7" s="1876"/>
      <c r="KL7" s="1876"/>
      <c r="KM7" s="1876"/>
      <c r="KN7" s="1876"/>
      <c r="KO7" s="1876"/>
      <c r="KP7" s="1876"/>
      <c r="KQ7" s="1876"/>
      <c r="KR7" s="1876"/>
      <c r="KS7" s="1876"/>
      <c r="KT7" s="1876"/>
      <c r="KU7" s="1876"/>
      <c r="KV7" s="1876"/>
      <c r="KW7" s="1876"/>
      <c r="KX7" s="1876"/>
      <c r="KY7" s="1876"/>
      <c r="KZ7" s="1876"/>
      <c r="LA7" s="1876"/>
      <c r="LB7" s="1876"/>
      <c r="LC7" s="1876"/>
      <c r="LD7" s="1876"/>
      <c r="LE7" s="1876"/>
      <c r="LF7" s="1876"/>
      <c r="LG7" s="1876"/>
      <c r="LH7" s="1876"/>
      <c r="LI7" s="1876"/>
      <c r="LJ7" s="1876"/>
      <c r="LK7" s="1876"/>
      <c r="LL7" s="1876"/>
      <c r="LM7" s="1876"/>
      <c r="LN7" s="1876"/>
      <c r="LO7" s="1876"/>
      <c r="LP7" s="1876"/>
      <c r="LQ7" s="1876"/>
      <c r="LR7" s="1876"/>
      <c r="LS7" s="1876"/>
      <c r="LT7" s="1876"/>
      <c r="LU7" s="1876"/>
      <c r="LV7" s="1876"/>
      <c r="LW7" s="1876"/>
      <c r="LX7" s="1876"/>
      <c r="LY7" s="1876"/>
      <c r="LZ7" s="1876"/>
      <c r="MA7" s="1876"/>
      <c r="MB7" s="1876"/>
      <c r="MC7" s="1876"/>
      <c r="MD7" s="1876"/>
      <c r="ME7" s="1876"/>
      <c r="MF7" s="1876"/>
      <c r="MG7" s="1876"/>
      <c r="MH7" s="1876"/>
      <c r="MI7" s="1876"/>
      <c r="MJ7" s="1876"/>
      <c r="MK7" s="1876"/>
      <c r="ML7" s="1876"/>
      <c r="MM7" s="1876"/>
      <c r="MN7" s="1876"/>
      <c r="MO7" s="1876"/>
      <c r="MP7" s="1876"/>
      <c r="MQ7" s="1876"/>
      <c r="MR7" s="1876"/>
      <c r="MS7" s="1876"/>
      <c r="MT7" s="1876"/>
      <c r="MU7" s="1876"/>
      <c r="MV7" s="1876"/>
      <c r="MW7" s="1876"/>
      <c r="MX7" s="1876"/>
      <c r="MY7" s="1876"/>
      <c r="MZ7" s="1876"/>
      <c r="NA7" s="1876"/>
      <c r="NB7" s="1876"/>
      <c r="NC7" s="1876"/>
      <c r="ND7" s="1876"/>
      <c r="NE7" s="1876"/>
      <c r="NF7" s="1876"/>
      <c r="NG7" s="1876"/>
      <c r="NH7" s="1876"/>
      <c r="NI7" s="1876"/>
      <c r="NJ7" s="1876"/>
      <c r="NK7" s="1876"/>
      <c r="NL7" s="1876"/>
      <c r="NM7" s="1876"/>
      <c r="NN7" s="1876"/>
      <c r="NO7" s="1876"/>
      <c r="NP7" s="1876"/>
      <c r="NQ7" s="1876"/>
      <c r="NR7" s="1876"/>
      <c r="NS7" s="1876"/>
      <c r="NT7" s="1876"/>
      <c r="NU7" s="1876"/>
      <c r="NV7" s="1876"/>
      <c r="NW7" s="1876"/>
      <c r="NX7" s="1876"/>
      <c r="NY7" s="1876"/>
      <c r="NZ7" s="1876"/>
      <c r="OA7" s="1876"/>
      <c r="OB7" s="1876"/>
      <c r="OC7" s="1876"/>
      <c r="OD7" s="1876"/>
      <c r="OE7" s="1876"/>
      <c r="OF7" s="1876"/>
      <c r="OG7" s="1876"/>
      <c r="OH7" s="1876"/>
      <c r="OI7" s="1876"/>
      <c r="OJ7" s="1876"/>
      <c r="OK7" s="1876"/>
      <c r="OL7" s="1876"/>
      <c r="OM7" s="1876"/>
      <c r="ON7" s="1876"/>
      <c r="OO7" s="1876"/>
      <c r="OP7" s="1876"/>
      <c r="OQ7" s="1876"/>
      <c r="OR7" s="1876"/>
      <c r="OS7" s="1876"/>
      <c r="OT7" s="1876"/>
      <c r="OU7" s="1876"/>
      <c r="OV7" s="1876"/>
      <c r="OW7" s="1876"/>
      <c r="OX7" s="1876"/>
      <c r="OY7" s="1876"/>
      <c r="OZ7" s="1876"/>
      <c r="PA7" s="1876"/>
      <c r="PB7" s="1876"/>
      <c r="PC7" s="1876"/>
      <c r="PD7" s="1876"/>
      <c r="PE7" s="1876"/>
      <c r="PF7" s="1876"/>
      <c r="PG7" s="1876"/>
      <c r="PH7" s="1876"/>
      <c r="PI7" s="1876"/>
      <c r="PJ7" s="1876"/>
      <c r="PK7" s="1876"/>
      <c r="PL7" s="1876"/>
      <c r="PM7" s="1876"/>
      <c r="PN7" s="1876"/>
      <c r="PO7" s="1876"/>
      <c r="PP7" s="1876"/>
      <c r="PQ7" s="1876"/>
      <c r="PR7" s="1876"/>
      <c r="PS7" s="1876"/>
      <c r="PT7" s="1876"/>
      <c r="PU7" s="1876"/>
      <c r="PV7" s="1876"/>
      <c r="PW7" s="1876"/>
      <c r="PX7" s="1876"/>
      <c r="PY7" s="1876"/>
      <c r="PZ7" s="1876"/>
      <c r="QA7" s="1876"/>
      <c r="QB7" s="1876"/>
      <c r="QC7" s="1876"/>
      <c r="QD7" s="1876"/>
      <c r="QE7" s="1876"/>
      <c r="QF7" s="1876"/>
      <c r="QG7" s="1876"/>
      <c r="QH7" s="1876"/>
      <c r="QI7" s="1876"/>
      <c r="QJ7" s="1876"/>
      <c r="QK7" s="1876"/>
      <c r="QL7" s="1876"/>
      <c r="QM7" s="1876"/>
      <c r="QN7" s="1876"/>
      <c r="QO7" s="1876"/>
      <c r="QP7" s="1876"/>
      <c r="QQ7" s="1876"/>
      <c r="QR7" s="1876"/>
      <c r="QS7" s="1876"/>
      <c r="QT7" s="1876"/>
      <c r="QU7" s="1876"/>
      <c r="QV7" s="1876"/>
      <c r="QW7" s="1876"/>
      <c r="QX7" s="1876"/>
      <c r="QY7" s="1876"/>
      <c r="QZ7" s="1876"/>
      <c r="RA7" s="1876"/>
      <c r="RB7" s="1876"/>
      <c r="RC7" s="1876"/>
      <c r="RD7" s="1876"/>
      <c r="RE7" s="1876"/>
      <c r="RF7" s="1876"/>
      <c r="RG7" s="1876"/>
      <c r="RH7" s="1876"/>
      <c r="RI7" s="1876"/>
      <c r="RJ7" s="1876"/>
      <c r="RK7" s="1876"/>
      <c r="RL7" s="1876"/>
      <c r="RM7" s="1876"/>
      <c r="RN7" s="1876"/>
      <c r="RO7" s="1876"/>
      <c r="RP7" s="1876"/>
      <c r="RQ7" s="1876"/>
      <c r="RR7" s="1876"/>
      <c r="RS7" s="1876"/>
      <c r="RT7" s="1876"/>
      <c r="RU7" s="1876"/>
      <c r="RV7" s="1876"/>
      <c r="RW7" s="1876"/>
      <c r="RX7" s="1876"/>
      <c r="RY7" s="1876"/>
      <c r="RZ7" s="1876"/>
      <c r="SA7" s="1876"/>
      <c r="SB7" s="1876"/>
      <c r="SC7" s="1876"/>
      <c r="SD7" s="1876"/>
      <c r="SE7" s="1876"/>
      <c r="SF7" s="1876"/>
      <c r="SG7" s="1876"/>
      <c r="SH7" s="1876"/>
      <c r="SI7" s="1876"/>
      <c r="SJ7" s="1876"/>
      <c r="SK7" s="1876"/>
      <c r="SL7" s="1876"/>
      <c r="SM7" s="1876"/>
      <c r="SN7" s="1876"/>
      <c r="SO7" s="1876"/>
      <c r="SP7" s="1876"/>
      <c r="SQ7" s="1876"/>
      <c r="SR7" s="1876"/>
      <c r="SS7" s="1876"/>
      <c r="ST7" s="1876"/>
      <c r="SU7" s="1876"/>
      <c r="SV7" s="1876"/>
      <c r="SW7" s="1876"/>
      <c r="SX7" s="1876"/>
      <c r="SY7" s="1876"/>
      <c r="SZ7" s="1876"/>
      <c r="TA7" s="1876"/>
      <c r="TB7" s="1876"/>
      <c r="TC7" s="1876"/>
      <c r="TD7" s="1876"/>
      <c r="TE7" s="1876"/>
      <c r="TF7" s="1876"/>
      <c r="TG7" s="1876"/>
      <c r="TH7" s="1876"/>
      <c r="TI7" s="1876"/>
      <c r="TJ7" s="1876"/>
      <c r="TK7" s="1876"/>
      <c r="TL7" s="1876"/>
      <c r="TM7" s="1876"/>
      <c r="TN7" s="1876"/>
      <c r="TO7" s="1876"/>
      <c r="TP7" s="1876"/>
      <c r="TQ7" s="1876"/>
      <c r="TR7" s="1876"/>
      <c r="TS7" s="1876"/>
      <c r="TT7" s="1876"/>
      <c r="TU7" s="1876"/>
      <c r="TV7" s="1876"/>
      <c r="TW7" s="1876"/>
      <c r="TX7" s="1876"/>
      <c r="TY7" s="1876"/>
      <c r="TZ7" s="1876"/>
      <c r="UA7" s="1876"/>
      <c r="UB7" s="1876"/>
      <c r="UC7" s="1876"/>
      <c r="UD7" s="1876"/>
      <c r="UE7" s="1876"/>
      <c r="UF7" s="1876"/>
      <c r="UG7" s="1876"/>
      <c r="UH7" s="1876"/>
      <c r="UI7" s="1876"/>
      <c r="UJ7" s="1876"/>
      <c r="UK7" s="1876"/>
      <c r="UL7" s="1876"/>
      <c r="UM7" s="1876"/>
      <c r="UN7" s="1876"/>
      <c r="UO7" s="1876"/>
      <c r="UP7" s="1876"/>
      <c r="UQ7" s="1876"/>
      <c r="UR7" s="1876"/>
      <c r="US7" s="1876"/>
      <c r="UT7" s="1876"/>
      <c r="UU7" s="1876"/>
      <c r="UV7" s="1876"/>
      <c r="UW7" s="1876"/>
      <c r="UX7" s="1876"/>
      <c r="UY7" s="1876"/>
      <c r="UZ7" s="1876"/>
      <c r="VA7" s="1876"/>
      <c r="VB7" s="1876"/>
      <c r="VC7" s="1876"/>
      <c r="VD7" s="1876"/>
      <c r="VE7" s="1876"/>
      <c r="VF7" s="1876"/>
      <c r="VG7" s="1876"/>
      <c r="VH7" s="1876"/>
      <c r="VI7" s="1876"/>
      <c r="VJ7" s="1876"/>
      <c r="VK7" s="1876"/>
      <c r="VL7" s="1876"/>
      <c r="VM7" s="1876"/>
      <c r="VN7" s="1876"/>
      <c r="VO7" s="1876"/>
      <c r="VP7" s="1876"/>
      <c r="VQ7" s="1876"/>
      <c r="VR7" s="1876"/>
      <c r="VS7" s="1876"/>
      <c r="VT7" s="1876"/>
      <c r="VU7" s="1876"/>
      <c r="VV7" s="1876"/>
      <c r="VW7" s="1876"/>
      <c r="VX7" s="1876"/>
      <c r="VY7" s="1876"/>
      <c r="VZ7" s="1876"/>
      <c r="WA7" s="1876"/>
      <c r="WB7" s="1876"/>
      <c r="WC7" s="1876"/>
      <c r="WD7" s="1876"/>
      <c r="WE7" s="1876"/>
      <c r="WF7" s="1876"/>
      <c r="WG7" s="1876"/>
      <c r="WH7" s="1876"/>
      <c r="WI7" s="1876"/>
      <c r="WJ7" s="1876"/>
      <c r="WK7" s="1876"/>
      <c r="WL7" s="1876"/>
      <c r="WM7" s="1876"/>
      <c r="WN7" s="1876"/>
      <c r="WO7" s="1876"/>
      <c r="WP7" s="1876"/>
      <c r="WQ7" s="1876"/>
      <c r="WR7" s="1876"/>
      <c r="WS7" s="1876"/>
      <c r="WT7" s="1876"/>
      <c r="WU7" s="1876"/>
      <c r="WV7" s="1876"/>
      <c r="WW7" s="1876"/>
      <c r="WX7" s="1876"/>
      <c r="WY7" s="1876"/>
      <c r="WZ7" s="1876"/>
      <c r="XA7" s="1876"/>
      <c r="XB7" s="1876"/>
      <c r="XC7" s="1876"/>
      <c r="XD7" s="1876"/>
      <c r="XE7" s="1876"/>
      <c r="XF7" s="1876"/>
      <c r="XG7" s="1876"/>
      <c r="XH7" s="1876"/>
      <c r="XI7" s="1876"/>
      <c r="XJ7" s="1876"/>
      <c r="XK7" s="1876"/>
      <c r="XL7" s="1876"/>
      <c r="XM7" s="1876"/>
      <c r="XN7" s="1876"/>
      <c r="XO7" s="1876"/>
      <c r="XP7" s="1876"/>
      <c r="XQ7" s="1876"/>
      <c r="XR7" s="1876"/>
      <c r="XS7" s="1876"/>
      <c r="XT7" s="1876"/>
      <c r="XU7" s="1876"/>
      <c r="XV7" s="1876"/>
      <c r="XW7" s="1876"/>
      <c r="XX7" s="1876"/>
      <c r="XY7" s="1876"/>
      <c r="XZ7" s="1876"/>
      <c r="YA7" s="1876"/>
      <c r="YB7" s="1876"/>
      <c r="YC7" s="1876"/>
      <c r="YD7" s="1876"/>
      <c r="YE7" s="1876"/>
      <c r="YF7" s="1876"/>
      <c r="YG7" s="1876"/>
      <c r="YH7" s="1876"/>
      <c r="YI7" s="1876"/>
      <c r="YJ7" s="1876"/>
      <c r="YK7" s="1876"/>
      <c r="YL7" s="1876"/>
      <c r="YM7" s="1876"/>
      <c r="YN7" s="1876"/>
      <c r="YO7" s="1876"/>
      <c r="YP7" s="1876"/>
      <c r="YQ7" s="1876"/>
      <c r="YR7" s="1876"/>
      <c r="YS7" s="1876"/>
      <c r="YT7" s="1876"/>
      <c r="YU7" s="1876"/>
      <c r="YV7" s="1876"/>
      <c r="YW7" s="1876"/>
      <c r="YX7" s="1876"/>
      <c r="YY7" s="1876"/>
      <c r="YZ7" s="1876"/>
      <c r="ZA7" s="1876"/>
      <c r="ZB7" s="1876"/>
      <c r="ZC7" s="1876"/>
      <c r="ZD7" s="1876"/>
      <c r="ZE7" s="1876"/>
      <c r="ZF7" s="1876"/>
      <c r="ZG7" s="1876"/>
      <c r="ZH7" s="1876"/>
      <c r="ZI7" s="1876"/>
      <c r="ZJ7" s="1876"/>
      <c r="ZK7" s="1876"/>
      <c r="ZL7" s="1876"/>
      <c r="ZM7" s="1876"/>
      <c r="ZN7" s="1876"/>
      <c r="ZO7" s="1876"/>
      <c r="ZP7" s="1876"/>
      <c r="ZQ7" s="1876"/>
      <c r="ZR7" s="1876"/>
      <c r="ZS7" s="1876"/>
      <c r="ZT7" s="1876"/>
      <c r="ZU7" s="1876"/>
      <c r="ZV7" s="1876"/>
      <c r="ZW7" s="1876"/>
      <c r="ZX7" s="1876"/>
      <c r="ZY7" s="1876"/>
      <c r="ZZ7" s="1876"/>
      <c r="AAA7" s="1876"/>
      <c r="AAB7" s="1876"/>
      <c r="AAC7" s="1876"/>
      <c r="AAD7" s="1876"/>
      <c r="AAE7" s="1876"/>
      <c r="AAF7" s="1876"/>
      <c r="AAG7" s="1876"/>
      <c r="AAH7" s="1876"/>
      <c r="AAI7" s="1876"/>
      <c r="AAJ7" s="1876"/>
      <c r="AAK7" s="1876"/>
      <c r="AAL7" s="1876"/>
      <c r="AAM7" s="1876"/>
      <c r="AAN7" s="1876"/>
      <c r="AAO7" s="1876"/>
      <c r="AAP7" s="1876"/>
      <c r="AAQ7" s="1876"/>
      <c r="AAR7" s="1876"/>
      <c r="AAS7" s="1876"/>
      <c r="AAT7" s="1876"/>
      <c r="AAU7" s="1876"/>
      <c r="AAV7" s="1876"/>
      <c r="AAW7" s="1876"/>
      <c r="AAX7" s="1876"/>
      <c r="AAY7" s="1876"/>
      <c r="AAZ7" s="1876"/>
      <c r="ABA7" s="1876"/>
      <c r="ABB7" s="1876"/>
      <c r="ABC7" s="1876"/>
      <c r="ABD7" s="1876"/>
      <c r="ABE7" s="1876"/>
      <c r="ABF7" s="1876"/>
      <c r="ABG7" s="1876"/>
      <c r="ABH7" s="1876"/>
      <c r="ABI7" s="1876"/>
      <c r="ABJ7" s="1876"/>
      <c r="ABK7" s="1876"/>
      <c r="ABL7" s="1876"/>
      <c r="ABM7" s="1876"/>
      <c r="ABN7" s="1876"/>
      <c r="ABO7" s="1876"/>
      <c r="ABP7" s="1876"/>
      <c r="ABQ7" s="1876"/>
      <c r="ABR7" s="1876"/>
      <c r="ABS7" s="1876"/>
      <c r="ABT7" s="1876"/>
      <c r="ABU7" s="1876"/>
      <c r="ABV7" s="1876"/>
      <c r="ABW7" s="1876"/>
      <c r="ABX7" s="1876"/>
      <c r="ABY7" s="1876"/>
      <c r="ABZ7" s="1876"/>
      <c r="ACA7" s="1876"/>
      <c r="ACB7" s="1876"/>
      <c r="ACC7" s="1876"/>
      <c r="ACD7" s="1876"/>
      <c r="ACE7" s="1876"/>
      <c r="ACF7" s="1876"/>
      <c r="ACG7" s="1876"/>
      <c r="ACH7" s="1876"/>
      <c r="ACI7" s="1876"/>
      <c r="ACJ7" s="1876"/>
      <c r="ACK7" s="1876"/>
      <c r="ACL7" s="1876"/>
      <c r="ACM7" s="1876"/>
      <c r="ACN7" s="1876"/>
      <c r="ACO7" s="1876"/>
      <c r="ACP7" s="1876"/>
      <c r="ACQ7" s="1876"/>
      <c r="ACR7" s="1876"/>
      <c r="ACS7" s="1876"/>
      <c r="ACT7" s="1876"/>
      <c r="ACU7" s="1876"/>
      <c r="ACV7" s="1876"/>
      <c r="ACW7" s="1876"/>
      <c r="ACX7" s="1876"/>
      <c r="ACY7" s="1876"/>
      <c r="ACZ7" s="1876"/>
      <c r="ADA7" s="1876"/>
      <c r="ADB7" s="1876"/>
      <c r="ADC7" s="1876"/>
      <c r="ADD7" s="1876"/>
      <c r="ADE7" s="1876"/>
      <c r="ADF7" s="1876"/>
      <c r="ADG7" s="1876"/>
      <c r="ADH7" s="1876"/>
      <c r="ADI7" s="1876"/>
      <c r="ADJ7" s="1876"/>
      <c r="ADK7" s="1876"/>
      <c r="ADL7" s="1876"/>
      <c r="ADM7" s="1876"/>
      <c r="ADN7" s="1876"/>
      <c r="ADO7" s="1876"/>
      <c r="ADP7" s="1876"/>
      <c r="ADQ7" s="1876"/>
      <c r="ADR7" s="1876"/>
      <c r="ADS7" s="1876"/>
      <c r="ADT7" s="1876"/>
      <c r="ADU7" s="1876"/>
      <c r="ADV7" s="1876"/>
      <c r="ADW7" s="1876"/>
      <c r="ADX7" s="1876"/>
      <c r="ADY7" s="1876"/>
      <c r="ADZ7" s="1876"/>
      <c r="AEA7" s="1876"/>
      <c r="AEB7" s="1876"/>
      <c r="AEC7" s="1876"/>
      <c r="AED7" s="1876"/>
      <c r="AEE7" s="1876"/>
      <c r="AEF7" s="1876"/>
      <c r="AEG7" s="1876"/>
      <c r="AEH7" s="1876"/>
      <c r="AEI7" s="1876"/>
      <c r="AEJ7" s="1876"/>
      <c r="AEK7" s="1876"/>
      <c r="AEL7" s="1876"/>
      <c r="AEM7" s="1876"/>
      <c r="AEN7" s="1876"/>
      <c r="AEO7" s="1876"/>
      <c r="AEP7" s="1876"/>
      <c r="AEQ7" s="1876"/>
      <c r="AER7" s="1876"/>
      <c r="AES7" s="1876"/>
      <c r="AET7" s="1876"/>
      <c r="AEU7" s="1876"/>
      <c r="AEV7" s="1876"/>
      <c r="AEW7" s="1876"/>
      <c r="AEX7" s="1876"/>
      <c r="AEY7" s="1876"/>
      <c r="AEZ7" s="1876"/>
      <c r="AFA7" s="1876"/>
      <c r="AFB7" s="1876"/>
      <c r="AFC7" s="1876"/>
      <c r="AFD7" s="1876"/>
      <c r="AFE7" s="1876"/>
      <c r="AFF7" s="1876"/>
      <c r="AFG7" s="1876"/>
      <c r="AFH7" s="1876"/>
      <c r="AFI7" s="1876"/>
      <c r="AFJ7" s="1876"/>
      <c r="AFK7" s="1876"/>
      <c r="AFL7" s="1876"/>
      <c r="AFM7" s="1876"/>
      <c r="AFN7" s="1876"/>
      <c r="AFO7" s="1876"/>
      <c r="AFP7" s="1876"/>
      <c r="AFQ7" s="1876"/>
      <c r="AFR7" s="1876"/>
      <c r="AFS7" s="1876"/>
      <c r="AFT7" s="1876"/>
      <c r="AFU7" s="1876"/>
      <c r="AFV7" s="1876"/>
      <c r="AFW7" s="1876"/>
      <c r="AFX7" s="1876"/>
      <c r="AFY7" s="1876"/>
      <c r="AFZ7" s="1876"/>
      <c r="AGA7" s="1876"/>
      <c r="AGB7" s="1876"/>
      <c r="AGC7" s="1876"/>
      <c r="AGD7" s="1876"/>
      <c r="AGE7" s="1876"/>
      <c r="AGF7" s="1876"/>
      <c r="AGG7" s="1876"/>
      <c r="AGH7" s="1876"/>
      <c r="AGI7" s="1876"/>
      <c r="AGJ7" s="1876"/>
      <c r="AGK7" s="1876"/>
      <c r="AGL7" s="1876"/>
      <c r="AGM7" s="1876"/>
      <c r="AGN7" s="1876"/>
      <c r="AGO7" s="1876"/>
      <c r="AGP7" s="1876"/>
      <c r="AGQ7" s="1876"/>
      <c r="AGR7" s="1876"/>
      <c r="AGS7" s="1876"/>
      <c r="AGT7" s="1876"/>
      <c r="AGU7" s="1876"/>
      <c r="AGV7" s="1876"/>
      <c r="AGW7" s="1876"/>
      <c r="AGX7" s="1876"/>
      <c r="AGY7" s="1876"/>
      <c r="AGZ7" s="1876"/>
      <c r="AHA7" s="1876"/>
      <c r="AHB7" s="1876"/>
      <c r="AHC7" s="1876"/>
      <c r="AHD7" s="1876"/>
      <c r="AHE7" s="1876"/>
      <c r="AHF7" s="1876"/>
      <c r="AHG7" s="1876"/>
      <c r="AHH7" s="1876"/>
      <c r="AHI7" s="1876"/>
      <c r="AHJ7" s="1876"/>
      <c r="AHK7" s="1876"/>
      <c r="AHL7" s="1876"/>
      <c r="AHM7" s="1876"/>
      <c r="AHN7" s="1876"/>
      <c r="AHO7" s="1876"/>
      <c r="AHP7" s="1876"/>
      <c r="AHQ7" s="1876"/>
      <c r="AHR7" s="1876"/>
      <c r="AHS7" s="1876"/>
      <c r="AHT7" s="1876"/>
      <c r="AHU7" s="1876"/>
      <c r="AHV7" s="1876"/>
      <c r="AHW7" s="1876"/>
      <c r="AHX7" s="1876"/>
      <c r="AHY7" s="1876"/>
      <c r="AHZ7" s="1876"/>
      <c r="AIA7" s="1876"/>
      <c r="AIB7" s="1876"/>
      <c r="AIC7" s="1876"/>
      <c r="AID7" s="1876"/>
      <c r="AIE7" s="1876"/>
      <c r="AIF7" s="1876"/>
      <c r="AIG7" s="1876"/>
      <c r="AIH7" s="1876"/>
      <c r="AII7" s="1876"/>
      <c r="AIJ7" s="1876"/>
      <c r="AIK7" s="1876"/>
      <c r="AIL7" s="1876"/>
      <c r="AIM7" s="1876"/>
      <c r="AIN7" s="1876"/>
      <c r="AIO7" s="1876"/>
      <c r="AIP7" s="1876"/>
      <c r="AIQ7" s="1876"/>
      <c r="AIR7" s="1876"/>
      <c r="AIS7" s="1876"/>
      <c r="AIT7" s="1876"/>
      <c r="AIU7" s="1876"/>
      <c r="AIV7" s="1876"/>
      <c r="AIW7" s="1876"/>
      <c r="AIX7" s="1876"/>
      <c r="AIY7" s="1876"/>
      <c r="AIZ7" s="1876"/>
      <c r="AJA7" s="1876"/>
      <c r="AJB7" s="1876"/>
      <c r="AJC7" s="1876"/>
      <c r="AJD7" s="1876"/>
      <c r="AJE7" s="1876"/>
      <c r="AJF7" s="1876"/>
      <c r="AJG7" s="1876"/>
      <c r="AJH7" s="1876"/>
      <c r="AJI7" s="1876"/>
      <c r="AJJ7" s="1876"/>
      <c r="AJK7" s="1876"/>
      <c r="AJL7" s="1876"/>
      <c r="AJM7" s="1876"/>
      <c r="AJN7" s="1876"/>
      <c r="AJO7" s="1876"/>
      <c r="AJP7" s="1876"/>
      <c r="AJQ7" s="1876"/>
      <c r="AJR7" s="1876"/>
      <c r="AJS7" s="1876"/>
      <c r="AJT7" s="1876"/>
      <c r="AJU7" s="1876"/>
      <c r="AJV7" s="1876"/>
      <c r="AJW7" s="1876"/>
      <c r="AJX7" s="1876"/>
      <c r="AJY7" s="1876"/>
      <c r="AJZ7" s="1876"/>
      <c r="AKA7" s="1876"/>
      <c r="AKB7" s="1876"/>
      <c r="AKC7" s="1876"/>
      <c r="AKD7" s="1876"/>
      <c r="AKE7" s="1876"/>
      <c r="AKF7" s="1876"/>
      <c r="AKG7" s="1876"/>
      <c r="AKH7" s="1876"/>
      <c r="AKI7" s="1876"/>
      <c r="AKJ7" s="1876"/>
      <c r="AKK7" s="1876"/>
      <c r="AKL7" s="1876"/>
      <c r="AKM7" s="1876"/>
      <c r="AKN7" s="1876"/>
      <c r="AKO7" s="1876"/>
      <c r="AKP7" s="1876"/>
      <c r="AKQ7" s="1876"/>
      <c r="AKR7" s="1876"/>
      <c r="AKS7" s="1876"/>
      <c r="AKT7" s="1876"/>
      <c r="AKU7" s="1876"/>
      <c r="AKV7" s="1876"/>
      <c r="AKW7" s="1876"/>
      <c r="AKX7" s="1876"/>
      <c r="AKY7" s="1876"/>
      <c r="AKZ7" s="1876"/>
      <c r="ALA7" s="1876"/>
      <c r="ALB7" s="1876"/>
      <c r="ALC7" s="1876"/>
      <c r="ALD7" s="1876"/>
      <c r="ALE7" s="1876"/>
      <c r="ALF7" s="1876"/>
      <c r="ALG7" s="1876"/>
      <c r="ALH7" s="1876"/>
      <c r="ALI7" s="1876"/>
      <c r="ALJ7" s="1876"/>
      <c r="ALK7" s="1876"/>
      <c r="ALL7" s="1876"/>
      <c r="ALM7" s="1876"/>
      <c r="ALN7" s="1876"/>
      <c r="ALO7" s="1876"/>
      <c r="ALP7" s="1876"/>
      <c r="ALQ7" s="1876"/>
      <c r="ALR7" s="1876"/>
      <c r="ALS7" s="1876"/>
      <c r="ALT7" s="1876"/>
      <c r="ALU7" s="1876"/>
      <c r="ALV7" s="1876"/>
      <c r="ALW7" s="1876"/>
      <c r="ALX7" s="1876"/>
      <c r="ALY7" s="1876"/>
      <c r="ALZ7" s="1876"/>
      <c r="AMA7" s="1876"/>
      <c r="AMB7" s="1876"/>
      <c r="AMC7" s="1876"/>
      <c r="AMD7" s="1876"/>
      <c r="AME7" s="1876"/>
      <c r="AMF7" s="1876"/>
      <c r="AMG7" s="1876"/>
      <c r="AMH7" s="1876"/>
      <c r="AMI7" s="1876"/>
      <c r="AMJ7" s="1876"/>
      <c r="AMK7" s="1876"/>
      <c r="AML7" s="1876"/>
      <c r="AMM7" s="1876"/>
      <c r="AMN7" s="1876"/>
      <c r="AMO7" s="1876"/>
      <c r="AMP7" s="1876"/>
      <c r="AMQ7" s="1876"/>
      <c r="AMR7" s="1876"/>
      <c r="AMS7" s="1876"/>
      <c r="AMT7" s="1876"/>
      <c r="AMU7" s="1876"/>
      <c r="AMV7" s="1876"/>
      <c r="AMW7" s="1876"/>
      <c r="AMX7" s="1876"/>
      <c r="AMY7" s="1876"/>
      <c r="AMZ7" s="1876"/>
      <c r="ANA7" s="1876"/>
      <c r="ANB7" s="1876"/>
      <c r="ANC7" s="1876"/>
      <c r="AND7" s="1876"/>
      <c r="ANE7" s="1876"/>
      <c r="ANF7" s="1876"/>
      <c r="ANG7" s="1876"/>
      <c r="ANH7" s="1876"/>
      <c r="ANI7" s="1876"/>
      <c r="ANJ7" s="1876"/>
      <c r="ANK7" s="1876"/>
      <c r="ANL7" s="1876"/>
      <c r="ANM7" s="1876"/>
      <c r="ANN7" s="1876"/>
      <c r="ANO7" s="1876"/>
      <c r="ANP7" s="1876"/>
      <c r="ANQ7" s="1876"/>
      <c r="ANR7" s="1876"/>
      <c r="ANS7" s="1876"/>
      <c r="ANT7" s="1876"/>
      <c r="ANU7" s="1876"/>
      <c r="ANV7" s="1876"/>
      <c r="ANW7" s="1876"/>
      <c r="ANX7" s="1876"/>
      <c r="ANY7" s="1876"/>
      <c r="ANZ7" s="1876"/>
      <c r="AOA7" s="1876"/>
      <c r="AOB7" s="1876"/>
      <c r="AOC7" s="1876"/>
      <c r="AOD7" s="1876"/>
      <c r="AOE7" s="1876"/>
      <c r="AOF7" s="1876"/>
      <c r="AOG7" s="1876"/>
      <c r="AOH7" s="1876"/>
      <c r="AOI7" s="1876"/>
      <c r="AOJ7" s="1876"/>
      <c r="AOK7" s="1876"/>
      <c r="AOL7" s="1876"/>
      <c r="AOM7" s="1876"/>
      <c r="AON7" s="1876"/>
      <c r="AOO7" s="1876"/>
      <c r="AOP7" s="1876"/>
      <c r="AOQ7" s="1876"/>
      <c r="AOR7" s="1876"/>
      <c r="AOS7" s="1876"/>
      <c r="AOT7" s="1876"/>
      <c r="AOU7" s="1876"/>
      <c r="AOV7" s="1876"/>
      <c r="AOW7" s="1876"/>
      <c r="AOX7" s="1876"/>
      <c r="AOY7" s="1876"/>
      <c r="AOZ7" s="1876"/>
      <c r="APA7" s="1876"/>
      <c r="APB7" s="1876"/>
      <c r="APC7" s="1876"/>
      <c r="APD7" s="1876"/>
      <c r="APE7" s="1876"/>
      <c r="APF7" s="1876"/>
      <c r="APG7" s="1876"/>
      <c r="APH7" s="1876"/>
      <c r="API7" s="1876"/>
      <c r="APJ7" s="1876"/>
      <c r="APK7" s="1876"/>
      <c r="APL7" s="1876"/>
      <c r="APM7" s="1876"/>
      <c r="APN7" s="1876"/>
      <c r="APO7" s="1876"/>
      <c r="APP7" s="1876"/>
      <c r="APQ7" s="1876"/>
      <c r="APR7" s="1876"/>
      <c r="APS7" s="1876"/>
      <c r="APT7" s="1876"/>
      <c r="APU7" s="1876"/>
      <c r="APV7" s="1876"/>
      <c r="APW7" s="1876"/>
      <c r="APX7" s="1876"/>
      <c r="APY7" s="1876"/>
      <c r="APZ7" s="1876"/>
      <c r="AQA7" s="1876"/>
      <c r="AQB7" s="1876"/>
      <c r="AQC7" s="1876"/>
      <c r="AQD7" s="1876"/>
      <c r="AQE7" s="1876"/>
      <c r="AQF7" s="1876"/>
      <c r="AQG7" s="1876"/>
      <c r="AQH7" s="1876"/>
      <c r="AQI7" s="1876"/>
      <c r="AQJ7" s="1876"/>
      <c r="AQK7" s="1876"/>
      <c r="AQL7" s="1876"/>
      <c r="AQM7" s="1876"/>
      <c r="AQN7" s="1876"/>
      <c r="AQO7" s="1876"/>
      <c r="AQP7" s="1876"/>
      <c r="AQQ7" s="1876"/>
      <c r="AQR7" s="1876"/>
      <c r="AQS7" s="1876"/>
      <c r="AQT7" s="1876"/>
      <c r="AQU7" s="1876"/>
      <c r="AQV7" s="1876"/>
      <c r="AQW7" s="1876"/>
      <c r="AQX7" s="1876"/>
      <c r="AQY7" s="1876"/>
      <c r="AQZ7" s="1876"/>
      <c r="ARA7" s="1876"/>
      <c r="ARB7" s="1876"/>
      <c r="ARC7" s="1876"/>
      <c r="ARD7" s="1876"/>
      <c r="ARE7" s="1876"/>
      <c r="ARF7" s="1876"/>
      <c r="ARG7" s="1876"/>
      <c r="ARH7" s="1876"/>
      <c r="ARI7" s="1876"/>
      <c r="ARJ7" s="1876"/>
      <c r="ARK7" s="1876"/>
      <c r="ARL7" s="1876"/>
      <c r="ARM7" s="1876"/>
      <c r="ARN7" s="1876"/>
      <c r="ARO7" s="1876"/>
      <c r="ARP7" s="1876"/>
      <c r="ARQ7" s="1876"/>
      <c r="ARR7" s="1876"/>
      <c r="ARS7" s="1876"/>
      <c r="ART7" s="1876"/>
      <c r="ARU7" s="1876"/>
      <c r="ARV7" s="1876"/>
      <c r="ARW7" s="1876"/>
      <c r="ARX7" s="1876"/>
      <c r="ARY7" s="1876"/>
      <c r="ARZ7" s="1876"/>
      <c r="ASA7" s="1876"/>
      <c r="ASB7" s="1876"/>
      <c r="ASC7" s="1876"/>
      <c r="ASD7" s="1876"/>
      <c r="ASE7" s="1876"/>
      <c r="ASF7" s="1876"/>
      <c r="ASG7" s="1876"/>
      <c r="ASH7" s="1876"/>
      <c r="ASI7" s="1876"/>
      <c r="ASJ7" s="1876"/>
      <c r="ASK7" s="1876"/>
      <c r="ASL7" s="1876"/>
      <c r="ASM7" s="1876"/>
      <c r="ASN7" s="1876"/>
      <c r="ASO7" s="1876"/>
      <c r="ASP7" s="1876"/>
      <c r="ASQ7" s="1876"/>
      <c r="ASR7" s="1876"/>
      <c r="ASS7" s="1876"/>
      <c r="AST7" s="1876"/>
      <c r="ASU7" s="1876"/>
      <c r="ASV7" s="1876"/>
      <c r="ASW7" s="1876"/>
      <c r="ASX7" s="1876"/>
      <c r="ASY7" s="1876"/>
      <c r="ASZ7" s="1876"/>
      <c r="ATA7" s="1876"/>
      <c r="ATB7" s="1876"/>
      <c r="ATC7" s="1876"/>
      <c r="ATD7" s="1876"/>
      <c r="ATE7" s="1876"/>
      <c r="ATF7" s="1876"/>
      <c r="ATG7" s="1876"/>
      <c r="ATH7" s="1876"/>
      <c r="ATI7" s="1876"/>
      <c r="ATJ7" s="1876"/>
      <c r="ATK7" s="1876"/>
      <c r="ATL7" s="1876"/>
      <c r="ATM7" s="1876"/>
      <c r="ATN7" s="1876"/>
      <c r="ATO7" s="1876"/>
      <c r="ATP7" s="1876"/>
      <c r="ATQ7" s="1876"/>
      <c r="ATR7" s="1876"/>
      <c r="ATS7" s="1876"/>
      <c r="ATT7" s="1876"/>
      <c r="ATU7" s="1876"/>
      <c r="ATV7" s="1876"/>
      <c r="ATW7" s="1876"/>
      <c r="ATX7" s="1876"/>
      <c r="ATY7" s="1876"/>
      <c r="ATZ7" s="1876"/>
      <c r="AUA7" s="1876"/>
      <c r="AUB7" s="1876"/>
      <c r="AUC7" s="1876"/>
      <c r="AUD7" s="1876"/>
      <c r="AUE7" s="1876"/>
      <c r="AUF7" s="1876"/>
      <c r="AUG7" s="1876"/>
      <c r="AUH7" s="1876"/>
      <c r="AUI7" s="1876"/>
      <c r="AUJ7" s="1876"/>
      <c r="AUK7" s="1876"/>
      <c r="AUL7" s="1876"/>
      <c r="AUM7" s="1876"/>
      <c r="AUN7" s="1876"/>
      <c r="AUO7" s="1876"/>
      <c r="AUP7" s="1876"/>
      <c r="AUQ7" s="1876"/>
      <c r="AUR7" s="1876"/>
      <c r="AUS7" s="1876"/>
      <c r="AUT7" s="1876"/>
      <c r="AUU7" s="1876"/>
      <c r="AUV7" s="1876"/>
      <c r="AUW7" s="1876"/>
      <c r="AUX7" s="1876"/>
      <c r="AUY7" s="1876"/>
      <c r="AUZ7" s="1876"/>
      <c r="AVA7" s="1876"/>
      <c r="AVB7" s="1876"/>
      <c r="AVC7" s="1876"/>
      <c r="AVD7" s="1876"/>
      <c r="AVE7" s="1876"/>
      <c r="AVF7" s="1876"/>
      <c r="AVG7" s="1876"/>
      <c r="AVH7" s="1876"/>
      <c r="AVI7" s="1876"/>
      <c r="AVJ7" s="1876"/>
      <c r="AVK7" s="1876"/>
      <c r="AVL7" s="1876"/>
      <c r="AVM7" s="1876"/>
      <c r="AVN7" s="1876"/>
      <c r="AVO7" s="1876"/>
      <c r="AVP7" s="1876"/>
      <c r="AVQ7" s="1876"/>
      <c r="AVR7" s="1876"/>
      <c r="AVS7" s="1876"/>
      <c r="AVT7" s="1876"/>
      <c r="AVU7" s="1876"/>
      <c r="AVV7" s="1876"/>
      <c r="AVW7" s="1876"/>
      <c r="AVX7" s="1876"/>
      <c r="AVY7" s="1876"/>
      <c r="AVZ7" s="1876"/>
      <c r="AWA7" s="1876"/>
      <c r="AWB7" s="1876"/>
      <c r="AWC7" s="1876"/>
      <c r="AWD7" s="1876"/>
      <c r="AWE7" s="1876"/>
      <c r="AWF7" s="1876"/>
      <c r="AWG7" s="1876"/>
      <c r="AWH7" s="1876"/>
      <c r="AWI7" s="1876"/>
      <c r="AWJ7" s="1876"/>
      <c r="AWK7" s="1876"/>
      <c r="AWL7" s="1876"/>
      <c r="AWM7" s="1876"/>
      <c r="AWN7" s="1876"/>
      <c r="AWO7" s="1876"/>
      <c r="AWP7" s="1876"/>
      <c r="AWQ7" s="1876"/>
      <c r="AWR7" s="1876"/>
      <c r="AWS7" s="1876"/>
      <c r="AWT7" s="1876"/>
      <c r="AWU7" s="1876"/>
      <c r="AWV7" s="1876"/>
      <c r="AWW7" s="1876"/>
      <c r="AWX7" s="1876"/>
      <c r="AWY7" s="1876"/>
      <c r="AWZ7" s="1876"/>
      <c r="AXA7" s="1876"/>
      <c r="AXB7" s="1876"/>
      <c r="AXC7" s="1876"/>
      <c r="AXD7" s="1876"/>
      <c r="AXE7" s="1876"/>
      <c r="AXF7" s="1876"/>
      <c r="AXG7" s="1876"/>
      <c r="AXH7" s="1876"/>
      <c r="AXI7" s="1876"/>
      <c r="AXJ7" s="1876"/>
      <c r="AXK7" s="1876"/>
      <c r="AXL7" s="1876"/>
      <c r="AXM7" s="1876"/>
      <c r="AXN7" s="1876"/>
      <c r="AXO7" s="1876"/>
      <c r="AXP7" s="1876"/>
      <c r="AXQ7" s="1876"/>
      <c r="AXR7" s="1876"/>
      <c r="AXS7" s="1876"/>
      <c r="AXT7" s="1876"/>
      <c r="AXU7" s="1876"/>
      <c r="AXV7" s="1876"/>
      <c r="AXW7" s="1876"/>
      <c r="AXX7" s="1876"/>
      <c r="AXY7" s="1876"/>
      <c r="AXZ7" s="1876"/>
      <c r="AYA7" s="1876"/>
      <c r="AYB7" s="1876"/>
      <c r="AYC7" s="1876"/>
      <c r="AYD7" s="1876"/>
      <c r="AYE7" s="1876"/>
      <c r="AYF7" s="1876"/>
      <c r="AYG7" s="1876"/>
      <c r="AYH7" s="1876"/>
      <c r="AYI7" s="1876"/>
      <c r="AYJ7" s="1876"/>
      <c r="AYK7" s="1876"/>
      <c r="AYL7" s="1876"/>
      <c r="AYM7" s="1876"/>
      <c r="AYN7" s="1876"/>
      <c r="AYO7" s="1876"/>
      <c r="AYP7" s="1876"/>
      <c r="AYQ7" s="1876"/>
      <c r="AYR7" s="1876"/>
      <c r="AYS7" s="1876"/>
      <c r="AYT7" s="1876"/>
      <c r="AYU7" s="1876"/>
      <c r="AYV7" s="1876"/>
      <c r="AYW7" s="1876"/>
      <c r="AYX7" s="1876"/>
      <c r="AYY7" s="1876"/>
      <c r="AYZ7" s="1876"/>
      <c r="AZA7" s="1876"/>
      <c r="AZB7" s="1876"/>
      <c r="AZC7" s="1876"/>
      <c r="AZD7" s="1876"/>
      <c r="AZE7" s="1876"/>
      <c r="AZF7" s="1876"/>
      <c r="AZG7" s="1876"/>
      <c r="AZH7" s="1876"/>
      <c r="AZI7" s="1876"/>
      <c r="AZJ7" s="1876"/>
      <c r="AZK7" s="1876"/>
      <c r="AZL7" s="1876"/>
      <c r="AZM7" s="1876"/>
      <c r="AZN7" s="1876"/>
      <c r="AZO7" s="1876"/>
      <c r="AZP7" s="1876"/>
      <c r="AZQ7" s="1876"/>
      <c r="AZR7" s="1876"/>
      <c r="AZS7" s="1876"/>
      <c r="AZT7" s="1876"/>
      <c r="AZU7" s="1876"/>
      <c r="AZV7" s="1876"/>
      <c r="AZW7" s="1876"/>
      <c r="AZX7" s="1876"/>
      <c r="AZY7" s="1876"/>
      <c r="AZZ7" s="1876"/>
      <c r="BAA7" s="1876"/>
      <c r="BAB7" s="1876"/>
      <c r="BAC7" s="1876"/>
      <c r="BAD7" s="1876"/>
      <c r="BAE7" s="1876"/>
      <c r="BAF7" s="1876"/>
      <c r="BAG7" s="1876"/>
      <c r="BAH7" s="1876"/>
      <c r="BAI7" s="1876"/>
      <c r="BAJ7" s="1876"/>
      <c r="BAK7" s="1876"/>
      <c r="BAL7" s="1876"/>
      <c r="BAM7" s="1876"/>
      <c r="BAN7" s="1876"/>
      <c r="BAO7" s="1876"/>
      <c r="BAP7" s="1876"/>
      <c r="BAQ7" s="1876"/>
      <c r="BAR7" s="1876"/>
      <c r="BAS7" s="1876"/>
      <c r="BAT7" s="1876"/>
      <c r="BAU7" s="1876"/>
      <c r="BAV7" s="1876"/>
      <c r="BAW7" s="1876"/>
      <c r="BAX7" s="1876"/>
      <c r="BAY7" s="1876"/>
      <c r="BAZ7" s="1876"/>
      <c r="BBA7" s="1876"/>
      <c r="BBB7" s="1876"/>
      <c r="BBC7" s="1876"/>
      <c r="BBD7" s="1876"/>
      <c r="BBE7" s="1876"/>
      <c r="BBF7" s="1876"/>
      <c r="BBG7" s="1876"/>
      <c r="BBH7" s="1876"/>
      <c r="BBI7" s="1876"/>
      <c r="BBJ7" s="1876"/>
      <c r="BBK7" s="1876"/>
      <c r="BBL7" s="1876"/>
      <c r="BBM7" s="1876"/>
      <c r="BBN7" s="1876"/>
      <c r="BBO7" s="1876"/>
      <c r="BBP7" s="1876"/>
      <c r="BBQ7" s="1876"/>
      <c r="BBR7" s="1876"/>
      <c r="BBS7" s="1876"/>
      <c r="BBT7" s="1876"/>
      <c r="BBU7" s="1876"/>
      <c r="BBV7" s="1876"/>
      <c r="BBW7" s="1876"/>
      <c r="BBX7" s="1876"/>
      <c r="BBY7" s="1876"/>
      <c r="BBZ7" s="1876"/>
      <c r="BCA7" s="1876"/>
      <c r="BCB7" s="1876"/>
      <c r="BCC7" s="1876"/>
      <c r="BCD7" s="1876"/>
      <c r="BCE7" s="1876"/>
      <c r="BCF7" s="1876"/>
      <c r="BCG7" s="1876"/>
      <c r="BCH7" s="1876"/>
      <c r="BCI7" s="1876"/>
      <c r="BCJ7" s="1876"/>
      <c r="BCK7" s="1876"/>
      <c r="BCL7" s="1876"/>
      <c r="BCM7" s="1876"/>
      <c r="BCN7" s="1876"/>
      <c r="BCO7" s="1876"/>
      <c r="BCP7" s="1876"/>
      <c r="BCQ7" s="1876"/>
      <c r="BCR7" s="1876"/>
      <c r="BCS7" s="1876"/>
      <c r="BCT7" s="1876"/>
      <c r="BCU7" s="1876"/>
      <c r="BCV7" s="1876"/>
      <c r="BCW7" s="1876"/>
      <c r="BCX7" s="1876"/>
      <c r="BCY7" s="1876"/>
      <c r="BCZ7" s="1876"/>
      <c r="BDA7" s="1876"/>
      <c r="BDB7" s="1876"/>
      <c r="BDC7" s="1876"/>
      <c r="BDD7" s="1876"/>
      <c r="BDE7" s="1876"/>
      <c r="BDF7" s="1876"/>
      <c r="BDG7" s="1876"/>
      <c r="BDH7" s="1876"/>
      <c r="BDI7" s="1876"/>
      <c r="BDJ7" s="1876"/>
      <c r="BDK7" s="1876"/>
      <c r="BDL7" s="1876"/>
      <c r="BDM7" s="1876"/>
      <c r="BDN7" s="1876"/>
      <c r="BDO7" s="1876"/>
      <c r="BDP7" s="1876"/>
      <c r="BDQ7" s="1876"/>
      <c r="BDR7" s="1876"/>
      <c r="BDS7" s="1876"/>
      <c r="BDT7" s="1876"/>
      <c r="BDU7" s="1876"/>
      <c r="BDV7" s="1876"/>
      <c r="BDW7" s="1876"/>
      <c r="BDX7" s="1876"/>
      <c r="BDY7" s="1876"/>
      <c r="BDZ7" s="1876"/>
      <c r="BEA7" s="1876"/>
      <c r="BEB7" s="1876"/>
      <c r="BEC7" s="1876"/>
      <c r="BED7" s="1876"/>
      <c r="BEE7" s="1876"/>
      <c r="BEF7" s="1876"/>
      <c r="BEG7" s="1876"/>
      <c r="BEH7" s="1876"/>
      <c r="BEI7" s="1876"/>
      <c r="BEJ7" s="1876"/>
      <c r="BEK7" s="1876"/>
      <c r="BEL7" s="1876"/>
      <c r="BEM7" s="1876"/>
      <c r="BEN7" s="1876"/>
      <c r="BEO7" s="1876"/>
      <c r="BEP7" s="1876"/>
      <c r="BEQ7" s="1876"/>
      <c r="BER7" s="1876"/>
      <c r="BES7" s="1876"/>
      <c r="BET7" s="1876"/>
      <c r="BEU7" s="1876"/>
      <c r="BEV7" s="1876"/>
      <c r="BEW7" s="1876"/>
      <c r="BEX7" s="1876"/>
      <c r="BEY7" s="1876"/>
      <c r="BEZ7" s="1876"/>
      <c r="BFA7" s="1876"/>
      <c r="BFB7" s="1876"/>
      <c r="BFC7" s="1876"/>
      <c r="BFD7" s="1876"/>
      <c r="BFE7" s="1876"/>
      <c r="BFF7" s="1876"/>
      <c r="BFG7" s="1876"/>
      <c r="BFH7" s="1876"/>
      <c r="BFI7" s="1876"/>
      <c r="BFJ7" s="1876"/>
      <c r="BFK7" s="1876"/>
      <c r="BFL7" s="1876"/>
      <c r="BFM7" s="1876"/>
      <c r="BFN7" s="1876"/>
      <c r="BFO7" s="1876"/>
      <c r="BFP7" s="1876"/>
      <c r="BFQ7" s="1876"/>
      <c r="BFR7" s="1876"/>
      <c r="BFS7" s="1876"/>
      <c r="BFT7" s="1876"/>
      <c r="BFU7" s="1876"/>
      <c r="BFV7" s="1876"/>
      <c r="BFW7" s="1876"/>
      <c r="BFX7" s="1876"/>
      <c r="BFY7" s="1876"/>
      <c r="BFZ7" s="1876"/>
      <c r="BGA7" s="1876"/>
      <c r="BGB7" s="1876"/>
      <c r="BGC7" s="1876"/>
      <c r="BGD7" s="1876"/>
      <c r="BGE7" s="1876"/>
      <c r="BGF7" s="1876"/>
      <c r="BGG7" s="1876"/>
      <c r="BGH7" s="1876"/>
      <c r="BGI7" s="1876"/>
      <c r="BGJ7" s="1876"/>
      <c r="BGK7" s="1876"/>
      <c r="BGL7" s="1876"/>
      <c r="BGM7" s="1876"/>
      <c r="BGN7" s="1876"/>
      <c r="BGO7" s="1876"/>
      <c r="BGP7" s="1876"/>
      <c r="BGQ7" s="1876"/>
      <c r="BGR7" s="1876"/>
      <c r="BGS7" s="1876"/>
      <c r="BGT7" s="1876"/>
      <c r="BGU7" s="1876"/>
      <c r="BGV7" s="1876"/>
      <c r="BGW7" s="1876"/>
      <c r="BGX7" s="1876"/>
      <c r="BGY7" s="1876"/>
      <c r="BGZ7" s="1876"/>
      <c r="BHA7" s="1876"/>
      <c r="BHB7" s="1876"/>
      <c r="BHC7" s="1876"/>
      <c r="BHD7" s="1876"/>
      <c r="BHE7" s="1876"/>
      <c r="BHF7" s="1876"/>
      <c r="BHG7" s="1876"/>
      <c r="BHH7" s="1876"/>
      <c r="BHI7" s="1876"/>
      <c r="BHJ7" s="1876"/>
      <c r="BHK7" s="1876"/>
      <c r="BHL7" s="1876"/>
      <c r="BHM7" s="1876"/>
      <c r="BHN7" s="1876"/>
      <c r="BHO7" s="1876"/>
      <c r="BHP7" s="1876"/>
      <c r="BHQ7" s="1876"/>
      <c r="BHR7" s="1876"/>
      <c r="BHS7" s="1876"/>
      <c r="BHT7" s="1876"/>
      <c r="BHU7" s="1876"/>
      <c r="BHV7" s="1876"/>
      <c r="BHW7" s="1876"/>
      <c r="BHX7" s="1876"/>
      <c r="BHY7" s="1876"/>
      <c r="BHZ7" s="1876"/>
      <c r="BIA7" s="1876"/>
      <c r="BIB7" s="1876"/>
      <c r="BIC7" s="1876"/>
      <c r="BID7" s="1876"/>
      <c r="BIE7" s="1876"/>
      <c r="BIF7" s="1876"/>
      <c r="BIG7" s="1876"/>
      <c r="BIH7" s="1876"/>
      <c r="BII7" s="1876"/>
      <c r="BIJ7" s="1876"/>
      <c r="BIK7" s="1876"/>
      <c r="BIL7" s="1876"/>
      <c r="BIM7" s="1876"/>
      <c r="BIN7" s="1876"/>
      <c r="BIO7" s="1876"/>
      <c r="BIP7" s="1876"/>
      <c r="BIQ7" s="1876"/>
      <c r="BIR7" s="1876"/>
      <c r="BIS7" s="1876"/>
      <c r="BIT7" s="1876"/>
      <c r="BIU7" s="1876"/>
      <c r="BIV7" s="1876"/>
      <c r="BIW7" s="1876"/>
      <c r="BIX7" s="1876"/>
      <c r="BIY7" s="1876"/>
      <c r="BIZ7" s="1876"/>
      <c r="BJA7" s="1876"/>
      <c r="BJB7" s="1876"/>
      <c r="BJC7" s="1876"/>
      <c r="BJD7" s="1876"/>
      <c r="BJE7" s="1876"/>
      <c r="BJF7" s="1876"/>
      <c r="BJG7" s="1876"/>
      <c r="BJH7" s="1876"/>
      <c r="BJI7" s="1876"/>
      <c r="BJJ7" s="1876"/>
      <c r="BJK7" s="1876"/>
      <c r="BJL7" s="1876"/>
      <c r="BJM7" s="1876"/>
      <c r="BJN7" s="1876"/>
      <c r="BJO7" s="1876"/>
      <c r="BJP7" s="1876"/>
      <c r="BJQ7" s="1876"/>
      <c r="BJR7" s="1876"/>
      <c r="BJS7" s="1876"/>
      <c r="BJT7" s="1876"/>
      <c r="BJU7" s="1876"/>
      <c r="BJV7" s="1876"/>
      <c r="BJW7" s="1876"/>
      <c r="BJX7" s="1876"/>
      <c r="BJY7" s="1876"/>
      <c r="BJZ7" s="1876"/>
      <c r="BKA7" s="1876"/>
      <c r="BKB7" s="1876"/>
      <c r="BKC7" s="1876"/>
      <c r="BKD7" s="1876"/>
      <c r="BKE7" s="1876"/>
      <c r="BKF7" s="1876"/>
      <c r="BKG7" s="1876"/>
      <c r="BKH7" s="1876"/>
      <c r="BKI7" s="1876"/>
      <c r="BKJ7" s="1876"/>
      <c r="BKK7" s="1876"/>
      <c r="BKL7" s="1876"/>
      <c r="BKM7" s="1876"/>
      <c r="BKN7" s="1876"/>
      <c r="BKO7" s="1876"/>
      <c r="BKP7" s="1876"/>
      <c r="BKQ7" s="1876"/>
      <c r="BKR7" s="1876"/>
      <c r="BKS7" s="1876"/>
      <c r="BKT7" s="1876"/>
      <c r="BKU7" s="1876"/>
      <c r="BKV7" s="1876"/>
      <c r="BKW7" s="1876"/>
      <c r="BKX7" s="1876"/>
      <c r="BKY7" s="1876"/>
      <c r="BKZ7" s="1876"/>
      <c r="BLA7" s="1876"/>
      <c r="BLB7" s="1876"/>
      <c r="BLC7" s="1876"/>
      <c r="BLD7" s="1876"/>
      <c r="BLE7" s="1876"/>
      <c r="BLF7" s="1876"/>
      <c r="BLG7" s="1876"/>
      <c r="BLH7" s="1876"/>
      <c r="BLI7" s="1876"/>
      <c r="BLJ7" s="1876"/>
      <c r="BLK7" s="1876"/>
      <c r="BLL7" s="1876"/>
      <c r="BLM7" s="1876"/>
      <c r="BLN7" s="1876"/>
      <c r="BLO7" s="1876"/>
      <c r="BLP7" s="1876"/>
      <c r="BLQ7" s="1876"/>
      <c r="BLR7" s="1876"/>
      <c r="BLS7" s="1876"/>
      <c r="BLT7" s="1876"/>
      <c r="BLU7" s="1876"/>
      <c r="BLV7" s="1876"/>
      <c r="BLW7" s="1876"/>
      <c r="BLX7" s="1876"/>
      <c r="BLY7" s="1876"/>
      <c r="BLZ7" s="1876"/>
      <c r="BMA7" s="1876"/>
      <c r="BMB7" s="1876"/>
      <c r="BMC7" s="1876"/>
      <c r="BMD7" s="1876"/>
      <c r="BME7" s="1876"/>
      <c r="BMF7" s="1876"/>
      <c r="BMG7" s="1876"/>
      <c r="BMH7" s="1876"/>
      <c r="BMI7" s="1876"/>
      <c r="BMJ7" s="1876"/>
      <c r="BMK7" s="1876"/>
      <c r="BML7" s="1876"/>
      <c r="BMM7" s="1876"/>
      <c r="BMN7" s="1876"/>
      <c r="BMO7" s="1876"/>
      <c r="BMP7" s="1876"/>
      <c r="BMQ7" s="1876"/>
      <c r="BMR7" s="1876"/>
      <c r="BMS7" s="1876"/>
      <c r="BMT7" s="1876"/>
      <c r="BMU7" s="1876"/>
      <c r="BMV7" s="1876"/>
      <c r="BMW7" s="1876"/>
      <c r="BMX7" s="1876"/>
      <c r="BMY7" s="1876"/>
      <c r="BMZ7" s="1876"/>
      <c r="BNA7" s="1876"/>
      <c r="BNB7" s="1876"/>
      <c r="BNC7" s="1876"/>
      <c r="BND7" s="1876"/>
      <c r="BNE7" s="1876"/>
      <c r="BNF7" s="1876"/>
      <c r="BNG7" s="1876"/>
      <c r="BNH7" s="1876"/>
      <c r="BNI7" s="1876"/>
      <c r="BNJ7" s="1876"/>
      <c r="BNK7" s="1876"/>
      <c r="BNL7" s="1876"/>
      <c r="BNM7" s="1876"/>
      <c r="BNN7" s="1876"/>
      <c r="BNO7" s="1876"/>
      <c r="BNP7" s="1876"/>
      <c r="BNQ7" s="1876"/>
      <c r="BNR7" s="1876"/>
      <c r="BNS7" s="1876"/>
      <c r="BNT7" s="1876"/>
      <c r="BNU7" s="1876"/>
      <c r="BNV7" s="1876"/>
      <c r="BNW7" s="1876"/>
      <c r="BNX7" s="1876"/>
      <c r="BNY7" s="1876"/>
      <c r="BNZ7" s="1876"/>
      <c r="BOA7" s="1876"/>
      <c r="BOB7" s="1876"/>
      <c r="BOC7" s="1876"/>
      <c r="BOD7" s="1876"/>
      <c r="BOE7" s="1876"/>
      <c r="BOF7" s="1876"/>
      <c r="BOG7" s="1876"/>
      <c r="BOH7" s="1876"/>
      <c r="BOI7" s="1876"/>
      <c r="BOJ7" s="1876"/>
      <c r="BOK7" s="1876"/>
      <c r="BOL7" s="1876"/>
      <c r="BOM7" s="1876"/>
      <c r="BON7" s="1876"/>
      <c r="BOO7" s="1876"/>
      <c r="BOP7" s="1876"/>
      <c r="BOQ7" s="1876"/>
      <c r="BOR7" s="1876"/>
      <c r="BOS7" s="1876"/>
      <c r="BOT7" s="1876"/>
      <c r="BOU7" s="1876"/>
      <c r="BOV7" s="1876"/>
      <c r="BOW7" s="1876"/>
      <c r="BOX7" s="1876"/>
      <c r="BOY7" s="1876"/>
      <c r="BOZ7" s="1876"/>
      <c r="BPA7" s="1876"/>
      <c r="BPB7" s="1876"/>
      <c r="BPC7" s="1876"/>
      <c r="BPD7" s="1876"/>
      <c r="BPE7" s="1876"/>
      <c r="BPF7" s="1876"/>
      <c r="BPG7" s="1876"/>
      <c r="BPH7" s="1876"/>
      <c r="BPI7" s="1876"/>
      <c r="BPJ7" s="1876"/>
      <c r="BPK7" s="1876"/>
      <c r="BPL7" s="1876"/>
      <c r="BPM7" s="1876"/>
      <c r="BPN7" s="1876"/>
      <c r="BPO7" s="1876"/>
      <c r="BPP7" s="1876"/>
      <c r="BPQ7" s="1876"/>
      <c r="BPR7" s="1876"/>
      <c r="BPS7" s="1876"/>
      <c r="BPT7" s="1876"/>
      <c r="BPU7" s="1876"/>
      <c r="BPV7" s="1876"/>
      <c r="BPW7" s="1876"/>
      <c r="BPX7" s="1876"/>
      <c r="BPY7" s="1876"/>
      <c r="BPZ7" s="1876"/>
      <c r="BQA7" s="1876"/>
      <c r="BQB7" s="1876"/>
      <c r="BQC7" s="1876"/>
      <c r="BQD7" s="1876"/>
      <c r="BQE7" s="1876"/>
      <c r="BQF7" s="1876"/>
      <c r="BQG7" s="1876"/>
      <c r="BQH7" s="1876"/>
      <c r="BQI7" s="1876"/>
      <c r="BQJ7" s="1876"/>
      <c r="BQK7" s="1876"/>
      <c r="BQL7" s="1876"/>
      <c r="BQM7" s="1876"/>
      <c r="BQN7" s="1876"/>
      <c r="BQO7" s="1876"/>
      <c r="BQP7" s="1876"/>
      <c r="BQQ7" s="1876"/>
      <c r="BQR7" s="1876"/>
      <c r="BQS7" s="1876"/>
      <c r="BQT7" s="1876"/>
      <c r="BQU7" s="1876"/>
      <c r="BQV7" s="1876"/>
      <c r="BQW7" s="1876"/>
      <c r="BQX7" s="1876"/>
      <c r="BQY7" s="1876"/>
      <c r="BQZ7" s="1876"/>
      <c r="BRA7" s="1876"/>
      <c r="BRB7" s="1876"/>
      <c r="BRC7" s="1876"/>
      <c r="BRD7" s="1876"/>
      <c r="BRE7" s="1876"/>
      <c r="BRF7" s="1876"/>
      <c r="BRG7" s="1876"/>
      <c r="BRH7" s="1876"/>
      <c r="BRI7" s="1876"/>
      <c r="BRJ7" s="1876"/>
      <c r="BRK7" s="1876"/>
      <c r="BRL7" s="1876"/>
      <c r="BRM7" s="1876"/>
      <c r="BRN7" s="1876"/>
      <c r="BRO7" s="1876"/>
      <c r="BRP7" s="1876"/>
      <c r="BRQ7" s="1876"/>
      <c r="BRR7" s="1876"/>
      <c r="BRS7" s="1876"/>
      <c r="BRT7" s="1876"/>
      <c r="BRU7" s="1876"/>
      <c r="BRV7" s="1876"/>
      <c r="BRW7" s="1876"/>
      <c r="BRX7" s="1876"/>
      <c r="BRY7" s="1876"/>
      <c r="BRZ7" s="1876"/>
      <c r="BSA7" s="1876"/>
      <c r="BSB7" s="1876"/>
      <c r="BSC7" s="1876"/>
      <c r="BSD7" s="1876"/>
      <c r="BSE7" s="1876"/>
      <c r="BSF7" s="1876"/>
      <c r="BSG7" s="1876"/>
      <c r="BSH7" s="1876"/>
      <c r="BSI7" s="1876"/>
      <c r="BSJ7" s="1876"/>
      <c r="BSK7" s="1876"/>
      <c r="BSL7" s="1876"/>
      <c r="BSM7" s="1876"/>
      <c r="BSN7" s="1876"/>
      <c r="BSO7" s="1876"/>
      <c r="BSP7" s="1876"/>
      <c r="BSQ7" s="1876"/>
      <c r="BSR7" s="1876"/>
      <c r="BSS7" s="1876"/>
      <c r="BST7" s="1876"/>
      <c r="BSU7" s="1876"/>
      <c r="BSV7" s="1876"/>
      <c r="BSW7" s="1876"/>
      <c r="BSX7" s="1876"/>
      <c r="BSY7" s="1876"/>
      <c r="BSZ7" s="1876"/>
      <c r="BTA7" s="1876"/>
      <c r="BTB7" s="1876"/>
      <c r="BTC7" s="1876"/>
      <c r="BTD7" s="1876"/>
      <c r="BTE7" s="1876"/>
      <c r="BTF7" s="1876"/>
      <c r="BTG7" s="1876"/>
      <c r="BTH7" s="1876"/>
      <c r="BTI7" s="1876"/>
      <c r="BTJ7" s="1876"/>
      <c r="BTK7" s="1876"/>
      <c r="BTL7" s="1876"/>
      <c r="BTM7" s="1876"/>
      <c r="BTN7" s="1876"/>
      <c r="BTO7" s="1876"/>
      <c r="BTP7" s="1876"/>
      <c r="BTQ7" s="1876"/>
      <c r="BTR7" s="1876"/>
      <c r="BTS7" s="1876"/>
      <c r="BTT7" s="1876"/>
      <c r="BTU7" s="1876"/>
      <c r="BTV7" s="1876"/>
      <c r="BTW7" s="1876"/>
      <c r="BTX7" s="1876"/>
      <c r="BTY7" s="1876"/>
      <c r="BTZ7" s="1876"/>
      <c r="BUA7" s="1876"/>
      <c r="BUB7" s="1876"/>
      <c r="BUC7" s="1876"/>
      <c r="BUD7" s="1876"/>
      <c r="BUE7" s="1876"/>
      <c r="BUF7" s="1876"/>
      <c r="BUG7" s="1876"/>
      <c r="BUH7" s="1876"/>
      <c r="BUI7" s="1876"/>
      <c r="BUJ7" s="1876"/>
      <c r="BUK7" s="1876"/>
      <c r="BUL7" s="1876"/>
      <c r="BUM7" s="1876"/>
      <c r="BUN7" s="1876"/>
      <c r="BUO7" s="1876"/>
      <c r="BUP7" s="1876"/>
      <c r="BUQ7" s="1876"/>
      <c r="BUR7" s="1876"/>
      <c r="BUS7" s="1876"/>
      <c r="BUT7" s="1876"/>
      <c r="BUU7" s="1876"/>
      <c r="BUV7" s="1876"/>
      <c r="BUW7" s="1876"/>
      <c r="BUX7" s="1876"/>
      <c r="BUY7" s="1876"/>
      <c r="BUZ7" s="1876"/>
      <c r="BVA7" s="1876"/>
      <c r="BVB7" s="1876"/>
      <c r="BVC7" s="1876"/>
      <c r="BVD7" s="1876"/>
      <c r="BVE7" s="1876"/>
      <c r="BVF7" s="1876"/>
      <c r="BVG7" s="1876"/>
      <c r="BVH7" s="1876"/>
      <c r="BVI7" s="1876"/>
      <c r="BVJ7" s="1876"/>
      <c r="BVK7" s="1876"/>
      <c r="BVL7" s="1876"/>
      <c r="BVM7" s="1876"/>
      <c r="BVN7" s="1876"/>
      <c r="BVO7" s="1876"/>
      <c r="BVP7" s="1876"/>
      <c r="BVQ7" s="1876"/>
      <c r="BVR7" s="1876"/>
      <c r="BVS7" s="1876"/>
      <c r="BVT7" s="1876"/>
      <c r="BVU7" s="1876"/>
      <c r="BVV7" s="1876"/>
      <c r="BVW7" s="1876"/>
      <c r="BVX7" s="1876"/>
      <c r="BVY7" s="1876"/>
      <c r="BVZ7" s="1876"/>
      <c r="BWA7" s="1876"/>
      <c r="BWB7" s="1876"/>
      <c r="BWC7" s="1876"/>
      <c r="BWD7" s="1876"/>
      <c r="BWE7" s="1876"/>
      <c r="BWF7" s="1876"/>
      <c r="BWG7" s="1876"/>
      <c r="BWH7" s="1876"/>
      <c r="BWI7" s="1876"/>
      <c r="BWJ7" s="1876"/>
      <c r="BWK7" s="1876"/>
      <c r="BWL7" s="1876"/>
      <c r="BWM7" s="1876"/>
      <c r="BWN7" s="1876"/>
      <c r="BWO7" s="1876"/>
      <c r="BWP7" s="1876"/>
      <c r="BWQ7" s="1876"/>
      <c r="BWR7" s="1876"/>
      <c r="BWS7" s="1876"/>
      <c r="BWT7" s="1876"/>
      <c r="BWU7" s="1876"/>
      <c r="BWV7" s="1876"/>
      <c r="BWW7" s="1876"/>
      <c r="BWX7" s="1876"/>
      <c r="BWY7" s="1876"/>
      <c r="BWZ7" s="1876"/>
      <c r="BXA7" s="1876"/>
      <c r="BXB7" s="1876"/>
      <c r="BXC7" s="1876"/>
      <c r="BXD7" s="1876"/>
      <c r="BXE7" s="1876"/>
      <c r="BXF7" s="1876"/>
      <c r="BXG7" s="1876"/>
      <c r="BXH7" s="1876"/>
      <c r="BXI7" s="1876"/>
      <c r="BXJ7" s="1876"/>
      <c r="BXK7" s="1876"/>
      <c r="BXL7" s="1876"/>
      <c r="BXM7" s="1876"/>
      <c r="BXN7" s="1876"/>
      <c r="BXO7" s="1876"/>
      <c r="BXP7" s="1876"/>
      <c r="BXQ7" s="1876"/>
      <c r="BXR7" s="1876"/>
      <c r="BXS7" s="1876"/>
      <c r="BXT7" s="1876"/>
      <c r="BXU7" s="1876"/>
      <c r="BXV7" s="1876"/>
      <c r="BXW7" s="1876"/>
      <c r="BXX7" s="1876"/>
      <c r="BXY7" s="1876"/>
      <c r="BXZ7" s="1876"/>
      <c r="BYA7" s="1876"/>
      <c r="BYB7" s="1876"/>
      <c r="BYC7" s="1876"/>
      <c r="BYD7" s="1876"/>
      <c r="BYE7" s="1876"/>
      <c r="BYF7" s="1876"/>
      <c r="BYG7" s="1876"/>
      <c r="BYH7" s="1876"/>
      <c r="BYI7" s="1876"/>
      <c r="BYJ7" s="1876"/>
      <c r="BYK7" s="1876"/>
      <c r="BYL7" s="1876"/>
      <c r="BYM7" s="1876"/>
      <c r="BYN7" s="1876"/>
      <c r="BYO7" s="1876"/>
      <c r="BYP7" s="1876"/>
      <c r="BYQ7" s="1876"/>
      <c r="BYR7" s="1876"/>
      <c r="BYS7" s="1876"/>
      <c r="BYT7" s="1876"/>
      <c r="BYU7" s="1876"/>
      <c r="BYV7" s="1876"/>
      <c r="BYW7" s="1876"/>
      <c r="BYX7" s="1876"/>
      <c r="BYY7" s="1876"/>
      <c r="BYZ7" s="1876"/>
      <c r="BZA7" s="1876"/>
      <c r="BZB7" s="1876"/>
      <c r="BZC7" s="1876"/>
      <c r="BZD7" s="1876"/>
      <c r="BZE7" s="1876"/>
      <c r="BZF7" s="1876"/>
      <c r="BZG7" s="1876"/>
      <c r="BZH7" s="1876"/>
      <c r="BZI7" s="1876"/>
      <c r="BZJ7" s="1876"/>
      <c r="BZK7" s="1876"/>
      <c r="BZL7" s="1876"/>
      <c r="BZM7" s="1876"/>
      <c r="BZN7" s="1876"/>
      <c r="BZO7" s="1876"/>
      <c r="BZP7" s="1876"/>
      <c r="BZQ7" s="1876"/>
      <c r="BZR7" s="1876"/>
      <c r="BZS7" s="1876"/>
      <c r="BZT7" s="1876"/>
      <c r="BZU7" s="1876"/>
      <c r="BZV7" s="1876"/>
      <c r="BZW7" s="1876"/>
      <c r="BZX7" s="1876"/>
      <c r="BZY7" s="1876"/>
      <c r="BZZ7" s="1876"/>
      <c r="CAA7" s="1876"/>
      <c r="CAB7" s="1876"/>
      <c r="CAC7" s="1876"/>
      <c r="CAD7" s="1876"/>
      <c r="CAE7" s="1876"/>
      <c r="CAF7" s="1876"/>
      <c r="CAG7" s="1876"/>
      <c r="CAH7" s="1876"/>
      <c r="CAI7" s="1876"/>
      <c r="CAJ7" s="1876"/>
      <c r="CAK7" s="1876"/>
      <c r="CAL7" s="1876"/>
      <c r="CAM7" s="1876"/>
      <c r="CAN7" s="1876"/>
      <c r="CAO7" s="1876"/>
      <c r="CAP7" s="1876"/>
      <c r="CAQ7" s="1876"/>
      <c r="CAR7" s="1876"/>
      <c r="CAS7" s="1876"/>
      <c r="CAT7" s="1876"/>
      <c r="CAU7" s="1876"/>
      <c r="CAV7" s="1876"/>
      <c r="CAW7" s="1876"/>
      <c r="CAX7" s="1876"/>
      <c r="CAY7" s="1876"/>
      <c r="CAZ7" s="1876"/>
      <c r="CBA7" s="1876"/>
      <c r="CBB7" s="1876"/>
      <c r="CBC7" s="1876"/>
      <c r="CBD7" s="1876"/>
      <c r="CBE7" s="1876"/>
      <c r="CBF7" s="1876"/>
      <c r="CBG7" s="1876"/>
      <c r="CBH7" s="1876"/>
      <c r="CBI7" s="1876"/>
      <c r="CBJ7" s="1876"/>
      <c r="CBK7" s="1876"/>
      <c r="CBL7" s="1876"/>
      <c r="CBM7" s="1876"/>
      <c r="CBN7" s="1876"/>
      <c r="CBO7" s="1876"/>
      <c r="CBP7" s="1876"/>
      <c r="CBQ7" s="1876"/>
      <c r="CBR7" s="1876"/>
      <c r="CBS7" s="1876"/>
      <c r="CBT7" s="1876"/>
      <c r="CBU7" s="1876"/>
      <c r="CBV7" s="1876"/>
      <c r="CBW7" s="1876"/>
      <c r="CBX7" s="1876"/>
      <c r="CBY7" s="1876"/>
      <c r="CBZ7" s="1876"/>
      <c r="CCA7" s="1876"/>
      <c r="CCB7" s="1876"/>
      <c r="CCC7" s="1876"/>
      <c r="CCD7" s="1876"/>
      <c r="CCE7" s="1876"/>
      <c r="CCF7" s="1876"/>
      <c r="CCG7" s="1876"/>
      <c r="CCH7" s="1876"/>
      <c r="CCI7" s="1876"/>
      <c r="CCJ7" s="1876"/>
      <c r="CCK7" s="1876"/>
      <c r="CCL7" s="1876"/>
      <c r="CCM7" s="1876"/>
      <c r="CCN7" s="1876"/>
      <c r="CCO7" s="1876"/>
      <c r="CCP7" s="1876"/>
      <c r="CCQ7" s="1876"/>
      <c r="CCR7" s="1876"/>
      <c r="CCS7" s="1876"/>
      <c r="CCT7" s="1876"/>
      <c r="CCU7" s="1876"/>
      <c r="CCV7" s="1876"/>
      <c r="CCW7" s="1876"/>
      <c r="CCX7" s="1876"/>
      <c r="CCY7" s="1876"/>
      <c r="CCZ7" s="1876"/>
      <c r="CDA7" s="1876"/>
      <c r="CDB7" s="1876"/>
      <c r="CDC7" s="1876"/>
      <c r="CDD7" s="1876"/>
      <c r="CDE7" s="1876"/>
      <c r="CDF7" s="1876"/>
      <c r="CDG7" s="1876"/>
      <c r="CDH7" s="1876"/>
      <c r="CDI7" s="1876"/>
      <c r="CDJ7" s="1876"/>
      <c r="CDK7" s="1876"/>
      <c r="CDL7" s="1876"/>
      <c r="CDM7" s="1876"/>
      <c r="CDN7" s="1876"/>
      <c r="CDO7" s="1876"/>
      <c r="CDP7" s="1876"/>
      <c r="CDQ7" s="1876"/>
      <c r="CDR7" s="1876"/>
      <c r="CDS7" s="1876"/>
      <c r="CDT7" s="1876"/>
      <c r="CDU7" s="1876"/>
      <c r="CDV7" s="1876"/>
      <c r="CDW7" s="1876"/>
      <c r="CDX7" s="1876"/>
      <c r="CDY7" s="1876"/>
      <c r="CDZ7" s="1876"/>
      <c r="CEA7" s="1876"/>
      <c r="CEB7" s="1876"/>
      <c r="CEC7" s="1876"/>
      <c r="CED7" s="1876"/>
      <c r="CEE7" s="1876"/>
      <c r="CEF7" s="1876"/>
      <c r="CEG7" s="1876"/>
      <c r="CEH7" s="1876"/>
      <c r="CEI7" s="1876"/>
      <c r="CEJ7" s="1876"/>
      <c r="CEK7" s="1876"/>
      <c r="CEL7" s="1876"/>
      <c r="CEM7" s="1876"/>
      <c r="CEN7" s="1876"/>
      <c r="CEO7" s="1876"/>
      <c r="CEP7" s="1876"/>
      <c r="CEQ7" s="1876"/>
      <c r="CER7" s="1876"/>
      <c r="CES7" s="1876"/>
      <c r="CET7" s="1876"/>
      <c r="CEU7" s="1876"/>
      <c r="CEV7" s="1876"/>
      <c r="CEW7" s="1876"/>
      <c r="CEX7" s="1876"/>
      <c r="CEY7" s="1876"/>
      <c r="CEZ7" s="1876"/>
      <c r="CFA7" s="1876"/>
      <c r="CFB7" s="1876"/>
      <c r="CFC7" s="1876"/>
      <c r="CFD7" s="1876"/>
      <c r="CFE7" s="1876"/>
      <c r="CFF7" s="1876"/>
      <c r="CFG7" s="1876"/>
      <c r="CFH7" s="1876"/>
      <c r="CFI7" s="1876"/>
      <c r="CFJ7" s="1876"/>
      <c r="CFK7" s="1876"/>
      <c r="CFL7" s="1876"/>
      <c r="CFM7" s="1876"/>
      <c r="CFN7" s="1876"/>
      <c r="CFO7" s="1876"/>
      <c r="CFP7" s="1876"/>
      <c r="CFQ7" s="1876"/>
      <c r="CFR7" s="1876"/>
      <c r="CFS7" s="1876"/>
      <c r="CFT7" s="1876"/>
      <c r="CFU7" s="1876"/>
      <c r="CFV7" s="1876"/>
      <c r="CFW7" s="1876"/>
      <c r="CFX7" s="1876"/>
      <c r="CFY7" s="1876"/>
      <c r="CFZ7" s="1876"/>
      <c r="CGA7" s="1876"/>
      <c r="CGB7" s="1876"/>
      <c r="CGC7" s="1876"/>
      <c r="CGD7" s="1876"/>
      <c r="CGE7" s="1876"/>
      <c r="CGF7" s="1876"/>
      <c r="CGG7" s="1876"/>
      <c r="CGH7" s="1876"/>
      <c r="CGI7" s="1876"/>
      <c r="CGJ7" s="1876"/>
      <c r="CGK7" s="1876"/>
      <c r="CGL7" s="1876"/>
      <c r="CGM7" s="1876"/>
      <c r="CGN7" s="1876"/>
      <c r="CGO7" s="1876"/>
      <c r="CGP7" s="1876"/>
      <c r="CGQ7" s="1876"/>
      <c r="CGR7" s="1876"/>
      <c r="CGS7" s="1876"/>
      <c r="CGT7" s="1876"/>
      <c r="CGU7" s="1876"/>
      <c r="CGV7" s="1876"/>
      <c r="CGW7" s="1876"/>
      <c r="CGX7" s="1876"/>
      <c r="CGY7" s="1876"/>
      <c r="CGZ7" s="1876"/>
      <c r="CHA7" s="1876"/>
      <c r="CHB7" s="1876"/>
      <c r="CHC7" s="1876"/>
      <c r="CHD7" s="1876"/>
      <c r="CHE7" s="1876"/>
      <c r="CHF7" s="1876"/>
      <c r="CHG7" s="1876"/>
      <c r="CHH7" s="1876"/>
      <c r="CHI7" s="1876"/>
      <c r="CHJ7" s="1876"/>
      <c r="CHK7" s="1876"/>
      <c r="CHL7" s="1876"/>
      <c r="CHM7" s="1876"/>
      <c r="CHN7" s="1876"/>
      <c r="CHO7" s="1876"/>
      <c r="CHP7" s="1876"/>
      <c r="CHQ7" s="1876"/>
      <c r="CHR7" s="1876"/>
      <c r="CHS7" s="1876"/>
      <c r="CHT7" s="1876"/>
      <c r="CHU7" s="1876"/>
      <c r="CHV7" s="1876"/>
      <c r="CHW7" s="1876"/>
      <c r="CHX7" s="1876"/>
      <c r="CHY7" s="1876"/>
      <c r="CHZ7" s="1876"/>
      <c r="CIA7" s="1876"/>
      <c r="CIB7" s="1876"/>
      <c r="CIC7" s="1876"/>
      <c r="CID7" s="1876"/>
      <c r="CIE7" s="1876"/>
      <c r="CIF7" s="1876"/>
      <c r="CIG7" s="1876"/>
      <c r="CIH7" s="1876"/>
      <c r="CII7" s="1876"/>
      <c r="CIJ7" s="1876"/>
      <c r="CIK7" s="1876"/>
      <c r="CIL7" s="1876"/>
      <c r="CIM7" s="1876"/>
      <c r="CIN7" s="1876"/>
      <c r="CIO7" s="1876"/>
      <c r="CIP7" s="1876"/>
      <c r="CIQ7" s="1876"/>
      <c r="CIR7" s="1876"/>
      <c r="CIS7" s="1876"/>
      <c r="CIT7" s="1876"/>
      <c r="CIU7" s="1876"/>
      <c r="CIV7" s="1876"/>
      <c r="CIW7" s="1876"/>
      <c r="CIX7" s="1876"/>
      <c r="CIY7" s="1876"/>
      <c r="CIZ7" s="1876"/>
      <c r="CJA7" s="1876"/>
      <c r="CJB7" s="1876"/>
      <c r="CJC7" s="1876"/>
      <c r="CJD7" s="1876"/>
      <c r="CJE7" s="1876"/>
      <c r="CJF7" s="1876"/>
      <c r="CJG7" s="1876"/>
      <c r="CJH7" s="1876"/>
      <c r="CJI7" s="1876"/>
      <c r="CJJ7" s="1876"/>
      <c r="CJK7" s="1876"/>
      <c r="CJL7" s="1876"/>
      <c r="CJM7" s="1876"/>
      <c r="CJN7" s="1876"/>
      <c r="CJO7" s="1876"/>
      <c r="CJP7" s="1876"/>
      <c r="CJQ7" s="1876"/>
      <c r="CJR7" s="1876"/>
      <c r="CJS7" s="1876"/>
      <c r="CJT7" s="1876"/>
      <c r="CJU7" s="1876"/>
      <c r="CJV7" s="1876"/>
      <c r="CJW7" s="1876"/>
      <c r="CJX7" s="1876"/>
      <c r="CJY7" s="1876"/>
      <c r="CJZ7" s="1876"/>
      <c r="CKA7" s="1876"/>
      <c r="CKB7" s="1876"/>
      <c r="CKC7" s="1876"/>
      <c r="CKD7" s="1876"/>
      <c r="CKE7" s="1876"/>
      <c r="CKF7" s="1876"/>
      <c r="CKG7" s="1876"/>
      <c r="CKH7" s="1876"/>
      <c r="CKI7" s="1876"/>
      <c r="CKJ7" s="1876"/>
      <c r="CKK7" s="1876"/>
      <c r="CKL7" s="1876"/>
      <c r="CKM7" s="1876"/>
      <c r="CKN7" s="1876"/>
      <c r="CKO7" s="1876"/>
      <c r="CKP7" s="1876"/>
      <c r="CKQ7" s="1876"/>
      <c r="CKR7" s="1876"/>
      <c r="CKS7" s="1876"/>
      <c r="CKT7" s="1876"/>
      <c r="CKU7" s="1876"/>
      <c r="CKV7" s="1876"/>
      <c r="CKW7" s="1876"/>
      <c r="CKX7" s="1876"/>
      <c r="CKY7" s="1876"/>
      <c r="CKZ7" s="1876"/>
      <c r="CLA7" s="1876"/>
      <c r="CLB7" s="1876"/>
      <c r="CLC7" s="1876"/>
      <c r="CLD7" s="1876"/>
      <c r="CLE7" s="1876"/>
      <c r="CLF7" s="1876"/>
      <c r="CLG7" s="1876"/>
      <c r="CLH7" s="1876"/>
      <c r="CLI7" s="1876"/>
      <c r="CLJ7" s="1876"/>
      <c r="CLK7" s="1876"/>
      <c r="CLL7" s="1876"/>
      <c r="CLM7" s="1876"/>
      <c r="CLN7" s="1876"/>
      <c r="CLO7" s="1876"/>
      <c r="CLP7" s="1876"/>
      <c r="CLQ7" s="1876"/>
      <c r="CLR7" s="1876"/>
      <c r="CLS7" s="1876"/>
      <c r="CLT7" s="1876"/>
      <c r="CLU7" s="1876"/>
      <c r="CLV7" s="1876"/>
      <c r="CLW7" s="1876"/>
      <c r="CLX7" s="1876"/>
      <c r="CLY7" s="1876"/>
      <c r="CLZ7" s="1876"/>
      <c r="CMA7" s="1876"/>
      <c r="CMB7" s="1876"/>
      <c r="CMC7" s="1876"/>
      <c r="CMD7" s="1876"/>
      <c r="CME7" s="1876"/>
      <c r="CMF7" s="1876"/>
      <c r="CMG7" s="1876"/>
      <c r="CMH7" s="1876"/>
      <c r="CMI7" s="1876"/>
      <c r="CMJ7" s="1876"/>
      <c r="CMK7" s="1876"/>
      <c r="CML7" s="1876"/>
      <c r="CMM7" s="1876"/>
      <c r="CMN7" s="1876"/>
      <c r="CMO7" s="1876"/>
      <c r="CMP7" s="1876"/>
      <c r="CMQ7" s="1876"/>
      <c r="CMR7" s="1876"/>
      <c r="CMS7" s="1876"/>
      <c r="CMT7" s="1876"/>
      <c r="CMU7" s="1876"/>
      <c r="CMV7" s="1876"/>
      <c r="CMW7" s="1876"/>
      <c r="CMX7" s="1876"/>
      <c r="CMY7" s="1876"/>
      <c r="CMZ7" s="1876"/>
      <c r="CNA7" s="1876"/>
      <c r="CNB7" s="1876"/>
      <c r="CNC7" s="1876"/>
      <c r="CND7" s="1876"/>
      <c r="CNE7" s="1876"/>
      <c r="CNF7" s="1876"/>
      <c r="CNG7" s="1876"/>
      <c r="CNH7" s="1876"/>
      <c r="CNI7" s="1876"/>
      <c r="CNJ7" s="1876"/>
      <c r="CNK7" s="1876"/>
      <c r="CNL7" s="1876"/>
      <c r="CNM7" s="1876"/>
      <c r="CNN7" s="1876"/>
      <c r="CNO7" s="1876"/>
      <c r="CNP7" s="1876"/>
      <c r="CNQ7" s="1876"/>
      <c r="CNR7" s="1876"/>
      <c r="CNS7" s="1876"/>
      <c r="CNT7" s="1876"/>
      <c r="CNU7" s="1876"/>
      <c r="CNV7" s="1876"/>
      <c r="CNW7" s="1876"/>
      <c r="CNX7" s="1876"/>
      <c r="CNY7" s="1876"/>
      <c r="CNZ7" s="1876"/>
      <c r="COA7" s="1876"/>
      <c r="COB7" s="1876"/>
      <c r="COC7" s="1876"/>
      <c r="COD7" s="1876"/>
      <c r="COE7" s="1876"/>
      <c r="COF7" s="1876"/>
      <c r="COG7" s="1876"/>
      <c r="COH7" s="1876"/>
      <c r="COI7" s="1876"/>
      <c r="COJ7" s="1876"/>
      <c r="COK7" s="1876"/>
      <c r="COL7" s="1876"/>
      <c r="COM7" s="1876"/>
      <c r="CON7" s="1876"/>
      <c r="COO7" s="1876"/>
      <c r="COP7" s="1876"/>
      <c r="COQ7" s="1876"/>
      <c r="COR7" s="1876"/>
      <c r="COS7" s="1876"/>
      <c r="COT7" s="1876"/>
      <c r="COU7" s="1876"/>
      <c r="COV7" s="1876"/>
      <c r="COW7" s="1876"/>
      <c r="COX7" s="1876"/>
      <c r="COY7" s="1876"/>
      <c r="COZ7" s="1876"/>
      <c r="CPA7" s="1876"/>
      <c r="CPB7" s="1876"/>
      <c r="CPC7" s="1876"/>
      <c r="CPD7" s="1876"/>
      <c r="CPE7" s="1876"/>
      <c r="CPF7" s="1876"/>
      <c r="CPG7" s="1876"/>
      <c r="CPH7" s="1876"/>
      <c r="CPI7" s="1876"/>
      <c r="CPJ7" s="1876"/>
      <c r="CPK7" s="1876"/>
      <c r="CPL7" s="1876"/>
      <c r="CPM7" s="1876"/>
      <c r="CPN7" s="1876"/>
      <c r="CPO7" s="1876"/>
      <c r="CPP7" s="1876"/>
      <c r="CPQ7" s="1876"/>
      <c r="CPR7" s="1876"/>
      <c r="CPS7" s="1876"/>
      <c r="CPT7" s="1876"/>
      <c r="CPU7" s="1876"/>
      <c r="CPV7" s="1876"/>
      <c r="CPW7" s="1876"/>
      <c r="CPX7" s="1876"/>
      <c r="CPY7" s="1876"/>
      <c r="CPZ7" s="1876"/>
      <c r="CQA7" s="1876"/>
      <c r="CQB7" s="1876"/>
      <c r="CQC7" s="1876"/>
      <c r="CQD7" s="1876"/>
      <c r="CQE7" s="1876"/>
      <c r="CQF7" s="1876"/>
      <c r="CQG7" s="1876"/>
      <c r="CQH7" s="1876"/>
      <c r="CQI7" s="1876"/>
      <c r="CQJ7" s="1876"/>
      <c r="CQK7" s="1876"/>
      <c r="CQL7" s="1876"/>
      <c r="CQM7" s="1876"/>
      <c r="CQN7" s="1876"/>
      <c r="CQO7" s="1876"/>
      <c r="CQP7" s="1876"/>
      <c r="CQQ7" s="1876"/>
      <c r="CQR7" s="1876"/>
      <c r="CQS7" s="1876"/>
      <c r="CQT7" s="1876"/>
      <c r="CQU7" s="1876"/>
      <c r="CQV7" s="1876"/>
      <c r="CQW7" s="1876"/>
      <c r="CQX7" s="1876"/>
      <c r="CQY7" s="1876"/>
      <c r="CQZ7" s="1876"/>
      <c r="CRA7" s="1876"/>
      <c r="CRB7" s="1876"/>
      <c r="CRC7" s="1876"/>
      <c r="CRD7" s="1876"/>
      <c r="CRE7" s="1876"/>
      <c r="CRF7" s="1876"/>
      <c r="CRG7" s="1876"/>
      <c r="CRH7" s="1876"/>
      <c r="CRI7" s="1876"/>
      <c r="CRJ7" s="1876"/>
      <c r="CRK7" s="1876"/>
      <c r="CRL7" s="1876"/>
      <c r="CRM7" s="1876"/>
      <c r="CRN7" s="1876"/>
      <c r="CRO7" s="1876"/>
      <c r="CRP7" s="1876"/>
      <c r="CRQ7" s="1876"/>
      <c r="CRR7" s="1876"/>
      <c r="CRS7" s="1876"/>
      <c r="CRT7" s="1876"/>
      <c r="CRU7" s="1876"/>
      <c r="CRV7" s="1876"/>
      <c r="CRW7" s="1876"/>
      <c r="CRX7" s="1876"/>
      <c r="CRY7" s="1876"/>
      <c r="CRZ7" s="1876"/>
      <c r="CSA7" s="1876"/>
      <c r="CSB7" s="1876"/>
      <c r="CSC7" s="1876"/>
      <c r="CSD7" s="1876"/>
      <c r="CSE7" s="1876"/>
      <c r="CSF7" s="1876"/>
      <c r="CSG7" s="1876"/>
      <c r="CSH7" s="1876"/>
      <c r="CSI7" s="1876"/>
      <c r="CSJ7" s="1876"/>
      <c r="CSK7" s="1876"/>
      <c r="CSL7" s="1876"/>
      <c r="CSM7" s="1876"/>
      <c r="CSN7" s="1876"/>
      <c r="CSO7" s="1876"/>
      <c r="CSP7" s="1876"/>
      <c r="CSQ7" s="1876"/>
      <c r="CSR7" s="1876"/>
      <c r="CSS7" s="1876"/>
      <c r="CST7" s="1876"/>
      <c r="CSU7" s="1876"/>
      <c r="CSV7" s="1876"/>
      <c r="CSW7" s="1876"/>
      <c r="CSX7" s="1876"/>
      <c r="CSY7" s="1876"/>
      <c r="CSZ7" s="1876"/>
      <c r="CTA7" s="1876"/>
      <c r="CTB7" s="1876"/>
      <c r="CTC7" s="1876"/>
      <c r="CTD7" s="1876"/>
      <c r="CTE7" s="1876"/>
      <c r="CTF7" s="1876"/>
      <c r="CTG7" s="1876"/>
      <c r="CTH7" s="1876"/>
      <c r="CTI7" s="1876"/>
      <c r="CTJ7" s="1876"/>
      <c r="CTK7" s="1876"/>
      <c r="CTL7" s="1876"/>
      <c r="CTM7" s="1876"/>
      <c r="CTN7" s="1876"/>
      <c r="CTO7" s="1876"/>
      <c r="CTP7" s="1876"/>
      <c r="CTQ7" s="1876"/>
      <c r="CTR7" s="1876"/>
      <c r="CTS7" s="1876"/>
      <c r="CTT7" s="1876"/>
      <c r="CTU7" s="1876"/>
      <c r="CTV7" s="1876"/>
      <c r="CTW7" s="1876"/>
      <c r="CTX7" s="1876"/>
      <c r="CTY7" s="1876"/>
      <c r="CTZ7" s="1876"/>
      <c r="CUA7" s="1876"/>
      <c r="CUB7" s="1876"/>
      <c r="CUC7" s="1876"/>
      <c r="CUD7" s="1876"/>
      <c r="CUE7" s="1876"/>
      <c r="CUF7" s="1876"/>
      <c r="CUG7" s="1876"/>
      <c r="CUH7" s="1876"/>
      <c r="CUI7" s="1876"/>
      <c r="CUJ7" s="1876"/>
      <c r="CUK7" s="1876"/>
      <c r="CUL7" s="1876"/>
      <c r="CUM7" s="1876"/>
      <c r="CUN7" s="1876"/>
      <c r="CUO7" s="1876"/>
      <c r="CUP7" s="1876"/>
      <c r="CUQ7" s="1876"/>
      <c r="CUR7" s="1876"/>
      <c r="CUS7" s="1876"/>
      <c r="CUT7" s="1876"/>
      <c r="CUU7" s="1876"/>
      <c r="CUV7" s="1876"/>
      <c r="CUW7" s="1876"/>
      <c r="CUX7" s="1876"/>
      <c r="CUY7" s="1876"/>
      <c r="CUZ7" s="1876"/>
      <c r="CVA7" s="1876"/>
      <c r="CVB7" s="1876"/>
      <c r="CVC7" s="1876"/>
      <c r="CVD7" s="1876"/>
      <c r="CVE7" s="1876"/>
      <c r="CVF7" s="1876"/>
      <c r="CVG7" s="1876"/>
      <c r="CVH7" s="1876"/>
      <c r="CVI7" s="1876"/>
      <c r="CVJ7" s="1876"/>
      <c r="CVK7" s="1876"/>
      <c r="CVL7" s="1876"/>
      <c r="CVM7" s="1876"/>
      <c r="CVN7" s="1876"/>
      <c r="CVO7" s="1876"/>
      <c r="CVP7" s="1876"/>
      <c r="CVQ7" s="1876"/>
      <c r="CVR7" s="1876"/>
      <c r="CVS7" s="1876"/>
      <c r="CVT7" s="1876"/>
      <c r="CVU7" s="1876"/>
      <c r="CVV7" s="1876"/>
      <c r="CVW7" s="1876"/>
      <c r="CVX7" s="1876"/>
      <c r="CVY7" s="1876"/>
      <c r="CVZ7" s="1876"/>
      <c r="CWA7" s="1876"/>
      <c r="CWB7" s="1876"/>
      <c r="CWC7" s="1876"/>
      <c r="CWD7" s="1876"/>
      <c r="CWE7" s="1876"/>
      <c r="CWF7" s="1876"/>
      <c r="CWG7" s="1876"/>
      <c r="CWH7" s="1876"/>
      <c r="CWI7" s="1876"/>
      <c r="CWJ7" s="1876"/>
      <c r="CWK7" s="1876"/>
      <c r="CWL7" s="1876"/>
      <c r="CWM7" s="1876"/>
      <c r="CWN7" s="1876"/>
      <c r="CWO7" s="1876"/>
      <c r="CWP7" s="1876"/>
      <c r="CWQ7" s="1876"/>
      <c r="CWR7" s="1876"/>
      <c r="CWS7" s="1876"/>
      <c r="CWT7" s="1876"/>
      <c r="CWU7" s="1876"/>
      <c r="CWV7" s="1876"/>
      <c r="CWW7" s="1876"/>
      <c r="CWX7" s="1876"/>
      <c r="CWY7" s="1876"/>
      <c r="CWZ7" s="1876"/>
      <c r="CXA7" s="1876"/>
      <c r="CXB7" s="1876"/>
      <c r="CXC7" s="1876"/>
      <c r="CXD7" s="1876"/>
      <c r="CXE7" s="1876"/>
      <c r="CXF7" s="1876"/>
      <c r="CXG7" s="1876"/>
      <c r="CXH7" s="1876"/>
      <c r="CXI7" s="1876"/>
      <c r="CXJ7" s="1876"/>
      <c r="CXK7" s="1876"/>
      <c r="CXL7" s="1876"/>
      <c r="CXM7" s="1876"/>
      <c r="CXN7" s="1876"/>
      <c r="CXO7" s="1876"/>
      <c r="CXP7" s="1876"/>
      <c r="CXQ7" s="1876"/>
      <c r="CXR7" s="1876"/>
      <c r="CXS7" s="1876"/>
      <c r="CXT7" s="1876"/>
      <c r="CXU7" s="1876"/>
      <c r="CXV7" s="1876"/>
      <c r="CXW7" s="1876"/>
      <c r="CXX7" s="1876"/>
      <c r="CXY7" s="1876"/>
      <c r="CXZ7" s="1876"/>
      <c r="CYA7" s="1876"/>
      <c r="CYB7" s="1876"/>
      <c r="CYC7" s="1876"/>
      <c r="CYD7" s="1876"/>
      <c r="CYE7" s="1876"/>
      <c r="CYF7" s="1876"/>
      <c r="CYG7" s="1876"/>
      <c r="CYH7" s="1876"/>
      <c r="CYI7" s="1876"/>
      <c r="CYJ7" s="1876"/>
      <c r="CYK7" s="1876"/>
      <c r="CYL7" s="1876"/>
      <c r="CYM7" s="1876"/>
      <c r="CYN7" s="1876"/>
      <c r="CYO7" s="1876"/>
      <c r="CYP7" s="1876"/>
      <c r="CYQ7" s="1876"/>
      <c r="CYR7" s="1876"/>
      <c r="CYS7" s="1876"/>
      <c r="CYT7" s="1876"/>
      <c r="CYU7" s="1876"/>
      <c r="CYV7" s="1876"/>
      <c r="CYW7" s="1876"/>
      <c r="CYX7" s="1876"/>
      <c r="CYY7" s="1876"/>
      <c r="CYZ7" s="1876"/>
      <c r="CZA7" s="1876"/>
      <c r="CZB7" s="1876"/>
      <c r="CZC7" s="1876"/>
      <c r="CZD7" s="1876"/>
      <c r="CZE7" s="1876"/>
      <c r="CZF7" s="1876"/>
      <c r="CZG7" s="1876"/>
      <c r="CZH7" s="1876"/>
      <c r="CZI7" s="1876"/>
      <c r="CZJ7" s="1876"/>
      <c r="CZK7" s="1876"/>
      <c r="CZL7" s="1876"/>
      <c r="CZM7" s="1876"/>
      <c r="CZN7" s="1876"/>
      <c r="CZO7" s="1876"/>
      <c r="CZP7" s="1876"/>
      <c r="CZQ7" s="1876"/>
      <c r="CZR7" s="1876"/>
      <c r="CZS7" s="1876"/>
      <c r="CZT7" s="1876"/>
      <c r="CZU7" s="1876"/>
      <c r="CZV7" s="1876"/>
      <c r="CZW7" s="1876"/>
      <c r="CZX7" s="1876"/>
      <c r="CZY7" s="1876"/>
      <c r="CZZ7" s="1876"/>
      <c r="DAA7" s="1876"/>
      <c r="DAB7" s="1876"/>
      <c r="DAC7" s="1876"/>
      <c r="DAD7" s="1876"/>
      <c r="DAE7" s="1876"/>
      <c r="DAF7" s="1876"/>
      <c r="DAG7" s="1876"/>
      <c r="DAH7" s="1876"/>
      <c r="DAI7" s="1876"/>
      <c r="DAJ7" s="1876"/>
      <c r="DAK7" s="1876"/>
      <c r="DAL7" s="1876"/>
      <c r="DAM7" s="1876"/>
      <c r="DAN7" s="1876"/>
      <c r="DAO7" s="1876"/>
      <c r="DAP7" s="1876"/>
      <c r="DAQ7" s="1876"/>
      <c r="DAR7" s="1876"/>
      <c r="DAS7" s="1876"/>
      <c r="DAT7" s="1876"/>
      <c r="DAU7" s="1876"/>
      <c r="DAV7" s="1876"/>
      <c r="DAW7" s="1876"/>
      <c r="DAX7" s="1876"/>
      <c r="DAY7" s="1876"/>
      <c r="DAZ7" s="1876"/>
      <c r="DBA7" s="1876"/>
      <c r="DBB7" s="1876"/>
      <c r="DBC7" s="1876"/>
      <c r="DBD7" s="1876"/>
      <c r="DBE7" s="1876"/>
      <c r="DBF7" s="1876"/>
      <c r="DBG7" s="1876"/>
      <c r="DBH7" s="1876"/>
      <c r="DBI7" s="1876"/>
      <c r="DBJ7" s="1876"/>
      <c r="DBK7" s="1876"/>
      <c r="DBL7" s="1876"/>
      <c r="DBM7" s="1876"/>
      <c r="DBN7" s="1876"/>
      <c r="DBO7" s="1876"/>
      <c r="DBP7" s="1876"/>
      <c r="DBQ7" s="1876"/>
      <c r="DBR7" s="1876"/>
      <c r="DBS7" s="1876"/>
      <c r="DBT7" s="1876"/>
      <c r="DBU7" s="1876"/>
      <c r="DBV7" s="1876"/>
      <c r="DBW7" s="1876"/>
      <c r="DBX7" s="1876"/>
      <c r="DBY7" s="1876"/>
      <c r="DBZ7" s="1876"/>
      <c r="DCA7" s="1876"/>
      <c r="DCB7" s="1876"/>
      <c r="DCC7" s="1876"/>
      <c r="DCD7" s="1876"/>
      <c r="DCE7" s="1876"/>
      <c r="DCF7" s="1876"/>
      <c r="DCG7" s="1876"/>
      <c r="DCH7" s="1876"/>
      <c r="DCI7" s="1876"/>
      <c r="DCJ7" s="1876"/>
      <c r="DCK7" s="1876"/>
      <c r="DCL7" s="1876"/>
      <c r="DCM7" s="1876"/>
      <c r="DCN7" s="1876"/>
      <c r="DCO7" s="1876"/>
      <c r="DCP7" s="1876"/>
      <c r="DCQ7" s="1876"/>
      <c r="DCR7" s="1876"/>
      <c r="DCS7" s="1876"/>
      <c r="DCT7" s="1876"/>
      <c r="DCU7" s="1876"/>
      <c r="DCV7" s="1876"/>
      <c r="DCW7" s="1876"/>
      <c r="DCX7" s="1876"/>
      <c r="DCY7" s="1876"/>
      <c r="DCZ7" s="1876"/>
      <c r="DDA7" s="1876"/>
      <c r="DDB7" s="1876"/>
      <c r="DDC7" s="1876"/>
      <c r="DDD7" s="1876"/>
      <c r="DDE7" s="1876"/>
      <c r="DDF7" s="1876"/>
      <c r="DDG7" s="1876"/>
      <c r="DDH7" s="1876"/>
      <c r="DDI7" s="1876"/>
      <c r="DDJ7" s="1876"/>
      <c r="DDK7" s="1876"/>
      <c r="DDL7" s="1876"/>
      <c r="DDM7" s="1876"/>
      <c r="DDN7" s="1876"/>
      <c r="DDO7" s="1876"/>
      <c r="DDP7" s="1876"/>
      <c r="DDQ7" s="1876"/>
      <c r="DDR7" s="1876"/>
      <c r="DDS7" s="1876"/>
      <c r="DDT7" s="1876"/>
      <c r="DDU7" s="1876"/>
      <c r="DDV7" s="1876"/>
      <c r="DDW7" s="1876"/>
      <c r="DDX7" s="1876"/>
      <c r="DDY7" s="1876"/>
      <c r="DDZ7" s="1876"/>
      <c r="DEA7" s="1876"/>
      <c r="DEB7" s="1876"/>
      <c r="DEC7" s="1876"/>
      <c r="DED7" s="1876"/>
      <c r="DEE7" s="1876"/>
      <c r="DEF7" s="1876"/>
      <c r="DEG7" s="1876"/>
      <c r="DEH7" s="1876"/>
      <c r="DEI7" s="1876"/>
      <c r="DEJ7" s="1876"/>
      <c r="DEK7" s="1876"/>
      <c r="DEL7" s="1876"/>
      <c r="DEM7" s="1876"/>
      <c r="DEN7" s="1876"/>
      <c r="DEO7" s="1876"/>
      <c r="DEP7" s="1876"/>
      <c r="DEQ7" s="1876"/>
      <c r="DER7" s="1876"/>
      <c r="DES7" s="1876"/>
      <c r="DET7" s="1876"/>
      <c r="DEU7" s="1876"/>
      <c r="DEV7" s="1876"/>
      <c r="DEW7" s="1876"/>
      <c r="DEX7" s="1876"/>
      <c r="DEY7" s="1876"/>
      <c r="DEZ7" s="1876"/>
      <c r="DFA7" s="1876"/>
      <c r="DFB7" s="1876"/>
      <c r="DFC7" s="1876"/>
      <c r="DFD7" s="1876"/>
      <c r="DFE7" s="1876"/>
      <c r="DFF7" s="1876"/>
      <c r="DFG7" s="1876"/>
      <c r="DFH7" s="1876"/>
      <c r="DFI7" s="1876"/>
      <c r="DFJ7" s="1876"/>
      <c r="DFK7" s="1876"/>
      <c r="DFL7" s="1876"/>
      <c r="DFM7" s="1876"/>
      <c r="DFN7" s="1876"/>
      <c r="DFO7" s="1876"/>
      <c r="DFP7" s="1876"/>
      <c r="DFQ7" s="1876"/>
      <c r="DFR7" s="1876"/>
      <c r="DFS7" s="1876"/>
      <c r="DFT7" s="1876"/>
      <c r="DFU7" s="1876"/>
      <c r="DFV7" s="1876"/>
      <c r="DFW7" s="1876"/>
      <c r="DFX7" s="1876"/>
      <c r="DFY7" s="1876"/>
      <c r="DFZ7" s="1876"/>
      <c r="DGA7" s="1876"/>
      <c r="DGB7" s="1876"/>
      <c r="DGC7" s="1876"/>
      <c r="DGD7" s="1876"/>
      <c r="DGE7" s="1876"/>
      <c r="DGF7" s="1876"/>
      <c r="DGG7" s="1876"/>
      <c r="DGH7" s="1876"/>
      <c r="DGI7" s="1876"/>
      <c r="DGJ7" s="1876"/>
      <c r="DGK7" s="1876"/>
      <c r="DGL7" s="1876"/>
      <c r="DGM7" s="1876"/>
      <c r="DGN7" s="1876"/>
      <c r="DGO7" s="1876"/>
      <c r="DGP7" s="1876"/>
      <c r="DGQ7" s="1876"/>
      <c r="DGR7" s="1876"/>
      <c r="DGS7" s="1876"/>
      <c r="DGT7" s="1876"/>
      <c r="DGU7" s="1876"/>
      <c r="DGV7" s="1876"/>
      <c r="DGW7" s="1876"/>
      <c r="DGX7" s="1876"/>
      <c r="DGY7" s="1876"/>
      <c r="DGZ7" s="1876"/>
      <c r="DHA7" s="1876"/>
      <c r="DHB7" s="1876"/>
      <c r="DHC7" s="1876"/>
      <c r="DHD7" s="1876"/>
      <c r="DHE7" s="1876"/>
      <c r="DHF7" s="1876"/>
      <c r="DHG7" s="1876"/>
      <c r="DHH7" s="1876"/>
      <c r="DHI7" s="1876"/>
      <c r="DHJ7" s="1876"/>
      <c r="DHK7" s="1876"/>
      <c r="DHL7" s="1876"/>
      <c r="DHM7" s="1876"/>
      <c r="DHN7" s="1876"/>
      <c r="DHO7" s="1876"/>
      <c r="DHP7" s="1876"/>
      <c r="DHQ7" s="1876"/>
      <c r="DHR7" s="1876"/>
      <c r="DHS7" s="1876"/>
      <c r="DHT7" s="1876"/>
      <c r="DHU7" s="1876"/>
      <c r="DHV7" s="1876"/>
      <c r="DHW7" s="1876"/>
      <c r="DHX7" s="1876"/>
      <c r="DHY7" s="1876"/>
      <c r="DHZ7" s="1876"/>
      <c r="DIA7" s="1876"/>
      <c r="DIB7" s="1876"/>
      <c r="DIC7" s="1876"/>
      <c r="DID7" s="1876"/>
      <c r="DIE7" s="1876"/>
      <c r="DIF7" s="1876"/>
      <c r="DIG7" s="1876"/>
      <c r="DIH7" s="1876"/>
      <c r="DII7" s="1876"/>
      <c r="DIJ7" s="1876"/>
      <c r="DIK7" s="1876"/>
      <c r="DIL7" s="1876"/>
      <c r="DIM7" s="1876"/>
      <c r="DIN7" s="1876"/>
      <c r="DIO7" s="1876"/>
      <c r="DIP7" s="1876"/>
      <c r="DIQ7" s="1876"/>
      <c r="DIR7" s="1876"/>
      <c r="DIS7" s="1876"/>
      <c r="DIT7" s="1876"/>
      <c r="DIU7" s="1876"/>
      <c r="DIV7" s="1876"/>
      <c r="DIW7" s="1876"/>
      <c r="DIX7" s="1876"/>
      <c r="DIY7" s="1876"/>
      <c r="DIZ7" s="1876"/>
      <c r="DJA7" s="1876"/>
      <c r="DJB7" s="1876"/>
      <c r="DJC7" s="1876"/>
      <c r="DJD7" s="1876"/>
      <c r="DJE7" s="1876"/>
      <c r="DJF7" s="1876"/>
      <c r="DJG7" s="1876"/>
      <c r="DJH7" s="1876"/>
      <c r="DJI7" s="1876"/>
      <c r="DJJ7" s="1876"/>
      <c r="DJK7" s="1876"/>
      <c r="DJL7" s="1876"/>
      <c r="DJM7" s="1876"/>
      <c r="DJN7" s="1876"/>
      <c r="DJO7" s="1876"/>
      <c r="DJP7" s="1876"/>
      <c r="DJQ7" s="1876"/>
      <c r="DJR7" s="1876"/>
      <c r="DJS7" s="1876"/>
      <c r="DJT7" s="1876"/>
      <c r="DJU7" s="1876"/>
      <c r="DJV7" s="1876"/>
      <c r="DJW7" s="1876"/>
      <c r="DJX7" s="1876"/>
      <c r="DJY7" s="1876"/>
      <c r="DJZ7" s="1876"/>
      <c r="DKA7" s="1876"/>
      <c r="DKB7" s="1876"/>
      <c r="DKC7" s="1876"/>
      <c r="DKD7" s="1876"/>
      <c r="DKE7" s="1876"/>
      <c r="DKF7" s="1876"/>
      <c r="DKG7" s="1876"/>
      <c r="DKH7" s="1876"/>
      <c r="DKI7" s="1876"/>
      <c r="DKJ7" s="1876"/>
      <c r="DKK7" s="1876"/>
      <c r="DKL7" s="1876"/>
      <c r="DKM7" s="1876"/>
      <c r="DKN7" s="1876"/>
      <c r="DKO7" s="1876"/>
      <c r="DKP7" s="1876"/>
      <c r="DKQ7" s="1876"/>
      <c r="DKR7" s="1876"/>
      <c r="DKS7" s="1876"/>
      <c r="DKT7" s="1876"/>
      <c r="DKU7" s="1876"/>
      <c r="DKV7" s="1876"/>
      <c r="DKW7" s="1876"/>
      <c r="DKX7" s="1876"/>
      <c r="DKY7" s="1876"/>
      <c r="DKZ7" s="1876"/>
      <c r="DLA7" s="1876"/>
      <c r="DLB7" s="1876"/>
      <c r="DLC7" s="1876"/>
      <c r="DLD7" s="1876"/>
      <c r="DLE7" s="1876"/>
      <c r="DLF7" s="1876"/>
      <c r="DLG7" s="1876"/>
      <c r="DLH7" s="1876"/>
      <c r="DLI7" s="1876"/>
      <c r="DLJ7" s="1876"/>
      <c r="DLK7" s="1876"/>
      <c r="DLL7" s="1876"/>
      <c r="DLM7" s="1876"/>
      <c r="DLN7" s="1876"/>
      <c r="DLO7" s="1876"/>
      <c r="DLP7" s="1876"/>
      <c r="DLQ7" s="1876"/>
      <c r="DLR7" s="1876"/>
      <c r="DLS7" s="1876"/>
      <c r="DLT7" s="1876"/>
      <c r="DLU7" s="1876"/>
      <c r="DLV7" s="1876"/>
      <c r="DLW7" s="1876"/>
      <c r="DLX7" s="1876"/>
      <c r="DLY7" s="1876"/>
      <c r="DLZ7" s="1876"/>
      <c r="DMA7" s="1876"/>
      <c r="DMB7" s="1876"/>
      <c r="DMC7" s="1876"/>
      <c r="DMD7" s="1876"/>
      <c r="DME7" s="1876"/>
      <c r="DMF7" s="1876"/>
      <c r="DMG7" s="1876"/>
      <c r="DMH7" s="1876"/>
      <c r="DMI7" s="1876"/>
      <c r="DMJ7" s="1876"/>
      <c r="DMK7" s="1876"/>
      <c r="DML7" s="1876"/>
      <c r="DMM7" s="1876"/>
      <c r="DMN7" s="1876"/>
      <c r="DMO7" s="1876"/>
      <c r="DMP7" s="1876"/>
      <c r="DMQ7" s="1876"/>
      <c r="DMR7" s="1876"/>
      <c r="DMS7" s="1876"/>
      <c r="DMT7" s="1876"/>
      <c r="DMU7" s="1876"/>
      <c r="DMV7" s="1876"/>
      <c r="DMW7" s="1876"/>
      <c r="DMX7" s="1876"/>
      <c r="DMY7" s="1876"/>
      <c r="DMZ7" s="1876"/>
      <c r="DNA7" s="1876"/>
      <c r="DNB7" s="1876"/>
      <c r="DNC7" s="1876"/>
      <c r="DND7" s="1876"/>
      <c r="DNE7" s="1876"/>
      <c r="DNF7" s="1876"/>
      <c r="DNG7" s="1876"/>
      <c r="DNH7" s="1876"/>
      <c r="DNI7" s="1876"/>
      <c r="DNJ7" s="1876"/>
      <c r="DNK7" s="1876"/>
      <c r="DNL7" s="1876"/>
      <c r="DNM7" s="1876"/>
      <c r="DNN7" s="1876"/>
      <c r="DNO7" s="1876"/>
      <c r="DNP7" s="1876"/>
      <c r="DNQ7" s="1876"/>
      <c r="DNR7" s="1876"/>
      <c r="DNS7" s="1876"/>
      <c r="DNT7" s="1876"/>
      <c r="DNU7" s="1876"/>
      <c r="DNV7" s="1876"/>
      <c r="DNW7" s="1876"/>
      <c r="DNX7" s="1876"/>
      <c r="DNY7" s="1876"/>
      <c r="DNZ7" s="1876"/>
      <c r="DOA7" s="1876"/>
      <c r="DOB7" s="1876"/>
      <c r="DOC7" s="1876"/>
      <c r="DOD7" s="1876"/>
      <c r="DOE7" s="1876"/>
      <c r="DOF7" s="1876"/>
      <c r="DOG7" s="1876"/>
      <c r="DOH7" s="1876"/>
      <c r="DOI7" s="1876"/>
      <c r="DOJ7" s="1876"/>
      <c r="DOK7" s="1876"/>
      <c r="DOL7" s="1876"/>
      <c r="DOM7" s="1876"/>
      <c r="DON7" s="1876"/>
      <c r="DOO7" s="1876"/>
      <c r="DOP7" s="1876"/>
      <c r="DOQ7" s="1876"/>
      <c r="DOR7" s="1876"/>
      <c r="DOS7" s="1876"/>
      <c r="DOT7" s="1876"/>
      <c r="DOU7" s="1876"/>
      <c r="DOV7" s="1876"/>
      <c r="DOW7" s="1876"/>
      <c r="DOX7" s="1876"/>
      <c r="DOY7" s="1876"/>
      <c r="DOZ7" s="1876"/>
      <c r="DPA7" s="1876"/>
      <c r="DPB7" s="1876"/>
      <c r="DPC7" s="1876"/>
      <c r="DPD7" s="1876"/>
      <c r="DPE7" s="1876"/>
      <c r="DPF7" s="1876"/>
      <c r="DPG7" s="1876"/>
      <c r="DPH7" s="1876"/>
      <c r="DPI7" s="1876"/>
      <c r="DPJ7" s="1876"/>
      <c r="DPK7" s="1876"/>
      <c r="DPL7" s="1876"/>
      <c r="DPM7" s="1876"/>
      <c r="DPN7" s="1876"/>
      <c r="DPO7" s="1876"/>
      <c r="DPP7" s="1876"/>
      <c r="DPQ7" s="1876"/>
      <c r="DPR7" s="1876"/>
      <c r="DPS7" s="1876"/>
      <c r="DPT7" s="1876"/>
      <c r="DPU7" s="1876"/>
      <c r="DPV7" s="1876"/>
      <c r="DPW7" s="1876"/>
      <c r="DPX7" s="1876"/>
      <c r="DPY7" s="1876"/>
      <c r="DPZ7" s="1876"/>
      <c r="DQA7" s="1876"/>
      <c r="DQB7" s="1876"/>
      <c r="DQC7" s="1876"/>
      <c r="DQD7" s="1876"/>
      <c r="DQE7" s="1876"/>
      <c r="DQF7" s="1876"/>
      <c r="DQG7" s="1876"/>
      <c r="DQH7" s="1876"/>
      <c r="DQI7" s="1876"/>
      <c r="DQJ7" s="1876"/>
      <c r="DQK7" s="1876"/>
      <c r="DQL7" s="1876"/>
      <c r="DQM7" s="1876"/>
      <c r="DQN7" s="1876"/>
      <c r="DQO7" s="1876"/>
      <c r="DQP7" s="1876"/>
      <c r="DQQ7" s="1876"/>
      <c r="DQR7" s="1876"/>
      <c r="DQS7" s="1876"/>
      <c r="DQT7" s="1876"/>
      <c r="DQU7" s="1876"/>
      <c r="DQV7" s="1876"/>
      <c r="DQW7" s="1876"/>
      <c r="DQX7" s="1876"/>
      <c r="DQY7" s="1876"/>
      <c r="DQZ7" s="1876"/>
      <c r="DRA7" s="1876"/>
      <c r="DRB7" s="1876"/>
      <c r="DRC7" s="1876"/>
      <c r="DRD7" s="1876"/>
      <c r="DRE7" s="1876"/>
      <c r="DRF7" s="1876"/>
      <c r="DRG7" s="1876"/>
      <c r="DRH7" s="1876"/>
      <c r="DRI7" s="1876"/>
      <c r="DRJ7" s="1876"/>
      <c r="DRK7" s="1876"/>
      <c r="DRL7" s="1876"/>
      <c r="DRM7" s="1876"/>
      <c r="DRN7" s="1876"/>
      <c r="DRO7" s="1876"/>
      <c r="DRP7" s="1876"/>
      <c r="DRQ7" s="1876"/>
      <c r="DRR7" s="1876"/>
      <c r="DRS7" s="1876"/>
      <c r="DRT7" s="1876"/>
      <c r="DRU7" s="1876"/>
      <c r="DRV7" s="1876"/>
      <c r="DRW7" s="1876"/>
      <c r="DRX7" s="1876"/>
      <c r="DRY7" s="1876"/>
      <c r="DRZ7" s="1876"/>
      <c r="DSA7" s="1876"/>
      <c r="DSB7" s="1876"/>
      <c r="DSC7" s="1876"/>
      <c r="DSD7" s="1876"/>
      <c r="DSE7" s="1876"/>
      <c r="DSF7" s="1876"/>
      <c r="DSG7" s="1876"/>
      <c r="DSH7" s="1876"/>
      <c r="DSI7" s="1876"/>
      <c r="DSJ7" s="1876"/>
      <c r="DSK7" s="1876"/>
      <c r="DSL7" s="1876"/>
      <c r="DSM7" s="1876"/>
      <c r="DSN7" s="1876"/>
      <c r="DSO7" s="1876"/>
      <c r="DSP7" s="1876"/>
      <c r="DSQ7" s="1876"/>
      <c r="DSR7" s="1876"/>
      <c r="DSS7" s="1876"/>
      <c r="DST7" s="1876"/>
      <c r="DSU7" s="1876"/>
      <c r="DSV7" s="1876"/>
      <c r="DSW7" s="1876"/>
      <c r="DSX7" s="1876"/>
      <c r="DSY7" s="1876"/>
      <c r="DSZ7" s="1876"/>
      <c r="DTA7" s="1876"/>
      <c r="DTB7" s="1876"/>
      <c r="DTC7" s="1876"/>
      <c r="DTD7" s="1876"/>
      <c r="DTE7" s="1876"/>
      <c r="DTF7" s="1876"/>
      <c r="DTG7" s="1876"/>
      <c r="DTH7" s="1876"/>
      <c r="DTI7" s="1876"/>
      <c r="DTJ7" s="1876"/>
      <c r="DTK7" s="1876"/>
      <c r="DTL7" s="1876"/>
      <c r="DTM7" s="1876"/>
      <c r="DTN7" s="1876"/>
      <c r="DTO7" s="1876"/>
      <c r="DTP7" s="1876"/>
      <c r="DTQ7" s="1876"/>
      <c r="DTR7" s="1876"/>
      <c r="DTS7" s="1876"/>
      <c r="DTT7" s="1876"/>
      <c r="DTU7" s="1876"/>
      <c r="DTV7" s="1876"/>
      <c r="DTW7" s="1876"/>
      <c r="DTX7" s="1876"/>
      <c r="DTY7" s="1876"/>
      <c r="DTZ7" s="1876"/>
      <c r="DUA7" s="1876"/>
      <c r="DUB7" s="1876"/>
      <c r="DUC7" s="1876"/>
      <c r="DUD7" s="1876"/>
      <c r="DUE7" s="1876"/>
      <c r="DUF7" s="1876"/>
      <c r="DUG7" s="1876"/>
      <c r="DUH7" s="1876"/>
      <c r="DUI7" s="1876"/>
      <c r="DUJ7" s="1876"/>
      <c r="DUK7" s="1876"/>
      <c r="DUL7" s="1876"/>
      <c r="DUM7" s="1876"/>
      <c r="DUN7" s="1876"/>
      <c r="DUO7" s="1876"/>
      <c r="DUP7" s="1876"/>
      <c r="DUQ7" s="1876"/>
      <c r="DUR7" s="1876"/>
      <c r="DUS7" s="1876"/>
      <c r="DUT7" s="1876"/>
      <c r="DUU7" s="1876"/>
      <c r="DUV7" s="1876"/>
      <c r="DUW7" s="1876"/>
      <c r="DUX7" s="1876"/>
      <c r="DUY7" s="1876"/>
      <c r="DUZ7" s="1876"/>
      <c r="DVA7" s="1876"/>
      <c r="DVB7" s="1876"/>
      <c r="DVC7" s="1876"/>
      <c r="DVD7" s="1876"/>
      <c r="DVE7" s="1876"/>
      <c r="DVF7" s="1876"/>
      <c r="DVG7" s="1876"/>
      <c r="DVH7" s="1876"/>
      <c r="DVI7" s="1876"/>
      <c r="DVJ7" s="1876"/>
      <c r="DVK7" s="1876"/>
      <c r="DVL7" s="1876"/>
      <c r="DVM7" s="1876"/>
      <c r="DVN7" s="1876"/>
      <c r="DVO7" s="1876"/>
      <c r="DVP7" s="1876"/>
      <c r="DVQ7" s="1876"/>
      <c r="DVR7" s="1876"/>
      <c r="DVS7" s="1876"/>
      <c r="DVT7" s="1876"/>
      <c r="DVU7" s="1876"/>
      <c r="DVV7" s="1876"/>
      <c r="DVW7" s="1876"/>
      <c r="DVX7" s="1876"/>
      <c r="DVY7" s="1876"/>
      <c r="DVZ7" s="1876"/>
      <c r="DWA7" s="1876"/>
      <c r="DWB7" s="1876"/>
      <c r="DWC7" s="1876"/>
      <c r="DWD7" s="1876"/>
      <c r="DWE7" s="1876"/>
      <c r="DWF7" s="1876"/>
      <c r="DWG7" s="1876"/>
      <c r="DWH7" s="1876"/>
      <c r="DWI7" s="1876"/>
      <c r="DWJ7" s="1876"/>
      <c r="DWK7" s="1876"/>
      <c r="DWL7" s="1876"/>
      <c r="DWM7" s="1876"/>
      <c r="DWN7" s="1876"/>
      <c r="DWO7" s="1876"/>
      <c r="DWP7" s="1876"/>
      <c r="DWQ7" s="1876"/>
      <c r="DWR7" s="1876"/>
      <c r="DWS7" s="1876"/>
      <c r="DWT7" s="1876"/>
      <c r="DWU7" s="1876"/>
      <c r="DWV7" s="1876"/>
      <c r="DWW7" s="1876"/>
      <c r="DWX7" s="1876"/>
      <c r="DWY7" s="1876"/>
      <c r="DWZ7" s="1876"/>
      <c r="DXA7" s="1876"/>
      <c r="DXB7" s="1876"/>
      <c r="DXC7" s="1876"/>
      <c r="DXD7" s="1876"/>
      <c r="DXE7" s="1876"/>
      <c r="DXF7" s="1876"/>
      <c r="DXG7" s="1876"/>
      <c r="DXH7" s="1876"/>
      <c r="DXI7" s="1876"/>
      <c r="DXJ7" s="1876"/>
      <c r="DXK7" s="1876"/>
      <c r="DXL7" s="1876"/>
      <c r="DXM7" s="1876"/>
      <c r="DXN7" s="1876"/>
      <c r="DXO7" s="1876"/>
      <c r="DXP7" s="1876"/>
      <c r="DXQ7" s="1876"/>
      <c r="DXR7" s="1876"/>
      <c r="DXS7" s="1876"/>
      <c r="DXT7" s="1876"/>
      <c r="DXU7" s="1876"/>
      <c r="DXV7" s="1876"/>
      <c r="DXW7" s="1876"/>
      <c r="DXX7" s="1876"/>
      <c r="DXY7" s="1876"/>
      <c r="DXZ7" s="1876"/>
      <c r="DYA7" s="1876"/>
      <c r="DYB7" s="1876"/>
      <c r="DYC7" s="1876"/>
      <c r="DYD7" s="1876"/>
      <c r="DYE7" s="1876"/>
      <c r="DYF7" s="1876"/>
      <c r="DYG7" s="1876"/>
      <c r="DYH7" s="1876"/>
      <c r="DYI7" s="1876"/>
      <c r="DYJ7" s="1876"/>
      <c r="DYK7" s="1876"/>
      <c r="DYL7" s="1876"/>
      <c r="DYM7" s="1876"/>
      <c r="DYN7" s="1876"/>
      <c r="DYO7" s="1876"/>
      <c r="DYP7" s="1876"/>
      <c r="DYQ7" s="1876"/>
      <c r="DYR7" s="1876"/>
      <c r="DYS7" s="1876"/>
      <c r="DYT7" s="1876"/>
      <c r="DYU7" s="1876"/>
      <c r="DYV7" s="1876"/>
      <c r="DYW7" s="1876"/>
      <c r="DYX7" s="1876"/>
      <c r="DYY7" s="1876"/>
      <c r="DYZ7" s="1876"/>
      <c r="DZA7" s="1876"/>
      <c r="DZB7" s="1876"/>
      <c r="DZC7" s="1876"/>
      <c r="DZD7" s="1876"/>
      <c r="DZE7" s="1876"/>
      <c r="DZF7" s="1876"/>
      <c r="DZG7" s="1876"/>
      <c r="DZH7" s="1876"/>
      <c r="DZI7" s="1876"/>
      <c r="DZJ7" s="1876"/>
      <c r="DZK7" s="1876"/>
      <c r="DZL7" s="1876"/>
      <c r="DZM7" s="1876"/>
      <c r="DZN7" s="1876"/>
      <c r="DZO7" s="1876"/>
      <c r="DZP7" s="1876"/>
      <c r="DZQ7" s="1876"/>
      <c r="DZR7" s="1876"/>
      <c r="DZS7" s="1876"/>
      <c r="DZT7" s="1876"/>
      <c r="DZU7" s="1876"/>
      <c r="DZV7" s="1876"/>
      <c r="DZW7" s="1876"/>
      <c r="DZX7" s="1876"/>
      <c r="DZY7" s="1876"/>
      <c r="DZZ7" s="1876"/>
      <c r="EAA7" s="1876"/>
      <c r="EAB7" s="1876"/>
      <c r="EAC7" s="1876"/>
      <c r="EAD7" s="1876"/>
      <c r="EAE7" s="1876"/>
      <c r="EAF7" s="1876"/>
      <c r="EAG7" s="1876"/>
      <c r="EAH7" s="1876"/>
      <c r="EAI7" s="1876"/>
      <c r="EAJ7" s="1876"/>
      <c r="EAK7" s="1876"/>
      <c r="EAL7" s="1876"/>
      <c r="EAM7" s="1876"/>
      <c r="EAN7" s="1876"/>
      <c r="EAO7" s="1876"/>
      <c r="EAP7" s="1876"/>
      <c r="EAQ7" s="1876"/>
      <c r="EAR7" s="1876"/>
      <c r="EAS7" s="1876"/>
      <c r="EAT7" s="1876"/>
      <c r="EAU7" s="1876"/>
      <c r="EAV7" s="1876"/>
      <c r="EAW7" s="1876"/>
      <c r="EAX7" s="1876"/>
      <c r="EAY7" s="1876"/>
      <c r="EAZ7" s="1876"/>
      <c r="EBA7" s="1876"/>
      <c r="EBB7" s="1876"/>
      <c r="EBC7" s="1876"/>
      <c r="EBD7" s="1876"/>
      <c r="EBE7" s="1876"/>
      <c r="EBF7" s="1876"/>
      <c r="EBG7" s="1876"/>
      <c r="EBH7" s="1876"/>
      <c r="EBI7" s="1876"/>
      <c r="EBJ7" s="1876"/>
      <c r="EBK7" s="1876"/>
      <c r="EBL7" s="1876"/>
      <c r="EBM7" s="1876"/>
      <c r="EBN7" s="1876"/>
      <c r="EBO7" s="1876"/>
      <c r="EBP7" s="1876"/>
      <c r="EBQ7" s="1876"/>
      <c r="EBR7" s="1876"/>
      <c r="EBS7" s="1876"/>
      <c r="EBT7" s="1876"/>
      <c r="EBU7" s="1876"/>
      <c r="EBV7" s="1876"/>
      <c r="EBW7" s="1876"/>
      <c r="EBX7" s="1876"/>
      <c r="EBY7" s="1876"/>
      <c r="EBZ7" s="1876"/>
      <c r="ECA7" s="1876"/>
      <c r="ECB7" s="1876"/>
      <c r="ECC7" s="1876"/>
      <c r="ECD7" s="1876"/>
      <c r="ECE7" s="1876"/>
      <c r="ECF7" s="1876"/>
      <c r="ECG7" s="1876"/>
      <c r="ECH7" s="1876"/>
      <c r="ECI7" s="1876"/>
      <c r="ECJ7" s="1876"/>
      <c r="ECK7" s="1876"/>
      <c r="ECL7" s="1876"/>
      <c r="ECM7" s="1876"/>
      <c r="ECN7" s="1876"/>
      <c r="ECO7" s="1876"/>
      <c r="ECP7" s="1876"/>
      <c r="ECQ7" s="1876"/>
      <c r="ECR7" s="1876"/>
      <c r="ECS7" s="1876"/>
      <c r="ECT7" s="1876"/>
      <c r="ECU7" s="1876"/>
      <c r="ECV7" s="1876"/>
      <c r="ECW7" s="1876"/>
      <c r="ECX7" s="1876"/>
      <c r="ECY7" s="1876"/>
      <c r="ECZ7" s="1876"/>
      <c r="EDA7" s="1876"/>
      <c r="EDB7" s="1876"/>
      <c r="EDC7" s="1876"/>
      <c r="EDD7" s="1876"/>
      <c r="EDE7" s="1876"/>
      <c r="EDF7" s="1876"/>
      <c r="EDG7" s="1876"/>
      <c r="EDH7" s="1876"/>
      <c r="EDI7" s="1876"/>
      <c r="EDJ7" s="1876"/>
      <c r="EDK7" s="1876"/>
      <c r="EDL7" s="1876"/>
      <c r="EDM7" s="1876"/>
      <c r="EDN7" s="1876"/>
      <c r="EDO7" s="1876"/>
      <c r="EDP7" s="1876"/>
      <c r="EDQ7" s="1876"/>
      <c r="EDR7" s="1876"/>
      <c r="EDS7" s="1876"/>
      <c r="EDT7" s="1876"/>
      <c r="EDU7" s="1876"/>
      <c r="EDV7" s="1876"/>
      <c r="EDW7" s="1876"/>
      <c r="EDX7" s="1876"/>
      <c r="EDY7" s="1876"/>
      <c r="EDZ7" s="1876"/>
      <c r="EEA7" s="1876"/>
      <c r="EEB7" s="1876"/>
      <c r="EEC7" s="1876"/>
      <c r="EED7" s="1876"/>
      <c r="EEE7" s="1876"/>
      <c r="EEF7" s="1876"/>
      <c r="EEG7" s="1876"/>
      <c r="EEH7" s="1876"/>
      <c r="EEI7" s="1876"/>
      <c r="EEJ7" s="1876"/>
      <c r="EEK7" s="1876"/>
      <c r="EEL7" s="1876"/>
      <c r="EEM7" s="1876"/>
      <c r="EEN7" s="1876"/>
      <c r="EEO7" s="1876"/>
      <c r="EEP7" s="1876"/>
      <c r="EEQ7" s="1876"/>
      <c r="EER7" s="1876"/>
      <c r="EES7" s="1876"/>
      <c r="EET7" s="1876"/>
      <c r="EEU7" s="1876"/>
      <c r="EEV7" s="1876"/>
      <c r="EEW7" s="1876"/>
      <c r="EEX7" s="1876"/>
      <c r="EEY7" s="1876"/>
      <c r="EEZ7" s="1876"/>
      <c r="EFA7" s="1876"/>
      <c r="EFB7" s="1876"/>
      <c r="EFC7" s="1876"/>
      <c r="EFD7" s="1876"/>
      <c r="EFE7" s="1876"/>
      <c r="EFF7" s="1876"/>
      <c r="EFG7" s="1876"/>
      <c r="EFH7" s="1876"/>
      <c r="EFI7" s="1876"/>
      <c r="EFJ7" s="1876"/>
      <c r="EFK7" s="1876"/>
      <c r="EFL7" s="1876"/>
      <c r="EFM7" s="1876"/>
      <c r="EFN7" s="1876"/>
      <c r="EFO7" s="1876"/>
      <c r="EFP7" s="1876"/>
      <c r="EFQ7" s="1876"/>
      <c r="EFR7" s="1876"/>
      <c r="EFS7" s="1876"/>
      <c r="EFT7" s="1876"/>
      <c r="EFU7" s="1876"/>
      <c r="EFV7" s="1876"/>
      <c r="EFW7" s="1876"/>
      <c r="EFX7" s="1876"/>
      <c r="EFY7" s="1876"/>
      <c r="EFZ7" s="1876"/>
      <c r="EGA7" s="1876"/>
      <c r="EGB7" s="1876"/>
      <c r="EGC7" s="1876"/>
      <c r="EGD7" s="1876"/>
      <c r="EGE7" s="1876"/>
      <c r="EGF7" s="1876"/>
      <c r="EGG7" s="1876"/>
      <c r="EGH7" s="1876"/>
      <c r="EGI7" s="1876"/>
      <c r="EGJ7" s="1876"/>
      <c r="EGK7" s="1876"/>
      <c r="EGL7" s="1876"/>
      <c r="EGM7" s="1876"/>
      <c r="EGN7" s="1876"/>
      <c r="EGO7" s="1876"/>
      <c r="EGP7" s="1876"/>
      <c r="EGQ7" s="1876"/>
      <c r="EGR7" s="1876"/>
      <c r="EGS7" s="1876"/>
      <c r="EGT7" s="1876"/>
      <c r="EGU7" s="1876"/>
      <c r="EGV7" s="1876"/>
      <c r="EGW7" s="1876"/>
      <c r="EGX7" s="1876"/>
      <c r="EGY7" s="1876"/>
      <c r="EGZ7" s="1876"/>
      <c r="EHA7" s="1876"/>
      <c r="EHB7" s="1876"/>
      <c r="EHC7" s="1876"/>
      <c r="EHD7" s="1876"/>
      <c r="EHE7" s="1876"/>
      <c r="EHF7" s="1876"/>
      <c r="EHG7" s="1876"/>
      <c r="EHH7" s="1876"/>
      <c r="EHI7" s="1876"/>
      <c r="EHJ7" s="1876"/>
      <c r="EHK7" s="1876"/>
      <c r="EHL7" s="1876"/>
      <c r="EHM7" s="1876"/>
      <c r="EHN7" s="1876"/>
      <c r="EHO7" s="1876"/>
      <c r="EHP7" s="1876"/>
      <c r="EHQ7" s="1876"/>
      <c r="EHR7" s="1876"/>
      <c r="EHS7" s="1876"/>
      <c r="EHT7" s="1876"/>
      <c r="EHU7" s="1876"/>
      <c r="EHV7" s="1876"/>
      <c r="EHW7" s="1876"/>
      <c r="EHX7" s="1876"/>
      <c r="EHY7" s="1876"/>
      <c r="EHZ7" s="1876"/>
      <c r="EIA7" s="1876"/>
      <c r="EIB7" s="1876"/>
      <c r="EIC7" s="1876"/>
      <c r="EID7" s="1876"/>
      <c r="EIE7" s="1876"/>
      <c r="EIF7" s="1876"/>
      <c r="EIG7" s="1876"/>
      <c r="EIH7" s="1876"/>
      <c r="EII7" s="1876"/>
      <c r="EIJ7" s="1876"/>
      <c r="EIK7" s="1876"/>
      <c r="EIL7" s="1876"/>
      <c r="EIM7" s="1876"/>
      <c r="EIN7" s="1876"/>
      <c r="EIO7" s="1876"/>
      <c r="EIP7" s="1876"/>
      <c r="EIQ7" s="1876"/>
      <c r="EIR7" s="1876"/>
      <c r="EIS7" s="1876"/>
      <c r="EIT7" s="1876"/>
      <c r="EIU7" s="1876"/>
      <c r="EIV7" s="1876"/>
      <c r="EIW7" s="1876"/>
      <c r="EIX7" s="1876"/>
      <c r="EIY7" s="1876"/>
      <c r="EIZ7" s="1876"/>
      <c r="EJA7" s="1876"/>
      <c r="EJB7" s="1876"/>
      <c r="EJC7" s="1876"/>
      <c r="EJD7" s="1876"/>
      <c r="EJE7" s="1876"/>
      <c r="EJF7" s="1876"/>
      <c r="EJG7" s="1876"/>
      <c r="EJH7" s="1876"/>
      <c r="EJI7" s="1876"/>
      <c r="EJJ7" s="1876"/>
      <c r="EJK7" s="1876"/>
      <c r="EJL7" s="1876"/>
      <c r="EJM7" s="1876"/>
      <c r="EJN7" s="1876"/>
      <c r="EJO7" s="1876"/>
      <c r="EJP7" s="1876"/>
      <c r="EJQ7" s="1876"/>
      <c r="EJR7" s="1876"/>
      <c r="EJS7" s="1876"/>
      <c r="EJT7" s="1876"/>
      <c r="EJU7" s="1876"/>
      <c r="EJV7" s="1876"/>
      <c r="EJW7" s="1876"/>
      <c r="EJX7" s="1876"/>
      <c r="EJY7" s="1876"/>
      <c r="EJZ7" s="1876"/>
      <c r="EKA7" s="1876"/>
      <c r="EKB7" s="1876"/>
      <c r="EKC7" s="1876"/>
      <c r="EKD7" s="1876"/>
      <c r="EKE7" s="1876"/>
      <c r="EKF7" s="1876"/>
      <c r="EKG7" s="1876"/>
      <c r="EKH7" s="1876"/>
      <c r="EKI7" s="1876"/>
      <c r="EKJ7" s="1876"/>
      <c r="EKK7" s="1876"/>
      <c r="EKL7" s="1876"/>
      <c r="EKM7" s="1876"/>
      <c r="EKN7" s="1876"/>
      <c r="EKO7" s="1876"/>
      <c r="EKP7" s="1876"/>
      <c r="EKQ7" s="1876"/>
      <c r="EKR7" s="1876"/>
      <c r="EKS7" s="1876"/>
      <c r="EKT7" s="1876"/>
      <c r="EKU7" s="1876"/>
      <c r="EKV7" s="1876"/>
      <c r="EKW7" s="1876"/>
      <c r="EKX7" s="1876"/>
      <c r="EKY7" s="1876"/>
      <c r="EKZ7" s="1876"/>
      <c r="ELA7" s="1876"/>
      <c r="ELB7" s="1876"/>
      <c r="ELC7" s="1876"/>
      <c r="ELD7" s="1876"/>
      <c r="ELE7" s="1876"/>
      <c r="ELF7" s="1876"/>
      <c r="ELG7" s="1876"/>
      <c r="ELH7" s="1876"/>
      <c r="ELI7" s="1876"/>
      <c r="ELJ7" s="1876"/>
      <c r="ELK7" s="1876"/>
      <c r="ELL7" s="1876"/>
      <c r="ELM7" s="1876"/>
      <c r="ELN7" s="1876"/>
      <c r="ELO7" s="1876"/>
      <c r="ELP7" s="1876"/>
      <c r="ELQ7" s="1876"/>
      <c r="ELR7" s="1876"/>
      <c r="ELS7" s="1876"/>
      <c r="ELT7" s="1876"/>
      <c r="ELU7" s="1876"/>
      <c r="ELV7" s="1876"/>
      <c r="ELW7" s="1876"/>
      <c r="ELX7" s="1876"/>
      <c r="ELY7" s="1876"/>
      <c r="ELZ7" s="1876"/>
      <c r="EMA7" s="1876"/>
      <c r="EMB7" s="1876"/>
      <c r="EMC7" s="1876"/>
      <c r="EMD7" s="1876"/>
      <c r="EME7" s="1876"/>
      <c r="EMF7" s="1876"/>
      <c r="EMG7" s="1876"/>
      <c r="EMH7" s="1876"/>
      <c r="EMI7" s="1876"/>
      <c r="EMJ7" s="1876"/>
      <c r="EMK7" s="1876"/>
      <c r="EML7" s="1876"/>
      <c r="EMM7" s="1876"/>
      <c r="EMN7" s="1876"/>
      <c r="EMO7" s="1876"/>
      <c r="EMP7" s="1876"/>
      <c r="EMQ7" s="1876"/>
      <c r="EMR7" s="1876"/>
      <c r="EMS7" s="1876"/>
      <c r="EMT7" s="1876"/>
      <c r="EMU7" s="1876"/>
      <c r="EMV7" s="1876"/>
      <c r="EMW7" s="1876"/>
      <c r="EMX7" s="1876"/>
      <c r="EMY7" s="1876"/>
      <c r="EMZ7" s="1876"/>
      <c r="ENA7" s="1876"/>
      <c r="ENB7" s="1876"/>
      <c r="ENC7" s="1876"/>
      <c r="END7" s="1876"/>
      <c r="ENE7" s="1876"/>
      <c r="ENF7" s="1876"/>
      <c r="ENG7" s="1876"/>
      <c r="ENH7" s="1876"/>
      <c r="ENI7" s="1876"/>
      <c r="ENJ7" s="1876"/>
      <c r="ENK7" s="1876"/>
      <c r="ENL7" s="1876"/>
      <c r="ENM7" s="1876"/>
      <c r="ENN7" s="1876"/>
      <c r="ENO7" s="1876"/>
      <c r="ENP7" s="1876"/>
      <c r="ENQ7" s="1876"/>
      <c r="ENR7" s="1876"/>
      <c r="ENS7" s="1876"/>
      <c r="ENT7" s="1876"/>
      <c r="ENU7" s="1876"/>
      <c r="ENV7" s="1876"/>
      <c r="ENW7" s="1876"/>
      <c r="ENX7" s="1876"/>
      <c r="ENY7" s="1876"/>
      <c r="ENZ7" s="1876"/>
      <c r="EOA7" s="1876"/>
      <c r="EOB7" s="1876"/>
      <c r="EOC7" s="1876"/>
      <c r="EOD7" s="1876"/>
      <c r="EOE7" s="1876"/>
      <c r="EOF7" s="1876"/>
      <c r="EOG7" s="1876"/>
      <c r="EOH7" s="1876"/>
      <c r="EOI7" s="1876"/>
      <c r="EOJ7" s="1876"/>
      <c r="EOK7" s="1876"/>
      <c r="EOL7" s="1876"/>
      <c r="EOM7" s="1876"/>
      <c r="EON7" s="1876"/>
      <c r="EOO7" s="1876"/>
      <c r="EOP7" s="1876"/>
      <c r="EOQ7" s="1876"/>
      <c r="EOR7" s="1876"/>
      <c r="EOS7" s="1876"/>
      <c r="EOT7" s="1876"/>
      <c r="EOU7" s="1876"/>
      <c r="EOV7" s="1876"/>
      <c r="EOW7" s="1876"/>
      <c r="EOX7" s="1876"/>
      <c r="EOY7" s="1876"/>
      <c r="EOZ7" s="1876"/>
      <c r="EPA7" s="1876"/>
      <c r="EPB7" s="1876"/>
      <c r="EPC7" s="1876"/>
      <c r="EPD7" s="1876"/>
      <c r="EPE7" s="1876"/>
      <c r="EPF7" s="1876"/>
      <c r="EPG7" s="1876"/>
      <c r="EPH7" s="1876"/>
      <c r="EPI7" s="1876"/>
      <c r="EPJ7" s="1876"/>
      <c r="EPK7" s="1876"/>
      <c r="EPL7" s="1876"/>
      <c r="EPM7" s="1876"/>
      <c r="EPN7" s="1876"/>
      <c r="EPO7" s="1876"/>
      <c r="EPP7" s="1876"/>
      <c r="EPQ7" s="1876"/>
      <c r="EPR7" s="1876"/>
      <c r="EPS7" s="1876"/>
      <c r="EPT7" s="1876"/>
      <c r="EPU7" s="1876"/>
      <c r="EPV7" s="1876"/>
      <c r="EPW7" s="1876"/>
      <c r="EPX7" s="1876"/>
      <c r="EPY7" s="1876"/>
      <c r="EPZ7" s="1876"/>
      <c r="EQA7" s="1876"/>
      <c r="EQB7" s="1876"/>
      <c r="EQC7" s="1876"/>
      <c r="EQD7" s="1876"/>
      <c r="EQE7" s="1876"/>
      <c r="EQF7" s="1876"/>
      <c r="EQG7" s="1876"/>
      <c r="EQH7" s="1876"/>
      <c r="EQI7" s="1876"/>
      <c r="EQJ7" s="1876"/>
      <c r="EQK7" s="1876"/>
      <c r="EQL7" s="1876"/>
      <c r="EQM7" s="1876"/>
      <c r="EQN7" s="1876"/>
      <c r="EQO7" s="1876"/>
      <c r="EQP7" s="1876"/>
      <c r="EQQ7" s="1876"/>
      <c r="EQR7" s="1876"/>
      <c r="EQS7" s="1876"/>
      <c r="EQT7" s="1876"/>
      <c r="EQU7" s="1876"/>
      <c r="EQV7" s="1876"/>
      <c r="EQW7" s="1876"/>
      <c r="EQX7" s="1876"/>
      <c r="EQY7" s="1876"/>
      <c r="EQZ7" s="1876"/>
      <c r="ERA7" s="1876"/>
      <c r="ERB7" s="1876"/>
      <c r="ERC7" s="1876"/>
      <c r="ERD7" s="1876"/>
      <c r="ERE7" s="1876"/>
      <c r="ERF7" s="1876"/>
      <c r="ERG7" s="1876"/>
      <c r="ERH7" s="1876"/>
      <c r="ERI7" s="1876"/>
      <c r="ERJ7" s="1876"/>
      <c r="ERK7" s="1876"/>
      <c r="ERL7" s="1876"/>
      <c r="ERM7" s="1876"/>
      <c r="ERN7" s="1876"/>
      <c r="ERO7" s="1876"/>
      <c r="ERP7" s="1876"/>
      <c r="ERQ7" s="1876"/>
      <c r="ERR7" s="1876"/>
      <c r="ERS7" s="1876"/>
      <c r="ERT7" s="1876"/>
      <c r="ERU7" s="1876"/>
      <c r="ERV7" s="1876"/>
      <c r="ERW7" s="1876"/>
      <c r="ERX7" s="1876"/>
      <c r="ERY7" s="1876"/>
      <c r="ERZ7" s="1876"/>
      <c r="ESA7" s="1876"/>
      <c r="ESB7" s="1876"/>
      <c r="ESC7" s="1876"/>
      <c r="ESD7" s="1876"/>
      <c r="ESE7" s="1876"/>
      <c r="ESF7" s="1876"/>
      <c r="ESG7" s="1876"/>
      <c r="ESH7" s="1876"/>
      <c r="ESI7" s="1876"/>
      <c r="ESJ7" s="1876"/>
      <c r="ESK7" s="1876"/>
      <c r="ESL7" s="1876"/>
      <c r="ESM7" s="1876"/>
      <c r="ESN7" s="1876"/>
      <c r="ESO7" s="1876"/>
      <c r="ESP7" s="1876"/>
      <c r="ESQ7" s="1876"/>
      <c r="ESR7" s="1876"/>
      <c r="ESS7" s="1876"/>
      <c r="EST7" s="1876"/>
      <c r="ESU7" s="1876"/>
      <c r="ESV7" s="1876"/>
      <c r="ESW7" s="1876"/>
      <c r="ESX7" s="1876"/>
      <c r="ESY7" s="1876"/>
      <c r="ESZ7" s="1876"/>
      <c r="ETA7" s="1876"/>
      <c r="ETB7" s="1876"/>
      <c r="ETC7" s="1876"/>
      <c r="ETD7" s="1876"/>
      <c r="ETE7" s="1876"/>
      <c r="ETF7" s="1876"/>
      <c r="ETG7" s="1876"/>
      <c r="ETH7" s="1876"/>
      <c r="ETI7" s="1876"/>
      <c r="ETJ7" s="1876"/>
      <c r="ETK7" s="1876"/>
      <c r="ETL7" s="1876"/>
      <c r="ETM7" s="1876"/>
      <c r="ETN7" s="1876"/>
      <c r="ETO7" s="1876"/>
      <c r="ETP7" s="1876"/>
      <c r="ETQ7" s="1876"/>
      <c r="ETR7" s="1876"/>
      <c r="ETS7" s="1876"/>
      <c r="ETT7" s="1876"/>
      <c r="ETU7" s="1876"/>
      <c r="ETV7" s="1876"/>
      <c r="ETW7" s="1876"/>
      <c r="ETX7" s="1876"/>
      <c r="ETY7" s="1876"/>
      <c r="ETZ7" s="1876"/>
      <c r="EUA7" s="1876"/>
      <c r="EUB7" s="1876"/>
      <c r="EUC7" s="1876"/>
      <c r="EUD7" s="1876"/>
      <c r="EUE7" s="1876"/>
      <c r="EUF7" s="1876"/>
      <c r="EUG7" s="1876"/>
      <c r="EUH7" s="1876"/>
      <c r="EUI7" s="1876"/>
      <c r="EUJ7" s="1876"/>
      <c r="EUK7" s="1876"/>
      <c r="EUL7" s="1876"/>
      <c r="EUM7" s="1876"/>
      <c r="EUN7" s="1876"/>
      <c r="EUO7" s="1876"/>
      <c r="EUP7" s="1876"/>
      <c r="EUQ7" s="1876"/>
      <c r="EUR7" s="1876"/>
      <c r="EUS7" s="1876"/>
      <c r="EUT7" s="1876"/>
      <c r="EUU7" s="1876"/>
      <c r="EUV7" s="1876"/>
      <c r="EUW7" s="1876"/>
      <c r="EUX7" s="1876"/>
      <c r="EUY7" s="1876"/>
      <c r="EUZ7" s="1876"/>
      <c r="EVA7" s="1876"/>
      <c r="EVB7" s="1876"/>
      <c r="EVC7" s="1876"/>
      <c r="EVD7" s="1876"/>
      <c r="EVE7" s="1876"/>
      <c r="EVF7" s="1876"/>
      <c r="EVG7" s="1876"/>
      <c r="EVH7" s="1876"/>
      <c r="EVI7" s="1876"/>
      <c r="EVJ7" s="1876"/>
      <c r="EVK7" s="1876"/>
      <c r="EVL7" s="1876"/>
      <c r="EVM7" s="1876"/>
      <c r="EVN7" s="1876"/>
      <c r="EVO7" s="1876"/>
      <c r="EVP7" s="1876"/>
      <c r="EVQ7" s="1876"/>
      <c r="EVR7" s="1876"/>
      <c r="EVS7" s="1876"/>
      <c r="EVT7" s="1876"/>
      <c r="EVU7" s="1876"/>
      <c r="EVV7" s="1876"/>
      <c r="EVW7" s="1876"/>
      <c r="EVX7" s="1876"/>
      <c r="EVY7" s="1876"/>
      <c r="EVZ7" s="1876"/>
      <c r="EWA7" s="1876"/>
      <c r="EWB7" s="1876"/>
      <c r="EWC7" s="1876"/>
      <c r="EWD7" s="1876"/>
      <c r="EWE7" s="1876"/>
      <c r="EWF7" s="1876"/>
      <c r="EWG7" s="1876"/>
      <c r="EWH7" s="1876"/>
      <c r="EWI7" s="1876"/>
      <c r="EWJ7" s="1876"/>
      <c r="EWK7" s="1876"/>
      <c r="EWL7" s="1876"/>
      <c r="EWM7" s="1876"/>
      <c r="EWN7" s="1876"/>
      <c r="EWO7" s="1876"/>
      <c r="EWP7" s="1876"/>
      <c r="EWQ7" s="1876"/>
      <c r="EWR7" s="1876"/>
      <c r="EWS7" s="1876"/>
      <c r="EWT7" s="1876"/>
      <c r="EWU7" s="1876"/>
      <c r="EWV7" s="1876"/>
      <c r="EWW7" s="1876"/>
      <c r="EWX7" s="1876"/>
      <c r="EWY7" s="1876"/>
      <c r="EWZ7" s="1876"/>
      <c r="EXA7" s="1876"/>
      <c r="EXB7" s="1876"/>
      <c r="EXC7" s="1876"/>
      <c r="EXD7" s="1876"/>
      <c r="EXE7" s="1876"/>
      <c r="EXF7" s="1876"/>
      <c r="EXG7" s="1876"/>
      <c r="EXH7" s="1876"/>
      <c r="EXI7" s="1876"/>
      <c r="EXJ7" s="1876"/>
      <c r="EXK7" s="1876"/>
      <c r="EXL7" s="1876"/>
      <c r="EXM7" s="1876"/>
      <c r="EXN7" s="1876"/>
      <c r="EXO7" s="1876"/>
      <c r="EXP7" s="1876"/>
      <c r="EXQ7" s="1876"/>
      <c r="EXR7" s="1876"/>
      <c r="EXS7" s="1876"/>
      <c r="EXT7" s="1876"/>
      <c r="EXU7" s="1876"/>
      <c r="EXV7" s="1876"/>
      <c r="EXW7" s="1876"/>
      <c r="EXX7" s="1876"/>
      <c r="EXY7" s="1876"/>
      <c r="EXZ7" s="1876"/>
      <c r="EYA7" s="1876"/>
      <c r="EYB7" s="1876"/>
      <c r="EYC7" s="1876"/>
      <c r="EYD7" s="1876"/>
      <c r="EYE7" s="1876"/>
      <c r="EYF7" s="1876"/>
      <c r="EYG7" s="1876"/>
      <c r="EYH7" s="1876"/>
      <c r="EYI7" s="1876"/>
      <c r="EYJ7" s="1876"/>
      <c r="EYK7" s="1876"/>
      <c r="EYL7" s="1876"/>
      <c r="EYM7" s="1876"/>
      <c r="EYN7" s="1876"/>
      <c r="EYO7" s="1876"/>
      <c r="EYP7" s="1876"/>
      <c r="EYQ7" s="1876"/>
      <c r="EYR7" s="1876"/>
      <c r="EYS7" s="1876"/>
      <c r="EYT7" s="1876"/>
      <c r="EYU7" s="1876"/>
      <c r="EYV7" s="1876"/>
      <c r="EYW7" s="1876"/>
      <c r="EYX7" s="1876"/>
      <c r="EYY7" s="1876"/>
      <c r="EYZ7" s="1876"/>
      <c r="EZA7" s="1876"/>
      <c r="EZB7" s="1876"/>
      <c r="EZC7" s="1876"/>
      <c r="EZD7" s="1876"/>
      <c r="EZE7" s="1876"/>
      <c r="EZF7" s="1876"/>
      <c r="EZG7" s="1876"/>
      <c r="EZH7" s="1876"/>
      <c r="EZI7" s="1876"/>
      <c r="EZJ7" s="1876"/>
      <c r="EZK7" s="1876"/>
      <c r="EZL7" s="1876"/>
      <c r="EZM7" s="1876"/>
      <c r="EZN7" s="1876"/>
      <c r="EZO7" s="1876"/>
      <c r="EZP7" s="1876"/>
      <c r="EZQ7" s="1876"/>
      <c r="EZR7" s="1876"/>
      <c r="EZS7" s="1876"/>
      <c r="EZT7" s="1876"/>
      <c r="EZU7" s="1876"/>
      <c r="EZV7" s="1876"/>
      <c r="EZW7" s="1876"/>
      <c r="EZX7" s="1876"/>
      <c r="EZY7" s="1876"/>
      <c r="EZZ7" s="1876"/>
      <c r="FAA7" s="1876"/>
      <c r="FAB7" s="1876"/>
      <c r="FAC7" s="1876"/>
      <c r="FAD7" s="1876"/>
      <c r="FAE7" s="1876"/>
      <c r="FAF7" s="1876"/>
      <c r="FAG7" s="1876"/>
      <c r="FAH7" s="1876"/>
      <c r="FAI7" s="1876"/>
      <c r="FAJ7" s="1876"/>
      <c r="FAK7" s="1876"/>
      <c r="FAL7" s="1876"/>
      <c r="FAM7" s="1876"/>
      <c r="FAN7" s="1876"/>
      <c r="FAO7" s="1876"/>
      <c r="FAP7" s="1876"/>
      <c r="FAQ7" s="1876"/>
      <c r="FAR7" s="1876"/>
      <c r="FAS7" s="1876"/>
      <c r="FAT7" s="1876"/>
      <c r="FAU7" s="1876"/>
      <c r="FAV7" s="1876"/>
      <c r="FAW7" s="1876"/>
      <c r="FAX7" s="1876"/>
      <c r="FAY7" s="1876"/>
      <c r="FAZ7" s="1876"/>
      <c r="FBA7" s="1876"/>
      <c r="FBB7" s="1876"/>
      <c r="FBC7" s="1876"/>
      <c r="FBD7" s="1876"/>
      <c r="FBE7" s="1876"/>
      <c r="FBF7" s="1876"/>
      <c r="FBG7" s="1876"/>
      <c r="FBH7" s="1876"/>
      <c r="FBI7" s="1876"/>
      <c r="FBJ7" s="1876"/>
      <c r="FBK7" s="1876"/>
      <c r="FBL7" s="1876"/>
      <c r="FBM7" s="1876"/>
      <c r="FBN7" s="1876"/>
      <c r="FBO7" s="1876"/>
      <c r="FBP7" s="1876"/>
      <c r="FBQ7" s="1876"/>
      <c r="FBR7" s="1876"/>
      <c r="FBS7" s="1876"/>
      <c r="FBT7" s="1876"/>
      <c r="FBU7" s="1876"/>
      <c r="FBV7" s="1876"/>
      <c r="FBW7" s="1876"/>
      <c r="FBX7" s="1876"/>
      <c r="FBY7" s="1876"/>
      <c r="FBZ7" s="1876"/>
      <c r="FCA7" s="1876"/>
      <c r="FCB7" s="1876"/>
      <c r="FCC7" s="1876"/>
      <c r="FCD7" s="1876"/>
      <c r="FCE7" s="1876"/>
      <c r="FCF7" s="1876"/>
      <c r="FCG7" s="1876"/>
      <c r="FCH7" s="1876"/>
      <c r="FCI7" s="1876"/>
      <c r="FCJ7" s="1876"/>
      <c r="FCK7" s="1876"/>
      <c r="FCL7" s="1876"/>
      <c r="FCM7" s="1876"/>
      <c r="FCN7" s="1876"/>
      <c r="FCO7" s="1876"/>
      <c r="FCP7" s="1876"/>
      <c r="FCQ7" s="1876"/>
      <c r="FCR7" s="1876"/>
      <c r="FCS7" s="1876"/>
      <c r="FCT7" s="1876"/>
      <c r="FCU7" s="1876"/>
      <c r="FCV7" s="1876"/>
      <c r="FCW7" s="1876"/>
      <c r="FCX7" s="1876"/>
      <c r="FCY7" s="1876"/>
      <c r="FCZ7" s="1876"/>
      <c r="FDA7" s="1876"/>
      <c r="FDB7" s="1876"/>
      <c r="FDC7" s="1876"/>
      <c r="FDD7" s="1876"/>
      <c r="FDE7" s="1876"/>
      <c r="FDF7" s="1876"/>
      <c r="FDG7" s="1876"/>
      <c r="FDH7" s="1876"/>
      <c r="FDI7" s="1876"/>
      <c r="FDJ7" s="1876"/>
      <c r="FDK7" s="1876"/>
      <c r="FDL7" s="1876"/>
      <c r="FDM7" s="1876"/>
      <c r="FDN7" s="1876"/>
      <c r="FDO7" s="1876"/>
      <c r="FDP7" s="1876"/>
      <c r="FDQ7" s="1876"/>
      <c r="FDR7" s="1876"/>
      <c r="FDS7" s="1876"/>
      <c r="FDT7" s="1876"/>
      <c r="FDU7" s="1876"/>
      <c r="FDV7" s="1876"/>
      <c r="FDW7" s="1876"/>
      <c r="FDX7" s="1876"/>
      <c r="FDY7" s="1876"/>
      <c r="FDZ7" s="1876"/>
      <c r="FEA7" s="1876"/>
      <c r="FEB7" s="1876"/>
      <c r="FEC7" s="1876"/>
      <c r="FED7" s="1876"/>
      <c r="FEE7" s="1876"/>
      <c r="FEF7" s="1876"/>
      <c r="FEG7" s="1876"/>
      <c r="FEH7" s="1876"/>
      <c r="FEI7" s="1876"/>
      <c r="FEJ7" s="1876"/>
      <c r="FEK7" s="1876"/>
      <c r="FEL7" s="1876"/>
      <c r="FEM7" s="1876"/>
      <c r="FEN7" s="1876"/>
      <c r="FEO7" s="1876"/>
      <c r="FEP7" s="1876"/>
      <c r="FEQ7" s="1876"/>
      <c r="FER7" s="1876"/>
      <c r="FES7" s="1876"/>
      <c r="FET7" s="1876"/>
      <c r="FEU7" s="1876"/>
      <c r="FEV7" s="1876"/>
      <c r="FEW7" s="1876"/>
      <c r="FEX7" s="1876"/>
      <c r="FEY7" s="1876"/>
      <c r="FEZ7" s="1876"/>
      <c r="FFA7" s="1876"/>
      <c r="FFB7" s="1876"/>
      <c r="FFC7" s="1876"/>
      <c r="FFD7" s="1876"/>
      <c r="FFE7" s="1876"/>
      <c r="FFF7" s="1876"/>
      <c r="FFG7" s="1876"/>
      <c r="FFH7" s="1876"/>
      <c r="FFI7" s="1876"/>
      <c r="FFJ7" s="1876"/>
      <c r="FFK7" s="1876"/>
      <c r="FFL7" s="1876"/>
      <c r="FFM7" s="1876"/>
      <c r="FFN7" s="1876"/>
      <c r="FFO7" s="1876"/>
      <c r="FFP7" s="1876"/>
      <c r="FFQ7" s="1876"/>
      <c r="FFR7" s="1876"/>
      <c r="FFS7" s="1876"/>
      <c r="FFT7" s="1876"/>
      <c r="FFU7" s="1876"/>
      <c r="FFV7" s="1876"/>
      <c r="FFW7" s="1876"/>
      <c r="FFX7" s="1876"/>
      <c r="FFY7" s="1876"/>
      <c r="FFZ7" s="1876"/>
      <c r="FGA7" s="1876"/>
      <c r="FGB7" s="1876"/>
      <c r="FGC7" s="1876"/>
      <c r="FGD7" s="1876"/>
      <c r="FGE7" s="1876"/>
      <c r="FGF7" s="1876"/>
      <c r="FGG7" s="1876"/>
      <c r="FGH7" s="1876"/>
      <c r="FGI7" s="1876"/>
      <c r="FGJ7" s="1876"/>
      <c r="FGK7" s="1876"/>
      <c r="FGL7" s="1876"/>
      <c r="FGM7" s="1876"/>
      <c r="FGN7" s="1876"/>
      <c r="FGO7" s="1876"/>
      <c r="FGP7" s="1876"/>
      <c r="FGQ7" s="1876"/>
      <c r="FGR7" s="1876"/>
      <c r="FGS7" s="1876"/>
      <c r="FGT7" s="1876"/>
      <c r="FGU7" s="1876"/>
      <c r="FGV7" s="1876"/>
      <c r="FGW7" s="1876"/>
      <c r="FGX7" s="1876"/>
      <c r="FGY7" s="1876"/>
      <c r="FGZ7" s="1876"/>
      <c r="FHA7" s="1876"/>
      <c r="FHB7" s="1876"/>
      <c r="FHC7" s="1876"/>
      <c r="FHD7" s="1876"/>
      <c r="FHE7" s="1876"/>
      <c r="FHF7" s="1876"/>
      <c r="FHG7" s="1876"/>
      <c r="FHH7" s="1876"/>
      <c r="FHI7" s="1876"/>
      <c r="FHJ7" s="1876"/>
      <c r="FHK7" s="1876"/>
      <c r="FHL7" s="1876"/>
      <c r="FHM7" s="1876"/>
      <c r="FHN7" s="1876"/>
      <c r="FHO7" s="1876"/>
      <c r="FHP7" s="1876"/>
      <c r="FHQ7" s="1876"/>
      <c r="FHR7" s="1876"/>
      <c r="FHS7" s="1876"/>
      <c r="FHT7" s="1876"/>
      <c r="FHU7" s="1876"/>
      <c r="FHV7" s="1876"/>
      <c r="FHW7" s="1876"/>
      <c r="FHX7" s="1876"/>
      <c r="FHY7" s="1876"/>
      <c r="FHZ7" s="1876"/>
      <c r="FIA7" s="1876"/>
      <c r="FIB7" s="1876"/>
      <c r="FIC7" s="1876"/>
      <c r="FID7" s="1876"/>
      <c r="FIE7" s="1876"/>
      <c r="FIF7" s="1876"/>
      <c r="FIG7" s="1876"/>
      <c r="FIH7" s="1876"/>
      <c r="FII7" s="1876"/>
      <c r="FIJ7" s="1876"/>
      <c r="FIK7" s="1876"/>
      <c r="FIL7" s="1876"/>
      <c r="FIM7" s="1876"/>
      <c r="FIN7" s="1876"/>
      <c r="FIO7" s="1876"/>
      <c r="FIP7" s="1876"/>
      <c r="FIQ7" s="1876"/>
      <c r="FIR7" s="1876"/>
      <c r="FIS7" s="1876"/>
      <c r="FIT7" s="1876"/>
      <c r="FIU7" s="1876"/>
      <c r="FIV7" s="1876"/>
      <c r="FIW7" s="1876"/>
      <c r="FIX7" s="1876"/>
      <c r="FIY7" s="1876"/>
      <c r="FIZ7" s="1876"/>
      <c r="FJA7" s="1876"/>
      <c r="FJB7" s="1876"/>
      <c r="FJC7" s="1876"/>
      <c r="FJD7" s="1876"/>
      <c r="FJE7" s="1876"/>
      <c r="FJF7" s="1876"/>
      <c r="FJG7" s="1876"/>
      <c r="FJH7" s="1876"/>
      <c r="FJI7" s="1876"/>
      <c r="FJJ7" s="1876"/>
      <c r="FJK7" s="1876"/>
      <c r="FJL7" s="1876"/>
      <c r="FJM7" s="1876"/>
      <c r="FJN7" s="1876"/>
      <c r="FJO7" s="1876"/>
      <c r="FJP7" s="1876"/>
      <c r="FJQ7" s="1876"/>
      <c r="FJR7" s="1876"/>
      <c r="FJS7" s="1876"/>
      <c r="FJT7" s="1876"/>
      <c r="FJU7" s="1876"/>
      <c r="FJV7" s="1876"/>
      <c r="FJW7" s="1876"/>
      <c r="FJX7" s="1876"/>
      <c r="FJY7" s="1876"/>
      <c r="FJZ7" s="1876"/>
      <c r="FKA7" s="1876"/>
      <c r="FKB7" s="1876"/>
      <c r="FKC7" s="1876"/>
      <c r="FKD7" s="1876"/>
      <c r="FKE7" s="1876"/>
      <c r="FKF7" s="1876"/>
      <c r="FKG7" s="1876"/>
      <c r="FKH7" s="1876"/>
      <c r="FKI7" s="1876"/>
      <c r="FKJ7" s="1876"/>
      <c r="FKK7" s="1876"/>
      <c r="FKL7" s="1876"/>
      <c r="FKM7" s="1876"/>
      <c r="FKN7" s="1876"/>
      <c r="FKO7" s="1876"/>
      <c r="FKP7" s="1876"/>
      <c r="FKQ7" s="1876"/>
      <c r="FKR7" s="1876"/>
      <c r="FKS7" s="1876"/>
      <c r="FKT7" s="1876"/>
      <c r="FKU7" s="1876"/>
      <c r="FKV7" s="1876"/>
      <c r="FKW7" s="1876"/>
      <c r="FKX7" s="1876"/>
      <c r="FKY7" s="1876"/>
      <c r="FKZ7" s="1876"/>
      <c r="FLA7" s="1876"/>
      <c r="FLB7" s="1876"/>
      <c r="FLC7" s="1876"/>
      <c r="FLD7" s="1876"/>
      <c r="FLE7" s="1876"/>
      <c r="FLF7" s="1876"/>
      <c r="FLG7" s="1876"/>
      <c r="FLH7" s="1876"/>
      <c r="FLI7" s="1876"/>
      <c r="FLJ7" s="1876"/>
      <c r="FLK7" s="1876"/>
      <c r="FLL7" s="1876"/>
      <c r="FLM7" s="1876"/>
      <c r="FLN7" s="1876"/>
      <c r="FLO7" s="1876"/>
      <c r="FLP7" s="1876"/>
      <c r="FLQ7" s="1876"/>
      <c r="FLR7" s="1876"/>
      <c r="FLS7" s="1876"/>
      <c r="FLT7" s="1876"/>
      <c r="FLU7" s="1876"/>
      <c r="FLV7" s="1876"/>
      <c r="FLW7" s="1876"/>
      <c r="FLX7" s="1876"/>
      <c r="FLY7" s="1876"/>
      <c r="FLZ7" s="1876"/>
      <c r="FMA7" s="1876"/>
      <c r="FMB7" s="1876"/>
      <c r="FMC7" s="1876"/>
      <c r="FMD7" s="1876"/>
      <c r="FME7" s="1876"/>
      <c r="FMF7" s="1876"/>
      <c r="FMG7" s="1876"/>
      <c r="FMH7" s="1876"/>
      <c r="FMI7" s="1876"/>
      <c r="FMJ7" s="1876"/>
      <c r="FMK7" s="1876"/>
      <c r="FML7" s="1876"/>
      <c r="FMM7" s="1876"/>
      <c r="FMN7" s="1876"/>
      <c r="FMO7" s="1876"/>
      <c r="FMP7" s="1876"/>
      <c r="FMQ7" s="1876"/>
      <c r="FMR7" s="1876"/>
      <c r="FMS7" s="1876"/>
      <c r="FMT7" s="1876"/>
      <c r="FMU7" s="1876"/>
      <c r="FMV7" s="1876"/>
      <c r="FMW7" s="1876"/>
      <c r="FMX7" s="1876"/>
      <c r="FMY7" s="1876"/>
      <c r="FMZ7" s="1876"/>
      <c r="FNA7" s="1876"/>
      <c r="FNB7" s="1876"/>
      <c r="FNC7" s="1876"/>
      <c r="FND7" s="1876"/>
      <c r="FNE7" s="1876"/>
      <c r="FNF7" s="1876"/>
      <c r="FNG7" s="1876"/>
      <c r="FNH7" s="1876"/>
      <c r="FNI7" s="1876"/>
      <c r="FNJ7" s="1876"/>
      <c r="FNK7" s="1876"/>
      <c r="FNL7" s="1876"/>
      <c r="FNM7" s="1876"/>
      <c r="FNN7" s="1876"/>
      <c r="FNO7" s="1876"/>
      <c r="FNP7" s="1876"/>
      <c r="FNQ7" s="1876"/>
      <c r="FNR7" s="1876"/>
      <c r="FNS7" s="1876"/>
      <c r="FNT7" s="1876"/>
      <c r="FNU7" s="1876"/>
      <c r="FNV7" s="1876"/>
      <c r="FNW7" s="1876"/>
      <c r="FNX7" s="1876"/>
      <c r="FNY7" s="1876"/>
      <c r="FNZ7" s="1876"/>
      <c r="FOA7" s="1876"/>
      <c r="FOB7" s="1876"/>
      <c r="FOC7" s="1876"/>
      <c r="FOD7" s="1876"/>
      <c r="FOE7" s="1876"/>
      <c r="FOF7" s="1876"/>
      <c r="FOG7" s="1876"/>
      <c r="FOH7" s="1876"/>
      <c r="FOI7" s="1876"/>
      <c r="FOJ7" s="1876"/>
      <c r="FOK7" s="1876"/>
      <c r="FOL7" s="1876"/>
      <c r="FOM7" s="1876"/>
      <c r="FON7" s="1876"/>
      <c r="FOO7" s="1876"/>
      <c r="FOP7" s="1876"/>
      <c r="FOQ7" s="1876"/>
      <c r="FOR7" s="1876"/>
      <c r="FOS7" s="1876"/>
      <c r="FOT7" s="1876"/>
      <c r="FOU7" s="1876"/>
      <c r="FOV7" s="1876"/>
      <c r="FOW7" s="1876"/>
      <c r="FOX7" s="1876"/>
      <c r="FOY7" s="1876"/>
      <c r="FOZ7" s="1876"/>
      <c r="FPA7" s="1876"/>
      <c r="FPB7" s="1876"/>
      <c r="FPC7" s="1876"/>
      <c r="FPD7" s="1876"/>
      <c r="FPE7" s="1876"/>
      <c r="FPF7" s="1876"/>
      <c r="FPG7" s="1876"/>
      <c r="FPH7" s="1876"/>
      <c r="FPI7" s="1876"/>
      <c r="FPJ7" s="1876"/>
      <c r="FPK7" s="1876"/>
      <c r="FPL7" s="1876"/>
      <c r="FPM7" s="1876"/>
      <c r="FPN7" s="1876"/>
      <c r="FPO7" s="1876"/>
      <c r="FPP7" s="1876"/>
      <c r="FPQ7" s="1876"/>
      <c r="FPR7" s="1876"/>
      <c r="FPS7" s="1876"/>
      <c r="FPT7" s="1876"/>
      <c r="FPU7" s="1876"/>
      <c r="FPV7" s="1876"/>
      <c r="FPW7" s="1876"/>
      <c r="FPX7" s="1876"/>
      <c r="FPY7" s="1876"/>
      <c r="FPZ7" s="1876"/>
      <c r="FQA7" s="1876"/>
      <c r="FQB7" s="1876"/>
      <c r="FQC7" s="1876"/>
      <c r="FQD7" s="1876"/>
      <c r="FQE7" s="1876"/>
      <c r="FQF7" s="1876"/>
      <c r="FQG7" s="1876"/>
      <c r="FQH7" s="1876"/>
      <c r="FQI7" s="1876"/>
      <c r="FQJ7" s="1876"/>
      <c r="FQK7" s="1876"/>
      <c r="FQL7" s="1876"/>
      <c r="FQM7" s="1876"/>
      <c r="FQN7" s="1876"/>
      <c r="FQO7" s="1876"/>
      <c r="FQP7" s="1876"/>
      <c r="FQQ7" s="1876"/>
      <c r="FQR7" s="1876"/>
      <c r="FQS7" s="1876"/>
      <c r="FQT7" s="1876"/>
      <c r="FQU7" s="1876"/>
      <c r="FQV7" s="1876"/>
      <c r="FQW7" s="1876"/>
      <c r="FQX7" s="1876"/>
      <c r="FQY7" s="1876"/>
      <c r="FQZ7" s="1876"/>
      <c r="FRA7" s="1876"/>
      <c r="FRB7" s="1876"/>
      <c r="FRC7" s="1876"/>
      <c r="FRD7" s="1876"/>
      <c r="FRE7" s="1876"/>
      <c r="FRF7" s="1876"/>
      <c r="FRG7" s="1876"/>
      <c r="FRH7" s="1876"/>
      <c r="FRI7" s="1876"/>
      <c r="FRJ7" s="1876"/>
      <c r="FRK7" s="1876"/>
      <c r="FRL7" s="1876"/>
      <c r="FRM7" s="1876"/>
      <c r="FRN7" s="1876"/>
      <c r="FRO7" s="1876"/>
      <c r="FRP7" s="1876"/>
      <c r="FRQ7" s="1876"/>
      <c r="FRR7" s="1876"/>
      <c r="FRS7" s="1876"/>
      <c r="FRT7" s="1876"/>
      <c r="FRU7" s="1876"/>
      <c r="FRV7" s="1876"/>
      <c r="FRW7" s="1876"/>
      <c r="FRX7" s="1876"/>
      <c r="FRY7" s="1876"/>
      <c r="FRZ7" s="1876"/>
      <c r="FSA7" s="1876"/>
      <c r="FSB7" s="1876"/>
      <c r="FSC7" s="1876"/>
      <c r="FSD7" s="1876"/>
      <c r="FSE7" s="1876"/>
      <c r="FSF7" s="1876"/>
      <c r="FSG7" s="1876"/>
      <c r="FSH7" s="1876"/>
      <c r="FSI7" s="1876"/>
      <c r="FSJ7" s="1876"/>
      <c r="FSK7" s="1876"/>
      <c r="FSL7" s="1876"/>
      <c r="FSM7" s="1876"/>
      <c r="FSN7" s="1876"/>
      <c r="FSO7" s="1876"/>
      <c r="FSP7" s="1876"/>
      <c r="FSQ7" s="1876"/>
      <c r="FSR7" s="1876"/>
      <c r="FSS7" s="1876"/>
      <c r="FST7" s="1876"/>
      <c r="FSU7" s="1876"/>
      <c r="FSV7" s="1876"/>
      <c r="FSW7" s="1876"/>
      <c r="FSX7" s="1876"/>
      <c r="FSY7" s="1876"/>
      <c r="FSZ7" s="1876"/>
      <c r="FTA7" s="1876"/>
      <c r="FTB7" s="1876"/>
      <c r="FTC7" s="1876"/>
      <c r="FTD7" s="1876"/>
      <c r="FTE7" s="1876"/>
      <c r="FTF7" s="1876"/>
      <c r="FTG7" s="1876"/>
      <c r="FTH7" s="1876"/>
      <c r="FTI7" s="1876"/>
      <c r="FTJ7" s="1876"/>
      <c r="FTK7" s="1876"/>
      <c r="FTL7" s="1876"/>
      <c r="FTM7" s="1876"/>
      <c r="FTN7" s="1876"/>
      <c r="FTO7" s="1876"/>
      <c r="FTP7" s="1876"/>
      <c r="FTQ7" s="1876"/>
      <c r="FTR7" s="1876"/>
      <c r="FTS7" s="1876"/>
      <c r="FTT7" s="1876"/>
      <c r="FTU7" s="1876"/>
      <c r="FTV7" s="1876"/>
      <c r="FTW7" s="1876"/>
      <c r="FTX7" s="1876"/>
      <c r="FTY7" s="1876"/>
      <c r="FTZ7" s="1876"/>
      <c r="FUA7" s="1876"/>
      <c r="FUB7" s="1876"/>
      <c r="FUC7" s="1876"/>
      <c r="FUD7" s="1876"/>
      <c r="FUE7" s="1876"/>
      <c r="FUF7" s="1876"/>
      <c r="FUG7" s="1876"/>
      <c r="FUH7" s="1876"/>
      <c r="FUI7" s="1876"/>
      <c r="FUJ7" s="1876"/>
      <c r="FUK7" s="1876"/>
      <c r="FUL7" s="1876"/>
      <c r="FUM7" s="1876"/>
      <c r="FUN7" s="1876"/>
      <c r="FUO7" s="1876"/>
      <c r="FUP7" s="1876"/>
      <c r="FUQ7" s="1876"/>
      <c r="FUR7" s="1876"/>
      <c r="FUS7" s="1876"/>
      <c r="FUT7" s="1876"/>
      <c r="FUU7" s="1876"/>
      <c r="FUV7" s="1876"/>
      <c r="FUW7" s="1876"/>
      <c r="FUX7" s="1876"/>
      <c r="FUY7" s="1876"/>
      <c r="FUZ7" s="1876"/>
      <c r="FVA7" s="1876"/>
      <c r="FVB7" s="1876"/>
      <c r="FVC7" s="1876"/>
      <c r="FVD7" s="1876"/>
      <c r="FVE7" s="1876"/>
      <c r="FVF7" s="1876"/>
      <c r="FVG7" s="1876"/>
      <c r="FVH7" s="1876"/>
      <c r="FVI7" s="1876"/>
      <c r="FVJ7" s="1876"/>
      <c r="FVK7" s="1876"/>
      <c r="FVL7" s="1876"/>
      <c r="FVM7" s="1876"/>
      <c r="FVN7" s="1876"/>
      <c r="FVO7" s="1876"/>
      <c r="FVP7" s="1876"/>
      <c r="FVQ7" s="1876"/>
      <c r="FVR7" s="1876"/>
      <c r="FVS7" s="1876"/>
      <c r="FVT7" s="1876"/>
      <c r="FVU7" s="1876"/>
      <c r="FVV7" s="1876"/>
      <c r="FVW7" s="1876"/>
      <c r="FVX7" s="1876"/>
      <c r="FVY7" s="1876"/>
      <c r="FVZ7" s="1876"/>
      <c r="FWA7" s="1876"/>
      <c r="FWB7" s="1876"/>
      <c r="FWC7" s="1876"/>
      <c r="FWD7" s="1876"/>
      <c r="FWE7" s="1876"/>
      <c r="FWF7" s="1876"/>
      <c r="FWG7" s="1876"/>
      <c r="FWH7" s="1876"/>
      <c r="FWI7" s="1876"/>
      <c r="FWJ7" s="1876"/>
      <c r="FWK7" s="1876"/>
      <c r="FWL7" s="1876"/>
      <c r="FWM7" s="1876"/>
      <c r="FWN7" s="1876"/>
      <c r="FWO7" s="1876"/>
      <c r="FWP7" s="1876"/>
      <c r="FWQ7" s="1876"/>
      <c r="FWR7" s="1876"/>
      <c r="FWS7" s="1876"/>
      <c r="FWT7" s="1876"/>
      <c r="FWU7" s="1876"/>
      <c r="FWV7" s="1876"/>
      <c r="FWW7" s="1876"/>
      <c r="FWX7" s="1876"/>
      <c r="FWY7" s="1876"/>
      <c r="FWZ7" s="1876"/>
      <c r="FXA7" s="1876"/>
      <c r="FXB7" s="1876"/>
      <c r="FXC7" s="1876"/>
      <c r="FXD7" s="1876"/>
      <c r="FXE7" s="1876"/>
      <c r="FXF7" s="1876"/>
      <c r="FXG7" s="1876"/>
      <c r="FXH7" s="1876"/>
      <c r="FXI7" s="1876"/>
      <c r="FXJ7" s="1876"/>
      <c r="FXK7" s="1876"/>
      <c r="FXL7" s="1876"/>
      <c r="FXM7" s="1876"/>
      <c r="FXN7" s="1876"/>
      <c r="FXO7" s="1876"/>
      <c r="FXP7" s="1876"/>
      <c r="FXQ7" s="1876"/>
      <c r="FXR7" s="1876"/>
      <c r="FXS7" s="1876"/>
      <c r="FXT7" s="1876"/>
      <c r="FXU7" s="1876"/>
      <c r="FXV7" s="1876"/>
      <c r="FXW7" s="1876"/>
      <c r="FXX7" s="1876"/>
      <c r="FXY7" s="1876"/>
      <c r="FXZ7" s="1876"/>
      <c r="FYA7" s="1876"/>
      <c r="FYB7" s="1876"/>
      <c r="FYC7" s="1876"/>
      <c r="FYD7" s="1876"/>
      <c r="FYE7" s="1876"/>
      <c r="FYF7" s="1876"/>
      <c r="FYG7" s="1876"/>
      <c r="FYH7" s="1876"/>
      <c r="FYI7" s="1876"/>
      <c r="FYJ7" s="1876"/>
      <c r="FYK7" s="1876"/>
      <c r="FYL7" s="1876"/>
      <c r="FYM7" s="1876"/>
      <c r="FYN7" s="1876"/>
      <c r="FYO7" s="1876"/>
      <c r="FYP7" s="1876"/>
      <c r="FYQ7" s="1876"/>
      <c r="FYR7" s="1876"/>
      <c r="FYS7" s="1876"/>
      <c r="FYT7" s="1876"/>
      <c r="FYU7" s="1876"/>
      <c r="FYV7" s="1876"/>
      <c r="FYW7" s="1876"/>
      <c r="FYX7" s="1876"/>
      <c r="FYY7" s="1876"/>
      <c r="FYZ7" s="1876"/>
      <c r="FZA7" s="1876"/>
      <c r="FZB7" s="1876"/>
      <c r="FZC7" s="1876"/>
      <c r="FZD7" s="1876"/>
      <c r="FZE7" s="1876"/>
      <c r="FZF7" s="1876"/>
      <c r="FZG7" s="1876"/>
      <c r="FZH7" s="1876"/>
      <c r="FZI7" s="1876"/>
      <c r="FZJ7" s="1876"/>
      <c r="FZK7" s="1876"/>
      <c r="FZL7" s="1876"/>
      <c r="FZM7" s="1876"/>
      <c r="FZN7" s="1876"/>
      <c r="FZO7" s="1876"/>
      <c r="FZP7" s="1876"/>
      <c r="FZQ7" s="1876"/>
      <c r="FZR7" s="1876"/>
      <c r="FZS7" s="1876"/>
      <c r="FZT7" s="1876"/>
      <c r="FZU7" s="1876"/>
      <c r="FZV7" s="1876"/>
      <c r="FZW7" s="1876"/>
      <c r="FZX7" s="1876"/>
      <c r="FZY7" s="1876"/>
      <c r="FZZ7" s="1876"/>
      <c r="GAA7" s="1876"/>
      <c r="GAB7" s="1876"/>
      <c r="GAC7" s="1876"/>
      <c r="GAD7" s="1876"/>
      <c r="GAE7" s="1876"/>
      <c r="GAF7" s="1876"/>
      <c r="GAG7" s="1876"/>
      <c r="GAH7" s="1876"/>
      <c r="GAI7" s="1876"/>
      <c r="GAJ7" s="1876"/>
      <c r="GAK7" s="1876"/>
      <c r="GAL7" s="1876"/>
      <c r="GAM7" s="1876"/>
      <c r="GAN7" s="1876"/>
      <c r="GAO7" s="1876"/>
      <c r="GAP7" s="1876"/>
      <c r="GAQ7" s="1876"/>
      <c r="GAR7" s="1876"/>
      <c r="GAS7" s="1876"/>
      <c r="GAT7" s="1876"/>
      <c r="GAU7" s="1876"/>
      <c r="GAV7" s="1876"/>
      <c r="GAW7" s="1876"/>
      <c r="GAX7" s="1876"/>
      <c r="GAY7" s="1876"/>
      <c r="GAZ7" s="1876"/>
      <c r="GBA7" s="1876"/>
      <c r="GBB7" s="1876"/>
      <c r="GBC7" s="1876"/>
      <c r="GBD7" s="1876"/>
      <c r="GBE7" s="1876"/>
      <c r="GBF7" s="1876"/>
      <c r="GBG7" s="1876"/>
      <c r="GBH7" s="1876"/>
      <c r="GBI7" s="1876"/>
      <c r="GBJ7" s="1876"/>
      <c r="GBK7" s="1876"/>
      <c r="GBL7" s="1876"/>
      <c r="GBM7" s="1876"/>
      <c r="GBN7" s="1876"/>
      <c r="GBO7" s="1876"/>
      <c r="GBP7" s="1876"/>
      <c r="GBQ7" s="1876"/>
      <c r="GBR7" s="1876"/>
      <c r="GBS7" s="1876"/>
      <c r="GBT7" s="1876"/>
      <c r="GBU7" s="1876"/>
      <c r="GBV7" s="1876"/>
      <c r="GBW7" s="1876"/>
      <c r="GBX7" s="1876"/>
      <c r="GBY7" s="1876"/>
      <c r="GBZ7" s="1876"/>
      <c r="GCA7" s="1876"/>
      <c r="GCB7" s="1876"/>
      <c r="GCC7" s="1876"/>
      <c r="GCD7" s="1876"/>
      <c r="GCE7" s="1876"/>
      <c r="GCF7" s="1876"/>
      <c r="GCG7" s="1876"/>
      <c r="GCH7" s="1876"/>
      <c r="GCI7" s="1876"/>
      <c r="GCJ7" s="1876"/>
      <c r="GCK7" s="1876"/>
      <c r="GCL7" s="1876"/>
      <c r="GCM7" s="1876"/>
      <c r="GCN7" s="1876"/>
      <c r="GCO7" s="1876"/>
      <c r="GCP7" s="1876"/>
      <c r="GCQ7" s="1876"/>
      <c r="GCR7" s="1876"/>
      <c r="GCS7" s="1876"/>
      <c r="GCT7" s="1876"/>
      <c r="GCU7" s="1876"/>
      <c r="GCV7" s="1876"/>
      <c r="GCW7" s="1876"/>
      <c r="GCX7" s="1876"/>
      <c r="GCY7" s="1876"/>
      <c r="GCZ7" s="1876"/>
      <c r="GDA7" s="1876"/>
      <c r="GDB7" s="1876"/>
      <c r="GDC7" s="1876"/>
      <c r="GDD7" s="1876"/>
      <c r="GDE7" s="1876"/>
      <c r="GDF7" s="1876"/>
      <c r="GDG7" s="1876"/>
      <c r="GDH7" s="1876"/>
      <c r="GDI7" s="1876"/>
      <c r="GDJ7" s="1876"/>
      <c r="GDK7" s="1876"/>
      <c r="GDL7" s="1876"/>
      <c r="GDM7" s="1876"/>
      <c r="GDN7" s="1876"/>
      <c r="GDO7" s="1876"/>
      <c r="GDP7" s="1876"/>
      <c r="GDQ7" s="1876"/>
      <c r="GDR7" s="1876"/>
      <c r="GDS7" s="1876"/>
      <c r="GDT7" s="1876"/>
      <c r="GDU7" s="1876"/>
      <c r="GDV7" s="1876"/>
      <c r="GDW7" s="1876"/>
      <c r="GDX7" s="1876"/>
      <c r="GDY7" s="1876"/>
      <c r="GDZ7" s="1876"/>
      <c r="GEA7" s="1876"/>
      <c r="GEB7" s="1876"/>
      <c r="GEC7" s="1876"/>
      <c r="GED7" s="1876"/>
      <c r="GEE7" s="1876"/>
      <c r="GEF7" s="1876"/>
      <c r="GEG7" s="1876"/>
      <c r="GEH7" s="1876"/>
      <c r="GEI7" s="1876"/>
      <c r="GEJ7" s="1876"/>
      <c r="GEK7" s="1876"/>
      <c r="GEL7" s="1876"/>
      <c r="GEM7" s="1876"/>
      <c r="GEN7" s="1876"/>
      <c r="GEO7" s="1876"/>
      <c r="GEP7" s="1876"/>
      <c r="GEQ7" s="1876"/>
      <c r="GER7" s="1876"/>
      <c r="GES7" s="1876"/>
      <c r="GET7" s="1876"/>
      <c r="GEU7" s="1876"/>
      <c r="GEV7" s="1876"/>
      <c r="GEW7" s="1876"/>
      <c r="GEX7" s="1876"/>
      <c r="GEY7" s="1876"/>
      <c r="GEZ7" s="1876"/>
      <c r="GFA7" s="1876"/>
      <c r="GFB7" s="1876"/>
      <c r="GFC7" s="1876"/>
      <c r="GFD7" s="1876"/>
      <c r="GFE7" s="1876"/>
      <c r="GFF7" s="1876"/>
      <c r="GFG7" s="1876"/>
      <c r="GFH7" s="1876"/>
      <c r="GFI7" s="1876"/>
      <c r="GFJ7" s="1876"/>
      <c r="GFK7" s="1876"/>
      <c r="GFL7" s="1876"/>
      <c r="GFM7" s="1876"/>
      <c r="GFN7" s="1876"/>
      <c r="GFO7" s="1876"/>
      <c r="GFP7" s="1876"/>
      <c r="GFQ7" s="1876"/>
      <c r="GFR7" s="1876"/>
      <c r="GFS7" s="1876"/>
      <c r="GFT7" s="1876"/>
      <c r="GFU7" s="1876"/>
      <c r="GFV7" s="1876"/>
      <c r="GFW7" s="1876"/>
      <c r="GFX7" s="1876"/>
      <c r="GFY7" s="1876"/>
      <c r="GFZ7" s="1876"/>
      <c r="GGA7" s="1876"/>
      <c r="GGB7" s="1876"/>
      <c r="GGC7" s="1876"/>
      <c r="GGD7" s="1876"/>
      <c r="GGE7" s="1876"/>
      <c r="GGF7" s="1876"/>
      <c r="GGG7" s="1876"/>
      <c r="GGH7" s="1876"/>
      <c r="GGI7" s="1876"/>
      <c r="GGJ7" s="1876"/>
      <c r="GGK7" s="1876"/>
      <c r="GGL7" s="1876"/>
      <c r="GGM7" s="1876"/>
      <c r="GGN7" s="1876"/>
      <c r="GGO7" s="1876"/>
      <c r="GGP7" s="1876"/>
      <c r="GGQ7" s="1876"/>
      <c r="GGR7" s="1876"/>
      <c r="GGS7" s="1876"/>
      <c r="GGT7" s="1876"/>
      <c r="GGU7" s="1876"/>
      <c r="GGV7" s="1876"/>
      <c r="GGW7" s="1876"/>
      <c r="GGX7" s="1876"/>
      <c r="GGY7" s="1876"/>
      <c r="GGZ7" s="1876"/>
      <c r="GHA7" s="1876"/>
      <c r="GHB7" s="1876"/>
      <c r="GHC7" s="1876"/>
      <c r="GHD7" s="1876"/>
      <c r="GHE7" s="1876"/>
      <c r="GHF7" s="1876"/>
      <c r="GHG7" s="1876"/>
      <c r="GHH7" s="1876"/>
      <c r="GHI7" s="1876"/>
      <c r="GHJ7" s="1876"/>
      <c r="GHK7" s="1876"/>
      <c r="GHL7" s="1876"/>
      <c r="GHM7" s="1876"/>
      <c r="GHN7" s="1876"/>
      <c r="GHO7" s="1876"/>
      <c r="GHP7" s="1876"/>
      <c r="GHQ7" s="1876"/>
      <c r="GHR7" s="1876"/>
      <c r="GHS7" s="1876"/>
      <c r="GHT7" s="1876"/>
      <c r="GHU7" s="1876"/>
      <c r="GHV7" s="1876"/>
      <c r="GHW7" s="1876"/>
      <c r="GHX7" s="1876"/>
      <c r="GHY7" s="1876"/>
      <c r="GHZ7" s="1876"/>
      <c r="GIA7" s="1876"/>
      <c r="GIB7" s="1876"/>
      <c r="GIC7" s="1876"/>
      <c r="GID7" s="1876"/>
      <c r="GIE7" s="1876"/>
      <c r="GIF7" s="1876"/>
      <c r="GIG7" s="1876"/>
      <c r="GIH7" s="1876"/>
      <c r="GII7" s="1876"/>
      <c r="GIJ7" s="1876"/>
      <c r="GIK7" s="1876"/>
      <c r="GIL7" s="1876"/>
      <c r="GIM7" s="1876"/>
      <c r="GIN7" s="1876"/>
      <c r="GIO7" s="1876"/>
      <c r="GIP7" s="1876"/>
      <c r="GIQ7" s="1876"/>
      <c r="GIR7" s="1876"/>
      <c r="GIS7" s="1876"/>
      <c r="GIT7" s="1876"/>
      <c r="GIU7" s="1876"/>
      <c r="GIV7" s="1876"/>
      <c r="GIW7" s="1876"/>
      <c r="GIX7" s="1876"/>
      <c r="GIY7" s="1876"/>
      <c r="GIZ7" s="1876"/>
      <c r="GJA7" s="1876"/>
      <c r="GJB7" s="1876"/>
      <c r="GJC7" s="1876"/>
      <c r="GJD7" s="1876"/>
      <c r="GJE7" s="1876"/>
      <c r="GJF7" s="1876"/>
      <c r="GJG7" s="1876"/>
      <c r="GJH7" s="1876"/>
      <c r="GJI7" s="1876"/>
      <c r="GJJ7" s="1876"/>
      <c r="GJK7" s="1876"/>
      <c r="GJL7" s="1876"/>
      <c r="GJM7" s="1876"/>
      <c r="GJN7" s="1876"/>
      <c r="GJO7" s="1876"/>
      <c r="GJP7" s="1876"/>
      <c r="GJQ7" s="1876"/>
      <c r="GJR7" s="1876"/>
      <c r="GJS7" s="1876"/>
      <c r="GJT7" s="1876"/>
      <c r="GJU7" s="1876"/>
      <c r="GJV7" s="1876"/>
      <c r="GJW7" s="1876"/>
      <c r="GJX7" s="1876"/>
      <c r="GJY7" s="1876"/>
      <c r="GJZ7" s="1876"/>
      <c r="GKA7" s="1876"/>
      <c r="GKB7" s="1876"/>
      <c r="GKC7" s="1876"/>
      <c r="GKD7" s="1876"/>
      <c r="GKE7" s="1876"/>
      <c r="GKF7" s="1876"/>
      <c r="GKG7" s="1876"/>
      <c r="GKH7" s="1876"/>
      <c r="GKI7" s="1876"/>
      <c r="GKJ7" s="1876"/>
      <c r="GKK7" s="1876"/>
      <c r="GKL7" s="1876"/>
      <c r="GKM7" s="1876"/>
      <c r="GKN7" s="1876"/>
      <c r="GKO7" s="1876"/>
      <c r="GKP7" s="1876"/>
      <c r="GKQ7" s="1876"/>
      <c r="GKR7" s="1876"/>
      <c r="GKS7" s="1876"/>
      <c r="GKT7" s="1876"/>
      <c r="GKU7" s="1876"/>
      <c r="GKV7" s="1876"/>
      <c r="GKW7" s="1876"/>
      <c r="GKX7" s="1876"/>
      <c r="GKY7" s="1876"/>
      <c r="GKZ7" s="1876"/>
      <c r="GLA7" s="1876"/>
      <c r="GLB7" s="1876"/>
      <c r="GLC7" s="1876"/>
      <c r="GLD7" s="1876"/>
      <c r="GLE7" s="1876"/>
      <c r="GLF7" s="1876"/>
      <c r="GLG7" s="1876"/>
      <c r="GLH7" s="1876"/>
      <c r="GLI7" s="1876"/>
      <c r="GLJ7" s="1876"/>
      <c r="GLK7" s="1876"/>
      <c r="GLL7" s="1876"/>
      <c r="GLM7" s="1876"/>
      <c r="GLN7" s="1876"/>
      <c r="GLO7" s="1876"/>
      <c r="GLP7" s="1876"/>
      <c r="GLQ7" s="1876"/>
      <c r="GLR7" s="1876"/>
      <c r="GLS7" s="1876"/>
      <c r="GLT7" s="1876"/>
      <c r="GLU7" s="1876"/>
      <c r="GLV7" s="1876"/>
      <c r="GLW7" s="1876"/>
      <c r="GLX7" s="1876"/>
      <c r="GLY7" s="1876"/>
      <c r="GLZ7" s="1876"/>
      <c r="GMA7" s="1876"/>
      <c r="GMB7" s="1876"/>
      <c r="GMC7" s="1876"/>
      <c r="GMD7" s="1876"/>
      <c r="GME7" s="1876"/>
      <c r="GMF7" s="1876"/>
      <c r="GMG7" s="1876"/>
      <c r="GMH7" s="1876"/>
      <c r="GMI7" s="1876"/>
      <c r="GMJ7" s="1876"/>
      <c r="GMK7" s="1876"/>
      <c r="GML7" s="1876"/>
      <c r="GMM7" s="1876"/>
      <c r="GMN7" s="1876"/>
      <c r="GMO7" s="1876"/>
      <c r="GMP7" s="1876"/>
      <c r="GMQ7" s="1876"/>
      <c r="GMR7" s="1876"/>
      <c r="GMS7" s="1876"/>
      <c r="GMT7" s="1876"/>
      <c r="GMU7" s="1876"/>
      <c r="GMV7" s="1876"/>
      <c r="GMW7" s="1876"/>
      <c r="GMX7" s="1876"/>
      <c r="GMY7" s="1876"/>
      <c r="GMZ7" s="1876"/>
      <c r="GNA7" s="1876"/>
      <c r="GNB7" s="1876"/>
      <c r="GNC7" s="1876"/>
      <c r="GND7" s="1876"/>
      <c r="GNE7" s="1876"/>
      <c r="GNF7" s="1876"/>
      <c r="GNG7" s="1876"/>
      <c r="GNH7" s="1876"/>
      <c r="GNI7" s="1876"/>
      <c r="GNJ7" s="1876"/>
      <c r="GNK7" s="1876"/>
      <c r="GNL7" s="1876"/>
      <c r="GNM7" s="1876"/>
      <c r="GNN7" s="1876"/>
      <c r="GNO7" s="1876"/>
      <c r="GNP7" s="1876"/>
      <c r="GNQ7" s="1876"/>
      <c r="GNR7" s="1876"/>
      <c r="GNS7" s="1876"/>
      <c r="GNT7" s="1876"/>
      <c r="GNU7" s="1876"/>
      <c r="GNV7" s="1876"/>
      <c r="GNW7" s="1876"/>
      <c r="GNX7" s="1876"/>
      <c r="GNY7" s="1876"/>
      <c r="GNZ7" s="1876"/>
      <c r="GOA7" s="1876"/>
      <c r="GOB7" s="1876"/>
      <c r="GOC7" s="1876"/>
      <c r="GOD7" s="1876"/>
      <c r="GOE7" s="1876"/>
      <c r="GOF7" s="1876"/>
      <c r="GOG7" s="1876"/>
      <c r="GOH7" s="1876"/>
      <c r="GOI7" s="1876"/>
      <c r="GOJ7" s="1876"/>
      <c r="GOK7" s="1876"/>
      <c r="GOL7" s="1876"/>
      <c r="GOM7" s="1876"/>
      <c r="GON7" s="1876"/>
      <c r="GOO7" s="1876"/>
      <c r="GOP7" s="1876"/>
      <c r="GOQ7" s="1876"/>
      <c r="GOR7" s="1876"/>
      <c r="GOS7" s="1876"/>
      <c r="GOT7" s="1876"/>
      <c r="GOU7" s="1876"/>
      <c r="GOV7" s="1876"/>
      <c r="GOW7" s="1876"/>
      <c r="GOX7" s="1876"/>
      <c r="GOY7" s="1876"/>
      <c r="GOZ7" s="1876"/>
      <c r="GPA7" s="1876"/>
      <c r="GPB7" s="1876"/>
      <c r="GPC7" s="1876"/>
      <c r="GPD7" s="1876"/>
      <c r="GPE7" s="1876"/>
      <c r="GPF7" s="1876"/>
      <c r="GPG7" s="1876"/>
      <c r="GPH7" s="1876"/>
      <c r="GPI7" s="1876"/>
      <c r="GPJ7" s="1876"/>
      <c r="GPK7" s="1876"/>
      <c r="GPL7" s="1876"/>
      <c r="GPM7" s="1876"/>
      <c r="GPN7" s="1876"/>
      <c r="GPO7" s="1876"/>
      <c r="GPP7" s="1876"/>
      <c r="GPQ7" s="1876"/>
      <c r="GPR7" s="1876"/>
      <c r="GPS7" s="1876"/>
      <c r="GPT7" s="1876"/>
      <c r="GPU7" s="1876"/>
      <c r="GPV7" s="1876"/>
      <c r="GPW7" s="1876"/>
      <c r="GPX7" s="1876"/>
      <c r="GPY7" s="1876"/>
      <c r="GPZ7" s="1876"/>
      <c r="GQA7" s="1876"/>
      <c r="GQB7" s="1876"/>
      <c r="GQC7" s="1876"/>
      <c r="GQD7" s="1876"/>
      <c r="GQE7" s="1876"/>
      <c r="GQF7" s="1876"/>
      <c r="GQG7" s="1876"/>
      <c r="GQH7" s="1876"/>
      <c r="GQI7" s="1876"/>
      <c r="GQJ7" s="1876"/>
      <c r="GQK7" s="1876"/>
      <c r="GQL7" s="1876"/>
      <c r="GQM7" s="1876"/>
      <c r="GQN7" s="1876"/>
      <c r="GQO7" s="1876"/>
      <c r="GQP7" s="1876"/>
      <c r="GQQ7" s="1876"/>
      <c r="GQR7" s="1876"/>
      <c r="GQS7" s="1876"/>
      <c r="GQT7" s="1876"/>
      <c r="GQU7" s="1876"/>
      <c r="GQV7" s="1876"/>
      <c r="GQW7" s="1876"/>
      <c r="GQX7" s="1876"/>
      <c r="GQY7" s="1876"/>
      <c r="GQZ7" s="1876"/>
      <c r="GRA7" s="1876"/>
      <c r="GRB7" s="1876"/>
      <c r="GRC7" s="1876"/>
      <c r="GRD7" s="1876"/>
      <c r="GRE7" s="1876"/>
      <c r="GRF7" s="1876"/>
      <c r="GRG7" s="1876"/>
      <c r="GRH7" s="1876"/>
      <c r="GRI7" s="1876"/>
      <c r="GRJ7" s="1876"/>
      <c r="GRK7" s="1876"/>
      <c r="GRL7" s="1876"/>
      <c r="GRM7" s="1876"/>
      <c r="GRN7" s="1876"/>
      <c r="GRO7" s="1876"/>
      <c r="GRP7" s="1876"/>
      <c r="GRQ7" s="1876"/>
      <c r="GRR7" s="1876"/>
      <c r="GRS7" s="1876"/>
      <c r="GRT7" s="1876"/>
      <c r="GRU7" s="1876"/>
      <c r="GRV7" s="1876"/>
      <c r="GRW7" s="1876"/>
      <c r="GRX7" s="1876"/>
      <c r="GRY7" s="1876"/>
      <c r="GRZ7" s="1876"/>
      <c r="GSA7" s="1876"/>
      <c r="GSB7" s="1876"/>
      <c r="GSC7" s="1876"/>
      <c r="GSD7" s="1876"/>
      <c r="GSE7" s="1876"/>
      <c r="GSF7" s="1876"/>
      <c r="GSG7" s="1876"/>
      <c r="GSH7" s="1876"/>
      <c r="GSI7" s="1876"/>
      <c r="GSJ7" s="1876"/>
      <c r="GSK7" s="1876"/>
      <c r="GSL7" s="1876"/>
      <c r="GSM7" s="1876"/>
      <c r="GSN7" s="1876"/>
      <c r="GSO7" s="1876"/>
      <c r="GSP7" s="1876"/>
      <c r="GSQ7" s="1876"/>
      <c r="GSR7" s="1876"/>
      <c r="GSS7" s="1876"/>
      <c r="GST7" s="1876"/>
      <c r="GSU7" s="1876"/>
      <c r="GSV7" s="1876"/>
      <c r="GSW7" s="1876"/>
      <c r="GSX7" s="1876"/>
      <c r="GSY7" s="1876"/>
      <c r="GSZ7" s="1876"/>
      <c r="GTA7" s="1876"/>
      <c r="GTB7" s="1876"/>
      <c r="GTC7" s="1876"/>
      <c r="GTD7" s="1876"/>
      <c r="GTE7" s="1876"/>
      <c r="GTF7" s="1876"/>
      <c r="GTG7" s="1876"/>
      <c r="GTH7" s="1876"/>
      <c r="GTI7" s="1876"/>
      <c r="GTJ7" s="1876"/>
      <c r="GTK7" s="1876"/>
      <c r="GTL7" s="1876"/>
      <c r="GTM7" s="1876"/>
      <c r="GTN7" s="1876"/>
      <c r="GTO7" s="1876"/>
      <c r="GTP7" s="1876"/>
      <c r="GTQ7" s="1876"/>
      <c r="GTR7" s="1876"/>
      <c r="GTS7" s="1876"/>
      <c r="GTT7" s="1876"/>
      <c r="GTU7" s="1876"/>
      <c r="GTV7" s="1876"/>
      <c r="GTW7" s="1876"/>
      <c r="GTX7" s="1876"/>
      <c r="GTY7" s="1876"/>
      <c r="GTZ7" s="1876"/>
      <c r="GUA7" s="1876"/>
      <c r="GUB7" s="1876"/>
      <c r="GUC7" s="1876"/>
      <c r="GUD7" s="1876"/>
      <c r="GUE7" s="1876"/>
      <c r="GUF7" s="1876"/>
      <c r="GUG7" s="1876"/>
      <c r="GUH7" s="1876"/>
      <c r="GUI7" s="1876"/>
      <c r="GUJ7" s="1876"/>
      <c r="GUK7" s="1876"/>
      <c r="GUL7" s="1876"/>
      <c r="GUM7" s="1876"/>
      <c r="GUN7" s="1876"/>
      <c r="GUO7" s="1876"/>
      <c r="GUP7" s="1876"/>
      <c r="GUQ7" s="1876"/>
      <c r="GUR7" s="1876"/>
      <c r="GUS7" s="1876"/>
      <c r="GUT7" s="1876"/>
      <c r="GUU7" s="1876"/>
      <c r="GUV7" s="1876"/>
      <c r="GUW7" s="1876"/>
      <c r="GUX7" s="1876"/>
      <c r="GUY7" s="1876"/>
      <c r="GUZ7" s="1876"/>
      <c r="GVA7" s="1876"/>
      <c r="GVB7" s="1876"/>
      <c r="GVC7" s="1876"/>
      <c r="GVD7" s="1876"/>
      <c r="GVE7" s="1876"/>
      <c r="GVF7" s="1876"/>
      <c r="GVG7" s="1876"/>
      <c r="GVH7" s="1876"/>
      <c r="GVI7" s="1876"/>
      <c r="GVJ7" s="1876"/>
      <c r="GVK7" s="1876"/>
      <c r="GVL7" s="1876"/>
      <c r="GVM7" s="1876"/>
      <c r="GVN7" s="1876"/>
      <c r="GVO7" s="1876"/>
      <c r="GVP7" s="1876"/>
      <c r="GVQ7" s="1876"/>
      <c r="GVR7" s="1876"/>
      <c r="GVS7" s="1876"/>
      <c r="GVT7" s="1876"/>
      <c r="GVU7" s="1876"/>
      <c r="GVV7" s="1876"/>
      <c r="GVW7" s="1876"/>
      <c r="GVX7" s="1876"/>
      <c r="GVY7" s="1876"/>
      <c r="GVZ7" s="1876"/>
      <c r="GWA7" s="1876"/>
      <c r="GWB7" s="1876"/>
      <c r="GWC7" s="1876"/>
      <c r="GWD7" s="1876"/>
      <c r="GWE7" s="1876"/>
      <c r="GWF7" s="1876"/>
      <c r="GWG7" s="1876"/>
      <c r="GWH7" s="1876"/>
      <c r="GWI7" s="1876"/>
      <c r="GWJ7" s="1876"/>
      <c r="GWK7" s="1876"/>
      <c r="GWL7" s="1876"/>
      <c r="GWM7" s="1876"/>
      <c r="GWN7" s="1876"/>
      <c r="GWO7" s="1876"/>
      <c r="GWP7" s="1876"/>
      <c r="GWQ7" s="1876"/>
      <c r="GWR7" s="1876"/>
      <c r="GWS7" s="1876"/>
      <c r="GWT7" s="1876"/>
      <c r="GWU7" s="1876"/>
      <c r="GWV7" s="1876"/>
      <c r="GWW7" s="1876"/>
      <c r="GWX7" s="1876"/>
      <c r="GWY7" s="1876"/>
      <c r="GWZ7" s="1876"/>
      <c r="GXA7" s="1876"/>
      <c r="GXB7" s="1876"/>
      <c r="GXC7" s="1876"/>
      <c r="GXD7" s="1876"/>
      <c r="GXE7" s="1876"/>
      <c r="GXF7" s="1876"/>
      <c r="GXG7" s="1876"/>
      <c r="GXH7" s="1876"/>
      <c r="GXI7" s="1876"/>
      <c r="GXJ7" s="1876"/>
      <c r="GXK7" s="1876"/>
      <c r="GXL7" s="1876"/>
      <c r="GXM7" s="1876"/>
      <c r="GXN7" s="1876"/>
      <c r="GXO7" s="1876"/>
      <c r="GXP7" s="1876"/>
      <c r="GXQ7" s="1876"/>
      <c r="GXR7" s="1876"/>
      <c r="GXS7" s="1876"/>
      <c r="GXT7" s="1876"/>
      <c r="GXU7" s="1876"/>
      <c r="GXV7" s="1876"/>
      <c r="GXW7" s="1876"/>
      <c r="GXX7" s="1876"/>
      <c r="GXY7" s="1876"/>
      <c r="GXZ7" s="1876"/>
      <c r="GYA7" s="1876"/>
      <c r="GYB7" s="1876"/>
      <c r="GYC7" s="1876"/>
      <c r="GYD7" s="1876"/>
      <c r="GYE7" s="1876"/>
      <c r="GYF7" s="1876"/>
      <c r="GYG7" s="1876"/>
      <c r="GYH7" s="1876"/>
      <c r="GYI7" s="1876"/>
      <c r="GYJ7" s="1876"/>
      <c r="GYK7" s="1876"/>
      <c r="GYL7" s="1876"/>
      <c r="GYM7" s="1876"/>
      <c r="GYN7" s="1876"/>
      <c r="GYO7" s="1876"/>
      <c r="GYP7" s="1876"/>
      <c r="GYQ7" s="1876"/>
      <c r="GYR7" s="1876"/>
      <c r="GYS7" s="1876"/>
      <c r="GYT7" s="1876"/>
      <c r="GYU7" s="1876"/>
      <c r="GYV7" s="1876"/>
      <c r="GYW7" s="1876"/>
      <c r="GYX7" s="1876"/>
      <c r="GYY7" s="1876"/>
      <c r="GYZ7" s="1876"/>
      <c r="GZA7" s="1876"/>
      <c r="GZB7" s="1876"/>
      <c r="GZC7" s="1876"/>
      <c r="GZD7" s="1876"/>
      <c r="GZE7" s="1876"/>
      <c r="GZF7" s="1876"/>
      <c r="GZG7" s="1876"/>
      <c r="GZH7" s="1876"/>
      <c r="GZI7" s="1876"/>
      <c r="GZJ7" s="1876"/>
      <c r="GZK7" s="1876"/>
      <c r="GZL7" s="1876"/>
      <c r="GZM7" s="1876"/>
      <c r="GZN7" s="1876"/>
      <c r="GZO7" s="1876"/>
      <c r="GZP7" s="1876"/>
      <c r="GZQ7" s="1876"/>
      <c r="GZR7" s="1876"/>
      <c r="GZS7" s="1876"/>
      <c r="GZT7" s="1876"/>
      <c r="GZU7" s="1876"/>
      <c r="GZV7" s="1876"/>
      <c r="GZW7" s="1876"/>
      <c r="GZX7" s="1876"/>
      <c r="GZY7" s="1876"/>
      <c r="GZZ7" s="1876"/>
      <c r="HAA7" s="1876"/>
      <c r="HAB7" s="1876"/>
      <c r="HAC7" s="1876"/>
      <c r="HAD7" s="1876"/>
      <c r="HAE7" s="1876"/>
      <c r="HAF7" s="1876"/>
      <c r="HAG7" s="1876"/>
      <c r="HAH7" s="1876"/>
      <c r="HAI7" s="1876"/>
      <c r="HAJ7" s="1876"/>
      <c r="HAK7" s="1876"/>
      <c r="HAL7" s="1876"/>
      <c r="HAM7" s="1876"/>
      <c r="HAN7" s="1876"/>
      <c r="HAO7" s="1876"/>
      <c r="HAP7" s="1876"/>
      <c r="HAQ7" s="1876"/>
      <c r="HAR7" s="1876"/>
      <c r="HAS7" s="1876"/>
      <c r="HAT7" s="1876"/>
      <c r="HAU7" s="1876"/>
      <c r="HAV7" s="1876"/>
      <c r="HAW7" s="1876"/>
      <c r="HAX7" s="1876"/>
      <c r="HAY7" s="1876"/>
      <c r="HAZ7" s="1876"/>
      <c r="HBA7" s="1876"/>
      <c r="HBB7" s="1876"/>
      <c r="HBC7" s="1876"/>
      <c r="HBD7" s="1876"/>
      <c r="HBE7" s="1876"/>
      <c r="HBF7" s="1876"/>
      <c r="HBG7" s="1876"/>
      <c r="HBH7" s="1876"/>
      <c r="HBI7" s="1876"/>
      <c r="HBJ7" s="1876"/>
      <c r="HBK7" s="1876"/>
      <c r="HBL7" s="1876"/>
      <c r="HBM7" s="1876"/>
      <c r="HBN7" s="1876"/>
      <c r="HBO7" s="1876"/>
      <c r="HBP7" s="1876"/>
      <c r="HBQ7" s="1876"/>
      <c r="HBR7" s="1876"/>
      <c r="HBS7" s="1876"/>
      <c r="HBT7" s="1876"/>
      <c r="HBU7" s="1876"/>
      <c r="HBV7" s="1876"/>
      <c r="HBW7" s="1876"/>
      <c r="HBX7" s="1876"/>
      <c r="HBY7" s="1876"/>
      <c r="HBZ7" s="1876"/>
      <c r="HCA7" s="1876"/>
      <c r="HCB7" s="1876"/>
      <c r="HCC7" s="1876"/>
      <c r="HCD7" s="1876"/>
      <c r="HCE7" s="1876"/>
      <c r="HCF7" s="1876"/>
      <c r="HCG7" s="1876"/>
      <c r="HCH7" s="1876"/>
      <c r="HCI7" s="1876"/>
      <c r="HCJ7" s="1876"/>
      <c r="HCK7" s="1876"/>
      <c r="HCL7" s="1876"/>
      <c r="HCM7" s="1876"/>
      <c r="HCN7" s="1876"/>
      <c r="HCO7" s="1876"/>
      <c r="HCP7" s="1876"/>
      <c r="HCQ7" s="1876"/>
      <c r="HCR7" s="1876"/>
      <c r="HCS7" s="1876"/>
      <c r="HCT7" s="1876"/>
      <c r="HCU7" s="1876"/>
      <c r="HCV7" s="1876"/>
      <c r="HCW7" s="1876"/>
      <c r="HCX7" s="1876"/>
      <c r="HCY7" s="1876"/>
      <c r="HCZ7" s="1876"/>
      <c r="HDA7" s="1876"/>
      <c r="HDB7" s="1876"/>
      <c r="HDC7" s="1876"/>
      <c r="HDD7" s="1876"/>
      <c r="HDE7" s="1876"/>
      <c r="HDF7" s="1876"/>
      <c r="HDG7" s="1876"/>
      <c r="HDH7" s="1876"/>
      <c r="HDI7" s="1876"/>
      <c r="HDJ7" s="1876"/>
      <c r="HDK7" s="1876"/>
      <c r="HDL7" s="1876"/>
      <c r="HDM7" s="1876"/>
      <c r="HDN7" s="1876"/>
      <c r="HDO7" s="1876"/>
      <c r="HDP7" s="1876"/>
      <c r="HDQ7" s="1876"/>
      <c r="HDR7" s="1876"/>
      <c r="HDS7" s="1876"/>
      <c r="HDT7" s="1876"/>
      <c r="HDU7" s="1876"/>
      <c r="HDV7" s="1876"/>
      <c r="HDW7" s="1876"/>
      <c r="HDX7" s="1876"/>
      <c r="HDY7" s="1876"/>
      <c r="HDZ7" s="1876"/>
      <c r="HEA7" s="1876"/>
      <c r="HEB7" s="1876"/>
      <c r="HEC7" s="1876"/>
      <c r="HED7" s="1876"/>
      <c r="HEE7" s="1876"/>
      <c r="HEF7" s="1876"/>
      <c r="HEG7" s="1876"/>
      <c r="HEH7" s="1876"/>
      <c r="HEI7" s="1876"/>
      <c r="HEJ7" s="1876"/>
      <c r="HEK7" s="1876"/>
      <c r="HEL7" s="1876"/>
      <c r="HEM7" s="1876"/>
      <c r="HEN7" s="1876"/>
      <c r="HEO7" s="1876"/>
      <c r="HEP7" s="1876"/>
      <c r="HEQ7" s="1876"/>
      <c r="HER7" s="1876"/>
      <c r="HES7" s="1876"/>
      <c r="HET7" s="1876"/>
      <c r="HEU7" s="1876"/>
      <c r="HEV7" s="1876"/>
      <c r="HEW7" s="1876"/>
      <c r="HEX7" s="1876"/>
      <c r="HEY7" s="1876"/>
      <c r="HEZ7" s="1876"/>
      <c r="HFA7" s="1876"/>
      <c r="HFB7" s="1876"/>
      <c r="HFC7" s="1876"/>
      <c r="HFD7" s="1876"/>
      <c r="HFE7" s="1876"/>
      <c r="HFF7" s="1876"/>
      <c r="HFG7" s="1876"/>
      <c r="HFH7" s="1876"/>
      <c r="HFI7" s="1876"/>
      <c r="HFJ7" s="1876"/>
      <c r="HFK7" s="1876"/>
      <c r="HFL7" s="1876"/>
      <c r="HFM7" s="1876"/>
      <c r="HFN7" s="1876"/>
      <c r="HFO7" s="1876"/>
      <c r="HFP7" s="1876"/>
      <c r="HFQ7" s="1876"/>
      <c r="HFR7" s="1876"/>
      <c r="HFS7" s="1876"/>
      <c r="HFT7" s="1876"/>
      <c r="HFU7" s="1876"/>
      <c r="HFV7" s="1876"/>
      <c r="HFW7" s="1876"/>
      <c r="HFX7" s="1876"/>
      <c r="HFY7" s="1876"/>
      <c r="HFZ7" s="1876"/>
      <c r="HGA7" s="1876"/>
      <c r="HGB7" s="1876"/>
      <c r="HGC7" s="1876"/>
      <c r="HGD7" s="1876"/>
      <c r="HGE7" s="1876"/>
      <c r="HGF7" s="1876"/>
      <c r="HGG7" s="1876"/>
      <c r="HGH7" s="1876"/>
      <c r="HGI7" s="1876"/>
      <c r="HGJ7" s="1876"/>
      <c r="HGK7" s="1876"/>
      <c r="HGL7" s="1876"/>
      <c r="HGM7" s="1876"/>
      <c r="HGN7" s="1876"/>
      <c r="HGO7" s="1876"/>
      <c r="HGP7" s="1876"/>
      <c r="HGQ7" s="1876"/>
      <c r="HGR7" s="1876"/>
      <c r="HGS7" s="1876"/>
      <c r="HGT7" s="1876"/>
      <c r="HGU7" s="1876"/>
      <c r="HGV7" s="1876"/>
      <c r="HGW7" s="1876"/>
      <c r="HGX7" s="1876"/>
      <c r="HGY7" s="1876"/>
      <c r="HGZ7" s="1876"/>
      <c r="HHA7" s="1876"/>
      <c r="HHB7" s="1876"/>
      <c r="HHC7" s="1876"/>
      <c r="HHD7" s="1876"/>
      <c r="HHE7" s="1876"/>
      <c r="HHF7" s="1876"/>
      <c r="HHG7" s="1876"/>
      <c r="HHH7" s="1876"/>
      <c r="HHI7" s="1876"/>
      <c r="HHJ7" s="1876"/>
      <c r="HHK7" s="1876"/>
      <c r="HHL7" s="1876"/>
      <c r="HHM7" s="1876"/>
      <c r="HHN7" s="1876"/>
      <c r="HHO7" s="1876"/>
      <c r="HHP7" s="1876"/>
      <c r="HHQ7" s="1876"/>
      <c r="HHR7" s="1876"/>
      <c r="HHS7" s="1876"/>
      <c r="HHT7" s="1876"/>
      <c r="HHU7" s="1876"/>
      <c r="HHV7" s="1876"/>
      <c r="HHW7" s="1876"/>
      <c r="HHX7" s="1876"/>
      <c r="HHY7" s="1876"/>
      <c r="HHZ7" s="1876"/>
      <c r="HIA7" s="1876"/>
      <c r="HIB7" s="1876"/>
      <c r="HIC7" s="1876"/>
      <c r="HID7" s="1876"/>
      <c r="HIE7" s="1876"/>
      <c r="HIF7" s="1876"/>
      <c r="HIG7" s="1876"/>
      <c r="HIH7" s="1876"/>
      <c r="HII7" s="1876"/>
      <c r="HIJ7" s="1876"/>
      <c r="HIK7" s="1876"/>
      <c r="HIL7" s="1876"/>
      <c r="HIM7" s="1876"/>
      <c r="HIN7" s="1876"/>
      <c r="HIO7" s="1876"/>
      <c r="HIP7" s="1876"/>
      <c r="HIQ7" s="1876"/>
      <c r="HIR7" s="1876"/>
      <c r="HIS7" s="1876"/>
      <c r="HIT7" s="1876"/>
      <c r="HIU7" s="1876"/>
      <c r="HIV7" s="1876"/>
      <c r="HIW7" s="1876"/>
      <c r="HIX7" s="1876"/>
      <c r="HIY7" s="1876"/>
      <c r="HIZ7" s="1876"/>
      <c r="HJA7" s="1876"/>
      <c r="HJB7" s="1876"/>
      <c r="HJC7" s="1876"/>
      <c r="HJD7" s="1876"/>
      <c r="HJE7" s="1876"/>
      <c r="HJF7" s="1876"/>
      <c r="HJG7" s="1876"/>
      <c r="HJH7" s="1876"/>
      <c r="HJI7" s="1876"/>
      <c r="HJJ7" s="1876"/>
      <c r="HJK7" s="1876"/>
      <c r="HJL7" s="1876"/>
      <c r="HJM7" s="1876"/>
      <c r="HJN7" s="1876"/>
      <c r="HJO7" s="1876"/>
      <c r="HJP7" s="1876"/>
      <c r="HJQ7" s="1876"/>
      <c r="HJR7" s="1876"/>
      <c r="HJS7" s="1876"/>
      <c r="HJT7" s="1876"/>
      <c r="HJU7" s="1876"/>
      <c r="HJV7" s="1876"/>
      <c r="HJW7" s="1876"/>
      <c r="HJX7" s="1876"/>
      <c r="HJY7" s="1876"/>
      <c r="HJZ7" s="1876"/>
      <c r="HKA7" s="1876"/>
      <c r="HKB7" s="1876"/>
      <c r="HKC7" s="1876"/>
      <c r="HKD7" s="1876"/>
      <c r="HKE7" s="1876"/>
      <c r="HKF7" s="1876"/>
      <c r="HKG7" s="1876"/>
      <c r="HKH7" s="1876"/>
      <c r="HKI7" s="1876"/>
      <c r="HKJ7" s="1876"/>
      <c r="HKK7" s="1876"/>
      <c r="HKL7" s="1876"/>
      <c r="HKM7" s="1876"/>
      <c r="HKN7" s="1876"/>
      <c r="HKO7" s="1876"/>
      <c r="HKP7" s="1876"/>
      <c r="HKQ7" s="1876"/>
      <c r="HKR7" s="1876"/>
      <c r="HKS7" s="1876"/>
      <c r="HKT7" s="1876"/>
      <c r="HKU7" s="1876"/>
      <c r="HKV7" s="1876"/>
      <c r="HKW7" s="1876"/>
      <c r="HKX7" s="1876"/>
      <c r="HKY7" s="1876"/>
      <c r="HKZ7" s="1876"/>
      <c r="HLA7" s="1876"/>
      <c r="HLB7" s="1876"/>
      <c r="HLC7" s="1876"/>
      <c r="HLD7" s="1876"/>
      <c r="HLE7" s="1876"/>
      <c r="HLF7" s="1876"/>
      <c r="HLG7" s="1876"/>
      <c r="HLH7" s="1876"/>
      <c r="HLI7" s="1876"/>
      <c r="HLJ7" s="1876"/>
      <c r="HLK7" s="1876"/>
      <c r="HLL7" s="1876"/>
      <c r="HLM7" s="1876"/>
      <c r="HLN7" s="1876"/>
      <c r="HLO7" s="1876"/>
      <c r="HLP7" s="1876"/>
      <c r="HLQ7" s="1876"/>
      <c r="HLR7" s="1876"/>
      <c r="HLS7" s="1876"/>
      <c r="HLT7" s="1876"/>
      <c r="HLU7" s="1876"/>
      <c r="HLV7" s="1876"/>
      <c r="HLW7" s="1876"/>
      <c r="HLX7" s="1876"/>
      <c r="HLY7" s="1876"/>
      <c r="HLZ7" s="1876"/>
      <c r="HMA7" s="1876"/>
      <c r="HMB7" s="1876"/>
      <c r="HMC7" s="1876"/>
      <c r="HMD7" s="1876"/>
      <c r="HME7" s="1876"/>
      <c r="HMF7" s="1876"/>
      <c r="HMG7" s="1876"/>
      <c r="HMH7" s="1876"/>
      <c r="HMI7" s="1876"/>
      <c r="HMJ7" s="1876"/>
      <c r="HMK7" s="1876"/>
      <c r="HML7" s="1876"/>
      <c r="HMM7" s="1876"/>
      <c r="HMN7" s="1876"/>
      <c r="HMO7" s="1876"/>
      <c r="HMP7" s="1876"/>
      <c r="HMQ7" s="1876"/>
      <c r="HMR7" s="1876"/>
      <c r="HMS7" s="1876"/>
      <c r="HMT7" s="1876"/>
      <c r="HMU7" s="1876"/>
      <c r="HMV7" s="1876"/>
      <c r="HMW7" s="1876"/>
      <c r="HMX7" s="1876"/>
      <c r="HMY7" s="1876"/>
      <c r="HMZ7" s="1876"/>
      <c r="HNA7" s="1876"/>
      <c r="HNB7" s="1876"/>
      <c r="HNC7" s="1876"/>
      <c r="HND7" s="1876"/>
      <c r="HNE7" s="1876"/>
      <c r="HNF7" s="1876"/>
      <c r="HNG7" s="1876"/>
      <c r="HNH7" s="1876"/>
      <c r="HNI7" s="1876"/>
      <c r="HNJ7" s="1876"/>
      <c r="HNK7" s="1876"/>
      <c r="HNL7" s="1876"/>
      <c r="HNM7" s="1876"/>
      <c r="HNN7" s="1876"/>
      <c r="HNO7" s="1876"/>
      <c r="HNP7" s="1876"/>
      <c r="HNQ7" s="1876"/>
      <c r="HNR7" s="1876"/>
      <c r="HNS7" s="1876"/>
      <c r="HNT7" s="1876"/>
      <c r="HNU7" s="1876"/>
      <c r="HNV7" s="1876"/>
      <c r="HNW7" s="1876"/>
      <c r="HNX7" s="1876"/>
      <c r="HNY7" s="1876"/>
      <c r="HNZ7" s="1876"/>
      <c r="HOA7" s="1876"/>
      <c r="HOB7" s="1876"/>
      <c r="HOC7" s="1876"/>
      <c r="HOD7" s="1876"/>
      <c r="HOE7" s="1876"/>
      <c r="HOF7" s="1876"/>
      <c r="HOG7" s="1876"/>
      <c r="HOH7" s="1876"/>
      <c r="HOI7" s="1876"/>
      <c r="HOJ7" s="1876"/>
      <c r="HOK7" s="1876"/>
      <c r="HOL7" s="1876"/>
      <c r="HOM7" s="1876"/>
      <c r="HON7" s="1876"/>
      <c r="HOO7" s="1876"/>
      <c r="HOP7" s="1876"/>
      <c r="HOQ7" s="1876"/>
      <c r="HOR7" s="1876"/>
      <c r="HOS7" s="1876"/>
      <c r="HOT7" s="1876"/>
      <c r="HOU7" s="1876"/>
      <c r="HOV7" s="1876"/>
      <c r="HOW7" s="1876"/>
      <c r="HOX7" s="1876"/>
      <c r="HOY7" s="1876"/>
      <c r="HOZ7" s="1876"/>
      <c r="HPA7" s="1876"/>
      <c r="HPB7" s="1876"/>
      <c r="HPC7" s="1876"/>
      <c r="HPD7" s="1876"/>
      <c r="HPE7" s="1876"/>
      <c r="HPF7" s="1876"/>
      <c r="HPG7" s="1876"/>
      <c r="HPH7" s="1876"/>
      <c r="HPI7" s="1876"/>
      <c r="HPJ7" s="1876"/>
      <c r="HPK7" s="1876"/>
      <c r="HPL7" s="1876"/>
      <c r="HPM7" s="1876"/>
      <c r="HPN7" s="1876"/>
      <c r="HPO7" s="1876"/>
      <c r="HPP7" s="1876"/>
      <c r="HPQ7" s="1876"/>
      <c r="HPR7" s="1876"/>
      <c r="HPS7" s="1876"/>
      <c r="HPT7" s="1876"/>
      <c r="HPU7" s="1876"/>
      <c r="HPV7" s="1876"/>
      <c r="HPW7" s="1876"/>
      <c r="HPX7" s="1876"/>
      <c r="HPY7" s="1876"/>
      <c r="HPZ7" s="1876"/>
      <c r="HQA7" s="1876"/>
      <c r="HQB7" s="1876"/>
      <c r="HQC7" s="1876"/>
      <c r="HQD7" s="1876"/>
      <c r="HQE7" s="1876"/>
      <c r="HQF7" s="1876"/>
      <c r="HQG7" s="1876"/>
      <c r="HQH7" s="1876"/>
      <c r="HQI7" s="1876"/>
      <c r="HQJ7" s="1876"/>
      <c r="HQK7" s="1876"/>
      <c r="HQL7" s="1876"/>
      <c r="HQM7" s="1876"/>
      <c r="HQN7" s="1876"/>
      <c r="HQO7" s="1876"/>
      <c r="HQP7" s="1876"/>
      <c r="HQQ7" s="1876"/>
      <c r="HQR7" s="1876"/>
      <c r="HQS7" s="1876"/>
      <c r="HQT7" s="1876"/>
      <c r="HQU7" s="1876"/>
      <c r="HQV7" s="1876"/>
      <c r="HQW7" s="1876"/>
      <c r="HQX7" s="1876"/>
      <c r="HQY7" s="1876"/>
      <c r="HQZ7" s="1876"/>
      <c r="HRA7" s="1876"/>
      <c r="HRB7" s="1876"/>
      <c r="HRC7" s="1876"/>
      <c r="HRD7" s="1876"/>
      <c r="HRE7" s="1876"/>
      <c r="HRF7" s="1876"/>
      <c r="HRG7" s="1876"/>
      <c r="HRH7" s="1876"/>
      <c r="HRI7" s="1876"/>
      <c r="HRJ7" s="1876"/>
      <c r="HRK7" s="1876"/>
      <c r="HRL7" s="1876"/>
      <c r="HRM7" s="1876"/>
      <c r="HRN7" s="1876"/>
      <c r="HRO7" s="1876"/>
      <c r="HRP7" s="1876"/>
      <c r="HRQ7" s="1876"/>
      <c r="HRR7" s="1876"/>
      <c r="HRS7" s="1876"/>
      <c r="HRT7" s="1876"/>
      <c r="HRU7" s="1876"/>
      <c r="HRV7" s="1876"/>
      <c r="HRW7" s="1876"/>
      <c r="HRX7" s="1876"/>
      <c r="HRY7" s="1876"/>
      <c r="HRZ7" s="1876"/>
      <c r="HSA7" s="1876"/>
      <c r="HSB7" s="1876"/>
      <c r="HSC7" s="1876"/>
      <c r="HSD7" s="1876"/>
      <c r="HSE7" s="1876"/>
      <c r="HSF7" s="1876"/>
      <c r="HSG7" s="1876"/>
      <c r="HSH7" s="1876"/>
      <c r="HSI7" s="1876"/>
      <c r="HSJ7" s="1876"/>
      <c r="HSK7" s="1876"/>
      <c r="HSL7" s="1876"/>
      <c r="HSM7" s="1876"/>
      <c r="HSN7" s="1876"/>
      <c r="HSO7" s="1876"/>
      <c r="HSP7" s="1876"/>
      <c r="HSQ7" s="1876"/>
      <c r="HSR7" s="1876"/>
      <c r="HSS7" s="1876"/>
      <c r="HST7" s="1876"/>
      <c r="HSU7" s="1876"/>
      <c r="HSV7" s="1876"/>
      <c r="HSW7" s="1876"/>
      <c r="HSX7" s="1876"/>
      <c r="HSY7" s="1876"/>
      <c r="HSZ7" s="1876"/>
      <c r="HTA7" s="1876"/>
      <c r="HTB7" s="1876"/>
      <c r="HTC7" s="1876"/>
      <c r="HTD7" s="1876"/>
      <c r="HTE7" s="1876"/>
      <c r="HTF7" s="1876"/>
      <c r="HTG7" s="1876"/>
      <c r="HTH7" s="1876"/>
      <c r="HTI7" s="1876"/>
      <c r="HTJ7" s="1876"/>
      <c r="HTK7" s="1876"/>
      <c r="HTL7" s="1876"/>
      <c r="HTM7" s="1876"/>
      <c r="HTN7" s="1876"/>
      <c r="HTO7" s="1876"/>
      <c r="HTP7" s="1876"/>
      <c r="HTQ7" s="1876"/>
      <c r="HTR7" s="1876"/>
      <c r="HTS7" s="1876"/>
      <c r="HTT7" s="1876"/>
      <c r="HTU7" s="1876"/>
      <c r="HTV7" s="1876"/>
      <c r="HTW7" s="1876"/>
      <c r="HTX7" s="1876"/>
      <c r="HTY7" s="1876"/>
      <c r="HTZ7" s="1876"/>
      <c r="HUA7" s="1876"/>
      <c r="HUB7" s="1876"/>
      <c r="HUC7" s="1876"/>
      <c r="HUD7" s="1876"/>
      <c r="HUE7" s="1876"/>
      <c r="HUF7" s="1876"/>
      <c r="HUG7" s="1876"/>
      <c r="HUH7" s="1876"/>
      <c r="HUI7" s="1876"/>
      <c r="HUJ7" s="1876"/>
      <c r="HUK7" s="1876"/>
      <c r="HUL7" s="1876"/>
      <c r="HUM7" s="1876"/>
      <c r="HUN7" s="1876"/>
      <c r="HUO7" s="1876"/>
      <c r="HUP7" s="1876"/>
      <c r="HUQ7" s="1876"/>
      <c r="HUR7" s="1876"/>
      <c r="HUS7" s="1876"/>
      <c r="HUT7" s="1876"/>
      <c r="HUU7" s="1876"/>
      <c r="HUV7" s="1876"/>
      <c r="HUW7" s="1876"/>
      <c r="HUX7" s="1876"/>
      <c r="HUY7" s="1876"/>
      <c r="HUZ7" s="1876"/>
      <c r="HVA7" s="1876"/>
      <c r="HVB7" s="1876"/>
      <c r="HVC7" s="1876"/>
      <c r="HVD7" s="1876"/>
      <c r="HVE7" s="1876"/>
      <c r="HVF7" s="1876"/>
      <c r="HVG7" s="1876"/>
      <c r="HVH7" s="1876"/>
      <c r="HVI7" s="1876"/>
      <c r="HVJ7" s="1876"/>
      <c r="HVK7" s="1876"/>
      <c r="HVL7" s="1876"/>
      <c r="HVM7" s="1876"/>
      <c r="HVN7" s="1876"/>
      <c r="HVO7" s="1876"/>
      <c r="HVP7" s="1876"/>
      <c r="HVQ7" s="1876"/>
      <c r="HVR7" s="1876"/>
      <c r="HVS7" s="1876"/>
      <c r="HVT7" s="1876"/>
      <c r="HVU7" s="1876"/>
      <c r="HVV7" s="1876"/>
      <c r="HVW7" s="1876"/>
      <c r="HVX7" s="1876"/>
      <c r="HVY7" s="1876"/>
      <c r="HVZ7" s="1876"/>
      <c r="HWA7" s="1876"/>
      <c r="HWB7" s="1876"/>
      <c r="HWC7" s="1876"/>
      <c r="HWD7" s="1876"/>
      <c r="HWE7" s="1876"/>
      <c r="HWF7" s="1876"/>
      <c r="HWG7" s="1876"/>
      <c r="HWH7" s="1876"/>
      <c r="HWI7" s="1876"/>
      <c r="HWJ7" s="1876"/>
      <c r="HWK7" s="1876"/>
      <c r="HWL7" s="1876"/>
      <c r="HWM7" s="1876"/>
      <c r="HWN7" s="1876"/>
      <c r="HWO7" s="1876"/>
      <c r="HWP7" s="1876"/>
      <c r="HWQ7" s="1876"/>
      <c r="HWR7" s="1876"/>
      <c r="HWS7" s="1876"/>
      <c r="HWT7" s="1876"/>
      <c r="HWU7" s="1876"/>
      <c r="HWV7" s="1876"/>
      <c r="HWW7" s="1876"/>
      <c r="HWX7" s="1876"/>
      <c r="HWY7" s="1876"/>
      <c r="HWZ7" s="1876"/>
      <c r="HXA7" s="1876"/>
      <c r="HXB7" s="1876"/>
      <c r="HXC7" s="1876"/>
      <c r="HXD7" s="1876"/>
      <c r="HXE7" s="1876"/>
      <c r="HXF7" s="1876"/>
      <c r="HXG7" s="1876"/>
      <c r="HXH7" s="1876"/>
      <c r="HXI7" s="1876"/>
      <c r="HXJ7" s="1876"/>
      <c r="HXK7" s="1876"/>
      <c r="HXL7" s="1876"/>
      <c r="HXM7" s="1876"/>
      <c r="HXN7" s="1876"/>
      <c r="HXO7" s="1876"/>
      <c r="HXP7" s="1876"/>
      <c r="HXQ7" s="1876"/>
      <c r="HXR7" s="1876"/>
      <c r="HXS7" s="1876"/>
      <c r="HXT7" s="1876"/>
      <c r="HXU7" s="1876"/>
      <c r="HXV7" s="1876"/>
      <c r="HXW7" s="1876"/>
      <c r="HXX7" s="1876"/>
      <c r="HXY7" s="1876"/>
      <c r="HXZ7" s="1876"/>
      <c r="HYA7" s="1876"/>
      <c r="HYB7" s="1876"/>
      <c r="HYC7" s="1876"/>
      <c r="HYD7" s="1876"/>
      <c r="HYE7" s="1876"/>
      <c r="HYF7" s="1876"/>
      <c r="HYG7" s="1876"/>
      <c r="HYH7" s="1876"/>
      <c r="HYI7" s="1876"/>
      <c r="HYJ7" s="1876"/>
      <c r="HYK7" s="1876"/>
      <c r="HYL7" s="1876"/>
      <c r="HYM7" s="1876"/>
      <c r="HYN7" s="1876"/>
      <c r="HYO7" s="1876"/>
      <c r="HYP7" s="1876"/>
      <c r="HYQ7" s="1876"/>
      <c r="HYR7" s="1876"/>
      <c r="HYS7" s="1876"/>
      <c r="HYT7" s="1876"/>
      <c r="HYU7" s="1876"/>
      <c r="HYV7" s="1876"/>
      <c r="HYW7" s="1876"/>
      <c r="HYX7" s="1876"/>
      <c r="HYY7" s="1876"/>
      <c r="HYZ7" s="1876"/>
      <c r="HZA7" s="1876"/>
      <c r="HZB7" s="1876"/>
      <c r="HZC7" s="1876"/>
      <c r="HZD7" s="1876"/>
      <c r="HZE7" s="1876"/>
      <c r="HZF7" s="1876"/>
      <c r="HZG7" s="1876"/>
      <c r="HZH7" s="1876"/>
      <c r="HZI7" s="1876"/>
      <c r="HZJ7" s="1876"/>
      <c r="HZK7" s="1876"/>
      <c r="HZL7" s="1876"/>
      <c r="HZM7" s="1876"/>
      <c r="HZN7" s="1876"/>
      <c r="HZO7" s="1876"/>
      <c r="HZP7" s="1876"/>
      <c r="HZQ7" s="1876"/>
      <c r="HZR7" s="1876"/>
      <c r="HZS7" s="1876"/>
      <c r="HZT7" s="1876"/>
      <c r="HZU7" s="1876"/>
      <c r="HZV7" s="1876"/>
      <c r="HZW7" s="1876"/>
      <c r="HZX7" s="1876"/>
      <c r="HZY7" s="1876"/>
      <c r="HZZ7" s="1876"/>
      <c r="IAA7" s="1876"/>
      <c r="IAB7" s="1876"/>
      <c r="IAC7" s="1876"/>
      <c r="IAD7" s="1876"/>
      <c r="IAE7" s="1876"/>
      <c r="IAF7" s="1876"/>
      <c r="IAG7" s="1876"/>
      <c r="IAH7" s="1876"/>
      <c r="IAI7" s="1876"/>
      <c r="IAJ7" s="1876"/>
      <c r="IAK7" s="1876"/>
      <c r="IAL7" s="1876"/>
      <c r="IAM7" s="1876"/>
      <c r="IAN7" s="1876"/>
      <c r="IAO7" s="1876"/>
      <c r="IAP7" s="1876"/>
      <c r="IAQ7" s="1876"/>
      <c r="IAR7" s="1876"/>
      <c r="IAS7" s="1876"/>
      <c r="IAT7" s="1876"/>
      <c r="IAU7" s="1876"/>
      <c r="IAV7" s="1876"/>
      <c r="IAW7" s="1876"/>
      <c r="IAX7" s="1876"/>
      <c r="IAY7" s="1876"/>
      <c r="IAZ7" s="1876"/>
      <c r="IBA7" s="1876"/>
      <c r="IBB7" s="1876"/>
      <c r="IBC7" s="1876"/>
      <c r="IBD7" s="1876"/>
      <c r="IBE7" s="1876"/>
      <c r="IBF7" s="1876"/>
      <c r="IBG7" s="1876"/>
      <c r="IBH7" s="1876"/>
      <c r="IBI7" s="1876"/>
      <c r="IBJ7" s="1876"/>
      <c r="IBK7" s="1876"/>
      <c r="IBL7" s="1876"/>
      <c r="IBM7" s="1876"/>
      <c r="IBN7" s="1876"/>
      <c r="IBO7" s="1876"/>
      <c r="IBP7" s="1876"/>
      <c r="IBQ7" s="1876"/>
      <c r="IBR7" s="1876"/>
      <c r="IBS7" s="1876"/>
      <c r="IBT7" s="1876"/>
      <c r="IBU7" s="1876"/>
      <c r="IBV7" s="1876"/>
      <c r="IBW7" s="1876"/>
      <c r="IBX7" s="1876"/>
      <c r="IBY7" s="1876"/>
      <c r="IBZ7" s="1876"/>
      <c r="ICA7" s="1876"/>
      <c r="ICB7" s="1876"/>
      <c r="ICC7" s="1876"/>
      <c r="ICD7" s="1876"/>
      <c r="ICE7" s="1876"/>
      <c r="ICF7" s="1876"/>
      <c r="ICG7" s="1876"/>
      <c r="ICH7" s="1876"/>
      <c r="ICI7" s="1876"/>
      <c r="ICJ7" s="1876"/>
      <c r="ICK7" s="1876"/>
      <c r="ICL7" s="1876"/>
      <c r="ICM7" s="1876"/>
      <c r="ICN7" s="1876"/>
      <c r="ICO7" s="1876"/>
      <c r="ICP7" s="1876"/>
      <c r="ICQ7" s="1876"/>
      <c r="ICR7" s="1876"/>
      <c r="ICS7" s="1876"/>
      <c r="ICT7" s="1876"/>
      <c r="ICU7" s="1876"/>
      <c r="ICV7" s="1876"/>
      <c r="ICW7" s="1876"/>
      <c r="ICX7" s="1876"/>
      <c r="ICY7" s="1876"/>
      <c r="ICZ7" s="1876"/>
      <c r="IDA7" s="1876"/>
      <c r="IDB7" s="1876"/>
      <c r="IDC7" s="1876"/>
      <c r="IDD7" s="1876"/>
      <c r="IDE7" s="1876"/>
      <c r="IDF7" s="1876"/>
      <c r="IDG7" s="1876"/>
      <c r="IDH7" s="1876"/>
      <c r="IDI7" s="1876"/>
      <c r="IDJ7" s="1876"/>
      <c r="IDK7" s="1876"/>
      <c r="IDL7" s="1876"/>
      <c r="IDM7" s="1876"/>
      <c r="IDN7" s="1876"/>
      <c r="IDO7" s="1876"/>
      <c r="IDP7" s="1876"/>
      <c r="IDQ7" s="1876"/>
      <c r="IDR7" s="1876"/>
      <c r="IDS7" s="1876"/>
      <c r="IDT7" s="1876"/>
      <c r="IDU7" s="1876"/>
      <c r="IDV7" s="1876"/>
      <c r="IDW7" s="1876"/>
      <c r="IDX7" s="1876"/>
      <c r="IDY7" s="1876"/>
      <c r="IDZ7" s="1876"/>
      <c r="IEA7" s="1876"/>
      <c r="IEB7" s="1876"/>
      <c r="IEC7" s="1876"/>
      <c r="IED7" s="1876"/>
      <c r="IEE7" s="1876"/>
      <c r="IEF7" s="1876"/>
      <c r="IEG7" s="1876"/>
      <c r="IEH7" s="1876"/>
      <c r="IEI7" s="1876"/>
      <c r="IEJ7" s="1876"/>
      <c r="IEK7" s="1876"/>
      <c r="IEL7" s="1876"/>
      <c r="IEM7" s="1876"/>
      <c r="IEN7" s="1876"/>
      <c r="IEO7" s="1876"/>
      <c r="IEP7" s="1876"/>
      <c r="IEQ7" s="1876"/>
      <c r="IER7" s="1876"/>
      <c r="IES7" s="1876"/>
      <c r="IET7" s="1876"/>
      <c r="IEU7" s="1876"/>
      <c r="IEV7" s="1876"/>
      <c r="IEW7" s="1876"/>
      <c r="IEX7" s="1876"/>
      <c r="IEY7" s="1876"/>
      <c r="IEZ7" s="1876"/>
      <c r="IFA7" s="1876"/>
      <c r="IFB7" s="1876"/>
      <c r="IFC7" s="1876"/>
      <c r="IFD7" s="1876"/>
      <c r="IFE7" s="1876"/>
      <c r="IFF7" s="1876"/>
      <c r="IFG7" s="1876"/>
      <c r="IFH7" s="1876"/>
      <c r="IFI7" s="1876"/>
      <c r="IFJ7" s="1876"/>
      <c r="IFK7" s="1876"/>
      <c r="IFL7" s="1876"/>
      <c r="IFM7" s="1876"/>
      <c r="IFN7" s="1876"/>
      <c r="IFO7" s="1876"/>
      <c r="IFP7" s="1876"/>
      <c r="IFQ7" s="1876"/>
      <c r="IFR7" s="1876"/>
      <c r="IFS7" s="1876"/>
      <c r="IFT7" s="1876"/>
      <c r="IFU7" s="1876"/>
      <c r="IFV7" s="1876"/>
      <c r="IFW7" s="1876"/>
      <c r="IFX7" s="1876"/>
      <c r="IFY7" s="1876"/>
      <c r="IFZ7" s="1876"/>
      <c r="IGA7" s="1876"/>
      <c r="IGB7" s="1876"/>
      <c r="IGC7" s="1876"/>
      <c r="IGD7" s="1876"/>
      <c r="IGE7" s="1876"/>
      <c r="IGF7" s="1876"/>
      <c r="IGG7" s="1876"/>
      <c r="IGH7" s="1876"/>
      <c r="IGI7" s="1876"/>
      <c r="IGJ7" s="1876"/>
      <c r="IGK7" s="1876"/>
      <c r="IGL7" s="1876"/>
      <c r="IGM7" s="1876"/>
      <c r="IGN7" s="1876"/>
      <c r="IGO7" s="1876"/>
      <c r="IGP7" s="1876"/>
      <c r="IGQ7" s="1876"/>
      <c r="IGR7" s="1876"/>
      <c r="IGS7" s="1876"/>
      <c r="IGT7" s="1876"/>
      <c r="IGU7" s="1876"/>
      <c r="IGV7" s="1876"/>
      <c r="IGW7" s="1876"/>
      <c r="IGX7" s="1876"/>
      <c r="IGY7" s="1876"/>
      <c r="IGZ7" s="1876"/>
      <c r="IHA7" s="1876"/>
      <c r="IHB7" s="1876"/>
      <c r="IHC7" s="1876"/>
      <c r="IHD7" s="1876"/>
      <c r="IHE7" s="1876"/>
      <c r="IHF7" s="1876"/>
      <c r="IHG7" s="1876"/>
      <c r="IHH7" s="1876"/>
      <c r="IHI7" s="1876"/>
      <c r="IHJ7" s="1876"/>
      <c r="IHK7" s="1876"/>
      <c r="IHL7" s="1876"/>
      <c r="IHM7" s="1876"/>
      <c r="IHN7" s="1876"/>
      <c r="IHO7" s="1876"/>
      <c r="IHP7" s="1876"/>
      <c r="IHQ7" s="1876"/>
      <c r="IHR7" s="1876"/>
      <c r="IHS7" s="1876"/>
      <c r="IHT7" s="1876"/>
      <c r="IHU7" s="1876"/>
      <c r="IHV7" s="1876"/>
      <c r="IHW7" s="1876"/>
      <c r="IHX7" s="1876"/>
      <c r="IHY7" s="1876"/>
      <c r="IHZ7" s="1876"/>
      <c r="IIA7" s="1876"/>
      <c r="IIB7" s="1876"/>
      <c r="IIC7" s="1876"/>
      <c r="IID7" s="1876"/>
      <c r="IIE7" s="1876"/>
      <c r="IIF7" s="1876"/>
      <c r="IIG7" s="1876"/>
      <c r="IIH7" s="1876"/>
      <c r="III7" s="1876"/>
      <c r="IIJ7" s="1876"/>
      <c r="IIK7" s="1876"/>
      <c r="IIL7" s="1876"/>
      <c r="IIM7" s="1876"/>
      <c r="IIN7" s="1876"/>
      <c r="IIO7" s="1876"/>
      <c r="IIP7" s="1876"/>
      <c r="IIQ7" s="1876"/>
      <c r="IIR7" s="1876"/>
      <c r="IIS7" s="1876"/>
      <c r="IIT7" s="1876"/>
      <c r="IIU7" s="1876"/>
      <c r="IIV7" s="1876"/>
      <c r="IIW7" s="1876"/>
      <c r="IIX7" s="1876"/>
      <c r="IIY7" s="1876"/>
      <c r="IIZ7" s="1876"/>
      <c r="IJA7" s="1876"/>
      <c r="IJB7" s="1876"/>
      <c r="IJC7" s="1876"/>
      <c r="IJD7" s="1876"/>
      <c r="IJE7" s="1876"/>
      <c r="IJF7" s="1876"/>
      <c r="IJG7" s="1876"/>
      <c r="IJH7" s="1876"/>
      <c r="IJI7" s="1876"/>
      <c r="IJJ7" s="1876"/>
      <c r="IJK7" s="1876"/>
      <c r="IJL7" s="1876"/>
      <c r="IJM7" s="1876"/>
      <c r="IJN7" s="1876"/>
      <c r="IJO7" s="1876"/>
      <c r="IJP7" s="1876"/>
      <c r="IJQ7" s="1876"/>
      <c r="IJR7" s="1876"/>
      <c r="IJS7" s="1876"/>
      <c r="IJT7" s="1876"/>
      <c r="IJU7" s="1876"/>
      <c r="IJV7" s="1876"/>
      <c r="IJW7" s="1876"/>
      <c r="IJX7" s="1876"/>
      <c r="IJY7" s="1876"/>
      <c r="IJZ7" s="1876"/>
      <c r="IKA7" s="1876"/>
      <c r="IKB7" s="1876"/>
      <c r="IKC7" s="1876"/>
      <c r="IKD7" s="1876"/>
      <c r="IKE7" s="1876"/>
      <c r="IKF7" s="1876"/>
      <c r="IKG7" s="1876"/>
      <c r="IKH7" s="1876"/>
      <c r="IKI7" s="1876"/>
      <c r="IKJ7" s="1876"/>
      <c r="IKK7" s="1876"/>
      <c r="IKL7" s="1876"/>
      <c r="IKM7" s="1876"/>
      <c r="IKN7" s="1876"/>
      <c r="IKO7" s="1876"/>
      <c r="IKP7" s="1876"/>
      <c r="IKQ7" s="1876"/>
      <c r="IKR7" s="1876"/>
      <c r="IKS7" s="1876"/>
      <c r="IKT7" s="1876"/>
      <c r="IKU7" s="1876"/>
      <c r="IKV7" s="1876"/>
      <c r="IKW7" s="1876"/>
      <c r="IKX7" s="1876"/>
      <c r="IKY7" s="1876"/>
      <c r="IKZ7" s="1876"/>
      <c r="ILA7" s="1876"/>
      <c r="ILB7" s="1876"/>
      <c r="ILC7" s="1876"/>
      <c r="ILD7" s="1876"/>
      <c r="ILE7" s="1876"/>
      <c r="ILF7" s="1876"/>
      <c r="ILG7" s="1876"/>
      <c r="ILH7" s="1876"/>
      <c r="ILI7" s="1876"/>
      <c r="ILJ7" s="1876"/>
      <c r="ILK7" s="1876"/>
      <c r="ILL7" s="1876"/>
      <c r="ILM7" s="1876"/>
      <c r="ILN7" s="1876"/>
      <c r="ILO7" s="1876"/>
      <c r="ILP7" s="1876"/>
      <c r="ILQ7" s="1876"/>
      <c r="ILR7" s="1876"/>
      <c r="ILS7" s="1876"/>
      <c r="ILT7" s="1876"/>
      <c r="ILU7" s="1876"/>
      <c r="ILV7" s="1876"/>
      <c r="ILW7" s="1876"/>
      <c r="ILX7" s="1876"/>
      <c r="ILY7" s="1876"/>
      <c r="ILZ7" s="1876"/>
      <c r="IMA7" s="1876"/>
      <c r="IMB7" s="1876"/>
      <c r="IMC7" s="1876"/>
      <c r="IMD7" s="1876"/>
      <c r="IME7" s="1876"/>
      <c r="IMF7" s="1876"/>
      <c r="IMG7" s="1876"/>
      <c r="IMH7" s="1876"/>
      <c r="IMI7" s="1876"/>
      <c r="IMJ7" s="1876"/>
      <c r="IMK7" s="1876"/>
      <c r="IML7" s="1876"/>
      <c r="IMM7" s="1876"/>
      <c r="IMN7" s="1876"/>
      <c r="IMO7" s="1876"/>
      <c r="IMP7" s="1876"/>
      <c r="IMQ7" s="1876"/>
      <c r="IMR7" s="1876"/>
      <c r="IMS7" s="1876"/>
      <c r="IMT7" s="1876"/>
      <c r="IMU7" s="1876"/>
      <c r="IMV7" s="1876"/>
      <c r="IMW7" s="1876"/>
      <c r="IMX7" s="1876"/>
      <c r="IMY7" s="1876"/>
      <c r="IMZ7" s="1876"/>
      <c r="INA7" s="1876"/>
      <c r="INB7" s="1876"/>
      <c r="INC7" s="1876"/>
      <c r="IND7" s="1876"/>
      <c r="INE7" s="1876"/>
      <c r="INF7" s="1876"/>
      <c r="ING7" s="1876"/>
      <c r="INH7" s="1876"/>
      <c r="INI7" s="1876"/>
      <c r="INJ7" s="1876"/>
      <c r="INK7" s="1876"/>
      <c r="INL7" s="1876"/>
      <c r="INM7" s="1876"/>
      <c r="INN7" s="1876"/>
      <c r="INO7" s="1876"/>
      <c r="INP7" s="1876"/>
      <c r="INQ7" s="1876"/>
      <c r="INR7" s="1876"/>
      <c r="INS7" s="1876"/>
      <c r="INT7" s="1876"/>
      <c r="INU7" s="1876"/>
      <c r="INV7" s="1876"/>
      <c r="INW7" s="1876"/>
      <c r="INX7" s="1876"/>
      <c r="INY7" s="1876"/>
      <c r="INZ7" s="1876"/>
      <c r="IOA7" s="1876"/>
      <c r="IOB7" s="1876"/>
      <c r="IOC7" s="1876"/>
      <c r="IOD7" s="1876"/>
      <c r="IOE7" s="1876"/>
      <c r="IOF7" s="1876"/>
      <c r="IOG7" s="1876"/>
      <c r="IOH7" s="1876"/>
      <c r="IOI7" s="1876"/>
      <c r="IOJ7" s="1876"/>
      <c r="IOK7" s="1876"/>
      <c r="IOL7" s="1876"/>
      <c r="IOM7" s="1876"/>
      <c r="ION7" s="1876"/>
      <c r="IOO7" s="1876"/>
      <c r="IOP7" s="1876"/>
      <c r="IOQ7" s="1876"/>
      <c r="IOR7" s="1876"/>
      <c r="IOS7" s="1876"/>
      <c r="IOT7" s="1876"/>
      <c r="IOU7" s="1876"/>
      <c r="IOV7" s="1876"/>
      <c r="IOW7" s="1876"/>
      <c r="IOX7" s="1876"/>
      <c r="IOY7" s="1876"/>
      <c r="IOZ7" s="1876"/>
      <c r="IPA7" s="1876"/>
      <c r="IPB7" s="1876"/>
      <c r="IPC7" s="1876"/>
      <c r="IPD7" s="1876"/>
      <c r="IPE7" s="1876"/>
      <c r="IPF7" s="1876"/>
      <c r="IPG7" s="1876"/>
      <c r="IPH7" s="1876"/>
      <c r="IPI7" s="1876"/>
      <c r="IPJ7" s="1876"/>
      <c r="IPK7" s="1876"/>
      <c r="IPL7" s="1876"/>
      <c r="IPM7" s="1876"/>
      <c r="IPN7" s="1876"/>
      <c r="IPO7" s="1876"/>
      <c r="IPP7" s="1876"/>
      <c r="IPQ7" s="1876"/>
      <c r="IPR7" s="1876"/>
      <c r="IPS7" s="1876"/>
      <c r="IPT7" s="1876"/>
      <c r="IPU7" s="1876"/>
      <c r="IPV7" s="1876"/>
      <c r="IPW7" s="1876"/>
      <c r="IPX7" s="1876"/>
      <c r="IPY7" s="1876"/>
      <c r="IPZ7" s="1876"/>
      <c r="IQA7" s="1876"/>
      <c r="IQB7" s="1876"/>
      <c r="IQC7" s="1876"/>
      <c r="IQD7" s="1876"/>
      <c r="IQE7" s="1876"/>
      <c r="IQF7" s="1876"/>
      <c r="IQG7" s="1876"/>
      <c r="IQH7" s="1876"/>
      <c r="IQI7" s="1876"/>
      <c r="IQJ7" s="1876"/>
      <c r="IQK7" s="1876"/>
      <c r="IQL7" s="1876"/>
      <c r="IQM7" s="1876"/>
      <c r="IQN7" s="1876"/>
      <c r="IQO7" s="1876"/>
      <c r="IQP7" s="1876"/>
      <c r="IQQ7" s="1876"/>
      <c r="IQR7" s="1876"/>
      <c r="IQS7" s="1876"/>
      <c r="IQT7" s="1876"/>
      <c r="IQU7" s="1876"/>
      <c r="IQV7" s="1876"/>
      <c r="IQW7" s="1876"/>
      <c r="IQX7" s="1876"/>
      <c r="IQY7" s="1876"/>
      <c r="IQZ7" s="1876"/>
      <c r="IRA7" s="1876"/>
      <c r="IRB7" s="1876"/>
      <c r="IRC7" s="1876"/>
      <c r="IRD7" s="1876"/>
      <c r="IRE7" s="1876"/>
      <c r="IRF7" s="1876"/>
      <c r="IRG7" s="1876"/>
      <c r="IRH7" s="1876"/>
      <c r="IRI7" s="1876"/>
      <c r="IRJ7" s="1876"/>
      <c r="IRK7" s="1876"/>
      <c r="IRL7" s="1876"/>
      <c r="IRM7" s="1876"/>
      <c r="IRN7" s="1876"/>
      <c r="IRO7" s="1876"/>
      <c r="IRP7" s="1876"/>
      <c r="IRQ7" s="1876"/>
      <c r="IRR7" s="1876"/>
      <c r="IRS7" s="1876"/>
      <c r="IRT7" s="1876"/>
      <c r="IRU7" s="1876"/>
      <c r="IRV7" s="1876"/>
      <c r="IRW7" s="1876"/>
      <c r="IRX7" s="1876"/>
      <c r="IRY7" s="1876"/>
      <c r="IRZ7" s="1876"/>
      <c r="ISA7" s="1876"/>
      <c r="ISB7" s="1876"/>
      <c r="ISC7" s="1876"/>
      <c r="ISD7" s="1876"/>
      <c r="ISE7" s="1876"/>
      <c r="ISF7" s="1876"/>
      <c r="ISG7" s="1876"/>
      <c r="ISH7" s="1876"/>
      <c r="ISI7" s="1876"/>
      <c r="ISJ7" s="1876"/>
      <c r="ISK7" s="1876"/>
      <c r="ISL7" s="1876"/>
      <c r="ISM7" s="1876"/>
      <c r="ISN7" s="1876"/>
      <c r="ISO7" s="1876"/>
      <c r="ISP7" s="1876"/>
      <c r="ISQ7" s="1876"/>
      <c r="ISR7" s="1876"/>
      <c r="ISS7" s="1876"/>
      <c r="IST7" s="1876"/>
      <c r="ISU7" s="1876"/>
      <c r="ISV7" s="1876"/>
      <c r="ISW7" s="1876"/>
      <c r="ISX7" s="1876"/>
      <c r="ISY7" s="1876"/>
      <c r="ISZ7" s="1876"/>
      <c r="ITA7" s="1876"/>
      <c r="ITB7" s="1876"/>
      <c r="ITC7" s="1876"/>
      <c r="ITD7" s="1876"/>
      <c r="ITE7" s="1876"/>
      <c r="ITF7" s="1876"/>
      <c r="ITG7" s="1876"/>
      <c r="ITH7" s="1876"/>
      <c r="ITI7" s="1876"/>
      <c r="ITJ7" s="1876"/>
      <c r="ITK7" s="1876"/>
      <c r="ITL7" s="1876"/>
      <c r="ITM7" s="1876"/>
      <c r="ITN7" s="1876"/>
      <c r="ITO7" s="1876"/>
      <c r="ITP7" s="1876"/>
      <c r="ITQ7" s="1876"/>
      <c r="ITR7" s="1876"/>
      <c r="ITS7" s="1876"/>
      <c r="ITT7" s="1876"/>
      <c r="ITU7" s="1876"/>
      <c r="ITV7" s="1876"/>
      <c r="ITW7" s="1876"/>
      <c r="ITX7" s="1876"/>
      <c r="ITY7" s="1876"/>
      <c r="ITZ7" s="1876"/>
      <c r="IUA7" s="1876"/>
      <c r="IUB7" s="1876"/>
      <c r="IUC7" s="1876"/>
      <c r="IUD7" s="1876"/>
      <c r="IUE7" s="1876"/>
      <c r="IUF7" s="1876"/>
      <c r="IUG7" s="1876"/>
      <c r="IUH7" s="1876"/>
      <c r="IUI7" s="1876"/>
      <c r="IUJ7" s="1876"/>
      <c r="IUK7" s="1876"/>
      <c r="IUL7" s="1876"/>
      <c r="IUM7" s="1876"/>
      <c r="IUN7" s="1876"/>
      <c r="IUO7" s="1876"/>
      <c r="IUP7" s="1876"/>
      <c r="IUQ7" s="1876"/>
      <c r="IUR7" s="1876"/>
      <c r="IUS7" s="1876"/>
      <c r="IUT7" s="1876"/>
      <c r="IUU7" s="1876"/>
      <c r="IUV7" s="1876"/>
      <c r="IUW7" s="1876"/>
      <c r="IUX7" s="1876"/>
      <c r="IUY7" s="1876"/>
      <c r="IUZ7" s="1876"/>
      <c r="IVA7" s="1876"/>
      <c r="IVB7" s="1876"/>
      <c r="IVC7" s="1876"/>
      <c r="IVD7" s="1876"/>
      <c r="IVE7" s="1876"/>
      <c r="IVF7" s="1876"/>
      <c r="IVG7" s="1876"/>
      <c r="IVH7" s="1876"/>
      <c r="IVI7" s="1876"/>
      <c r="IVJ7" s="1876"/>
      <c r="IVK7" s="1876"/>
      <c r="IVL7" s="1876"/>
      <c r="IVM7" s="1876"/>
      <c r="IVN7" s="1876"/>
      <c r="IVO7" s="1876"/>
      <c r="IVP7" s="1876"/>
      <c r="IVQ7" s="1876"/>
      <c r="IVR7" s="1876"/>
      <c r="IVS7" s="1876"/>
      <c r="IVT7" s="1876"/>
      <c r="IVU7" s="1876"/>
      <c r="IVV7" s="1876"/>
      <c r="IVW7" s="1876"/>
      <c r="IVX7" s="1876"/>
      <c r="IVY7" s="1876"/>
      <c r="IVZ7" s="1876"/>
      <c r="IWA7" s="1876"/>
      <c r="IWB7" s="1876"/>
      <c r="IWC7" s="1876"/>
      <c r="IWD7" s="1876"/>
      <c r="IWE7" s="1876"/>
      <c r="IWF7" s="1876"/>
      <c r="IWG7" s="1876"/>
      <c r="IWH7" s="1876"/>
      <c r="IWI7" s="1876"/>
      <c r="IWJ7" s="1876"/>
      <c r="IWK7" s="1876"/>
      <c r="IWL7" s="1876"/>
      <c r="IWM7" s="1876"/>
      <c r="IWN7" s="1876"/>
      <c r="IWO7" s="1876"/>
      <c r="IWP7" s="1876"/>
      <c r="IWQ7" s="1876"/>
      <c r="IWR7" s="1876"/>
      <c r="IWS7" s="1876"/>
      <c r="IWT7" s="1876"/>
      <c r="IWU7" s="1876"/>
      <c r="IWV7" s="1876"/>
      <c r="IWW7" s="1876"/>
      <c r="IWX7" s="1876"/>
      <c r="IWY7" s="1876"/>
      <c r="IWZ7" s="1876"/>
      <c r="IXA7" s="1876"/>
      <c r="IXB7" s="1876"/>
      <c r="IXC7" s="1876"/>
      <c r="IXD7" s="1876"/>
      <c r="IXE7" s="1876"/>
      <c r="IXF7" s="1876"/>
      <c r="IXG7" s="1876"/>
      <c r="IXH7" s="1876"/>
      <c r="IXI7" s="1876"/>
      <c r="IXJ7" s="1876"/>
      <c r="IXK7" s="1876"/>
      <c r="IXL7" s="1876"/>
      <c r="IXM7" s="1876"/>
      <c r="IXN7" s="1876"/>
      <c r="IXO7" s="1876"/>
      <c r="IXP7" s="1876"/>
      <c r="IXQ7" s="1876"/>
      <c r="IXR7" s="1876"/>
      <c r="IXS7" s="1876"/>
      <c r="IXT7" s="1876"/>
      <c r="IXU7" s="1876"/>
      <c r="IXV7" s="1876"/>
      <c r="IXW7" s="1876"/>
      <c r="IXX7" s="1876"/>
      <c r="IXY7" s="1876"/>
      <c r="IXZ7" s="1876"/>
      <c r="IYA7" s="1876"/>
      <c r="IYB7" s="1876"/>
      <c r="IYC7" s="1876"/>
      <c r="IYD7" s="1876"/>
      <c r="IYE7" s="1876"/>
      <c r="IYF7" s="1876"/>
      <c r="IYG7" s="1876"/>
      <c r="IYH7" s="1876"/>
      <c r="IYI7" s="1876"/>
      <c r="IYJ7" s="1876"/>
      <c r="IYK7" s="1876"/>
      <c r="IYL7" s="1876"/>
      <c r="IYM7" s="1876"/>
      <c r="IYN7" s="1876"/>
      <c r="IYO7" s="1876"/>
      <c r="IYP7" s="1876"/>
      <c r="IYQ7" s="1876"/>
      <c r="IYR7" s="1876"/>
      <c r="IYS7" s="1876"/>
      <c r="IYT7" s="1876"/>
      <c r="IYU7" s="1876"/>
      <c r="IYV7" s="1876"/>
      <c r="IYW7" s="1876"/>
      <c r="IYX7" s="1876"/>
      <c r="IYY7" s="1876"/>
      <c r="IYZ7" s="1876"/>
      <c r="IZA7" s="1876"/>
      <c r="IZB7" s="1876"/>
      <c r="IZC7" s="1876"/>
      <c r="IZD7" s="1876"/>
      <c r="IZE7" s="1876"/>
      <c r="IZF7" s="1876"/>
      <c r="IZG7" s="1876"/>
      <c r="IZH7" s="1876"/>
      <c r="IZI7" s="1876"/>
      <c r="IZJ7" s="1876"/>
      <c r="IZK7" s="1876"/>
      <c r="IZL7" s="1876"/>
      <c r="IZM7" s="1876"/>
      <c r="IZN7" s="1876"/>
      <c r="IZO7" s="1876"/>
      <c r="IZP7" s="1876"/>
      <c r="IZQ7" s="1876"/>
      <c r="IZR7" s="1876"/>
      <c r="IZS7" s="1876"/>
      <c r="IZT7" s="1876"/>
      <c r="IZU7" s="1876"/>
      <c r="IZV7" s="1876"/>
      <c r="IZW7" s="1876"/>
      <c r="IZX7" s="1876"/>
      <c r="IZY7" s="1876"/>
      <c r="IZZ7" s="1876"/>
      <c r="JAA7" s="1876"/>
      <c r="JAB7" s="1876"/>
      <c r="JAC7" s="1876"/>
      <c r="JAD7" s="1876"/>
      <c r="JAE7" s="1876"/>
      <c r="JAF7" s="1876"/>
      <c r="JAG7" s="1876"/>
      <c r="JAH7" s="1876"/>
      <c r="JAI7" s="1876"/>
      <c r="JAJ7" s="1876"/>
      <c r="JAK7" s="1876"/>
      <c r="JAL7" s="1876"/>
      <c r="JAM7" s="1876"/>
      <c r="JAN7" s="1876"/>
      <c r="JAO7" s="1876"/>
      <c r="JAP7" s="1876"/>
      <c r="JAQ7" s="1876"/>
      <c r="JAR7" s="1876"/>
      <c r="JAS7" s="1876"/>
      <c r="JAT7" s="1876"/>
      <c r="JAU7" s="1876"/>
      <c r="JAV7" s="1876"/>
      <c r="JAW7" s="1876"/>
      <c r="JAX7" s="1876"/>
      <c r="JAY7" s="1876"/>
      <c r="JAZ7" s="1876"/>
      <c r="JBA7" s="1876"/>
      <c r="JBB7" s="1876"/>
      <c r="JBC7" s="1876"/>
      <c r="JBD7" s="1876"/>
      <c r="JBE7" s="1876"/>
      <c r="JBF7" s="1876"/>
      <c r="JBG7" s="1876"/>
      <c r="JBH7" s="1876"/>
      <c r="JBI7" s="1876"/>
      <c r="JBJ7" s="1876"/>
      <c r="JBK7" s="1876"/>
      <c r="JBL7" s="1876"/>
      <c r="JBM7" s="1876"/>
      <c r="JBN7" s="1876"/>
      <c r="JBO7" s="1876"/>
      <c r="JBP7" s="1876"/>
      <c r="JBQ7" s="1876"/>
      <c r="JBR7" s="1876"/>
      <c r="JBS7" s="1876"/>
      <c r="JBT7" s="1876"/>
      <c r="JBU7" s="1876"/>
      <c r="JBV7" s="1876"/>
      <c r="JBW7" s="1876"/>
      <c r="JBX7" s="1876"/>
      <c r="JBY7" s="1876"/>
      <c r="JBZ7" s="1876"/>
      <c r="JCA7" s="1876"/>
      <c r="JCB7" s="1876"/>
      <c r="JCC7" s="1876"/>
      <c r="JCD7" s="1876"/>
      <c r="JCE7" s="1876"/>
      <c r="JCF7" s="1876"/>
      <c r="JCG7" s="1876"/>
      <c r="JCH7" s="1876"/>
      <c r="JCI7" s="1876"/>
      <c r="JCJ7" s="1876"/>
      <c r="JCK7" s="1876"/>
      <c r="JCL7" s="1876"/>
      <c r="JCM7" s="1876"/>
      <c r="JCN7" s="1876"/>
      <c r="JCO7" s="1876"/>
      <c r="JCP7" s="1876"/>
      <c r="JCQ7" s="1876"/>
      <c r="JCR7" s="1876"/>
      <c r="JCS7" s="1876"/>
      <c r="JCT7" s="1876"/>
      <c r="JCU7" s="1876"/>
      <c r="JCV7" s="1876"/>
      <c r="JCW7" s="1876"/>
      <c r="JCX7" s="1876"/>
      <c r="JCY7" s="1876"/>
      <c r="JCZ7" s="1876"/>
      <c r="JDA7" s="1876"/>
      <c r="JDB7" s="1876"/>
      <c r="JDC7" s="1876"/>
      <c r="JDD7" s="1876"/>
      <c r="JDE7" s="1876"/>
      <c r="JDF7" s="1876"/>
      <c r="JDG7" s="1876"/>
      <c r="JDH7" s="1876"/>
      <c r="JDI7" s="1876"/>
      <c r="JDJ7" s="1876"/>
      <c r="JDK7" s="1876"/>
      <c r="JDL7" s="1876"/>
      <c r="JDM7" s="1876"/>
      <c r="JDN7" s="1876"/>
      <c r="JDO7" s="1876"/>
      <c r="JDP7" s="1876"/>
      <c r="JDQ7" s="1876"/>
      <c r="JDR7" s="1876"/>
      <c r="JDS7" s="1876"/>
      <c r="JDT7" s="1876"/>
      <c r="JDU7" s="1876"/>
      <c r="JDV7" s="1876"/>
      <c r="JDW7" s="1876"/>
      <c r="JDX7" s="1876"/>
      <c r="JDY7" s="1876"/>
      <c r="JDZ7" s="1876"/>
      <c r="JEA7" s="1876"/>
      <c r="JEB7" s="1876"/>
      <c r="JEC7" s="1876"/>
      <c r="JED7" s="1876"/>
      <c r="JEE7" s="1876"/>
      <c r="JEF7" s="1876"/>
      <c r="JEG7" s="1876"/>
      <c r="JEH7" s="1876"/>
      <c r="JEI7" s="1876"/>
      <c r="JEJ7" s="1876"/>
      <c r="JEK7" s="1876"/>
      <c r="JEL7" s="1876"/>
      <c r="JEM7" s="1876"/>
      <c r="JEN7" s="1876"/>
      <c r="JEO7" s="1876"/>
      <c r="JEP7" s="1876"/>
      <c r="JEQ7" s="1876"/>
      <c r="JER7" s="1876"/>
      <c r="JES7" s="1876"/>
      <c r="JET7" s="1876"/>
      <c r="JEU7" s="1876"/>
      <c r="JEV7" s="1876"/>
      <c r="JEW7" s="1876"/>
      <c r="JEX7" s="1876"/>
      <c r="JEY7" s="1876"/>
      <c r="JEZ7" s="1876"/>
      <c r="JFA7" s="1876"/>
      <c r="JFB7" s="1876"/>
      <c r="JFC7" s="1876"/>
      <c r="JFD7" s="1876"/>
      <c r="JFE7" s="1876"/>
      <c r="JFF7" s="1876"/>
      <c r="JFG7" s="1876"/>
      <c r="JFH7" s="1876"/>
      <c r="JFI7" s="1876"/>
      <c r="JFJ7" s="1876"/>
      <c r="JFK7" s="1876"/>
      <c r="JFL7" s="1876"/>
      <c r="JFM7" s="1876"/>
      <c r="JFN7" s="1876"/>
      <c r="JFO7" s="1876"/>
      <c r="JFP7" s="1876"/>
      <c r="JFQ7" s="1876"/>
      <c r="JFR7" s="1876"/>
      <c r="JFS7" s="1876"/>
      <c r="JFT7" s="1876"/>
      <c r="JFU7" s="1876"/>
      <c r="JFV7" s="1876"/>
      <c r="JFW7" s="1876"/>
      <c r="JFX7" s="1876"/>
      <c r="JFY7" s="1876"/>
      <c r="JFZ7" s="1876"/>
      <c r="JGA7" s="1876"/>
      <c r="JGB7" s="1876"/>
      <c r="JGC7" s="1876"/>
      <c r="JGD7" s="1876"/>
      <c r="JGE7" s="1876"/>
      <c r="JGF7" s="1876"/>
      <c r="JGG7" s="1876"/>
      <c r="JGH7" s="1876"/>
      <c r="JGI7" s="1876"/>
      <c r="JGJ7" s="1876"/>
      <c r="JGK7" s="1876"/>
      <c r="JGL7" s="1876"/>
      <c r="JGM7" s="1876"/>
      <c r="JGN7" s="1876"/>
      <c r="JGO7" s="1876"/>
      <c r="JGP7" s="1876"/>
      <c r="JGQ7" s="1876"/>
      <c r="JGR7" s="1876"/>
      <c r="JGS7" s="1876"/>
      <c r="JGT7" s="1876"/>
      <c r="JGU7" s="1876"/>
      <c r="JGV7" s="1876"/>
      <c r="JGW7" s="1876"/>
      <c r="JGX7" s="1876"/>
      <c r="JGY7" s="1876"/>
      <c r="JGZ7" s="1876"/>
      <c r="JHA7" s="1876"/>
      <c r="JHB7" s="1876"/>
      <c r="JHC7" s="1876"/>
      <c r="JHD7" s="1876"/>
      <c r="JHE7" s="1876"/>
      <c r="JHF7" s="1876"/>
      <c r="JHG7" s="1876"/>
      <c r="JHH7" s="1876"/>
      <c r="JHI7" s="1876"/>
      <c r="JHJ7" s="1876"/>
      <c r="JHK7" s="1876"/>
      <c r="JHL7" s="1876"/>
      <c r="JHM7" s="1876"/>
      <c r="JHN7" s="1876"/>
      <c r="JHO7" s="1876"/>
      <c r="JHP7" s="1876"/>
      <c r="JHQ7" s="1876"/>
      <c r="JHR7" s="1876"/>
      <c r="JHS7" s="1876"/>
      <c r="JHT7" s="1876"/>
      <c r="JHU7" s="1876"/>
      <c r="JHV7" s="1876"/>
      <c r="JHW7" s="1876"/>
      <c r="JHX7" s="1876"/>
      <c r="JHY7" s="1876"/>
      <c r="JHZ7" s="1876"/>
      <c r="JIA7" s="1876"/>
      <c r="JIB7" s="1876"/>
      <c r="JIC7" s="1876"/>
      <c r="JID7" s="1876"/>
      <c r="JIE7" s="1876"/>
      <c r="JIF7" s="1876"/>
      <c r="JIG7" s="1876"/>
      <c r="JIH7" s="1876"/>
      <c r="JII7" s="1876"/>
      <c r="JIJ7" s="1876"/>
      <c r="JIK7" s="1876"/>
      <c r="JIL7" s="1876"/>
      <c r="JIM7" s="1876"/>
      <c r="JIN7" s="1876"/>
      <c r="JIO7" s="1876"/>
      <c r="JIP7" s="1876"/>
      <c r="JIQ7" s="1876"/>
      <c r="JIR7" s="1876"/>
      <c r="JIS7" s="1876"/>
      <c r="JIT7" s="1876"/>
      <c r="JIU7" s="1876"/>
      <c r="JIV7" s="1876"/>
      <c r="JIW7" s="1876"/>
      <c r="JIX7" s="1876"/>
      <c r="JIY7" s="1876"/>
      <c r="JIZ7" s="1876"/>
      <c r="JJA7" s="1876"/>
      <c r="JJB7" s="1876"/>
      <c r="JJC7" s="1876"/>
      <c r="JJD7" s="1876"/>
      <c r="JJE7" s="1876"/>
      <c r="JJF7" s="1876"/>
      <c r="JJG7" s="1876"/>
      <c r="JJH7" s="1876"/>
      <c r="JJI7" s="1876"/>
      <c r="JJJ7" s="1876"/>
      <c r="JJK7" s="1876"/>
      <c r="JJL7" s="1876"/>
      <c r="JJM7" s="1876"/>
      <c r="JJN7" s="1876"/>
      <c r="JJO7" s="1876"/>
      <c r="JJP7" s="1876"/>
      <c r="JJQ7" s="1876"/>
      <c r="JJR7" s="1876"/>
      <c r="JJS7" s="1876"/>
      <c r="JJT7" s="1876"/>
      <c r="JJU7" s="1876"/>
      <c r="JJV7" s="1876"/>
      <c r="JJW7" s="1876"/>
      <c r="JJX7" s="1876"/>
      <c r="JJY7" s="1876"/>
      <c r="JJZ7" s="1876"/>
      <c r="JKA7" s="1876"/>
      <c r="JKB7" s="1876"/>
      <c r="JKC7" s="1876"/>
      <c r="JKD7" s="1876"/>
      <c r="JKE7" s="1876"/>
      <c r="JKF7" s="1876"/>
      <c r="JKG7" s="1876"/>
      <c r="JKH7" s="1876"/>
      <c r="JKI7" s="1876"/>
      <c r="JKJ7" s="1876"/>
      <c r="JKK7" s="1876"/>
      <c r="JKL7" s="1876"/>
      <c r="JKM7" s="1876"/>
      <c r="JKN7" s="1876"/>
      <c r="JKO7" s="1876"/>
      <c r="JKP7" s="1876"/>
      <c r="JKQ7" s="1876"/>
      <c r="JKR7" s="1876"/>
      <c r="JKS7" s="1876"/>
      <c r="JKT7" s="1876"/>
      <c r="JKU7" s="1876"/>
      <c r="JKV7" s="1876"/>
      <c r="JKW7" s="1876"/>
      <c r="JKX7" s="1876"/>
      <c r="JKY7" s="1876"/>
      <c r="JKZ7" s="1876"/>
      <c r="JLA7" s="1876"/>
      <c r="JLB7" s="1876"/>
      <c r="JLC7" s="1876"/>
      <c r="JLD7" s="1876"/>
      <c r="JLE7" s="1876"/>
      <c r="JLF7" s="1876"/>
      <c r="JLG7" s="1876"/>
      <c r="JLH7" s="1876"/>
      <c r="JLI7" s="1876"/>
      <c r="JLJ7" s="1876"/>
      <c r="JLK7" s="1876"/>
      <c r="JLL7" s="1876"/>
      <c r="JLM7" s="1876"/>
      <c r="JLN7" s="1876"/>
      <c r="JLO7" s="1876"/>
      <c r="JLP7" s="1876"/>
      <c r="JLQ7" s="1876"/>
      <c r="JLR7" s="1876"/>
      <c r="JLS7" s="1876"/>
      <c r="JLT7" s="1876"/>
      <c r="JLU7" s="1876"/>
      <c r="JLV7" s="1876"/>
      <c r="JLW7" s="1876"/>
      <c r="JLX7" s="1876"/>
      <c r="JLY7" s="1876"/>
      <c r="JLZ7" s="1876"/>
      <c r="JMA7" s="1876"/>
      <c r="JMB7" s="1876"/>
      <c r="JMC7" s="1876"/>
      <c r="JMD7" s="1876"/>
      <c r="JME7" s="1876"/>
      <c r="JMF7" s="1876"/>
      <c r="JMG7" s="1876"/>
      <c r="JMH7" s="1876"/>
      <c r="JMI7" s="1876"/>
      <c r="JMJ7" s="1876"/>
      <c r="JMK7" s="1876"/>
      <c r="JML7" s="1876"/>
      <c r="JMM7" s="1876"/>
      <c r="JMN7" s="1876"/>
      <c r="JMO7" s="1876"/>
      <c r="JMP7" s="1876"/>
      <c r="JMQ7" s="1876"/>
      <c r="JMR7" s="1876"/>
      <c r="JMS7" s="1876"/>
      <c r="JMT7" s="1876"/>
      <c r="JMU7" s="1876"/>
      <c r="JMV7" s="1876"/>
      <c r="JMW7" s="1876"/>
      <c r="JMX7" s="1876"/>
      <c r="JMY7" s="1876"/>
      <c r="JMZ7" s="1876"/>
      <c r="JNA7" s="1876"/>
      <c r="JNB7" s="1876"/>
      <c r="JNC7" s="1876"/>
      <c r="JND7" s="1876"/>
      <c r="JNE7" s="1876"/>
      <c r="JNF7" s="1876"/>
      <c r="JNG7" s="1876"/>
      <c r="JNH7" s="1876"/>
      <c r="JNI7" s="1876"/>
      <c r="JNJ7" s="1876"/>
      <c r="JNK7" s="1876"/>
      <c r="JNL7" s="1876"/>
      <c r="JNM7" s="1876"/>
      <c r="JNN7" s="1876"/>
      <c r="JNO7" s="1876"/>
      <c r="JNP7" s="1876"/>
      <c r="JNQ7" s="1876"/>
      <c r="JNR7" s="1876"/>
      <c r="JNS7" s="1876"/>
      <c r="JNT7" s="1876"/>
      <c r="JNU7" s="1876"/>
      <c r="JNV7" s="1876"/>
      <c r="JNW7" s="1876"/>
      <c r="JNX7" s="1876"/>
      <c r="JNY7" s="1876"/>
      <c r="JNZ7" s="1876"/>
      <c r="JOA7" s="1876"/>
      <c r="JOB7" s="1876"/>
      <c r="JOC7" s="1876"/>
      <c r="JOD7" s="1876"/>
      <c r="JOE7" s="1876"/>
      <c r="JOF7" s="1876"/>
      <c r="JOG7" s="1876"/>
      <c r="JOH7" s="1876"/>
      <c r="JOI7" s="1876"/>
      <c r="JOJ7" s="1876"/>
      <c r="JOK7" s="1876"/>
      <c r="JOL7" s="1876"/>
      <c r="JOM7" s="1876"/>
      <c r="JON7" s="1876"/>
      <c r="JOO7" s="1876"/>
      <c r="JOP7" s="1876"/>
      <c r="JOQ7" s="1876"/>
      <c r="JOR7" s="1876"/>
      <c r="JOS7" s="1876"/>
      <c r="JOT7" s="1876"/>
      <c r="JOU7" s="1876"/>
      <c r="JOV7" s="1876"/>
      <c r="JOW7" s="1876"/>
      <c r="JOX7" s="1876"/>
      <c r="JOY7" s="1876"/>
      <c r="JOZ7" s="1876"/>
      <c r="JPA7" s="1876"/>
      <c r="JPB7" s="1876"/>
      <c r="JPC7" s="1876"/>
      <c r="JPD7" s="1876"/>
      <c r="JPE7" s="1876"/>
      <c r="JPF7" s="1876"/>
      <c r="JPG7" s="1876"/>
      <c r="JPH7" s="1876"/>
      <c r="JPI7" s="1876"/>
      <c r="JPJ7" s="1876"/>
      <c r="JPK7" s="1876"/>
      <c r="JPL7" s="1876"/>
      <c r="JPM7" s="1876"/>
      <c r="JPN7" s="1876"/>
      <c r="JPO7" s="1876"/>
      <c r="JPP7" s="1876"/>
      <c r="JPQ7" s="1876"/>
      <c r="JPR7" s="1876"/>
      <c r="JPS7" s="1876"/>
      <c r="JPT7" s="1876"/>
      <c r="JPU7" s="1876"/>
      <c r="JPV7" s="1876"/>
      <c r="JPW7" s="1876"/>
      <c r="JPX7" s="1876"/>
      <c r="JPY7" s="1876"/>
      <c r="JPZ7" s="1876"/>
      <c r="JQA7" s="1876"/>
      <c r="JQB7" s="1876"/>
      <c r="JQC7" s="1876"/>
      <c r="JQD7" s="1876"/>
      <c r="JQE7" s="1876"/>
      <c r="JQF7" s="1876"/>
      <c r="JQG7" s="1876"/>
      <c r="JQH7" s="1876"/>
      <c r="JQI7" s="1876"/>
      <c r="JQJ7" s="1876"/>
      <c r="JQK7" s="1876"/>
      <c r="JQL7" s="1876"/>
      <c r="JQM7" s="1876"/>
      <c r="JQN7" s="1876"/>
      <c r="JQO7" s="1876"/>
      <c r="JQP7" s="1876"/>
      <c r="JQQ7" s="1876"/>
      <c r="JQR7" s="1876"/>
      <c r="JQS7" s="1876"/>
      <c r="JQT7" s="1876"/>
      <c r="JQU7" s="1876"/>
      <c r="JQV7" s="1876"/>
      <c r="JQW7" s="1876"/>
      <c r="JQX7" s="1876"/>
      <c r="JQY7" s="1876"/>
      <c r="JQZ7" s="1876"/>
      <c r="JRA7" s="1876"/>
      <c r="JRB7" s="1876"/>
      <c r="JRC7" s="1876"/>
      <c r="JRD7" s="1876"/>
      <c r="JRE7" s="1876"/>
      <c r="JRF7" s="1876"/>
      <c r="JRG7" s="1876"/>
      <c r="JRH7" s="1876"/>
      <c r="JRI7" s="1876"/>
      <c r="JRJ7" s="1876"/>
      <c r="JRK7" s="1876"/>
      <c r="JRL7" s="1876"/>
      <c r="JRM7" s="1876"/>
      <c r="JRN7" s="1876"/>
      <c r="JRO7" s="1876"/>
      <c r="JRP7" s="1876"/>
      <c r="JRQ7" s="1876"/>
      <c r="JRR7" s="1876"/>
      <c r="JRS7" s="1876"/>
      <c r="JRT7" s="1876"/>
      <c r="JRU7" s="1876"/>
      <c r="JRV7" s="1876"/>
      <c r="JRW7" s="1876"/>
      <c r="JRX7" s="1876"/>
      <c r="JRY7" s="1876"/>
      <c r="JRZ7" s="1876"/>
      <c r="JSA7" s="1876"/>
      <c r="JSB7" s="1876"/>
      <c r="JSC7" s="1876"/>
      <c r="JSD7" s="1876"/>
      <c r="JSE7" s="1876"/>
      <c r="JSF7" s="1876"/>
      <c r="JSG7" s="1876"/>
      <c r="JSH7" s="1876"/>
      <c r="JSI7" s="1876"/>
      <c r="JSJ7" s="1876"/>
      <c r="JSK7" s="1876"/>
      <c r="JSL7" s="1876"/>
      <c r="JSM7" s="1876"/>
      <c r="JSN7" s="1876"/>
      <c r="JSO7" s="1876"/>
      <c r="JSP7" s="1876"/>
      <c r="JSQ7" s="1876"/>
      <c r="JSR7" s="1876"/>
      <c r="JSS7" s="1876"/>
      <c r="JST7" s="1876"/>
      <c r="JSU7" s="1876"/>
      <c r="JSV7" s="1876"/>
      <c r="JSW7" s="1876"/>
      <c r="JSX7" s="1876"/>
      <c r="JSY7" s="1876"/>
      <c r="JSZ7" s="1876"/>
      <c r="JTA7" s="1876"/>
      <c r="JTB7" s="1876"/>
      <c r="JTC7" s="1876"/>
      <c r="JTD7" s="1876"/>
      <c r="JTE7" s="1876"/>
      <c r="JTF7" s="1876"/>
      <c r="JTG7" s="1876"/>
      <c r="JTH7" s="1876"/>
      <c r="JTI7" s="1876"/>
      <c r="JTJ7" s="1876"/>
      <c r="JTK7" s="1876"/>
      <c r="JTL7" s="1876"/>
      <c r="JTM7" s="1876"/>
      <c r="JTN7" s="1876"/>
      <c r="JTO7" s="1876"/>
      <c r="JTP7" s="1876"/>
      <c r="JTQ7" s="1876"/>
      <c r="JTR7" s="1876"/>
      <c r="JTS7" s="1876"/>
      <c r="JTT7" s="1876"/>
      <c r="JTU7" s="1876"/>
      <c r="JTV7" s="1876"/>
      <c r="JTW7" s="1876"/>
      <c r="JTX7" s="1876"/>
      <c r="JTY7" s="1876"/>
      <c r="JTZ7" s="1876"/>
      <c r="JUA7" s="1876"/>
      <c r="JUB7" s="1876"/>
      <c r="JUC7" s="1876"/>
      <c r="JUD7" s="1876"/>
      <c r="JUE7" s="1876"/>
      <c r="JUF7" s="1876"/>
      <c r="JUG7" s="1876"/>
      <c r="JUH7" s="1876"/>
      <c r="JUI7" s="1876"/>
      <c r="JUJ7" s="1876"/>
      <c r="JUK7" s="1876"/>
      <c r="JUL7" s="1876"/>
      <c r="JUM7" s="1876"/>
      <c r="JUN7" s="1876"/>
      <c r="JUO7" s="1876"/>
      <c r="JUP7" s="1876"/>
      <c r="JUQ7" s="1876"/>
      <c r="JUR7" s="1876"/>
      <c r="JUS7" s="1876"/>
      <c r="JUT7" s="1876"/>
      <c r="JUU7" s="1876"/>
      <c r="JUV7" s="1876"/>
      <c r="JUW7" s="1876"/>
      <c r="JUX7" s="1876"/>
      <c r="JUY7" s="1876"/>
      <c r="JUZ7" s="1876"/>
      <c r="JVA7" s="1876"/>
      <c r="JVB7" s="1876"/>
      <c r="JVC7" s="1876"/>
      <c r="JVD7" s="1876"/>
      <c r="JVE7" s="1876"/>
      <c r="JVF7" s="1876"/>
      <c r="JVG7" s="1876"/>
      <c r="JVH7" s="1876"/>
      <c r="JVI7" s="1876"/>
      <c r="JVJ7" s="1876"/>
      <c r="JVK7" s="1876"/>
      <c r="JVL7" s="1876"/>
      <c r="JVM7" s="1876"/>
      <c r="JVN7" s="1876"/>
      <c r="JVO7" s="1876"/>
      <c r="JVP7" s="1876"/>
      <c r="JVQ7" s="1876"/>
      <c r="JVR7" s="1876"/>
      <c r="JVS7" s="1876"/>
      <c r="JVT7" s="1876"/>
      <c r="JVU7" s="1876"/>
      <c r="JVV7" s="1876"/>
      <c r="JVW7" s="1876"/>
      <c r="JVX7" s="1876"/>
      <c r="JVY7" s="1876"/>
      <c r="JVZ7" s="1876"/>
      <c r="JWA7" s="1876"/>
      <c r="JWB7" s="1876"/>
      <c r="JWC7" s="1876"/>
      <c r="JWD7" s="1876"/>
      <c r="JWE7" s="1876"/>
      <c r="JWF7" s="1876"/>
      <c r="JWG7" s="1876"/>
      <c r="JWH7" s="1876"/>
      <c r="JWI7" s="1876"/>
      <c r="JWJ7" s="1876"/>
      <c r="JWK7" s="1876"/>
      <c r="JWL7" s="1876"/>
      <c r="JWM7" s="1876"/>
      <c r="JWN7" s="1876"/>
      <c r="JWO7" s="1876"/>
      <c r="JWP7" s="1876"/>
      <c r="JWQ7" s="1876"/>
      <c r="JWR7" s="1876"/>
      <c r="JWS7" s="1876"/>
      <c r="JWT7" s="1876"/>
      <c r="JWU7" s="1876"/>
      <c r="JWV7" s="1876"/>
      <c r="JWW7" s="1876"/>
      <c r="JWX7" s="1876"/>
      <c r="JWY7" s="1876"/>
      <c r="JWZ7" s="1876"/>
      <c r="JXA7" s="1876"/>
      <c r="JXB7" s="1876"/>
      <c r="JXC7" s="1876"/>
      <c r="JXD7" s="1876"/>
      <c r="JXE7" s="1876"/>
      <c r="JXF7" s="1876"/>
      <c r="JXG7" s="1876"/>
      <c r="JXH7" s="1876"/>
      <c r="JXI7" s="1876"/>
      <c r="JXJ7" s="1876"/>
      <c r="JXK7" s="1876"/>
      <c r="JXL7" s="1876"/>
      <c r="JXM7" s="1876"/>
      <c r="JXN7" s="1876"/>
      <c r="JXO7" s="1876"/>
      <c r="JXP7" s="1876"/>
      <c r="JXQ7" s="1876"/>
      <c r="JXR7" s="1876"/>
      <c r="JXS7" s="1876"/>
      <c r="JXT7" s="1876"/>
      <c r="JXU7" s="1876"/>
      <c r="JXV7" s="1876"/>
      <c r="JXW7" s="1876"/>
      <c r="JXX7" s="1876"/>
      <c r="JXY7" s="1876"/>
      <c r="JXZ7" s="1876"/>
      <c r="JYA7" s="1876"/>
      <c r="JYB7" s="1876"/>
      <c r="JYC7" s="1876"/>
      <c r="JYD7" s="1876"/>
      <c r="JYE7" s="1876"/>
      <c r="JYF7" s="1876"/>
      <c r="JYG7" s="1876"/>
      <c r="JYH7" s="1876"/>
      <c r="JYI7" s="1876"/>
      <c r="JYJ7" s="1876"/>
      <c r="JYK7" s="1876"/>
      <c r="JYL7" s="1876"/>
      <c r="JYM7" s="1876"/>
      <c r="JYN7" s="1876"/>
      <c r="JYO7" s="1876"/>
      <c r="JYP7" s="1876"/>
      <c r="JYQ7" s="1876"/>
      <c r="JYR7" s="1876"/>
      <c r="JYS7" s="1876"/>
      <c r="JYT7" s="1876"/>
      <c r="JYU7" s="1876"/>
      <c r="JYV7" s="1876"/>
      <c r="JYW7" s="1876"/>
      <c r="JYX7" s="1876"/>
      <c r="JYY7" s="1876"/>
      <c r="JYZ7" s="1876"/>
      <c r="JZA7" s="1876"/>
      <c r="JZB7" s="1876"/>
      <c r="JZC7" s="1876"/>
      <c r="JZD7" s="1876"/>
      <c r="JZE7" s="1876"/>
      <c r="JZF7" s="1876"/>
      <c r="JZG7" s="1876"/>
      <c r="JZH7" s="1876"/>
      <c r="JZI7" s="1876"/>
      <c r="JZJ7" s="1876"/>
      <c r="JZK7" s="1876"/>
      <c r="JZL7" s="1876"/>
      <c r="JZM7" s="1876"/>
      <c r="JZN7" s="1876"/>
      <c r="JZO7" s="1876"/>
      <c r="JZP7" s="1876"/>
      <c r="JZQ7" s="1876"/>
      <c r="JZR7" s="1876"/>
      <c r="JZS7" s="1876"/>
      <c r="JZT7" s="1876"/>
      <c r="JZU7" s="1876"/>
      <c r="JZV7" s="1876"/>
      <c r="JZW7" s="1876"/>
      <c r="JZX7" s="1876"/>
      <c r="JZY7" s="1876"/>
      <c r="JZZ7" s="1876"/>
      <c r="KAA7" s="1876"/>
      <c r="KAB7" s="1876"/>
      <c r="KAC7" s="1876"/>
      <c r="KAD7" s="1876"/>
      <c r="KAE7" s="1876"/>
      <c r="KAF7" s="1876"/>
      <c r="KAG7" s="1876"/>
      <c r="KAH7" s="1876"/>
      <c r="KAI7" s="1876"/>
      <c r="KAJ7" s="1876"/>
      <c r="KAK7" s="1876"/>
      <c r="KAL7" s="1876"/>
      <c r="KAM7" s="1876"/>
      <c r="KAN7" s="1876"/>
      <c r="KAO7" s="1876"/>
      <c r="KAP7" s="1876"/>
      <c r="KAQ7" s="1876"/>
      <c r="KAR7" s="1876"/>
      <c r="KAS7" s="1876"/>
      <c r="KAT7" s="1876"/>
      <c r="KAU7" s="1876"/>
      <c r="KAV7" s="1876"/>
      <c r="KAW7" s="1876"/>
      <c r="KAX7" s="1876"/>
      <c r="KAY7" s="1876"/>
      <c r="KAZ7" s="1876"/>
      <c r="KBA7" s="1876"/>
      <c r="KBB7" s="1876"/>
      <c r="KBC7" s="1876"/>
      <c r="KBD7" s="1876"/>
      <c r="KBE7" s="1876"/>
      <c r="KBF7" s="1876"/>
      <c r="KBG7" s="1876"/>
      <c r="KBH7" s="1876"/>
      <c r="KBI7" s="1876"/>
      <c r="KBJ7" s="1876"/>
      <c r="KBK7" s="1876"/>
      <c r="KBL7" s="1876"/>
      <c r="KBM7" s="1876"/>
      <c r="KBN7" s="1876"/>
      <c r="KBO7" s="1876"/>
      <c r="KBP7" s="1876"/>
      <c r="KBQ7" s="1876"/>
      <c r="KBR7" s="1876"/>
      <c r="KBS7" s="1876"/>
      <c r="KBT7" s="1876"/>
      <c r="KBU7" s="1876"/>
      <c r="KBV7" s="1876"/>
      <c r="KBW7" s="1876"/>
      <c r="KBX7" s="1876"/>
      <c r="KBY7" s="1876"/>
      <c r="KBZ7" s="1876"/>
      <c r="KCA7" s="1876"/>
      <c r="KCB7" s="1876"/>
      <c r="KCC7" s="1876"/>
      <c r="KCD7" s="1876"/>
      <c r="KCE7" s="1876"/>
      <c r="KCF7" s="1876"/>
      <c r="KCG7" s="1876"/>
      <c r="KCH7" s="1876"/>
      <c r="KCI7" s="1876"/>
      <c r="KCJ7" s="1876"/>
      <c r="KCK7" s="1876"/>
      <c r="KCL7" s="1876"/>
      <c r="KCM7" s="1876"/>
      <c r="KCN7" s="1876"/>
      <c r="KCO7" s="1876"/>
      <c r="KCP7" s="1876"/>
      <c r="KCQ7" s="1876"/>
      <c r="KCR7" s="1876"/>
      <c r="KCS7" s="1876"/>
      <c r="KCT7" s="1876"/>
      <c r="KCU7" s="1876"/>
      <c r="KCV7" s="1876"/>
      <c r="KCW7" s="1876"/>
      <c r="KCX7" s="1876"/>
      <c r="KCY7" s="1876"/>
      <c r="KCZ7" s="1876"/>
      <c r="KDA7" s="1876"/>
      <c r="KDB7" s="1876"/>
      <c r="KDC7" s="1876"/>
      <c r="KDD7" s="1876"/>
      <c r="KDE7" s="1876"/>
      <c r="KDF7" s="1876"/>
      <c r="KDG7" s="1876"/>
      <c r="KDH7" s="1876"/>
      <c r="KDI7" s="1876"/>
      <c r="KDJ7" s="1876"/>
      <c r="KDK7" s="1876"/>
      <c r="KDL7" s="1876"/>
      <c r="KDM7" s="1876"/>
      <c r="KDN7" s="1876"/>
      <c r="KDO7" s="1876"/>
      <c r="KDP7" s="1876"/>
      <c r="KDQ7" s="1876"/>
      <c r="KDR7" s="1876"/>
      <c r="KDS7" s="1876"/>
      <c r="KDT7" s="1876"/>
      <c r="KDU7" s="1876"/>
      <c r="KDV7" s="1876"/>
      <c r="KDW7" s="1876"/>
      <c r="KDX7" s="1876"/>
      <c r="KDY7" s="1876"/>
      <c r="KDZ7" s="1876"/>
      <c r="KEA7" s="1876"/>
      <c r="KEB7" s="1876"/>
      <c r="KEC7" s="1876"/>
      <c r="KED7" s="1876"/>
      <c r="KEE7" s="1876"/>
      <c r="KEF7" s="1876"/>
      <c r="KEG7" s="1876"/>
      <c r="KEH7" s="1876"/>
      <c r="KEI7" s="1876"/>
      <c r="KEJ7" s="1876"/>
      <c r="KEK7" s="1876"/>
      <c r="KEL7" s="1876"/>
      <c r="KEM7" s="1876"/>
      <c r="KEN7" s="1876"/>
      <c r="KEO7" s="1876"/>
      <c r="KEP7" s="1876"/>
      <c r="KEQ7" s="1876"/>
      <c r="KER7" s="1876"/>
      <c r="KES7" s="1876"/>
      <c r="KET7" s="1876"/>
      <c r="KEU7" s="1876"/>
      <c r="KEV7" s="1876"/>
      <c r="KEW7" s="1876"/>
      <c r="KEX7" s="1876"/>
      <c r="KEY7" s="1876"/>
      <c r="KEZ7" s="1876"/>
      <c r="KFA7" s="1876"/>
      <c r="KFB7" s="1876"/>
      <c r="KFC7" s="1876"/>
      <c r="KFD7" s="1876"/>
      <c r="KFE7" s="1876"/>
      <c r="KFF7" s="1876"/>
      <c r="KFG7" s="1876"/>
      <c r="KFH7" s="1876"/>
      <c r="KFI7" s="1876"/>
      <c r="KFJ7" s="1876"/>
      <c r="KFK7" s="1876"/>
      <c r="KFL7" s="1876"/>
      <c r="KFM7" s="1876"/>
      <c r="KFN7" s="1876"/>
      <c r="KFO7" s="1876"/>
      <c r="KFP7" s="1876"/>
      <c r="KFQ7" s="1876"/>
      <c r="KFR7" s="1876"/>
      <c r="KFS7" s="1876"/>
      <c r="KFT7" s="1876"/>
      <c r="KFU7" s="1876"/>
      <c r="KFV7" s="1876"/>
      <c r="KFW7" s="1876"/>
      <c r="KFX7" s="1876"/>
      <c r="KFY7" s="1876"/>
      <c r="KFZ7" s="1876"/>
      <c r="KGA7" s="1876"/>
      <c r="KGB7" s="1876"/>
      <c r="KGC7" s="1876"/>
      <c r="KGD7" s="1876"/>
      <c r="KGE7" s="1876"/>
      <c r="KGF7" s="1876"/>
      <c r="KGG7" s="1876"/>
      <c r="KGH7" s="1876"/>
      <c r="KGI7" s="1876"/>
      <c r="KGJ7" s="1876"/>
      <c r="KGK7" s="1876"/>
      <c r="KGL7" s="1876"/>
      <c r="KGM7" s="1876"/>
      <c r="KGN7" s="1876"/>
      <c r="KGO7" s="1876"/>
      <c r="KGP7" s="1876"/>
      <c r="KGQ7" s="1876"/>
      <c r="KGR7" s="1876"/>
      <c r="KGS7" s="1876"/>
      <c r="KGT7" s="1876"/>
      <c r="KGU7" s="1876"/>
      <c r="KGV7" s="1876"/>
      <c r="KGW7" s="1876"/>
      <c r="KGX7" s="1876"/>
      <c r="KGY7" s="1876"/>
      <c r="KGZ7" s="1876"/>
      <c r="KHA7" s="1876"/>
      <c r="KHB7" s="1876"/>
      <c r="KHC7" s="1876"/>
      <c r="KHD7" s="1876"/>
      <c r="KHE7" s="1876"/>
      <c r="KHF7" s="1876"/>
      <c r="KHG7" s="1876"/>
      <c r="KHH7" s="1876"/>
      <c r="KHI7" s="1876"/>
      <c r="KHJ7" s="1876"/>
      <c r="KHK7" s="1876"/>
      <c r="KHL7" s="1876"/>
      <c r="KHM7" s="1876"/>
      <c r="KHN7" s="1876"/>
      <c r="KHO7" s="1876"/>
      <c r="KHP7" s="1876"/>
      <c r="KHQ7" s="1876"/>
      <c r="KHR7" s="1876"/>
      <c r="KHS7" s="1876"/>
      <c r="KHT7" s="1876"/>
      <c r="KHU7" s="1876"/>
      <c r="KHV7" s="1876"/>
      <c r="KHW7" s="1876"/>
      <c r="KHX7" s="1876"/>
      <c r="KHY7" s="1876"/>
      <c r="KHZ7" s="1876"/>
      <c r="KIA7" s="1876"/>
      <c r="KIB7" s="1876"/>
      <c r="KIC7" s="1876"/>
      <c r="KID7" s="1876"/>
      <c r="KIE7" s="1876"/>
      <c r="KIF7" s="1876"/>
      <c r="KIG7" s="1876"/>
      <c r="KIH7" s="1876"/>
      <c r="KII7" s="1876"/>
      <c r="KIJ7" s="1876"/>
      <c r="KIK7" s="1876"/>
      <c r="KIL7" s="1876"/>
      <c r="KIM7" s="1876"/>
      <c r="KIN7" s="1876"/>
      <c r="KIO7" s="1876"/>
      <c r="KIP7" s="1876"/>
      <c r="KIQ7" s="1876"/>
      <c r="KIR7" s="1876"/>
      <c r="KIS7" s="1876"/>
      <c r="KIT7" s="1876"/>
      <c r="KIU7" s="1876"/>
      <c r="KIV7" s="1876"/>
      <c r="KIW7" s="1876"/>
      <c r="KIX7" s="1876"/>
      <c r="KIY7" s="1876"/>
      <c r="KIZ7" s="1876"/>
      <c r="KJA7" s="1876"/>
      <c r="KJB7" s="1876"/>
      <c r="KJC7" s="1876"/>
      <c r="KJD7" s="1876"/>
      <c r="KJE7" s="1876"/>
      <c r="KJF7" s="1876"/>
      <c r="KJG7" s="1876"/>
      <c r="KJH7" s="1876"/>
      <c r="KJI7" s="1876"/>
      <c r="KJJ7" s="1876"/>
      <c r="KJK7" s="1876"/>
      <c r="KJL7" s="1876"/>
      <c r="KJM7" s="1876"/>
      <c r="KJN7" s="1876"/>
      <c r="KJO7" s="1876"/>
      <c r="KJP7" s="1876"/>
      <c r="KJQ7" s="1876"/>
      <c r="KJR7" s="1876"/>
      <c r="KJS7" s="1876"/>
      <c r="KJT7" s="1876"/>
      <c r="KJU7" s="1876"/>
      <c r="KJV7" s="1876"/>
      <c r="KJW7" s="1876"/>
      <c r="KJX7" s="1876"/>
      <c r="KJY7" s="1876"/>
      <c r="KJZ7" s="1876"/>
      <c r="KKA7" s="1876"/>
      <c r="KKB7" s="1876"/>
      <c r="KKC7" s="1876"/>
      <c r="KKD7" s="1876"/>
      <c r="KKE7" s="1876"/>
      <c r="KKF7" s="1876"/>
      <c r="KKG7" s="1876"/>
      <c r="KKH7" s="1876"/>
      <c r="KKI7" s="1876"/>
      <c r="KKJ7" s="1876"/>
      <c r="KKK7" s="1876"/>
      <c r="KKL7" s="1876"/>
      <c r="KKM7" s="1876"/>
      <c r="KKN7" s="1876"/>
      <c r="KKO7" s="1876"/>
      <c r="KKP7" s="1876"/>
      <c r="KKQ7" s="1876"/>
      <c r="KKR7" s="1876"/>
      <c r="KKS7" s="1876"/>
      <c r="KKT7" s="1876"/>
      <c r="KKU7" s="1876"/>
      <c r="KKV7" s="1876"/>
      <c r="KKW7" s="1876"/>
      <c r="KKX7" s="1876"/>
      <c r="KKY7" s="1876"/>
      <c r="KKZ7" s="1876"/>
      <c r="KLA7" s="1876"/>
      <c r="KLB7" s="1876"/>
      <c r="KLC7" s="1876"/>
      <c r="KLD7" s="1876"/>
      <c r="KLE7" s="1876"/>
      <c r="KLF7" s="1876"/>
      <c r="KLG7" s="1876"/>
      <c r="KLH7" s="1876"/>
      <c r="KLI7" s="1876"/>
      <c r="KLJ7" s="1876"/>
      <c r="KLK7" s="1876"/>
      <c r="KLL7" s="1876"/>
      <c r="KLM7" s="1876"/>
      <c r="KLN7" s="1876"/>
      <c r="KLO7" s="1876"/>
      <c r="KLP7" s="1876"/>
      <c r="KLQ7" s="1876"/>
      <c r="KLR7" s="1876"/>
      <c r="KLS7" s="1876"/>
      <c r="KLT7" s="1876"/>
      <c r="KLU7" s="1876"/>
      <c r="KLV7" s="1876"/>
      <c r="KLW7" s="1876"/>
      <c r="KLX7" s="1876"/>
      <c r="KLY7" s="1876"/>
      <c r="KLZ7" s="1876"/>
      <c r="KMA7" s="1876"/>
      <c r="KMB7" s="1876"/>
      <c r="KMC7" s="1876"/>
      <c r="KMD7" s="1876"/>
      <c r="KME7" s="1876"/>
      <c r="KMF7" s="1876"/>
      <c r="KMG7" s="1876"/>
      <c r="KMH7" s="1876"/>
      <c r="KMI7" s="1876"/>
      <c r="KMJ7" s="1876"/>
      <c r="KMK7" s="1876"/>
      <c r="KML7" s="1876"/>
      <c r="KMM7" s="1876"/>
      <c r="KMN7" s="1876"/>
      <c r="KMO7" s="1876"/>
      <c r="KMP7" s="1876"/>
      <c r="KMQ7" s="1876"/>
      <c r="KMR7" s="1876"/>
      <c r="KMS7" s="1876"/>
      <c r="KMT7" s="1876"/>
      <c r="KMU7" s="1876"/>
      <c r="KMV7" s="1876"/>
      <c r="KMW7" s="1876"/>
      <c r="KMX7" s="1876"/>
      <c r="KMY7" s="1876"/>
      <c r="KMZ7" s="1876"/>
      <c r="KNA7" s="1876"/>
      <c r="KNB7" s="1876"/>
      <c r="KNC7" s="1876"/>
      <c r="KND7" s="1876"/>
      <c r="KNE7" s="1876"/>
      <c r="KNF7" s="1876"/>
      <c r="KNG7" s="1876"/>
      <c r="KNH7" s="1876"/>
      <c r="KNI7" s="1876"/>
      <c r="KNJ7" s="1876"/>
      <c r="KNK7" s="1876"/>
      <c r="KNL7" s="1876"/>
      <c r="KNM7" s="1876"/>
      <c r="KNN7" s="1876"/>
      <c r="KNO7" s="1876"/>
      <c r="KNP7" s="1876"/>
      <c r="KNQ7" s="1876"/>
      <c r="KNR7" s="1876"/>
      <c r="KNS7" s="1876"/>
      <c r="KNT7" s="1876"/>
      <c r="KNU7" s="1876"/>
      <c r="KNV7" s="1876"/>
      <c r="KNW7" s="1876"/>
      <c r="KNX7" s="1876"/>
      <c r="KNY7" s="1876"/>
      <c r="KNZ7" s="1876"/>
      <c r="KOA7" s="1876"/>
      <c r="KOB7" s="1876"/>
      <c r="KOC7" s="1876"/>
      <c r="KOD7" s="1876"/>
      <c r="KOE7" s="1876"/>
      <c r="KOF7" s="1876"/>
      <c r="KOG7" s="1876"/>
      <c r="KOH7" s="1876"/>
      <c r="KOI7" s="1876"/>
      <c r="KOJ7" s="1876"/>
      <c r="KOK7" s="1876"/>
      <c r="KOL7" s="1876"/>
      <c r="KOM7" s="1876"/>
      <c r="KON7" s="1876"/>
      <c r="KOO7" s="1876"/>
      <c r="KOP7" s="1876"/>
      <c r="KOQ7" s="1876"/>
      <c r="KOR7" s="1876"/>
      <c r="KOS7" s="1876"/>
      <c r="KOT7" s="1876"/>
      <c r="KOU7" s="1876"/>
      <c r="KOV7" s="1876"/>
      <c r="KOW7" s="1876"/>
      <c r="KOX7" s="1876"/>
      <c r="KOY7" s="1876"/>
      <c r="KOZ7" s="1876"/>
      <c r="KPA7" s="1876"/>
      <c r="KPB7" s="1876"/>
      <c r="KPC7" s="1876"/>
      <c r="KPD7" s="1876"/>
      <c r="KPE7" s="1876"/>
      <c r="KPF7" s="1876"/>
      <c r="KPG7" s="1876"/>
      <c r="KPH7" s="1876"/>
      <c r="KPI7" s="1876"/>
      <c r="KPJ7" s="1876"/>
      <c r="KPK7" s="1876"/>
      <c r="KPL7" s="1876"/>
      <c r="KPM7" s="1876"/>
      <c r="KPN7" s="1876"/>
      <c r="KPO7" s="1876"/>
      <c r="KPP7" s="1876"/>
      <c r="KPQ7" s="1876"/>
      <c r="KPR7" s="1876"/>
      <c r="KPS7" s="1876"/>
      <c r="KPT7" s="1876"/>
      <c r="KPU7" s="1876"/>
      <c r="KPV7" s="1876"/>
      <c r="KPW7" s="1876"/>
      <c r="KPX7" s="1876"/>
      <c r="KPY7" s="1876"/>
      <c r="KPZ7" s="1876"/>
      <c r="KQA7" s="1876"/>
      <c r="KQB7" s="1876"/>
      <c r="KQC7" s="1876"/>
      <c r="KQD7" s="1876"/>
      <c r="KQE7" s="1876"/>
      <c r="KQF7" s="1876"/>
      <c r="KQG7" s="1876"/>
      <c r="KQH7" s="1876"/>
      <c r="KQI7" s="1876"/>
      <c r="KQJ7" s="1876"/>
      <c r="KQK7" s="1876"/>
      <c r="KQL7" s="1876"/>
      <c r="KQM7" s="1876"/>
      <c r="KQN7" s="1876"/>
      <c r="KQO7" s="1876"/>
      <c r="KQP7" s="1876"/>
      <c r="KQQ7" s="1876"/>
      <c r="KQR7" s="1876"/>
      <c r="KQS7" s="1876"/>
      <c r="KQT7" s="1876"/>
      <c r="KQU7" s="1876"/>
      <c r="KQV7" s="1876"/>
      <c r="KQW7" s="1876"/>
      <c r="KQX7" s="1876"/>
      <c r="KQY7" s="1876"/>
      <c r="KQZ7" s="1876"/>
      <c r="KRA7" s="1876"/>
      <c r="KRB7" s="1876"/>
      <c r="KRC7" s="1876"/>
      <c r="KRD7" s="1876"/>
      <c r="KRE7" s="1876"/>
      <c r="KRF7" s="1876"/>
      <c r="KRG7" s="1876"/>
      <c r="KRH7" s="1876"/>
      <c r="KRI7" s="1876"/>
      <c r="KRJ7" s="1876"/>
      <c r="KRK7" s="1876"/>
      <c r="KRL7" s="1876"/>
      <c r="KRM7" s="1876"/>
      <c r="KRN7" s="1876"/>
      <c r="KRO7" s="1876"/>
      <c r="KRP7" s="1876"/>
      <c r="KRQ7" s="1876"/>
      <c r="KRR7" s="1876"/>
      <c r="KRS7" s="1876"/>
      <c r="KRT7" s="1876"/>
      <c r="KRU7" s="1876"/>
      <c r="KRV7" s="1876"/>
      <c r="KRW7" s="1876"/>
      <c r="KRX7" s="1876"/>
      <c r="KRY7" s="1876"/>
      <c r="KRZ7" s="1876"/>
      <c r="KSA7" s="1876"/>
      <c r="KSB7" s="1876"/>
      <c r="KSC7" s="1876"/>
      <c r="KSD7" s="1876"/>
      <c r="KSE7" s="1876"/>
      <c r="KSF7" s="1876"/>
      <c r="KSG7" s="1876"/>
      <c r="KSH7" s="1876"/>
      <c r="KSI7" s="1876"/>
      <c r="KSJ7" s="1876"/>
      <c r="KSK7" s="1876"/>
      <c r="KSL7" s="1876"/>
      <c r="KSM7" s="1876"/>
      <c r="KSN7" s="1876"/>
      <c r="KSO7" s="1876"/>
      <c r="KSP7" s="1876"/>
      <c r="KSQ7" s="1876"/>
      <c r="KSR7" s="1876"/>
      <c r="KSS7" s="1876"/>
      <c r="KST7" s="1876"/>
      <c r="KSU7" s="1876"/>
      <c r="KSV7" s="1876"/>
      <c r="KSW7" s="1876"/>
      <c r="KSX7" s="1876"/>
      <c r="KSY7" s="1876"/>
      <c r="KSZ7" s="1876"/>
      <c r="KTA7" s="1876"/>
      <c r="KTB7" s="1876"/>
      <c r="KTC7" s="1876"/>
      <c r="KTD7" s="1876"/>
      <c r="KTE7" s="1876"/>
      <c r="KTF7" s="1876"/>
      <c r="KTG7" s="1876"/>
      <c r="KTH7" s="1876"/>
      <c r="KTI7" s="1876"/>
      <c r="KTJ7" s="1876"/>
      <c r="KTK7" s="1876"/>
      <c r="KTL7" s="1876"/>
      <c r="KTM7" s="1876"/>
      <c r="KTN7" s="1876"/>
      <c r="KTO7" s="1876"/>
      <c r="KTP7" s="1876"/>
      <c r="KTQ7" s="1876"/>
      <c r="KTR7" s="1876"/>
      <c r="KTS7" s="1876"/>
      <c r="KTT7" s="1876"/>
      <c r="KTU7" s="1876"/>
      <c r="KTV7" s="1876"/>
      <c r="KTW7" s="1876"/>
      <c r="KTX7" s="1876"/>
      <c r="KTY7" s="1876"/>
      <c r="KTZ7" s="1876"/>
      <c r="KUA7" s="1876"/>
      <c r="KUB7" s="1876"/>
      <c r="KUC7" s="1876"/>
      <c r="KUD7" s="1876"/>
      <c r="KUE7" s="1876"/>
      <c r="KUF7" s="1876"/>
      <c r="KUG7" s="1876"/>
      <c r="KUH7" s="1876"/>
      <c r="KUI7" s="1876"/>
      <c r="KUJ7" s="1876"/>
      <c r="KUK7" s="1876"/>
      <c r="KUL7" s="1876"/>
      <c r="KUM7" s="1876"/>
      <c r="KUN7" s="1876"/>
      <c r="KUO7" s="1876"/>
      <c r="KUP7" s="1876"/>
      <c r="KUQ7" s="1876"/>
      <c r="KUR7" s="1876"/>
      <c r="KUS7" s="1876"/>
      <c r="KUT7" s="1876"/>
      <c r="KUU7" s="1876"/>
      <c r="KUV7" s="1876"/>
      <c r="KUW7" s="1876"/>
      <c r="KUX7" s="1876"/>
      <c r="KUY7" s="1876"/>
      <c r="KUZ7" s="1876"/>
      <c r="KVA7" s="1876"/>
      <c r="KVB7" s="1876"/>
      <c r="KVC7" s="1876"/>
      <c r="KVD7" s="1876"/>
      <c r="KVE7" s="1876"/>
      <c r="KVF7" s="1876"/>
      <c r="KVG7" s="1876"/>
      <c r="KVH7" s="1876"/>
      <c r="KVI7" s="1876"/>
      <c r="KVJ7" s="1876"/>
      <c r="KVK7" s="1876"/>
      <c r="KVL7" s="1876"/>
      <c r="KVM7" s="1876"/>
      <c r="KVN7" s="1876"/>
      <c r="KVO7" s="1876"/>
      <c r="KVP7" s="1876"/>
      <c r="KVQ7" s="1876"/>
      <c r="KVR7" s="1876"/>
      <c r="KVS7" s="1876"/>
      <c r="KVT7" s="1876"/>
      <c r="KVU7" s="1876"/>
      <c r="KVV7" s="1876"/>
      <c r="KVW7" s="1876"/>
      <c r="KVX7" s="1876"/>
      <c r="KVY7" s="1876"/>
      <c r="KVZ7" s="1876"/>
      <c r="KWA7" s="1876"/>
      <c r="KWB7" s="1876"/>
      <c r="KWC7" s="1876"/>
      <c r="KWD7" s="1876"/>
      <c r="KWE7" s="1876"/>
      <c r="KWF7" s="1876"/>
      <c r="KWG7" s="1876"/>
      <c r="KWH7" s="1876"/>
      <c r="KWI7" s="1876"/>
      <c r="KWJ7" s="1876"/>
      <c r="KWK7" s="1876"/>
      <c r="KWL7" s="1876"/>
      <c r="KWM7" s="1876"/>
      <c r="KWN7" s="1876"/>
      <c r="KWO7" s="1876"/>
      <c r="KWP7" s="1876"/>
      <c r="KWQ7" s="1876"/>
      <c r="KWR7" s="1876"/>
      <c r="KWS7" s="1876"/>
      <c r="KWT7" s="1876"/>
      <c r="KWU7" s="1876"/>
      <c r="KWV7" s="1876"/>
      <c r="KWW7" s="1876"/>
      <c r="KWX7" s="1876"/>
      <c r="KWY7" s="1876"/>
      <c r="KWZ7" s="1876"/>
      <c r="KXA7" s="1876"/>
      <c r="KXB7" s="1876"/>
      <c r="KXC7" s="1876"/>
      <c r="KXD7" s="1876"/>
      <c r="KXE7" s="1876"/>
      <c r="KXF7" s="1876"/>
      <c r="KXG7" s="1876"/>
      <c r="KXH7" s="1876"/>
      <c r="KXI7" s="1876"/>
      <c r="KXJ7" s="1876"/>
      <c r="KXK7" s="1876"/>
      <c r="KXL7" s="1876"/>
      <c r="KXM7" s="1876"/>
      <c r="KXN7" s="1876"/>
      <c r="KXO7" s="1876"/>
      <c r="KXP7" s="1876"/>
      <c r="KXQ7" s="1876"/>
      <c r="KXR7" s="1876"/>
      <c r="KXS7" s="1876"/>
      <c r="KXT7" s="1876"/>
      <c r="KXU7" s="1876"/>
      <c r="KXV7" s="1876"/>
      <c r="KXW7" s="1876"/>
      <c r="KXX7" s="1876"/>
      <c r="KXY7" s="1876"/>
      <c r="KXZ7" s="1876"/>
      <c r="KYA7" s="1876"/>
      <c r="KYB7" s="1876"/>
      <c r="KYC7" s="1876"/>
      <c r="KYD7" s="1876"/>
      <c r="KYE7" s="1876"/>
      <c r="KYF7" s="1876"/>
      <c r="KYG7" s="1876"/>
      <c r="KYH7" s="1876"/>
      <c r="KYI7" s="1876"/>
      <c r="KYJ7" s="1876"/>
      <c r="KYK7" s="1876"/>
      <c r="KYL7" s="1876"/>
      <c r="KYM7" s="1876"/>
      <c r="KYN7" s="1876"/>
      <c r="KYO7" s="1876"/>
      <c r="KYP7" s="1876"/>
      <c r="KYQ7" s="1876"/>
      <c r="KYR7" s="1876"/>
      <c r="KYS7" s="1876"/>
      <c r="KYT7" s="1876"/>
      <c r="KYU7" s="1876"/>
      <c r="KYV7" s="1876"/>
      <c r="KYW7" s="1876"/>
      <c r="KYX7" s="1876"/>
      <c r="KYY7" s="1876"/>
      <c r="KYZ7" s="1876"/>
      <c r="KZA7" s="1876"/>
      <c r="KZB7" s="1876"/>
      <c r="KZC7" s="1876"/>
      <c r="KZD7" s="1876"/>
      <c r="KZE7" s="1876"/>
      <c r="KZF7" s="1876"/>
      <c r="KZG7" s="1876"/>
      <c r="KZH7" s="1876"/>
      <c r="KZI7" s="1876"/>
      <c r="KZJ7" s="1876"/>
      <c r="KZK7" s="1876"/>
      <c r="KZL7" s="1876"/>
      <c r="KZM7" s="1876"/>
      <c r="KZN7" s="1876"/>
      <c r="KZO7" s="1876"/>
      <c r="KZP7" s="1876"/>
      <c r="KZQ7" s="1876"/>
      <c r="KZR7" s="1876"/>
      <c r="KZS7" s="1876"/>
      <c r="KZT7" s="1876"/>
      <c r="KZU7" s="1876"/>
      <c r="KZV7" s="1876"/>
      <c r="KZW7" s="1876"/>
      <c r="KZX7" s="1876"/>
      <c r="KZY7" s="1876"/>
      <c r="KZZ7" s="1876"/>
      <c r="LAA7" s="1876"/>
      <c r="LAB7" s="1876"/>
      <c r="LAC7" s="1876"/>
      <c r="LAD7" s="1876"/>
      <c r="LAE7" s="1876"/>
      <c r="LAF7" s="1876"/>
      <c r="LAG7" s="1876"/>
      <c r="LAH7" s="1876"/>
      <c r="LAI7" s="1876"/>
      <c r="LAJ7" s="1876"/>
      <c r="LAK7" s="1876"/>
      <c r="LAL7" s="1876"/>
      <c r="LAM7" s="1876"/>
      <c r="LAN7" s="1876"/>
      <c r="LAO7" s="1876"/>
      <c r="LAP7" s="1876"/>
      <c r="LAQ7" s="1876"/>
      <c r="LAR7" s="1876"/>
      <c r="LAS7" s="1876"/>
      <c r="LAT7" s="1876"/>
      <c r="LAU7" s="1876"/>
      <c r="LAV7" s="1876"/>
      <c r="LAW7" s="1876"/>
      <c r="LAX7" s="1876"/>
      <c r="LAY7" s="1876"/>
      <c r="LAZ7" s="1876"/>
      <c r="LBA7" s="1876"/>
      <c r="LBB7" s="1876"/>
      <c r="LBC7" s="1876"/>
      <c r="LBD7" s="1876"/>
      <c r="LBE7" s="1876"/>
      <c r="LBF7" s="1876"/>
      <c r="LBG7" s="1876"/>
      <c r="LBH7" s="1876"/>
      <c r="LBI7" s="1876"/>
      <c r="LBJ7" s="1876"/>
      <c r="LBK7" s="1876"/>
      <c r="LBL7" s="1876"/>
      <c r="LBM7" s="1876"/>
      <c r="LBN7" s="1876"/>
      <c r="LBO7" s="1876"/>
      <c r="LBP7" s="1876"/>
      <c r="LBQ7" s="1876"/>
      <c r="LBR7" s="1876"/>
      <c r="LBS7" s="1876"/>
      <c r="LBT7" s="1876"/>
      <c r="LBU7" s="1876"/>
      <c r="LBV7" s="1876"/>
      <c r="LBW7" s="1876"/>
      <c r="LBX7" s="1876"/>
      <c r="LBY7" s="1876"/>
      <c r="LBZ7" s="1876"/>
      <c r="LCA7" s="1876"/>
      <c r="LCB7" s="1876"/>
      <c r="LCC7" s="1876"/>
      <c r="LCD7" s="1876"/>
      <c r="LCE7" s="1876"/>
      <c r="LCF7" s="1876"/>
      <c r="LCG7" s="1876"/>
      <c r="LCH7" s="1876"/>
      <c r="LCI7" s="1876"/>
      <c r="LCJ7" s="1876"/>
      <c r="LCK7" s="1876"/>
      <c r="LCL7" s="1876"/>
      <c r="LCM7" s="1876"/>
      <c r="LCN7" s="1876"/>
      <c r="LCO7" s="1876"/>
      <c r="LCP7" s="1876"/>
      <c r="LCQ7" s="1876"/>
      <c r="LCR7" s="1876"/>
      <c r="LCS7" s="1876"/>
      <c r="LCT7" s="1876"/>
      <c r="LCU7" s="1876"/>
      <c r="LCV7" s="1876"/>
      <c r="LCW7" s="1876"/>
      <c r="LCX7" s="1876"/>
      <c r="LCY7" s="1876"/>
      <c r="LCZ7" s="1876"/>
      <c r="LDA7" s="1876"/>
      <c r="LDB7" s="1876"/>
      <c r="LDC7" s="1876"/>
      <c r="LDD7" s="1876"/>
      <c r="LDE7" s="1876"/>
      <c r="LDF7" s="1876"/>
      <c r="LDG7" s="1876"/>
      <c r="LDH7" s="1876"/>
      <c r="LDI7" s="1876"/>
      <c r="LDJ7" s="1876"/>
      <c r="LDK7" s="1876"/>
      <c r="LDL7" s="1876"/>
      <c r="LDM7" s="1876"/>
      <c r="LDN7" s="1876"/>
      <c r="LDO7" s="1876"/>
      <c r="LDP7" s="1876"/>
      <c r="LDQ7" s="1876"/>
      <c r="LDR7" s="1876"/>
      <c r="LDS7" s="1876"/>
      <c r="LDT7" s="1876"/>
      <c r="LDU7" s="1876"/>
      <c r="LDV7" s="1876"/>
      <c r="LDW7" s="1876"/>
      <c r="LDX7" s="1876"/>
      <c r="LDY7" s="1876"/>
      <c r="LDZ7" s="1876"/>
      <c r="LEA7" s="1876"/>
      <c r="LEB7" s="1876"/>
      <c r="LEC7" s="1876"/>
      <c r="LED7" s="1876"/>
      <c r="LEE7" s="1876"/>
      <c r="LEF7" s="1876"/>
      <c r="LEG7" s="1876"/>
      <c r="LEH7" s="1876"/>
      <c r="LEI7" s="1876"/>
      <c r="LEJ7" s="1876"/>
      <c r="LEK7" s="1876"/>
      <c r="LEL7" s="1876"/>
      <c r="LEM7" s="1876"/>
      <c r="LEN7" s="1876"/>
      <c r="LEO7" s="1876"/>
      <c r="LEP7" s="1876"/>
      <c r="LEQ7" s="1876"/>
      <c r="LER7" s="1876"/>
      <c r="LES7" s="1876"/>
      <c r="LET7" s="1876"/>
      <c r="LEU7" s="1876"/>
      <c r="LEV7" s="1876"/>
      <c r="LEW7" s="1876"/>
      <c r="LEX7" s="1876"/>
      <c r="LEY7" s="1876"/>
      <c r="LEZ7" s="1876"/>
      <c r="LFA7" s="1876"/>
      <c r="LFB7" s="1876"/>
      <c r="LFC7" s="1876"/>
      <c r="LFD7" s="1876"/>
      <c r="LFE7" s="1876"/>
      <c r="LFF7" s="1876"/>
      <c r="LFG7" s="1876"/>
      <c r="LFH7" s="1876"/>
      <c r="LFI7" s="1876"/>
      <c r="LFJ7" s="1876"/>
      <c r="LFK7" s="1876"/>
      <c r="LFL7" s="1876"/>
      <c r="LFM7" s="1876"/>
      <c r="LFN7" s="1876"/>
      <c r="LFO7" s="1876"/>
      <c r="LFP7" s="1876"/>
      <c r="LFQ7" s="1876"/>
      <c r="LFR7" s="1876"/>
      <c r="LFS7" s="1876"/>
      <c r="LFT7" s="1876"/>
      <c r="LFU7" s="1876"/>
      <c r="LFV7" s="1876"/>
      <c r="LFW7" s="1876"/>
      <c r="LFX7" s="1876"/>
      <c r="LFY7" s="1876"/>
      <c r="LFZ7" s="1876"/>
      <c r="LGA7" s="1876"/>
      <c r="LGB7" s="1876"/>
      <c r="LGC7" s="1876"/>
      <c r="LGD7" s="1876"/>
      <c r="LGE7" s="1876"/>
      <c r="LGF7" s="1876"/>
      <c r="LGG7" s="1876"/>
      <c r="LGH7" s="1876"/>
      <c r="LGI7" s="1876"/>
      <c r="LGJ7" s="1876"/>
      <c r="LGK7" s="1876"/>
      <c r="LGL7" s="1876"/>
      <c r="LGM7" s="1876"/>
      <c r="LGN7" s="1876"/>
      <c r="LGO7" s="1876"/>
      <c r="LGP7" s="1876"/>
      <c r="LGQ7" s="1876"/>
      <c r="LGR7" s="1876"/>
      <c r="LGS7" s="1876"/>
      <c r="LGT7" s="1876"/>
      <c r="LGU7" s="1876"/>
      <c r="LGV7" s="1876"/>
      <c r="LGW7" s="1876"/>
      <c r="LGX7" s="1876"/>
      <c r="LGY7" s="1876"/>
      <c r="LGZ7" s="1876"/>
      <c r="LHA7" s="1876"/>
      <c r="LHB7" s="1876"/>
      <c r="LHC7" s="1876"/>
      <c r="LHD7" s="1876"/>
      <c r="LHE7" s="1876"/>
      <c r="LHF7" s="1876"/>
      <c r="LHG7" s="1876"/>
      <c r="LHH7" s="1876"/>
      <c r="LHI7" s="1876"/>
      <c r="LHJ7" s="1876"/>
      <c r="LHK7" s="1876"/>
      <c r="LHL7" s="1876"/>
      <c r="LHM7" s="1876"/>
      <c r="LHN7" s="1876"/>
      <c r="LHO7" s="1876"/>
      <c r="LHP7" s="1876"/>
      <c r="LHQ7" s="1876"/>
      <c r="LHR7" s="1876"/>
      <c r="LHS7" s="1876"/>
      <c r="LHT7" s="1876"/>
      <c r="LHU7" s="1876"/>
      <c r="LHV7" s="1876"/>
      <c r="LHW7" s="1876"/>
      <c r="LHX7" s="1876"/>
      <c r="LHY7" s="1876"/>
      <c r="LHZ7" s="1876"/>
      <c r="LIA7" s="1876"/>
      <c r="LIB7" s="1876"/>
      <c r="LIC7" s="1876"/>
      <c r="LID7" s="1876"/>
      <c r="LIE7" s="1876"/>
      <c r="LIF7" s="1876"/>
      <c r="LIG7" s="1876"/>
      <c r="LIH7" s="1876"/>
      <c r="LII7" s="1876"/>
      <c r="LIJ7" s="1876"/>
      <c r="LIK7" s="1876"/>
      <c r="LIL7" s="1876"/>
      <c r="LIM7" s="1876"/>
      <c r="LIN7" s="1876"/>
      <c r="LIO7" s="1876"/>
      <c r="LIP7" s="1876"/>
      <c r="LIQ7" s="1876"/>
      <c r="LIR7" s="1876"/>
      <c r="LIS7" s="1876"/>
      <c r="LIT7" s="1876"/>
      <c r="LIU7" s="1876"/>
      <c r="LIV7" s="1876"/>
      <c r="LIW7" s="1876"/>
      <c r="LIX7" s="1876"/>
      <c r="LIY7" s="1876"/>
      <c r="LIZ7" s="1876"/>
      <c r="LJA7" s="1876"/>
      <c r="LJB7" s="1876"/>
      <c r="LJC7" s="1876"/>
      <c r="LJD7" s="1876"/>
      <c r="LJE7" s="1876"/>
      <c r="LJF7" s="1876"/>
      <c r="LJG7" s="1876"/>
      <c r="LJH7" s="1876"/>
      <c r="LJI7" s="1876"/>
      <c r="LJJ7" s="1876"/>
      <c r="LJK7" s="1876"/>
      <c r="LJL7" s="1876"/>
      <c r="LJM7" s="1876"/>
      <c r="LJN7" s="1876"/>
      <c r="LJO7" s="1876"/>
      <c r="LJP7" s="1876"/>
      <c r="LJQ7" s="1876"/>
      <c r="LJR7" s="1876"/>
      <c r="LJS7" s="1876"/>
      <c r="LJT7" s="1876"/>
      <c r="LJU7" s="1876"/>
      <c r="LJV7" s="1876"/>
      <c r="LJW7" s="1876"/>
      <c r="LJX7" s="1876"/>
      <c r="LJY7" s="1876"/>
      <c r="LJZ7" s="1876"/>
      <c r="LKA7" s="1876"/>
      <c r="LKB7" s="1876"/>
      <c r="LKC7" s="1876"/>
      <c r="LKD7" s="1876"/>
      <c r="LKE7" s="1876"/>
      <c r="LKF7" s="1876"/>
      <c r="LKG7" s="1876"/>
      <c r="LKH7" s="1876"/>
      <c r="LKI7" s="1876"/>
      <c r="LKJ7" s="1876"/>
      <c r="LKK7" s="1876"/>
      <c r="LKL7" s="1876"/>
      <c r="LKM7" s="1876"/>
      <c r="LKN7" s="1876"/>
      <c r="LKO7" s="1876"/>
      <c r="LKP7" s="1876"/>
      <c r="LKQ7" s="1876"/>
      <c r="LKR7" s="1876"/>
      <c r="LKS7" s="1876"/>
      <c r="LKT7" s="1876"/>
      <c r="LKU7" s="1876"/>
      <c r="LKV7" s="1876"/>
      <c r="LKW7" s="1876"/>
      <c r="LKX7" s="1876"/>
      <c r="LKY7" s="1876"/>
      <c r="LKZ7" s="1876"/>
      <c r="LLA7" s="1876"/>
      <c r="LLB7" s="1876"/>
      <c r="LLC7" s="1876"/>
      <c r="LLD7" s="1876"/>
      <c r="LLE7" s="1876"/>
      <c r="LLF7" s="1876"/>
      <c r="LLG7" s="1876"/>
      <c r="LLH7" s="1876"/>
      <c r="LLI7" s="1876"/>
      <c r="LLJ7" s="1876"/>
      <c r="LLK7" s="1876"/>
      <c r="LLL7" s="1876"/>
      <c r="LLM7" s="1876"/>
      <c r="LLN7" s="1876"/>
      <c r="LLO7" s="1876"/>
      <c r="LLP7" s="1876"/>
      <c r="LLQ7" s="1876"/>
      <c r="LLR7" s="1876"/>
      <c r="LLS7" s="1876"/>
      <c r="LLT7" s="1876"/>
      <c r="LLU7" s="1876"/>
      <c r="LLV7" s="1876"/>
      <c r="LLW7" s="1876"/>
      <c r="LLX7" s="1876"/>
      <c r="LLY7" s="1876"/>
      <c r="LLZ7" s="1876"/>
      <c r="LMA7" s="1876"/>
      <c r="LMB7" s="1876"/>
      <c r="LMC7" s="1876"/>
      <c r="LMD7" s="1876"/>
      <c r="LME7" s="1876"/>
      <c r="LMF7" s="1876"/>
      <c r="LMG7" s="1876"/>
      <c r="LMH7" s="1876"/>
      <c r="LMI7" s="1876"/>
      <c r="LMJ7" s="1876"/>
      <c r="LMK7" s="1876"/>
      <c r="LML7" s="1876"/>
      <c r="LMM7" s="1876"/>
      <c r="LMN7" s="1876"/>
      <c r="LMO7" s="1876"/>
      <c r="LMP7" s="1876"/>
      <c r="LMQ7" s="1876"/>
      <c r="LMR7" s="1876"/>
      <c r="LMS7" s="1876"/>
      <c r="LMT7" s="1876"/>
      <c r="LMU7" s="1876"/>
      <c r="LMV7" s="1876"/>
      <c r="LMW7" s="1876"/>
      <c r="LMX7" s="1876"/>
      <c r="LMY7" s="1876"/>
      <c r="LMZ7" s="1876"/>
      <c r="LNA7" s="1876"/>
      <c r="LNB7" s="1876"/>
      <c r="LNC7" s="1876"/>
      <c r="LND7" s="1876"/>
      <c r="LNE7" s="1876"/>
      <c r="LNF7" s="1876"/>
      <c r="LNG7" s="1876"/>
      <c r="LNH7" s="1876"/>
      <c r="LNI7" s="1876"/>
      <c r="LNJ7" s="1876"/>
      <c r="LNK7" s="1876"/>
      <c r="LNL7" s="1876"/>
      <c r="LNM7" s="1876"/>
      <c r="LNN7" s="1876"/>
      <c r="LNO7" s="1876"/>
      <c r="LNP7" s="1876"/>
      <c r="LNQ7" s="1876"/>
      <c r="LNR7" s="1876"/>
      <c r="LNS7" s="1876"/>
      <c r="LNT7" s="1876"/>
      <c r="LNU7" s="1876"/>
      <c r="LNV7" s="1876"/>
      <c r="LNW7" s="1876"/>
      <c r="LNX7" s="1876"/>
      <c r="LNY7" s="1876"/>
      <c r="LNZ7" s="1876"/>
      <c r="LOA7" s="1876"/>
      <c r="LOB7" s="1876"/>
      <c r="LOC7" s="1876"/>
      <c r="LOD7" s="1876"/>
      <c r="LOE7" s="1876"/>
      <c r="LOF7" s="1876"/>
      <c r="LOG7" s="1876"/>
      <c r="LOH7" s="1876"/>
      <c r="LOI7" s="1876"/>
      <c r="LOJ7" s="1876"/>
      <c r="LOK7" s="1876"/>
      <c r="LOL7" s="1876"/>
      <c r="LOM7" s="1876"/>
      <c r="LON7" s="1876"/>
      <c r="LOO7" s="1876"/>
      <c r="LOP7" s="1876"/>
      <c r="LOQ7" s="1876"/>
      <c r="LOR7" s="1876"/>
      <c r="LOS7" s="1876"/>
      <c r="LOT7" s="1876"/>
      <c r="LOU7" s="1876"/>
      <c r="LOV7" s="1876"/>
      <c r="LOW7" s="1876"/>
      <c r="LOX7" s="1876"/>
      <c r="LOY7" s="1876"/>
      <c r="LOZ7" s="1876"/>
      <c r="LPA7" s="1876"/>
      <c r="LPB7" s="1876"/>
      <c r="LPC7" s="1876"/>
      <c r="LPD7" s="1876"/>
      <c r="LPE7" s="1876"/>
      <c r="LPF7" s="1876"/>
      <c r="LPG7" s="1876"/>
      <c r="LPH7" s="1876"/>
      <c r="LPI7" s="1876"/>
      <c r="LPJ7" s="1876"/>
      <c r="LPK7" s="1876"/>
      <c r="LPL7" s="1876"/>
      <c r="LPM7" s="1876"/>
      <c r="LPN7" s="1876"/>
      <c r="LPO7" s="1876"/>
      <c r="LPP7" s="1876"/>
      <c r="LPQ7" s="1876"/>
      <c r="LPR7" s="1876"/>
      <c r="LPS7" s="1876"/>
      <c r="LPT7" s="1876"/>
      <c r="LPU7" s="1876"/>
      <c r="LPV7" s="1876"/>
      <c r="LPW7" s="1876"/>
      <c r="LPX7" s="1876"/>
      <c r="LPY7" s="1876"/>
      <c r="LPZ7" s="1876"/>
      <c r="LQA7" s="1876"/>
      <c r="LQB7" s="1876"/>
      <c r="LQC7" s="1876"/>
      <c r="LQD7" s="1876"/>
      <c r="LQE7" s="1876"/>
      <c r="LQF7" s="1876"/>
      <c r="LQG7" s="1876"/>
      <c r="LQH7" s="1876"/>
      <c r="LQI7" s="1876"/>
      <c r="LQJ7" s="1876"/>
      <c r="LQK7" s="1876"/>
      <c r="LQL7" s="1876"/>
      <c r="LQM7" s="1876"/>
      <c r="LQN7" s="1876"/>
      <c r="LQO7" s="1876"/>
      <c r="LQP7" s="1876"/>
      <c r="LQQ7" s="1876"/>
      <c r="LQR7" s="1876"/>
      <c r="LQS7" s="1876"/>
      <c r="LQT7" s="1876"/>
      <c r="LQU7" s="1876"/>
      <c r="LQV7" s="1876"/>
      <c r="LQW7" s="1876"/>
      <c r="LQX7" s="1876"/>
      <c r="LQY7" s="1876"/>
      <c r="LQZ7" s="1876"/>
      <c r="LRA7" s="1876"/>
      <c r="LRB7" s="1876"/>
      <c r="LRC7" s="1876"/>
      <c r="LRD7" s="1876"/>
      <c r="LRE7" s="1876"/>
      <c r="LRF7" s="1876"/>
      <c r="LRG7" s="1876"/>
      <c r="LRH7" s="1876"/>
      <c r="LRI7" s="1876"/>
      <c r="LRJ7" s="1876"/>
      <c r="LRK7" s="1876"/>
      <c r="LRL7" s="1876"/>
      <c r="LRM7" s="1876"/>
      <c r="LRN7" s="1876"/>
      <c r="LRO7" s="1876"/>
      <c r="LRP7" s="1876"/>
      <c r="LRQ7" s="1876"/>
      <c r="LRR7" s="1876"/>
      <c r="LRS7" s="1876"/>
      <c r="LRT7" s="1876"/>
      <c r="LRU7" s="1876"/>
      <c r="LRV7" s="1876"/>
      <c r="LRW7" s="1876"/>
      <c r="LRX7" s="1876"/>
      <c r="LRY7" s="1876"/>
      <c r="LRZ7" s="1876"/>
      <c r="LSA7" s="1876"/>
      <c r="LSB7" s="1876"/>
      <c r="LSC7" s="1876"/>
      <c r="LSD7" s="1876"/>
      <c r="LSE7" s="1876"/>
      <c r="LSF7" s="1876"/>
      <c r="LSG7" s="1876"/>
      <c r="LSH7" s="1876"/>
      <c r="LSI7" s="1876"/>
      <c r="LSJ7" s="1876"/>
      <c r="LSK7" s="1876"/>
      <c r="LSL7" s="1876"/>
      <c r="LSM7" s="1876"/>
      <c r="LSN7" s="1876"/>
      <c r="LSO7" s="1876"/>
      <c r="LSP7" s="1876"/>
      <c r="LSQ7" s="1876"/>
      <c r="LSR7" s="1876"/>
      <c r="LSS7" s="1876"/>
      <c r="LST7" s="1876"/>
      <c r="LSU7" s="1876"/>
      <c r="LSV7" s="1876"/>
      <c r="LSW7" s="1876"/>
      <c r="LSX7" s="1876"/>
      <c r="LSY7" s="1876"/>
      <c r="LSZ7" s="1876"/>
      <c r="LTA7" s="1876"/>
      <c r="LTB7" s="1876"/>
      <c r="LTC7" s="1876"/>
      <c r="LTD7" s="1876"/>
      <c r="LTE7" s="1876"/>
      <c r="LTF7" s="1876"/>
      <c r="LTG7" s="1876"/>
      <c r="LTH7" s="1876"/>
      <c r="LTI7" s="1876"/>
      <c r="LTJ7" s="1876"/>
      <c r="LTK7" s="1876"/>
      <c r="LTL7" s="1876"/>
      <c r="LTM7" s="1876"/>
      <c r="LTN7" s="1876"/>
      <c r="LTO7" s="1876"/>
      <c r="LTP7" s="1876"/>
      <c r="LTQ7" s="1876"/>
      <c r="LTR7" s="1876"/>
      <c r="LTS7" s="1876"/>
      <c r="LTT7" s="1876"/>
      <c r="LTU7" s="1876"/>
      <c r="LTV7" s="1876"/>
      <c r="LTW7" s="1876"/>
      <c r="LTX7" s="1876"/>
      <c r="LTY7" s="1876"/>
      <c r="LTZ7" s="1876"/>
      <c r="LUA7" s="1876"/>
      <c r="LUB7" s="1876"/>
      <c r="LUC7" s="1876"/>
      <c r="LUD7" s="1876"/>
      <c r="LUE7" s="1876"/>
      <c r="LUF7" s="1876"/>
      <c r="LUG7" s="1876"/>
      <c r="LUH7" s="1876"/>
      <c r="LUI7" s="1876"/>
      <c r="LUJ7" s="1876"/>
      <c r="LUK7" s="1876"/>
      <c r="LUL7" s="1876"/>
      <c r="LUM7" s="1876"/>
      <c r="LUN7" s="1876"/>
      <c r="LUO7" s="1876"/>
      <c r="LUP7" s="1876"/>
      <c r="LUQ7" s="1876"/>
      <c r="LUR7" s="1876"/>
      <c r="LUS7" s="1876"/>
      <c r="LUT7" s="1876"/>
      <c r="LUU7" s="1876"/>
      <c r="LUV7" s="1876"/>
      <c r="LUW7" s="1876"/>
      <c r="LUX7" s="1876"/>
      <c r="LUY7" s="1876"/>
      <c r="LUZ7" s="1876"/>
      <c r="LVA7" s="1876"/>
      <c r="LVB7" s="1876"/>
      <c r="LVC7" s="1876"/>
      <c r="LVD7" s="1876"/>
      <c r="LVE7" s="1876"/>
      <c r="LVF7" s="1876"/>
      <c r="LVG7" s="1876"/>
      <c r="LVH7" s="1876"/>
      <c r="LVI7" s="1876"/>
      <c r="LVJ7" s="1876"/>
      <c r="LVK7" s="1876"/>
      <c r="LVL7" s="1876"/>
      <c r="LVM7" s="1876"/>
      <c r="LVN7" s="1876"/>
      <c r="LVO7" s="1876"/>
      <c r="LVP7" s="1876"/>
      <c r="LVQ7" s="1876"/>
      <c r="LVR7" s="1876"/>
      <c r="LVS7" s="1876"/>
      <c r="LVT7" s="1876"/>
      <c r="LVU7" s="1876"/>
      <c r="LVV7" s="1876"/>
      <c r="LVW7" s="1876"/>
      <c r="LVX7" s="1876"/>
      <c r="LVY7" s="1876"/>
      <c r="LVZ7" s="1876"/>
      <c r="LWA7" s="1876"/>
      <c r="LWB7" s="1876"/>
      <c r="LWC7" s="1876"/>
      <c r="LWD7" s="1876"/>
      <c r="LWE7" s="1876"/>
      <c r="LWF7" s="1876"/>
      <c r="LWG7" s="1876"/>
      <c r="LWH7" s="1876"/>
      <c r="LWI7" s="1876"/>
      <c r="LWJ7" s="1876"/>
      <c r="LWK7" s="1876"/>
      <c r="LWL7" s="1876"/>
      <c r="LWM7" s="1876"/>
      <c r="LWN7" s="1876"/>
      <c r="LWO7" s="1876"/>
      <c r="LWP7" s="1876"/>
      <c r="LWQ7" s="1876"/>
      <c r="LWR7" s="1876"/>
      <c r="LWS7" s="1876"/>
      <c r="LWT7" s="1876"/>
      <c r="LWU7" s="1876"/>
      <c r="LWV7" s="1876"/>
      <c r="LWW7" s="1876"/>
      <c r="LWX7" s="1876"/>
      <c r="LWY7" s="1876"/>
      <c r="LWZ7" s="1876"/>
      <c r="LXA7" s="1876"/>
      <c r="LXB7" s="1876"/>
      <c r="LXC7" s="1876"/>
      <c r="LXD7" s="1876"/>
      <c r="LXE7" s="1876"/>
      <c r="LXF7" s="1876"/>
      <c r="LXG7" s="1876"/>
      <c r="LXH7" s="1876"/>
      <c r="LXI7" s="1876"/>
      <c r="LXJ7" s="1876"/>
      <c r="LXK7" s="1876"/>
      <c r="LXL7" s="1876"/>
      <c r="LXM7" s="1876"/>
      <c r="LXN7" s="1876"/>
      <c r="LXO7" s="1876"/>
      <c r="LXP7" s="1876"/>
      <c r="LXQ7" s="1876"/>
      <c r="LXR7" s="1876"/>
      <c r="LXS7" s="1876"/>
      <c r="LXT7" s="1876"/>
      <c r="LXU7" s="1876"/>
      <c r="LXV7" s="1876"/>
      <c r="LXW7" s="1876"/>
      <c r="LXX7" s="1876"/>
      <c r="LXY7" s="1876"/>
      <c r="LXZ7" s="1876"/>
      <c r="LYA7" s="1876"/>
      <c r="LYB7" s="1876"/>
      <c r="LYC7" s="1876"/>
      <c r="LYD7" s="1876"/>
      <c r="LYE7" s="1876"/>
      <c r="LYF7" s="1876"/>
      <c r="LYG7" s="1876"/>
      <c r="LYH7" s="1876"/>
      <c r="LYI7" s="1876"/>
      <c r="LYJ7" s="1876"/>
      <c r="LYK7" s="1876"/>
      <c r="LYL7" s="1876"/>
      <c r="LYM7" s="1876"/>
      <c r="LYN7" s="1876"/>
      <c r="LYO7" s="1876"/>
      <c r="LYP7" s="1876"/>
      <c r="LYQ7" s="1876"/>
      <c r="LYR7" s="1876"/>
      <c r="LYS7" s="1876"/>
      <c r="LYT7" s="1876"/>
      <c r="LYU7" s="1876"/>
      <c r="LYV7" s="1876"/>
      <c r="LYW7" s="1876"/>
      <c r="LYX7" s="1876"/>
      <c r="LYY7" s="1876"/>
      <c r="LYZ7" s="1876"/>
      <c r="LZA7" s="1876"/>
      <c r="LZB7" s="1876"/>
      <c r="LZC7" s="1876"/>
      <c r="LZD7" s="1876"/>
      <c r="LZE7" s="1876"/>
      <c r="LZF7" s="1876"/>
      <c r="LZG7" s="1876"/>
      <c r="LZH7" s="1876"/>
      <c r="LZI7" s="1876"/>
      <c r="LZJ7" s="1876"/>
      <c r="LZK7" s="1876"/>
      <c r="LZL7" s="1876"/>
      <c r="LZM7" s="1876"/>
      <c r="LZN7" s="1876"/>
      <c r="LZO7" s="1876"/>
      <c r="LZP7" s="1876"/>
      <c r="LZQ7" s="1876"/>
      <c r="LZR7" s="1876"/>
      <c r="LZS7" s="1876"/>
      <c r="LZT7" s="1876"/>
      <c r="LZU7" s="1876"/>
      <c r="LZV7" s="1876"/>
      <c r="LZW7" s="1876"/>
      <c r="LZX7" s="1876"/>
      <c r="LZY7" s="1876"/>
      <c r="LZZ7" s="1876"/>
      <c r="MAA7" s="1876"/>
      <c r="MAB7" s="1876"/>
      <c r="MAC7" s="1876"/>
      <c r="MAD7" s="1876"/>
      <c r="MAE7" s="1876"/>
      <c r="MAF7" s="1876"/>
      <c r="MAG7" s="1876"/>
      <c r="MAH7" s="1876"/>
      <c r="MAI7" s="1876"/>
      <c r="MAJ7" s="1876"/>
      <c r="MAK7" s="1876"/>
      <c r="MAL7" s="1876"/>
      <c r="MAM7" s="1876"/>
      <c r="MAN7" s="1876"/>
      <c r="MAO7" s="1876"/>
      <c r="MAP7" s="1876"/>
      <c r="MAQ7" s="1876"/>
      <c r="MAR7" s="1876"/>
      <c r="MAS7" s="1876"/>
      <c r="MAT7" s="1876"/>
      <c r="MAU7" s="1876"/>
      <c r="MAV7" s="1876"/>
      <c r="MAW7" s="1876"/>
      <c r="MAX7" s="1876"/>
      <c r="MAY7" s="1876"/>
      <c r="MAZ7" s="1876"/>
      <c r="MBA7" s="1876"/>
      <c r="MBB7" s="1876"/>
      <c r="MBC7" s="1876"/>
      <c r="MBD7" s="1876"/>
      <c r="MBE7" s="1876"/>
      <c r="MBF7" s="1876"/>
      <c r="MBG7" s="1876"/>
      <c r="MBH7" s="1876"/>
      <c r="MBI7" s="1876"/>
      <c r="MBJ7" s="1876"/>
      <c r="MBK7" s="1876"/>
      <c r="MBL7" s="1876"/>
      <c r="MBM7" s="1876"/>
      <c r="MBN7" s="1876"/>
      <c r="MBO7" s="1876"/>
      <c r="MBP7" s="1876"/>
      <c r="MBQ7" s="1876"/>
      <c r="MBR7" s="1876"/>
      <c r="MBS7" s="1876"/>
      <c r="MBT7" s="1876"/>
      <c r="MBU7" s="1876"/>
      <c r="MBV7" s="1876"/>
      <c r="MBW7" s="1876"/>
      <c r="MBX7" s="1876"/>
      <c r="MBY7" s="1876"/>
      <c r="MBZ7" s="1876"/>
      <c r="MCA7" s="1876"/>
      <c r="MCB7" s="1876"/>
      <c r="MCC7" s="1876"/>
      <c r="MCD7" s="1876"/>
      <c r="MCE7" s="1876"/>
      <c r="MCF7" s="1876"/>
      <c r="MCG7" s="1876"/>
      <c r="MCH7" s="1876"/>
      <c r="MCI7" s="1876"/>
      <c r="MCJ7" s="1876"/>
      <c r="MCK7" s="1876"/>
      <c r="MCL7" s="1876"/>
      <c r="MCM7" s="1876"/>
      <c r="MCN7" s="1876"/>
      <c r="MCO7" s="1876"/>
      <c r="MCP7" s="1876"/>
      <c r="MCQ7" s="1876"/>
      <c r="MCR7" s="1876"/>
      <c r="MCS7" s="1876"/>
      <c r="MCT7" s="1876"/>
      <c r="MCU7" s="1876"/>
      <c r="MCV7" s="1876"/>
      <c r="MCW7" s="1876"/>
      <c r="MCX7" s="1876"/>
      <c r="MCY7" s="1876"/>
      <c r="MCZ7" s="1876"/>
      <c r="MDA7" s="1876"/>
      <c r="MDB7" s="1876"/>
      <c r="MDC7" s="1876"/>
      <c r="MDD7" s="1876"/>
      <c r="MDE7" s="1876"/>
      <c r="MDF7" s="1876"/>
      <c r="MDG7" s="1876"/>
      <c r="MDH7" s="1876"/>
      <c r="MDI7" s="1876"/>
      <c r="MDJ7" s="1876"/>
      <c r="MDK7" s="1876"/>
      <c r="MDL7" s="1876"/>
      <c r="MDM7" s="1876"/>
      <c r="MDN7" s="1876"/>
      <c r="MDO7" s="1876"/>
      <c r="MDP7" s="1876"/>
      <c r="MDQ7" s="1876"/>
      <c r="MDR7" s="1876"/>
      <c r="MDS7" s="1876"/>
      <c r="MDT7" s="1876"/>
      <c r="MDU7" s="1876"/>
      <c r="MDV7" s="1876"/>
      <c r="MDW7" s="1876"/>
      <c r="MDX7" s="1876"/>
      <c r="MDY7" s="1876"/>
      <c r="MDZ7" s="1876"/>
      <c r="MEA7" s="1876"/>
      <c r="MEB7" s="1876"/>
      <c r="MEC7" s="1876"/>
      <c r="MED7" s="1876"/>
      <c r="MEE7" s="1876"/>
      <c r="MEF7" s="1876"/>
      <c r="MEG7" s="1876"/>
      <c r="MEH7" s="1876"/>
      <c r="MEI7" s="1876"/>
      <c r="MEJ7" s="1876"/>
      <c r="MEK7" s="1876"/>
      <c r="MEL7" s="1876"/>
      <c r="MEM7" s="1876"/>
      <c r="MEN7" s="1876"/>
      <c r="MEO7" s="1876"/>
      <c r="MEP7" s="1876"/>
      <c r="MEQ7" s="1876"/>
      <c r="MER7" s="1876"/>
      <c r="MES7" s="1876"/>
      <c r="MET7" s="1876"/>
      <c r="MEU7" s="1876"/>
      <c r="MEV7" s="1876"/>
      <c r="MEW7" s="1876"/>
      <c r="MEX7" s="1876"/>
      <c r="MEY7" s="1876"/>
      <c r="MEZ7" s="1876"/>
      <c r="MFA7" s="1876"/>
      <c r="MFB7" s="1876"/>
      <c r="MFC7" s="1876"/>
      <c r="MFD7" s="1876"/>
      <c r="MFE7" s="1876"/>
      <c r="MFF7" s="1876"/>
      <c r="MFG7" s="1876"/>
      <c r="MFH7" s="1876"/>
      <c r="MFI7" s="1876"/>
      <c r="MFJ7" s="1876"/>
      <c r="MFK7" s="1876"/>
      <c r="MFL7" s="1876"/>
      <c r="MFM7" s="1876"/>
      <c r="MFN7" s="1876"/>
      <c r="MFO7" s="1876"/>
      <c r="MFP7" s="1876"/>
      <c r="MFQ7" s="1876"/>
      <c r="MFR7" s="1876"/>
      <c r="MFS7" s="1876"/>
      <c r="MFT7" s="1876"/>
      <c r="MFU7" s="1876"/>
      <c r="MFV7" s="1876"/>
      <c r="MFW7" s="1876"/>
      <c r="MFX7" s="1876"/>
      <c r="MFY7" s="1876"/>
      <c r="MFZ7" s="1876"/>
      <c r="MGA7" s="1876"/>
      <c r="MGB7" s="1876"/>
      <c r="MGC7" s="1876"/>
      <c r="MGD7" s="1876"/>
      <c r="MGE7" s="1876"/>
      <c r="MGF7" s="1876"/>
      <c r="MGG7" s="1876"/>
      <c r="MGH7" s="1876"/>
      <c r="MGI7" s="1876"/>
      <c r="MGJ7" s="1876"/>
      <c r="MGK7" s="1876"/>
      <c r="MGL7" s="1876"/>
      <c r="MGM7" s="1876"/>
      <c r="MGN7" s="1876"/>
      <c r="MGO7" s="1876"/>
      <c r="MGP7" s="1876"/>
      <c r="MGQ7" s="1876"/>
      <c r="MGR7" s="1876"/>
      <c r="MGS7" s="1876"/>
      <c r="MGT7" s="1876"/>
      <c r="MGU7" s="1876"/>
      <c r="MGV7" s="1876"/>
      <c r="MGW7" s="1876"/>
      <c r="MGX7" s="1876"/>
      <c r="MGY7" s="1876"/>
      <c r="MGZ7" s="1876"/>
      <c r="MHA7" s="1876"/>
      <c r="MHB7" s="1876"/>
      <c r="MHC7" s="1876"/>
      <c r="MHD7" s="1876"/>
      <c r="MHE7" s="1876"/>
      <c r="MHF7" s="1876"/>
      <c r="MHG7" s="1876"/>
      <c r="MHH7" s="1876"/>
      <c r="MHI7" s="1876"/>
      <c r="MHJ7" s="1876"/>
      <c r="MHK7" s="1876"/>
      <c r="MHL7" s="1876"/>
      <c r="MHM7" s="1876"/>
      <c r="MHN7" s="1876"/>
      <c r="MHO7" s="1876"/>
      <c r="MHP7" s="1876"/>
      <c r="MHQ7" s="1876"/>
      <c r="MHR7" s="1876"/>
      <c r="MHS7" s="1876"/>
      <c r="MHT7" s="1876"/>
      <c r="MHU7" s="1876"/>
      <c r="MHV7" s="1876"/>
      <c r="MHW7" s="1876"/>
      <c r="MHX7" s="1876"/>
      <c r="MHY7" s="1876"/>
      <c r="MHZ7" s="1876"/>
      <c r="MIA7" s="1876"/>
      <c r="MIB7" s="1876"/>
      <c r="MIC7" s="1876"/>
      <c r="MID7" s="1876"/>
      <c r="MIE7" s="1876"/>
      <c r="MIF7" s="1876"/>
      <c r="MIG7" s="1876"/>
      <c r="MIH7" s="1876"/>
      <c r="MII7" s="1876"/>
      <c r="MIJ7" s="1876"/>
      <c r="MIK7" s="1876"/>
      <c r="MIL7" s="1876"/>
      <c r="MIM7" s="1876"/>
      <c r="MIN7" s="1876"/>
      <c r="MIO7" s="1876"/>
      <c r="MIP7" s="1876"/>
      <c r="MIQ7" s="1876"/>
      <c r="MIR7" s="1876"/>
      <c r="MIS7" s="1876"/>
      <c r="MIT7" s="1876"/>
      <c r="MIU7" s="1876"/>
      <c r="MIV7" s="1876"/>
      <c r="MIW7" s="1876"/>
      <c r="MIX7" s="1876"/>
      <c r="MIY7" s="1876"/>
      <c r="MIZ7" s="1876"/>
      <c r="MJA7" s="1876"/>
      <c r="MJB7" s="1876"/>
      <c r="MJC7" s="1876"/>
      <c r="MJD7" s="1876"/>
      <c r="MJE7" s="1876"/>
      <c r="MJF7" s="1876"/>
      <c r="MJG7" s="1876"/>
      <c r="MJH7" s="1876"/>
      <c r="MJI7" s="1876"/>
      <c r="MJJ7" s="1876"/>
      <c r="MJK7" s="1876"/>
      <c r="MJL7" s="1876"/>
      <c r="MJM7" s="1876"/>
      <c r="MJN7" s="1876"/>
      <c r="MJO7" s="1876"/>
      <c r="MJP7" s="1876"/>
      <c r="MJQ7" s="1876"/>
      <c r="MJR7" s="1876"/>
      <c r="MJS7" s="1876"/>
      <c r="MJT7" s="1876"/>
      <c r="MJU7" s="1876"/>
      <c r="MJV7" s="1876"/>
      <c r="MJW7" s="1876"/>
      <c r="MJX7" s="1876"/>
      <c r="MJY7" s="1876"/>
      <c r="MJZ7" s="1876"/>
      <c r="MKA7" s="1876"/>
      <c r="MKB7" s="1876"/>
      <c r="MKC7" s="1876"/>
      <c r="MKD7" s="1876"/>
      <c r="MKE7" s="1876"/>
      <c r="MKF7" s="1876"/>
      <c r="MKG7" s="1876"/>
      <c r="MKH7" s="1876"/>
      <c r="MKI7" s="1876"/>
      <c r="MKJ7" s="1876"/>
      <c r="MKK7" s="1876"/>
      <c r="MKL7" s="1876"/>
      <c r="MKM7" s="1876"/>
      <c r="MKN7" s="1876"/>
      <c r="MKO7" s="1876"/>
      <c r="MKP7" s="1876"/>
      <c r="MKQ7" s="1876"/>
      <c r="MKR7" s="1876"/>
      <c r="MKS7" s="1876"/>
      <c r="MKT7" s="1876"/>
      <c r="MKU7" s="1876"/>
      <c r="MKV7" s="1876"/>
      <c r="MKW7" s="1876"/>
      <c r="MKX7" s="1876"/>
      <c r="MKY7" s="1876"/>
      <c r="MKZ7" s="1876"/>
      <c r="MLA7" s="1876"/>
      <c r="MLB7" s="1876"/>
      <c r="MLC7" s="1876"/>
      <c r="MLD7" s="1876"/>
      <c r="MLE7" s="1876"/>
      <c r="MLF7" s="1876"/>
      <c r="MLG7" s="1876"/>
      <c r="MLH7" s="1876"/>
      <c r="MLI7" s="1876"/>
      <c r="MLJ7" s="1876"/>
      <c r="MLK7" s="1876"/>
      <c r="MLL7" s="1876"/>
      <c r="MLM7" s="1876"/>
      <c r="MLN7" s="1876"/>
      <c r="MLO7" s="1876"/>
      <c r="MLP7" s="1876"/>
      <c r="MLQ7" s="1876"/>
      <c r="MLR7" s="1876"/>
      <c r="MLS7" s="1876"/>
      <c r="MLT7" s="1876"/>
      <c r="MLU7" s="1876"/>
      <c r="MLV7" s="1876"/>
      <c r="MLW7" s="1876"/>
      <c r="MLX7" s="1876"/>
      <c r="MLY7" s="1876"/>
      <c r="MLZ7" s="1876"/>
      <c r="MMA7" s="1876"/>
      <c r="MMB7" s="1876"/>
      <c r="MMC7" s="1876"/>
      <c r="MMD7" s="1876"/>
      <c r="MME7" s="1876"/>
      <c r="MMF7" s="1876"/>
      <c r="MMG7" s="1876"/>
      <c r="MMH7" s="1876"/>
      <c r="MMI7" s="1876"/>
      <c r="MMJ7" s="1876"/>
      <c r="MMK7" s="1876"/>
      <c r="MML7" s="1876"/>
      <c r="MMM7" s="1876"/>
      <c r="MMN7" s="1876"/>
      <c r="MMO7" s="1876"/>
      <c r="MMP7" s="1876"/>
      <c r="MMQ7" s="1876"/>
      <c r="MMR7" s="1876"/>
      <c r="MMS7" s="1876"/>
      <c r="MMT7" s="1876"/>
      <c r="MMU7" s="1876"/>
      <c r="MMV7" s="1876"/>
      <c r="MMW7" s="1876"/>
      <c r="MMX7" s="1876"/>
      <c r="MMY7" s="1876"/>
      <c r="MMZ7" s="1876"/>
      <c r="MNA7" s="1876"/>
      <c r="MNB7" s="1876"/>
      <c r="MNC7" s="1876"/>
      <c r="MND7" s="1876"/>
      <c r="MNE7" s="1876"/>
      <c r="MNF7" s="1876"/>
      <c r="MNG7" s="1876"/>
      <c r="MNH7" s="1876"/>
      <c r="MNI7" s="1876"/>
      <c r="MNJ7" s="1876"/>
      <c r="MNK7" s="1876"/>
      <c r="MNL7" s="1876"/>
      <c r="MNM7" s="1876"/>
      <c r="MNN7" s="1876"/>
      <c r="MNO7" s="1876"/>
      <c r="MNP7" s="1876"/>
      <c r="MNQ7" s="1876"/>
      <c r="MNR7" s="1876"/>
      <c r="MNS7" s="1876"/>
      <c r="MNT7" s="1876"/>
      <c r="MNU7" s="1876"/>
      <c r="MNV7" s="1876"/>
      <c r="MNW7" s="1876"/>
      <c r="MNX7" s="1876"/>
      <c r="MNY7" s="1876"/>
      <c r="MNZ7" s="1876"/>
      <c r="MOA7" s="1876"/>
      <c r="MOB7" s="1876"/>
      <c r="MOC7" s="1876"/>
      <c r="MOD7" s="1876"/>
      <c r="MOE7" s="1876"/>
      <c r="MOF7" s="1876"/>
      <c r="MOG7" s="1876"/>
      <c r="MOH7" s="1876"/>
      <c r="MOI7" s="1876"/>
      <c r="MOJ7" s="1876"/>
      <c r="MOK7" s="1876"/>
      <c r="MOL7" s="1876"/>
      <c r="MOM7" s="1876"/>
      <c r="MON7" s="1876"/>
      <c r="MOO7" s="1876"/>
      <c r="MOP7" s="1876"/>
      <c r="MOQ7" s="1876"/>
      <c r="MOR7" s="1876"/>
      <c r="MOS7" s="1876"/>
      <c r="MOT7" s="1876"/>
      <c r="MOU7" s="1876"/>
      <c r="MOV7" s="1876"/>
      <c r="MOW7" s="1876"/>
      <c r="MOX7" s="1876"/>
      <c r="MOY7" s="1876"/>
      <c r="MOZ7" s="1876"/>
      <c r="MPA7" s="1876"/>
      <c r="MPB7" s="1876"/>
      <c r="MPC7" s="1876"/>
      <c r="MPD7" s="1876"/>
      <c r="MPE7" s="1876"/>
      <c r="MPF7" s="1876"/>
      <c r="MPG7" s="1876"/>
      <c r="MPH7" s="1876"/>
      <c r="MPI7" s="1876"/>
      <c r="MPJ7" s="1876"/>
      <c r="MPK7" s="1876"/>
      <c r="MPL7" s="1876"/>
      <c r="MPM7" s="1876"/>
      <c r="MPN7" s="1876"/>
      <c r="MPO7" s="1876"/>
      <c r="MPP7" s="1876"/>
      <c r="MPQ7" s="1876"/>
      <c r="MPR7" s="1876"/>
      <c r="MPS7" s="1876"/>
      <c r="MPT7" s="1876"/>
      <c r="MPU7" s="1876"/>
      <c r="MPV7" s="1876"/>
      <c r="MPW7" s="1876"/>
      <c r="MPX7" s="1876"/>
      <c r="MPY7" s="1876"/>
      <c r="MPZ7" s="1876"/>
      <c r="MQA7" s="1876"/>
      <c r="MQB7" s="1876"/>
      <c r="MQC7" s="1876"/>
      <c r="MQD7" s="1876"/>
      <c r="MQE7" s="1876"/>
      <c r="MQF7" s="1876"/>
      <c r="MQG7" s="1876"/>
      <c r="MQH7" s="1876"/>
      <c r="MQI7" s="1876"/>
      <c r="MQJ7" s="1876"/>
      <c r="MQK7" s="1876"/>
      <c r="MQL7" s="1876"/>
      <c r="MQM7" s="1876"/>
      <c r="MQN7" s="1876"/>
      <c r="MQO7" s="1876"/>
      <c r="MQP7" s="1876"/>
      <c r="MQQ7" s="1876"/>
      <c r="MQR7" s="1876"/>
      <c r="MQS7" s="1876"/>
      <c r="MQT7" s="1876"/>
      <c r="MQU7" s="1876"/>
      <c r="MQV7" s="1876"/>
      <c r="MQW7" s="1876"/>
      <c r="MQX7" s="1876"/>
      <c r="MQY7" s="1876"/>
      <c r="MQZ7" s="1876"/>
      <c r="MRA7" s="1876"/>
      <c r="MRB7" s="1876"/>
      <c r="MRC7" s="1876"/>
      <c r="MRD7" s="1876"/>
      <c r="MRE7" s="1876"/>
      <c r="MRF7" s="1876"/>
      <c r="MRG7" s="1876"/>
      <c r="MRH7" s="1876"/>
      <c r="MRI7" s="1876"/>
      <c r="MRJ7" s="1876"/>
      <c r="MRK7" s="1876"/>
      <c r="MRL7" s="1876"/>
      <c r="MRM7" s="1876"/>
      <c r="MRN7" s="1876"/>
      <c r="MRO7" s="1876"/>
      <c r="MRP7" s="1876"/>
      <c r="MRQ7" s="1876"/>
      <c r="MRR7" s="1876"/>
      <c r="MRS7" s="1876"/>
      <c r="MRT7" s="1876"/>
      <c r="MRU7" s="1876"/>
      <c r="MRV7" s="1876"/>
      <c r="MRW7" s="1876"/>
      <c r="MRX7" s="1876"/>
      <c r="MRY7" s="1876"/>
      <c r="MRZ7" s="1876"/>
      <c r="MSA7" s="1876"/>
      <c r="MSB7" s="1876"/>
      <c r="MSC7" s="1876"/>
      <c r="MSD7" s="1876"/>
      <c r="MSE7" s="1876"/>
      <c r="MSF7" s="1876"/>
      <c r="MSG7" s="1876"/>
      <c r="MSH7" s="1876"/>
      <c r="MSI7" s="1876"/>
      <c r="MSJ7" s="1876"/>
      <c r="MSK7" s="1876"/>
      <c r="MSL7" s="1876"/>
      <c r="MSM7" s="1876"/>
      <c r="MSN7" s="1876"/>
      <c r="MSO7" s="1876"/>
      <c r="MSP7" s="1876"/>
      <c r="MSQ7" s="1876"/>
      <c r="MSR7" s="1876"/>
      <c r="MSS7" s="1876"/>
      <c r="MST7" s="1876"/>
      <c r="MSU7" s="1876"/>
      <c r="MSV7" s="1876"/>
      <c r="MSW7" s="1876"/>
      <c r="MSX7" s="1876"/>
      <c r="MSY7" s="1876"/>
      <c r="MSZ7" s="1876"/>
      <c r="MTA7" s="1876"/>
      <c r="MTB7" s="1876"/>
      <c r="MTC7" s="1876"/>
      <c r="MTD7" s="1876"/>
      <c r="MTE7" s="1876"/>
      <c r="MTF7" s="1876"/>
      <c r="MTG7" s="1876"/>
      <c r="MTH7" s="1876"/>
      <c r="MTI7" s="1876"/>
      <c r="MTJ7" s="1876"/>
      <c r="MTK7" s="1876"/>
      <c r="MTL7" s="1876"/>
      <c r="MTM7" s="1876"/>
      <c r="MTN7" s="1876"/>
      <c r="MTO7" s="1876"/>
      <c r="MTP7" s="1876"/>
      <c r="MTQ7" s="1876"/>
      <c r="MTR7" s="1876"/>
      <c r="MTS7" s="1876"/>
      <c r="MTT7" s="1876"/>
      <c r="MTU7" s="1876"/>
      <c r="MTV7" s="1876"/>
      <c r="MTW7" s="1876"/>
      <c r="MTX7" s="1876"/>
      <c r="MTY7" s="1876"/>
      <c r="MTZ7" s="1876"/>
      <c r="MUA7" s="1876"/>
      <c r="MUB7" s="1876"/>
      <c r="MUC7" s="1876"/>
      <c r="MUD7" s="1876"/>
      <c r="MUE7" s="1876"/>
      <c r="MUF7" s="1876"/>
      <c r="MUG7" s="1876"/>
      <c r="MUH7" s="1876"/>
      <c r="MUI7" s="1876"/>
      <c r="MUJ7" s="1876"/>
      <c r="MUK7" s="1876"/>
      <c r="MUL7" s="1876"/>
      <c r="MUM7" s="1876"/>
      <c r="MUN7" s="1876"/>
      <c r="MUO7" s="1876"/>
      <c r="MUP7" s="1876"/>
      <c r="MUQ7" s="1876"/>
      <c r="MUR7" s="1876"/>
      <c r="MUS7" s="1876"/>
      <c r="MUT7" s="1876"/>
      <c r="MUU7" s="1876"/>
      <c r="MUV7" s="1876"/>
      <c r="MUW7" s="1876"/>
      <c r="MUX7" s="1876"/>
      <c r="MUY7" s="1876"/>
      <c r="MUZ7" s="1876"/>
      <c r="MVA7" s="1876"/>
      <c r="MVB7" s="1876"/>
      <c r="MVC7" s="1876"/>
      <c r="MVD7" s="1876"/>
      <c r="MVE7" s="1876"/>
      <c r="MVF7" s="1876"/>
      <c r="MVG7" s="1876"/>
      <c r="MVH7" s="1876"/>
      <c r="MVI7" s="1876"/>
      <c r="MVJ7" s="1876"/>
      <c r="MVK7" s="1876"/>
      <c r="MVL7" s="1876"/>
      <c r="MVM7" s="1876"/>
      <c r="MVN7" s="1876"/>
      <c r="MVO7" s="1876"/>
      <c r="MVP7" s="1876"/>
      <c r="MVQ7" s="1876"/>
      <c r="MVR7" s="1876"/>
      <c r="MVS7" s="1876"/>
      <c r="MVT7" s="1876"/>
      <c r="MVU7" s="1876"/>
      <c r="MVV7" s="1876"/>
      <c r="MVW7" s="1876"/>
      <c r="MVX7" s="1876"/>
      <c r="MVY7" s="1876"/>
      <c r="MVZ7" s="1876"/>
      <c r="MWA7" s="1876"/>
      <c r="MWB7" s="1876"/>
      <c r="MWC7" s="1876"/>
      <c r="MWD7" s="1876"/>
      <c r="MWE7" s="1876"/>
      <c r="MWF7" s="1876"/>
      <c r="MWG7" s="1876"/>
      <c r="MWH7" s="1876"/>
      <c r="MWI7" s="1876"/>
      <c r="MWJ7" s="1876"/>
      <c r="MWK7" s="1876"/>
      <c r="MWL7" s="1876"/>
      <c r="MWM7" s="1876"/>
      <c r="MWN7" s="1876"/>
      <c r="MWO7" s="1876"/>
      <c r="MWP7" s="1876"/>
      <c r="MWQ7" s="1876"/>
      <c r="MWR7" s="1876"/>
      <c r="MWS7" s="1876"/>
      <c r="MWT7" s="1876"/>
      <c r="MWU7" s="1876"/>
      <c r="MWV7" s="1876"/>
      <c r="MWW7" s="1876"/>
      <c r="MWX7" s="1876"/>
      <c r="MWY7" s="1876"/>
      <c r="MWZ7" s="1876"/>
      <c r="MXA7" s="1876"/>
      <c r="MXB7" s="1876"/>
      <c r="MXC7" s="1876"/>
      <c r="MXD7" s="1876"/>
      <c r="MXE7" s="1876"/>
      <c r="MXF7" s="1876"/>
      <c r="MXG7" s="1876"/>
      <c r="MXH7" s="1876"/>
      <c r="MXI7" s="1876"/>
      <c r="MXJ7" s="1876"/>
      <c r="MXK7" s="1876"/>
      <c r="MXL7" s="1876"/>
      <c r="MXM7" s="1876"/>
      <c r="MXN7" s="1876"/>
      <c r="MXO7" s="1876"/>
      <c r="MXP7" s="1876"/>
      <c r="MXQ7" s="1876"/>
      <c r="MXR7" s="1876"/>
      <c r="MXS7" s="1876"/>
      <c r="MXT7" s="1876"/>
      <c r="MXU7" s="1876"/>
      <c r="MXV7" s="1876"/>
      <c r="MXW7" s="1876"/>
      <c r="MXX7" s="1876"/>
      <c r="MXY7" s="1876"/>
      <c r="MXZ7" s="1876"/>
      <c r="MYA7" s="1876"/>
      <c r="MYB7" s="1876"/>
      <c r="MYC7" s="1876"/>
      <c r="MYD7" s="1876"/>
      <c r="MYE7" s="1876"/>
      <c r="MYF7" s="1876"/>
      <c r="MYG7" s="1876"/>
      <c r="MYH7" s="1876"/>
      <c r="MYI7" s="1876"/>
      <c r="MYJ7" s="1876"/>
      <c r="MYK7" s="1876"/>
      <c r="MYL7" s="1876"/>
      <c r="MYM7" s="1876"/>
      <c r="MYN7" s="1876"/>
      <c r="MYO7" s="1876"/>
      <c r="MYP7" s="1876"/>
      <c r="MYQ7" s="1876"/>
      <c r="MYR7" s="1876"/>
      <c r="MYS7" s="1876"/>
      <c r="MYT7" s="1876"/>
      <c r="MYU7" s="1876"/>
      <c r="MYV7" s="1876"/>
      <c r="MYW7" s="1876"/>
      <c r="MYX7" s="1876"/>
      <c r="MYY7" s="1876"/>
      <c r="MYZ7" s="1876"/>
      <c r="MZA7" s="1876"/>
      <c r="MZB7" s="1876"/>
      <c r="MZC7" s="1876"/>
      <c r="MZD7" s="1876"/>
      <c r="MZE7" s="1876"/>
      <c r="MZF7" s="1876"/>
      <c r="MZG7" s="1876"/>
      <c r="MZH7" s="1876"/>
      <c r="MZI7" s="1876"/>
      <c r="MZJ7" s="1876"/>
      <c r="MZK7" s="1876"/>
      <c r="MZL7" s="1876"/>
      <c r="MZM7" s="1876"/>
      <c r="MZN7" s="1876"/>
      <c r="MZO7" s="1876"/>
      <c r="MZP7" s="1876"/>
      <c r="MZQ7" s="1876"/>
      <c r="MZR7" s="1876"/>
      <c r="MZS7" s="1876"/>
      <c r="MZT7" s="1876"/>
      <c r="MZU7" s="1876"/>
      <c r="MZV7" s="1876"/>
      <c r="MZW7" s="1876"/>
      <c r="MZX7" s="1876"/>
      <c r="MZY7" s="1876"/>
      <c r="MZZ7" s="1876"/>
      <c r="NAA7" s="1876"/>
      <c r="NAB7" s="1876"/>
      <c r="NAC7" s="1876"/>
      <c r="NAD7" s="1876"/>
      <c r="NAE7" s="1876"/>
      <c r="NAF7" s="1876"/>
      <c r="NAG7" s="1876"/>
      <c r="NAH7" s="1876"/>
      <c r="NAI7" s="1876"/>
      <c r="NAJ7" s="1876"/>
      <c r="NAK7" s="1876"/>
      <c r="NAL7" s="1876"/>
      <c r="NAM7" s="1876"/>
      <c r="NAN7" s="1876"/>
      <c r="NAO7" s="1876"/>
      <c r="NAP7" s="1876"/>
      <c r="NAQ7" s="1876"/>
      <c r="NAR7" s="1876"/>
      <c r="NAS7" s="1876"/>
      <c r="NAT7" s="1876"/>
      <c r="NAU7" s="1876"/>
      <c r="NAV7" s="1876"/>
      <c r="NAW7" s="1876"/>
      <c r="NAX7" s="1876"/>
      <c r="NAY7" s="1876"/>
      <c r="NAZ7" s="1876"/>
      <c r="NBA7" s="1876"/>
      <c r="NBB7" s="1876"/>
      <c r="NBC7" s="1876"/>
      <c r="NBD7" s="1876"/>
      <c r="NBE7" s="1876"/>
      <c r="NBF7" s="1876"/>
      <c r="NBG7" s="1876"/>
      <c r="NBH7" s="1876"/>
      <c r="NBI7" s="1876"/>
      <c r="NBJ7" s="1876"/>
      <c r="NBK7" s="1876"/>
      <c r="NBL7" s="1876"/>
      <c r="NBM7" s="1876"/>
      <c r="NBN7" s="1876"/>
      <c r="NBO7" s="1876"/>
      <c r="NBP7" s="1876"/>
      <c r="NBQ7" s="1876"/>
      <c r="NBR7" s="1876"/>
      <c r="NBS7" s="1876"/>
      <c r="NBT7" s="1876"/>
      <c r="NBU7" s="1876"/>
      <c r="NBV7" s="1876"/>
      <c r="NBW7" s="1876"/>
      <c r="NBX7" s="1876"/>
      <c r="NBY7" s="1876"/>
      <c r="NBZ7" s="1876"/>
      <c r="NCA7" s="1876"/>
      <c r="NCB7" s="1876"/>
      <c r="NCC7" s="1876"/>
      <c r="NCD7" s="1876"/>
      <c r="NCE7" s="1876"/>
      <c r="NCF7" s="1876"/>
      <c r="NCG7" s="1876"/>
      <c r="NCH7" s="1876"/>
      <c r="NCI7" s="1876"/>
      <c r="NCJ7" s="1876"/>
      <c r="NCK7" s="1876"/>
      <c r="NCL7" s="1876"/>
      <c r="NCM7" s="1876"/>
      <c r="NCN7" s="1876"/>
      <c r="NCO7" s="1876"/>
      <c r="NCP7" s="1876"/>
      <c r="NCQ7" s="1876"/>
      <c r="NCR7" s="1876"/>
      <c r="NCS7" s="1876"/>
      <c r="NCT7" s="1876"/>
      <c r="NCU7" s="1876"/>
      <c r="NCV7" s="1876"/>
      <c r="NCW7" s="1876"/>
      <c r="NCX7" s="1876"/>
      <c r="NCY7" s="1876"/>
      <c r="NCZ7" s="1876"/>
      <c r="NDA7" s="1876"/>
      <c r="NDB7" s="1876"/>
      <c r="NDC7" s="1876"/>
      <c r="NDD7" s="1876"/>
      <c r="NDE7" s="1876"/>
      <c r="NDF7" s="1876"/>
      <c r="NDG7" s="1876"/>
      <c r="NDH7" s="1876"/>
      <c r="NDI7" s="1876"/>
      <c r="NDJ7" s="1876"/>
      <c r="NDK7" s="1876"/>
      <c r="NDL7" s="1876"/>
      <c r="NDM7" s="1876"/>
      <c r="NDN7" s="1876"/>
      <c r="NDO7" s="1876"/>
      <c r="NDP7" s="1876"/>
      <c r="NDQ7" s="1876"/>
      <c r="NDR7" s="1876"/>
      <c r="NDS7" s="1876"/>
      <c r="NDT7" s="1876"/>
      <c r="NDU7" s="1876"/>
      <c r="NDV7" s="1876"/>
      <c r="NDW7" s="1876"/>
      <c r="NDX7" s="1876"/>
      <c r="NDY7" s="1876"/>
      <c r="NDZ7" s="1876"/>
      <c r="NEA7" s="1876"/>
      <c r="NEB7" s="1876"/>
      <c r="NEC7" s="1876"/>
      <c r="NED7" s="1876"/>
      <c r="NEE7" s="1876"/>
      <c r="NEF7" s="1876"/>
      <c r="NEG7" s="1876"/>
      <c r="NEH7" s="1876"/>
      <c r="NEI7" s="1876"/>
      <c r="NEJ7" s="1876"/>
      <c r="NEK7" s="1876"/>
      <c r="NEL7" s="1876"/>
      <c r="NEM7" s="1876"/>
      <c r="NEN7" s="1876"/>
      <c r="NEO7" s="1876"/>
      <c r="NEP7" s="1876"/>
      <c r="NEQ7" s="1876"/>
      <c r="NER7" s="1876"/>
      <c r="NES7" s="1876"/>
      <c r="NET7" s="1876"/>
      <c r="NEU7" s="1876"/>
      <c r="NEV7" s="1876"/>
      <c r="NEW7" s="1876"/>
      <c r="NEX7" s="1876"/>
      <c r="NEY7" s="1876"/>
      <c r="NEZ7" s="1876"/>
      <c r="NFA7" s="1876"/>
      <c r="NFB7" s="1876"/>
      <c r="NFC7" s="1876"/>
      <c r="NFD7" s="1876"/>
      <c r="NFE7" s="1876"/>
      <c r="NFF7" s="1876"/>
      <c r="NFG7" s="1876"/>
      <c r="NFH7" s="1876"/>
      <c r="NFI7" s="1876"/>
      <c r="NFJ7" s="1876"/>
      <c r="NFK7" s="1876"/>
      <c r="NFL7" s="1876"/>
      <c r="NFM7" s="1876"/>
      <c r="NFN7" s="1876"/>
      <c r="NFO7" s="1876"/>
      <c r="NFP7" s="1876"/>
      <c r="NFQ7" s="1876"/>
      <c r="NFR7" s="1876"/>
      <c r="NFS7" s="1876"/>
      <c r="NFT7" s="1876"/>
      <c r="NFU7" s="1876"/>
      <c r="NFV7" s="1876"/>
      <c r="NFW7" s="1876"/>
      <c r="NFX7" s="1876"/>
      <c r="NFY7" s="1876"/>
      <c r="NFZ7" s="1876"/>
      <c r="NGA7" s="1876"/>
      <c r="NGB7" s="1876"/>
      <c r="NGC7" s="1876"/>
      <c r="NGD7" s="1876"/>
      <c r="NGE7" s="1876"/>
      <c r="NGF7" s="1876"/>
      <c r="NGG7" s="1876"/>
      <c r="NGH7" s="1876"/>
      <c r="NGI7" s="1876"/>
      <c r="NGJ7" s="1876"/>
      <c r="NGK7" s="1876"/>
      <c r="NGL7" s="1876"/>
      <c r="NGM7" s="1876"/>
      <c r="NGN7" s="1876"/>
      <c r="NGO7" s="1876"/>
      <c r="NGP7" s="1876"/>
      <c r="NGQ7" s="1876"/>
      <c r="NGR7" s="1876"/>
      <c r="NGS7" s="1876"/>
      <c r="NGT7" s="1876"/>
      <c r="NGU7" s="1876"/>
      <c r="NGV7" s="1876"/>
      <c r="NGW7" s="1876"/>
      <c r="NGX7" s="1876"/>
      <c r="NGY7" s="1876"/>
      <c r="NGZ7" s="1876"/>
      <c r="NHA7" s="1876"/>
      <c r="NHB7" s="1876"/>
      <c r="NHC7" s="1876"/>
      <c r="NHD7" s="1876"/>
      <c r="NHE7" s="1876"/>
      <c r="NHF7" s="1876"/>
      <c r="NHG7" s="1876"/>
      <c r="NHH7" s="1876"/>
      <c r="NHI7" s="1876"/>
      <c r="NHJ7" s="1876"/>
      <c r="NHK7" s="1876"/>
      <c r="NHL7" s="1876"/>
      <c r="NHM7" s="1876"/>
      <c r="NHN7" s="1876"/>
      <c r="NHO7" s="1876"/>
      <c r="NHP7" s="1876"/>
      <c r="NHQ7" s="1876"/>
      <c r="NHR7" s="1876"/>
      <c r="NHS7" s="1876"/>
      <c r="NHT7" s="1876"/>
      <c r="NHU7" s="1876"/>
      <c r="NHV7" s="1876"/>
      <c r="NHW7" s="1876"/>
      <c r="NHX7" s="1876"/>
      <c r="NHY7" s="1876"/>
      <c r="NHZ7" s="1876"/>
      <c r="NIA7" s="1876"/>
      <c r="NIB7" s="1876"/>
      <c r="NIC7" s="1876"/>
      <c r="NID7" s="1876"/>
      <c r="NIE7" s="1876"/>
      <c r="NIF7" s="1876"/>
      <c r="NIG7" s="1876"/>
      <c r="NIH7" s="1876"/>
      <c r="NII7" s="1876"/>
      <c r="NIJ7" s="1876"/>
      <c r="NIK7" s="1876"/>
      <c r="NIL7" s="1876"/>
      <c r="NIM7" s="1876"/>
      <c r="NIN7" s="1876"/>
      <c r="NIO7" s="1876"/>
      <c r="NIP7" s="1876"/>
      <c r="NIQ7" s="1876"/>
      <c r="NIR7" s="1876"/>
      <c r="NIS7" s="1876"/>
      <c r="NIT7" s="1876"/>
      <c r="NIU7" s="1876"/>
      <c r="NIV7" s="1876"/>
      <c r="NIW7" s="1876"/>
      <c r="NIX7" s="1876"/>
      <c r="NIY7" s="1876"/>
      <c r="NIZ7" s="1876"/>
      <c r="NJA7" s="1876"/>
      <c r="NJB7" s="1876"/>
      <c r="NJC7" s="1876"/>
      <c r="NJD7" s="1876"/>
      <c r="NJE7" s="1876"/>
      <c r="NJF7" s="1876"/>
      <c r="NJG7" s="1876"/>
      <c r="NJH7" s="1876"/>
      <c r="NJI7" s="1876"/>
      <c r="NJJ7" s="1876"/>
      <c r="NJK7" s="1876"/>
      <c r="NJL7" s="1876"/>
      <c r="NJM7" s="1876"/>
      <c r="NJN7" s="1876"/>
      <c r="NJO7" s="1876"/>
      <c r="NJP7" s="1876"/>
      <c r="NJQ7" s="1876"/>
      <c r="NJR7" s="1876"/>
      <c r="NJS7" s="1876"/>
      <c r="NJT7" s="1876"/>
      <c r="NJU7" s="1876"/>
      <c r="NJV7" s="1876"/>
      <c r="NJW7" s="1876"/>
      <c r="NJX7" s="1876"/>
      <c r="NJY7" s="1876"/>
      <c r="NJZ7" s="1876"/>
      <c r="NKA7" s="1876"/>
      <c r="NKB7" s="1876"/>
      <c r="NKC7" s="1876"/>
      <c r="NKD7" s="1876"/>
      <c r="NKE7" s="1876"/>
      <c r="NKF7" s="1876"/>
      <c r="NKG7" s="1876"/>
      <c r="NKH7" s="1876"/>
      <c r="NKI7" s="1876"/>
      <c r="NKJ7" s="1876"/>
      <c r="NKK7" s="1876"/>
      <c r="NKL7" s="1876"/>
      <c r="NKM7" s="1876"/>
      <c r="NKN7" s="1876"/>
      <c r="NKO7" s="1876"/>
      <c r="NKP7" s="1876"/>
      <c r="NKQ7" s="1876"/>
      <c r="NKR7" s="1876"/>
      <c r="NKS7" s="1876"/>
      <c r="NKT7" s="1876"/>
      <c r="NKU7" s="1876"/>
      <c r="NKV7" s="1876"/>
      <c r="NKW7" s="1876"/>
      <c r="NKX7" s="1876"/>
      <c r="NKY7" s="1876"/>
      <c r="NKZ7" s="1876"/>
      <c r="NLA7" s="1876"/>
      <c r="NLB7" s="1876"/>
      <c r="NLC7" s="1876"/>
      <c r="NLD7" s="1876"/>
      <c r="NLE7" s="1876"/>
      <c r="NLF7" s="1876"/>
      <c r="NLG7" s="1876"/>
      <c r="NLH7" s="1876"/>
      <c r="NLI7" s="1876"/>
      <c r="NLJ7" s="1876"/>
      <c r="NLK7" s="1876"/>
      <c r="NLL7" s="1876"/>
      <c r="NLM7" s="1876"/>
      <c r="NLN7" s="1876"/>
      <c r="NLO7" s="1876"/>
      <c r="NLP7" s="1876"/>
      <c r="NLQ7" s="1876"/>
      <c r="NLR7" s="1876"/>
      <c r="NLS7" s="1876"/>
      <c r="NLT7" s="1876"/>
      <c r="NLU7" s="1876"/>
      <c r="NLV7" s="1876"/>
      <c r="NLW7" s="1876"/>
      <c r="NLX7" s="1876"/>
      <c r="NLY7" s="1876"/>
      <c r="NLZ7" s="1876"/>
      <c r="NMA7" s="1876"/>
      <c r="NMB7" s="1876"/>
      <c r="NMC7" s="1876"/>
      <c r="NMD7" s="1876"/>
      <c r="NME7" s="1876"/>
      <c r="NMF7" s="1876"/>
      <c r="NMG7" s="1876"/>
      <c r="NMH7" s="1876"/>
      <c r="NMI7" s="1876"/>
      <c r="NMJ7" s="1876"/>
      <c r="NMK7" s="1876"/>
      <c r="NML7" s="1876"/>
      <c r="NMM7" s="1876"/>
      <c r="NMN7" s="1876"/>
      <c r="NMO7" s="1876"/>
      <c r="NMP7" s="1876"/>
      <c r="NMQ7" s="1876"/>
      <c r="NMR7" s="1876"/>
      <c r="NMS7" s="1876"/>
      <c r="NMT7" s="1876"/>
      <c r="NMU7" s="1876"/>
      <c r="NMV7" s="1876"/>
      <c r="NMW7" s="1876"/>
      <c r="NMX7" s="1876"/>
      <c r="NMY7" s="1876"/>
      <c r="NMZ7" s="1876"/>
      <c r="NNA7" s="1876"/>
      <c r="NNB7" s="1876"/>
      <c r="NNC7" s="1876"/>
      <c r="NND7" s="1876"/>
      <c r="NNE7" s="1876"/>
      <c r="NNF7" s="1876"/>
      <c r="NNG7" s="1876"/>
      <c r="NNH7" s="1876"/>
      <c r="NNI7" s="1876"/>
      <c r="NNJ7" s="1876"/>
      <c r="NNK7" s="1876"/>
      <c r="NNL7" s="1876"/>
      <c r="NNM7" s="1876"/>
      <c r="NNN7" s="1876"/>
      <c r="NNO7" s="1876"/>
      <c r="NNP7" s="1876"/>
      <c r="NNQ7" s="1876"/>
      <c r="NNR7" s="1876"/>
      <c r="NNS7" s="1876"/>
      <c r="NNT7" s="1876"/>
      <c r="NNU7" s="1876"/>
      <c r="NNV7" s="1876"/>
      <c r="NNW7" s="1876"/>
      <c r="NNX7" s="1876"/>
      <c r="NNY7" s="1876"/>
      <c r="NNZ7" s="1876"/>
      <c r="NOA7" s="1876"/>
      <c r="NOB7" s="1876"/>
      <c r="NOC7" s="1876"/>
      <c r="NOD7" s="1876"/>
      <c r="NOE7" s="1876"/>
      <c r="NOF7" s="1876"/>
      <c r="NOG7" s="1876"/>
      <c r="NOH7" s="1876"/>
      <c r="NOI7" s="1876"/>
      <c r="NOJ7" s="1876"/>
      <c r="NOK7" s="1876"/>
      <c r="NOL7" s="1876"/>
      <c r="NOM7" s="1876"/>
      <c r="NON7" s="1876"/>
      <c r="NOO7" s="1876"/>
      <c r="NOP7" s="1876"/>
      <c r="NOQ7" s="1876"/>
      <c r="NOR7" s="1876"/>
      <c r="NOS7" s="1876"/>
      <c r="NOT7" s="1876"/>
      <c r="NOU7" s="1876"/>
      <c r="NOV7" s="1876"/>
      <c r="NOW7" s="1876"/>
      <c r="NOX7" s="1876"/>
      <c r="NOY7" s="1876"/>
      <c r="NOZ7" s="1876"/>
      <c r="NPA7" s="1876"/>
      <c r="NPB7" s="1876"/>
      <c r="NPC7" s="1876"/>
      <c r="NPD7" s="1876"/>
      <c r="NPE7" s="1876"/>
      <c r="NPF7" s="1876"/>
      <c r="NPG7" s="1876"/>
      <c r="NPH7" s="1876"/>
      <c r="NPI7" s="1876"/>
      <c r="NPJ7" s="1876"/>
      <c r="NPK7" s="1876"/>
      <c r="NPL7" s="1876"/>
      <c r="NPM7" s="1876"/>
      <c r="NPN7" s="1876"/>
      <c r="NPO7" s="1876"/>
      <c r="NPP7" s="1876"/>
      <c r="NPQ7" s="1876"/>
      <c r="NPR7" s="1876"/>
      <c r="NPS7" s="1876"/>
      <c r="NPT7" s="1876"/>
      <c r="NPU7" s="1876"/>
      <c r="NPV7" s="1876"/>
      <c r="NPW7" s="1876"/>
      <c r="NPX7" s="1876"/>
      <c r="NPY7" s="1876"/>
      <c r="NPZ7" s="1876"/>
      <c r="NQA7" s="1876"/>
      <c r="NQB7" s="1876"/>
      <c r="NQC7" s="1876"/>
      <c r="NQD7" s="1876"/>
      <c r="NQE7" s="1876"/>
      <c r="NQF7" s="1876"/>
      <c r="NQG7" s="1876"/>
      <c r="NQH7" s="1876"/>
      <c r="NQI7" s="1876"/>
      <c r="NQJ7" s="1876"/>
      <c r="NQK7" s="1876"/>
      <c r="NQL7" s="1876"/>
      <c r="NQM7" s="1876"/>
      <c r="NQN7" s="1876"/>
      <c r="NQO7" s="1876"/>
      <c r="NQP7" s="1876"/>
      <c r="NQQ7" s="1876"/>
      <c r="NQR7" s="1876"/>
      <c r="NQS7" s="1876"/>
      <c r="NQT7" s="1876"/>
      <c r="NQU7" s="1876"/>
      <c r="NQV7" s="1876"/>
      <c r="NQW7" s="1876"/>
      <c r="NQX7" s="1876"/>
      <c r="NQY7" s="1876"/>
      <c r="NQZ7" s="1876"/>
      <c r="NRA7" s="1876"/>
      <c r="NRB7" s="1876"/>
      <c r="NRC7" s="1876"/>
      <c r="NRD7" s="1876"/>
      <c r="NRE7" s="1876"/>
      <c r="NRF7" s="1876"/>
      <c r="NRG7" s="1876"/>
      <c r="NRH7" s="1876"/>
      <c r="NRI7" s="1876"/>
      <c r="NRJ7" s="1876"/>
      <c r="NRK7" s="1876"/>
      <c r="NRL7" s="1876"/>
      <c r="NRM7" s="1876"/>
      <c r="NRN7" s="1876"/>
      <c r="NRO7" s="1876"/>
      <c r="NRP7" s="1876"/>
      <c r="NRQ7" s="1876"/>
      <c r="NRR7" s="1876"/>
      <c r="NRS7" s="1876"/>
      <c r="NRT7" s="1876"/>
      <c r="NRU7" s="1876"/>
      <c r="NRV7" s="1876"/>
      <c r="NRW7" s="1876"/>
      <c r="NRX7" s="1876"/>
      <c r="NRY7" s="1876"/>
      <c r="NRZ7" s="1876"/>
      <c r="NSA7" s="1876"/>
      <c r="NSB7" s="1876"/>
      <c r="NSC7" s="1876"/>
      <c r="NSD7" s="1876"/>
      <c r="NSE7" s="1876"/>
      <c r="NSF7" s="1876"/>
      <c r="NSG7" s="1876"/>
      <c r="NSH7" s="1876"/>
      <c r="NSI7" s="1876"/>
      <c r="NSJ7" s="1876"/>
      <c r="NSK7" s="1876"/>
      <c r="NSL7" s="1876"/>
      <c r="NSM7" s="1876"/>
      <c r="NSN7" s="1876"/>
      <c r="NSO7" s="1876"/>
      <c r="NSP7" s="1876"/>
      <c r="NSQ7" s="1876"/>
      <c r="NSR7" s="1876"/>
      <c r="NSS7" s="1876"/>
      <c r="NST7" s="1876"/>
      <c r="NSU7" s="1876"/>
      <c r="NSV7" s="1876"/>
      <c r="NSW7" s="1876"/>
      <c r="NSX7" s="1876"/>
      <c r="NSY7" s="1876"/>
      <c r="NSZ7" s="1876"/>
      <c r="NTA7" s="1876"/>
      <c r="NTB7" s="1876"/>
      <c r="NTC7" s="1876"/>
      <c r="NTD7" s="1876"/>
      <c r="NTE7" s="1876"/>
      <c r="NTF7" s="1876"/>
      <c r="NTG7" s="1876"/>
      <c r="NTH7" s="1876"/>
      <c r="NTI7" s="1876"/>
      <c r="NTJ7" s="1876"/>
      <c r="NTK7" s="1876"/>
      <c r="NTL7" s="1876"/>
      <c r="NTM7" s="1876"/>
      <c r="NTN7" s="1876"/>
      <c r="NTO7" s="1876"/>
      <c r="NTP7" s="1876"/>
      <c r="NTQ7" s="1876"/>
      <c r="NTR7" s="1876"/>
      <c r="NTS7" s="1876"/>
      <c r="NTT7" s="1876"/>
      <c r="NTU7" s="1876"/>
      <c r="NTV7" s="1876"/>
      <c r="NTW7" s="1876"/>
      <c r="NTX7" s="1876"/>
      <c r="NTY7" s="1876"/>
      <c r="NTZ7" s="1876"/>
      <c r="NUA7" s="1876"/>
      <c r="NUB7" s="1876"/>
      <c r="NUC7" s="1876"/>
      <c r="NUD7" s="1876"/>
      <c r="NUE7" s="1876"/>
      <c r="NUF7" s="1876"/>
      <c r="NUG7" s="1876"/>
      <c r="NUH7" s="1876"/>
      <c r="NUI7" s="1876"/>
      <c r="NUJ7" s="1876"/>
      <c r="NUK7" s="1876"/>
      <c r="NUL7" s="1876"/>
      <c r="NUM7" s="1876"/>
      <c r="NUN7" s="1876"/>
      <c r="NUO7" s="1876"/>
      <c r="NUP7" s="1876"/>
      <c r="NUQ7" s="1876"/>
      <c r="NUR7" s="1876"/>
      <c r="NUS7" s="1876"/>
      <c r="NUT7" s="1876"/>
      <c r="NUU7" s="1876"/>
      <c r="NUV7" s="1876"/>
      <c r="NUW7" s="1876"/>
      <c r="NUX7" s="1876"/>
      <c r="NUY7" s="1876"/>
      <c r="NUZ7" s="1876"/>
      <c r="NVA7" s="1876"/>
      <c r="NVB7" s="1876"/>
      <c r="NVC7" s="1876"/>
      <c r="NVD7" s="1876"/>
      <c r="NVE7" s="1876"/>
      <c r="NVF7" s="1876"/>
      <c r="NVG7" s="1876"/>
      <c r="NVH7" s="1876"/>
      <c r="NVI7" s="1876"/>
      <c r="NVJ7" s="1876"/>
      <c r="NVK7" s="1876"/>
      <c r="NVL7" s="1876"/>
      <c r="NVM7" s="1876"/>
      <c r="NVN7" s="1876"/>
      <c r="NVO7" s="1876"/>
      <c r="NVP7" s="1876"/>
      <c r="NVQ7" s="1876"/>
      <c r="NVR7" s="1876"/>
      <c r="NVS7" s="1876"/>
      <c r="NVT7" s="1876"/>
      <c r="NVU7" s="1876"/>
      <c r="NVV7" s="1876"/>
      <c r="NVW7" s="1876"/>
      <c r="NVX7" s="1876"/>
      <c r="NVY7" s="1876"/>
      <c r="NVZ7" s="1876"/>
      <c r="NWA7" s="1876"/>
      <c r="NWB7" s="1876"/>
      <c r="NWC7" s="1876"/>
      <c r="NWD7" s="1876"/>
      <c r="NWE7" s="1876"/>
      <c r="NWF7" s="1876"/>
      <c r="NWG7" s="1876"/>
      <c r="NWH7" s="1876"/>
      <c r="NWI7" s="1876"/>
      <c r="NWJ7" s="1876"/>
      <c r="NWK7" s="1876"/>
      <c r="NWL7" s="1876"/>
      <c r="NWM7" s="1876"/>
      <c r="NWN7" s="1876"/>
      <c r="NWO7" s="1876"/>
      <c r="NWP7" s="1876"/>
      <c r="NWQ7" s="1876"/>
      <c r="NWR7" s="1876"/>
      <c r="NWS7" s="1876"/>
      <c r="NWT7" s="1876"/>
      <c r="NWU7" s="1876"/>
      <c r="NWV7" s="1876"/>
      <c r="NWW7" s="1876"/>
      <c r="NWX7" s="1876"/>
      <c r="NWY7" s="1876"/>
      <c r="NWZ7" s="1876"/>
      <c r="NXA7" s="1876"/>
      <c r="NXB7" s="1876"/>
      <c r="NXC7" s="1876"/>
      <c r="NXD7" s="1876"/>
      <c r="NXE7" s="1876"/>
      <c r="NXF7" s="1876"/>
      <c r="NXG7" s="1876"/>
      <c r="NXH7" s="1876"/>
      <c r="NXI7" s="1876"/>
      <c r="NXJ7" s="1876"/>
      <c r="NXK7" s="1876"/>
      <c r="NXL7" s="1876"/>
      <c r="NXM7" s="1876"/>
      <c r="NXN7" s="1876"/>
      <c r="NXO7" s="1876"/>
      <c r="NXP7" s="1876"/>
      <c r="NXQ7" s="1876"/>
      <c r="NXR7" s="1876"/>
      <c r="NXS7" s="1876"/>
      <c r="NXT7" s="1876"/>
      <c r="NXU7" s="1876"/>
      <c r="NXV7" s="1876"/>
      <c r="NXW7" s="1876"/>
      <c r="NXX7" s="1876"/>
      <c r="NXY7" s="1876"/>
      <c r="NXZ7" s="1876"/>
      <c r="NYA7" s="1876"/>
      <c r="NYB7" s="1876"/>
      <c r="NYC7" s="1876"/>
      <c r="NYD7" s="1876"/>
      <c r="NYE7" s="1876"/>
      <c r="NYF7" s="1876"/>
      <c r="NYG7" s="1876"/>
      <c r="NYH7" s="1876"/>
      <c r="NYI7" s="1876"/>
      <c r="NYJ7" s="1876"/>
      <c r="NYK7" s="1876"/>
      <c r="NYL7" s="1876"/>
      <c r="NYM7" s="1876"/>
      <c r="NYN7" s="1876"/>
      <c r="NYO7" s="1876"/>
      <c r="NYP7" s="1876"/>
      <c r="NYQ7" s="1876"/>
      <c r="NYR7" s="1876"/>
      <c r="NYS7" s="1876"/>
      <c r="NYT7" s="1876"/>
      <c r="NYU7" s="1876"/>
      <c r="NYV7" s="1876"/>
      <c r="NYW7" s="1876"/>
      <c r="NYX7" s="1876"/>
      <c r="NYY7" s="1876"/>
      <c r="NYZ7" s="1876"/>
      <c r="NZA7" s="1876"/>
      <c r="NZB7" s="1876"/>
      <c r="NZC7" s="1876"/>
      <c r="NZD7" s="1876"/>
      <c r="NZE7" s="1876"/>
      <c r="NZF7" s="1876"/>
      <c r="NZG7" s="1876"/>
      <c r="NZH7" s="1876"/>
      <c r="NZI7" s="1876"/>
      <c r="NZJ7" s="1876"/>
      <c r="NZK7" s="1876"/>
      <c r="NZL7" s="1876"/>
      <c r="NZM7" s="1876"/>
      <c r="NZN7" s="1876"/>
      <c r="NZO7" s="1876"/>
      <c r="NZP7" s="1876"/>
      <c r="NZQ7" s="1876"/>
      <c r="NZR7" s="1876"/>
      <c r="NZS7" s="1876"/>
      <c r="NZT7" s="1876"/>
      <c r="NZU7" s="1876"/>
      <c r="NZV7" s="1876"/>
      <c r="NZW7" s="1876"/>
      <c r="NZX7" s="1876"/>
      <c r="NZY7" s="1876"/>
      <c r="NZZ7" s="1876"/>
      <c r="OAA7" s="1876"/>
      <c r="OAB7" s="1876"/>
      <c r="OAC7" s="1876"/>
      <c r="OAD7" s="1876"/>
      <c r="OAE7" s="1876"/>
      <c r="OAF7" s="1876"/>
      <c r="OAG7" s="1876"/>
      <c r="OAH7" s="1876"/>
      <c r="OAI7" s="1876"/>
      <c r="OAJ7" s="1876"/>
      <c r="OAK7" s="1876"/>
      <c r="OAL7" s="1876"/>
      <c r="OAM7" s="1876"/>
      <c r="OAN7" s="1876"/>
      <c r="OAO7" s="1876"/>
      <c r="OAP7" s="1876"/>
      <c r="OAQ7" s="1876"/>
      <c r="OAR7" s="1876"/>
      <c r="OAS7" s="1876"/>
      <c r="OAT7" s="1876"/>
      <c r="OAU7" s="1876"/>
      <c r="OAV7" s="1876"/>
      <c r="OAW7" s="1876"/>
      <c r="OAX7" s="1876"/>
      <c r="OAY7" s="1876"/>
      <c r="OAZ7" s="1876"/>
      <c r="OBA7" s="1876"/>
      <c r="OBB7" s="1876"/>
      <c r="OBC7" s="1876"/>
      <c r="OBD7" s="1876"/>
      <c r="OBE7" s="1876"/>
      <c r="OBF7" s="1876"/>
      <c r="OBG7" s="1876"/>
      <c r="OBH7" s="1876"/>
      <c r="OBI7" s="1876"/>
      <c r="OBJ7" s="1876"/>
      <c r="OBK7" s="1876"/>
      <c r="OBL7" s="1876"/>
      <c r="OBM7" s="1876"/>
      <c r="OBN7" s="1876"/>
      <c r="OBO7" s="1876"/>
      <c r="OBP7" s="1876"/>
      <c r="OBQ7" s="1876"/>
      <c r="OBR7" s="1876"/>
      <c r="OBS7" s="1876"/>
      <c r="OBT7" s="1876"/>
      <c r="OBU7" s="1876"/>
      <c r="OBV7" s="1876"/>
      <c r="OBW7" s="1876"/>
      <c r="OBX7" s="1876"/>
      <c r="OBY7" s="1876"/>
      <c r="OBZ7" s="1876"/>
      <c r="OCA7" s="1876"/>
      <c r="OCB7" s="1876"/>
      <c r="OCC7" s="1876"/>
      <c r="OCD7" s="1876"/>
      <c r="OCE7" s="1876"/>
      <c r="OCF7" s="1876"/>
      <c r="OCG7" s="1876"/>
      <c r="OCH7" s="1876"/>
      <c r="OCI7" s="1876"/>
      <c r="OCJ7" s="1876"/>
      <c r="OCK7" s="1876"/>
      <c r="OCL7" s="1876"/>
      <c r="OCM7" s="1876"/>
      <c r="OCN7" s="1876"/>
      <c r="OCO7" s="1876"/>
      <c r="OCP7" s="1876"/>
      <c r="OCQ7" s="1876"/>
      <c r="OCR7" s="1876"/>
      <c r="OCS7" s="1876"/>
      <c r="OCT7" s="1876"/>
      <c r="OCU7" s="1876"/>
      <c r="OCV7" s="1876"/>
      <c r="OCW7" s="1876"/>
      <c r="OCX7" s="1876"/>
      <c r="OCY7" s="1876"/>
      <c r="OCZ7" s="1876"/>
      <c r="ODA7" s="1876"/>
      <c r="ODB7" s="1876"/>
      <c r="ODC7" s="1876"/>
      <c r="ODD7" s="1876"/>
      <c r="ODE7" s="1876"/>
      <c r="ODF7" s="1876"/>
      <c r="ODG7" s="1876"/>
      <c r="ODH7" s="1876"/>
      <c r="ODI7" s="1876"/>
      <c r="ODJ7" s="1876"/>
      <c r="ODK7" s="1876"/>
      <c r="ODL7" s="1876"/>
      <c r="ODM7" s="1876"/>
      <c r="ODN7" s="1876"/>
      <c r="ODO7" s="1876"/>
      <c r="ODP7" s="1876"/>
      <c r="ODQ7" s="1876"/>
      <c r="ODR7" s="1876"/>
      <c r="ODS7" s="1876"/>
      <c r="ODT7" s="1876"/>
      <c r="ODU7" s="1876"/>
      <c r="ODV7" s="1876"/>
      <c r="ODW7" s="1876"/>
      <c r="ODX7" s="1876"/>
      <c r="ODY7" s="1876"/>
      <c r="ODZ7" s="1876"/>
      <c r="OEA7" s="1876"/>
      <c r="OEB7" s="1876"/>
      <c r="OEC7" s="1876"/>
      <c r="OED7" s="1876"/>
      <c r="OEE7" s="1876"/>
      <c r="OEF7" s="1876"/>
      <c r="OEG7" s="1876"/>
      <c r="OEH7" s="1876"/>
      <c r="OEI7" s="1876"/>
      <c r="OEJ7" s="1876"/>
      <c r="OEK7" s="1876"/>
      <c r="OEL7" s="1876"/>
      <c r="OEM7" s="1876"/>
      <c r="OEN7" s="1876"/>
      <c r="OEO7" s="1876"/>
      <c r="OEP7" s="1876"/>
      <c r="OEQ7" s="1876"/>
      <c r="OER7" s="1876"/>
      <c r="OES7" s="1876"/>
      <c r="OET7" s="1876"/>
      <c r="OEU7" s="1876"/>
      <c r="OEV7" s="1876"/>
      <c r="OEW7" s="1876"/>
      <c r="OEX7" s="1876"/>
      <c r="OEY7" s="1876"/>
      <c r="OEZ7" s="1876"/>
      <c r="OFA7" s="1876"/>
      <c r="OFB7" s="1876"/>
      <c r="OFC7" s="1876"/>
      <c r="OFD7" s="1876"/>
      <c r="OFE7" s="1876"/>
      <c r="OFF7" s="1876"/>
      <c r="OFG7" s="1876"/>
      <c r="OFH7" s="1876"/>
      <c r="OFI7" s="1876"/>
      <c r="OFJ7" s="1876"/>
      <c r="OFK7" s="1876"/>
      <c r="OFL7" s="1876"/>
      <c r="OFM7" s="1876"/>
      <c r="OFN7" s="1876"/>
      <c r="OFO7" s="1876"/>
      <c r="OFP7" s="1876"/>
      <c r="OFQ7" s="1876"/>
      <c r="OFR7" s="1876"/>
      <c r="OFS7" s="1876"/>
      <c r="OFT7" s="1876"/>
      <c r="OFU7" s="1876"/>
      <c r="OFV7" s="1876"/>
      <c r="OFW7" s="1876"/>
      <c r="OFX7" s="1876"/>
      <c r="OFY7" s="1876"/>
      <c r="OFZ7" s="1876"/>
      <c r="OGA7" s="1876"/>
      <c r="OGB7" s="1876"/>
      <c r="OGC7" s="1876"/>
      <c r="OGD7" s="1876"/>
      <c r="OGE7" s="1876"/>
      <c r="OGF7" s="1876"/>
      <c r="OGG7" s="1876"/>
      <c r="OGH7" s="1876"/>
      <c r="OGI7" s="1876"/>
      <c r="OGJ7" s="1876"/>
      <c r="OGK7" s="1876"/>
      <c r="OGL7" s="1876"/>
      <c r="OGM7" s="1876"/>
      <c r="OGN7" s="1876"/>
      <c r="OGO7" s="1876"/>
      <c r="OGP7" s="1876"/>
      <c r="OGQ7" s="1876"/>
      <c r="OGR7" s="1876"/>
      <c r="OGS7" s="1876"/>
      <c r="OGT7" s="1876"/>
      <c r="OGU7" s="1876"/>
      <c r="OGV7" s="1876"/>
      <c r="OGW7" s="1876"/>
      <c r="OGX7" s="1876"/>
      <c r="OGY7" s="1876"/>
      <c r="OGZ7" s="1876"/>
      <c r="OHA7" s="1876"/>
      <c r="OHB7" s="1876"/>
      <c r="OHC7" s="1876"/>
      <c r="OHD7" s="1876"/>
      <c r="OHE7" s="1876"/>
      <c r="OHF7" s="1876"/>
      <c r="OHG7" s="1876"/>
      <c r="OHH7" s="1876"/>
      <c r="OHI7" s="1876"/>
      <c r="OHJ7" s="1876"/>
      <c r="OHK7" s="1876"/>
      <c r="OHL7" s="1876"/>
      <c r="OHM7" s="1876"/>
      <c r="OHN7" s="1876"/>
      <c r="OHO7" s="1876"/>
      <c r="OHP7" s="1876"/>
      <c r="OHQ7" s="1876"/>
      <c r="OHR7" s="1876"/>
      <c r="OHS7" s="1876"/>
      <c r="OHT7" s="1876"/>
      <c r="OHU7" s="1876"/>
      <c r="OHV7" s="1876"/>
      <c r="OHW7" s="1876"/>
      <c r="OHX7" s="1876"/>
      <c r="OHY7" s="1876"/>
      <c r="OHZ7" s="1876"/>
      <c r="OIA7" s="1876"/>
      <c r="OIB7" s="1876"/>
      <c r="OIC7" s="1876"/>
      <c r="OID7" s="1876"/>
      <c r="OIE7" s="1876"/>
      <c r="OIF7" s="1876"/>
      <c r="OIG7" s="1876"/>
      <c r="OIH7" s="1876"/>
      <c r="OII7" s="1876"/>
      <c r="OIJ7" s="1876"/>
      <c r="OIK7" s="1876"/>
      <c r="OIL7" s="1876"/>
      <c r="OIM7" s="1876"/>
      <c r="OIN7" s="1876"/>
      <c r="OIO7" s="1876"/>
      <c r="OIP7" s="1876"/>
      <c r="OIQ7" s="1876"/>
      <c r="OIR7" s="1876"/>
      <c r="OIS7" s="1876"/>
      <c r="OIT7" s="1876"/>
      <c r="OIU7" s="1876"/>
      <c r="OIV7" s="1876"/>
      <c r="OIW7" s="1876"/>
      <c r="OIX7" s="1876"/>
      <c r="OIY7" s="1876"/>
      <c r="OIZ7" s="1876"/>
      <c r="OJA7" s="1876"/>
      <c r="OJB7" s="1876"/>
      <c r="OJC7" s="1876"/>
      <c r="OJD7" s="1876"/>
      <c r="OJE7" s="1876"/>
      <c r="OJF7" s="1876"/>
      <c r="OJG7" s="1876"/>
      <c r="OJH7" s="1876"/>
      <c r="OJI7" s="1876"/>
      <c r="OJJ7" s="1876"/>
      <c r="OJK7" s="1876"/>
      <c r="OJL7" s="1876"/>
      <c r="OJM7" s="1876"/>
      <c r="OJN7" s="1876"/>
      <c r="OJO7" s="1876"/>
      <c r="OJP7" s="1876"/>
      <c r="OJQ7" s="1876"/>
      <c r="OJR7" s="1876"/>
      <c r="OJS7" s="1876"/>
      <c r="OJT7" s="1876"/>
      <c r="OJU7" s="1876"/>
      <c r="OJV7" s="1876"/>
      <c r="OJW7" s="1876"/>
      <c r="OJX7" s="1876"/>
      <c r="OJY7" s="1876"/>
      <c r="OJZ7" s="1876"/>
      <c r="OKA7" s="1876"/>
      <c r="OKB7" s="1876"/>
      <c r="OKC7" s="1876"/>
      <c r="OKD7" s="1876"/>
      <c r="OKE7" s="1876"/>
      <c r="OKF7" s="1876"/>
      <c r="OKG7" s="1876"/>
      <c r="OKH7" s="1876"/>
      <c r="OKI7" s="1876"/>
      <c r="OKJ7" s="1876"/>
      <c r="OKK7" s="1876"/>
      <c r="OKL7" s="1876"/>
      <c r="OKM7" s="1876"/>
      <c r="OKN7" s="1876"/>
      <c r="OKO7" s="1876"/>
      <c r="OKP7" s="1876"/>
      <c r="OKQ7" s="1876"/>
      <c r="OKR7" s="1876"/>
      <c r="OKS7" s="1876"/>
      <c r="OKT7" s="1876"/>
      <c r="OKU7" s="1876"/>
      <c r="OKV7" s="1876"/>
      <c r="OKW7" s="1876"/>
      <c r="OKX7" s="1876"/>
      <c r="OKY7" s="1876"/>
      <c r="OKZ7" s="1876"/>
      <c r="OLA7" s="1876"/>
      <c r="OLB7" s="1876"/>
      <c r="OLC7" s="1876"/>
      <c r="OLD7" s="1876"/>
      <c r="OLE7" s="1876"/>
      <c r="OLF7" s="1876"/>
      <c r="OLG7" s="1876"/>
      <c r="OLH7" s="1876"/>
      <c r="OLI7" s="1876"/>
      <c r="OLJ7" s="1876"/>
      <c r="OLK7" s="1876"/>
      <c r="OLL7" s="1876"/>
      <c r="OLM7" s="1876"/>
      <c r="OLN7" s="1876"/>
      <c r="OLO7" s="1876"/>
      <c r="OLP7" s="1876"/>
      <c r="OLQ7" s="1876"/>
      <c r="OLR7" s="1876"/>
      <c r="OLS7" s="1876"/>
      <c r="OLT7" s="1876"/>
      <c r="OLU7" s="1876"/>
      <c r="OLV7" s="1876"/>
      <c r="OLW7" s="1876"/>
      <c r="OLX7" s="1876"/>
      <c r="OLY7" s="1876"/>
      <c r="OLZ7" s="1876"/>
      <c r="OMA7" s="1876"/>
      <c r="OMB7" s="1876"/>
      <c r="OMC7" s="1876"/>
      <c r="OMD7" s="1876"/>
      <c r="OME7" s="1876"/>
      <c r="OMF7" s="1876"/>
      <c r="OMG7" s="1876"/>
      <c r="OMH7" s="1876"/>
      <c r="OMI7" s="1876"/>
      <c r="OMJ7" s="1876"/>
      <c r="OMK7" s="1876"/>
      <c r="OML7" s="1876"/>
      <c r="OMM7" s="1876"/>
      <c r="OMN7" s="1876"/>
      <c r="OMO7" s="1876"/>
      <c r="OMP7" s="1876"/>
      <c r="OMQ7" s="1876"/>
      <c r="OMR7" s="1876"/>
      <c r="OMS7" s="1876"/>
      <c r="OMT7" s="1876"/>
      <c r="OMU7" s="1876"/>
      <c r="OMV7" s="1876"/>
      <c r="OMW7" s="1876"/>
      <c r="OMX7" s="1876"/>
      <c r="OMY7" s="1876"/>
      <c r="OMZ7" s="1876"/>
      <c r="ONA7" s="1876"/>
      <c r="ONB7" s="1876"/>
      <c r="ONC7" s="1876"/>
      <c r="OND7" s="1876"/>
      <c r="ONE7" s="1876"/>
      <c r="ONF7" s="1876"/>
      <c r="ONG7" s="1876"/>
      <c r="ONH7" s="1876"/>
      <c r="ONI7" s="1876"/>
      <c r="ONJ7" s="1876"/>
      <c r="ONK7" s="1876"/>
      <c r="ONL7" s="1876"/>
      <c r="ONM7" s="1876"/>
      <c r="ONN7" s="1876"/>
      <c r="ONO7" s="1876"/>
      <c r="ONP7" s="1876"/>
      <c r="ONQ7" s="1876"/>
      <c r="ONR7" s="1876"/>
      <c r="ONS7" s="1876"/>
      <c r="ONT7" s="1876"/>
      <c r="ONU7" s="1876"/>
      <c r="ONV7" s="1876"/>
      <c r="ONW7" s="1876"/>
      <c r="ONX7" s="1876"/>
      <c r="ONY7" s="1876"/>
      <c r="ONZ7" s="1876"/>
      <c r="OOA7" s="1876"/>
      <c r="OOB7" s="1876"/>
      <c r="OOC7" s="1876"/>
      <c r="OOD7" s="1876"/>
      <c r="OOE7" s="1876"/>
      <c r="OOF7" s="1876"/>
      <c r="OOG7" s="1876"/>
      <c r="OOH7" s="1876"/>
      <c r="OOI7" s="1876"/>
      <c r="OOJ7" s="1876"/>
      <c r="OOK7" s="1876"/>
      <c r="OOL7" s="1876"/>
      <c r="OOM7" s="1876"/>
      <c r="OON7" s="1876"/>
      <c r="OOO7" s="1876"/>
      <c r="OOP7" s="1876"/>
      <c r="OOQ7" s="1876"/>
      <c r="OOR7" s="1876"/>
      <c r="OOS7" s="1876"/>
      <c r="OOT7" s="1876"/>
      <c r="OOU7" s="1876"/>
      <c r="OOV7" s="1876"/>
      <c r="OOW7" s="1876"/>
      <c r="OOX7" s="1876"/>
      <c r="OOY7" s="1876"/>
      <c r="OOZ7" s="1876"/>
      <c r="OPA7" s="1876"/>
      <c r="OPB7" s="1876"/>
      <c r="OPC7" s="1876"/>
      <c r="OPD7" s="1876"/>
      <c r="OPE7" s="1876"/>
      <c r="OPF7" s="1876"/>
      <c r="OPG7" s="1876"/>
      <c r="OPH7" s="1876"/>
      <c r="OPI7" s="1876"/>
      <c r="OPJ7" s="1876"/>
      <c r="OPK7" s="1876"/>
      <c r="OPL7" s="1876"/>
      <c r="OPM7" s="1876"/>
      <c r="OPN7" s="1876"/>
      <c r="OPO7" s="1876"/>
      <c r="OPP7" s="1876"/>
      <c r="OPQ7" s="1876"/>
      <c r="OPR7" s="1876"/>
      <c r="OPS7" s="1876"/>
      <c r="OPT7" s="1876"/>
      <c r="OPU7" s="1876"/>
      <c r="OPV7" s="1876"/>
      <c r="OPW7" s="1876"/>
      <c r="OPX7" s="1876"/>
      <c r="OPY7" s="1876"/>
      <c r="OPZ7" s="1876"/>
      <c r="OQA7" s="1876"/>
      <c r="OQB7" s="1876"/>
      <c r="OQC7" s="1876"/>
      <c r="OQD7" s="1876"/>
      <c r="OQE7" s="1876"/>
      <c r="OQF7" s="1876"/>
      <c r="OQG7" s="1876"/>
      <c r="OQH7" s="1876"/>
      <c r="OQI7" s="1876"/>
      <c r="OQJ7" s="1876"/>
      <c r="OQK7" s="1876"/>
      <c r="OQL7" s="1876"/>
      <c r="OQM7" s="1876"/>
      <c r="OQN7" s="1876"/>
      <c r="OQO7" s="1876"/>
      <c r="OQP7" s="1876"/>
      <c r="OQQ7" s="1876"/>
      <c r="OQR7" s="1876"/>
      <c r="OQS7" s="1876"/>
      <c r="OQT7" s="1876"/>
      <c r="OQU7" s="1876"/>
      <c r="OQV7" s="1876"/>
      <c r="OQW7" s="1876"/>
      <c r="OQX7" s="1876"/>
      <c r="OQY7" s="1876"/>
      <c r="OQZ7" s="1876"/>
      <c r="ORA7" s="1876"/>
      <c r="ORB7" s="1876"/>
      <c r="ORC7" s="1876"/>
      <c r="ORD7" s="1876"/>
      <c r="ORE7" s="1876"/>
      <c r="ORF7" s="1876"/>
      <c r="ORG7" s="1876"/>
      <c r="ORH7" s="1876"/>
      <c r="ORI7" s="1876"/>
      <c r="ORJ7" s="1876"/>
      <c r="ORK7" s="1876"/>
      <c r="ORL7" s="1876"/>
      <c r="ORM7" s="1876"/>
      <c r="ORN7" s="1876"/>
      <c r="ORO7" s="1876"/>
      <c r="ORP7" s="1876"/>
      <c r="ORQ7" s="1876"/>
      <c r="ORR7" s="1876"/>
      <c r="ORS7" s="1876"/>
      <c r="ORT7" s="1876"/>
      <c r="ORU7" s="1876"/>
      <c r="ORV7" s="1876"/>
      <c r="ORW7" s="1876"/>
      <c r="ORX7" s="1876"/>
      <c r="ORY7" s="1876"/>
      <c r="ORZ7" s="1876"/>
      <c r="OSA7" s="1876"/>
      <c r="OSB7" s="1876"/>
      <c r="OSC7" s="1876"/>
      <c r="OSD7" s="1876"/>
      <c r="OSE7" s="1876"/>
      <c r="OSF7" s="1876"/>
      <c r="OSG7" s="1876"/>
      <c r="OSH7" s="1876"/>
      <c r="OSI7" s="1876"/>
      <c r="OSJ7" s="1876"/>
      <c r="OSK7" s="1876"/>
      <c r="OSL7" s="1876"/>
      <c r="OSM7" s="1876"/>
      <c r="OSN7" s="1876"/>
      <c r="OSO7" s="1876"/>
      <c r="OSP7" s="1876"/>
      <c r="OSQ7" s="1876"/>
      <c r="OSR7" s="1876"/>
      <c r="OSS7" s="1876"/>
      <c r="OST7" s="1876"/>
      <c r="OSU7" s="1876"/>
      <c r="OSV7" s="1876"/>
      <c r="OSW7" s="1876"/>
      <c r="OSX7" s="1876"/>
      <c r="OSY7" s="1876"/>
      <c r="OSZ7" s="1876"/>
      <c r="OTA7" s="1876"/>
      <c r="OTB7" s="1876"/>
      <c r="OTC7" s="1876"/>
      <c r="OTD7" s="1876"/>
      <c r="OTE7" s="1876"/>
      <c r="OTF7" s="1876"/>
      <c r="OTG7" s="1876"/>
      <c r="OTH7" s="1876"/>
      <c r="OTI7" s="1876"/>
      <c r="OTJ7" s="1876"/>
      <c r="OTK7" s="1876"/>
      <c r="OTL7" s="1876"/>
      <c r="OTM7" s="1876"/>
      <c r="OTN7" s="1876"/>
      <c r="OTO7" s="1876"/>
      <c r="OTP7" s="1876"/>
      <c r="OTQ7" s="1876"/>
      <c r="OTR7" s="1876"/>
      <c r="OTS7" s="1876"/>
      <c r="OTT7" s="1876"/>
      <c r="OTU7" s="1876"/>
      <c r="OTV7" s="1876"/>
      <c r="OTW7" s="1876"/>
      <c r="OTX7" s="1876"/>
      <c r="OTY7" s="1876"/>
      <c r="OTZ7" s="1876"/>
      <c r="OUA7" s="1876"/>
      <c r="OUB7" s="1876"/>
      <c r="OUC7" s="1876"/>
      <c r="OUD7" s="1876"/>
      <c r="OUE7" s="1876"/>
      <c r="OUF7" s="1876"/>
      <c r="OUG7" s="1876"/>
      <c r="OUH7" s="1876"/>
      <c r="OUI7" s="1876"/>
      <c r="OUJ7" s="1876"/>
      <c r="OUK7" s="1876"/>
      <c r="OUL7" s="1876"/>
      <c r="OUM7" s="1876"/>
      <c r="OUN7" s="1876"/>
      <c r="OUO7" s="1876"/>
      <c r="OUP7" s="1876"/>
      <c r="OUQ7" s="1876"/>
      <c r="OUR7" s="1876"/>
      <c r="OUS7" s="1876"/>
      <c r="OUT7" s="1876"/>
      <c r="OUU7" s="1876"/>
      <c r="OUV7" s="1876"/>
      <c r="OUW7" s="1876"/>
      <c r="OUX7" s="1876"/>
      <c r="OUY7" s="1876"/>
      <c r="OUZ7" s="1876"/>
      <c r="OVA7" s="1876"/>
      <c r="OVB7" s="1876"/>
      <c r="OVC7" s="1876"/>
      <c r="OVD7" s="1876"/>
      <c r="OVE7" s="1876"/>
      <c r="OVF7" s="1876"/>
      <c r="OVG7" s="1876"/>
      <c r="OVH7" s="1876"/>
      <c r="OVI7" s="1876"/>
      <c r="OVJ7" s="1876"/>
      <c r="OVK7" s="1876"/>
      <c r="OVL7" s="1876"/>
      <c r="OVM7" s="1876"/>
      <c r="OVN7" s="1876"/>
      <c r="OVO7" s="1876"/>
      <c r="OVP7" s="1876"/>
      <c r="OVQ7" s="1876"/>
      <c r="OVR7" s="1876"/>
      <c r="OVS7" s="1876"/>
      <c r="OVT7" s="1876"/>
      <c r="OVU7" s="1876"/>
      <c r="OVV7" s="1876"/>
      <c r="OVW7" s="1876"/>
      <c r="OVX7" s="1876"/>
      <c r="OVY7" s="1876"/>
      <c r="OVZ7" s="1876"/>
      <c r="OWA7" s="1876"/>
      <c r="OWB7" s="1876"/>
      <c r="OWC7" s="1876"/>
      <c r="OWD7" s="1876"/>
      <c r="OWE7" s="1876"/>
      <c r="OWF7" s="1876"/>
      <c r="OWG7" s="1876"/>
      <c r="OWH7" s="1876"/>
      <c r="OWI7" s="1876"/>
      <c r="OWJ7" s="1876"/>
      <c r="OWK7" s="1876"/>
      <c r="OWL7" s="1876"/>
      <c r="OWM7" s="1876"/>
      <c r="OWN7" s="1876"/>
      <c r="OWO7" s="1876"/>
      <c r="OWP7" s="1876"/>
      <c r="OWQ7" s="1876"/>
      <c r="OWR7" s="1876"/>
      <c r="OWS7" s="1876"/>
      <c r="OWT7" s="1876"/>
      <c r="OWU7" s="1876"/>
      <c r="OWV7" s="1876"/>
      <c r="OWW7" s="1876"/>
      <c r="OWX7" s="1876"/>
      <c r="OWY7" s="1876"/>
      <c r="OWZ7" s="1876"/>
      <c r="OXA7" s="1876"/>
      <c r="OXB7" s="1876"/>
      <c r="OXC7" s="1876"/>
      <c r="OXD7" s="1876"/>
      <c r="OXE7" s="1876"/>
      <c r="OXF7" s="1876"/>
      <c r="OXG7" s="1876"/>
      <c r="OXH7" s="1876"/>
      <c r="OXI7" s="1876"/>
      <c r="OXJ7" s="1876"/>
      <c r="OXK7" s="1876"/>
      <c r="OXL7" s="1876"/>
      <c r="OXM7" s="1876"/>
      <c r="OXN7" s="1876"/>
      <c r="OXO7" s="1876"/>
      <c r="OXP7" s="1876"/>
      <c r="OXQ7" s="1876"/>
      <c r="OXR7" s="1876"/>
      <c r="OXS7" s="1876"/>
      <c r="OXT7" s="1876"/>
      <c r="OXU7" s="1876"/>
      <c r="OXV7" s="1876"/>
      <c r="OXW7" s="1876"/>
      <c r="OXX7" s="1876"/>
      <c r="OXY7" s="1876"/>
      <c r="OXZ7" s="1876"/>
      <c r="OYA7" s="1876"/>
      <c r="OYB7" s="1876"/>
      <c r="OYC7" s="1876"/>
      <c r="OYD7" s="1876"/>
      <c r="OYE7" s="1876"/>
      <c r="OYF7" s="1876"/>
      <c r="OYG7" s="1876"/>
      <c r="OYH7" s="1876"/>
      <c r="OYI7" s="1876"/>
      <c r="OYJ7" s="1876"/>
      <c r="OYK7" s="1876"/>
      <c r="OYL7" s="1876"/>
      <c r="OYM7" s="1876"/>
      <c r="OYN7" s="1876"/>
      <c r="OYO7" s="1876"/>
      <c r="OYP7" s="1876"/>
      <c r="OYQ7" s="1876"/>
      <c r="OYR7" s="1876"/>
      <c r="OYS7" s="1876"/>
      <c r="OYT7" s="1876"/>
      <c r="OYU7" s="1876"/>
      <c r="OYV7" s="1876"/>
      <c r="OYW7" s="1876"/>
      <c r="OYX7" s="1876"/>
      <c r="OYY7" s="1876"/>
      <c r="OYZ7" s="1876"/>
      <c r="OZA7" s="1876"/>
      <c r="OZB7" s="1876"/>
      <c r="OZC7" s="1876"/>
      <c r="OZD7" s="1876"/>
      <c r="OZE7" s="1876"/>
      <c r="OZF7" s="1876"/>
      <c r="OZG7" s="1876"/>
      <c r="OZH7" s="1876"/>
      <c r="OZI7" s="1876"/>
      <c r="OZJ7" s="1876"/>
      <c r="OZK7" s="1876"/>
      <c r="OZL7" s="1876"/>
      <c r="OZM7" s="1876"/>
      <c r="OZN7" s="1876"/>
      <c r="OZO7" s="1876"/>
      <c r="OZP7" s="1876"/>
      <c r="OZQ7" s="1876"/>
      <c r="OZR7" s="1876"/>
      <c r="OZS7" s="1876"/>
      <c r="OZT7" s="1876"/>
      <c r="OZU7" s="1876"/>
      <c r="OZV7" s="1876"/>
      <c r="OZW7" s="1876"/>
      <c r="OZX7" s="1876"/>
      <c r="OZY7" s="1876"/>
      <c r="OZZ7" s="1876"/>
      <c r="PAA7" s="1876"/>
      <c r="PAB7" s="1876"/>
      <c r="PAC7" s="1876"/>
      <c r="PAD7" s="1876"/>
      <c r="PAE7" s="1876"/>
      <c r="PAF7" s="1876"/>
      <c r="PAG7" s="1876"/>
      <c r="PAH7" s="1876"/>
      <c r="PAI7" s="1876"/>
      <c r="PAJ7" s="1876"/>
      <c r="PAK7" s="1876"/>
      <c r="PAL7" s="1876"/>
      <c r="PAM7" s="1876"/>
      <c r="PAN7" s="1876"/>
      <c r="PAO7" s="1876"/>
      <c r="PAP7" s="1876"/>
      <c r="PAQ7" s="1876"/>
      <c r="PAR7" s="1876"/>
      <c r="PAS7" s="1876"/>
      <c r="PAT7" s="1876"/>
      <c r="PAU7" s="1876"/>
      <c r="PAV7" s="1876"/>
      <c r="PAW7" s="1876"/>
      <c r="PAX7" s="1876"/>
      <c r="PAY7" s="1876"/>
      <c r="PAZ7" s="1876"/>
      <c r="PBA7" s="1876"/>
      <c r="PBB7" s="1876"/>
      <c r="PBC7" s="1876"/>
      <c r="PBD7" s="1876"/>
      <c r="PBE7" s="1876"/>
      <c r="PBF7" s="1876"/>
      <c r="PBG7" s="1876"/>
      <c r="PBH7" s="1876"/>
      <c r="PBI7" s="1876"/>
      <c r="PBJ7" s="1876"/>
      <c r="PBK7" s="1876"/>
      <c r="PBL7" s="1876"/>
      <c r="PBM7" s="1876"/>
      <c r="PBN7" s="1876"/>
      <c r="PBO7" s="1876"/>
      <c r="PBP7" s="1876"/>
      <c r="PBQ7" s="1876"/>
      <c r="PBR7" s="1876"/>
      <c r="PBS7" s="1876"/>
      <c r="PBT7" s="1876"/>
      <c r="PBU7" s="1876"/>
      <c r="PBV7" s="1876"/>
      <c r="PBW7" s="1876"/>
      <c r="PBX7" s="1876"/>
      <c r="PBY7" s="1876"/>
      <c r="PBZ7" s="1876"/>
      <c r="PCA7" s="1876"/>
      <c r="PCB7" s="1876"/>
      <c r="PCC7" s="1876"/>
      <c r="PCD7" s="1876"/>
      <c r="PCE7" s="1876"/>
      <c r="PCF7" s="1876"/>
      <c r="PCG7" s="1876"/>
      <c r="PCH7" s="1876"/>
      <c r="PCI7" s="1876"/>
      <c r="PCJ7" s="1876"/>
      <c r="PCK7" s="1876"/>
      <c r="PCL7" s="1876"/>
      <c r="PCM7" s="1876"/>
      <c r="PCN7" s="1876"/>
      <c r="PCO7" s="1876"/>
      <c r="PCP7" s="1876"/>
      <c r="PCQ7" s="1876"/>
      <c r="PCR7" s="1876"/>
      <c r="PCS7" s="1876"/>
      <c r="PCT7" s="1876"/>
      <c r="PCU7" s="1876"/>
      <c r="PCV7" s="1876"/>
      <c r="PCW7" s="1876"/>
      <c r="PCX7" s="1876"/>
      <c r="PCY7" s="1876"/>
      <c r="PCZ7" s="1876"/>
      <c r="PDA7" s="1876"/>
      <c r="PDB7" s="1876"/>
      <c r="PDC7" s="1876"/>
      <c r="PDD7" s="1876"/>
      <c r="PDE7" s="1876"/>
      <c r="PDF7" s="1876"/>
      <c r="PDG7" s="1876"/>
      <c r="PDH7" s="1876"/>
      <c r="PDI7" s="1876"/>
      <c r="PDJ7" s="1876"/>
      <c r="PDK7" s="1876"/>
      <c r="PDL7" s="1876"/>
      <c r="PDM7" s="1876"/>
      <c r="PDN7" s="1876"/>
      <c r="PDO7" s="1876"/>
      <c r="PDP7" s="1876"/>
      <c r="PDQ7" s="1876"/>
      <c r="PDR7" s="1876"/>
      <c r="PDS7" s="1876"/>
      <c r="PDT7" s="1876"/>
      <c r="PDU7" s="1876"/>
      <c r="PDV7" s="1876"/>
      <c r="PDW7" s="1876"/>
      <c r="PDX7" s="1876"/>
      <c r="PDY7" s="1876"/>
      <c r="PDZ7" s="1876"/>
      <c r="PEA7" s="1876"/>
      <c r="PEB7" s="1876"/>
      <c r="PEC7" s="1876"/>
      <c r="PED7" s="1876"/>
      <c r="PEE7" s="1876"/>
      <c r="PEF7" s="1876"/>
      <c r="PEG7" s="1876"/>
      <c r="PEH7" s="1876"/>
      <c r="PEI7" s="1876"/>
      <c r="PEJ7" s="1876"/>
      <c r="PEK7" s="1876"/>
      <c r="PEL7" s="1876"/>
      <c r="PEM7" s="1876"/>
      <c r="PEN7" s="1876"/>
      <c r="PEO7" s="1876"/>
      <c r="PEP7" s="1876"/>
      <c r="PEQ7" s="1876"/>
      <c r="PER7" s="1876"/>
      <c r="PES7" s="1876"/>
      <c r="PET7" s="1876"/>
      <c r="PEU7" s="1876"/>
      <c r="PEV7" s="1876"/>
      <c r="PEW7" s="1876"/>
      <c r="PEX7" s="1876"/>
      <c r="PEY7" s="1876"/>
      <c r="PEZ7" s="1876"/>
      <c r="PFA7" s="1876"/>
      <c r="PFB7" s="1876"/>
      <c r="PFC7" s="1876"/>
      <c r="PFD7" s="1876"/>
      <c r="PFE7" s="1876"/>
      <c r="PFF7" s="1876"/>
      <c r="PFG7" s="1876"/>
      <c r="PFH7" s="1876"/>
      <c r="PFI7" s="1876"/>
      <c r="PFJ7" s="1876"/>
      <c r="PFK7" s="1876"/>
      <c r="PFL7" s="1876"/>
      <c r="PFM7" s="1876"/>
      <c r="PFN7" s="1876"/>
      <c r="PFO7" s="1876"/>
      <c r="PFP7" s="1876"/>
      <c r="PFQ7" s="1876"/>
      <c r="PFR7" s="1876"/>
      <c r="PFS7" s="1876"/>
      <c r="PFT7" s="1876"/>
      <c r="PFU7" s="1876"/>
      <c r="PFV7" s="1876"/>
      <c r="PFW7" s="1876"/>
      <c r="PFX7" s="1876"/>
      <c r="PFY7" s="1876"/>
      <c r="PFZ7" s="1876"/>
      <c r="PGA7" s="1876"/>
      <c r="PGB7" s="1876"/>
      <c r="PGC7" s="1876"/>
      <c r="PGD7" s="1876"/>
      <c r="PGE7" s="1876"/>
      <c r="PGF7" s="1876"/>
      <c r="PGG7" s="1876"/>
      <c r="PGH7" s="1876"/>
      <c r="PGI7" s="1876"/>
      <c r="PGJ7" s="1876"/>
      <c r="PGK7" s="1876"/>
      <c r="PGL7" s="1876"/>
      <c r="PGM7" s="1876"/>
      <c r="PGN7" s="1876"/>
      <c r="PGO7" s="1876"/>
      <c r="PGP7" s="1876"/>
      <c r="PGQ7" s="1876"/>
      <c r="PGR7" s="1876"/>
      <c r="PGS7" s="1876"/>
      <c r="PGT7" s="1876"/>
      <c r="PGU7" s="1876"/>
      <c r="PGV7" s="1876"/>
      <c r="PGW7" s="1876"/>
      <c r="PGX7" s="1876"/>
      <c r="PGY7" s="1876"/>
      <c r="PGZ7" s="1876"/>
      <c r="PHA7" s="1876"/>
      <c r="PHB7" s="1876"/>
      <c r="PHC7" s="1876"/>
      <c r="PHD7" s="1876"/>
      <c r="PHE7" s="1876"/>
      <c r="PHF7" s="1876"/>
      <c r="PHG7" s="1876"/>
      <c r="PHH7" s="1876"/>
      <c r="PHI7" s="1876"/>
      <c r="PHJ7" s="1876"/>
      <c r="PHK7" s="1876"/>
      <c r="PHL7" s="1876"/>
      <c r="PHM7" s="1876"/>
      <c r="PHN7" s="1876"/>
      <c r="PHO7" s="1876"/>
      <c r="PHP7" s="1876"/>
      <c r="PHQ7" s="1876"/>
      <c r="PHR7" s="1876"/>
      <c r="PHS7" s="1876"/>
      <c r="PHT7" s="1876"/>
      <c r="PHU7" s="1876"/>
      <c r="PHV7" s="1876"/>
      <c r="PHW7" s="1876"/>
      <c r="PHX7" s="1876"/>
      <c r="PHY7" s="1876"/>
      <c r="PHZ7" s="1876"/>
      <c r="PIA7" s="1876"/>
      <c r="PIB7" s="1876"/>
      <c r="PIC7" s="1876"/>
      <c r="PID7" s="1876"/>
      <c r="PIE7" s="1876"/>
      <c r="PIF7" s="1876"/>
      <c r="PIG7" s="1876"/>
      <c r="PIH7" s="1876"/>
      <c r="PII7" s="1876"/>
      <c r="PIJ7" s="1876"/>
      <c r="PIK7" s="1876"/>
      <c r="PIL7" s="1876"/>
      <c r="PIM7" s="1876"/>
      <c r="PIN7" s="1876"/>
      <c r="PIO7" s="1876"/>
      <c r="PIP7" s="1876"/>
      <c r="PIQ7" s="1876"/>
      <c r="PIR7" s="1876"/>
      <c r="PIS7" s="1876"/>
      <c r="PIT7" s="1876"/>
      <c r="PIU7" s="1876"/>
      <c r="PIV7" s="1876"/>
      <c r="PIW7" s="1876"/>
      <c r="PIX7" s="1876"/>
      <c r="PIY7" s="1876"/>
      <c r="PIZ7" s="1876"/>
      <c r="PJA7" s="1876"/>
      <c r="PJB7" s="1876"/>
      <c r="PJC7" s="1876"/>
      <c r="PJD7" s="1876"/>
      <c r="PJE7" s="1876"/>
      <c r="PJF7" s="1876"/>
      <c r="PJG7" s="1876"/>
      <c r="PJH7" s="1876"/>
      <c r="PJI7" s="1876"/>
      <c r="PJJ7" s="1876"/>
      <c r="PJK7" s="1876"/>
      <c r="PJL7" s="1876"/>
      <c r="PJM7" s="1876"/>
      <c r="PJN7" s="1876"/>
      <c r="PJO7" s="1876"/>
      <c r="PJP7" s="1876"/>
      <c r="PJQ7" s="1876"/>
      <c r="PJR7" s="1876"/>
      <c r="PJS7" s="1876"/>
      <c r="PJT7" s="1876"/>
      <c r="PJU7" s="1876"/>
      <c r="PJV7" s="1876"/>
      <c r="PJW7" s="1876"/>
      <c r="PJX7" s="1876"/>
      <c r="PJY7" s="1876"/>
      <c r="PJZ7" s="1876"/>
      <c r="PKA7" s="1876"/>
      <c r="PKB7" s="1876"/>
      <c r="PKC7" s="1876"/>
      <c r="PKD7" s="1876"/>
      <c r="PKE7" s="1876"/>
      <c r="PKF7" s="1876"/>
      <c r="PKG7" s="1876"/>
      <c r="PKH7" s="1876"/>
      <c r="PKI7" s="1876"/>
      <c r="PKJ7" s="1876"/>
      <c r="PKK7" s="1876"/>
      <c r="PKL7" s="1876"/>
      <c r="PKM7" s="1876"/>
      <c r="PKN7" s="1876"/>
      <c r="PKO7" s="1876"/>
      <c r="PKP7" s="1876"/>
      <c r="PKQ7" s="1876"/>
      <c r="PKR7" s="1876"/>
      <c r="PKS7" s="1876"/>
      <c r="PKT7" s="1876"/>
      <c r="PKU7" s="1876"/>
      <c r="PKV7" s="1876"/>
      <c r="PKW7" s="1876"/>
      <c r="PKX7" s="1876"/>
      <c r="PKY7" s="1876"/>
      <c r="PKZ7" s="1876"/>
      <c r="PLA7" s="1876"/>
      <c r="PLB7" s="1876"/>
      <c r="PLC7" s="1876"/>
      <c r="PLD7" s="1876"/>
      <c r="PLE7" s="1876"/>
      <c r="PLF7" s="1876"/>
      <c r="PLG7" s="1876"/>
      <c r="PLH7" s="1876"/>
      <c r="PLI7" s="1876"/>
      <c r="PLJ7" s="1876"/>
      <c r="PLK7" s="1876"/>
      <c r="PLL7" s="1876"/>
      <c r="PLM7" s="1876"/>
      <c r="PLN7" s="1876"/>
      <c r="PLO7" s="1876"/>
      <c r="PLP7" s="1876"/>
      <c r="PLQ7" s="1876"/>
      <c r="PLR7" s="1876"/>
      <c r="PLS7" s="1876"/>
      <c r="PLT7" s="1876"/>
      <c r="PLU7" s="1876"/>
      <c r="PLV7" s="1876"/>
      <c r="PLW7" s="1876"/>
      <c r="PLX7" s="1876"/>
      <c r="PLY7" s="1876"/>
      <c r="PLZ7" s="1876"/>
      <c r="PMA7" s="1876"/>
      <c r="PMB7" s="1876"/>
      <c r="PMC7" s="1876"/>
      <c r="PMD7" s="1876"/>
      <c r="PME7" s="1876"/>
      <c r="PMF7" s="1876"/>
      <c r="PMG7" s="1876"/>
      <c r="PMH7" s="1876"/>
      <c r="PMI7" s="1876"/>
      <c r="PMJ7" s="1876"/>
      <c r="PMK7" s="1876"/>
      <c r="PML7" s="1876"/>
      <c r="PMM7" s="1876"/>
      <c r="PMN7" s="1876"/>
      <c r="PMO7" s="1876"/>
      <c r="PMP7" s="1876"/>
      <c r="PMQ7" s="1876"/>
      <c r="PMR7" s="1876"/>
      <c r="PMS7" s="1876"/>
      <c r="PMT7" s="1876"/>
      <c r="PMU7" s="1876"/>
      <c r="PMV7" s="1876"/>
      <c r="PMW7" s="1876"/>
      <c r="PMX7" s="1876"/>
      <c r="PMY7" s="1876"/>
      <c r="PMZ7" s="1876"/>
      <c r="PNA7" s="1876"/>
      <c r="PNB7" s="1876"/>
      <c r="PNC7" s="1876"/>
      <c r="PND7" s="1876"/>
      <c r="PNE7" s="1876"/>
      <c r="PNF7" s="1876"/>
      <c r="PNG7" s="1876"/>
      <c r="PNH7" s="1876"/>
      <c r="PNI7" s="1876"/>
      <c r="PNJ7" s="1876"/>
      <c r="PNK7" s="1876"/>
      <c r="PNL7" s="1876"/>
      <c r="PNM7" s="1876"/>
      <c r="PNN7" s="1876"/>
      <c r="PNO7" s="1876"/>
      <c r="PNP7" s="1876"/>
      <c r="PNQ7" s="1876"/>
      <c r="PNR7" s="1876"/>
      <c r="PNS7" s="1876"/>
      <c r="PNT7" s="1876"/>
      <c r="PNU7" s="1876"/>
      <c r="PNV7" s="1876"/>
      <c r="PNW7" s="1876"/>
      <c r="PNX7" s="1876"/>
      <c r="PNY7" s="1876"/>
      <c r="PNZ7" s="1876"/>
      <c r="POA7" s="1876"/>
      <c r="POB7" s="1876"/>
      <c r="POC7" s="1876"/>
      <c r="POD7" s="1876"/>
      <c r="POE7" s="1876"/>
      <c r="POF7" s="1876"/>
      <c r="POG7" s="1876"/>
      <c r="POH7" s="1876"/>
      <c r="POI7" s="1876"/>
      <c r="POJ7" s="1876"/>
      <c r="POK7" s="1876"/>
      <c r="POL7" s="1876"/>
      <c r="POM7" s="1876"/>
      <c r="PON7" s="1876"/>
      <c r="POO7" s="1876"/>
      <c r="POP7" s="1876"/>
      <c r="POQ7" s="1876"/>
      <c r="POR7" s="1876"/>
      <c r="POS7" s="1876"/>
      <c r="POT7" s="1876"/>
      <c r="POU7" s="1876"/>
      <c r="POV7" s="1876"/>
      <c r="POW7" s="1876"/>
      <c r="POX7" s="1876"/>
      <c r="POY7" s="1876"/>
      <c r="POZ7" s="1876"/>
      <c r="PPA7" s="1876"/>
      <c r="PPB7" s="1876"/>
      <c r="PPC7" s="1876"/>
      <c r="PPD7" s="1876"/>
      <c r="PPE7" s="1876"/>
      <c r="PPF7" s="1876"/>
      <c r="PPG7" s="1876"/>
      <c r="PPH7" s="1876"/>
      <c r="PPI7" s="1876"/>
      <c r="PPJ7" s="1876"/>
      <c r="PPK7" s="1876"/>
      <c r="PPL7" s="1876"/>
      <c r="PPM7" s="1876"/>
      <c r="PPN7" s="1876"/>
      <c r="PPO7" s="1876"/>
      <c r="PPP7" s="1876"/>
      <c r="PPQ7" s="1876"/>
      <c r="PPR7" s="1876"/>
      <c r="PPS7" s="1876"/>
      <c r="PPT7" s="1876"/>
      <c r="PPU7" s="1876"/>
      <c r="PPV7" s="1876"/>
      <c r="PPW7" s="1876"/>
      <c r="PPX7" s="1876"/>
      <c r="PPY7" s="1876"/>
      <c r="PPZ7" s="1876"/>
      <c r="PQA7" s="1876"/>
      <c r="PQB7" s="1876"/>
      <c r="PQC7" s="1876"/>
      <c r="PQD7" s="1876"/>
      <c r="PQE7" s="1876"/>
      <c r="PQF7" s="1876"/>
      <c r="PQG7" s="1876"/>
      <c r="PQH7" s="1876"/>
      <c r="PQI7" s="1876"/>
      <c r="PQJ7" s="1876"/>
      <c r="PQK7" s="1876"/>
      <c r="PQL7" s="1876"/>
      <c r="PQM7" s="1876"/>
      <c r="PQN7" s="1876"/>
      <c r="PQO7" s="1876"/>
      <c r="PQP7" s="1876"/>
      <c r="PQQ7" s="1876"/>
      <c r="PQR7" s="1876"/>
      <c r="PQS7" s="1876"/>
      <c r="PQT7" s="1876"/>
      <c r="PQU7" s="1876"/>
      <c r="PQV7" s="1876"/>
      <c r="PQW7" s="1876"/>
      <c r="PQX7" s="1876"/>
      <c r="PQY7" s="1876"/>
      <c r="PQZ7" s="1876"/>
      <c r="PRA7" s="1876"/>
      <c r="PRB7" s="1876"/>
      <c r="PRC7" s="1876"/>
      <c r="PRD7" s="1876"/>
      <c r="PRE7" s="1876"/>
      <c r="PRF7" s="1876"/>
      <c r="PRG7" s="1876"/>
      <c r="PRH7" s="1876"/>
      <c r="PRI7" s="1876"/>
      <c r="PRJ7" s="1876"/>
      <c r="PRK7" s="1876"/>
      <c r="PRL7" s="1876"/>
      <c r="PRM7" s="1876"/>
      <c r="PRN7" s="1876"/>
      <c r="PRO7" s="1876"/>
      <c r="PRP7" s="1876"/>
      <c r="PRQ7" s="1876"/>
      <c r="PRR7" s="1876"/>
      <c r="PRS7" s="1876"/>
      <c r="PRT7" s="1876"/>
      <c r="PRU7" s="1876"/>
      <c r="PRV7" s="1876"/>
      <c r="PRW7" s="1876"/>
      <c r="PRX7" s="1876"/>
      <c r="PRY7" s="1876"/>
      <c r="PRZ7" s="1876"/>
      <c r="PSA7" s="1876"/>
      <c r="PSB7" s="1876"/>
      <c r="PSC7" s="1876"/>
      <c r="PSD7" s="1876"/>
      <c r="PSE7" s="1876"/>
      <c r="PSF7" s="1876"/>
      <c r="PSG7" s="1876"/>
      <c r="PSH7" s="1876"/>
      <c r="PSI7" s="1876"/>
      <c r="PSJ7" s="1876"/>
      <c r="PSK7" s="1876"/>
      <c r="PSL7" s="1876"/>
      <c r="PSM7" s="1876"/>
      <c r="PSN7" s="1876"/>
      <c r="PSO7" s="1876"/>
      <c r="PSP7" s="1876"/>
      <c r="PSQ7" s="1876"/>
      <c r="PSR7" s="1876"/>
      <c r="PSS7" s="1876"/>
      <c r="PST7" s="1876"/>
      <c r="PSU7" s="1876"/>
      <c r="PSV7" s="1876"/>
      <c r="PSW7" s="1876"/>
      <c r="PSX7" s="1876"/>
      <c r="PSY7" s="1876"/>
      <c r="PSZ7" s="1876"/>
      <c r="PTA7" s="1876"/>
      <c r="PTB7" s="1876"/>
      <c r="PTC7" s="1876"/>
      <c r="PTD7" s="1876"/>
      <c r="PTE7" s="1876"/>
      <c r="PTF7" s="1876"/>
      <c r="PTG7" s="1876"/>
      <c r="PTH7" s="1876"/>
      <c r="PTI7" s="1876"/>
      <c r="PTJ7" s="1876"/>
      <c r="PTK7" s="1876"/>
      <c r="PTL7" s="1876"/>
      <c r="PTM7" s="1876"/>
      <c r="PTN7" s="1876"/>
      <c r="PTO7" s="1876"/>
      <c r="PTP7" s="1876"/>
      <c r="PTQ7" s="1876"/>
      <c r="PTR7" s="1876"/>
      <c r="PTS7" s="1876"/>
      <c r="PTT7" s="1876"/>
      <c r="PTU7" s="1876"/>
      <c r="PTV7" s="1876"/>
      <c r="PTW7" s="1876"/>
      <c r="PTX7" s="1876"/>
      <c r="PTY7" s="1876"/>
      <c r="PTZ7" s="1876"/>
      <c r="PUA7" s="1876"/>
      <c r="PUB7" s="1876"/>
      <c r="PUC7" s="1876"/>
      <c r="PUD7" s="1876"/>
      <c r="PUE7" s="1876"/>
      <c r="PUF7" s="1876"/>
      <c r="PUG7" s="1876"/>
      <c r="PUH7" s="1876"/>
      <c r="PUI7" s="1876"/>
      <c r="PUJ7" s="1876"/>
      <c r="PUK7" s="1876"/>
      <c r="PUL7" s="1876"/>
      <c r="PUM7" s="1876"/>
      <c r="PUN7" s="1876"/>
      <c r="PUO7" s="1876"/>
      <c r="PUP7" s="1876"/>
      <c r="PUQ7" s="1876"/>
      <c r="PUR7" s="1876"/>
      <c r="PUS7" s="1876"/>
      <c r="PUT7" s="1876"/>
      <c r="PUU7" s="1876"/>
      <c r="PUV7" s="1876"/>
      <c r="PUW7" s="1876"/>
      <c r="PUX7" s="1876"/>
      <c r="PUY7" s="1876"/>
      <c r="PUZ7" s="1876"/>
      <c r="PVA7" s="1876"/>
      <c r="PVB7" s="1876"/>
      <c r="PVC7" s="1876"/>
      <c r="PVD7" s="1876"/>
      <c r="PVE7" s="1876"/>
      <c r="PVF7" s="1876"/>
      <c r="PVG7" s="1876"/>
      <c r="PVH7" s="1876"/>
      <c r="PVI7" s="1876"/>
      <c r="PVJ7" s="1876"/>
      <c r="PVK7" s="1876"/>
      <c r="PVL7" s="1876"/>
      <c r="PVM7" s="1876"/>
      <c r="PVN7" s="1876"/>
      <c r="PVO7" s="1876"/>
      <c r="PVP7" s="1876"/>
      <c r="PVQ7" s="1876"/>
      <c r="PVR7" s="1876"/>
      <c r="PVS7" s="1876"/>
      <c r="PVT7" s="1876"/>
      <c r="PVU7" s="1876"/>
      <c r="PVV7" s="1876"/>
      <c r="PVW7" s="1876"/>
      <c r="PVX7" s="1876"/>
      <c r="PVY7" s="1876"/>
      <c r="PVZ7" s="1876"/>
      <c r="PWA7" s="1876"/>
      <c r="PWB7" s="1876"/>
      <c r="PWC7" s="1876"/>
      <c r="PWD7" s="1876"/>
      <c r="PWE7" s="1876"/>
      <c r="PWF7" s="1876"/>
      <c r="PWG7" s="1876"/>
      <c r="PWH7" s="1876"/>
      <c r="PWI7" s="1876"/>
      <c r="PWJ7" s="1876"/>
      <c r="PWK7" s="1876"/>
      <c r="PWL7" s="1876"/>
      <c r="PWM7" s="1876"/>
      <c r="PWN7" s="1876"/>
      <c r="PWO7" s="1876"/>
      <c r="PWP7" s="1876"/>
      <c r="PWQ7" s="1876"/>
      <c r="PWR7" s="1876"/>
      <c r="PWS7" s="1876"/>
      <c r="PWT7" s="1876"/>
      <c r="PWU7" s="1876"/>
      <c r="PWV7" s="1876"/>
      <c r="PWW7" s="1876"/>
      <c r="PWX7" s="1876"/>
      <c r="PWY7" s="1876"/>
      <c r="PWZ7" s="1876"/>
      <c r="PXA7" s="1876"/>
      <c r="PXB7" s="1876"/>
      <c r="PXC7" s="1876"/>
      <c r="PXD7" s="1876"/>
      <c r="PXE7" s="1876"/>
      <c r="PXF7" s="1876"/>
      <c r="PXG7" s="1876"/>
      <c r="PXH7" s="1876"/>
      <c r="PXI7" s="1876"/>
      <c r="PXJ7" s="1876"/>
      <c r="PXK7" s="1876"/>
      <c r="PXL7" s="1876"/>
      <c r="PXM7" s="1876"/>
      <c r="PXN7" s="1876"/>
      <c r="PXO7" s="1876"/>
      <c r="PXP7" s="1876"/>
      <c r="PXQ7" s="1876"/>
      <c r="PXR7" s="1876"/>
      <c r="PXS7" s="1876"/>
      <c r="PXT7" s="1876"/>
      <c r="PXU7" s="1876"/>
      <c r="PXV7" s="1876"/>
      <c r="PXW7" s="1876"/>
      <c r="PXX7" s="1876"/>
      <c r="PXY7" s="1876"/>
      <c r="PXZ7" s="1876"/>
      <c r="PYA7" s="1876"/>
      <c r="PYB7" s="1876"/>
      <c r="PYC7" s="1876"/>
      <c r="PYD7" s="1876"/>
      <c r="PYE7" s="1876"/>
      <c r="PYF7" s="1876"/>
      <c r="PYG7" s="1876"/>
      <c r="PYH7" s="1876"/>
      <c r="PYI7" s="1876"/>
      <c r="PYJ7" s="1876"/>
      <c r="PYK7" s="1876"/>
      <c r="PYL7" s="1876"/>
      <c r="PYM7" s="1876"/>
      <c r="PYN7" s="1876"/>
      <c r="PYO7" s="1876"/>
      <c r="PYP7" s="1876"/>
      <c r="PYQ7" s="1876"/>
      <c r="PYR7" s="1876"/>
      <c r="PYS7" s="1876"/>
      <c r="PYT7" s="1876"/>
      <c r="PYU7" s="1876"/>
      <c r="PYV7" s="1876"/>
      <c r="PYW7" s="1876"/>
      <c r="PYX7" s="1876"/>
      <c r="PYY7" s="1876"/>
      <c r="PYZ7" s="1876"/>
      <c r="PZA7" s="1876"/>
      <c r="PZB7" s="1876"/>
      <c r="PZC7" s="1876"/>
      <c r="PZD7" s="1876"/>
      <c r="PZE7" s="1876"/>
      <c r="PZF7" s="1876"/>
      <c r="PZG7" s="1876"/>
      <c r="PZH7" s="1876"/>
      <c r="PZI7" s="1876"/>
      <c r="PZJ7" s="1876"/>
      <c r="PZK7" s="1876"/>
      <c r="PZL7" s="1876"/>
      <c r="PZM7" s="1876"/>
      <c r="PZN7" s="1876"/>
      <c r="PZO7" s="1876"/>
      <c r="PZP7" s="1876"/>
      <c r="PZQ7" s="1876"/>
      <c r="PZR7" s="1876"/>
      <c r="PZS7" s="1876"/>
      <c r="PZT7" s="1876"/>
      <c r="PZU7" s="1876"/>
      <c r="PZV7" s="1876"/>
      <c r="PZW7" s="1876"/>
      <c r="PZX7" s="1876"/>
      <c r="PZY7" s="1876"/>
      <c r="PZZ7" s="1876"/>
      <c r="QAA7" s="1876"/>
      <c r="QAB7" s="1876"/>
      <c r="QAC7" s="1876"/>
      <c r="QAD7" s="1876"/>
      <c r="QAE7" s="1876"/>
      <c r="QAF7" s="1876"/>
      <c r="QAG7" s="1876"/>
      <c r="QAH7" s="1876"/>
      <c r="QAI7" s="1876"/>
      <c r="QAJ7" s="1876"/>
      <c r="QAK7" s="1876"/>
      <c r="QAL7" s="1876"/>
      <c r="QAM7" s="1876"/>
      <c r="QAN7" s="1876"/>
      <c r="QAO7" s="1876"/>
      <c r="QAP7" s="1876"/>
      <c r="QAQ7" s="1876"/>
      <c r="QAR7" s="1876"/>
      <c r="QAS7" s="1876"/>
      <c r="QAT7" s="1876"/>
      <c r="QAU7" s="1876"/>
      <c r="QAV7" s="1876"/>
      <c r="QAW7" s="1876"/>
      <c r="QAX7" s="1876"/>
      <c r="QAY7" s="1876"/>
      <c r="QAZ7" s="1876"/>
      <c r="QBA7" s="1876"/>
      <c r="QBB7" s="1876"/>
      <c r="QBC7" s="1876"/>
      <c r="QBD7" s="1876"/>
      <c r="QBE7" s="1876"/>
      <c r="QBF7" s="1876"/>
      <c r="QBG7" s="1876"/>
      <c r="QBH7" s="1876"/>
      <c r="QBI7" s="1876"/>
      <c r="QBJ7" s="1876"/>
      <c r="QBK7" s="1876"/>
      <c r="QBL7" s="1876"/>
      <c r="QBM7" s="1876"/>
      <c r="QBN7" s="1876"/>
      <c r="QBO7" s="1876"/>
      <c r="QBP7" s="1876"/>
      <c r="QBQ7" s="1876"/>
      <c r="QBR7" s="1876"/>
      <c r="QBS7" s="1876"/>
      <c r="QBT7" s="1876"/>
      <c r="QBU7" s="1876"/>
      <c r="QBV7" s="1876"/>
      <c r="QBW7" s="1876"/>
      <c r="QBX7" s="1876"/>
      <c r="QBY7" s="1876"/>
      <c r="QBZ7" s="1876"/>
      <c r="QCA7" s="1876"/>
      <c r="QCB7" s="1876"/>
      <c r="QCC7" s="1876"/>
      <c r="QCD7" s="1876"/>
      <c r="QCE7" s="1876"/>
      <c r="QCF7" s="1876"/>
      <c r="QCG7" s="1876"/>
      <c r="QCH7" s="1876"/>
      <c r="QCI7" s="1876"/>
      <c r="QCJ7" s="1876"/>
      <c r="QCK7" s="1876"/>
      <c r="QCL7" s="1876"/>
      <c r="QCM7" s="1876"/>
      <c r="QCN7" s="1876"/>
      <c r="QCO7" s="1876"/>
      <c r="QCP7" s="1876"/>
      <c r="QCQ7" s="1876"/>
      <c r="QCR7" s="1876"/>
      <c r="QCS7" s="1876"/>
      <c r="QCT7" s="1876"/>
      <c r="QCU7" s="1876"/>
      <c r="QCV7" s="1876"/>
      <c r="QCW7" s="1876"/>
      <c r="QCX7" s="1876"/>
      <c r="QCY7" s="1876"/>
      <c r="QCZ7" s="1876"/>
      <c r="QDA7" s="1876"/>
      <c r="QDB7" s="1876"/>
      <c r="QDC7" s="1876"/>
      <c r="QDD7" s="1876"/>
      <c r="QDE7" s="1876"/>
      <c r="QDF7" s="1876"/>
      <c r="QDG7" s="1876"/>
      <c r="QDH7" s="1876"/>
      <c r="QDI7" s="1876"/>
      <c r="QDJ7" s="1876"/>
      <c r="QDK7" s="1876"/>
      <c r="QDL7" s="1876"/>
      <c r="QDM7" s="1876"/>
      <c r="QDN7" s="1876"/>
      <c r="QDO7" s="1876"/>
      <c r="QDP7" s="1876"/>
      <c r="QDQ7" s="1876"/>
      <c r="QDR7" s="1876"/>
      <c r="QDS7" s="1876"/>
      <c r="QDT7" s="1876"/>
      <c r="QDU7" s="1876"/>
      <c r="QDV7" s="1876"/>
      <c r="QDW7" s="1876"/>
      <c r="QDX7" s="1876"/>
      <c r="QDY7" s="1876"/>
      <c r="QDZ7" s="1876"/>
      <c r="QEA7" s="1876"/>
      <c r="QEB7" s="1876"/>
      <c r="QEC7" s="1876"/>
      <c r="QED7" s="1876"/>
      <c r="QEE7" s="1876"/>
      <c r="QEF7" s="1876"/>
      <c r="QEG7" s="1876"/>
      <c r="QEH7" s="1876"/>
      <c r="QEI7" s="1876"/>
      <c r="QEJ7" s="1876"/>
      <c r="QEK7" s="1876"/>
      <c r="QEL7" s="1876"/>
      <c r="QEM7" s="1876"/>
      <c r="QEN7" s="1876"/>
      <c r="QEO7" s="1876"/>
      <c r="QEP7" s="1876"/>
      <c r="QEQ7" s="1876"/>
      <c r="QER7" s="1876"/>
      <c r="QES7" s="1876"/>
      <c r="QET7" s="1876"/>
      <c r="QEU7" s="1876"/>
      <c r="QEV7" s="1876"/>
      <c r="QEW7" s="1876"/>
      <c r="QEX7" s="1876"/>
      <c r="QEY7" s="1876"/>
      <c r="QEZ7" s="1876"/>
      <c r="QFA7" s="1876"/>
      <c r="QFB7" s="1876"/>
      <c r="QFC7" s="1876"/>
      <c r="QFD7" s="1876"/>
      <c r="QFE7" s="1876"/>
      <c r="QFF7" s="1876"/>
      <c r="QFG7" s="1876"/>
      <c r="QFH7" s="1876"/>
      <c r="QFI7" s="1876"/>
      <c r="QFJ7" s="1876"/>
      <c r="QFK7" s="1876"/>
      <c r="QFL7" s="1876"/>
      <c r="QFM7" s="1876"/>
      <c r="QFN7" s="1876"/>
      <c r="QFO7" s="1876"/>
      <c r="QFP7" s="1876"/>
      <c r="QFQ7" s="1876"/>
      <c r="QFR7" s="1876"/>
      <c r="QFS7" s="1876"/>
      <c r="QFT7" s="1876"/>
      <c r="QFU7" s="1876"/>
      <c r="QFV7" s="1876"/>
      <c r="QFW7" s="1876"/>
      <c r="QFX7" s="1876"/>
      <c r="QFY7" s="1876"/>
      <c r="QFZ7" s="1876"/>
      <c r="QGA7" s="1876"/>
      <c r="QGB7" s="1876"/>
      <c r="QGC7" s="1876"/>
      <c r="QGD7" s="1876"/>
      <c r="QGE7" s="1876"/>
      <c r="QGF7" s="1876"/>
      <c r="QGG7" s="1876"/>
      <c r="QGH7" s="1876"/>
      <c r="QGI7" s="1876"/>
      <c r="QGJ7" s="1876"/>
      <c r="QGK7" s="1876"/>
      <c r="QGL7" s="1876"/>
      <c r="QGM7" s="1876"/>
      <c r="QGN7" s="1876"/>
      <c r="QGO7" s="1876"/>
      <c r="QGP7" s="1876"/>
      <c r="QGQ7" s="1876"/>
      <c r="QGR7" s="1876"/>
      <c r="QGS7" s="1876"/>
      <c r="QGT7" s="1876"/>
      <c r="QGU7" s="1876"/>
      <c r="QGV7" s="1876"/>
      <c r="QGW7" s="1876"/>
      <c r="QGX7" s="1876"/>
      <c r="QGY7" s="1876"/>
      <c r="QGZ7" s="1876"/>
      <c r="QHA7" s="1876"/>
      <c r="QHB7" s="1876"/>
      <c r="QHC7" s="1876"/>
      <c r="QHD7" s="1876"/>
      <c r="QHE7" s="1876"/>
      <c r="QHF7" s="1876"/>
      <c r="QHG7" s="1876"/>
      <c r="QHH7" s="1876"/>
      <c r="QHI7" s="1876"/>
      <c r="QHJ7" s="1876"/>
      <c r="QHK7" s="1876"/>
      <c r="QHL7" s="1876"/>
      <c r="QHM7" s="1876"/>
      <c r="QHN7" s="1876"/>
      <c r="QHO7" s="1876"/>
      <c r="QHP7" s="1876"/>
      <c r="QHQ7" s="1876"/>
      <c r="QHR7" s="1876"/>
      <c r="QHS7" s="1876"/>
      <c r="QHT7" s="1876"/>
      <c r="QHU7" s="1876"/>
      <c r="QHV7" s="1876"/>
      <c r="QHW7" s="1876"/>
      <c r="QHX7" s="1876"/>
      <c r="QHY7" s="1876"/>
      <c r="QHZ7" s="1876"/>
      <c r="QIA7" s="1876"/>
      <c r="QIB7" s="1876"/>
      <c r="QIC7" s="1876"/>
      <c r="QID7" s="1876"/>
      <c r="QIE7" s="1876"/>
      <c r="QIF7" s="1876"/>
      <c r="QIG7" s="1876"/>
      <c r="QIH7" s="1876"/>
      <c r="QII7" s="1876"/>
      <c r="QIJ7" s="1876"/>
      <c r="QIK7" s="1876"/>
      <c r="QIL7" s="1876"/>
      <c r="QIM7" s="1876"/>
      <c r="QIN7" s="1876"/>
      <c r="QIO7" s="1876"/>
      <c r="QIP7" s="1876"/>
      <c r="QIQ7" s="1876"/>
      <c r="QIR7" s="1876"/>
      <c r="QIS7" s="1876"/>
      <c r="QIT7" s="1876"/>
      <c r="QIU7" s="1876"/>
      <c r="QIV7" s="1876"/>
      <c r="QIW7" s="1876"/>
      <c r="QIX7" s="1876"/>
      <c r="QIY7" s="1876"/>
      <c r="QIZ7" s="1876"/>
      <c r="QJA7" s="1876"/>
      <c r="QJB7" s="1876"/>
      <c r="QJC7" s="1876"/>
      <c r="QJD7" s="1876"/>
      <c r="QJE7" s="1876"/>
      <c r="QJF7" s="1876"/>
      <c r="QJG7" s="1876"/>
      <c r="QJH7" s="1876"/>
      <c r="QJI7" s="1876"/>
      <c r="QJJ7" s="1876"/>
      <c r="QJK7" s="1876"/>
      <c r="QJL7" s="1876"/>
      <c r="QJM7" s="1876"/>
      <c r="QJN7" s="1876"/>
      <c r="QJO7" s="1876"/>
      <c r="QJP7" s="1876"/>
      <c r="QJQ7" s="1876"/>
      <c r="QJR7" s="1876"/>
      <c r="QJS7" s="1876"/>
      <c r="QJT7" s="1876"/>
      <c r="QJU7" s="1876"/>
      <c r="QJV7" s="1876"/>
      <c r="QJW7" s="1876"/>
      <c r="QJX7" s="1876"/>
      <c r="QJY7" s="1876"/>
      <c r="QJZ7" s="1876"/>
      <c r="QKA7" s="1876"/>
      <c r="QKB7" s="1876"/>
      <c r="QKC7" s="1876"/>
      <c r="QKD7" s="1876"/>
      <c r="QKE7" s="1876"/>
      <c r="QKF7" s="1876"/>
      <c r="QKG7" s="1876"/>
      <c r="QKH7" s="1876"/>
      <c r="QKI7" s="1876"/>
      <c r="QKJ7" s="1876"/>
      <c r="QKK7" s="1876"/>
      <c r="QKL7" s="1876"/>
      <c r="QKM7" s="1876"/>
      <c r="QKN7" s="1876"/>
      <c r="QKO7" s="1876"/>
      <c r="QKP7" s="1876"/>
      <c r="QKQ7" s="1876"/>
      <c r="QKR7" s="1876"/>
      <c r="QKS7" s="1876"/>
      <c r="QKT7" s="1876"/>
      <c r="QKU7" s="1876"/>
      <c r="QKV7" s="1876"/>
      <c r="QKW7" s="1876"/>
      <c r="QKX7" s="1876"/>
      <c r="QKY7" s="1876"/>
      <c r="QKZ7" s="1876"/>
      <c r="QLA7" s="1876"/>
      <c r="QLB7" s="1876"/>
      <c r="QLC7" s="1876"/>
      <c r="QLD7" s="1876"/>
      <c r="QLE7" s="1876"/>
      <c r="QLF7" s="1876"/>
      <c r="QLG7" s="1876"/>
      <c r="QLH7" s="1876"/>
      <c r="QLI7" s="1876"/>
      <c r="QLJ7" s="1876"/>
      <c r="QLK7" s="1876"/>
      <c r="QLL7" s="1876"/>
      <c r="QLM7" s="1876"/>
      <c r="QLN7" s="1876"/>
      <c r="QLO7" s="1876"/>
      <c r="QLP7" s="1876"/>
      <c r="QLQ7" s="1876"/>
      <c r="QLR7" s="1876"/>
      <c r="QLS7" s="1876"/>
      <c r="QLT7" s="1876"/>
      <c r="QLU7" s="1876"/>
      <c r="QLV7" s="1876"/>
      <c r="QLW7" s="1876"/>
      <c r="QLX7" s="1876"/>
      <c r="QLY7" s="1876"/>
      <c r="QLZ7" s="1876"/>
      <c r="QMA7" s="1876"/>
      <c r="QMB7" s="1876"/>
      <c r="QMC7" s="1876"/>
      <c r="QMD7" s="1876"/>
      <c r="QME7" s="1876"/>
      <c r="QMF7" s="1876"/>
      <c r="QMG7" s="1876"/>
      <c r="QMH7" s="1876"/>
      <c r="QMI7" s="1876"/>
      <c r="QMJ7" s="1876"/>
      <c r="QMK7" s="1876"/>
      <c r="QML7" s="1876"/>
      <c r="QMM7" s="1876"/>
      <c r="QMN7" s="1876"/>
      <c r="QMO7" s="1876"/>
      <c r="QMP7" s="1876"/>
      <c r="QMQ7" s="1876"/>
      <c r="QMR7" s="1876"/>
      <c r="QMS7" s="1876"/>
      <c r="QMT7" s="1876"/>
      <c r="QMU7" s="1876"/>
      <c r="QMV7" s="1876"/>
      <c r="QMW7" s="1876"/>
      <c r="QMX7" s="1876"/>
      <c r="QMY7" s="1876"/>
      <c r="QMZ7" s="1876"/>
      <c r="QNA7" s="1876"/>
      <c r="QNB7" s="1876"/>
      <c r="QNC7" s="1876"/>
      <c r="QND7" s="1876"/>
      <c r="QNE7" s="1876"/>
      <c r="QNF7" s="1876"/>
      <c r="QNG7" s="1876"/>
      <c r="QNH7" s="1876"/>
      <c r="QNI7" s="1876"/>
      <c r="QNJ7" s="1876"/>
      <c r="QNK7" s="1876"/>
      <c r="QNL7" s="1876"/>
      <c r="QNM7" s="1876"/>
      <c r="QNN7" s="1876"/>
      <c r="QNO7" s="1876"/>
      <c r="QNP7" s="1876"/>
      <c r="QNQ7" s="1876"/>
      <c r="QNR7" s="1876"/>
      <c r="QNS7" s="1876"/>
      <c r="QNT7" s="1876"/>
      <c r="QNU7" s="1876"/>
      <c r="QNV7" s="1876"/>
      <c r="QNW7" s="1876"/>
      <c r="QNX7" s="1876"/>
      <c r="QNY7" s="1876"/>
      <c r="QNZ7" s="1876"/>
      <c r="QOA7" s="1876"/>
      <c r="QOB7" s="1876"/>
      <c r="QOC7" s="1876"/>
      <c r="QOD7" s="1876"/>
      <c r="QOE7" s="1876"/>
      <c r="QOF7" s="1876"/>
      <c r="QOG7" s="1876"/>
      <c r="QOH7" s="1876"/>
      <c r="QOI7" s="1876"/>
      <c r="QOJ7" s="1876"/>
      <c r="QOK7" s="1876"/>
      <c r="QOL7" s="1876"/>
      <c r="QOM7" s="1876"/>
      <c r="QON7" s="1876"/>
      <c r="QOO7" s="1876"/>
      <c r="QOP7" s="1876"/>
      <c r="QOQ7" s="1876"/>
      <c r="QOR7" s="1876"/>
      <c r="QOS7" s="1876"/>
      <c r="QOT7" s="1876"/>
      <c r="QOU7" s="1876"/>
      <c r="QOV7" s="1876"/>
      <c r="QOW7" s="1876"/>
      <c r="QOX7" s="1876"/>
      <c r="QOY7" s="1876"/>
      <c r="QOZ7" s="1876"/>
      <c r="QPA7" s="1876"/>
      <c r="QPB7" s="1876"/>
      <c r="QPC7" s="1876"/>
      <c r="QPD7" s="1876"/>
      <c r="QPE7" s="1876"/>
      <c r="QPF7" s="1876"/>
      <c r="QPG7" s="1876"/>
      <c r="QPH7" s="1876"/>
      <c r="QPI7" s="1876"/>
      <c r="QPJ7" s="1876"/>
      <c r="QPK7" s="1876"/>
      <c r="QPL7" s="1876"/>
      <c r="QPM7" s="1876"/>
      <c r="QPN7" s="1876"/>
      <c r="QPO7" s="1876"/>
      <c r="QPP7" s="1876"/>
      <c r="QPQ7" s="1876"/>
      <c r="QPR7" s="1876"/>
      <c r="QPS7" s="1876"/>
      <c r="QPT7" s="1876"/>
      <c r="QPU7" s="1876"/>
      <c r="QPV7" s="1876"/>
      <c r="QPW7" s="1876"/>
      <c r="QPX7" s="1876"/>
      <c r="QPY7" s="1876"/>
      <c r="QPZ7" s="1876"/>
      <c r="QQA7" s="1876"/>
      <c r="QQB7" s="1876"/>
      <c r="QQC7" s="1876"/>
      <c r="QQD7" s="1876"/>
      <c r="QQE7" s="1876"/>
      <c r="QQF7" s="1876"/>
      <c r="QQG7" s="1876"/>
      <c r="QQH7" s="1876"/>
      <c r="QQI7" s="1876"/>
      <c r="QQJ7" s="1876"/>
      <c r="QQK7" s="1876"/>
      <c r="QQL7" s="1876"/>
      <c r="QQM7" s="1876"/>
      <c r="QQN7" s="1876"/>
      <c r="QQO7" s="1876"/>
      <c r="QQP7" s="1876"/>
      <c r="QQQ7" s="1876"/>
      <c r="QQR7" s="1876"/>
      <c r="QQS7" s="1876"/>
      <c r="QQT7" s="1876"/>
      <c r="QQU7" s="1876"/>
      <c r="QQV7" s="1876"/>
      <c r="QQW7" s="1876"/>
      <c r="QQX7" s="1876"/>
      <c r="QQY7" s="1876"/>
      <c r="QQZ7" s="1876"/>
      <c r="QRA7" s="1876"/>
      <c r="QRB7" s="1876"/>
      <c r="QRC7" s="1876"/>
      <c r="QRD7" s="1876"/>
      <c r="QRE7" s="1876"/>
      <c r="QRF7" s="1876"/>
      <c r="QRG7" s="1876"/>
      <c r="QRH7" s="1876"/>
      <c r="QRI7" s="1876"/>
      <c r="QRJ7" s="1876"/>
      <c r="QRK7" s="1876"/>
      <c r="QRL7" s="1876"/>
      <c r="QRM7" s="1876"/>
      <c r="QRN7" s="1876"/>
      <c r="QRO7" s="1876"/>
      <c r="QRP7" s="1876"/>
      <c r="QRQ7" s="1876"/>
      <c r="QRR7" s="1876"/>
      <c r="QRS7" s="1876"/>
      <c r="QRT7" s="1876"/>
      <c r="QRU7" s="1876"/>
      <c r="QRV7" s="1876"/>
      <c r="QRW7" s="1876"/>
      <c r="QRX7" s="1876"/>
      <c r="QRY7" s="1876"/>
      <c r="QRZ7" s="1876"/>
      <c r="QSA7" s="1876"/>
      <c r="QSB7" s="1876"/>
      <c r="QSC7" s="1876"/>
      <c r="QSD7" s="1876"/>
      <c r="QSE7" s="1876"/>
      <c r="QSF7" s="1876"/>
      <c r="QSG7" s="1876"/>
      <c r="QSH7" s="1876"/>
      <c r="QSI7" s="1876"/>
      <c r="QSJ7" s="1876"/>
      <c r="QSK7" s="1876"/>
      <c r="QSL7" s="1876"/>
      <c r="QSM7" s="1876"/>
      <c r="QSN7" s="1876"/>
      <c r="QSO7" s="1876"/>
      <c r="QSP7" s="1876"/>
      <c r="QSQ7" s="1876"/>
      <c r="QSR7" s="1876"/>
      <c r="QSS7" s="1876"/>
      <c r="QST7" s="1876"/>
      <c r="QSU7" s="1876"/>
      <c r="QSV7" s="1876"/>
      <c r="QSW7" s="1876"/>
      <c r="QSX7" s="1876"/>
      <c r="QSY7" s="1876"/>
      <c r="QSZ7" s="1876"/>
      <c r="QTA7" s="1876"/>
      <c r="QTB7" s="1876"/>
      <c r="QTC7" s="1876"/>
      <c r="QTD7" s="1876"/>
      <c r="QTE7" s="1876"/>
      <c r="QTF7" s="1876"/>
      <c r="QTG7" s="1876"/>
      <c r="QTH7" s="1876"/>
      <c r="QTI7" s="1876"/>
      <c r="QTJ7" s="1876"/>
      <c r="QTK7" s="1876"/>
      <c r="QTL7" s="1876"/>
      <c r="QTM7" s="1876"/>
      <c r="QTN7" s="1876"/>
      <c r="QTO7" s="1876"/>
      <c r="QTP7" s="1876"/>
      <c r="QTQ7" s="1876"/>
      <c r="QTR7" s="1876"/>
      <c r="QTS7" s="1876"/>
      <c r="QTT7" s="1876"/>
      <c r="QTU7" s="1876"/>
      <c r="QTV7" s="1876"/>
      <c r="QTW7" s="1876"/>
      <c r="QTX7" s="1876"/>
      <c r="QTY7" s="1876"/>
      <c r="QTZ7" s="1876"/>
      <c r="QUA7" s="1876"/>
      <c r="QUB7" s="1876"/>
      <c r="QUC7" s="1876"/>
      <c r="QUD7" s="1876"/>
      <c r="QUE7" s="1876"/>
      <c r="QUF7" s="1876"/>
      <c r="QUG7" s="1876"/>
      <c r="QUH7" s="1876"/>
      <c r="QUI7" s="1876"/>
      <c r="QUJ7" s="1876"/>
      <c r="QUK7" s="1876"/>
      <c r="QUL7" s="1876"/>
      <c r="QUM7" s="1876"/>
      <c r="QUN7" s="1876"/>
      <c r="QUO7" s="1876"/>
      <c r="QUP7" s="1876"/>
      <c r="QUQ7" s="1876"/>
      <c r="QUR7" s="1876"/>
      <c r="QUS7" s="1876"/>
      <c r="QUT7" s="1876"/>
      <c r="QUU7" s="1876"/>
      <c r="QUV7" s="1876"/>
      <c r="QUW7" s="1876"/>
      <c r="QUX7" s="1876"/>
      <c r="QUY7" s="1876"/>
      <c r="QUZ7" s="1876"/>
      <c r="QVA7" s="1876"/>
      <c r="QVB7" s="1876"/>
      <c r="QVC7" s="1876"/>
      <c r="QVD7" s="1876"/>
      <c r="QVE7" s="1876"/>
      <c r="QVF7" s="1876"/>
      <c r="QVG7" s="1876"/>
      <c r="QVH7" s="1876"/>
      <c r="QVI7" s="1876"/>
      <c r="QVJ7" s="1876"/>
      <c r="QVK7" s="1876"/>
      <c r="QVL7" s="1876"/>
      <c r="QVM7" s="1876"/>
      <c r="QVN7" s="1876"/>
      <c r="QVO7" s="1876"/>
      <c r="QVP7" s="1876"/>
      <c r="QVQ7" s="1876"/>
      <c r="QVR7" s="1876"/>
      <c r="QVS7" s="1876"/>
      <c r="QVT7" s="1876"/>
      <c r="QVU7" s="1876"/>
      <c r="QVV7" s="1876"/>
      <c r="QVW7" s="1876"/>
      <c r="QVX7" s="1876"/>
      <c r="QVY7" s="1876"/>
      <c r="QVZ7" s="1876"/>
      <c r="QWA7" s="1876"/>
      <c r="QWB7" s="1876"/>
      <c r="QWC7" s="1876"/>
      <c r="QWD7" s="1876"/>
      <c r="QWE7" s="1876"/>
      <c r="QWF7" s="1876"/>
      <c r="QWG7" s="1876"/>
      <c r="QWH7" s="1876"/>
      <c r="QWI7" s="1876"/>
      <c r="QWJ7" s="1876"/>
      <c r="QWK7" s="1876"/>
      <c r="QWL7" s="1876"/>
      <c r="QWM7" s="1876"/>
      <c r="QWN7" s="1876"/>
      <c r="QWO7" s="1876"/>
      <c r="QWP7" s="1876"/>
      <c r="QWQ7" s="1876"/>
      <c r="QWR7" s="1876"/>
      <c r="QWS7" s="1876"/>
      <c r="QWT7" s="1876"/>
      <c r="QWU7" s="1876"/>
      <c r="QWV7" s="1876"/>
      <c r="QWW7" s="1876"/>
      <c r="QWX7" s="1876"/>
      <c r="QWY7" s="1876"/>
      <c r="QWZ7" s="1876"/>
      <c r="QXA7" s="1876"/>
      <c r="QXB7" s="1876"/>
      <c r="QXC7" s="1876"/>
      <c r="QXD7" s="1876"/>
      <c r="QXE7" s="1876"/>
      <c r="QXF7" s="1876"/>
      <c r="QXG7" s="1876"/>
      <c r="QXH7" s="1876"/>
      <c r="QXI7" s="1876"/>
      <c r="QXJ7" s="1876"/>
      <c r="QXK7" s="1876"/>
      <c r="QXL7" s="1876"/>
      <c r="QXM7" s="1876"/>
      <c r="QXN7" s="1876"/>
      <c r="QXO7" s="1876"/>
      <c r="QXP7" s="1876"/>
      <c r="QXQ7" s="1876"/>
      <c r="QXR7" s="1876"/>
      <c r="QXS7" s="1876"/>
      <c r="QXT7" s="1876"/>
      <c r="QXU7" s="1876"/>
      <c r="QXV7" s="1876"/>
      <c r="QXW7" s="1876"/>
      <c r="QXX7" s="1876"/>
      <c r="QXY7" s="1876"/>
      <c r="QXZ7" s="1876"/>
      <c r="QYA7" s="1876"/>
      <c r="QYB7" s="1876"/>
      <c r="QYC7" s="1876"/>
      <c r="QYD7" s="1876"/>
      <c r="QYE7" s="1876"/>
      <c r="QYF7" s="1876"/>
      <c r="QYG7" s="1876"/>
      <c r="QYH7" s="1876"/>
      <c r="QYI7" s="1876"/>
      <c r="QYJ7" s="1876"/>
      <c r="QYK7" s="1876"/>
      <c r="QYL7" s="1876"/>
      <c r="QYM7" s="1876"/>
      <c r="QYN7" s="1876"/>
      <c r="QYO7" s="1876"/>
      <c r="QYP7" s="1876"/>
      <c r="QYQ7" s="1876"/>
      <c r="QYR7" s="1876"/>
      <c r="QYS7" s="1876"/>
      <c r="QYT7" s="1876"/>
      <c r="QYU7" s="1876"/>
      <c r="QYV7" s="1876"/>
      <c r="QYW7" s="1876"/>
      <c r="QYX7" s="1876"/>
      <c r="QYY7" s="1876"/>
      <c r="QYZ7" s="1876"/>
      <c r="QZA7" s="1876"/>
      <c r="QZB7" s="1876"/>
      <c r="QZC7" s="1876"/>
      <c r="QZD7" s="1876"/>
      <c r="QZE7" s="1876"/>
      <c r="QZF7" s="1876"/>
      <c r="QZG7" s="1876"/>
      <c r="QZH7" s="1876"/>
      <c r="QZI7" s="1876"/>
      <c r="QZJ7" s="1876"/>
      <c r="QZK7" s="1876"/>
      <c r="QZL7" s="1876"/>
      <c r="QZM7" s="1876"/>
      <c r="QZN7" s="1876"/>
      <c r="QZO7" s="1876"/>
      <c r="QZP7" s="1876"/>
      <c r="QZQ7" s="1876"/>
      <c r="QZR7" s="1876"/>
      <c r="QZS7" s="1876"/>
      <c r="QZT7" s="1876"/>
      <c r="QZU7" s="1876"/>
      <c r="QZV7" s="1876"/>
      <c r="QZW7" s="1876"/>
      <c r="QZX7" s="1876"/>
      <c r="QZY7" s="1876"/>
      <c r="QZZ7" s="1876"/>
      <c r="RAA7" s="1876"/>
      <c r="RAB7" s="1876"/>
      <c r="RAC7" s="1876"/>
      <c r="RAD7" s="1876"/>
      <c r="RAE7" s="1876"/>
      <c r="RAF7" s="1876"/>
      <c r="RAG7" s="1876"/>
      <c r="RAH7" s="1876"/>
      <c r="RAI7" s="1876"/>
      <c r="RAJ7" s="1876"/>
      <c r="RAK7" s="1876"/>
      <c r="RAL7" s="1876"/>
      <c r="RAM7" s="1876"/>
      <c r="RAN7" s="1876"/>
      <c r="RAO7" s="1876"/>
      <c r="RAP7" s="1876"/>
      <c r="RAQ7" s="1876"/>
      <c r="RAR7" s="1876"/>
      <c r="RAS7" s="1876"/>
      <c r="RAT7" s="1876"/>
      <c r="RAU7" s="1876"/>
      <c r="RAV7" s="1876"/>
      <c r="RAW7" s="1876"/>
      <c r="RAX7" s="1876"/>
      <c r="RAY7" s="1876"/>
      <c r="RAZ7" s="1876"/>
      <c r="RBA7" s="1876"/>
      <c r="RBB7" s="1876"/>
      <c r="RBC7" s="1876"/>
      <c r="RBD7" s="1876"/>
      <c r="RBE7" s="1876"/>
      <c r="RBF7" s="1876"/>
      <c r="RBG7" s="1876"/>
      <c r="RBH7" s="1876"/>
      <c r="RBI7" s="1876"/>
      <c r="RBJ7" s="1876"/>
      <c r="RBK7" s="1876"/>
      <c r="RBL7" s="1876"/>
      <c r="RBM7" s="1876"/>
      <c r="RBN7" s="1876"/>
      <c r="RBO7" s="1876"/>
      <c r="RBP7" s="1876"/>
      <c r="RBQ7" s="1876"/>
      <c r="RBR7" s="1876"/>
      <c r="RBS7" s="1876"/>
      <c r="RBT7" s="1876"/>
      <c r="RBU7" s="1876"/>
      <c r="RBV7" s="1876"/>
      <c r="RBW7" s="1876"/>
      <c r="RBX7" s="1876"/>
      <c r="RBY7" s="1876"/>
      <c r="RBZ7" s="1876"/>
      <c r="RCA7" s="1876"/>
      <c r="RCB7" s="1876"/>
      <c r="RCC7" s="1876"/>
      <c r="RCD7" s="1876"/>
      <c r="RCE7" s="1876"/>
      <c r="RCF7" s="1876"/>
      <c r="RCG7" s="1876"/>
      <c r="RCH7" s="1876"/>
      <c r="RCI7" s="1876"/>
      <c r="RCJ7" s="1876"/>
      <c r="RCK7" s="1876"/>
      <c r="RCL7" s="1876"/>
      <c r="RCM7" s="1876"/>
      <c r="RCN7" s="1876"/>
      <c r="RCO7" s="1876"/>
      <c r="RCP7" s="1876"/>
      <c r="RCQ7" s="1876"/>
      <c r="RCR7" s="1876"/>
      <c r="RCS7" s="1876"/>
      <c r="RCT7" s="1876"/>
      <c r="RCU7" s="1876"/>
      <c r="RCV7" s="1876"/>
      <c r="RCW7" s="1876"/>
      <c r="RCX7" s="1876"/>
      <c r="RCY7" s="1876"/>
      <c r="RCZ7" s="1876"/>
      <c r="RDA7" s="1876"/>
      <c r="RDB7" s="1876"/>
      <c r="RDC7" s="1876"/>
      <c r="RDD7" s="1876"/>
      <c r="RDE7" s="1876"/>
      <c r="RDF7" s="1876"/>
      <c r="RDG7" s="1876"/>
      <c r="RDH7" s="1876"/>
      <c r="RDI7" s="1876"/>
      <c r="RDJ7" s="1876"/>
      <c r="RDK7" s="1876"/>
      <c r="RDL7" s="1876"/>
      <c r="RDM7" s="1876"/>
      <c r="RDN7" s="1876"/>
      <c r="RDO7" s="1876"/>
      <c r="RDP7" s="1876"/>
      <c r="RDQ7" s="1876"/>
      <c r="RDR7" s="1876"/>
      <c r="RDS7" s="1876"/>
      <c r="RDT7" s="1876"/>
      <c r="RDU7" s="1876"/>
      <c r="RDV7" s="1876"/>
      <c r="RDW7" s="1876"/>
      <c r="RDX7" s="1876"/>
      <c r="RDY7" s="1876"/>
      <c r="RDZ7" s="1876"/>
      <c r="REA7" s="1876"/>
      <c r="REB7" s="1876"/>
      <c r="REC7" s="1876"/>
      <c r="RED7" s="1876"/>
      <c r="REE7" s="1876"/>
      <c r="REF7" s="1876"/>
      <c r="REG7" s="1876"/>
      <c r="REH7" s="1876"/>
      <c r="REI7" s="1876"/>
      <c r="REJ7" s="1876"/>
      <c r="REK7" s="1876"/>
      <c r="REL7" s="1876"/>
      <c r="REM7" s="1876"/>
      <c r="REN7" s="1876"/>
      <c r="REO7" s="1876"/>
      <c r="REP7" s="1876"/>
      <c r="REQ7" s="1876"/>
      <c r="RER7" s="1876"/>
      <c r="RES7" s="1876"/>
      <c r="RET7" s="1876"/>
      <c r="REU7" s="1876"/>
      <c r="REV7" s="1876"/>
      <c r="REW7" s="1876"/>
      <c r="REX7" s="1876"/>
      <c r="REY7" s="1876"/>
      <c r="REZ7" s="1876"/>
      <c r="RFA7" s="1876"/>
      <c r="RFB7" s="1876"/>
      <c r="RFC7" s="1876"/>
      <c r="RFD7" s="1876"/>
      <c r="RFE7" s="1876"/>
      <c r="RFF7" s="1876"/>
      <c r="RFG7" s="1876"/>
      <c r="RFH7" s="1876"/>
      <c r="RFI7" s="1876"/>
      <c r="RFJ7" s="1876"/>
      <c r="RFK7" s="1876"/>
      <c r="RFL7" s="1876"/>
      <c r="RFM7" s="1876"/>
      <c r="RFN7" s="1876"/>
      <c r="RFO7" s="1876"/>
      <c r="RFP7" s="1876"/>
      <c r="RFQ7" s="1876"/>
      <c r="RFR7" s="1876"/>
      <c r="RFS7" s="1876"/>
      <c r="RFT7" s="1876"/>
      <c r="RFU7" s="1876"/>
      <c r="RFV7" s="1876"/>
      <c r="RFW7" s="1876"/>
      <c r="RFX7" s="1876"/>
      <c r="RFY7" s="1876"/>
      <c r="RFZ7" s="1876"/>
      <c r="RGA7" s="1876"/>
      <c r="RGB7" s="1876"/>
      <c r="RGC7" s="1876"/>
      <c r="RGD7" s="1876"/>
      <c r="RGE7" s="1876"/>
      <c r="RGF7" s="1876"/>
      <c r="RGG7" s="1876"/>
      <c r="RGH7" s="1876"/>
      <c r="RGI7" s="1876"/>
      <c r="RGJ7" s="1876"/>
      <c r="RGK7" s="1876"/>
      <c r="RGL7" s="1876"/>
      <c r="RGM7" s="1876"/>
      <c r="RGN7" s="1876"/>
      <c r="RGO7" s="1876"/>
      <c r="RGP7" s="1876"/>
      <c r="RGQ7" s="1876"/>
      <c r="RGR7" s="1876"/>
      <c r="RGS7" s="1876"/>
      <c r="RGT7" s="1876"/>
      <c r="RGU7" s="1876"/>
      <c r="RGV7" s="1876"/>
      <c r="RGW7" s="1876"/>
      <c r="RGX7" s="1876"/>
      <c r="RGY7" s="1876"/>
      <c r="RGZ7" s="1876"/>
      <c r="RHA7" s="1876"/>
      <c r="RHB7" s="1876"/>
      <c r="RHC7" s="1876"/>
      <c r="RHD7" s="1876"/>
      <c r="RHE7" s="1876"/>
      <c r="RHF7" s="1876"/>
      <c r="RHG7" s="1876"/>
      <c r="RHH7" s="1876"/>
      <c r="RHI7" s="1876"/>
      <c r="RHJ7" s="1876"/>
      <c r="RHK7" s="1876"/>
      <c r="RHL7" s="1876"/>
      <c r="RHM7" s="1876"/>
      <c r="RHN7" s="1876"/>
      <c r="RHO7" s="1876"/>
      <c r="RHP7" s="1876"/>
      <c r="RHQ7" s="1876"/>
      <c r="RHR7" s="1876"/>
      <c r="RHS7" s="1876"/>
      <c r="RHT7" s="1876"/>
      <c r="RHU7" s="1876"/>
      <c r="RHV7" s="1876"/>
      <c r="RHW7" s="1876"/>
      <c r="RHX7" s="1876"/>
      <c r="RHY7" s="1876"/>
      <c r="RHZ7" s="1876"/>
      <c r="RIA7" s="1876"/>
      <c r="RIB7" s="1876"/>
      <c r="RIC7" s="1876"/>
      <c r="RID7" s="1876"/>
      <c r="RIE7" s="1876"/>
      <c r="RIF7" s="1876"/>
      <c r="RIG7" s="1876"/>
      <c r="RIH7" s="1876"/>
      <c r="RII7" s="1876"/>
      <c r="RIJ7" s="1876"/>
      <c r="RIK7" s="1876"/>
      <c r="RIL7" s="1876"/>
      <c r="RIM7" s="1876"/>
      <c r="RIN7" s="1876"/>
      <c r="RIO7" s="1876"/>
      <c r="RIP7" s="1876"/>
      <c r="RIQ7" s="1876"/>
      <c r="RIR7" s="1876"/>
      <c r="RIS7" s="1876"/>
      <c r="RIT7" s="1876"/>
      <c r="RIU7" s="1876"/>
      <c r="RIV7" s="1876"/>
      <c r="RIW7" s="1876"/>
      <c r="RIX7" s="1876"/>
      <c r="RIY7" s="1876"/>
      <c r="RIZ7" s="1876"/>
      <c r="RJA7" s="1876"/>
      <c r="RJB7" s="1876"/>
      <c r="RJC7" s="1876"/>
      <c r="RJD7" s="1876"/>
      <c r="RJE7" s="1876"/>
      <c r="RJF7" s="1876"/>
      <c r="RJG7" s="1876"/>
      <c r="RJH7" s="1876"/>
      <c r="RJI7" s="1876"/>
      <c r="RJJ7" s="1876"/>
      <c r="RJK7" s="1876"/>
      <c r="RJL7" s="1876"/>
      <c r="RJM7" s="1876"/>
      <c r="RJN7" s="1876"/>
      <c r="RJO7" s="1876"/>
      <c r="RJP7" s="1876"/>
      <c r="RJQ7" s="1876"/>
      <c r="RJR7" s="1876"/>
      <c r="RJS7" s="1876"/>
      <c r="RJT7" s="1876"/>
      <c r="RJU7" s="1876"/>
      <c r="RJV7" s="1876"/>
      <c r="RJW7" s="1876"/>
      <c r="RJX7" s="1876"/>
      <c r="RJY7" s="1876"/>
      <c r="RJZ7" s="1876"/>
      <c r="RKA7" s="1876"/>
      <c r="RKB7" s="1876"/>
      <c r="RKC7" s="1876"/>
      <c r="RKD7" s="1876"/>
      <c r="RKE7" s="1876"/>
      <c r="RKF7" s="1876"/>
      <c r="RKG7" s="1876"/>
      <c r="RKH7" s="1876"/>
      <c r="RKI7" s="1876"/>
      <c r="RKJ7" s="1876"/>
      <c r="RKK7" s="1876"/>
      <c r="RKL7" s="1876"/>
      <c r="RKM7" s="1876"/>
      <c r="RKN7" s="1876"/>
      <c r="RKO7" s="1876"/>
      <c r="RKP7" s="1876"/>
      <c r="RKQ7" s="1876"/>
      <c r="RKR7" s="1876"/>
      <c r="RKS7" s="1876"/>
      <c r="RKT7" s="1876"/>
      <c r="RKU7" s="1876"/>
      <c r="RKV7" s="1876"/>
      <c r="RKW7" s="1876"/>
      <c r="RKX7" s="1876"/>
      <c r="RKY7" s="1876"/>
      <c r="RKZ7" s="1876"/>
      <c r="RLA7" s="1876"/>
      <c r="RLB7" s="1876"/>
      <c r="RLC7" s="1876"/>
      <c r="RLD7" s="1876"/>
      <c r="RLE7" s="1876"/>
      <c r="RLF7" s="1876"/>
      <c r="RLG7" s="1876"/>
      <c r="RLH7" s="1876"/>
      <c r="RLI7" s="1876"/>
      <c r="RLJ7" s="1876"/>
      <c r="RLK7" s="1876"/>
      <c r="RLL7" s="1876"/>
      <c r="RLM7" s="1876"/>
      <c r="RLN7" s="1876"/>
      <c r="RLO7" s="1876"/>
      <c r="RLP7" s="1876"/>
      <c r="RLQ7" s="1876"/>
      <c r="RLR7" s="1876"/>
      <c r="RLS7" s="1876"/>
      <c r="RLT7" s="1876"/>
      <c r="RLU7" s="1876"/>
      <c r="RLV7" s="1876"/>
      <c r="RLW7" s="1876"/>
      <c r="RLX7" s="1876"/>
      <c r="RLY7" s="1876"/>
      <c r="RLZ7" s="1876"/>
      <c r="RMA7" s="1876"/>
      <c r="RMB7" s="1876"/>
      <c r="RMC7" s="1876"/>
      <c r="RMD7" s="1876"/>
      <c r="RME7" s="1876"/>
      <c r="RMF7" s="1876"/>
      <c r="RMG7" s="1876"/>
      <c r="RMH7" s="1876"/>
      <c r="RMI7" s="1876"/>
      <c r="RMJ7" s="1876"/>
      <c r="RMK7" s="1876"/>
      <c r="RML7" s="1876"/>
      <c r="RMM7" s="1876"/>
      <c r="RMN7" s="1876"/>
      <c r="RMO7" s="1876"/>
      <c r="RMP7" s="1876"/>
      <c r="RMQ7" s="1876"/>
      <c r="RMR7" s="1876"/>
      <c r="RMS7" s="1876"/>
      <c r="RMT7" s="1876"/>
      <c r="RMU7" s="1876"/>
      <c r="RMV7" s="1876"/>
      <c r="RMW7" s="1876"/>
      <c r="RMX7" s="1876"/>
      <c r="RMY7" s="1876"/>
      <c r="RMZ7" s="1876"/>
      <c r="RNA7" s="1876"/>
      <c r="RNB7" s="1876"/>
      <c r="RNC7" s="1876"/>
      <c r="RND7" s="1876"/>
      <c r="RNE7" s="1876"/>
      <c r="RNF7" s="1876"/>
      <c r="RNG7" s="1876"/>
      <c r="RNH7" s="1876"/>
      <c r="RNI7" s="1876"/>
      <c r="RNJ7" s="1876"/>
      <c r="RNK7" s="1876"/>
      <c r="RNL7" s="1876"/>
      <c r="RNM7" s="1876"/>
      <c r="RNN7" s="1876"/>
      <c r="RNO7" s="1876"/>
      <c r="RNP7" s="1876"/>
      <c r="RNQ7" s="1876"/>
      <c r="RNR7" s="1876"/>
      <c r="RNS7" s="1876"/>
      <c r="RNT7" s="1876"/>
      <c r="RNU7" s="1876"/>
      <c r="RNV7" s="1876"/>
      <c r="RNW7" s="1876"/>
      <c r="RNX7" s="1876"/>
      <c r="RNY7" s="1876"/>
      <c r="RNZ7" s="1876"/>
      <c r="ROA7" s="1876"/>
      <c r="ROB7" s="1876"/>
      <c r="ROC7" s="1876"/>
      <c r="ROD7" s="1876"/>
      <c r="ROE7" s="1876"/>
      <c r="ROF7" s="1876"/>
      <c r="ROG7" s="1876"/>
      <c r="ROH7" s="1876"/>
      <c r="ROI7" s="1876"/>
      <c r="ROJ7" s="1876"/>
      <c r="ROK7" s="1876"/>
      <c r="ROL7" s="1876"/>
      <c r="ROM7" s="1876"/>
      <c r="RON7" s="1876"/>
      <c r="ROO7" s="1876"/>
      <c r="ROP7" s="1876"/>
      <c r="ROQ7" s="1876"/>
      <c r="ROR7" s="1876"/>
      <c r="ROS7" s="1876"/>
      <c r="ROT7" s="1876"/>
      <c r="ROU7" s="1876"/>
      <c r="ROV7" s="1876"/>
      <c r="ROW7" s="1876"/>
      <c r="ROX7" s="1876"/>
      <c r="ROY7" s="1876"/>
      <c r="ROZ7" s="1876"/>
      <c r="RPA7" s="1876"/>
      <c r="RPB7" s="1876"/>
      <c r="RPC7" s="1876"/>
      <c r="RPD7" s="1876"/>
      <c r="RPE7" s="1876"/>
      <c r="RPF7" s="1876"/>
      <c r="RPG7" s="1876"/>
      <c r="RPH7" s="1876"/>
      <c r="RPI7" s="1876"/>
      <c r="RPJ7" s="1876"/>
      <c r="RPK7" s="1876"/>
      <c r="RPL7" s="1876"/>
      <c r="RPM7" s="1876"/>
      <c r="RPN7" s="1876"/>
      <c r="RPO7" s="1876"/>
      <c r="RPP7" s="1876"/>
      <c r="RPQ7" s="1876"/>
      <c r="RPR7" s="1876"/>
      <c r="RPS7" s="1876"/>
      <c r="RPT7" s="1876"/>
      <c r="RPU7" s="1876"/>
      <c r="RPV7" s="1876"/>
      <c r="RPW7" s="1876"/>
      <c r="RPX7" s="1876"/>
      <c r="RPY7" s="1876"/>
      <c r="RPZ7" s="1876"/>
      <c r="RQA7" s="1876"/>
      <c r="RQB7" s="1876"/>
      <c r="RQC7" s="1876"/>
      <c r="RQD7" s="1876"/>
      <c r="RQE7" s="1876"/>
      <c r="RQF7" s="1876"/>
      <c r="RQG7" s="1876"/>
      <c r="RQH7" s="1876"/>
      <c r="RQI7" s="1876"/>
      <c r="RQJ7" s="1876"/>
      <c r="RQK7" s="1876"/>
      <c r="RQL7" s="1876"/>
      <c r="RQM7" s="1876"/>
      <c r="RQN7" s="1876"/>
      <c r="RQO7" s="1876"/>
      <c r="RQP7" s="1876"/>
      <c r="RQQ7" s="1876"/>
      <c r="RQR7" s="1876"/>
      <c r="RQS7" s="1876"/>
      <c r="RQT7" s="1876"/>
      <c r="RQU7" s="1876"/>
      <c r="RQV7" s="1876"/>
      <c r="RQW7" s="1876"/>
      <c r="RQX7" s="1876"/>
      <c r="RQY7" s="1876"/>
      <c r="RQZ7" s="1876"/>
      <c r="RRA7" s="1876"/>
      <c r="RRB7" s="1876"/>
      <c r="RRC7" s="1876"/>
      <c r="RRD7" s="1876"/>
      <c r="RRE7" s="1876"/>
      <c r="RRF7" s="1876"/>
      <c r="RRG7" s="1876"/>
      <c r="RRH7" s="1876"/>
      <c r="RRI7" s="1876"/>
      <c r="RRJ7" s="1876"/>
      <c r="RRK7" s="1876"/>
      <c r="RRL7" s="1876"/>
      <c r="RRM7" s="1876"/>
      <c r="RRN7" s="1876"/>
      <c r="RRO7" s="1876"/>
      <c r="RRP7" s="1876"/>
      <c r="RRQ7" s="1876"/>
      <c r="RRR7" s="1876"/>
      <c r="RRS7" s="1876"/>
      <c r="RRT7" s="1876"/>
      <c r="RRU7" s="1876"/>
      <c r="RRV7" s="1876"/>
      <c r="RRW7" s="1876"/>
      <c r="RRX7" s="1876"/>
      <c r="RRY7" s="1876"/>
      <c r="RRZ7" s="1876"/>
      <c r="RSA7" s="1876"/>
      <c r="RSB7" s="1876"/>
      <c r="RSC7" s="1876"/>
      <c r="RSD7" s="1876"/>
      <c r="RSE7" s="1876"/>
      <c r="RSF7" s="1876"/>
      <c r="RSG7" s="1876"/>
      <c r="RSH7" s="1876"/>
      <c r="RSI7" s="1876"/>
      <c r="RSJ7" s="1876"/>
      <c r="RSK7" s="1876"/>
      <c r="RSL7" s="1876"/>
      <c r="RSM7" s="1876"/>
      <c r="RSN7" s="1876"/>
      <c r="RSO7" s="1876"/>
      <c r="RSP7" s="1876"/>
      <c r="RSQ7" s="1876"/>
      <c r="RSR7" s="1876"/>
      <c r="RSS7" s="1876"/>
      <c r="RST7" s="1876"/>
      <c r="RSU7" s="1876"/>
      <c r="RSV7" s="1876"/>
      <c r="RSW7" s="1876"/>
      <c r="RSX7" s="1876"/>
      <c r="RSY7" s="1876"/>
      <c r="RSZ7" s="1876"/>
      <c r="RTA7" s="1876"/>
      <c r="RTB7" s="1876"/>
      <c r="RTC7" s="1876"/>
      <c r="RTD7" s="1876"/>
      <c r="RTE7" s="1876"/>
      <c r="RTF7" s="1876"/>
      <c r="RTG7" s="1876"/>
      <c r="RTH7" s="1876"/>
      <c r="RTI7" s="1876"/>
      <c r="RTJ7" s="1876"/>
      <c r="RTK7" s="1876"/>
      <c r="RTL7" s="1876"/>
      <c r="RTM7" s="1876"/>
      <c r="RTN7" s="1876"/>
      <c r="RTO7" s="1876"/>
      <c r="RTP7" s="1876"/>
      <c r="RTQ7" s="1876"/>
      <c r="RTR7" s="1876"/>
      <c r="RTS7" s="1876"/>
      <c r="RTT7" s="1876"/>
      <c r="RTU7" s="1876"/>
      <c r="RTV7" s="1876"/>
      <c r="RTW7" s="1876"/>
      <c r="RTX7" s="1876"/>
      <c r="RTY7" s="1876"/>
      <c r="RTZ7" s="1876"/>
      <c r="RUA7" s="1876"/>
      <c r="RUB7" s="1876"/>
      <c r="RUC7" s="1876"/>
      <c r="RUD7" s="1876"/>
      <c r="RUE7" s="1876"/>
      <c r="RUF7" s="1876"/>
      <c r="RUG7" s="1876"/>
      <c r="RUH7" s="1876"/>
      <c r="RUI7" s="1876"/>
      <c r="RUJ7" s="1876"/>
      <c r="RUK7" s="1876"/>
      <c r="RUL7" s="1876"/>
      <c r="RUM7" s="1876"/>
      <c r="RUN7" s="1876"/>
      <c r="RUO7" s="1876"/>
      <c r="RUP7" s="1876"/>
      <c r="RUQ7" s="1876"/>
      <c r="RUR7" s="1876"/>
      <c r="RUS7" s="1876"/>
      <c r="RUT7" s="1876"/>
      <c r="RUU7" s="1876"/>
      <c r="RUV7" s="1876"/>
      <c r="RUW7" s="1876"/>
      <c r="RUX7" s="1876"/>
      <c r="RUY7" s="1876"/>
      <c r="RUZ7" s="1876"/>
      <c r="RVA7" s="1876"/>
      <c r="RVB7" s="1876"/>
      <c r="RVC7" s="1876"/>
      <c r="RVD7" s="1876"/>
      <c r="RVE7" s="1876"/>
      <c r="RVF7" s="1876"/>
      <c r="RVG7" s="1876"/>
      <c r="RVH7" s="1876"/>
      <c r="RVI7" s="1876"/>
      <c r="RVJ7" s="1876"/>
      <c r="RVK7" s="1876"/>
      <c r="RVL7" s="1876"/>
      <c r="RVM7" s="1876"/>
      <c r="RVN7" s="1876"/>
      <c r="RVO7" s="1876"/>
      <c r="RVP7" s="1876"/>
      <c r="RVQ7" s="1876"/>
      <c r="RVR7" s="1876"/>
      <c r="RVS7" s="1876"/>
      <c r="RVT7" s="1876"/>
      <c r="RVU7" s="1876"/>
      <c r="RVV7" s="1876"/>
      <c r="RVW7" s="1876"/>
      <c r="RVX7" s="1876"/>
      <c r="RVY7" s="1876"/>
      <c r="RVZ7" s="1876"/>
      <c r="RWA7" s="1876"/>
      <c r="RWB7" s="1876"/>
      <c r="RWC7" s="1876"/>
      <c r="RWD7" s="1876"/>
      <c r="RWE7" s="1876"/>
      <c r="RWF7" s="1876"/>
      <c r="RWG7" s="1876"/>
      <c r="RWH7" s="1876"/>
      <c r="RWI7" s="1876"/>
      <c r="RWJ7" s="1876"/>
      <c r="RWK7" s="1876"/>
      <c r="RWL7" s="1876"/>
      <c r="RWM7" s="1876"/>
      <c r="RWN7" s="1876"/>
      <c r="RWO7" s="1876"/>
      <c r="RWP7" s="1876"/>
      <c r="RWQ7" s="1876"/>
      <c r="RWR7" s="1876"/>
      <c r="RWS7" s="1876"/>
      <c r="RWT7" s="1876"/>
      <c r="RWU7" s="1876"/>
      <c r="RWV7" s="1876"/>
      <c r="RWW7" s="1876"/>
      <c r="RWX7" s="1876"/>
      <c r="RWY7" s="1876"/>
      <c r="RWZ7" s="1876"/>
      <c r="RXA7" s="1876"/>
      <c r="RXB7" s="1876"/>
      <c r="RXC7" s="1876"/>
      <c r="RXD7" s="1876"/>
      <c r="RXE7" s="1876"/>
      <c r="RXF7" s="1876"/>
      <c r="RXG7" s="1876"/>
      <c r="RXH7" s="1876"/>
      <c r="RXI7" s="1876"/>
      <c r="RXJ7" s="1876"/>
      <c r="RXK7" s="1876"/>
      <c r="RXL7" s="1876"/>
      <c r="RXM7" s="1876"/>
      <c r="RXN7" s="1876"/>
      <c r="RXO7" s="1876"/>
      <c r="RXP7" s="1876"/>
      <c r="RXQ7" s="1876"/>
      <c r="RXR7" s="1876"/>
      <c r="RXS7" s="1876"/>
      <c r="RXT7" s="1876"/>
      <c r="RXU7" s="1876"/>
      <c r="RXV7" s="1876"/>
      <c r="RXW7" s="1876"/>
      <c r="RXX7" s="1876"/>
      <c r="RXY7" s="1876"/>
      <c r="RXZ7" s="1876"/>
      <c r="RYA7" s="1876"/>
      <c r="RYB7" s="1876"/>
      <c r="RYC7" s="1876"/>
      <c r="RYD7" s="1876"/>
      <c r="RYE7" s="1876"/>
      <c r="RYF7" s="1876"/>
      <c r="RYG7" s="1876"/>
      <c r="RYH7" s="1876"/>
      <c r="RYI7" s="1876"/>
      <c r="RYJ7" s="1876"/>
      <c r="RYK7" s="1876"/>
      <c r="RYL7" s="1876"/>
      <c r="RYM7" s="1876"/>
      <c r="RYN7" s="1876"/>
      <c r="RYO7" s="1876"/>
      <c r="RYP7" s="1876"/>
      <c r="RYQ7" s="1876"/>
      <c r="RYR7" s="1876"/>
      <c r="RYS7" s="1876"/>
      <c r="RYT7" s="1876"/>
      <c r="RYU7" s="1876"/>
      <c r="RYV7" s="1876"/>
      <c r="RYW7" s="1876"/>
      <c r="RYX7" s="1876"/>
      <c r="RYY7" s="1876"/>
      <c r="RYZ7" s="1876"/>
      <c r="RZA7" s="1876"/>
      <c r="RZB7" s="1876"/>
      <c r="RZC7" s="1876"/>
      <c r="RZD7" s="1876"/>
      <c r="RZE7" s="1876"/>
      <c r="RZF7" s="1876"/>
      <c r="RZG7" s="1876"/>
      <c r="RZH7" s="1876"/>
      <c r="RZI7" s="1876"/>
      <c r="RZJ7" s="1876"/>
      <c r="RZK7" s="1876"/>
      <c r="RZL7" s="1876"/>
      <c r="RZM7" s="1876"/>
      <c r="RZN7" s="1876"/>
      <c r="RZO7" s="1876"/>
      <c r="RZP7" s="1876"/>
      <c r="RZQ7" s="1876"/>
      <c r="RZR7" s="1876"/>
      <c r="RZS7" s="1876"/>
      <c r="RZT7" s="1876"/>
      <c r="RZU7" s="1876"/>
      <c r="RZV7" s="1876"/>
      <c r="RZW7" s="1876"/>
      <c r="RZX7" s="1876"/>
      <c r="RZY7" s="1876"/>
      <c r="RZZ7" s="1876"/>
      <c r="SAA7" s="1876"/>
      <c r="SAB7" s="1876"/>
      <c r="SAC7" s="1876"/>
      <c r="SAD7" s="1876"/>
      <c r="SAE7" s="1876"/>
      <c r="SAF7" s="1876"/>
      <c r="SAG7" s="1876"/>
      <c r="SAH7" s="1876"/>
      <c r="SAI7" s="1876"/>
      <c r="SAJ7" s="1876"/>
      <c r="SAK7" s="1876"/>
      <c r="SAL7" s="1876"/>
      <c r="SAM7" s="1876"/>
      <c r="SAN7" s="1876"/>
      <c r="SAO7" s="1876"/>
      <c r="SAP7" s="1876"/>
      <c r="SAQ7" s="1876"/>
      <c r="SAR7" s="1876"/>
      <c r="SAS7" s="1876"/>
      <c r="SAT7" s="1876"/>
      <c r="SAU7" s="1876"/>
      <c r="SAV7" s="1876"/>
      <c r="SAW7" s="1876"/>
      <c r="SAX7" s="1876"/>
      <c r="SAY7" s="1876"/>
      <c r="SAZ7" s="1876"/>
      <c r="SBA7" s="1876"/>
      <c r="SBB7" s="1876"/>
      <c r="SBC7" s="1876"/>
      <c r="SBD7" s="1876"/>
      <c r="SBE7" s="1876"/>
      <c r="SBF7" s="1876"/>
      <c r="SBG7" s="1876"/>
      <c r="SBH7" s="1876"/>
      <c r="SBI7" s="1876"/>
      <c r="SBJ7" s="1876"/>
      <c r="SBK7" s="1876"/>
      <c r="SBL7" s="1876"/>
      <c r="SBM7" s="1876"/>
      <c r="SBN7" s="1876"/>
      <c r="SBO7" s="1876"/>
      <c r="SBP7" s="1876"/>
      <c r="SBQ7" s="1876"/>
      <c r="SBR7" s="1876"/>
      <c r="SBS7" s="1876"/>
      <c r="SBT7" s="1876"/>
      <c r="SBU7" s="1876"/>
      <c r="SBV7" s="1876"/>
      <c r="SBW7" s="1876"/>
      <c r="SBX7" s="1876"/>
      <c r="SBY7" s="1876"/>
      <c r="SBZ7" s="1876"/>
      <c r="SCA7" s="1876"/>
      <c r="SCB7" s="1876"/>
      <c r="SCC7" s="1876"/>
      <c r="SCD7" s="1876"/>
      <c r="SCE7" s="1876"/>
      <c r="SCF7" s="1876"/>
      <c r="SCG7" s="1876"/>
      <c r="SCH7" s="1876"/>
      <c r="SCI7" s="1876"/>
      <c r="SCJ7" s="1876"/>
      <c r="SCK7" s="1876"/>
      <c r="SCL7" s="1876"/>
      <c r="SCM7" s="1876"/>
      <c r="SCN7" s="1876"/>
      <c r="SCO7" s="1876"/>
      <c r="SCP7" s="1876"/>
      <c r="SCQ7" s="1876"/>
      <c r="SCR7" s="1876"/>
      <c r="SCS7" s="1876"/>
      <c r="SCT7" s="1876"/>
      <c r="SCU7" s="1876"/>
      <c r="SCV7" s="1876"/>
      <c r="SCW7" s="1876"/>
      <c r="SCX7" s="1876"/>
      <c r="SCY7" s="1876"/>
      <c r="SCZ7" s="1876"/>
      <c r="SDA7" s="1876"/>
      <c r="SDB7" s="1876"/>
      <c r="SDC7" s="1876"/>
      <c r="SDD7" s="1876"/>
      <c r="SDE7" s="1876"/>
      <c r="SDF7" s="1876"/>
      <c r="SDG7" s="1876"/>
      <c r="SDH7" s="1876"/>
      <c r="SDI7" s="1876"/>
      <c r="SDJ7" s="1876"/>
      <c r="SDK7" s="1876"/>
      <c r="SDL7" s="1876"/>
      <c r="SDM7" s="1876"/>
      <c r="SDN7" s="1876"/>
      <c r="SDO7" s="1876"/>
      <c r="SDP7" s="1876"/>
      <c r="SDQ7" s="1876"/>
      <c r="SDR7" s="1876"/>
      <c r="SDS7" s="1876"/>
      <c r="SDT7" s="1876"/>
      <c r="SDU7" s="1876"/>
      <c r="SDV7" s="1876"/>
      <c r="SDW7" s="1876"/>
      <c r="SDX7" s="1876"/>
      <c r="SDY7" s="1876"/>
      <c r="SDZ7" s="1876"/>
      <c r="SEA7" s="1876"/>
      <c r="SEB7" s="1876"/>
      <c r="SEC7" s="1876"/>
      <c r="SED7" s="1876"/>
      <c r="SEE7" s="1876"/>
      <c r="SEF7" s="1876"/>
      <c r="SEG7" s="1876"/>
      <c r="SEH7" s="1876"/>
      <c r="SEI7" s="1876"/>
      <c r="SEJ7" s="1876"/>
      <c r="SEK7" s="1876"/>
      <c r="SEL7" s="1876"/>
      <c r="SEM7" s="1876"/>
      <c r="SEN7" s="1876"/>
      <c r="SEO7" s="1876"/>
      <c r="SEP7" s="1876"/>
      <c r="SEQ7" s="1876"/>
      <c r="SER7" s="1876"/>
      <c r="SES7" s="1876"/>
      <c r="SET7" s="1876"/>
      <c r="SEU7" s="1876"/>
      <c r="SEV7" s="1876"/>
      <c r="SEW7" s="1876"/>
      <c r="SEX7" s="1876"/>
      <c r="SEY7" s="1876"/>
      <c r="SEZ7" s="1876"/>
      <c r="SFA7" s="1876"/>
      <c r="SFB7" s="1876"/>
      <c r="SFC7" s="1876"/>
      <c r="SFD7" s="1876"/>
      <c r="SFE7" s="1876"/>
      <c r="SFF7" s="1876"/>
      <c r="SFG7" s="1876"/>
      <c r="SFH7" s="1876"/>
      <c r="SFI7" s="1876"/>
      <c r="SFJ7" s="1876"/>
      <c r="SFK7" s="1876"/>
      <c r="SFL7" s="1876"/>
      <c r="SFM7" s="1876"/>
      <c r="SFN7" s="1876"/>
      <c r="SFO7" s="1876"/>
      <c r="SFP7" s="1876"/>
      <c r="SFQ7" s="1876"/>
      <c r="SFR7" s="1876"/>
      <c r="SFS7" s="1876"/>
      <c r="SFT7" s="1876"/>
      <c r="SFU7" s="1876"/>
      <c r="SFV7" s="1876"/>
      <c r="SFW7" s="1876"/>
      <c r="SFX7" s="1876"/>
      <c r="SFY7" s="1876"/>
      <c r="SFZ7" s="1876"/>
      <c r="SGA7" s="1876"/>
      <c r="SGB7" s="1876"/>
      <c r="SGC7" s="1876"/>
      <c r="SGD7" s="1876"/>
      <c r="SGE7" s="1876"/>
      <c r="SGF7" s="1876"/>
      <c r="SGG7" s="1876"/>
      <c r="SGH7" s="1876"/>
      <c r="SGI7" s="1876"/>
      <c r="SGJ7" s="1876"/>
      <c r="SGK7" s="1876"/>
      <c r="SGL7" s="1876"/>
      <c r="SGM7" s="1876"/>
      <c r="SGN7" s="1876"/>
      <c r="SGO7" s="1876"/>
      <c r="SGP7" s="1876"/>
      <c r="SGQ7" s="1876"/>
      <c r="SGR7" s="1876"/>
      <c r="SGS7" s="1876"/>
      <c r="SGT7" s="1876"/>
      <c r="SGU7" s="1876"/>
      <c r="SGV7" s="1876"/>
      <c r="SGW7" s="1876"/>
      <c r="SGX7" s="1876"/>
      <c r="SGY7" s="1876"/>
      <c r="SGZ7" s="1876"/>
      <c r="SHA7" s="1876"/>
      <c r="SHB7" s="1876"/>
      <c r="SHC7" s="1876"/>
      <c r="SHD7" s="1876"/>
      <c r="SHE7" s="1876"/>
      <c r="SHF7" s="1876"/>
      <c r="SHG7" s="1876"/>
      <c r="SHH7" s="1876"/>
      <c r="SHI7" s="1876"/>
      <c r="SHJ7" s="1876"/>
      <c r="SHK7" s="1876"/>
      <c r="SHL7" s="1876"/>
      <c r="SHM7" s="1876"/>
      <c r="SHN7" s="1876"/>
      <c r="SHO7" s="1876"/>
      <c r="SHP7" s="1876"/>
      <c r="SHQ7" s="1876"/>
      <c r="SHR7" s="1876"/>
      <c r="SHS7" s="1876"/>
      <c r="SHT7" s="1876"/>
      <c r="SHU7" s="1876"/>
      <c r="SHV7" s="1876"/>
      <c r="SHW7" s="1876"/>
      <c r="SHX7" s="1876"/>
      <c r="SHY7" s="1876"/>
      <c r="SHZ7" s="1876"/>
      <c r="SIA7" s="1876"/>
      <c r="SIB7" s="1876"/>
      <c r="SIC7" s="1876"/>
      <c r="SID7" s="1876"/>
      <c r="SIE7" s="1876"/>
      <c r="SIF7" s="1876"/>
      <c r="SIG7" s="1876"/>
      <c r="SIH7" s="1876"/>
      <c r="SII7" s="1876"/>
      <c r="SIJ7" s="1876"/>
      <c r="SIK7" s="1876"/>
      <c r="SIL7" s="1876"/>
      <c r="SIM7" s="1876"/>
      <c r="SIN7" s="1876"/>
      <c r="SIO7" s="1876"/>
      <c r="SIP7" s="1876"/>
      <c r="SIQ7" s="1876"/>
      <c r="SIR7" s="1876"/>
      <c r="SIS7" s="1876"/>
      <c r="SIT7" s="1876"/>
      <c r="SIU7" s="1876"/>
      <c r="SIV7" s="1876"/>
      <c r="SIW7" s="1876"/>
      <c r="SIX7" s="1876"/>
      <c r="SIY7" s="1876"/>
      <c r="SIZ7" s="1876"/>
      <c r="SJA7" s="1876"/>
      <c r="SJB7" s="1876"/>
      <c r="SJC7" s="1876"/>
      <c r="SJD7" s="1876"/>
      <c r="SJE7" s="1876"/>
      <c r="SJF7" s="1876"/>
      <c r="SJG7" s="1876"/>
      <c r="SJH7" s="1876"/>
      <c r="SJI7" s="1876"/>
      <c r="SJJ7" s="1876"/>
      <c r="SJK7" s="1876"/>
      <c r="SJL7" s="1876"/>
      <c r="SJM7" s="1876"/>
      <c r="SJN7" s="1876"/>
      <c r="SJO7" s="1876"/>
      <c r="SJP7" s="1876"/>
      <c r="SJQ7" s="1876"/>
      <c r="SJR7" s="1876"/>
      <c r="SJS7" s="1876"/>
      <c r="SJT7" s="1876"/>
      <c r="SJU7" s="1876"/>
      <c r="SJV7" s="1876"/>
      <c r="SJW7" s="1876"/>
      <c r="SJX7" s="1876"/>
      <c r="SJY7" s="1876"/>
      <c r="SJZ7" s="1876"/>
      <c r="SKA7" s="1876"/>
      <c r="SKB7" s="1876"/>
      <c r="SKC7" s="1876"/>
      <c r="SKD7" s="1876"/>
      <c r="SKE7" s="1876"/>
      <c r="SKF7" s="1876"/>
      <c r="SKG7" s="1876"/>
      <c r="SKH7" s="1876"/>
      <c r="SKI7" s="1876"/>
      <c r="SKJ7" s="1876"/>
      <c r="SKK7" s="1876"/>
      <c r="SKL7" s="1876"/>
      <c r="SKM7" s="1876"/>
      <c r="SKN7" s="1876"/>
      <c r="SKO7" s="1876"/>
      <c r="SKP7" s="1876"/>
      <c r="SKQ7" s="1876"/>
      <c r="SKR7" s="1876"/>
      <c r="SKS7" s="1876"/>
      <c r="SKT7" s="1876"/>
      <c r="SKU7" s="1876"/>
      <c r="SKV7" s="1876"/>
      <c r="SKW7" s="1876"/>
      <c r="SKX7" s="1876"/>
      <c r="SKY7" s="1876"/>
      <c r="SKZ7" s="1876"/>
      <c r="SLA7" s="1876"/>
      <c r="SLB7" s="1876"/>
      <c r="SLC7" s="1876"/>
      <c r="SLD7" s="1876"/>
      <c r="SLE7" s="1876"/>
      <c r="SLF7" s="1876"/>
      <c r="SLG7" s="1876"/>
      <c r="SLH7" s="1876"/>
      <c r="SLI7" s="1876"/>
      <c r="SLJ7" s="1876"/>
      <c r="SLK7" s="1876"/>
      <c r="SLL7" s="1876"/>
      <c r="SLM7" s="1876"/>
      <c r="SLN7" s="1876"/>
      <c r="SLO7" s="1876"/>
      <c r="SLP7" s="1876"/>
      <c r="SLQ7" s="1876"/>
      <c r="SLR7" s="1876"/>
      <c r="SLS7" s="1876"/>
      <c r="SLT7" s="1876"/>
      <c r="SLU7" s="1876"/>
      <c r="SLV7" s="1876"/>
      <c r="SLW7" s="1876"/>
      <c r="SLX7" s="1876"/>
      <c r="SLY7" s="1876"/>
      <c r="SLZ7" s="1876"/>
      <c r="SMA7" s="1876"/>
      <c r="SMB7" s="1876"/>
      <c r="SMC7" s="1876"/>
      <c r="SMD7" s="1876"/>
      <c r="SME7" s="1876"/>
      <c r="SMF7" s="1876"/>
      <c r="SMG7" s="1876"/>
      <c r="SMH7" s="1876"/>
      <c r="SMI7" s="1876"/>
      <c r="SMJ7" s="1876"/>
      <c r="SMK7" s="1876"/>
      <c r="SML7" s="1876"/>
      <c r="SMM7" s="1876"/>
      <c r="SMN7" s="1876"/>
      <c r="SMO7" s="1876"/>
      <c r="SMP7" s="1876"/>
      <c r="SMQ7" s="1876"/>
      <c r="SMR7" s="1876"/>
      <c r="SMS7" s="1876"/>
      <c r="SMT7" s="1876"/>
      <c r="SMU7" s="1876"/>
      <c r="SMV7" s="1876"/>
      <c r="SMW7" s="1876"/>
      <c r="SMX7" s="1876"/>
      <c r="SMY7" s="1876"/>
      <c r="SMZ7" s="1876"/>
      <c r="SNA7" s="1876"/>
      <c r="SNB7" s="1876"/>
      <c r="SNC7" s="1876"/>
      <c r="SND7" s="1876"/>
      <c r="SNE7" s="1876"/>
      <c r="SNF7" s="1876"/>
      <c r="SNG7" s="1876"/>
      <c r="SNH7" s="1876"/>
      <c r="SNI7" s="1876"/>
      <c r="SNJ7" s="1876"/>
      <c r="SNK7" s="1876"/>
      <c r="SNL7" s="1876"/>
      <c r="SNM7" s="1876"/>
      <c r="SNN7" s="1876"/>
      <c r="SNO7" s="1876"/>
      <c r="SNP7" s="1876"/>
      <c r="SNQ7" s="1876"/>
      <c r="SNR7" s="1876"/>
      <c r="SNS7" s="1876"/>
      <c r="SNT7" s="1876"/>
      <c r="SNU7" s="1876"/>
      <c r="SNV7" s="1876"/>
      <c r="SNW7" s="1876"/>
      <c r="SNX7" s="1876"/>
      <c r="SNY7" s="1876"/>
      <c r="SNZ7" s="1876"/>
      <c r="SOA7" s="1876"/>
      <c r="SOB7" s="1876"/>
      <c r="SOC7" s="1876"/>
      <c r="SOD7" s="1876"/>
      <c r="SOE7" s="1876"/>
      <c r="SOF7" s="1876"/>
      <c r="SOG7" s="1876"/>
      <c r="SOH7" s="1876"/>
      <c r="SOI7" s="1876"/>
      <c r="SOJ7" s="1876"/>
      <c r="SOK7" s="1876"/>
      <c r="SOL7" s="1876"/>
      <c r="SOM7" s="1876"/>
      <c r="SON7" s="1876"/>
      <c r="SOO7" s="1876"/>
      <c r="SOP7" s="1876"/>
      <c r="SOQ7" s="1876"/>
      <c r="SOR7" s="1876"/>
      <c r="SOS7" s="1876"/>
      <c r="SOT7" s="1876"/>
      <c r="SOU7" s="1876"/>
      <c r="SOV7" s="1876"/>
      <c r="SOW7" s="1876"/>
      <c r="SOX7" s="1876"/>
      <c r="SOY7" s="1876"/>
      <c r="SOZ7" s="1876"/>
      <c r="SPA7" s="1876"/>
      <c r="SPB7" s="1876"/>
      <c r="SPC7" s="1876"/>
      <c r="SPD7" s="1876"/>
      <c r="SPE7" s="1876"/>
      <c r="SPF7" s="1876"/>
      <c r="SPG7" s="1876"/>
      <c r="SPH7" s="1876"/>
      <c r="SPI7" s="1876"/>
      <c r="SPJ7" s="1876"/>
      <c r="SPK7" s="1876"/>
      <c r="SPL7" s="1876"/>
      <c r="SPM7" s="1876"/>
      <c r="SPN7" s="1876"/>
      <c r="SPO7" s="1876"/>
      <c r="SPP7" s="1876"/>
      <c r="SPQ7" s="1876"/>
      <c r="SPR7" s="1876"/>
      <c r="SPS7" s="1876"/>
      <c r="SPT7" s="1876"/>
      <c r="SPU7" s="1876"/>
      <c r="SPV7" s="1876"/>
      <c r="SPW7" s="1876"/>
      <c r="SPX7" s="1876"/>
      <c r="SPY7" s="1876"/>
      <c r="SPZ7" s="1876"/>
      <c r="SQA7" s="1876"/>
      <c r="SQB7" s="1876"/>
      <c r="SQC7" s="1876"/>
      <c r="SQD7" s="1876"/>
      <c r="SQE7" s="1876"/>
      <c r="SQF7" s="1876"/>
      <c r="SQG7" s="1876"/>
      <c r="SQH7" s="1876"/>
      <c r="SQI7" s="1876"/>
      <c r="SQJ7" s="1876"/>
      <c r="SQK7" s="1876"/>
      <c r="SQL7" s="1876"/>
      <c r="SQM7" s="1876"/>
      <c r="SQN7" s="1876"/>
      <c r="SQO7" s="1876"/>
      <c r="SQP7" s="1876"/>
      <c r="SQQ7" s="1876"/>
      <c r="SQR7" s="1876"/>
      <c r="SQS7" s="1876"/>
      <c r="SQT7" s="1876"/>
      <c r="SQU7" s="1876"/>
      <c r="SQV7" s="1876"/>
      <c r="SQW7" s="1876"/>
      <c r="SQX7" s="1876"/>
      <c r="SQY7" s="1876"/>
      <c r="SQZ7" s="1876"/>
      <c r="SRA7" s="1876"/>
      <c r="SRB7" s="1876"/>
      <c r="SRC7" s="1876"/>
      <c r="SRD7" s="1876"/>
      <c r="SRE7" s="1876"/>
      <c r="SRF7" s="1876"/>
      <c r="SRG7" s="1876"/>
      <c r="SRH7" s="1876"/>
      <c r="SRI7" s="1876"/>
      <c r="SRJ7" s="1876"/>
      <c r="SRK7" s="1876"/>
      <c r="SRL7" s="1876"/>
      <c r="SRM7" s="1876"/>
      <c r="SRN7" s="1876"/>
      <c r="SRO7" s="1876"/>
      <c r="SRP7" s="1876"/>
      <c r="SRQ7" s="1876"/>
      <c r="SRR7" s="1876"/>
      <c r="SRS7" s="1876"/>
      <c r="SRT7" s="1876"/>
      <c r="SRU7" s="1876"/>
      <c r="SRV7" s="1876"/>
      <c r="SRW7" s="1876"/>
      <c r="SRX7" s="1876"/>
      <c r="SRY7" s="1876"/>
      <c r="SRZ7" s="1876"/>
      <c r="SSA7" s="1876"/>
      <c r="SSB7" s="1876"/>
      <c r="SSC7" s="1876"/>
      <c r="SSD7" s="1876"/>
      <c r="SSE7" s="1876"/>
      <c r="SSF7" s="1876"/>
      <c r="SSG7" s="1876"/>
      <c r="SSH7" s="1876"/>
      <c r="SSI7" s="1876"/>
      <c r="SSJ7" s="1876"/>
      <c r="SSK7" s="1876"/>
      <c r="SSL7" s="1876"/>
      <c r="SSM7" s="1876"/>
      <c r="SSN7" s="1876"/>
      <c r="SSO7" s="1876"/>
      <c r="SSP7" s="1876"/>
      <c r="SSQ7" s="1876"/>
      <c r="SSR7" s="1876"/>
      <c r="SSS7" s="1876"/>
      <c r="SST7" s="1876"/>
      <c r="SSU7" s="1876"/>
      <c r="SSV7" s="1876"/>
      <c r="SSW7" s="1876"/>
      <c r="SSX7" s="1876"/>
      <c r="SSY7" s="1876"/>
      <c r="SSZ7" s="1876"/>
      <c r="STA7" s="1876"/>
      <c r="STB7" s="1876"/>
      <c r="STC7" s="1876"/>
      <c r="STD7" s="1876"/>
      <c r="STE7" s="1876"/>
      <c r="STF7" s="1876"/>
      <c r="STG7" s="1876"/>
      <c r="STH7" s="1876"/>
      <c r="STI7" s="1876"/>
      <c r="STJ7" s="1876"/>
      <c r="STK7" s="1876"/>
      <c r="STL7" s="1876"/>
      <c r="STM7" s="1876"/>
      <c r="STN7" s="1876"/>
      <c r="STO7" s="1876"/>
      <c r="STP7" s="1876"/>
      <c r="STQ7" s="1876"/>
      <c r="STR7" s="1876"/>
      <c r="STS7" s="1876"/>
      <c r="STT7" s="1876"/>
      <c r="STU7" s="1876"/>
      <c r="STV7" s="1876"/>
      <c r="STW7" s="1876"/>
      <c r="STX7" s="1876"/>
      <c r="STY7" s="1876"/>
      <c r="STZ7" s="1876"/>
      <c r="SUA7" s="1876"/>
      <c r="SUB7" s="1876"/>
      <c r="SUC7" s="1876"/>
      <c r="SUD7" s="1876"/>
      <c r="SUE7" s="1876"/>
      <c r="SUF7" s="1876"/>
      <c r="SUG7" s="1876"/>
      <c r="SUH7" s="1876"/>
      <c r="SUI7" s="1876"/>
      <c r="SUJ7" s="1876"/>
      <c r="SUK7" s="1876"/>
      <c r="SUL7" s="1876"/>
      <c r="SUM7" s="1876"/>
      <c r="SUN7" s="1876"/>
      <c r="SUO7" s="1876"/>
      <c r="SUP7" s="1876"/>
      <c r="SUQ7" s="1876"/>
      <c r="SUR7" s="1876"/>
      <c r="SUS7" s="1876"/>
      <c r="SUT7" s="1876"/>
      <c r="SUU7" s="1876"/>
      <c r="SUV7" s="1876"/>
      <c r="SUW7" s="1876"/>
      <c r="SUX7" s="1876"/>
      <c r="SUY7" s="1876"/>
      <c r="SUZ7" s="1876"/>
      <c r="SVA7" s="1876"/>
      <c r="SVB7" s="1876"/>
      <c r="SVC7" s="1876"/>
      <c r="SVD7" s="1876"/>
      <c r="SVE7" s="1876"/>
      <c r="SVF7" s="1876"/>
      <c r="SVG7" s="1876"/>
      <c r="SVH7" s="1876"/>
      <c r="SVI7" s="1876"/>
      <c r="SVJ7" s="1876"/>
      <c r="SVK7" s="1876"/>
      <c r="SVL7" s="1876"/>
      <c r="SVM7" s="1876"/>
      <c r="SVN7" s="1876"/>
      <c r="SVO7" s="1876"/>
      <c r="SVP7" s="1876"/>
      <c r="SVQ7" s="1876"/>
      <c r="SVR7" s="1876"/>
      <c r="SVS7" s="1876"/>
      <c r="SVT7" s="1876"/>
      <c r="SVU7" s="1876"/>
      <c r="SVV7" s="1876"/>
      <c r="SVW7" s="1876"/>
      <c r="SVX7" s="1876"/>
      <c r="SVY7" s="1876"/>
      <c r="SVZ7" s="1876"/>
      <c r="SWA7" s="1876"/>
      <c r="SWB7" s="1876"/>
      <c r="SWC7" s="1876"/>
      <c r="SWD7" s="1876"/>
      <c r="SWE7" s="1876"/>
      <c r="SWF7" s="1876"/>
      <c r="SWG7" s="1876"/>
      <c r="SWH7" s="1876"/>
      <c r="SWI7" s="1876"/>
      <c r="SWJ7" s="1876"/>
      <c r="SWK7" s="1876"/>
      <c r="SWL7" s="1876"/>
      <c r="SWM7" s="1876"/>
      <c r="SWN7" s="1876"/>
      <c r="SWO7" s="1876"/>
      <c r="SWP7" s="1876"/>
      <c r="SWQ7" s="1876"/>
      <c r="SWR7" s="1876"/>
      <c r="SWS7" s="1876"/>
      <c r="SWT7" s="1876"/>
      <c r="SWU7" s="1876"/>
      <c r="SWV7" s="1876"/>
      <c r="SWW7" s="1876"/>
      <c r="SWX7" s="1876"/>
      <c r="SWY7" s="1876"/>
      <c r="SWZ7" s="1876"/>
      <c r="SXA7" s="1876"/>
      <c r="SXB7" s="1876"/>
      <c r="SXC7" s="1876"/>
      <c r="SXD7" s="1876"/>
      <c r="SXE7" s="1876"/>
      <c r="SXF7" s="1876"/>
      <c r="SXG7" s="1876"/>
      <c r="SXH7" s="1876"/>
      <c r="SXI7" s="1876"/>
      <c r="SXJ7" s="1876"/>
      <c r="SXK7" s="1876"/>
      <c r="SXL7" s="1876"/>
      <c r="SXM7" s="1876"/>
      <c r="SXN7" s="1876"/>
      <c r="SXO7" s="1876"/>
      <c r="SXP7" s="1876"/>
      <c r="SXQ7" s="1876"/>
      <c r="SXR7" s="1876"/>
      <c r="SXS7" s="1876"/>
      <c r="SXT7" s="1876"/>
      <c r="SXU7" s="1876"/>
      <c r="SXV7" s="1876"/>
      <c r="SXW7" s="1876"/>
      <c r="SXX7" s="1876"/>
      <c r="SXY7" s="1876"/>
      <c r="SXZ7" s="1876"/>
      <c r="SYA7" s="1876"/>
      <c r="SYB7" s="1876"/>
      <c r="SYC7" s="1876"/>
      <c r="SYD7" s="1876"/>
      <c r="SYE7" s="1876"/>
      <c r="SYF7" s="1876"/>
      <c r="SYG7" s="1876"/>
      <c r="SYH7" s="1876"/>
      <c r="SYI7" s="1876"/>
      <c r="SYJ7" s="1876"/>
      <c r="SYK7" s="1876"/>
      <c r="SYL7" s="1876"/>
      <c r="SYM7" s="1876"/>
      <c r="SYN7" s="1876"/>
      <c r="SYO7" s="1876"/>
      <c r="SYP7" s="1876"/>
      <c r="SYQ7" s="1876"/>
      <c r="SYR7" s="1876"/>
      <c r="SYS7" s="1876"/>
      <c r="SYT7" s="1876"/>
      <c r="SYU7" s="1876"/>
      <c r="SYV7" s="1876"/>
      <c r="SYW7" s="1876"/>
      <c r="SYX7" s="1876"/>
      <c r="SYY7" s="1876"/>
      <c r="SYZ7" s="1876"/>
      <c r="SZA7" s="1876"/>
      <c r="SZB7" s="1876"/>
      <c r="SZC7" s="1876"/>
      <c r="SZD7" s="1876"/>
      <c r="SZE7" s="1876"/>
      <c r="SZF7" s="1876"/>
      <c r="SZG7" s="1876"/>
      <c r="SZH7" s="1876"/>
      <c r="SZI7" s="1876"/>
      <c r="SZJ7" s="1876"/>
      <c r="SZK7" s="1876"/>
      <c r="SZL7" s="1876"/>
      <c r="SZM7" s="1876"/>
      <c r="SZN7" s="1876"/>
      <c r="SZO7" s="1876"/>
      <c r="SZP7" s="1876"/>
      <c r="SZQ7" s="1876"/>
      <c r="SZR7" s="1876"/>
      <c r="SZS7" s="1876"/>
      <c r="SZT7" s="1876"/>
      <c r="SZU7" s="1876"/>
      <c r="SZV7" s="1876"/>
      <c r="SZW7" s="1876"/>
      <c r="SZX7" s="1876"/>
      <c r="SZY7" s="1876"/>
      <c r="SZZ7" s="1876"/>
      <c r="TAA7" s="1876"/>
      <c r="TAB7" s="1876"/>
      <c r="TAC7" s="1876"/>
      <c r="TAD7" s="1876"/>
      <c r="TAE7" s="1876"/>
      <c r="TAF7" s="1876"/>
      <c r="TAG7" s="1876"/>
      <c r="TAH7" s="1876"/>
      <c r="TAI7" s="1876"/>
      <c r="TAJ7" s="1876"/>
      <c r="TAK7" s="1876"/>
      <c r="TAL7" s="1876"/>
      <c r="TAM7" s="1876"/>
      <c r="TAN7" s="1876"/>
      <c r="TAO7" s="1876"/>
      <c r="TAP7" s="1876"/>
      <c r="TAQ7" s="1876"/>
      <c r="TAR7" s="1876"/>
      <c r="TAS7" s="1876"/>
      <c r="TAT7" s="1876"/>
      <c r="TAU7" s="1876"/>
      <c r="TAV7" s="1876"/>
      <c r="TAW7" s="1876"/>
      <c r="TAX7" s="1876"/>
      <c r="TAY7" s="1876"/>
      <c r="TAZ7" s="1876"/>
      <c r="TBA7" s="1876"/>
      <c r="TBB7" s="1876"/>
      <c r="TBC7" s="1876"/>
      <c r="TBD7" s="1876"/>
      <c r="TBE7" s="1876"/>
      <c r="TBF7" s="1876"/>
      <c r="TBG7" s="1876"/>
      <c r="TBH7" s="1876"/>
      <c r="TBI7" s="1876"/>
      <c r="TBJ7" s="1876"/>
      <c r="TBK7" s="1876"/>
      <c r="TBL7" s="1876"/>
      <c r="TBM7" s="1876"/>
      <c r="TBN7" s="1876"/>
      <c r="TBO7" s="1876"/>
      <c r="TBP7" s="1876"/>
      <c r="TBQ7" s="1876"/>
      <c r="TBR7" s="1876"/>
      <c r="TBS7" s="1876"/>
      <c r="TBT7" s="1876"/>
      <c r="TBU7" s="1876"/>
      <c r="TBV7" s="1876"/>
      <c r="TBW7" s="1876"/>
      <c r="TBX7" s="1876"/>
      <c r="TBY7" s="1876"/>
      <c r="TBZ7" s="1876"/>
      <c r="TCA7" s="1876"/>
      <c r="TCB7" s="1876"/>
      <c r="TCC7" s="1876"/>
      <c r="TCD7" s="1876"/>
      <c r="TCE7" s="1876"/>
      <c r="TCF7" s="1876"/>
      <c r="TCG7" s="1876"/>
      <c r="TCH7" s="1876"/>
      <c r="TCI7" s="1876"/>
      <c r="TCJ7" s="1876"/>
      <c r="TCK7" s="1876"/>
      <c r="TCL7" s="1876"/>
      <c r="TCM7" s="1876"/>
      <c r="TCN7" s="1876"/>
      <c r="TCO7" s="1876"/>
      <c r="TCP7" s="1876"/>
      <c r="TCQ7" s="1876"/>
      <c r="TCR7" s="1876"/>
      <c r="TCS7" s="1876"/>
      <c r="TCT7" s="1876"/>
      <c r="TCU7" s="1876"/>
      <c r="TCV7" s="1876"/>
      <c r="TCW7" s="1876"/>
      <c r="TCX7" s="1876"/>
      <c r="TCY7" s="1876"/>
      <c r="TCZ7" s="1876"/>
      <c r="TDA7" s="1876"/>
      <c r="TDB7" s="1876"/>
      <c r="TDC7" s="1876"/>
      <c r="TDD7" s="1876"/>
      <c r="TDE7" s="1876"/>
      <c r="TDF7" s="1876"/>
      <c r="TDG7" s="1876"/>
      <c r="TDH7" s="1876"/>
      <c r="TDI7" s="1876"/>
      <c r="TDJ7" s="1876"/>
      <c r="TDK7" s="1876"/>
      <c r="TDL7" s="1876"/>
      <c r="TDM7" s="1876"/>
      <c r="TDN7" s="1876"/>
      <c r="TDO7" s="1876"/>
      <c r="TDP7" s="1876"/>
      <c r="TDQ7" s="1876"/>
      <c r="TDR7" s="1876"/>
      <c r="TDS7" s="1876"/>
      <c r="TDT7" s="1876"/>
      <c r="TDU7" s="1876"/>
      <c r="TDV7" s="1876"/>
      <c r="TDW7" s="1876"/>
      <c r="TDX7" s="1876"/>
      <c r="TDY7" s="1876"/>
      <c r="TDZ7" s="1876"/>
      <c r="TEA7" s="1876"/>
      <c r="TEB7" s="1876"/>
      <c r="TEC7" s="1876"/>
      <c r="TED7" s="1876"/>
      <c r="TEE7" s="1876"/>
      <c r="TEF7" s="1876"/>
      <c r="TEG7" s="1876"/>
      <c r="TEH7" s="1876"/>
      <c r="TEI7" s="1876"/>
      <c r="TEJ7" s="1876"/>
      <c r="TEK7" s="1876"/>
      <c r="TEL7" s="1876"/>
      <c r="TEM7" s="1876"/>
      <c r="TEN7" s="1876"/>
      <c r="TEO7" s="1876"/>
      <c r="TEP7" s="1876"/>
      <c r="TEQ7" s="1876"/>
      <c r="TER7" s="1876"/>
      <c r="TES7" s="1876"/>
      <c r="TET7" s="1876"/>
      <c r="TEU7" s="1876"/>
      <c r="TEV7" s="1876"/>
      <c r="TEW7" s="1876"/>
      <c r="TEX7" s="1876"/>
      <c r="TEY7" s="1876"/>
      <c r="TEZ7" s="1876"/>
      <c r="TFA7" s="1876"/>
      <c r="TFB7" s="1876"/>
      <c r="TFC7" s="1876"/>
      <c r="TFD7" s="1876"/>
      <c r="TFE7" s="1876"/>
      <c r="TFF7" s="1876"/>
      <c r="TFG7" s="1876"/>
      <c r="TFH7" s="1876"/>
      <c r="TFI7" s="1876"/>
      <c r="TFJ7" s="1876"/>
      <c r="TFK7" s="1876"/>
      <c r="TFL7" s="1876"/>
      <c r="TFM7" s="1876"/>
      <c r="TFN7" s="1876"/>
      <c r="TFO7" s="1876"/>
      <c r="TFP7" s="1876"/>
      <c r="TFQ7" s="1876"/>
      <c r="TFR7" s="1876"/>
      <c r="TFS7" s="1876"/>
      <c r="TFT7" s="1876"/>
      <c r="TFU7" s="1876"/>
      <c r="TFV7" s="1876"/>
      <c r="TFW7" s="1876"/>
      <c r="TFX7" s="1876"/>
      <c r="TFY7" s="1876"/>
      <c r="TFZ7" s="1876"/>
      <c r="TGA7" s="1876"/>
      <c r="TGB7" s="1876"/>
      <c r="TGC7" s="1876"/>
      <c r="TGD7" s="1876"/>
      <c r="TGE7" s="1876"/>
      <c r="TGF7" s="1876"/>
      <c r="TGG7" s="1876"/>
      <c r="TGH7" s="1876"/>
      <c r="TGI7" s="1876"/>
      <c r="TGJ7" s="1876"/>
      <c r="TGK7" s="1876"/>
      <c r="TGL7" s="1876"/>
      <c r="TGM7" s="1876"/>
      <c r="TGN7" s="1876"/>
      <c r="TGO7" s="1876"/>
      <c r="TGP7" s="1876"/>
      <c r="TGQ7" s="1876"/>
      <c r="TGR7" s="1876"/>
      <c r="TGS7" s="1876"/>
      <c r="TGT7" s="1876"/>
      <c r="TGU7" s="1876"/>
      <c r="TGV7" s="1876"/>
      <c r="TGW7" s="1876"/>
      <c r="TGX7" s="1876"/>
      <c r="TGY7" s="1876"/>
      <c r="TGZ7" s="1876"/>
      <c r="THA7" s="1876"/>
      <c r="THB7" s="1876"/>
      <c r="THC7" s="1876"/>
      <c r="THD7" s="1876"/>
      <c r="THE7" s="1876"/>
      <c r="THF7" s="1876"/>
      <c r="THG7" s="1876"/>
      <c r="THH7" s="1876"/>
      <c r="THI7" s="1876"/>
      <c r="THJ7" s="1876"/>
      <c r="THK7" s="1876"/>
      <c r="THL7" s="1876"/>
      <c r="THM7" s="1876"/>
      <c r="THN7" s="1876"/>
      <c r="THO7" s="1876"/>
      <c r="THP7" s="1876"/>
      <c r="THQ7" s="1876"/>
      <c r="THR7" s="1876"/>
      <c r="THS7" s="1876"/>
      <c r="THT7" s="1876"/>
      <c r="THU7" s="1876"/>
      <c r="THV7" s="1876"/>
      <c r="THW7" s="1876"/>
      <c r="THX7" s="1876"/>
      <c r="THY7" s="1876"/>
      <c r="THZ7" s="1876"/>
      <c r="TIA7" s="1876"/>
      <c r="TIB7" s="1876"/>
      <c r="TIC7" s="1876"/>
      <c r="TID7" s="1876"/>
      <c r="TIE7" s="1876"/>
      <c r="TIF7" s="1876"/>
      <c r="TIG7" s="1876"/>
      <c r="TIH7" s="1876"/>
      <c r="TII7" s="1876"/>
      <c r="TIJ7" s="1876"/>
      <c r="TIK7" s="1876"/>
      <c r="TIL7" s="1876"/>
      <c r="TIM7" s="1876"/>
      <c r="TIN7" s="1876"/>
      <c r="TIO7" s="1876"/>
      <c r="TIP7" s="1876"/>
      <c r="TIQ7" s="1876"/>
      <c r="TIR7" s="1876"/>
      <c r="TIS7" s="1876"/>
      <c r="TIT7" s="1876"/>
      <c r="TIU7" s="1876"/>
      <c r="TIV7" s="1876"/>
      <c r="TIW7" s="1876"/>
      <c r="TIX7" s="1876"/>
      <c r="TIY7" s="1876"/>
      <c r="TIZ7" s="1876"/>
      <c r="TJA7" s="1876"/>
      <c r="TJB7" s="1876"/>
      <c r="TJC7" s="1876"/>
      <c r="TJD7" s="1876"/>
      <c r="TJE7" s="1876"/>
      <c r="TJF7" s="1876"/>
      <c r="TJG7" s="1876"/>
      <c r="TJH7" s="1876"/>
      <c r="TJI7" s="1876"/>
      <c r="TJJ7" s="1876"/>
      <c r="TJK7" s="1876"/>
      <c r="TJL7" s="1876"/>
      <c r="TJM7" s="1876"/>
      <c r="TJN7" s="1876"/>
      <c r="TJO7" s="1876"/>
      <c r="TJP7" s="1876"/>
      <c r="TJQ7" s="1876"/>
      <c r="TJR7" s="1876"/>
      <c r="TJS7" s="1876"/>
      <c r="TJT7" s="1876"/>
      <c r="TJU7" s="1876"/>
      <c r="TJV7" s="1876"/>
      <c r="TJW7" s="1876"/>
      <c r="TJX7" s="1876"/>
      <c r="TJY7" s="1876"/>
      <c r="TJZ7" s="1876"/>
      <c r="TKA7" s="1876"/>
      <c r="TKB7" s="1876"/>
      <c r="TKC7" s="1876"/>
      <c r="TKD7" s="1876"/>
      <c r="TKE7" s="1876"/>
      <c r="TKF7" s="1876"/>
      <c r="TKG7" s="1876"/>
      <c r="TKH7" s="1876"/>
      <c r="TKI7" s="1876"/>
      <c r="TKJ7" s="1876"/>
      <c r="TKK7" s="1876"/>
      <c r="TKL7" s="1876"/>
      <c r="TKM7" s="1876"/>
      <c r="TKN7" s="1876"/>
      <c r="TKO7" s="1876"/>
      <c r="TKP7" s="1876"/>
      <c r="TKQ7" s="1876"/>
      <c r="TKR7" s="1876"/>
      <c r="TKS7" s="1876"/>
      <c r="TKT7" s="1876"/>
      <c r="TKU7" s="1876"/>
      <c r="TKV7" s="1876"/>
      <c r="TKW7" s="1876"/>
      <c r="TKX7" s="1876"/>
      <c r="TKY7" s="1876"/>
      <c r="TKZ7" s="1876"/>
      <c r="TLA7" s="1876"/>
      <c r="TLB7" s="1876"/>
      <c r="TLC7" s="1876"/>
      <c r="TLD7" s="1876"/>
      <c r="TLE7" s="1876"/>
      <c r="TLF7" s="1876"/>
      <c r="TLG7" s="1876"/>
      <c r="TLH7" s="1876"/>
      <c r="TLI7" s="1876"/>
      <c r="TLJ7" s="1876"/>
      <c r="TLK7" s="1876"/>
      <c r="TLL7" s="1876"/>
      <c r="TLM7" s="1876"/>
      <c r="TLN7" s="1876"/>
      <c r="TLO7" s="1876"/>
      <c r="TLP7" s="1876"/>
      <c r="TLQ7" s="1876"/>
      <c r="TLR7" s="1876"/>
      <c r="TLS7" s="1876"/>
      <c r="TLT7" s="1876"/>
      <c r="TLU7" s="1876"/>
      <c r="TLV7" s="1876"/>
      <c r="TLW7" s="1876"/>
      <c r="TLX7" s="1876"/>
      <c r="TLY7" s="1876"/>
      <c r="TLZ7" s="1876"/>
      <c r="TMA7" s="1876"/>
      <c r="TMB7" s="1876"/>
      <c r="TMC7" s="1876"/>
      <c r="TMD7" s="1876"/>
      <c r="TME7" s="1876"/>
      <c r="TMF7" s="1876"/>
      <c r="TMG7" s="1876"/>
      <c r="TMH7" s="1876"/>
      <c r="TMI7" s="1876"/>
      <c r="TMJ7" s="1876"/>
      <c r="TMK7" s="1876"/>
      <c r="TML7" s="1876"/>
      <c r="TMM7" s="1876"/>
      <c r="TMN7" s="1876"/>
      <c r="TMO7" s="1876"/>
      <c r="TMP7" s="1876"/>
      <c r="TMQ7" s="1876"/>
      <c r="TMR7" s="1876"/>
      <c r="TMS7" s="1876"/>
      <c r="TMT7" s="1876"/>
      <c r="TMU7" s="1876"/>
      <c r="TMV7" s="1876"/>
      <c r="TMW7" s="1876"/>
      <c r="TMX7" s="1876"/>
      <c r="TMY7" s="1876"/>
      <c r="TMZ7" s="1876"/>
      <c r="TNA7" s="1876"/>
      <c r="TNB7" s="1876"/>
      <c r="TNC7" s="1876"/>
      <c r="TND7" s="1876"/>
      <c r="TNE7" s="1876"/>
      <c r="TNF7" s="1876"/>
      <c r="TNG7" s="1876"/>
      <c r="TNH7" s="1876"/>
      <c r="TNI7" s="1876"/>
      <c r="TNJ7" s="1876"/>
      <c r="TNK7" s="1876"/>
      <c r="TNL7" s="1876"/>
      <c r="TNM7" s="1876"/>
      <c r="TNN7" s="1876"/>
      <c r="TNO7" s="1876"/>
      <c r="TNP7" s="1876"/>
      <c r="TNQ7" s="1876"/>
      <c r="TNR7" s="1876"/>
      <c r="TNS7" s="1876"/>
      <c r="TNT7" s="1876"/>
      <c r="TNU7" s="1876"/>
      <c r="TNV7" s="1876"/>
      <c r="TNW7" s="1876"/>
      <c r="TNX7" s="1876"/>
      <c r="TNY7" s="1876"/>
      <c r="TNZ7" s="1876"/>
      <c r="TOA7" s="1876"/>
      <c r="TOB7" s="1876"/>
      <c r="TOC7" s="1876"/>
      <c r="TOD7" s="1876"/>
      <c r="TOE7" s="1876"/>
      <c r="TOF7" s="1876"/>
      <c r="TOG7" s="1876"/>
      <c r="TOH7" s="1876"/>
      <c r="TOI7" s="1876"/>
      <c r="TOJ7" s="1876"/>
      <c r="TOK7" s="1876"/>
      <c r="TOL7" s="1876"/>
      <c r="TOM7" s="1876"/>
      <c r="TON7" s="1876"/>
      <c r="TOO7" s="1876"/>
      <c r="TOP7" s="1876"/>
      <c r="TOQ7" s="1876"/>
      <c r="TOR7" s="1876"/>
      <c r="TOS7" s="1876"/>
      <c r="TOT7" s="1876"/>
      <c r="TOU7" s="1876"/>
      <c r="TOV7" s="1876"/>
      <c r="TOW7" s="1876"/>
      <c r="TOX7" s="1876"/>
      <c r="TOY7" s="1876"/>
      <c r="TOZ7" s="1876"/>
      <c r="TPA7" s="1876"/>
      <c r="TPB7" s="1876"/>
      <c r="TPC7" s="1876"/>
      <c r="TPD7" s="1876"/>
      <c r="TPE7" s="1876"/>
      <c r="TPF7" s="1876"/>
      <c r="TPG7" s="1876"/>
      <c r="TPH7" s="1876"/>
      <c r="TPI7" s="1876"/>
      <c r="TPJ7" s="1876"/>
      <c r="TPK7" s="1876"/>
      <c r="TPL7" s="1876"/>
      <c r="TPM7" s="1876"/>
      <c r="TPN7" s="1876"/>
      <c r="TPO7" s="1876"/>
      <c r="TPP7" s="1876"/>
      <c r="TPQ7" s="1876"/>
      <c r="TPR7" s="1876"/>
      <c r="TPS7" s="1876"/>
      <c r="TPT7" s="1876"/>
      <c r="TPU7" s="1876"/>
      <c r="TPV7" s="1876"/>
      <c r="TPW7" s="1876"/>
      <c r="TPX7" s="1876"/>
      <c r="TPY7" s="1876"/>
      <c r="TPZ7" s="1876"/>
      <c r="TQA7" s="1876"/>
      <c r="TQB7" s="1876"/>
      <c r="TQC7" s="1876"/>
      <c r="TQD7" s="1876"/>
      <c r="TQE7" s="1876"/>
      <c r="TQF7" s="1876"/>
      <c r="TQG7" s="1876"/>
      <c r="TQH7" s="1876"/>
      <c r="TQI7" s="1876"/>
      <c r="TQJ7" s="1876"/>
      <c r="TQK7" s="1876"/>
      <c r="TQL7" s="1876"/>
      <c r="TQM7" s="1876"/>
      <c r="TQN7" s="1876"/>
      <c r="TQO7" s="1876"/>
      <c r="TQP7" s="1876"/>
      <c r="TQQ7" s="1876"/>
      <c r="TQR7" s="1876"/>
      <c r="TQS7" s="1876"/>
      <c r="TQT7" s="1876"/>
      <c r="TQU7" s="1876"/>
      <c r="TQV7" s="1876"/>
      <c r="TQW7" s="1876"/>
      <c r="TQX7" s="1876"/>
      <c r="TQY7" s="1876"/>
      <c r="TQZ7" s="1876"/>
      <c r="TRA7" s="1876"/>
      <c r="TRB7" s="1876"/>
      <c r="TRC7" s="1876"/>
      <c r="TRD7" s="1876"/>
      <c r="TRE7" s="1876"/>
      <c r="TRF7" s="1876"/>
      <c r="TRG7" s="1876"/>
      <c r="TRH7" s="1876"/>
      <c r="TRI7" s="1876"/>
      <c r="TRJ7" s="1876"/>
      <c r="TRK7" s="1876"/>
      <c r="TRL7" s="1876"/>
      <c r="TRM7" s="1876"/>
      <c r="TRN7" s="1876"/>
      <c r="TRO7" s="1876"/>
      <c r="TRP7" s="1876"/>
      <c r="TRQ7" s="1876"/>
      <c r="TRR7" s="1876"/>
      <c r="TRS7" s="1876"/>
      <c r="TRT7" s="1876"/>
      <c r="TRU7" s="1876"/>
      <c r="TRV7" s="1876"/>
      <c r="TRW7" s="1876"/>
      <c r="TRX7" s="1876"/>
      <c r="TRY7" s="1876"/>
      <c r="TRZ7" s="1876"/>
      <c r="TSA7" s="1876"/>
      <c r="TSB7" s="1876"/>
      <c r="TSC7" s="1876"/>
      <c r="TSD7" s="1876"/>
      <c r="TSE7" s="1876"/>
      <c r="TSF7" s="1876"/>
      <c r="TSG7" s="1876"/>
      <c r="TSH7" s="1876"/>
      <c r="TSI7" s="1876"/>
      <c r="TSJ7" s="1876"/>
      <c r="TSK7" s="1876"/>
      <c r="TSL7" s="1876"/>
      <c r="TSM7" s="1876"/>
      <c r="TSN7" s="1876"/>
      <c r="TSO7" s="1876"/>
      <c r="TSP7" s="1876"/>
      <c r="TSQ7" s="1876"/>
      <c r="TSR7" s="1876"/>
      <c r="TSS7" s="1876"/>
      <c r="TST7" s="1876"/>
      <c r="TSU7" s="1876"/>
      <c r="TSV7" s="1876"/>
      <c r="TSW7" s="1876"/>
      <c r="TSX7" s="1876"/>
      <c r="TSY7" s="1876"/>
      <c r="TSZ7" s="1876"/>
      <c r="TTA7" s="1876"/>
      <c r="TTB7" s="1876"/>
      <c r="TTC7" s="1876"/>
      <c r="TTD7" s="1876"/>
      <c r="TTE7" s="1876"/>
      <c r="TTF7" s="1876"/>
      <c r="TTG7" s="1876"/>
      <c r="TTH7" s="1876"/>
      <c r="TTI7" s="1876"/>
      <c r="TTJ7" s="1876"/>
      <c r="TTK7" s="1876"/>
      <c r="TTL7" s="1876"/>
      <c r="TTM7" s="1876"/>
      <c r="TTN7" s="1876"/>
      <c r="TTO7" s="1876"/>
      <c r="TTP7" s="1876"/>
      <c r="TTQ7" s="1876"/>
      <c r="TTR7" s="1876"/>
      <c r="TTS7" s="1876"/>
      <c r="TTT7" s="1876"/>
      <c r="TTU7" s="1876"/>
      <c r="TTV7" s="1876"/>
      <c r="TTW7" s="1876"/>
      <c r="TTX7" s="1876"/>
      <c r="TTY7" s="1876"/>
      <c r="TTZ7" s="1876"/>
      <c r="TUA7" s="1876"/>
      <c r="TUB7" s="1876"/>
      <c r="TUC7" s="1876"/>
      <c r="TUD7" s="1876"/>
      <c r="TUE7" s="1876"/>
      <c r="TUF7" s="1876"/>
      <c r="TUG7" s="1876"/>
      <c r="TUH7" s="1876"/>
      <c r="TUI7" s="1876"/>
      <c r="TUJ7" s="1876"/>
      <c r="TUK7" s="1876"/>
      <c r="TUL7" s="1876"/>
      <c r="TUM7" s="1876"/>
      <c r="TUN7" s="1876"/>
      <c r="TUO7" s="1876"/>
      <c r="TUP7" s="1876"/>
      <c r="TUQ7" s="1876"/>
      <c r="TUR7" s="1876"/>
      <c r="TUS7" s="1876"/>
      <c r="TUT7" s="1876"/>
      <c r="TUU7" s="1876"/>
      <c r="TUV7" s="1876"/>
      <c r="TUW7" s="1876"/>
      <c r="TUX7" s="1876"/>
      <c r="TUY7" s="1876"/>
      <c r="TUZ7" s="1876"/>
      <c r="TVA7" s="1876"/>
      <c r="TVB7" s="1876"/>
      <c r="TVC7" s="1876"/>
      <c r="TVD7" s="1876"/>
      <c r="TVE7" s="1876"/>
      <c r="TVF7" s="1876"/>
      <c r="TVG7" s="1876"/>
      <c r="TVH7" s="1876"/>
      <c r="TVI7" s="1876"/>
      <c r="TVJ7" s="1876"/>
      <c r="TVK7" s="1876"/>
      <c r="TVL7" s="1876"/>
      <c r="TVM7" s="1876"/>
      <c r="TVN7" s="1876"/>
      <c r="TVO7" s="1876"/>
      <c r="TVP7" s="1876"/>
      <c r="TVQ7" s="1876"/>
      <c r="TVR7" s="1876"/>
      <c r="TVS7" s="1876"/>
      <c r="TVT7" s="1876"/>
      <c r="TVU7" s="1876"/>
      <c r="TVV7" s="1876"/>
      <c r="TVW7" s="1876"/>
      <c r="TVX7" s="1876"/>
      <c r="TVY7" s="1876"/>
      <c r="TVZ7" s="1876"/>
      <c r="TWA7" s="1876"/>
      <c r="TWB7" s="1876"/>
      <c r="TWC7" s="1876"/>
      <c r="TWD7" s="1876"/>
      <c r="TWE7" s="1876"/>
      <c r="TWF7" s="1876"/>
      <c r="TWG7" s="1876"/>
      <c r="TWH7" s="1876"/>
      <c r="TWI7" s="1876"/>
      <c r="TWJ7" s="1876"/>
      <c r="TWK7" s="1876"/>
      <c r="TWL7" s="1876"/>
      <c r="TWM7" s="1876"/>
      <c r="TWN7" s="1876"/>
      <c r="TWO7" s="1876"/>
      <c r="TWP7" s="1876"/>
      <c r="TWQ7" s="1876"/>
      <c r="TWR7" s="1876"/>
      <c r="TWS7" s="1876"/>
      <c r="TWT7" s="1876"/>
      <c r="TWU7" s="1876"/>
      <c r="TWV7" s="1876"/>
      <c r="TWW7" s="1876"/>
      <c r="TWX7" s="1876"/>
      <c r="TWY7" s="1876"/>
      <c r="TWZ7" s="1876"/>
      <c r="TXA7" s="1876"/>
      <c r="TXB7" s="1876"/>
      <c r="TXC7" s="1876"/>
      <c r="TXD7" s="1876"/>
      <c r="TXE7" s="1876"/>
      <c r="TXF7" s="1876"/>
      <c r="TXG7" s="1876"/>
      <c r="TXH7" s="1876"/>
      <c r="TXI7" s="1876"/>
      <c r="TXJ7" s="1876"/>
      <c r="TXK7" s="1876"/>
      <c r="TXL7" s="1876"/>
      <c r="TXM7" s="1876"/>
      <c r="TXN7" s="1876"/>
      <c r="TXO7" s="1876"/>
      <c r="TXP7" s="1876"/>
      <c r="TXQ7" s="1876"/>
      <c r="TXR7" s="1876"/>
      <c r="TXS7" s="1876"/>
      <c r="TXT7" s="1876"/>
      <c r="TXU7" s="1876"/>
      <c r="TXV7" s="1876"/>
      <c r="TXW7" s="1876"/>
      <c r="TXX7" s="1876"/>
      <c r="TXY7" s="1876"/>
      <c r="TXZ7" s="1876"/>
      <c r="TYA7" s="1876"/>
      <c r="TYB7" s="1876"/>
      <c r="TYC7" s="1876"/>
      <c r="TYD7" s="1876"/>
      <c r="TYE7" s="1876"/>
      <c r="TYF7" s="1876"/>
      <c r="TYG7" s="1876"/>
      <c r="TYH7" s="1876"/>
      <c r="TYI7" s="1876"/>
      <c r="TYJ7" s="1876"/>
      <c r="TYK7" s="1876"/>
      <c r="TYL7" s="1876"/>
      <c r="TYM7" s="1876"/>
      <c r="TYN7" s="1876"/>
      <c r="TYO7" s="1876"/>
      <c r="TYP7" s="1876"/>
      <c r="TYQ7" s="1876"/>
      <c r="TYR7" s="1876"/>
      <c r="TYS7" s="1876"/>
      <c r="TYT7" s="1876"/>
      <c r="TYU7" s="1876"/>
      <c r="TYV7" s="1876"/>
      <c r="TYW7" s="1876"/>
      <c r="TYX7" s="1876"/>
      <c r="TYY7" s="1876"/>
      <c r="TYZ7" s="1876"/>
      <c r="TZA7" s="1876"/>
      <c r="TZB7" s="1876"/>
      <c r="TZC7" s="1876"/>
      <c r="TZD7" s="1876"/>
      <c r="TZE7" s="1876"/>
      <c r="TZF7" s="1876"/>
      <c r="TZG7" s="1876"/>
      <c r="TZH7" s="1876"/>
      <c r="TZI7" s="1876"/>
      <c r="TZJ7" s="1876"/>
      <c r="TZK7" s="1876"/>
      <c r="TZL7" s="1876"/>
      <c r="TZM7" s="1876"/>
      <c r="TZN7" s="1876"/>
      <c r="TZO7" s="1876"/>
      <c r="TZP7" s="1876"/>
      <c r="TZQ7" s="1876"/>
      <c r="TZR7" s="1876"/>
      <c r="TZS7" s="1876"/>
      <c r="TZT7" s="1876"/>
      <c r="TZU7" s="1876"/>
      <c r="TZV7" s="1876"/>
      <c r="TZW7" s="1876"/>
      <c r="TZX7" s="1876"/>
      <c r="TZY7" s="1876"/>
      <c r="TZZ7" s="1876"/>
      <c r="UAA7" s="1876"/>
      <c r="UAB7" s="1876"/>
      <c r="UAC7" s="1876"/>
      <c r="UAD7" s="1876"/>
      <c r="UAE7" s="1876"/>
      <c r="UAF7" s="1876"/>
      <c r="UAG7" s="1876"/>
      <c r="UAH7" s="1876"/>
      <c r="UAI7" s="1876"/>
      <c r="UAJ7" s="1876"/>
      <c r="UAK7" s="1876"/>
      <c r="UAL7" s="1876"/>
      <c r="UAM7" s="1876"/>
      <c r="UAN7" s="1876"/>
      <c r="UAO7" s="1876"/>
      <c r="UAP7" s="1876"/>
      <c r="UAQ7" s="1876"/>
      <c r="UAR7" s="1876"/>
      <c r="UAS7" s="1876"/>
      <c r="UAT7" s="1876"/>
      <c r="UAU7" s="1876"/>
      <c r="UAV7" s="1876"/>
      <c r="UAW7" s="1876"/>
      <c r="UAX7" s="1876"/>
      <c r="UAY7" s="1876"/>
      <c r="UAZ7" s="1876"/>
      <c r="UBA7" s="1876"/>
      <c r="UBB7" s="1876"/>
      <c r="UBC7" s="1876"/>
      <c r="UBD7" s="1876"/>
      <c r="UBE7" s="1876"/>
      <c r="UBF7" s="1876"/>
      <c r="UBG7" s="1876"/>
      <c r="UBH7" s="1876"/>
      <c r="UBI7" s="1876"/>
      <c r="UBJ7" s="1876"/>
      <c r="UBK7" s="1876"/>
      <c r="UBL7" s="1876"/>
      <c r="UBM7" s="1876"/>
      <c r="UBN7" s="1876"/>
      <c r="UBO7" s="1876"/>
      <c r="UBP7" s="1876"/>
      <c r="UBQ7" s="1876"/>
      <c r="UBR7" s="1876"/>
      <c r="UBS7" s="1876"/>
      <c r="UBT7" s="1876"/>
      <c r="UBU7" s="1876"/>
      <c r="UBV7" s="1876"/>
      <c r="UBW7" s="1876"/>
      <c r="UBX7" s="1876"/>
      <c r="UBY7" s="1876"/>
      <c r="UBZ7" s="1876"/>
      <c r="UCA7" s="1876"/>
      <c r="UCB7" s="1876"/>
      <c r="UCC7" s="1876"/>
      <c r="UCD7" s="1876"/>
      <c r="UCE7" s="1876"/>
      <c r="UCF7" s="1876"/>
      <c r="UCG7" s="1876"/>
      <c r="UCH7" s="1876"/>
      <c r="UCI7" s="1876"/>
      <c r="UCJ7" s="1876"/>
      <c r="UCK7" s="1876"/>
      <c r="UCL7" s="1876"/>
      <c r="UCM7" s="1876"/>
      <c r="UCN7" s="1876"/>
      <c r="UCO7" s="1876"/>
      <c r="UCP7" s="1876"/>
      <c r="UCQ7" s="1876"/>
      <c r="UCR7" s="1876"/>
      <c r="UCS7" s="1876"/>
      <c r="UCT7" s="1876"/>
      <c r="UCU7" s="1876"/>
      <c r="UCV7" s="1876"/>
      <c r="UCW7" s="1876"/>
      <c r="UCX7" s="1876"/>
      <c r="UCY7" s="1876"/>
      <c r="UCZ7" s="1876"/>
      <c r="UDA7" s="1876"/>
      <c r="UDB7" s="1876"/>
      <c r="UDC7" s="1876"/>
      <c r="UDD7" s="1876"/>
      <c r="UDE7" s="1876"/>
      <c r="UDF7" s="1876"/>
      <c r="UDG7" s="1876"/>
      <c r="UDH7" s="1876"/>
      <c r="UDI7" s="1876"/>
      <c r="UDJ7" s="1876"/>
      <c r="UDK7" s="1876"/>
      <c r="UDL7" s="1876"/>
      <c r="UDM7" s="1876"/>
      <c r="UDN7" s="1876"/>
      <c r="UDO7" s="1876"/>
      <c r="UDP7" s="1876"/>
      <c r="UDQ7" s="1876"/>
      <c r="UDR7" s="1876"/>
      <c r="UDS7" s="1876"/>
      <c r="UDT7" s="1876"/>
      <c r="UDU7" s="1876"/>
      <c r="UDV7" s="1876"/>
      <c r="UDW7" s="1876"/>
      <c r="UDX7" s="1876"/>
      <c r="UDY7" s="1876"/>
      <c r="UDZ7" s="1876"/>
      <c r="UEA7" s="1876"/>
      <c r="UEB7" s="1876"/>
      <c r="UEC7" s="1876"/>
      <c r="UED7" s="1876"/>
      <c r="UEE7" s="1876"/>
      <c r="UEF7" s="1876"/>
      <c r="UEG7" s="1876"/>
      <c r="UEH7" s="1876"/>
      <c r="UEI7" s="1876"/>
      <c r="UEJ7" s="1876"/>
      <c r="UEK7" s="1876"/>
      <c r="UEL7" s="1876"/>
      <c r="UEM7" s="1876"/>
      <c r="UEN7" s="1876"/>
      <c r="UEO7" s="1876"/>
      <c r="UEP7" s="1876"/>
      <c r="UEQ7" s="1876"/>
      <c r="UER7" s="1876"/>
      <c r="UES7" s="1876"/>
      <c r="UET7" s="1876"/>
      <c r="UEU7" s="1876"/>
      <c r="UEV7" s="1876"/>
      <c r="UEW7" s="1876"/>
      <c r="UEX7" s="1876"/>
      <c r="UEY7" s="1876"/>
      <c r="UEZ7" s="1876"/>
      <c r="UFA7" s="1876"/>
      <c r="UFB7" s="1876"/>
      <c r="UFC7" s="1876"/>
      <c r="UFD7" s="1876"/>
      <c r="UFE7" s="1876"/>
      <c r="UFF7" s="1876"/>
      <c r="UFG7" s="1876"/>
      <c r="UFH7" s="1876"/>
      <c r="UFI7" s="1876"/>
      <c r="UFJ7" s="1876"/>
      <c r="UFK7" s="1876"/>
      <c r="UFL7" s="1876"/>
      <c r="UFM7" s="1876"/>
      <c r="UFN7" s="1876"/>
      <c r="UFO7" s="1876"/>
      <c r="UFP7" s="1876"/>
      <c r="UFQ7" s="1876"/>
      <c r="UFR7" s="1876"/>
      <c r="UFS7" s="1876"/>
      <c r="UFT7" s="1876"/>
      <c r="UFU7" s="1876"/>
      <c r="UFV7" s="1876"/>
      <c r="UFW7" s="1876"/>
      <c r="UFX7" s="1876"/>
      <c r="UFY7" s="1876"/>
      <c r="UFZ7" s="1876"/>
      <c r="UGA7" s="1876"/>
      <c r="UGB7" s="1876"/>
      <c r="UGC7" s="1876"/>
      <c r="UGD7" s="1876"/>
      <c r="UGE7" s="1876"/>
      <c r="UGF7" s="1876"/>
      <c r="UGG7" s="1876"/>
      <c r="UGH7" s="1876"/>
      <c r="UGI7" s="1876"/>
      <c r="UGJ7" s="1876"/>
      <c r="UGK7" s="1876"/>
      <c r="UGL7" s="1876"/>
      <c r="UGM7" s="1876"/>
      <c r="UGN7" s="1876"/>
      <c r="UGO7" s="1876"/>
      <c r="UGP7" s="1876"/>
      <c r="UGQ7" s="1876"/>
      <c r="UGR7" s="1876"/>
      <c r="UGS7" s="1876"/>
      <c r="UGT7" s="1876"/>
      <c r="UGU7" s="1876"/>
      <c r="UGV7" s="1876"/>
      <c r="UGW7" s="1876"/>
      <c r="UGX7" s="1876"/>
      <c r="UGY7" s="1876"/>
      <c r="UGZ7" s="1876"/>
      <c r="UHA7" s="1876"/>
      <c r="UHB7" s="1876"/>
      <c r="UHC7" s="1876"/>
      <c r="UHD7" s="1876"/>
      <c r="UHE7" s="1876"/>
      <c r="UHF7" s="1876"/>
      <c r="UHG7" s="1876"/>
      <c r="UHH7" s="1876"/>
      <c r="UHI7" s="1876"/>
      <c r="UHJ7" s="1876"/>
      <c r="UHK7" s="1876"/>
      <c r="UHL7" s="1876"/>
      <c r="UHM7" s="1876"/>
      <c r="UHN7" s="1876"/>
      <c r="UHO7" s="1876"/>
      <c r="UHP7" s="1876"/>
      <c r="UHQ7" s="1876"/>
      <c r="UHR7" s="1876"/>
      <c r="UHS7" s="1876"/>
      <c r="UHT7" s="1876"/>
      <c r="UHU7" s="1876"/>
      <c r="UHV7" s="1876"/>
      <c r="UHW7" s="1876"/>
      <c r="UHX7" s="1876"/>
      <c r="UHY7" s="1876"/>
      <c r="UHZ7" s="1876"/>
      <c r="UIA7" s="1876"/>
      <c r="UIB7" s="1876"/>
      <c r="UIC7" s="1876"/>
      <c r="UID7" s="1876"/>
      <c r="UIE7" s="1876"/>
      <c r="UIF7" s="1876"/>
      <c r="UIG7" s="1876"/>
      <c r="UIH7" s="1876"/>
      <c r="UII7" s="1876"/>
      <c r="UIJ7" s="1876"/>
      <c r="UIK7" s="1876"/>
      <c r="UIL7" s="1876"/>
      <c r="UIM7" s="1876"/>
      <c r="UIN7" s="1876"/>
      <c r="UIO7" s="1876"/>
      <c r="UIP7" s="1876"/>
      <c r="UIQ7" s="1876"/>
      <c r="UIR7" s="1876"/>
      <c r="UIS7" s="1876"/>
      <c r="UIT7" s="1876"/>
      <c r="UIU7" s="1876"/>
      <c r="UIV7" s="1876"/>
      <c r="UIW7" s="1876"/>
      <c r="UIX7" s="1876"/>
      <c r="UIY7" s="1876"/>
      <c r="UIZ7" s="1876"/>
      <c r="UJA7" s="1876"/>
      <c r="UJB7" s="1876"/>
      <c r="UJC7" s="1876"/>
      <c r="UJD7" s="1876"/>
      <c r="UJE7" s="1876"/>
      <c r="UJF7" s="1876"/>
      <c r="UJG7" s="1876"/>
      <c r="UJH7" s="1876"/>
      <c r="UJI7" s="1876"/>
      <c r="UJJ7" s="1876"/>
      <c r="UJK7" s="1876"/>
      <c r="UJL7" s="1876"/>
      <c r="UJM7" s="1876"/>
      <c r="UJN7" s="1876"/>
      <c r="UJO7" s="1876"/>
      <c r="UJP7" s="1876"/>
      <c r="UJQ7" s="1876"/>
      <c r="UJR7" s="1876"/>
      <c r="UJS7" s="1876"/>
      <c r="UJT7" s="1876"/>
      <c r="UJU7" s="1876"/>
      <c r="UJV7" s="1876"/>
      <c r="UJW7" s="1876"/>
      <c r="UJX7" s="1876"/>
      <c r="UJY7" s="1876"/>
      <c r="UJZ7" s="1876"/>
      <c r="UKA7" s="1876"/>
      <c r="UKB7" s="1876"/>
      <c r="UKC7" s="1876"/>
      <c r="UKD7" s="1876"/>
      <c r="UKE7" s="1876"/>
      <c r="UKF7" s="1876"/>
      <c r="UKG7" s="1876"/>
      <c r="UKH7" s="1876"/>
      <c r="UKI7" s="1876"/>
      <c r="UKJ7" s="1876"/>
      <c r="UKK7" s="1876"/>
      <c r="UKL7" s="1876"/>
      <c r="UKM7" s="1876"/>
      <c r="UKN7" s="1876"/>
      <c r="UKO7" s="1876"/>
      <c r="UKP7" s="1876"/>
      <c r="UKQ7" s="1876"/>
      <c r="UKR7" s="1876"/>
      <c r="UKS7" s="1876"/>
      <c r="UKT7" s="1876"/>
      <c r="UKU7" s="1876"/>
      <c r="UKV7" s="1876"/>
      <c r="UKW7" s="1876"/>
      <c r="UKX7" s="1876"/>
      <c r="UKY7" s="1876"/>
      <c r="UKZ7" s="1876"/>
      <c r="ULA7" s="1876"/>
      <c r="ULB7" s="1876"/>
      <c r="ULC7" s="1876"/>
      <c r="ULD7" s="1876"/>
      <c r="ULE7" s="1876"/>
      <c r="ULF7" s="1876"/>
      <c r="ULG7" s="1876"/>
      <c r="ULH7" s="1876"/>
      <c r="ULI7" s="1876"/>
      <c r="ULJ7" s="1876"/>
      <c r="ULK7" s="1876"/>
      <c r="ULL7" s="1876"/>
      <c r="ULM7" s="1876"/>
      <c r="ULN7" s="1876"/>
      <c r="ULO7" s="1876"/>
      <c r="ULP7" s="1876"/>
      <c r="ULQ7" s="1876"/>
      <c r="ULR7" s="1876"/>
      <c r="ULS7" s="1876"/>
      <c r="ULT7" s="1876"/>
      <c r="ULU7" s="1876"/>
      <c r="ULV7" s="1876"/>
      <c r="ULW7" s="1876"/>
      <c r="ULX7" s="1876"/>
      <c r="ULY7" s="1876"/>
      <c r="ULZ7" s="1876"/>
      <c r="UMA7" s="1876"/>
      <c r="UMB7" s="1876"/>
      <c r="UMC7" s="1876"/>
      <c r="UMD7" s="1876"/>
      <c r="UME7" s="1876"/>
      <c r="UMF7" s="1876"/>
      <c r="UMG7" s="1876"/>
      <c r="UMH7" s="1876"/>
      <c r="UMI7" s="1876"/>
      <c r="UMJ7" s="1876"/>
      <c r="UMK7" s="1876"/>
      <c r="UML7" s="1876"/>
      <c r="UMM7" s="1876"/>
      <c r="UMN7" s="1876"/>
      <c r="UMO7" s="1876"/>
      <c r="UMP7" s="1876"/>
      <c r="UMQ7" s="1876"/>
      <c r="UMR7" s="1876"/>
      <c r="UMS7" s="1876"/>
      <c r="UMT7" s="1876"/>
      <c r="UMU7" s="1876"/>
      <c r="UMV7" s="1876"/>
      <c r="UMW7" s="1876"/>
      <c r="UMX7" s="1876"/>
      <c r="UMY7" s="1876"/>
      <c r="UMZ7" s="1876"/>
      <c r="UNA7" s="1876"/>
      <c r="UNB7" s="1876"/>
      <c r="UNC7" s="1876"/>
      <c r="UND7" s="1876"/>
      <c r="UNE7" s="1876"/>
      <c r="UNF7" s="1876"/>
      <c r="UNG7" s="1876"/>
      <c r="UNH7" s="1876"/>
      <c r="UNI7" s="1876"/>
      <c r="UNJ7" s="1876"/>
      <c r="UNK7" s="1876"/>
      <c r="UNL7" s="1876"/>
      <c r="UNM7" s="1876"/>
      <c r="UNN7" s="1876"/>
      <c r="UNO7" s="1876"/>
      <c r="UNP7" s="1876"/>
      <c r="UNQ7" s="1876"/>
      <c r="UNR7" s="1876"/>
      <c r="UNS7" s="1876"/>
      <c r="UNT7" s="1876"/>
      <c r="UNU7" s="1876"/>
      <c r="UNV7" s="1876"/>
      <c r="UNW7" s="1876"/>
      <c r="UNX7" s="1876"/>
      <c r="UNY7" s="1876"/>
      <c r="UNZ7" s="1876"/>
      <c r="UOA7" s="1876"/>
      <c r="UOB7" s="1876"/>
      <c r="UOC7" s="1876"/>
      <c r="UOD7" s="1876"/>
      <c r="UOE7" s="1876"/>
      <c r="UOF7" s="1876"/>
      <c r="UOG7" s="1876"/>
      <c r="UOH7" s="1876"/>
      <c r="UOI7" s="1876"/>
      <c r="UOJ7" s="1876"/>
      <c r="UOK7" s="1876"/>
      <c r="UOL7" s="1876"/>
      <c r="UOM7" s="1876"/>
      <c r="UON7" s="1876"/>
      <c r="UOO7" s="1876"/>
      <c r="UOP7" s="1876"/>
      <c r="UOQ7" s="1876"/>
      <c r="UOR7" s="1876"/>
      <c r="UOS7" s="1876"/>
      <c r="UOT7" s="1876"/>
      <c r="UOU7" s="1876"/>
      <c r="UOV7" s="1876"/>
      <c r="UOW7" s="1876"/>
      <c r="UOX7" s="1876"/>
      <c r="UOY7" s="1876"/>
      <c r="UOZ7" s="1876"/>
      <c r="UPA7" s="1876"/>
      <c r="UPB7" s="1876"/>
      <c r="UPC7" s="1876"/>
      <c r="UPD7" s="1876"/>
      <c r="UPE7" s="1876"/>
      <c r="UPF7" s="1876"/>
      <c r="UPG7" s="1876"/>
      <c r="UPH7" s="1876"/>
      <c r="UPI7" s="1876"/>
      <c r="UPJ7" s="1876"/>
      <c r="UPK7" s="1876"/>
      <c r="UPL7" s="1876"/>
      <c r="UPM7" s="1876"/>
      <c r="UPN7" s="1876"/>
      <c r="UPO7" s="1876"/>
      <c r="UPP7" s="1876"/>
      <c r="UPQ7" s="1876"/>
      <c r="UPR7" s="1876"/>
      <c r="UPS7" s="1876"/>
      <c r="UPT7" s="1876"/>
      <c r="UPU7" s="1876"/>
      <c r="UPV7" s="1876"/>
      <c r="UPW7" s="1876"/>
      <c r="UPX7" s="1876"/>
      <c r="UPY7" s="1876"/>
      <c r="UPZ7" s="1876"/>
      <c r="UQA7" s="1876"/>
      <c r="UQB7" s="1876"/>
      <c r="UQC7" s="1876"/>
      <c r="UQD7" s="1876"/>
      <c r="UQE7" s="1876"/>
      <c r="UQF7" s="1876"/>
      <c r="UQG7" s="1876"/>
      <c r="UQH7" s="1876"/>
      <c r="UQI7" s="1876"/>
      <c r="UQJ7" s="1876"/>
      <c r="UQK7" s="1876"/>
      <c r="UQL7" s="1876"/>
      <c r="UQM7" s="1876"/>
      <c r="UQN7" s="1876"/>
      <c r="UQO7" s="1876"/>
      <c r="UQP7" s="1876"/>
      <c r="UQQ7" s="1876"/>
      <c r="UQR7" s="1876"/>
      <c r="UQS7" s="1876"/>
      <c r="UQT7" s="1876"/>
      <c r="UQU7" s="1876"/>
      <c r="UQV7" s="1876"/>
      <c r="UQW7" s="1876"/>
      <c r="UQX7" s="1876"/>
      <c r="UQY7" s="1876"/>
      <c r="UQZ7" s="1876"/>
      <c r="URA7" s="1876"/>
      <c r="URB7" s="1876"/>
      <c r="URC7" s="1876"/>
      <c r="URD7" s="1876"/>
      <c r="URE7" s="1876"/>
      <c r="URF7" s="1876"/>
      <c r="URG7" s="1876"/>
      <c r="URH7" s="1876"/>
      <c r="URI7" s="1876"/>
      <c r="URJ7" s="1876"/>
      <c r="URK7" s="1876"/>
      <c r="URL7" s="1876"/>
      <c r="URM7" s="1876"/>
      <c r="URN7" s="1876"/>
      <c r="URO7" s="1876"/>
      <c r="URP7" s="1876"/>
      <c r="URQ7" s="1876"/>
      <c r="URR7" s="1876"/>
      <c r="URS7" s="1876"/>
      <c r="URT7" s="1876"/>
      <c r="URU7" s="1876"/>
      <c r="URV7" s="1876"/>
      <c r="URW7" s="1876"/>
      <c r="URX7" s="1876"/>
      <c r="URY7" s="1876"/>
      <c r="URZ7" s="1876"/>
      <c r="USA7" s="1876"/>
      <c r="USB7" s="1876"/>
      <c r="USC7" s="1876"/>
      <c r="USD7" s="1876"/>
      <c r="USE7" s="1876"/>
      <c r="USF7" s="1876"/>
      <c r="USG7" s="1876"/>
      <c r="USH7" s="1876"/>
      <c r="USI7" s="1876"/>
      <c r="USJ7" s="1876"/>
      <c r="USK7" s="1876"/>
      <c r="USL7" s="1876"/>
      <c r="USM7" s="1876"/>
      <c r="USN7" s="1876"/>
      <c r="USO7" s="1876"/>
      <c r="USP7" s="1876"/>
      <c r="USQ7" s="1876"/>
      <c r="USR7" s="1876"/>
      <c r="USS7" s="1876"/>
      <c r="UST7" s="1876"/>
      <c r="USU7" s="1876"/>
      <c r="USV7" s="1876"/>
      <c r="USW7" s="1876"/>
      <c r="USX7" s="1876"/>
      <c r="USY7" s="1876"/>
      <c r="USZ7" s="1876"/>
      <c r="UTA7" s="1876"/>
      <c r="UTB7" s="1876"/>
      <c r="UTC7" s="1876"/>
      <c r="UTD7" s="1876"/>
      <c r="UTE7" s="1876"/>
      <c r="UTF7" s="1876"/>
      <c r="UTG7" s="1876"/>
      <c r="UTH7" s="1876"/>
      <c r="UTI7" s="1876"/>
      <c r="UTJ7" s="1876"/>
      <c r="UTK7" s="1876"/>
      <c r="UTL7" s="1876"/>
      <c r="UTM7" s="1876"/>
      <c r="UTN7" s="1876"/>
      <c r="UTO7" s="1876"/>
      <c r="UTP7" s="1876"/>
      <c r="UTQ7" s="1876"/>
      <c r="UTR7" s="1876"/>
      <c r="UTS7" s="1876"/>
      <c r="UTT7" s="1876"/>
      <c r="UTU7" s="1876"/>
      <c r="UTV7" s="1876"/>
      <c r="UTW7" s="1876"/>
      <c r="UTX7" s="1876"/>
      <c r="UTY7" s="1876"/>
      <c r="UTZ7" s="1876"/>
      <c r="UUA7" s="1876"/>
      <c r="UUB7" s="1876"/>
      <c r="UUC7" s="1876"/>
      <c r="UUD7" s="1876"/>
      <c r="UUE7" s="1876"/>
      <c r="UUF7" s="1876"/>
      <c r="UUG7" s="1876"/>
      <c r="UUH7" s="1876"/>
      <c r="UUI7" s="1876"/>
      <c r="UUJ7" s="1876"/>
      <c r="UUK7" s="1876"/>
      <c r="UUL7" s="1876"/>
      <c r="UUM7" s="1876"/>
      <c r="UUN7" s="1876"/>
      <c r="UUO7" s="1876"/>
      <c r="UUP7" s="1876"/>
      <c r="UUQ7" s="1876"/>
      <c r="UUR7" s="1876"/>
      <c r="UUS7" s="1876"/>
      <c r="UUT7" s="1876"/>
      <c r="UUU7" s="1876"/>
      <c r="UUV7" s="1876"/>
      <c r="UUW7" s="1876"/>
      <c r="UUX7" s="1876"/>
      <c r="UUY7" s="1876"/>
      <c r="UUZ7" s="1876"/>
      <c r="UVA7" s="1876"/>
      <c r="UVB7" s="1876"/>
      <c r="UVC7" s="1876"/>
      <c r="UVD7" s="1876"/>
      <c r="UVE7" s="1876"/>
      <c r="UVF7" s="1876"/>
      <c r="UVG7" s="1876"/>
      <c r="UVH7" s="1876"/>
      <c r="UVI7" s="1876"/>
      <c r="UVJ7" s="1876"/>
      <c r="UVK7" s="1876"/>
      <c r="UVL7" s="1876"/>
      <c r="UVM7" s="1876"/>
      <c r="UVN7" s="1876"/>
      <c r="UVO7" s="1876"/>
      <c r="UVP7" s="1876"/>
      <c r="UVQ7" s="1876"/>
      <c r="UVR7" s="1876"/>
      <c r="UVS7" s="1876"/>
      <c r="UVT7" s="1876"/>
      <c r="UVU7" s="1876"/>
      <c r="UVV7" s="1876"/>
      <c r="UVW7" s="1876"/>
      <c r="UVX7" s="1876"/>
      <c r="UVY7" s="1876"/>
      <c r="UVZ7" s="1876"/>
      <c r="UWA7" s="1876"/>
      <c r="UWB7" s="1876"/>
      <c r="UWC7" s="1876"/>
      <c r="UWD7" s="1876"/>
      <c r="UWE7" s="1876"/>
      <c r="UWF7" s="1876"/>
      <c r="UWG7" s="1876"/>
      <c r="UWH7" s="1876"/>
      <c r="UWI7" s="1876"/>
      <c r="UWJ7" s="1876"/>
      <c r="UWK7" s="1876"/>
      <c r="UWL7" s="1876"/>
      <c r="UWM7" s="1876"/>
      <c r="UWN7" s="1876"/>
      <c r="UWO7" s="1876"/>
      <c r="UWP7" s="1876"/>
      <c r="UWQ7" s="1876"/>
      <c r="UWR7" s="1876"/>
      <c r="UWS7" s="1876"/>
      <c r="UWT7" s="1876"/>
      <c r="UWU7" s="1876"/>
      <c r="UWV7" s="1876"/>
      <c r="UWW7" s="1876"/>
      <c r="UWX7" s="1876"/>
      <c r="UWY7" s="1876"/>
      <c r="UWZ7" s="1876"/>
      <c r="UXA7" s="1876"/>
      <c r="UXB7" s="1876"/>
      <c r="UXC7" s="1876"/>
      <c r="UXD7" s="1876"/>
      <c r="UXE7" s="1876"/>
      <c r="UXF7" s="1876"/>
      <c r="UXG7" s="1876"/>
      <c r="UXH7" s="1876"/>
      <c r="UXI7" s="1876"/>
      <c r="UXJ7" s="1876"/>
      <c r="UXK7" s="1876"/>
      <c r="UXL7" s="1876"/>
      <c r="UXM7" s="1876"/>
      <c r="UXN7" s="1876"/>
      <c r="UXO7" s="1876"/>
      <c r="UXP7" s="1876"/>
      <c r="UXQ7" s="1876"/>
      <c r="UXR7" s="1876"/>
      <c r="UXS7" s="1876"/>
      <c r="UXT7" s="1876"/>
      <c r="UXU7" s="1876"/>
      <c r="UXV7" s="1876"/>
      <c r="UXW7" s="1876"/>
      <c r="UXX7" s="1876"/>
      <c r="UXY7" s="1876"/>
      <c r="UXZ7" s="1876"/>
      <c r="UYA7" s="1876"/>
      <c r="UYB7" s="1876"/>
      <c r="UYC7" s="1876"/>
      <c r="UYD7" s="1876"/>
      <c r="UYE7" s="1876"/>
      <c r="UYF7" s="1876"/>
      <c r="UYG7" s="1876"/>
      <c r="UYH7" s="1876"/>
      <c r="UYI7" s="1876"/>
      <c r="UYJ7" s="1876"/>
      <c r="UYK7" s="1876"/>
      <c r="UYL7" s="1876"/>
      <c r="UYM7" s="1876"/>
      <c r="UYN7" s="1876"/>
      <c r="UYO7" s="1876"/>
      <c r="UYP7" s="1876"/>
      <c r="UYQ7" s="1876"/>
      <c r="UYR7" s="1876"/>
      <c r="UYS7" s="1876"/>
      <c r="UYT7" s="1876"/>
      <c r="UYU7" s="1876"/>
      <c r="UYV7" s="1876"/>
      <c r="UYW7" s="1876"/>
      <c r="UYX7" s="1876"/>
      <c r="UYY7" s="1876"/>
      <c r="UYZ7" s="1876"/>
      <c r="UZA7" s="1876"/>
      <c r="UZB7" s="1876"/>
      <c r="UZC7" s="1876"/>
      <c r="UZD7" s="1876"/>
      <c r="UZE7" s="1876"/>
      <c r="UZF7" s="1876"/>
      <c r="UZG7" s="1876"/>
      <c r="UZH7" s="1876"/>
      <c r="UZI7" s="1876"/>
      <c r="UZJ7" s="1876"/>
      <c r="UZK7" s="1876"/>
      <c r="UZL7" s="1876"/>
      <c r="UZM7" s="1876"/>
      <c r="UZN7" s="1876"/>
      <c r="UZO7" s="1876"/>
      <c r="UZP7" s="1876"/>
      <c r="UZQ7" s="1876"/>
      <c r="UZR7" s="1876"/>
      <c r="UZS7" s="1876"/>
      <c r="UZT7" s="1876"/>
      <c r="UZU7" s="1876"/>
      <c r="UZV7" s="1876"/>
      <c r="UZW7" s="1876"/>
      <c r="UZX7" s="1876"/>
      <c r="UZY7" s="1876"/>
      <c r="UZZ7" s="1876"/>
      <c r="VAA7" s="1876"/>
      <c r="VAB7" s="1876"/>
      <c r="VAC7" s="1876"/>
      <c r="VAD7" s="1876"/>
      <c r="VAE7" s="1876"/>
      <c r="VAF7" s="1876"/>
      <c r="VAG7" s="1876"/>
      <c r="VAH7" s="1876"/>
      <c r="VAI7" s="1876"/>
      <c r="VAJ7" s="1876"/>
      <c r="VAK7" s="1876"/>
      <c r="VAL7" s="1876"/>
      <c r="VAM7" s="1876"/>
      <c r="VAN7" s="1876"/>
      <c r="VAO7" s="1876"/>
      <c r="VAP7" s="1876"/>
      <c r="VAQ7" s="1876"/>
      <c r="VAR7" s="1876"/>
      <c r="VAS7" s="1876"/>
      <c r="VAT7" s="1876"/>
      <c r="VAU7" s="1876"/>
      <c r="VAV7" s="1876"/>
      <c r="VAW7" s="1876"/>
      <c r="VAX7" s="1876"/>
      <c r="VAY7" s="1876"/>
      <c r="VAZ7" s="1876"/>
      <c r="VBA7" s="1876"/>
      <c r="VBB7" s="1876"/>
      <c r="VBC7" s="1876"/>
      <c r="VBD7" s="1876"/>
      <c r="VBE7" s="1876"/>
      <c r="VBF7" s="1876"/>
      <c r="VBG7" s="1876"/>
      <c r="VBH7" s="1876"/>
      <c r="VBI7" s="1876"/>
      <c r="VBJ7" s="1876"/>
      <c r="VBK7" s="1876"/>
      <c r="VBL7" s="1876"/>
      <c r="VBM7" s="1876"/>
      <c r="VBN7" s="1876"/>
      <c r="VBO7" s="1876"/>
      <c r="VBP7" s="1876"/>
      <c r="VBQ7" s="1876"/>
      <c r="VBR7" s="1876"/>
      <c r="VBS7" s="1876"/>
      <c r="VBT7" s="1876"/>
      <c r="VBU7" s="1876"/>
      <c r="VBV7" s="1876"/>
      <c r="VBW7" s="1876"/>
      <c r="VBX7" s="1876"/>
      <c r="VBY7" s="1876"/>
      <c r="VBZ7" s="1876"/>
      <c r="VCA7" s="1876"/>
      <c r="VCB7" s="1876"/>
      <c r="VCC7" s="1876"/>
      <c r="VCD7" s="1876"/>
      <c r="VCE7" s="1876"/>
      <c r="VCF7" s="1876"/>
      <c r="VCG7" s="1876"/>
      <c r="VCH7" s="1876"/>
      <c r="VCI7" s="1876"/>
      <c r="VCJ7" s="1876"/>
      <c r="VCK7" s="1876"/>
      <c r="VCL7" s="1876"/>
      <c r="VCM7" s="1876"/>
      <c r="VCN7" s="1876"/>
      <c r="VCO7" s="1876"/>
      <c r="VCP7" s="1876"/>
      <c r="VCQ7" s="1876"/>
      <c r="VCR7" s="1876"/>
      <c r="VCS7" s="1876"/>
      <c r="VCT7" s="1876"/>
      <c r="VCU7" s="1876"/>
      <c r="VCV7" s="1876"/>
      <c r="VCW7" s="1876"/>
      <c r="VCX7" s="1876"/>
      <c r="VCY7" s="1876"/>
      <c r="VCZ7" s="1876"/>
      <c r="VDA7" s="1876"/>
      <c r="VDB7" s="1876"/>
      <c r="VDC7" s="1876"/>
      <c r="VDD7" s="1876"/>
      <c r="VDE7" s="1876"/>
      <c r="VDF7" s="1876"/>
      <c r="VDG7" s="1876"/>
      <c r="VDH7" s="1876"/>
      <c r="VDI7" s="1876"/>
      <c r="VDJ7" s="1876"/>
      <c r="VDK7" s="1876"/>
      <c r="VDL7" s="1876"/>
      <c r="VDM7" s="1876"/>
      <c r="VDN7" s="1876"/>
      <c r="VDO7" s="1876"/>
      <c r="VDP7" s="1876"/>
      <c r="VDQ7" s="1876"/>
      <c r="VDR7" s="1876"/>
      <c r="VDS7" s="1876"/>
      <c r="VDT7" s="1876"/>
      <c r="VDU7" s="1876"/>
      <c r="VDV7" s="1876"/>
      <c r="VDW7" s="1876"/>
      <c r="VDX7" s="1876"/>
      <c r="VDY7" s="1876"/>
      <c r="VDZ7" s="1876"/>
      <c r="VEA7" s="1876"/>
      <c r="VEB7" s="1876"/>
      <c r="VEC7" s="1876"/>
      <c r="VED7" s="1876"/>
      <c r="VEE7" s="1876"/>
      <c r="VEF7" s="1876"/>
      <c r="VEG7" s="1876"/>
      <c r="VEH7" s="1876"/>
      <c r="VEI7" s="1876"/>
      <c r="VEJ7" s="1876"/>
      <c r="VEK7" s="1876"/>
      <c r="VEL7" s="1876"/>
      <c r="VEM7" s="1876"/>
      <c r="VEN7" s="1876"/>
      <c r="VEO7" s="1876"/>
      <c r="VEP7" s="1876"/>
      <c r="VEQ7" s="1876"/>
      <c r="VER7" s="1876"/>
      <c r="VES7" s="1876"/>
      <c r="VET7" s="1876"/>
      <c r="VEU7" s="1876"/>
      <c r="VEV7" s="1876"/>
      <c r="VEW7" s="1876"/>
      <c r="VEX7" s="1876"/>
      <c r="VEY7" s="1876"/>
      <c r="VEZ7" s="1876"/>
      <c r="VFA7" s="1876"/>
      <c r="VFB7" s="1876"/>
      <c r="VFC7" s="1876"/>
      <c r="VFD7" s="1876"/>
      <c r="VFE7" s="1876"/>
      <c r="VFF7" s="1876"/>
      <c r="VFG7" s="1876"/>
      <c r="VFH7" s="1876"/>
      <c r="VFI7" s="1876"/>
      <c r="VFJ7" s="1876"/>
      <c r="VFK7" s="1876"/>
      <c r="VFL7" s="1876"/>
      <c r="VFM7" s="1876"/>
      <c r="VFN7" s="1876"/>
      <c r="VFO7" s="1876"/>
      <c r="VFP7" s="1876"/>
      <c r="VFQ7" s="1876"/>
      <c r="VFR7" s="1876"/>
      <c r="VFS7" s="1876"/>
      <c r="VFT7" s="1876"/>
      <c r="VFU7" s="1876"/>
      <c r="VFV7" s="1876"/>
      <c r="VFW7" s="1876"/>
      <c r="VFX7" s="1876"/>
      <c r="VFY7" s="1876"/>
      <c r="VFZ7" s="1876"/>
      <c r="VGA7" s="1876"/>
      <c r="VGB7" s="1876"/>
      <c r="VGC7" s="1876"/>
      <c r="VGD7" s="1876"/>
      <c r="VGE7" s="1876"/>
      <c r="VGF7" s="1876"/>
      <c r="VGG7" s="1876"/>
      <c r="VGH7" s="1876"/>
      <c r="VGI7" s="1876"/>
      <c r="VGJ7" s="1876"/>
      <c r="VGK7" s="1876"/>
      <c r="VGL7" s="1876"/>
      <c r="VGM7" s="1876"/>
      <c r="VGN7" s="1876"/>
      <c r="VGO7" s="1876"/>
      <c r="VGP7" s="1876"/>
      <c r="VGQ7" s="1876"/>
      <c r="VGR7" s="1876"/>
      <c r="VGS7" s="1876"/>
      <c r="VGT7" s="1876"/>
      <c r="VGU7" s="1876"/>
      <c r="VGV7" s="1876"/>
      <c r="VGW7" s="1876"/>
      <c r="VGX7" s="1876"/>
      <c r="VGY7" s="1876"/>
      <c r="VGZ7" s="1876"/>
      <c r="VHA7" s="1876"/>
      <c r="VHB7" s="1876"/>
      <c r="VHC7" s="1876"/>
      <c r="VHD7" s="1876"/>
      <c r="VHE7" s="1876"/>
      <c r="VHF7" s="1876"/>
      <c r="VHG7" s="1876"/>
      <c r="VHH7" s="1876"/>
      <c r="VHI7" s="1876"/>
      <c r="VHJ7" s="1876"/>
      <c r="VHK7" s="1876"/>
      <c r="VHL7" s="1876"/>
      <c r="VHM7" s="1876"/>
      <c r="VHN7" s="1876"/>
      <c r="VHO7" s="1876"/>
      <c r="VHP7" s="1876"/>
      <c r="VHQ7" s="1876"/>
      <c r="VHR7" s="1876"/>
      <c r="VHS7" s="1876"/>
      <c r="VHT7" s="1876"/>
      <c r="VHU7" s="1876"/>
      <c r="VHV7" s="1876"/>
      <c r="VHW7" s="1876"/>
      <c r="VHX7" s="1876"/>
      <c r="VHY7" s="1876"/>
      <c r="VHZ7" s="1876"/>
      <c r="VIA7" s="1876"/>
      <c r="VIB7" s="1876"/>
      <c r="VIC7" s="1876"/>
      <c r="VID7" s="1876"/>
      <c r="VIE7" s="1876"/>
      <c r="VIF7" s="1876"/>
      <c r="VIG7" s="1876"/>
      <c r="VIH7" s="1876"/>
      <c r="VII7" s="1876"/>
      <c r="VIJ7" s="1876"/>
      <c r="VIK7" s="1876"/>
      <c r="VIL7" s="1876"/>
      <c r="VIM7" s="1876"/>
      <c r="VIN7" s="1876"/>
      <c r="VIO7" s="1876"/>
      <c r="VIP7" s="1876"/>
      <c r="VIQ7" s="1876"/>
      <c r="VIR7" s="1876"/>
      <c r="VIS7" s="1876"/>
      <c r="VIT7" s="1876"/>
      <c r="VIU7" s="1876"/>
      <c r="VIV7" s="1876"/>
      <c r="VIW7" s="1876"/>
      <c r="VIX7" s="1876"/>
      <c r="VIY7" s="1876"/>
      <c r="VIZ7" s="1876"/>
      <c r="VJA7" s="1876"/>
      <c r="VJB7" s="1876"/>
      <c r="VJC7" s="1876"/>
      <c r="VJD7" s="1876"/>
      <c r="VJE7" s="1876"/>
      <c r="VJF7" s="1876"/>
      <c r="VJG7" s="1876"/>
      <c r="VJH7" s="1876"/>
      <c r="VJI7" s="1876"/>
      <c r="VJJ7" s="1876"/>
      <c r="VJK7" s="1876"/>
      <c r="VJL7" s="1876"/>
      <c r="VJM7" s="1876"/>
      <c r="VJN7" s="1876"/>
      <c r="VJO7" s="1876"/>
      <c r="VJP7" s="1876"/>
      <c r="VJQ7" s="1876"/>
      <c r="VJR7" s="1876"/>
      <c r="VJS7" s="1876"/>
      <c r="VJT7" s="1876"/>
      <c r="VJU7" s="1876"/>
      <c r="VJV7" s="1876"/>
      <c r="VJW7" s="1876"/>
      <c r="VJX7" s="1876"/>
      <c r="VJY7" s="1876"/>
      <c r="VJZ7" s="1876"/>
      <c r="VKA7" s="1876"/>
      <c r="VKB7" s="1876"/>
      <c r="VKC7" s="1876"/>
      <c r="VKD7" s="1876"/>
      <c r="VKE7" s="1876"/>
      <c r="VKF7" s="1876"/>
      <c r="VKG7" s="1876"/>
      <c r="VKH7" s="1876"/>
      <c r="VKI7" s="1876"/>
      <c r="VKJ7" s="1876"/>
      <c r="VKK7" s="1876"/>
      <c r="VKL7" s="1876"/>
      <c r="VKM7" s="1876"/>
      <c r="VKN7" s="1876"/>
      <c r="VKO7" s="1876"/>
      <c r="VKP7" s="1876"/>
      <c r="VKQ7" s="1876"/>
      <c r="VKR7" s="1876"/>
      <c r="VKS7" s="1876"/>
      <c r="VKT7" s="1876"/>
      <c r="VKU7" s="1876"/>
      <c r="VKV7" s="1876"/>
      <c r="VKW7" s="1876"/>
      <c r="VKX7" s="1876"/>
      <c r="VKY7" s="1876"/>
      <c r="VKZ7" s="1876"/>
      <c r="VLA7" s="1876"/>
      <c r="VLB7" s="1876"/>
      <c r="VLC7" s="1876"/>
      <c r="VLD7" s="1876"/>
      <c r="VLE7" s="1876"/>
      <c r="VLF7" s="1876"/>
      <c r="VLG7" s="1876"/>
      <c r="VLH7" s="1876"/>
      <c r="VLI7" s="1876"/>
      <c r="VLJ7" s="1876"/>
      <c r="VLK7" s="1876"/>
      <c r="VLL7" s="1876"/>
      <c r="VLM7" s="1876"/>
      <c r="VLN7" s="1876"/>
      <c r="VLO7" s="1876"/>
      <c r="VLP7" s="1876"/>
      <c r="VLQ7" s="1876"/>
      <c r="VLR7" s="1876"/>
      <c r="VLS7" s="1876"/>
      <c r="VLT7" s="1876"/>
      <c r="VLU7" s="1876"/>
      <c r="VLV7" s="1876"/>
      <c r="VLW7" s="1876"/>
      <c r="VLX7" s="1876"/>
      <c r="VLY7" s="1876"/>
      <c r="VLZ7" s="1876"/>
      <c r="VMA7" s="1876"/>
      <c r="VMB7" s="1876"/>
      <c r="VMC7" s="1876"/>
      <c r="VMD7" s="1876"/>
      <c r="VME7" s="1876"/>
      <c r="VMF7" s="1876"/>
      <c r="VMG7" s="1876"/>
      <c r="VMH7" s="1876"/>
      <c r="VMI7" s="1876"/>
      <c r="VMJ7" s="1876"/>
      <c r="VMK7" s="1876"/>
      <c r="VML7" s="1876"/>
      <c r="VMM7" s="1876"/>
      <c r="VMN7" s="1876"/>
      <c r="VMO7" s="1876"/>
      <c r="VMP7" s="1876"/>
      <c r="VMQ7" s="1876"/>
      <c r="VMR7" s="1876"/>
      <c r="VMS7" s="1876"/>
      <c r="VMT7" s="1876"/>
      <c r="VMU7" s="1876"/>
      <c r="VMV7" s="1876"/>
      <c r="VMW7" s="1876"/>
      <c r="VMX7" s="1876"/>
      <c r="VMY7" s="1876"/>
      <c r="VMZ7" s="1876"/>
      <c r="VNA7" s="1876"/>
      <c r="VNB7" s="1876"/>
      <c r="VNC7" s="1876"/>
      <c r="VND7" s="1876"/>
      <c r="VNE7" s="1876"/>
      <c r="VNF7" s="1876"/>
      <c r="VNG7" s="1876"/>
      <c r="VNH7" s="1876"/>
      <c r="VNI7" s="1876"/>
      <c r="VNJ7" s="1876"/>
      <c r="VNK7" s="1876"/>
      <c r="VNL7" s="1876"/>
      <c r="VNM7" s="1876"/>
      <c r="VNN7" s="1876"/>
      <c r="VNO7" s="1876"/>
      <c r="VNP7" s="1876"/>
      <c r="VNQ7" s="1876"/>
      <c r="VNR7" s="1876"/>
      <c r="VNS7" s="1876"/>
      <c r="VNT7" s="1876"/>
      <c r="VNU7" s="1876"/>
      <c r="VNV7" s="1876"/>
      <c r="VNW7" s="1876"/>
      <c r="VNX7" s="1876"/>
      <c r="VNY7" s="1876"/>
      <c r="VNZ7" s="1876"/>
      <c r="VOA7" s="1876"/>
      <c r="VOB7" s="1876"/>
      <c r="VOC7" s="1876"/>
      <c r="VOD7" s="1876"/>
      <c r="VOE7" s="1876"/>
      <c r="VOF7" s="1876"/>
      <c r="VOG7" s="1876"/>
      <c r="VOH7" s="1876"/>
      <c r="VOI7" s="1876"/>
      <c r="VOJ7" s="1876"/>
      <c r="VOK7" s="1876"/>
      <c r="VOL7" s="1876"/>
      <c r="VOM7" s="1876"/>
      <c r="VON7" s="1876"/>
      <c r="VOO7" s="1876"/>
      <c r="VOP7" s="1876"/>
      <c r="VOQ7" s="1876"/>
      <c r="VOR7" s="1876"/>
      <c r="VOS7" s="1876"/>
      <c r="VOT7" s="1876"/>
      <c r="VOU7" s="1876"/>
      <c r="VOV7" s="1876"/>
      <c r="VOW7" s="1876"/>
      <c r="VOX7" s="1876"/>
      <c r="VOY7" s="1876"/>
      <c r="VOZ7" s="1876"/>
      <c r="VPA7" s="1876"/>
      <c r="VPB7" s="1876"/>
      <c r="VPC7" s="1876"/>
      <c r="VPD7" s="1876"/>
      <c r="VPE7" s="1876"/>
      <c r="VPF7" s="1876"/>
      <c r="VPG7" s="1876"/>
      <c r="VPH7" s="1876"/>
      <c r="VPI7" s="1876"/>
      <c r="VPJ7" s="1876"/>
      <c r="VPK7" s="1876"/>
      <c r="VPL7" s="1876"/>
      <c r="VPM7" s="1876"/>
      <c r="VPN7" s="1876"/>
      <c r="VPO7" s="1876"/>
      <c r="VPP7" s="1876"/>
      <c r="VPQ7" s="1876"/>
      <c r="VPR7" s="1876"/>
      <c r="VPS7" s="1876"/>
      <c r="VPT7" s="1876"/>
      <c r="VPU7" s="1876"/>
      <c r="VPV7" s="1876"/>
      <c r="VPW7" s="1876"/>
      <c r="VPX7" s="1876"/>
      <c r="VPY7" s="1876"/>
      <c r="VPZ7" s="1876"/>
      <c r="VQA7" s="1876"/>
      <c r="VQB7" s="1876"/>
      <c r="VQC7" s="1876"/>
      <c r="VQD7" s="1876"/>
      <c r="VQE7" s="1876"/>
      <c r="VQF7" s="1876"/>
      <c r="VQG7" s="1876"/>
      <c r="VQH7" s="1876"/>
      <c r="VQI7" s="1876"/>
      <c r="VQJ7" s="1876"/>
      <c r="VQK7" s="1876"/>
      <c r="VQL7" s="1876"/>
      <c r="VQM7" s="1876"/>
      <c r="VQN7" s="1876"/>
      <c r="VQO7" s="1876"/>
      <c r="VQP7" s="1876"/>
      <c r="VQQ7" s="1876"/>
      <c r="VQR7" s="1876"/>
      <c r="VQS7" s="1876"/>
      <c r="VQT7" s="1876"/>
      <c r="VQU7" s="1876"/>
      <c r="VQV7" s="1876"/>
      <c r="VQW7" s="1876"/>
      <c r="VQX7" s="1876"/>
      <c r="VQY7" s="1876"/>
      <c r="VQZ7" s="1876"/>
      <c r="VRA7" s="1876"/>
      <c r="VRB7" s="1876"/>
      <c r="VRC7" s="1876"/>
      <c r="VRD7" s="1876"/>
      <c r="VRE7" s="1876"/>
      <c r="VRF7" s="1876"/>
      <c r="VRG7" s="1876"/>
      <c r="VRH7" s="1876"/>
      <c r="VRI7" s="1876"/>
      <c r="VRJ7" s="1876"/>
      <c r="VRK7" s="1876"/>
      <c r="VRL7" s="1876"/>
      <c r="VRM7" s="1876"/>
      <c r="VRN7" s="1876"/>
      <c r="VRO7" s="1876"/>
      <c r="VRP7" s="1876"/>
      <c r="VRQ7" s="1876"/>
      <c r="VRR7" s="1876"/>
      <c r="VRS7" s="1876"/>
      <c r="VRT7" s="1876"/>
      <c r="VRU7" s="1876"/>
      <c r="VRV7" s="1876"/>
      <c r="VRW7" s="1876"/>
      <c r="VRX7" s="1876"/>
      <c r="VRY7" s="1876"/>
      <c r="VRZ7" s="1876"/>
      <c r="VSA7" s="1876"/>
      <c r="VSB7" s="1876"/>
      <c r="VSC7" s="1876"/>
      <c r="VSD7" s="1876"/>
      <c r="VSE7" s="1876"/>
      <c r="VSF7" s="1876"/>
      <c r="VSG7" s="1876"/>
      <c r="VSH7" s="1876"/>
      <c r="VSI7" s="1876"/>
      <c r="VSJ7" s="1876"/>
      <c r="VSK7" s="1876"/>
      <c r="VSL7" s="1876"/>
      <c r="VSM7" s="1876"/>
      <c r="VSN7" s="1876"/>
      <c r="VSO7" s="1876"/>
      <c r="VSP7" s="1876"/>
      <c r="VSQ7" s="1876"/>
      <c r="VSR7" s="1876"/>
      <c r="VSS7" s="1876"/>
      <c r="VST7" s="1876"/>
      <c r="VSU7" s="1876"/>
      <c r="VSV7" s="1876"/>
      <c r="VSW7" s="1876"/>
      <c r="VSX7" s="1876"/>
      <c r="VSY7" s="1876"/>
      <c r="VSZ7" s="1876"/>
      <c r="VTA7" s="1876"/>
      <c r="VTB7" s="1876"/>
      <c r="VTC7" s="1876"/>
      <c r="VTD7" s="1876"/>
      <c r="VTE7" s="1876"/>
      <c r="VTF7" s="1876"/>
      <c r="VTG7" s="1876"/>
      <c r="VTH7" s="1876"/>
      <c r="VTI7" s="1876"/>
      <c r="VTJ7" s="1876"/>
      <c r="VTK7" s="1876"/>
      <c r="VTL7" s="1876"/>
      <c r="VTM7" s="1876"/>
      <c r="VTN7" s="1876"/>
      <c r="VTO7" s="1876"/>
      <c r="VTP7" s="1876"/>
      <c r="VTQ7" s="1876"/>
      <c r="VTR7" s="1876"/>
      <c r="VTS7" s="1876"/>
      <c r="VTT7" s="1876"/>
      <c r="VTU7" s="1876"/>
      <c r="VTV7" s="1876"/>
      <c r="VTW7" s="1876"/>
      <c r="VTX7" s="1876"/>
      <c r="VTY7" s="1876"/>
      <c r="VTZ7" s="1876"/>
      <c r="VUA7" s="1876"/>
      <c r="VUB7" s="1876"/>
      <c r="VUC7" s="1876"/>
      <c r="VUD7" s="1876"/>
      <c r="VUE7" s="1876"/>
      <c r="VUF7" s="1876"/>
      <c r="VUG7" s="1876"/>
      <c r="VUH7" s="1876"/>
      <c r="VUI7" s="1876"/>
      <c r="VUJ7" s="1876"/>
      <c r="VUK7" s="1876"/>
      <c r="VUL7" s="1876"/>
      <c r="VUM7" s="1876"/>
      <c r="VUN7" s="1876"/>
      <c r="VUO7" s="1876"/>
      <c r="VUP7" s="1876"/>
      <c r="VUQ7" s="1876"/>
      <c r="VUR7" s="1876"/>
      <c r="VUS7" s="1876"/>
      <c r="VUT7" s="1876"/>
      <c r="VUU7" s="1876"/>
      <c r="VUV7" s="1876"/>
      <c r="VUW7" s="1876"/>
      <c r="VUX7" s="1876"/>
      <c r="VUY7" s="1876"/>
      <c r="VUZ7" s="1876"/>
      <c r="VVA7" s="1876"/>
      <c r="VVB7" s="1876"/>
      <c r="VVC7" s="1876"/>
      <c r="VVD7" s="1876"/>
      <c r="VVE7" s="1876"/>
      <c r="VVF7" s="1876"/>
      <c r="VVG7" s="1876"/>
      <c r="VVH7" s="1876"/>
      <c r="VVI7" s="1876"/>
      <c r="VVJ7" s="1876"/>
      <c r="VVK7" s="1876"/>
      <c r="VVL7" s="1876"/>
      <c r="VVM7" s="1876"/>
      <c r="VVN7" s="1876"/>
      <c r="VVO7" s="1876"/>
      <c r="VVP7" s="1876"/>
      <c r="VVQ7" s="1876"/>
      <c r="VVR7" s="1876"/>
      <c r="VVS7" s="1876"/>
      <c r="VVT7" s="1876"/>
      <c r="VVU7" s="1876"/>
      <c r="VVV7" s="1876"/>
      <c r="VVW7" s="1876"/>
      <c r="VVX7" s="1876"/>
      <c r="VVY7" s="1876"/>
      <c r="VVZ7" s="1876"/>
      <c r="VWA7" s="1876"/>
      <c r="VWB7" s="1876"/>
      <c r="VWC7" s="1876"/>
      <c r="VWD7" s="1876"/>
      <c r="VWE7" s="1876"/>
      <c r="VWF7" s="1876"/>
      <c r="VWG7" s="1876"/>
      <c r="VWH7" s="1876"/>
      <c r="VWI7" s="1876"/>
      <c r="VWJ7" s="1876"/>
      <c r="VWK7" s="1876"/>
      <c r="VWL7" s="1876"/>
      <c r="VWM7" s="1876"/>
      <c r="VWN7" s="1876"/>
      <c r="VWO7" s="1876"/>
      <c r="VWP7" s="1876"/>
      <c r="VWQ7" s="1876"/>
      <c r="VWR7" s="1876"/>
      <c r="VWS7" s="1876"/>
      <c r="VWT7" s="1876"/>
      <c r="VWU7" s="1876"/>
      <c r="VWV7" s="1876"/>
      <c r="VWW7" s="1876"/>
      <c r="VWX7" s="1876"/>
      <c r="VWY7" s="1876"/>
      <c r="VWZ7" s="1876"/>
      <c r="VXA7" s="1876"/>
      <c r="VXB7" s="1876"/>
      <c r="VXC7" s="1876"/>
      <c r="VXD7" s="1876"/>
      <c r="VXE7" s="1876"/>
      <c r="VXF7" s="1876"/>
      <c r="VXG7" s="1876"/>
      <c r="VXH7" s="1876"/>
      <c r="VXI7" s="1876"/>
      <c r="VXJ7" s="1876"/>
      <c r="VXK7" s="1876"/>
      <c r="VXL7" s="1876"/>
      <c r="VXM7" s="1876"/>
      <c r="VXN7" s="1876"/>
      <c r="VXO7" s="1876"/>
      <c r="VXP7" s="1876"/>
      <c r="VXQ7" s="1876"/>
      <c r="VXR7" s="1876"/>
      <c r="VXS7" s="1876"/>
      <c r="VXT7" s="1876"/>
      <c r="VXU7" s="1876"/>
      <c r="VXV7" s="1876"/>
      <c r="VXW7" s="1876"/>
      <c r="VXX7" s="1876"/>
      <c r="VXY7" s="1876"/>
      <c r="VXZ7" s="1876"/>
      <c r="VYA7" s="1876"/>
      <c r="VYB7" s="1876"/>
      <c r="VYC7" s="1876"/>
      <c r="VYD7" s="1876"/>
      <c r="VYE7" s="1876"/>
      <c r="VYF7" s="1876"/>
      <c r="VYG7" s="1876"/>
      <c r="VYH7" s="1876"/>
      <c r="VYI7" s="1876"/>
      <c r="VYJ7" s="1876"/>
      <c r="VYK7" s="1876"/>
      <c r="VYL7" s="1876"/>
      <c r="VYM7" s="1876"/>
      <c r="VYN7" s="1876"/>
      <c r="VYO7" s="1876"/>
      <c r="VYP7" s="1876"/>
      <c r="VYQ7" s="1876"/>
      <c r="VYR7" s="1876"/>
      <c r="VYS7" s="1876"/>
      <c r="VYT7" s="1876"/>
      <c r="VYU7" s="1876"/>
      <c r="VYV7" s="1876"/>
      <c r="VYW7" s="1876"/>
      <c r="VYX7" s="1876"/>
      <c r="VYY7" s="1876"/>
      <c r="VYZ7" s="1876"/>
      <c r="VZA7" s="1876"/>
      <c r="VZB7" s="1876"/>
      <c r="VZC7" s="1876"/>
      <c r="VZD7" s="1876"/>
      <c r="VZE7" s="1876"/>
      <c r="VZF7" s="1876"/>
      <c r="VZG7" s="1876"/>
      <c r="VZH7" s="1876"/>
      <c r="VZI7" s="1876"/>
      <c r="VZJ7" s="1876"/>
      <c r="VZK7" s="1876"/>
      <c r="VZL7" s="1876"/>
      <c r="VZM7" s="1876"/>
      <c r="VZN7" s="1876"/>
      <c r="VZO7" s="1876"/>
      <c r="VZP7" s="1876"/>
      <c r="VZQ7" s="1876"/>
      <c r="VZR7" s="1876"/>
      <c r="VZS7" s="1876"/>
      <c r="VZT7" s="1876"/>
      <c r="VZU7" s="1876"/>
      <c r="VZV7" s="1876"/>
      <c r="VZW7" s="1876"/>
      <c r="VZX7" s="1876"/>
      <c r="VZY7" s="1876"/>
      <c r="VZZ7" s="1876"/>
      <c r="WAA7" s="1876"/>
      <c r="WAB7" s="1876"/>
      <c r="WAC7" s="1876"/>
      <c r="WAD7" s="1876"/>
      <c r="WAE7" s="1876"/>
      <c r="WAF7" s="1876"/>
      <c r="WAG7" s="1876"/>
      <c r="WAH7" s="1876"/>
      <c r="WAI7" s="1876"/>
      <c r="WAJ7" s="1876"/>
      <c r="WAK7" s="1876"/>
      <c r="WAL7" s="1876"/>
      <c r="WAM7" s="1876"/>
      <c r="WAN7" s="1876"/>
      <c r="WAO7" s="1876"/>
      <c r="WAP7" s="1876"/>
      <c r="WAQ7" s="1876"/>
      <c r="WAR7" s="1876"/>
      <c r="WAS7" s="1876"/>
      <c r="WAT7" s="1876"/>
      <c r="WAU7" s="1876"/>
      <c r="WAV7" s="1876"/>
      <c r="WAW7" s="1876"/>
      <c r="WAX7" s="1876"/>
      <c r="WAY7" s="1876"/>
      <c r="WAZ7" s="1876"/>
      <c r="WBA7" s="1876"/>
      <c r="WBB7" s="1876"/>
      <c r="WBC7" s="1876"/>
      <c r="WBD7" s="1876"/>
      <c r="WBE7" s="1876"/>
      <c r="WBF7" s="1876"/>
      <c r="WBG7" s="1876"/>
      <c r="WBH7" s="1876"/>
      <c r="WBI7" s="1876"/>
      <c r="WBJ7" s="1876"/>
      <c r="WBK7" s="1876"/>
      <c r="WBL7" s="1876"/>
      <c r="WBM7" s="1876"/>
      <c r="WBN7" s="1876"/>
      <c r="WBO7" s="1876"/>
      <c r="WBP7" s="1876"/>
      <c r="WBQ7" s="1876"/>
      <c r="WBR7" s="1876"/>
      <c r="WBS7" s="1876"/>
      <c r="WBT7" s="1876"/>
      <c r="WBU7" s="1876"/>
      <c r="WBV7" s="1876"/>
      <c r="WBW7" s="1876"/>
      <c r="WBX7" s="1876"/>
      <c r="WBY7" s="1876"/>
      <c r="WBZ7" s="1876"/>
      <c r="WCA7" s="1876"/>
      <c r="WCB7" s="1876"/>
      <c r="WCC7" s="1876"/>
      <c r="WCD7" s="1876"/>
      <c r="WCE7" s="1876"/>
      <c r="WCF7" s="1876"/>
      <c r="WCG7" s="1876"/>
      <c r="WCH7" s="1876"/>
      <c r="WCI7" s="1876"/>
      <c r="WCJ7" s="1876"/>
      <c r="WCK7" s="1876"/>
      <c r="WCL7" s="1876"/>
      <c r="WCM7" s="1876"/>
      <c r="WCN7" s="1876"/>
      <c r="WCO7" s="1876"/>
      <c r="WCP7" s="1876"/>
      <c r="WCQ7" s="1876"/>
      <c r="WCR7" s="1876"/>
      <c r="WCS7" s="1876"/>
      <c r="WCT7" s="1876"/>
      <c r="WCU7" s="1876"/>
      <c r="WCV7" s="1876"/>
      <c r="WCW7" s="1876"/>
      <c r="WCX7" s="1876"/>
      <c r="WCY7" s="1876"/>
      <c r="WCZ7" s="1876"/>
      <c r="WDA7" s="1876"/>
      <c r="WDB7" s="1876"/>
      <c r="WDC7" s="1876"/>
      <c r="WDD7" s="1876"/>
      <c r="WDE7" s="1876"/>
      <c r="WDF7" s="1876"/>
      <c r="WDG7" s="1876"/>
      <c r="WDH7" s="1876"/>
      <c r="WDI7" s="1876"/>
      <c r="WDJ7" s="1876"/>
      <c r="WDK7" s="1876"/>
      <c r="WDL7" s="1876"/>
      <c r="WDM7" s="1876"/>
      <c r="WDN7" s="1876"/>
      <c r="WDO7" s="1876"/>
      <c r="WDP7" s="1876"/>
      <c r="WDQ7" s="1876"/>
      <c r="WDR7" s="1876"/>
      <c r="WDS7" s="1876"/>
      <c r="WDT7" s="1876"/>
      <c r="WDU7" s="1876"/>
      <c r="WDV7" s="1876"/>
      <c r="WDW7" s="1876"/>
      <c r="WDX7" s="1876"/>
      <c r="WDY7" s="1876"/>
      <c r="WDZ7" s="1876"/>
      <c r="WEA7" s="1876"/>
      <c r="WEB7" s="1876"/>
      <c r="WEC7" s="1876"/>
      <c r="WED7" s="1876"/>
      <c r="WEE7" s="1876"/>
      <c r="WEF7" s="1876"/>
      <c r="WEG7" s="1876"/>
      <c r="WEH7" s="1876"/>
      <c r="WEI7" s="1876"/>
      <c r="WEJ7" s="1876"/>
      <c r="WEK7" s="1876"/>
      <c r="WEL7" s="1876"/>
      <c r="WEM7" s="1876"/>
      <c r="WEN7" s="1876"/>
      <c r="WEO7" s="1876"/>
      <c r="WEP7" s="1876"/>
      <c r="WEQ7" s="1876"/>
      <c r="WER7" s="1876"/>
      <c r="WES7" s="1876"/>
      <c r="WET7" s="1876"/>
      <c r="WEU7" s="1876"/>
      <c r="WEV7" s="1876"/>
      <c r="WEW7" s="1876"/>
      <c r="WEX7" s="1876"/>
      <c r="WEY7" s="1876"/>
      <c r="WEZ7" s="1876"/>
      <c r="WFA7" s="1876"/>
      <c r="WFB7" s="1876"/>
      <c r="WFC7" s="1876"/>
      <c r="WFD7" s="1876"/>
      <c r="WFE7" s="1876"/>
      <c r="WFF7" s="1876"/>
      <c r="WFG7" s="1876"/>
      <c r="WFH7" s="1876"/>
      <c r="WFI7" s="1876"/>
      <c r="WFJ7" s="1876"/>
      <c r="WFK7" s="1876"/>
      <c r="WFL7" s="1876"/>
      <c r="WFM7" s="1876"/>
      <c r="WFN7" s="1876"/>
      <c r="WFO7" s="1876"/>
      <c r="WFP7" s="1876"/>
      <c r="WFQ7" s="1876"/>
      <c r="WFR7" s="1876"/>
      <c r="WFS7" s="1876"/>
      <c r="WFT7" s="1876"/>
      <c r="WFU7" s="1876"/>
      <c r="WFV7" s="1876"/>
      <c r="WFW7" s="1876"/>
      <c r="WFX7" s="1876"/>
      <c r="WFY7" s="1876"/>
      <c r="WFZ7" s="1876"/>
      <c r="WGA7" s="1876"/>
      <c r="WGB7" s="1876"/>
      <c r="WGC7" s="1876"/>
      <c r="WGD7" s="1876"/>
      <c r="WGE7" s="1876"/>
      <c r="WGF7" s="1876"/>
      <c r="WGG7" s="1876"/>
      <c r="WGH7" s="1876"/>
      <c r="WGI7" s="1876"/>
      <c r="WGJ7" s="1876"/>
      <c r="WGK7" s="1876"/>
      <c r="WGL7" s="1876"/>
      <c r="WGM7" s="1876"/>
      <c r="WGN7" s="1876"/>
      <c r="WGO7" s="1876"/>
      <c r="WGP7" s="1876"/>
      <c r="WGQ7" s="1876"/>
      <c r="WGR7" s="1876"/>
      <c r="WGS7" s="1876"/>
      <c r="WGT7" s="1876"/>
      <c r="WGU7" s="1876"/>
      <c r="WGV7" s="1876"/>
      <c r="WGW7" s="1876"/>
      <c r="WGX7" s="1876"/>
      <c r="WGY7" s="1876"/>
      <c r="WGZ7" s="1876"/>
      <c r="WHA7" s="1876"/>
      <c r="WHB7" s="1876"/>
      <c r="WHC7" s="1876"/>
      <c r="WHD7" s="1876"/>
      <c r="WHE7" s="1876"/>
      <c r="WHF7" s="1876"/>
      <c r="WHG7" s="1876"/>
      <c r="WHH7" s="1876"/>
      <c r="WHI7" s="1876"/>
      <c r="WHJ7" s="1876"/>
      <c r="WHK7" s="1876"/>
      <c r="WHL7" s="1876"/>
      <c r="WHM7" s="1876"/>
      <c r="WHN7" s="1876"/>
      <c r="WHO7" s="1876"/>
      <c r="WHP7" s="1876"/>
      <c r="WHQ7" s="1876"/>
      <c r="WHR7" s="1876"/>
      <c r="WHS7" s="1876"/>
      <c r="WHT7" s="1876"/>
      <c r="WHU7" s="1876"/>
      <c r="WHV7" s="1876"/>
      <c r="WHW7" s="1876"/>
      <c r="WHX7" s="1876"/>
      <c r="WHY7" s="1876"/>
      <c r="WHZ7" s="1876"/>
      <c r="WIA7" s="1876"/>
      <c r="WIB7" s="1876"/>
      <c r="WIC7" s="1876"/>
      <c r="WID7" s="1876"/>
      <c r="WIE7" s="1876"/>
      <c r="WIF7" s="1876"/>
      <c r="WIG7" s="1876"/>
      <c r="WIH7" s="1876"/>
      <c r="WII7" s="1876"/>
      <c r="WIJ7" s="1876"/>
      <c r="WIK7" s="1876"/>
      <c r="WIL7" s="1876"/>
      <c r="WIM7" s="1876"/>
      <c r="WIN7" s="1876"/>
      <c r="WIO7" s="1876"/>
      <c r="WIP7" s="1876"/>
      <c r="WIQ7" s="1876"/>
      <c r="WIR7" s="1876"/>
      <c r="WIS7" s="1876"/>
      <c r="WIT7" s="1876"/>
      <c r="WIU7" s="1876"/>
      <c r="WIV7" s="1876"/>
      <c r="WIW7" s="1876"/>
      <c r="WIX7" s="1876"/>
      <c r="WIY7" s="1876"/>
      <c r="WIZ7" s="1876"/>
      <c r="WJA7" s="1876"/>
      <c r="WJB7" s="1876"/>
      <c r="WJC7" s="1876"/>
      <c r="WJD7" s="1876"/>
      <c r="WJE7" s="1876"/>
      <c r="WJF7" s="1876"/>
      <c r="WJG7" s="1876"/>
      <c r="WJH7" s="1876"/>
      <c r="WJI7" s="1876"/>
      <c r="WJJ7" s="1876"/>
      <c r="WJK7" s="1876"/>
      <c r="WJL7" s="1876"/>
      <c r="WJM7" s="1876"/>
      <c r="WJN7" s="1876"/>
      <c r="WJO7" s="1876"/>
      <c r="WJP7" s="1876"/>
      <c r="WJQ7" s="1876"/>
      <c r="WJR7" s="1876"/>
      <c r="WJS7" s="1876"/>
      <c r="WJT7" s="1876"/>
      <c r="WJU7" s="1876"/>
      <c r="WJV7" s="1876"/>
      <c r="WJW7" s="1876"/>
      <c r="WJX7" s="1876"/>
      <c r="WJY7" s="1876"/>
      <c r="WJZ7" s="1876"/>
      <c r="WKA7" s="1876"/>
      <c r="WKB7" s="1876"/>
      <c r="WKC7" s="1876"/>
      <c r="WKD7" s="1876"/>
      <c r="WKE7" s="1876"/>
      <c r="WKF7" s="1876"/>
      <c r="WKG7" s="1876"/>
      <c r="WKH7" s="1876"/>
      <c r="WKI7" s="1876"/>
      <c r="WKJ7" s="1876"/>
      <c r="WKK7" s="1876"/>
      <c r="WKL7" s="1876"/>
      <c r="WKM7" s="1876"/>
      <c r="WKN7" s="1876"/>
      <c r="WKO7" s="1876"/>
      <c r="WKP7" s="1876"/>
      <c r="WKQ7" s="1876"/>
      <c r="WKR7" s="1876"/>
      <c r="WKS7" s="1876"/>
      <c r="WKT7" s="1876"/>
      <c r="WKU7" s="1876"/>
      <c r="WKV7" s="1876"/>
      <c r="WKW7" s="1876"/>
      <c r="WKX7" s="1876"/>
      <c r="WKY7" s="1876"/>
      <c r="WKZ7" s="1876"/>
      <c r="WLA7" s="1876"/>
      <c r="WLB7" s="1876"/>
      <c r="WLC7" s="1876"/>
      <c r="WLD7" s="1876"/>
      <c r="WLE7" s="1876"/>
      <c r="WLF7" s="1876"/>
      <c r="WLG7" s="1876"/>
      <c r="WLH7" s="1876"/>
      <c r="WLI7" s="1876"/>
      <c r="WLJ7" s="1876"/>
      <c r="WLK7" s="1876"/>
      <c r="WLL7" s="1876"/>
      <c r="WLM7" s="1876"/>
      <c r="WLN7" s="1876"/>
      <c r="WLO7" s="1876"/>
      <c r="WLP7" s="1876"/>
      <c r="WLQ7" s="1876"/>
      <c r="WLR7" s="1876"/>
      <c r="WLS7" s="1876"/>
      <c r="WLT7" s="1876"/>
      <c r="WLU7" s="1876"/>
      <c r="WLV7" s="1876"/>
      <c r="WLW7" s="1876"/>
      <c r="WLX7" s="1876"/>
      <c r="WLY7" s="1876"/>
      <c r="WLZ7" s="1876"/>
      <c r="WMA7" s="1876"/>
      <c r="WMB7" s="1876"/>
      <c r="WMC7" s="1876"/>
      <c r="WMD7" s="1876"/>
      <c r="WME7" s="1876"/>
      <c r="WMF7" s="1876"/>
      <c r="WMG7" s="1876"/>
      <c r="WMH7" s="1876"/>
      <c r="WMI7" s="1876"/>
      <c r="WMJ7" s="1876"/>
      <c r="WMK7" s="1876"/>
      <c r="WML7" s="1876"/>
      <c r="WMM7" s="1876"/>
      <c r="WMN7" s="1876"/>
      <c r="WMO7" s="1876"/>
      <c r="WMP7" s="1876"/>
      <c r="WMQ7" s="1876"/>
      <c r="WMR7" s="1876"/>
      <c r="WMS7" s="1876"/>
      <c r="WMT7" s="1876"/>
      <c r="WMU7" s="1876"/>
      <c r="WMV7" s="1876"/>
      <c r="WMW7" s="1876"/>
      <c r="WMX7" s="1876"/>
      <c r="WMY7" s="1876"/>
      <c r="WMZ7" s="1876"/>
      <c r="WNA7" s="1876"/>
      <c r="WNB7" s="1876"/>
      <c r="WNC7" s="1876"/>
      <c r="WND7" s="1876"/>
      <c r="WNE7" s="1876"/>
      <c r="WNF7" s="1876"/>
      <c r="WNG7" s="1876"/>
      <c r="WNH7" s="1876"/>
      <c r="WNI7" s="1876"/>
      <c r="WNJ7" s="1876"/>
      <c r="WNK7" s="1876"/>
      <c r="WNL7" s="1876"/>
      <c r="WNM7" s="1876"/>
      <c r="WNN7" s="1876"/>
      <c r="WNO7" s="1876"/>
      <c r="WNP7" s="1876"/>
      <c r="WNQ7" s="1876"/>
      <c r="WNR7" s="1876"/>
      <c r="WNS7" s="1876"/>
      <c r="WNT7" s="1876"/>
      <c r="WNU7" s="1876"/>
      <c r="WNV7" s="1876"/>
      <c r="WNW7" s="1876"/>
      <c r="WNX7" s="1876"/>
      <c r="WNY7" s="1876"/>
      <c r="WNZ7" s="1876"/>
      <c r="WOA7" s="1876"/>
      <c r="WOB7" s="1876"/>
      <c r="WOC7" s="1876"/>
      <c r="WOD7" s="1876"/>
      <c r="WOE7" s="1876"/>
      <c r="WOF7" s="1876"/>
      <c r="WOG7" s="1876"/>
      <c r="WOH7" s="1876"/>
      <c r="WOI7" s="1876"/>
      <c r="WOJ7" s="1876"/>
      <c r="WOK7" s="1876"/>
      <c r="WOL7" s="1876"/>
      <c r="WOM7" s="1876"/>
      <c r="WON7" s="1876"/>
      <c r="WOO7" s="1876"/>
      <c r="WOP7" s="1876"/>
      <c r="WOQ7" s="1876"/>
      <c r="WOR7" s="1876"/>
      <c r="WOS7" s="1876"/>
      <c r="WOT7" s="1876"/>
      <c r="WOU7" s="1876"/>
      <c r="WOV7" s="1876"/>
      <c r="WOW7" s="1876"/>
      <c r="WOX7" s="1876"/>
      <c r="WOY7" s="1876"/>
      <c r="WOZ7" s="1876"/>
      <c r="WPA7" s="1876"/>
      <c r="WPB7" s="1876"/>
      <c r="WPC7" s="1876"/>
      <c r="WPD7" s="1876"/>
      <c r="WPE7" s="1876"/>
      <c r="WPF7" s="1876"/>
      <c r="WPG7" s="1876"/>
      <c r="WPH7" s="1876"/>
      <c r="WPI7" s="1876"/>
      <c r="WPJ7" s="1876"/>
      <c r="WPK7" s="1876"/>
      <c r="WPL7" s="1876"/>
      <c r="WPM7" s="1876"/>
      <c r="WPN7" s="1876"/>
      <c r="WPO7" s="1876"/>
      <c r="WPP7" s="1876"/>
      <c r="WPQ7" s="1876"/>
      <c r="WPR7" s="1876"/>
      <c r="WPS7" s="1876"/>
      <c r="WPT7" s="1876"/>
      <c r="WPU7" s="1876"/>
      <c r="WPV7" s="1876"/>
      <c r="WPW7" s="1876"/>
      <c r="WPX7" s="1876"/>
      <c r="WPY7" s="1876"/>
      <c r="WPZ7" s="1876"/>
      <c r="WQA7" s="1876"/>
      <c r="WQB7" s="1876"/>
      <c r="WQC7" s="1876"/>
      <c r="WQD7" s="1876"/>
      <c r="WQE7" s="1876"/>
      <c r="WQF7" s="1876"/>
      <c r="WQG7" s="1876"/>
      <c r="WQH7" s="1876"/>
      <c r="WQI7" s="1876"/>
      <c r="WQJ7" s="1876"/>
      <c r="WQK7" s="1876"/>
      <c r="WQL7" s="1876"/>
      <c r="WQM7" s="1876"/>
      <c r="WQN7" s="1876"/>
      <c r="WQO7" s="1876"/>
      <c r="WQP7" s="1876"/>
      <c r="WQQ7" s="1876"/>
      <c r="WQR7" s="1876"/>
      <c r="WQS7" s="1876"/>
      <c r="WQT7" s="1876"/>
      <c r="WQU7" s="1876"/>
      <c r="WQV7" s="1876"/>
      <c r="WQW7" s="1876"/>
      <c r="WQX7" s="1876"/>
      <c r="WQY7" s="1876"/>
      <c r="WQZ7" s="1876"/>
      <c r="WRA7" s="1876"/>
      <c r="WRB7" s="1876"/>
      <c r="WRC7" s="1876"/>
      <c r="WRD7" s="1876"/>
      <c r="WRE7" s="1876"/>
      <c r="WRF7" s="1876"/>
      <c r="WRG7" s="1876"/>
      <c r="WRH7" s="1876"/>
      <c r="WRI7" s="1876"/>
      <c r="WRJ7" s="1876"/>
      <c r="WRK7" s="1876"/>
      <c r="WRL7" s="1876"/>
      <c r="WRM7" s="1876"/>
      <c r="WRN7" s="1876"/>
      <c r="WRO7" s="1876"/>
      <c r="WRP7" s="1876"/>
      <c r="WRQ7" s="1876"/>
      <c r="WRR7" s="1876"/>
      <c r="WRS7" s="1876"/>
      <c r="WRT7" s="1876"/>
      <c r="WRU7" s="1876"/>
      <c r="WRV7" s="1876"/>
      <c r="WRW7" s="1876"/>
      <c r="WRX7" s="1876"/>
      <c r="WRY7" s="1876"/>
      <c r="WRZ7" s="1876"/>
      <c r="WSA7" s="1876"/>
      <c r="WSB7" s="1876"/>
      <c r="WSC7" s="1876"/>
      <c r="WSD7" s="1876"/>
      <c r="WSE7" s="1876"/>
      <c r="WSF7" s="1876"/>
      <c r="WSG7" s="1876"/>
      <c r="WSH7" s="1876"/>
      <c r="WSI7" s="1876"/>
      <c r="WSJ7" s="1876"/>
      <c r="WSK7" s="1876"/>
      <c r="WSL7" s="1876"/>
      <c r="WSM7" s="1876"/>
      <c r="WSN7" s="1876"/>
      <c r="WSO7" s="1876"/>
      <c r="WSP7" s="1876"/>
      <c r="WSQ7" s="1876"/>
      <c r="WSR7" s="1876"/>
      <c r="WSS7" s="1876"/>
      <c r="WST7" s="1876"/>
      <c r="WSU7" s="1876"/>
      <c r="WSV7" s="1876"/>
      <c r="WSW7" s="1876"/>
      <c r="WSX7" s="1876"/>
      <c r="WSY7" s="1876"/>
      <c r="WSZ7" s="1876"/>
      <c r="WTA7" s="1876"/>
      <c r="WTB7" s="1876"/>
      <c r="WTC7" s="1876"/>
      <c r="WTD7" s="1876"/>
      <c r="WTE7" s="1876"/>
      <c r="WTF7" s="1876"/>
      <c r="WTG7" s="1876"/>
      <c r="WTH7" s="1876"/>
      <c r="WTI7" s="1876"/>
      <c r="WTJ7" s="1876"/>
      <c r="WTK7" s="1876"/>
      <c r="WTL7" s="1876"/>
      <c r="WTM7" s="1876"/>
      <c r="WTN7" s="1876"/>
      <c r="WTO7" s="1876"/>
      <c r="WTP7" s="1876"/>
      <c r="WTQ7" s="1876"/>
      <c r="WTR7" s="1876"/>
      <c r="WTS7" s="1876"/>
      <c r="WTT7" s="1876"/>
      <c r="WTU7" s="1876"/>
      <c r="WTV7" s="1876"/>
      <c r="WTW7" s="1876"/>
      <c r="WTX7" s="1876"/>
      <c r="WTY7" s="1876"/>
      <c r="WTZ7" s="1876"/>
      <c r="WUA7" s="1876"/>
      <c r="WUB7" s="1876"/>
      <c r="WUC7" s="1876"/>
      <c r="WUD7" s="1876"/>
      <c r="WUE7" s="1876"/>
      <c r="WUF7" s="1876"/>
      <c r="WUG7" s="1876"/>
      <c r="WUH7" s="1876"/>
      <c r="WUI7" s="1876"/>
      <c r="WUJ7" s="1876"/>
      <c r="WUK7" s="1876"/>
      <c r="WUL7" s="1876"/>
      <c r="WUM7" s="1876"/>
      <c r="WUN7" s="1876"/>
      <c r="WUO7" s="1876"/>
      <c r="WUP7" s="1876"/>
      <c r="WUQ7" s="1876"/>
      <c r="WUR7" s="1876"/>
      <c r="WUS7" s="1876"/>
      <c r="WUT7" s="1876"/>
      <c r="WUU7" s="1876"/>
      <c r="WUV7" s="1876"/>
      <c r="WUW7" s="1876"/>
      <c r="WUX7" s="1876"/>
      <c r="WUY7" s="1876"/>
      <c r="WUZ7" s="1876"/>
      <c r="WVA7" s="1876"/>
      <c r="WVB7" s="1876"/>
      <c r="WVC7" s="1876"/>
      <c r="WVD7" s="1876"/>
      <c r="WVE7" s="1876"/>
      <c r="WVF7" s="1876"/>
      <c r="WVG7" s="1876"/>
      <c r="WVH7" s="1876"/>
      <c r="WVI7" s="1876"/>
      <c r="WVJ7" s="1876"/>
      <c r="WVK7" s="1876"/>
      <c r="WVL7" s="1876"/>
      <c r="WVM7" s="1876"/>
      <c r="WVN7" s="1876"/>
      <c r="WVO7" s="1876"/>
      <c r="WVP7" s="1876"/>
      <c r="WVQ7" s="1876"/>
      <c r="WVR7" s="1876"/>
      <c r="WVS7" s="1876"/>
      <c r="WVT7" s="1876"/>
      <c r="WVU7" s="1876"/>
      <c r="WVV7" s="1876"/>
      <c r="WVW7" s="1876"/>
      <c r="WVX7" s="1876"/>
      <c r="WVY7" s="1876"/>
      <c r="WVZ7" s="1876"/>
      <c r="WWA7" s="1876"/>
      <c r="WWB7" s="1876"/>
      <c r="WWC7" s="1876"/>
      <c r="WWD7" s="1876"/>
      <c r="WWE7" s="1876"/>
      <c r="WWF7" s="1876"/>
      <c r="WWG7" s="1876"/>
      <c r="WWH7" s="1876"/>
      <c r="WWI7" s="1876"/>
      <c r="WWJ7" s="1876"/>
      <c r="WWK7" s="1876"/>
      <c r="WWL7" s="1876"/>
      <c r="WWM7" s="1876"/>
      <c r="WWN7" s="1876"/>
      <c r="WWO7" s="1876"/>
      <c r="WWP7" s="1876"/>
      <c r="WWQ7" s="1876"/>
      <c r="WWR7" s="1876"/>
      <c r="WWS7" s="1876"/>
      <c r="WWT7" s="1876"/>
      <c r="WWU7" s="1876"/>
      <c r="WWV7" s="1876"/>
      <c r="WWW7" s="1876"/>
      <c r="WWX7" s="1876"/>
      <c r="WWY7" s="1876"/>
      <c r="WWZ7" s="1876"/>
      <c r="WXA7" s="1876"/>
      <c r="WXB7" s="1876"/>
      <c r="WXC7" s="1876"/>
      <c r="WXD7" s="1876"/>
      <c r="WXE7" s="1876"/>
      <c r="WXF7" s="1876"/>
      <c r="WXG7" s="1876"/>
      <c r="WXH7" s="1876"/>
      <c r="WXI7" s="1876"/>
      <c r="WXJ7" s="1876"/>
      <c r="WXK7" s="1876"/>
      <c r="WXL7" s="1876"/>
      <c r="WXM7" s="1876"/>
      <c r="WXN7" s="1876"/>
      <c r="WXO7" s="1876"/>
      <c r="WXP7" s="1876"/>
      <c r="WXQ7" s="1876"/>
      <c r="WXR7" s="1876"/>
      <c r="WXS7" s="1876"/>
      <c r="WXT7" s="1876"/>
      <c r="WXU7" s="1876"/>
      <c r="WXV7" s="1876"/>
      <c r="WXW7" s="1876"/>
      <c r="WXX7" s="1876"/>
      <c r="WXY7" s="1876"/>
      <c r="WXZ7" s="1876"/>
      <c r="WYA7" s="1876"/>
      <c r="WYB7" s="1876"/>
      <c r="WYC7" s="1876"/>
      <c r="WYD7" s="1876"/>
      <c r="WYE7" s="1876"/>
      <c r="WYF7" s="1876"/>
      <c r="WYG7" s="1876"/>
      <c r="WYH7" s="1876"/>
      <c r="WYI7" s="1876"/>
      <c r="WYJ7" s="1876"/>
      <c r="WYK7" s="1876"/>
      <c r="WYL7" s="1876"/>
      <c r="WYM7" s="1876"/>
      <c r="WYN7" s="1876"/>
      <c r="WYO7" s="1876"/>
      <c r="WYP7" s="1876"/>
      <c r="WYQ7" s="1876"/>
      <c r="WYR7" s="1876"/>
      <c r="WYS7" s="1876"/>
      <c r="WYT7" s="1876"/>
      <c r="WYU7" s="1876"/>
      <c r="WYV7" s="1876"/>
      <c r="WYW7" s="1876"/>
      <c r="WYX7" s="1876"/>
      <c r="WYY7" s="1876"/>
      <c r="WYZ7" s="1876"/>
      <c r="WZA7" s="1876"/>
      <c r="WZB7" s="1876"/>
      <c r="WZC7" s="1876"/>
      <c r="WZD7" s="1876"/>
      <c r="WZE7" s="1876"/>
      <c r="WZF7" s="1876"/>
      <c r="WZG7" s="1876"/>
      <c r="WZH7" s="1876"/>
      <c r="WZI7" s="1876"/>
      <c r="WZJ7" s="1876"/>
      <c r="WZK7" s="1876"/>
      <c r="WZL7" s="1876"/>
      <c r="WZM7" s="1876"/>
      <c r="WZN7" s="1876"/>
      <c r="WZO7" s="1876"/>
      <c r="WZP7" s="1876"/>
      <c r="WZQ7" s="1876"/>
      <c r="WZR7" s="1876"/>
      <c r="WZS7" s="1876"/>
      <c r="WZT7" s="1876"/>
      <c r="WZU7" s="1876"/>
      <c r="WZV7" s="1876"/>
      <c r="WZW7" s="1876"/>
      <c r="WZX7" s="1876"/>
      <c r="WZY7" s="1876"/>
      <c r="WZZ7" s="1876"/>
      <c r="XAA7" s="1876"/>
      <c r="XAB7" s="1876"/>
      <c r="XAC7" s="1876"/>
      <c r="XAD7" s="1876"/>
      <c r="XAE7" s="1876"/>
      <c r="XAF7" s="1876"/>
      <c r="XAG7" s="1876"/>
      <c r="XAH7" s="1876"/>
      <c r="XAI7" s="1876"/>
      <c r="XAJ7" s="1876"/>
      <c r="XAK7" s="1876"/>
      <c r="XAL7" s="1876"/>
      <c r="XAM7" s="1876"/>
      <c r="XAN7" s="1876"/>
      <c r="XAO7" s="1876"/>
      <c r="XAP7" s="1876"/>
      <c r="XAQ7" s="1876"/>
      <c r="XAR7" s="1876"/>
      <c r="XAS7" s="1876"/>
      <c r="XAT7" s="1876"/>
      <c r="XAU7" s="1876"/>
      <c r="XAV7" s="1876"/>
      <c r="XAW7" s="1876"/>
      <c r="XAX7" s="1876"/>
      <c r="XAY7" s="1876"/>
      <c r="XAZ7" s="1876"/>
      <c r="XBA7" s="1876"/>
      <c r="XBB7" s="1876"/>
      <c r="XBC7" s="1876"/>
      <c r="XBD7" s="1876"/>
      <c r="XBE7" s="1876"/>
      <c r="XBF7" s="1876"/>
      <c r="XBG7" s="1876"/>
      <c r="XBH7" s="1876"/>
      <c r="XBI7" s="1876"/>
      <c r="XBJ7" s="1876"/>
      <c r="XBK7" s="1876"/>
      <c r="XBL7" s="1876"/>
      <c r="XBM7" s="1876"/>
      <c r="XBN7" s="1876"/>
      <c r="XBO7" s="1876"/>
      <c r="XBP7" s="1876"/>
      <c r="XBQ7" s="1876"/>
      <c r="XBR7" s="1876"/>
      <c r="XBS7" s="1876"/>
      <c r="XBT7" s="1876"/>
      <c r="XBU7" s="1876"/>
      <c r="XBV7" s="1876"/>
      <c r="XBW7" s="1876"/>
      <c r="XBX7" s="1876"/>
      <c r="XBY7" s="1876"/>
      <c r="XBZ7" s="1876"/>
      <c r="XCA7" s="1876"/>
      <c r="XCB7" s="1876"/>
      <c r="XCC7" s="1876"/>
      <c r="XCD7" s="1876"/>
      <c r="XCE7" s="1876"/>
      <c r="XCF7" s="1876"/>
      <c r="XCG7" s="1876"/>
      <c r="XCH7" s="1876"/>
      <c r="XCI7" s="1876"/>
      <c r="XCJ7" s="1876"/>
      <c r="XCK7" s="1876"/>
      <c r="XCL7" s="1876"/>
      <c r="XCM7" s="1876"/>
      <c r="XCN7" s="1876"/>
      <c r="XCO7" s="1876"/>
      <c r="XCP7" s="1876"/>
      <c r="XCQ7" s="1876"/>
      <c r="XCR7" s="1876"/>
      <c r="XCS7" s="1876"/>
      <c r="XCT7" s="1876"/>
      <c r="XCU7" s="1876"/>
      <c r="XCV7" s="1876"/>
      <c r="XCW7" s="1876"/>
      <c r="XCX7" s="1876"/>
      <c r="XCY7" s="1876"/>
      <c r="XCZ7" s="1876"/>
      <c r="XDA7" s="1876"/>
      <c r="XDB7" s="1876"/>
      <c r="XDC7" s="1876"/>
      <c r="XDD7" s="1876"/>
      <c r="XDE7" s="1876"/>
      <c r="XDF7" s="1876"/>
      <c r="XDG7" s="1876"/>
      <c r="XDH7" s="1876"/>
      <c r="XDI7" s="1876"/>
      <c r="XDJ7" s="1876"/>
      <c r="XDK7" s="1876"/>
      <c r="XDL7" s="1876"/>
      <c r="XDM7" s="1876"/>
      <c r="XDN7" s="1876"/>
      <c r="XDO7" s="1876"/>
      <c r="XDP7" s="1876"/>
      <c r="XDQ7" s="1876"/>
      <c r="XDR7" s="1876"/>
      <c r="XDS7" s="1876"/>
      <c r="XDT7" s="1876"/>
      <c r="XDU7" s="1876"/>
      <c r="XDV7" s="1876"/>
      <c r="XDW7" s="1876"/>
      <c r="XDX7" s="1876"/>
      <c r="XDY7" s="1876"/>
      <c r="XDZ7" s="1876"/>
      <c r="XEA7" s="1876"/>
      <c r="XEB7" s="1876"/>
      <c r="XEC7" s="1876"/>
      <c r="XED7" s="1876"/>
      <c r="XEE7" s="1876"/>
      <c r="XEF7" s="1876"/>
      <c r="XEG7" s="1876"/>
      <c r="XEH7" s="1876"/>
      <c r="XEI7" s="1876"/>
      <c r="XEJ7" s="1876"/>
      <c r="XEK7" s="1876"/>
      <c r="XEL7" s="1876"/>
      <c r="XEM7" s="1876"/>
      <c r="XEN7" s="1876"/>
      <c r="XEO7" s="1876"/>
      <c r="XEP7" s="1876"/>
      <c r="XEQ7" s="1876"/>
      <c r="XER7" s="1876"/>
      <c r="XES7" s="1876"/>
      <c r="XET7" s="1876"/>
      <c r="XEU7" s="1876"/>
    </row>
    <row r="8" spans="1:16375" x14ac:dyDescent="0.25">
      <c r="B8" s="1876"/>
      <c r="C8" s="1876"/>
      <c r="D8" s="1876"/>
      <c r="E8" s="1876"/>
      <c r="F8" s="1876"/>
      <c r="G8" s="1876"/>
      <c r="H8" s="1876"/>
      <c r="I8" s="1876"/>
      <c r="J8" s="1876"/>
      <c r="K8" s="1876"/>
      <c r="L8" s="1876"/>
      <c r="M8" s="1876"/>
      <c r="N8" s="1876"/>
      <c r="O8" s="1876"/>
      <c r="P8" s="1876"/>
      <c r="Q8" s="1876"/>
      <c r="R8" s="1876"/>
      <c r="S8" s="1876"/>
      <c r="T8" s="1876"/>
      <c r="U8" s="1876"/>
      <c r="V8" s="1876"/>
      <c r="W8" s="1876"/>
      <c r="X8" s="1876"/>
      <c r="Y8" s="1876"/>
      <c r="Z8" s="1876"/>
      <c r="AA8" s="1876"/>
      <c r="AB8" s="1876"/>
      <c r="AC8" s="1876"/>
      <c r="AD8" s="1876"/>
      <c r="AE8" s="1876"/>
      <c r="AF8" s="1876"/>
      <c r="AG8" s="1876"/>
      <c r="AH8" s="1876"/>
      <c r="AI8" s="1876"/>
      <c r="AJ8" s="1876"/>
      <c r="AK8" s="1876"/>
      <c r="AL8" s="1876"/>
      <c r="AM8" s="1876"/>
      <c r="AN8" s="1876"/>
      <c r="AO8" s="1876"/>
      <c r="AP8" s="1876"/>
      <c r="AQ8" s="1876"/>
      <c r="AR8" s="1876"/>
      <c r="AS8" s="1876"/>
      <c r="AT8" s="1876"/>
      <c r="AU8" s="1876"/>
      <c r="AV8" s="1876"/>
      <c r="AW8" s="1876"/>
      <c r="AX8" s="1876"/>
      <c r="AY8" s="1876"/>
      <c r="AZ8" s="1876"/>
      <c r="BA8" s="1876"/>
      <c r="BB8" s="1876"/>
      <c r="BC8" s="1876"/>
      <c r="BD8" s="1876"/>
      <c r="BE8" s="1876"/>
      <c r="BF8" s="1876"/>
      <c r="BG8" s="1876"/>
      <c r="BH8" s="1876"/>
      <c r="BI8" s="1876"/>
      <c r="BJ8" s="1876"/>
      <c r="BK8" s="1876"/>
      <c r="BL8" s="1876"/>
      <c r="BM8" s="1876"/>
      <c r="BN8" s="1876"/>
      <c r="BO8" s="1876"/>
      <c r="BP8" s="1876"/>
      <c r="BQ8" s="1876"/>
      <c r="BR8" s="1876"/>
      <c r="BS8" s="1876"/>
      <c r="BT8" s="1876"/>
      <c r="BU8" s="1876"/>
      <c r="BV8" s="1876"/>
      <c r="BW8" s="1876"/>
      <c r="BX8" s="1876"/>
      <c r="BY8" s="1876"/>
      <c r="BZ8" s="1876"/>
      <c r="CA8" s="1876"/>
      <c r="CB8" s="1876"/>
      <c r="CC8" s="1876"/>
      <c r="CD8" s="1876"/>
      <c r="CE8" s="1876"/>
      <c r="CF8" s="1876"/>
      <c r="CG8" s="1876"/>
      <c r="CH8" s="1876"/>
      <c r="CI8" s="1876"/>
      <c r="CJ8" s="1876"/>
      <c r="CK8" s="1876"/>
      <c r="CL8" s="1876"/>
      <c r="CM8" s="1876"/>
      <c r="CN8" s="1876"/>
      <c r="CO8" s="1876"/>
      <c r="CP8" s="1876"/>
      <c r="CQ8" s="1876"/>
      <c r="CR8" s="1876"/>
      <c r="CS8" s="1876"/>
      <c r="CT8" s="1876"/>
      <c r="CU8" s="1876"/>
      <c r="CV8" s="1876"/>
      <c r="CW8" s="1876"/>
      <c r="CX8" s="1876"/>
      <c r="CY8" s="1876"/>
      <c r="CZ8" s="1876"/>
      <c r="DA8" s="1876"/>
      <c r="DB8" s="1876"/>
      <c r="DC8" s="1876"/>
      <c r="DD8" s="1876"/>
      <c r="DE8" s="1876"/>
      <c r="DF8" s="1876"/>
      <c r="DG8" s="1876"/>
      <c r="DH8" s="1876"/>
      <c r="DI8" s="1876"/>
      <c r="DJ8" s="1876"/>
      <c r="DK8" s="1876"/>
      <c r="DL8" s="1876"/>
      <c r="DM8" s="1876"/>
      <c r="DN8" s="1876"/>
      <c r="DO8" s="1876"/>
      <c r="DP8" s="1876"/>
      <c r="DQ8" s="1876"/>
      <c r="DR8" s="1876"/>
      <c r="DS8" s="1876"/>
      <c r="DT8" s="1876"/>
      <c r="DU8" s="1876"/>
      <c r="DV8" s="1876"/>
      <c r="DW8" s="1876"/>
      <c r="DX8" s="1876"/>
      <c r="DY8" s="1876"/>
      <c r="DZ8" s="1876"/>
      <c r="EA8" s="1876"/>
      <c r="EB8" s="1876"/>
      <c r="EC8" s="1876"/>
      <c r="ED8" s="1876"/>
      <c r="EE8" s="1876"/>
      <c r="EF8" s="1876"/>
      <c r="EG8" s="1876"/>
      <c r="EH8" s="1876"/>
      <c r="EI8" s="1876"/>
      <c r="EJ8" s="1876"/>
      <c r="EK8" s="1876"/>
      <c r="EL8" s="1876"/>
      <c r="EM8" s="1876"/>
      <c r="EN8" s="1876"/>
      <c r="EO8" s="1876"/>
      <c r="EP8" s="1876"/>
      <c r="EQ8" s="1876"/>
      <c r="ER8" s="1876"/>
      <c r="ES8" s="1876"/>
      <c r="ET8" s="1876"/>
      <c r="EU8" s="1876"/>
      <c r="EV8" s="1876"/>
      <c r="EW8" s="1876"/>
      <c r="EX8" s="1876"/>
      <c r="EY8" s="1876"/>
      <c r="EZ8" s="1876"/>
      <c r="FA8" s="1876"/>
      <c r="FB8" s="1876"/>
      <c r="FC8" s="1876"/>
      <c r="FD8" s="1876"/>
      <c r="FE8" s="1876"/>
      <c r="FF8" s="1876"/>
      <c r="FG8" s="1876"/>
      <c r="FH8" s="1876"/>
      <c r="FI8" s="1876"/>
      <c r="FJ8" s="1876"/>
      <c r="FK8" s="1876"/>
      <c r="FL8" s="1876"/>
      <c r="FM8" s="1876"/>
      <c r="FN8" s="1876"/>
      <c r="FO8" s="1876"/>
      <c r="FP8" s="1876"/>
      <c r="FQ8" s="1876"/>
      <c r="FR8" s="1876"/>
      <c r="FS8" s="1876"/>
      <c r="FT8" s="1876"/>
      <c r="FU8" s="1876"/>
      <c r="FV8" s="1876"/>
      <c r="FW8" s="1876"/>
      <c r="FX8" s="1876"/>
      <c r="FY8" s="1876"/>
      <c r="FZ8" s="1876"/>
      <c r="GA8" s="1876"/>
      <c r="GB8" s="1876"/>
      <c r="GC8" s="1876"/>
      <c r="GD8" s="1876"/>
      <c r="GE8" s="1876"/>
      <c r="GF8" s="1876"/>
      <c r="GG8" s="1876"/>
      <c r="GH8" s="1876"/>
      <c r="GI8" s="1876"/>
      <c r="GJ8" s="1876"/>
      <c r="GK8" s="1876"/>
      <c r="GL8" s="1876"/>
      <c r="GM8" s="1876"/>
      <c r="GN8" s="1876"/>
      <c r="GO8" s="1876"/>
      <c r="GP8" s="1876"/>
      <c r="GQ8" s="1876"/>
      <c r="GR8" s="1876"/>
      <c r="GS8" s="1876"/>
      <c r="GT8" s="1876"/>
      <c r="GU8" s="1876"/>
      <c r="GV8" s="1876"/>
      <c r="GW8" s="1876"/>
      <c r="GX8" s="1876"/>
      <c r="GY8" s="1876"/>
      <c r="GZ8" s="1876"/>
      <c r="HA8" s="1876"/>
      <c r="HB8" s="1876"/>
      <c r="HC8" s="1876"/>
      <c r="HD8" s="1876"/>
      <c r="HE8" s="1876"/>
      <c r="HF8" s="1876"/>
      <c r="HG8" s="1876"/>
      <c r="HH8" s="1876"/>
      <c r="HI8" s="1876"/>
      <c r="HJ8" s="1876"/>
      <c r="HK8" s="1876"/>
      <c r="HL8" s="1876"/>
      <c r="HM8" s="1876"/>
      <c r="HN8" s="1876"/>
      <c r="HO8" s="1876"/>
      <c r="HP8" s="1876"/>
      <c r="HQ8" s="1876"/>
      <c r="HR8" s="1876"/>
      <c r="HS8" s="1876"/>
      <c r="HT8" s="1876"/>
      <c r="HU8" s="1876"/>
      <c r="HV8" s="1876"/>
      <c r="HW8" s="1876"/>
      <c r="HX8" s="1876"/>
      <c r="HY8" s="1876"/>
      <c r="HZ8" s="1876"/>
      <c r="IA8" s="1876"/>
      <c r="IB8" s="1876"/>
      <c r="IC8" s="1876"/>
      <c r="ID8" s="1876"/>
      <c r="IE8" s="1876"/>
      <c r="IF8" s="1876"/>
      <c r="IG8" s="1876"/>
      <c r="IH8" s="1876"/>
      <c r="II8" s="1876"/>
      <c r="IJ8" s="1876"/>
      <c r="IK8" s="1876"/>
      <c r="IL8" s="1876"/>
      <c r="IM8" s="1876"/>
      <c r="IN8" s="1876"/>
      <c r="IO8" s="1876"/>
      <c r="IP8" s="1876"/>
      <c r="IQ8" s="1876"/>
      <c r="IR8" s="1876"/>
      <c r="IS8" s="1876"/>
      <c r="IT8" s="1876"/>
      <c r="IU8" s="1876"/>
      <c r="IV8" s="1876"/>
      <c r="IW8" s="1876"/>
      <c r="IX8" s="1876"/>
      <c r="IY8" s="1876"/>
      <c r="IZ8" s="1876"/>
      <c r="JA8" s="1876"/>
      <c r="JB8" s="1876"/>
      <c r="JC8" s="1876"/>
      <c r="JD8" s="1876"/>
      <c r="JE8" s="1876"/>
      <c r="JF8" s="1876"/>
      <c r="JG8" s="1876"/>
      <c r="JH8" s="1876"/>
      <c r="JI8" s="1876"/>
      <c r="JJ8" s="1876"/>
      <c r="JK8" s="1876"/>
      <c r="JL8" s="1876"/>
      <c r="JM8" s="1876"/>
      <c r="JN8" s="1876"/>
      <c r="JO8" s="1876"/>
      <c r="JP8" s="1876"/>
      <c r="JQ8" s="1876"/>
      <c r="JR8" s="1876"/>
      <c r="JS8" s="1876"/>
      <c r="JT8" s="1876"/>
      <c r="JU8" s="1876"/>
      <c r="JV8" s="1876"/>
      <c r="JW8" s="1876"/>
      <c r="JX8" s="1876"/>
      <c r="JY8" s="1876"/>
      <c r="JZ8" s="1876"/>
      <c r="KA8" s="1876"/>
      <c r="KB8" s="1876"/>
      <c r="KC8" s="1876"/>
      <c r="KD8" s="1876"/>
      <c r="KE8" s="1876"/>
      <c r="KF8" s="1876"/>
      <c r="KG8" s="1876"/>
      <c r="KH8" s="1876"/>
      <c r="KI8" s="1876"/>
      <c r="KJ8" s="1876"/>
      <c r="KK8" s="1876"/>
      <c r="KL8" s="1876"/>
      <c r="KM8" s="1876"/>
      <c r="KN8" s="1876"/>
      <c r="KO8" s="1876"/>
      <c r="KP8" s="1876"/>
      <c r="KQ8" s="1876"/>
      <c r="KR8" s="1876"/>
      <c r="KS8" s="1876"/>
      <c r="KT8" s="1876"/>
      <c r="KU8" s="1876"/>
      <c r="KV8" s="1876"/>
      <c r="KW8" s="1876"/>
      <c r="KX8" s="1876"/>
      <c r="KY8" s="1876"/>
      <c r="KZ8" s="1876"/>
      <c r="LA8" s="1876"/>
      <c r="LB8" s="1876"/>
      <c r="LC8" s="1876"/>
      <c r="LD8" s="1876"/>
      <c r="LE8" s="1876"/>
      <c r="LF8" s="1876"/>
      <c r="LG8" s="1876"/>
      <c r="LH8" s="1876"/>
      <c r="LI8" s="1876"/>
      <c r="LJ8" s="1876"/>
      <c r="LK8" s="1876"/>
      <c r="LL8" s="1876"/>
      <c r="LM8" s="1876"/>
      <c r="LN8" s="1876"/>
      <c r="LO8" s="1876"/>
      <c r="LP8" s="1876"/>
      <c r="LQ8" s="1876"/>
      <c r="LR8" s="1876"/>
      <c r="LS8" s="1876"/>
      <c r="LT8" s="1876"/>
      <c r="LU8" s="1876"/>
      <c r="LV8" s="1876"/>
      <c r="LW8" s="1876"/>
      <c r="LX8" s="1876"/>
      <c r="LY8" s="1876"/>
      <c r="LZ8" s="1876"/>
      <c r="MA8" s="1876"/>
      <c r="MB8" s="1876"/>
      <c r="MC8" s="1876"/>
      <c r="MD8" s="1876"/>
      <c r="ME8" s="1876"/>
      <c r="MF8" s="1876"/>
      <c r="MG8" s="1876"/>
      <c r="MH8" s="1876"/>
      <c r="MI8" s="1876"/>
      <c r="MJ8" s="1876"/>
      <c r="MK8" s="1876"/>
      <c r="ML8" s="1876"/>
      <c r="MM8" s="1876"/>
      <c r="MN8" s="1876"/>
      <c r="MO8" s="1876"/>
      <c r="MP8" s="1876"/>
      <c r="MQ8" s="1876"/>
      <c r="MR8" s="1876"/>
      <c r="MS8" s="1876"/>
      <c r="MT8" s="1876"/>
      <c r="MU8" s="1876"/>
      <c r="MV8" s="1876"/>
      <c r="MW8" s="1876"/>
      <c r="MX8" s="1876"/>
      <c r="MY8" s="1876"/>
      <c r="MZ8" s="1876"/>
      <c r="NA8" s="1876"/>
      <c r="NB8" s="1876"/>
      <c r="NC8" s="1876"/>
      <c r="ND8" s="1876"/>
      <c r="NE8" s="1876"/>
      <c r="NF8" s="1876"/>
      <c r="NG8" s="1876"/>
      <c r="NH8" s="1876"/>
      <c r="NI8" s="1876"/>
      <c r="NJ8" s="1876"/>
      <c r="NK8" s="1876"/>
      <c r="NL8" s="1876"/>
      <c r="NM8" s="1876"/>
      <c r="NN8" s="1876"/>
      <c r="NO8" s="1876"/>
      <c r="NP8" s="1876"/>
      <c r="NQ8" s="1876"/>
      <c r="NR8" s="1876"/>
      <c r="NS8" s="1876"/>
      <c r="NT8" s="1876"/>
      <c r="NU8" s="1876"/>
      <c r="NV8" s="1876"/>
      <c r="NW8" s="1876"/>
      <c r="NX8" s="1876"/>
      <c r="NY8" s="1876"/>
      <c r="NZ8" s="1876"/>
      <c r="OA8" s="1876"/>
      <c r="OB8" s="1876"/>
      <c r="OC8" s="1876"/>
      <c r="OD8" s="1876"/>
      <c r="OE8" s="1876"/>
      <c r="OF8" s="1876"/>
      <c r="OG8" s="1876"/>
      <c r="OH8" s="1876"/>
      <c r="OI8" s="1876"/>
      <c r="OJ8" s="1876"/>
      <c r="OK8" s="1876"/>
      <c r="OL8" s="1876"/>
      <c r="OM8" s="1876"/>
      <c r="ON8" s="1876"/>
      <c r="OO8" s="1876"/>
      <c r="OP8" s="1876"/>
      <c r="OQ8" s="1876"/>
      <c r="OR8" s="1876"/>
      <c r="OS8" s="1876"/>
      <c r="OT8" s="1876"/>
      <c r="OU8" s="1876"/>
      <c r="OV8" s="1876"/>
      <c r="OW8" s="1876"/>
      <c r="OX8" s="1876"/>
      <c r="OY8" s="1876"/>
      <c r="OZ8" s="1876"/>
      <c r="PA8" s="1876"/>
      <c r="PB8" s="1876"/>
      <c r="PC8" s="1876"/>
      <c r="PD8" s="1876"/>
      <c r="PE8" s="1876"/>
      <c r="PF8" s="1876"/>
      <c r="PG8" s="1876"/>
      <c r="PH8" s="1876"/>
      <c r="PI8" s="1876"/>
      <c r="PJ8" s="1876"/>
      <c r="PK8" s="1876"/>
      <c r="PL8" s="1876"/>
      <c r="PM8" s="1876"/>
      <c r="PN8" s="1876"/>
      <c r="PO8" s="1876"/>
      <c r="PP8" s="1876"/>
      <c r="PQ8" s="1876"/>
      <c r="PR8" s="1876"/>
      <c r="PS8" s="1876"/>
      <c r="PT8" s="1876"/>
      <c r="PU8" s="1876"/>
      <c r="PV8" s="1876"/>
      <c r="PW8" s="1876"/>
      <c r="PX8" s="1876"/>
      <c r="PY8" s="1876"/>
      <c r="PZ8" s="1876"/>
      <c r="QA8" s="1876"/>
      <c r="QB8" s="1876"/>
      <c r="QC8" s="1876"/>
      <c r="QD8" s="1876"/>
      <c r="QE8" s="1876"/>
      <c r="QF8" s="1876"/>
      <c r="QG8" s="1876"/>
      <c r="QH8" s="1876"/>
      <c r="QI8" s="1876"/>
      <c r="QJ8" s="1876"/>
      <c r="QK8" s="1876"/>
      <c r="QL8" s="1876"/>
      <c r="QM8" s="1876"/>
      <c r="QN8" s="1876"/>
      <c r="QO8" s="1876"/>
      <c r="QP8" s="1876"/>
      <c r="QQ8" s="1876"/>
      <c r="QR8" s="1876"/>
      <c r="QS8" s="1876"/>
      <c r="QT8" s="1876"/>
      <c r="QU8" s="1876"/>
      <c r="QV8" s="1876"/>
      <c r="QW8" s="1876"/>
      <c r="QX8" s="1876"/>
      <c r="QY8" s="1876"/>
      <c r="QZ8" s="1876"/>
      <c r="RA8" s="1876"/>
      <c r="RB8" s="1876"/>
      <c r="RC8" s="1876"/>
      <c r="RD8" s="1876"/>
      <c r="RE8" s="1876"/>
      <c r="RF8" s="1876"/>
      <c r="RG8" s="1876"/>
      <c r="RH8" s="1876"/>
      <c r="RI8" s="1876"/>
      <c r="RJ8" s="1876"/>
      <c r="RK8" s="1876"/>
      <c r="RL8" s="1876"/>
      <c r="RM8" s="1876"/>
      <c r="RN8" s="1876"/>
      <c r="RO8" s="1876"/>
      <c r="RP8" s="1876"/>
      <c r="RQ8" s="1876"/>
      <c r="RR8" s="1876"/>
      <c r="RS8" s="1876"/>
      <c r="RT8" s="1876"/>
      <c r="RU8" s="1876"/>
      <c r="RV8" s="1876"/>
      <c r="RW8" s="1876"/>
      <c r="RX8" s="1876"/>
      <c r="RY8" s="1876"/>
      <c r="RZ8" s="1876"/>
      <c r="SA8" s="1876"/>
      <c r="SB8" s="1876"/>
      <c r="SC8" s="1876"/>
      <c r="SD8" s="1876"/>
      <c r="SE8" s="1876"/>
      <c r="SF8" s="1876"/>
      <c r="SG8" s="1876"/>
      <c r="SH8" s="1876"/>
      <c r="SI8" s="1876"/>
      <c r="SJ8" s="1876"/>
      <c r="SK8" s="1876"/>
      <c r="SL8" s="1876"/>
      <c r="SM8" s="1876"/>
      <c r="SN8" s="1876"/>
      <c r="SO8" s="1876"/>
      <c r="SP8" s="1876"/>
      <c r="SQ8" s="1876"/>
      <c r="SR8" s="1876"/>
      <c r="SS8" s="1876"/>
      <c r="ST8" s="1876"/>
      <c r="SU8" s="1876"/>
      <c r="SV8" s="1876"/>
      <c r="SW8" s="1876"/>
      <c r="SX8" s="1876"/>
      <c r="SY8" s="1876"/>
      <c r="SZ8" s="1876"/>
      <c r="TA8" s="1876"/>
      <c r="TB8" s="1876"/>
      <c r="TC8" s="1876"/>
      <c r="TD8" s="1876"/>
      <c r="TE8" s="1876"/>
      <c r="TF8" s="1876"/>
      <c r="TG8" s="1876"/>
      <c r="TH8" s="1876"/>
      <c r="TI8" s="1876"/>
      <c r="TJ8" s="1876"/>
      <c r="TK8" s="1876"/>
      <c r="TL8" s="1876"/>
      <c r="TM8" s="1876"/>
      <c r="TN8" s="1876"/>
      <c r="TO8" s="1876"/>
      <c r="TP8" s="1876"/>
      <c r="TQ8" s="1876"/>
      <c r="TR8" s="1876"/>
      <c r="TS8" s="1876"/>
      <c r="TT8" s="1876"/>
      <c r="TU8" s="1876"/>
      <c r="TV8" s="1876"/>
      <c r="TW8" s="1876"/>
      <c r="TX8" s="1876"/>
      <c r="TY8" s="1876"/>
      <c r="TZ8" s="1876"/>
      <c r="UA8" s="1876"/>
      <c r="UB8" s="1876"/>
      <c r="UC8" s="1876"/>
      <c r="UD8" s="1876"/>
      <c r="UE8" s="1876"/>
      <c r="UF8" s="1876"/>
      <c r="UG8" s="1876"/>
      <c r="UH8" s="1876"/>
      <c r="UI8" s="1876"/>
      <c r="UJ8" s="1876"/>
      <c r="UK8" s="1876"/>
      <c r="UL8" s="1876"/>
      <c r="UM8" s="1876"/>
      <c r="UN8" s="1876"/>
      <c r="UO8" s="1876"/>
      <c r="UP8" s="1876"/>
      <c r="UQ8" s="1876"/>
      <c r="UR8" s="1876"/>
      <c r="US8" s="1876"/>
      <c r="UT8" s="1876"/>
      <c r="UU8" s="1876"/>
      <c r="UV8" s="1876"/>
      <c r="UW8" s="1876"/>
      <c r="UX8" s="1876"/>
      <c r="UY8" s="1876"/>
      <c r="UZ8" s="1876"/>
      <c r="VA8" s="1876"/>
      <c r="VB8" s="1876"/>
      <c r="VC8" s="1876"/>
      <c r="VD8" s="1876"/>
      <c r="VE8" s="1876"/>
      <c r="VF8" s="1876"/>
      <c r="VG8" s="1876"/>
      <c r="VH8" s="1876"/>
      <c r="VI8" s="1876"/>
      <c r="VJ8" s="1876"/>
      <c r="VK8" s="1876"/>
      <c r="VL8" s="1876"/>
      <c r="VM8" s="1876"/>
      <c r="VN8" s="1876"/>
      <c r="VO8" s="1876"/>
      <c r="VP8" s="1876"/>
      <c r="VQ8" s="1876"/>
      <c r="VR8" s="1876"/>
      <c r="VS8" s="1876"/>
      <c r="VT8" s="1876"/>
      <c r="VU8" s="1876"/>
      <c r="VV8" s="1876"/>
      <c r="VW8" s="1876"/>
      <c r="VX8" s="1876"/>
      <c r="VY8" s="1876"/>
      <c r="VZ8" s="1876"/>
      <c r="WA8" s="1876"/>
      <c r="WB8" s="1876"/>
      <c r="WC8" s="1876"/>
      <c r="WD8" s="1876"/>
      <c r="WE8" s="1876"/>
      <c r="WF8" s="1876"/>
      <c r="WG8" s="1876"/>
      <c r="WH8" s="1876"/>
      <c r="WI8" s="1876"/>
      <c r="WJ8" s="1876"/>
      <c r="WK8" s="1876"/>
      <c r="WL8" s="1876"/>
      <c r="WM8" s="1876"/>
      <c r="WN8" s="1876"/>
      <c r="WO8" s="1876"/>
      <c r="WP8" s="1876"/>
      <c r="WQ8" s="1876"/>
      <c r="WR8" s="1876"/>
      <c r="WS8" s="1876"/>
      <c r="WT8" s="1876"/>
      <c r="WU8" s="1876"/>
      <c r="WV8" s="1876"/>
      <c r="WW8" s="1876"/>
      <c r="WX8" s="1876"/>
      <c r="WY8" s="1876"/>
      <c r="WZ8" s="1876"/>
      <c r="XA8" s="1876"/>
      <c r="XB8" s="1876"/>
      <c r="XC8" s="1876"/>
      <c r="XD8" s="1876"/>
      <c r="XE8" s="1876"/>
      <c r="XF8" s="1876"/>
      <c r="XG8" s="1876"/>
      <c r="XH8" s="1876"/>
      <c r="XI8" s="1876"/>
      <c r="XJ8" s="1876"/>
      <c r="XK8" s="1876"/>
      <c r="XL8" s="1876"/>
      <c r="XM8" s="1876"/>
      <c r="XN8" s="1876"/>
      <c r="XO8" s="1876"/>
      <c r="XP8" s="1876"/>
      <c r="XQ8" s="1876"/>
      <c r="XR8" s="1876"/>
      <c r="XS8" s="1876"/>
      <c r="XT8" s="1876"/>
      <c r="XU8" s="1876"/>
      <c r="XV8" s="1876"/>
      <c r="XW8" s="1876"/>
      <c r="XX8" s="1876"/>
      <c r="XY8" s="1876"/>
      <c r="XZ8" s="1876"/>
      <c r="YA8" s="1876"/>
      <c r="YB8" s="1876"/>
      <c r="YC8" s="1876"/>
      <c r="YD8" s="1876"/>
      <c r="YE8" s="1876"/>
      <c r="YF8" s="1876"/>
      <c r="YG8" s="1876"/>
      <c r="YH8" s="1876"/>
      <c r="YI8" s="1876"/>
      <c r="YJ8" s="1876"/>
      <c r="YK8" s="1876"/>
      <c r="YL8" s="1876"/>
      <c r="YM8" s="1876"/>
      <c r="YN8" s="1876"/>
      <c r="YO8" s="1876"/>
      <c r="YP8" s="1876"/>
      <c r="YQ8" s="1876"/>
      <c r="YR8" s="1876"/>
      <c r="YS8" s="1876"/>
      <c r="YT8" s="1876"/>
      <c r="YU8" s="1876"/>
      <c r="YV8" s="1876"/>
      <c r="YW8" s="1876"/>
      <c r="YX8" s="1876"/>
      <c r="YY8" s="1876"/>
      <c r="YZ8" s="1876"/>
      <c r="ZA8" s="1876"/>
      <c r="ZB8" s="1876"/>
      <c r="ZC8" s="1876"/>
      <c r="ZD8" s="1876"/>
      <c r="ZE8" s="1876"/>
      <c r="ZF8" s="1876"/>
      <c r="ZG8" s="1876"/>
      <c r="ZH8" s="1876"/>
      <c r="ZI8" s="1876"/>
      <c r="ZJ8" s="1876"/>
      <c r="ZK8" s="1876"/>
      <c r="ZL8" s="1876"/>
      <c r="ZM8" s="1876"/>
      <c r="ZN8" s="1876"/>
      <c r="ZO8" s="1876"/>
      <c r="ZP8" s="1876"/>
      <c r="ZQ8" s="1876"/>
      <c r="ZR8" s="1876"/>
      <c r="ZS8" s="1876"/>
      <c r="ZT8" s="1876"/>
      <c r="ZU8" s="1876"/>
      <c r="ZV8" s="1876"/>
      <c r="ZW8" s="1876"/>
      <c r="ZX8" s="1876"/>
      <c r="ZY8" s="1876"/>
      <c r="ZZ8" s="1876"/>
      <c r="AAA8" s="1876"/>
      <c r="AAB8" s="1876"/>
      <c r="AAC8" s="1876"/>
      <c r="AAD8" s="1876"/>
      <c r="AAE8" s="1876"/>
      <c r="AAF8" s="1876"/>
      <c r="AAG8" s="1876"/>
      <c r="AAH8" s="1876"/>
      <c r="AAI8" s="1876"/>
      <c r="AAJ8" s="1876"/>
      <c r="AAK8" s="1876"/>
      <c r="AAL8" s="1876"/>
      <c r="AAM8" s="1876"/>
      <c r="AAN8" s="1876"/>
      <c r="AAO8" s="1876"/>
      <c r="AAP8" s="1876"/>
      <c r="AAQ8" s="1876"/>
      <c r="AAR8" s="1876"/>
      <c r="AAS8" s="1876"/>
      <c r="AAT8" s="1876"/>
      <c r="AAU8" s="1876"/>
      <c r="AAV8" s="1876"/>
      <c r="AAW8" s="1876"/>
      <c r="AAX8" s="1876"/>
      <c r="AAY8" s="1876"/>
      <c r="AAZ8" s="1876"/>
      <c r="ABA8" s="1876"/>
      <c r="ABB8" s="1876"/>
      <c r="ABC8" s="1876"/>
      <c r="ABD8" s="1876"/>
      <c r="ABE8" s="1876"/>
      <c r="ABF8" s="1876"/>
      <c r="ABG8" s="1876"/>
      <c r="ABH8" s="1876"/>
      <c r="ABI8" s="1876"/>
      <c r="ABJ8" s="1876"/>
      <c r="ABK8" s="1876"/>
      <c r="ABL8" s="1876"/>
      <c r="ABM8" s="1876"/>
      <c r="ABN8" s="1876"/>
      <c r="ABO8" s="1876"/>
      <c r="ABP8" s="1876"/>
      <c r="ABQ8" s="1876"/>
      <c r="ABR8" s="1876"/>
      <c r="ABS8" s="1876"/>
      <c r="ABT8" s="1876"/>
      <c r="ABU8" s="1876"/>
      <c r="ABV8" s="1876"/>
      <c r="ABW8" s="1876"/>
      <c r="ABX8" s="1876"/>
      <c r="ABY8" s="1876"/>
      <c r="ABZ8" s="1876"/>
      <c r="ACA8" s="1876"/>
      <c r="ACB8" s="1876"/>
      <c r="ACC8" s="1876"/>
      <c r="ACD8" s="1876"/>
      <c r="ACE8" s="1876"/>
      <c r="ACF8" s="1876"/>
      <c r="ACG8" s="1876"/>
      <c r="ACH8" s="1876"/>
      <c r="ACI8" s="1876"/>
      <c r="ACJ8" s="1876"/>
      <c r="ACK8" s="1876"/>
      <c r="ACL8" s="1876"/>
      <c r="ACM8" s="1876"/>
      <c r="ACN8" s="1876"/>
      <c r="ACO8" s="1876"/>
      <c r="ACP8" s="1876"/>
      <c r="ACQ8" s="1876"/>
      <c r="ACR8" s="1876"/>
      <c r="ACS8" s="1876"/>
      <c r="ACT8" s="1876"/>
      <c r="ACU8" s="1876"/>
      <c r="ACV8" s="1876"/>
      <c r="ACW8" s="1876"/>
      <c r="ACX8" s="1876"/>
      <c r="ACY8" s="1876"/>
      <c r="ACZ8" s="1876"/>
      <c r="ADA8" s="1876"/>
      <c r="ADB8" s="1876"/>
      <c r="ADC8" s="1876"/>
      <c r="ADD8" s="1876"/>
      <c r="ADE8" s="1876"/>
      <c r="ADF8" s="1876"/>
      <c r="ADG8" s="1876"/>
      <c r="ADH8" s="1876"/>
      <c r="ADI8" s="1876"/>
      <c r="ADJ8" s="1876"/>
      <c r="ADK8" s="1876"/>
      <c r="ADL8" s="1876"/>
      <c r="ADM8" s="1876"/>
      <c r="ADN8" s="1876"/>
      <c r="ADO8" s="1876"/>
      <c r="ADP8" s="1876"/>
      <c r="ADQ8" s="1876"/>
      <c r="ADR8" s="1876"/>
      <c r="ADS8" s="1876"/>
      <c r="ADT8" s="1876"/>
      <c r="ADU8" s="1876"/>
      <c r="ADV8" s="1876"/>
      <c r="ADW8" s="1876"/>
      <c r="ADX8" s="1876"/>
      <c r="ADY8" s="1876"/>
      <c r="ADZ8" s="1876"/>
      <c r="AEA8" s="1876"/>
      <c r="AEB8" s="1876"/>
      <c r="AEC8" s="1876"/>
      <c r="AED8" s="1876"/>
      <c r="AEE8" s="1876"/>
      <c r="AEF8" s="1876"/>
      <c r="AEG8" s="1876"/>
      <c r="AEH8" s="1876"/>
      <c r="AEI8" s="1876"/>
      <c r="AEJ8" s="1876"/>
      <c r="AEK8" s="1876"/>
      <c r="AEL8" s="1876"/>
      <c r="AEM8" s="1876"/>
      <c r="AEN8" s="1876"/>
      <c r="AEO8" s="1876"/>
      <c r="AEP8" s="1876"/>
      <c r="AEQ8" s="1876"/>
      <c r="AER8" s="1876"/>
      <c r="AES8" s="1876"/>
      <c r="AET8" s="1876"/>
      <c r="AEU8" s="1876"/>
      <c r="AEV8" s="1876"/>
      <c r="AEW8" s="1876"/>
      <c r="AEX8" s="1876"/>
      <c r="AEY8" s="1876"/>
      <c r="AEZ8" s="1876"/>
      <c r="AFA8" s="1876"/>
      <c r="AFB8" s="1876"/>
      <c r="AFC8" s="1876"/>
      <c r="AFD8" s="1876"/>
      <c r="AFE8" s="1876"/>
      <c r="AFF8" s="1876"/>
      <c r="AFG8" s="1876"/>
      <c r="AFH8" s="1876"/>
      <c r="AFI8" s="1876"/>
      <c r="AFJ8" s="1876"/>
      <c r="AFK8" s="1876"/>
      <c r="AFL8" s="1876"/>
      <c r="AFM8" s="1876"/>
      <c r="AFN8" s="1876"/>
      <c r="AFO8" s="1876"/>
      <c r="AFP8" s="1876"/>
      <c r="AFQ8" s="1876"/>
      <c r="AFR8" s="1876"/>
      <c r="AFS8" s="1876"/>
      <c r="AFT8" s="1876"/>
      <c r="AFU8" s="1876"/>
      <c r="AFV8" s="1876"/>
      <c r="AFW8" s="1876"/>
      <c r="AFX8" s="1876"/>
      <c r="AFY8" s="1876"/>
      <c r="AFZ8" s="1876"/>
      <c r="AGA8" s="1876"/>
      <c r="AGB8" s="1876"/>
      <c r="AGC8" s="1876"/>
      <c r="AGD8" s="1876"/>
      <c r="AGE8" s="1876"/>
      <c r="AGF8" s="1876"/>
      <c r="AGG8" s="1876"/>
      <c r="AGH8" s="1876"/>
      <c r="AGI8" s="1876"/>
      <c r="AGJ8" s="1876"/>
      <c r="AGK8" s="1876"/>
      <c r="AGL8" s="1876"/>
      <c r="AGM8" s="1876"/>
      <c r="AGN8" s="1876"/>
      <c r="AGO8" s="1876"/>
      <c r="AGP8" s="1876"/>
      <c r="AGQ8" s="1876"/>
      <c r="AGR8" s="1876"/>
      <c r="AGS8" s="1876"/>
      <c r="AGT8" s="1876"/>
      <c r="AGU8" s="1876"/>
      <c r="AGV8" s="1876"/>
      <c r="AGW8" s="1876"/>
      <c r="AGX8" s="1876"/>
      <c r="AGY8" s="1876"/>
      <c r="AGZ8" s="1876"/>
      <c r="AHA8" s="1876"/>
      <c r="AHB8" s="1876"/>
      <c r="AHC8" s="1876"/>
      <c r="AHD8" s="1876"/>
      <c r="AHE8" s="1876"/>
      <c r="AHF8" s="1876"/>
      <c r="AHG8" s="1876"/>
      <c r="AHH8" s="1876"/>
      <c r="AHI8" s="1876"/>
      <c r="AHJ8" s="1876"/>
      <c r="AHK8" s="1876"/>
      <c r="AHL8" s="1876"/>
      <c r="AHM8" s="1876"/>
      <c r="AHN8" s="1876"/>
      <c r="AHO8" s="1876"/>
      <c r="AHP8" s="1876"/>
      <c r="AHQ8" s="1876"/>
      <c r="AHR8" s="1876"/>
      <c r="AHS8" s="1876"/>
      <c r="AHT8" s="1876"/>
      <c r="AHU8" s="1876"/>
      <c r="AHV8" s="1876"/>
      <c r="AHW8" s="1876"/>
      <c r="AHX8" s="1876"/>
      <c r="AHY8" s="1876"/>
      <c r="AHZ8" s="1876"/>
      <c r="AIA8" s="1876"/>
      <c r="AIB8" s="1876"/>
      <c r="AIC8" s="1876"/>
      <c r="AID8" s="1876"/>
      <c r="AIE8" s="1876"/>
      <c r="AIF8" s="1876"/>
      <c r="AIG8" s="1876"/>
      <c r="AIH8" s="1876"/>
      <c r="AII8" s="1876"/>
      <c r="AIJ8" s="1876"/>
      <c r="AIK8" s="1876"/>
      <c r="AIL8" s="1876"/>
      <c r="AIM8" s="1876"/>
      <c r="AIN8" s="1876"/>
      <c r="AIO8" s="1876"/>
      <c r="AIP8" s="1876"/>
      <c r="AIQ8" s="1876"/>
      <c r="AIR8" s="1876"/>
      <c r="AIS8" s="1876"/>
      <c r="AIT8" s="1876"/>
      <c r="AIU8" s="1876"/>
      <c r="AIV8" s="1876"/>
      <c r="AIW8" s="1876"/>
      <c r="AIX8" s="1876"/>
      <c r="AIY8" s="1876"/>
      <c r="AIZ8" s="1876"/>
      <c r="AJA8" s="1876"/>
      <c r="AJB8" s="1876"/>
      <c r="AJC8" s="1876"/>
      <c r="AJD8" s="1876"/>
      <c r="AJE8" s="1876"/>
      <c r="AJF8" s="1876"/>
      <c r="AJG8" s="1876"/>
      <c r="AJH8" s="1876"/>
      <c r="AJI8" s="1876"/>
      <c r="AJJ8" s="1876"/>
      <c r="AJK8" s="1876"/>
      <c r="AJL8" s="1876"/>
      <c r="AJM8" s="1876"/>
      <c r="AJN8" s="1876"/>
      <c r="AJO8" s="1876"/>
      <c r="AJP8" s="1876"/>
      <c r="AJQ8" s="1876"/>
      <c r="AJR8" s="1876"/>
      <c r="AJS8" s="1876"/>
      <c r="AJT8" s="1876"/>
      <c r="AJU8" s="1876"/>
      <c r="AJV8" s="1876"/>
      <c r="AJW8" s="1876"/>
      <c r="AJX8" s="1876"/>
      <c r="AJY8" s="1876"/>
      <c r="AJZ8" s="1876"/>
      <c r="AKA8" s="1876"/>
      <c r="AKB8" s="1876"/>
      <c r="AKC8" s="1876"/>
      <c r="AKD8" s="1876"/>
      <c r="AKE8" s="1876"/>
      <c r="AKF8" s="1876"/>
      <c r="AKG8" s="1876"/>
      <c r="AKH8" s="1876"/>
      <c r="AKI8" s="1876"/>
      <c r="AKJ8" s="1876"/>
      <c r="AKK8" s="1876"/>
      <c r="AKL8" s="1876"/>
      <c r="AKM8" s="1876"/>
      <c r="AKN8" s="1876"/>
      <c r="AKO8" s="1876"/>
      <c r="AKP8" s="1876"/>
      <c r="AKQ8" s="1876"/>
      <c r="AKR8" s="1876"/>
      <c r="AKS8" s="1876"/>
      <c r="AKT8" s="1876"/>
      <c r="AKU8" s="1876"/>
      <c r="AKV8" s="1876"/>
      <c r="AKW8" s="1876"/>
      <c r="AKX8" s="1876"/>
      <c r="AKY8" s="1876"/>
      <c r="AKZ8" s="1876"/>
      <c r="ALA8" s="1876"/>
      <c r="ALB8" s="1876"/>
      <c r="ALC8" s="1876"/>
      <c r="ALD8" s="1876"/>
      <c r="ALE8" s="1876"/>
      <c r="ALF8" s="1876"/>
      <c r="ALG8" s="1876"/>
      <c r="ALH8" s="1876"/>
      <c r="ALI8" s="1876"/>
      <c r="ALJ8" s="1876"/>
      <c r="ALK8" s="1876"/>
      <c r="ALL8" s="1876"/>
      <c r="ALM8" s="1876"/>
      <c r="ALN8" s="1876"/>
      <c r="ALO8" s="1876"/>
      <c r="ALP8" s="1876"/>
      <c r="ALQ8" s="1876"/>
      <c r="ALR8" s="1876"/>
      <c r="ALS8" s="1876"/>
      <c r="ALT8" s="1876"/>
      <c r="ALU8" s="1876"/>
      <c r="ALV8" s="1876"/>
      <c r="ALW8" s="1876"/>
      <c r="ALX8" s="1876"/>
      <c r="ALY8" s="1876"/>
      <c r="ALZ8" s="1876"/>
      <c r="AMA8" s="1876"/>
      <c r="AMB8" s="1876"/>
      <c r="AMC8" s="1876"/>
      <c r="AMD8" s="1876"/>
      <c r="AME8" s="1876"/>
      <c r="AMF8" s="1876"/>
      <c r="AMG8" s="1876"/>
      <c r="AMH8" s="1876"/>
      <c r="AMI8" s="1876"/>
      <c r="AMJ8" s="1876"/>
      <c r="AMK8" s="1876"/>
      <c r="AML8" s="1876"/>
      <c r="AMM8" s="1876"/>
      <c r="AMN8" s="1876"/>
      <c r="AMO8" s="1876"/>
      <c r="AMP8" s="1876"/>
      <c r="AMQ8" s="1876"/>
      <c r="AMR8" s="1876"/>
      <c r="AMS8" s="1876"/>
      <c r="AMT8" s="1876"/>
      <c r="AMU8" s="1876"/>
      <c r="AMV8" s="1876"/>
      <c r="AMW8" s="1876"/>
      <c r="AMX8" s="1876"/>
      <c r="AMY8" s="1876"/>
      <c r="AMZ8" s="1876"/>
      <c r="ANA8" s="1876"/>
      <c r="ANB8" s="1876"/>
      <c r="ANC8" s="1876"/>
      <c r="AND8" s="1876"/>
      <c r="ANE8" s="1876"/>
      <c r="ANF8" s="1876"/>
      <c r="ANG8" s="1876"/>
      <c r="ANH8" s="1876"/>
      <c r="ANI8" s="1876"/>
      <c r="ANJ8" s="1876"/>
      <c r="ANK8" s="1876"/>
      <c r="ANL8" s="1876"/>
      <c r="ANM8" s="1876"/>
      <c r="ANN8" s="1876"/>
      <c r="ANO8" s="1876"/>
      <c r="ANP8" s="1876"/>
      <c r="ANQ8" s="1876"/>
      <c r="ANR8" s="1876"/>
      <c r="ANS8" s="1876"/>
      <c r="ANT8" s="1876"/>
      <c r="ANU8" s="1876"/>
      <c r="ANV8" s="1876"/>
      <c r="ANW8" s="1876"/>
      <c r="ANX8" s="1876"/>
      <c r="ANY8" s="1876"/>
      <c r="ANZ8" s="1876"/>
      <c r="AOA8" s="1876"/>
      <c r="AOB8" s="1876"/>
      <c r="AOC8" s="1876"/>
      <c r="AOD8" s="1876"/>
      <c r="AOE8" s="1876"/>
      <c r="AOF8" s="1876"/>
      <c r="AOG8" s="1876"/>
      <c r="AOH8" s="1876"/>
      <c r="AOI8" s="1876"/>
      <c r="AOJ8" s="1876"/>
      <c r="AOK8" s="1876"/>
      <c r="AOL8" s="1876"/>
      <c r="AOM8" s="1876"/>
      <c r="AON8" s="1876"/>
      <c r="AOO8" s="1876"/>
      <c r="AOP8" s="1876"/>
      <c r="AOQ8" s="1876"/>
      <c r="AOR8" s="1876"/>
      <c r="AOS8" s="1876"/>
      <c r="AOT8" s="1876"/>
      <c r="AOU8" s="1876"/>
      <c r="AOV8" s="1876"/>
      <c r="AOW8" s="1876"/>
      <c r="AOX8" s="1876"/>
      <c r="AOY8" s="1876"/>
      <c r="AOZ8" s="1876"/>
      <c r="APA8" s="1876"/>
      <c r="APB8" s="1876"/>
      <c r="APC8" s="1876"/>
      <c r="APD8" s="1876"/>
      <c r="APE8" s="1876"/>
      <c r="APF8" s="1876"/>
      <c r="APG8" s="1876"/>
      <c r="APH8" s="1876"/>
      <c r="API8" s="1876"/>
      <c r="APJ8" s="1876"/>
      <c r="APK8" s="1876"/>
      <c r="APL8" s="1876"/>
      <c r="APM8" s="1876"/>
      <c r="APN8" s="1876"/>
      <c r="APO8" s="1876"/>
      <c r="APP8" s="1876"/>
      <c r="APQ8" s="1876"/>
      <c r="APR8" s="1876"/>
      <c r="APS8" s="1876"/>
      <c r="APT8" s="1876"/>
      <c r="APU8" s="1876"/>
      <c r="APV8" s="1876"/>
      <c r="APW8" s="1876"/>
      <c r="APX8" s="1876"/>
      <c r="APY8" s="1876"/>
      <c r="APZ8" s="1876"/>
      <c r="AQA8" s="1876"/>
      <c r="AQB8" s="1876"/>
      <c r="AQC8" s="1876"/>
      <c r="AQD8" s="1876"/>
      <c r="AQE8" s="1876"/>
      <c r="AQF8" s="1876"/>
      <c r="AQG8" s="1876"/>
      <c r="AQH8" s="1876"/>
      <c r="AQI8" s="1876"/>
      <c r="AQJ8" s="1876"/>
      <c r="AQK8" s="1876"/>
      <c r="AQL8" s="1876"/>
      <c r="AQM8" s="1876"/>
      <c r="AQN8" s="1876"/>
      <c r="AQO8" s="1876"/>
      <c r="AQP8" s="1876"/>
      <c r="AQQ8" s="1876"/>
      <c r="AQR8" s="1876"/>
      <c r="AQS8" s="1876"/>
      <c r="AQT8" s="1876"/>
      <c r="AQU8" s="1876"/>
      <c r="AQV8" s="1876"/>
      <c r="AQW8" s="1876"/>
      <c r="AQX8" s="1876"/>
      <c r="AQY8" s="1876"/>
      <c r="AQZ8" s="1876"/>
      <c r="ARA8" s="1876"/>
      <c r="ARB8" s="1876"/>
      <c r="ARC8" s="1876"/>
      <c r="ARD8" s="1876"/>
      <c r="ARE8" s="1876"/>
      <c r="ARF8" s="1876"/>
      <c r="ARG8" s="1876"/>
      <c r="ARH8" s="1876"/>
      <c r="ARI8" s="1876"/>
      <c r="ARJ8" s="1876"/>
      <c r="ARK8" s="1876"/>
      <c r="ARL8" s="1876"/>
      <c r="ARM8" s="1876"/>
      <c r="ARN8" s="1876"/>
      <c r="ARO8" s="1876"/>
      <c r="ARP8" s="1876"/>
      <c r="ARQ8" s="1876"/>
      <c r="ARR8" s="1876"/>
      <c r="ARS8" s="1876"/>
      <c r="ART8" s="1876"/>
      <c r="ARU8" s="1876"/>
      <c r="ARV8" s="1876"/>
      <c r="ARW8" s="1876"/>
      <c r="ARX8" s="1876"/>
      <c r="ARY8" s="1876"/>
      <c r="ARZ8" s="1876"/>
      <c r="ASA8" s="1876"/>
      <c r="ASB8" s="1876"/>
      <c r="ASC8" s="1876"/>
      <c r="ASD8" s="1876"/>
      <c r="ASE8" s="1876"/>
      <c r="ASF8" s="1876"/>
      <c r="ASG8" s="1876"/>
      <c r="ASH8" s="1876"/>
      <c r="ASI8" s="1876"/>
      <c r="ASJ8" s="1876"/>
      <c r="ASK8" s="1876"/>
      <c r="ASL8" s="1876"/>
      <c r="ASM8" s="1876"/>
      <c r="ASN8" s="1876"/>
      <c r="ASO8" s="1876"/>
      <c r="ASP8" s="1876"/>
      <c r="ASQ8" s="1876"/>
      <c r="ASR8" s="1876"/>
      <c r="ASS8" s="1876"/>
      <c r="AST8" s="1876"/>
      <c r="ASU8" s="1876"/>
      <c r="ASV8" s="1876"/>
      <c r="ASW8" s="1876"/>
      <c r="ASX8" s="1876"/>
      <c r="ASY8" s="1876"/>
      <c r="ASZ8" s="1876"/>
      <c r="ATA8" s="1876"/>
      <c r="ATB8" s="1876"/>
      <c r="ATC8" s="1876"/>
      <c r="ATD8" s="1876"/>
      <c r="ATE8" s="1876"/>
      <c r="ATF8" s="1876"/>
      <c r="ATG8" s="1876"/>
      <c r="ATH8" s="1876"/>
      <c r="ATI8" s="1876"/>
      <c r="ATJ8" s="1876"/>
      <c r="ATK8" s="1876"/>
      <c r="ATL8" s="1876"/>
      <c r="ATM8" s="1876"/>
      <c r="ATN8" s="1876"/>
      <c r="ATO8" s="1876"/>
      <c r="ATP8" s="1876"/>
      <c r="ATQ8" s="1876"/>
      <c r="ATR8" s="1876"/>
      <c r="ATS8" s="1876"/>
      <c r="ATT8" s="1876"/>
      <c r="ATU8" s="1876"/>
      <c r="ATV8" s="1876"/>
      <c r="ATW8" s="1876"/>
      <c r="ATX8" s="1876"/>
      <c r="ATY8" s="1876"/>
      <c r="ATZ8" s="1876"/>
      <c r="AUA8" s="1876"/>
      <c r="AUB8" s="1876"/>
      <c r="AUC8" s="1876"/>
      <c r="AUD8" s="1876"/>
      <c r="AUE8" s="1876"/>
      <c r="AUF8" s="1876"/>
      <c r="AUG8" s="1876"/>
      <c r="AUH8" s="1876"/>
      <c r="AUI8" s="1876"/>
      <c r="AUJ8" s="1876"/>
      <c r="AUK8" s="1876"/>
      <c r="AUL8" s="1876"/>
      <c r="AUM8" s="1876"/>
      <c r="AUN8" s="1876"/>
      <c r="AUO8" s="1876"/>
      <c r="AUP8" s="1876"/>
      <c r="AUQ8" s="1876"/>
      <c r="AUR8" s="1876"/>
      <c r="AUS8" s="1876"/>
      <c r="AUT8" s="1876"/>
      <c r="AUU8" s="1876"/>
      <c r="AUV8" s="1876"/>
      <c r="AUW8" s="1876"/>
      <c r="AUX8" s="1876"/>
      <c r="AUY8" s="1876"/>
      <c r="AUZ8" s="1876"/>
      <c r="AVA8" s="1876"/>
      <c r="AVB8" s="1876"/>
      <c r="AVC8" s="1876"/>
      <c r="AVD8" s="1876"/>
      <c r="AVE8" s="1876"/>
      <c r="AVF8" s="1876"/>
      <c r="AVG8" s="1876"/>
      <c r="AVH8" s="1876"/>
      <c r="AVI8" s="1876"/>
      <c r="AVJ8" s="1876"/>
      <c r="AVK8" s="1876"/>
      <c r="AVL8" s="1876"/>
      <c r="AVM8" s="1876"/>
      <c r="AVN8" s="1876"/>
      <c r="AVO8" s="1876"/>
      <c r="AVP8" s="1876"/>
      <c r="AVQ8" s="1876"/>
      <c r="AVR8" s="1876"/>
      <c r="AVS8" s="1876"/>
      <c r="AVT8" s="1876"/>
      <c r="AVU8" s="1876"/>
      <c r="AVV8" s="1876"/>
      <c r="AVW8" s="1876"/>
      <c r="AVX8" s="1876"/>
      <c r="AVY8" s="1876"/>
      <c r="AVZ8" s="1876"/>
      <c r="AWA8" s="1876"/>
      <c r="AWB8" s="1876"/>
      <c r="AWC8" s="1876"/>
      <c r="AWD8" s="1876"/>
      <c r="AWE8" s="1876"/>
      <c r="AWF8" s="1876"/>
      <c r="AWG8" s="1876"/>
      <c r="AWH8" s="1876"/>
      <c r="AWI8" s="1876"/>
      <c r="AWJ8" s="1876"/>
      <c r="AWK8" s="1876"/>
      <c r="AWL8" s="1876"/>
      <c r="AWM8" s="1876"/>
      <c r="AWN8" s="1876"/>
      <c r="AWO8" s="1876"/>
      <c r="AWP8" s="1876"/>
      <c r="AWQ8" s="1876"/>
      <c r="AWR8" s="1876"/>
      <c r="AWS8" s="1876"/>
      <c r="AWT8" s="1876"/>
      <c r="AWU8" s="1876"/>
      <c r="AWV8" s="1876"/>
      <c r="AWW8" s="1876"/>
      <c r="AWX8" s="1876"/>
      <c r="AWY8" s="1876"/>
      <c r="AWZ8" s="1876"/>
      <c r="AXA8" s="1876"/>
      <c r="AXB8" s="1876"/>
      <c r="AXC8" s="1876"/>
      <c r="AXD8" s="1876"/>
      <c r="AXE8" s="1876"/>
      <c r="AXF8" s="1876"/>
      <c r="AXG8" s="1876"/>
      <c r="AXH8" s="1876"/>
      <c r="AXI8" s="1876"/>
      <c r="AXJ8" s="1876"/>
      <c r="AXK8" s="1876"/>
      <c r="AXL8" s="1876"/>
      <c r="AXM8" s="1876"/>
      <c r="AXN8" s="1876"/>
      <c r="AXO8" s="1876"/>
      <c r="AXP8" s="1876"/>
      <c r="AXQ8" s="1876"/>
      <c r="AXR8" s="1876"/>
      <c r="AXS8" s="1876"/>
      <c r="AXT8" s="1876"/>
      <c r="AXU8" s="1876"/>
      <c r="AXV8" s="1876"/>
      <c r="AXW8" s="1876"/>
      <c r="AXX8" s="1876"/>
      <c r="AXY8" s="1876"/>
      <c r="AXZ8" s="1876"/>
      <c r="AYA8" s="1876"/>
      <c r="AYB8" s="1876"/>
      <c r="AYC8" s="1876"/>
      <c r="AYD8" s="1876"/>
      <c r="AYE8" s="1876"/>
      <c r="AYF8" s="1876"/>
      <c r="AYG8" s="1876"/>
      <c r="AYH8" s="1876"/>
      <c r="AYI8" s="1876"/>
      <c r="AYJ8" s="1876"/>
      <c r="AYK8" s="1876"/>
      <c r="AYL8" s="1876"/>
      <c r="AYM8" s="1876"/>
      <c r="AYN8" s="1876"/>
      <c r="AYO8" s="1876"/>
      <c r="AYP8" s="1876"/>
      <c r="AYQ8" s="1876"/>
      <c r="AYR8" s="1876"/>
      <c r="AYS8" s="1876"/>
      <c r="AYT8" s="1876"/>
      <c r="AYU8" s="1876"/>
      <c r="AYV8" s="1876"/>
      <c r="AYW8" s="1876"/>
      <c r="AYX8" s="1876"/>
      <c r="AYY8" s="1876"/>
      <c r="AYZ8" s="1876"/>
      <c r="AZA8" s="1876"/>
      <c r="AZB8" s="1876"/>
      <c r="AZC8" s="1876"/>
      <c r="AZD8" s="1876"/>
      <c r="AZE8" s="1876"/>
      <c r="AZF8" s="1876"/>
      <c r="AZG8" s="1876"/>
      <c r="AZH8" s="1876"/>
      <c r="AZI8" s="1876"/>
      <c r="AZJ8" s="1876"/>
      <c r="AZK8" s="1876"/>
      <c r="AZL8" s="1876"/>
      <c r="AZM8" s="1876"/>
      <c r="AZN8" s="1876"/>
      <c r="AZO8" s="1876"/>
      <c r="AZP8" s="1876"/>
      <c r="AZQ8" s="1876"/>
      <c r="AZR8" s="1876"/>
      <c r="AZS8" s="1876"/>
      <c r="AZT8" s="1876"/>
      <c r="AZU8" s="1876"/>
      <c r="AZV8" s="1876"/>
      <c r="AZW8" s="1876"/>
      <c r="AZX8" s="1876"/>
      <c r="AZY8" s="1876"/>
      <c r="AZZ8" s="1876"/>
      <c r="BAA8" s="1876"/>
      <c r="BAB8" s="1876"/>
      <c r="BAC8" s="1876"/>
      <c r="BAD8" s="1876"/>
      <c r="BAE8" s="1876"/>
      <c r="BAF8" s="1876"/>
      <c r="BAG8" s="1876"/>
      <c r="BAH8" s="1876"/>
      <c r="BAI8" s="1876"/>
      <c r="BAJ8" s="1876"/>
      <c r="BAK8" s="1876"/>
      <c r="BAL8" s="1876"/>
      <c r="BAM8" s="1876"/>
      <c r="BAN8" s="1876"/>
      <c r="BAO8" s="1876"/>
      <c r="BAP8" s="1876"/>
      <c r="BAQ8" s="1876"/>
      <c r="BAR8" s="1876"/>
      <c r="BAS8" s="1876"/>
      <c r="BAT8" s="1876"/>
      <c r="BAU8" s="1876"/>
      <c r="BAV8" s="1876"/>
      <c r="BAW8" s="1876"/>
      <c r="BAX8" s="1876"/>
      <c r="BAY8" s="1876"/>
      <c r="BAZ8" s="1876"/>
      <c r="BBA8" s="1876"/>
      <c r="BBB8" s="1876"/>
      <c r="BBC8" s="1876"/>
      <c r="BBD8" s="1876"/>
      <c r="BBE8" s="1876"/>
      <c r="BBF8" s="1876"/>
      <c r="BBG8" s="1876"/>
      <c r="BBH8" s="1876"/>
      <c r="BBI8" s="1876"/>
      <c r="BBJ8" s="1876"/>
      <c r="BBK8" s="1876"/>
      <c r="BBL8" s="1876"/>
      <c r="BBM8" s="1876"/>
      <c r="BBN8" s="1876"/>
      <c r="BBO8" s="1876"/>
      <c r="BBP8" s="1876"/>
      <c r="BBQ8" s="1876"/>
      <c r="BBR8" s="1876"/>
      <c r="BBS8" s="1876"/>
      <c r="BBT8" s="1876"/>
      <c r="BBU8" s="1876"/>
      <c r="BBV8" s="1876"/>
      <c r="BBW8" s="1876"/>
      <c r="BBX8" s="1876"/>
      <c r="BBY8" s="1876"/>
      <c r="BBZ8" s="1876"/>
      <c r="BCA8" s="1876"/>
      <c r="BCB8" s="1876"/>
      <c r="BCC8" s="1876"/>
      <c r="BCD8" s="1876"/>
      <c r="BCE8" s="1876"/>
      <c r="BCF8" s="1876"/>
      <c r="BCG8" s="1876"/>
      <c r="BCH8" s="1876"/>
      <c r="BCI8" s="1876"/>
      <c r="BCJ8" s="1876"/>
      <c r="BCK8" s="1876"/>
      <c r="BCL8" s="1876"/>
      <c r="BCM8" s="1876"/>
      <c r="BCN8" s="1876"/>
      <c r="BCO8" s="1876"/>
      <c r="BCP8" s="1876"/>
      <c r="BCQ8" s="1876"/>
      <c r="BCR8" s="1876"/>
      <c r="BCS8" s="1876"/>
      <c r="BCT8" s="1876"/>
      <c r="BCU8" s="1876"/>
      <c r="BCV8" s="1876"/>
      <c r="BCW8" s="1876"/>
      <c r="BCX8" s="1876"/>
      <c r="BCY8" s="1876"/>
      <c r="BCZ8" s="1876"/>
      <c r="BDA8" s="1876"/>
      <c r="BDB8" s="1876"/>
      <c r="BDC8" s="1876"/>
      <c r="BDD8" s="1876"/>
      <c r="BDE8" s="1876"/>
      <c r="BDF8" s="1876"/>
      <c r="BDG8" s="1876"/>
      <c r="BDH8" s="1876"/>
      <c r="BDI8" s="1876"/>
      <c r="BDJ8" s="1876"/>
      <c r="BDK8" s="1876"/>
      <c r="BDL8" s="1876"/>
      <c r="BDM8" s="1876"/>
      <c r="BDN8" s="1876"/>
      <c r="BDO8" s="1876"/>
      <c r="BDP8" s="1876"/>
      <c r="BDQ8" s="1876"/>
      <c r="BDR8" s="1876"/>
      <c r="BDS8" s="1876"/>
      <c r="BDT8" s="1876"/>
      <c r="BDU8" s="1876"/>
      <c r="BDV8" s="1876"/>
      <c r="BDW8" s="1876"/>
      <c r="BDX8" s="1876"/>
      <c r="BDY8" s="1876"/>
      <c r="BDZ8" s="1876"/>
      <c r="BEA8" s="1876"/>
      <c r="BEB8" s="1876"/>
      <c r="BEC8" s="1876"/>
      <c r="BED8" s="1876"/>
      <c r="BEE8" s="1876"/>
      <c r="BEF8" s="1876"/>
      <c r="BEG8" s="1876"/>
      <c r="BEH8" s="1876"/>
      <c r="BEI8" s="1876"/>
      <c r="BEJ8" s="1876"/>
      <c r="BEK8" s="1876"/>
      <c r="BEL8" s="1876"/>
      <c r="BEM8" s="1876"/>
      <c r="BEN8" s="1876"/>
      <c r="BEO8" s="1876"/>
      <c r="BEP8" s="1876"/>
      <c r="BEQ8" s="1876"/>
      <c r="BER8" s="1876"/>
      <c r="BES8" s="1876"/>
      <c r="BET8" s="1876"/>
      <c r="BEU8" s="1876"/>
      <c r="BEV8" s="1876"/>
      <c r="BEW8" s="1876"/>
      <c r="BEX8" s="1876"/>
      <c r="BEY8" s="1876"/>
      <c r="BEZ8" s="1876"/>
      <c r="BFA8" s="1876"/>
      <c r="BFB8" s="1876"/>
      <c r="BFC8" s="1876"/>
      <c r="BFD8" s="1876"/>
      <c r="BFE8" s="1876"/>
      <c r="BFF8" s="1876"/>
      <c r="BFG8" s="1876"/>
      <c r="BFH8" s="1876"/>
      <c r="BFI8" s="1876"/>
      <c r="BFJ8" s="1876"/>
      <c r="BFK8" s="1876"/>
      <c r="BFL8" s="1876"/>
      <c r="BFM8" s="1876"/>
      <c r="BFN8" s="1876"/>
      <c r="BFO8" s="1876"/>
      <c r="BFP8" s="1876"/>
      <c r="BFQ8" s="1876"/>
      <c r="BFR8" s="1876"/>
      <c r="BFS8" s="1876"/>
      <c r="BFT8" s="1876"/>
      <c r="BFU8" s="1876"/>
      <c r="BFV8" s="1876"/>
      <c r="BFW8" s="1876"/>
      <c r="BFX8" s="1876"/>
      <c r="BFY8" s="1876"/>
      <c r="BFZ8" s="1876"/>
      <c r="BGA8" s="1876"/>
      <c r="BGB8" s="1876"/>
      <c r="BGC8" s="1876"/>
      <c r="BGD8" s="1876"/>
      <c r="BGE8" s="1876"/>
      <c r="BGF8" s="1876"/>
      <c r="BGG8" s="1876"/>
      <c r="BGH8" s="1876"/>
      <c r="BGI8" s="1876"/>
      <c r="BGJ8" s="1876"/>
      <c r="BGK8" s="1876"/>
      <c r="BGL8" s="1876"/>
      <c r="BGM8" s="1876"/>
      <c r="BGN8" s="1876"/>
      <c r="BGO8" s="1876"/>
      <c r="BGP8" s="1876"/>
      <c r="BGQ8" s="1876"/>
      <c r="BGR8" s="1876"/>
      <c r="BGS8" s="1876"/>
      <c r="BGT8" s="1876"/>
      <c r="BGU8" s="1876"/>
      <c r="BGV8" s="1876"/>
      <c r="BGW8" s="1876"/>
      <c r="BGX8" s="1876"/>
      <c r="BGY8" s="1876"/>
      <c r="BGZ8" s="1876"/>
      <c r="BHA8" s="1876"/>
      <c r="BHB8" s="1876"/>
      <c r="BHC8" s="1876"/>
      <c r="BHD8" s="1876"/>
      <c r="BHE8" s="1876"/>
      <c r="BHF8" s="1876"/>
      <c r="BHG8" s="1876"/>
      <c r="BHH8" s="1876"/>
      <c r="BHI8" s="1876"/>
      <c r="BHJ8" s="1876"/>
      <c r="BHK8" s="1876"/>
      <c r="BHL8" s="1876"/>
      <c r="BHM8" s="1876"/>
      <c r="BHN8" s="1876"/>
      <c r="BHO8" s="1876"/>
      <c r="BHP8" s="1876"/>
      <c r="BHQ8" s="1876"/>
      <c r="BHR8" s="1876"/>
      <c r="BHS8" s="1876"/>
      <c r="BHT8" s="1876"/>
      <c r="BHU8" s="1876"/>
      <c r="BHV8" s="1876"/>
      <c r="BHW8" s="1876"/>
      <c r="BHX8" s="1876"/>
      <c r="BHY8" s="1876"/>
      <c r="BHZ8" s="1876"/>
      <c r="BIA8" s="1876"/>
      <c r="BIB8" s="1876"/>
      <c r="BIC8" s="1876"/>
      <c r="BID8" s="1876"/>
      <c r="BIE8" s="1876"/>
      <c r="BIF8" s="1876"/>
      <c r="BIG8" s="1876"/>
      <c r="BIH8" s="1876"/>
      <c r="BII8" s="1876"/>
      <c r="BIJ8" s="1876"/>
      <c r="BIK8" s="1876"/>
      <c r="BIL8" s="1876"/>
      <c r="BIM8" s="1876"/>
      <c r="BIN8" s="1876"/>
      <c r="BIO8" s="1876"/>
      <c r="BIP8" s="1876"/>
      <c r="BIQ8" s="1876"/>
      <c r="BIR8" s="1876"/>
      <c r="BIS8" s="1876"/>
      <c r="BIT8" s="1876"/>
      <c r="BIU8" s="1876"/>
      <c r="BIV8" s="1876"/>
      <c r="BIW8" s="1876"/>
      <c r="BIX8" s="1876"/>
      <c r="BIY8" s="1876"/>
      <c r="BIZ8" s="1876"/>
      <c r="BJA8" s="1876"/>
      <c r="BJB8" s="1876"/>
      <c r="BJC8" s="1876"/>
      <c r="BJD8" s="1876"/>
      <c r="BJE8" s="1876"/>
      <c r="BJF8" s="1876"/>
      <c r="BJG8" s="1876"/>
      <c r="BJH8" s="1876"/>
      <c r="BJI8" s="1876"/>
      <c r="BJJ8" s="1876"/>
      <c r="BJK8" s="1876"/>
      <c r="BJL8" s="1876"/>
      <c r="BJM8" s="1876"/>
      <c r="BJN8" s="1876"/>
      <c r="BJO8" s="1876"/>
      <c r="BJP8" s="1876"/>
      <c r="BJQ8" s="1876"/>
      <c r="BJR8" s="1876"/>
      <c r="BJS8" s="1876"/>
      <c r="BJT8" s="1876"/>
      <c r="BJU8" s="1876"/>
      <c r="BJV8" s="1876"/>
      <c r="BJW8" s="1876"/>
      <c r="BJX8" s="1876"/>
      <c r="BJY8" s="1876"/>
      <c r="BJZ8" s="1876"/>
      <c r="BKA8" s="1876"/>
      <c r="BKB8" s="1876"/>
      <c r="BKC8" s="1876"/>
      <c r="BKD8" s="1876"/>
      <c r="BKE8" s="1876"/>
      <c r="BKF8" s="1876"/>
      <c r="BKG8" s="1876"/>
      <c r="BKH8" s="1876"/>
      <c r="BKI8" s="1876"/>
      <c r="BKJ8" s="1876"/>
      <c r="BKK8" s="1876"/>
      <c r="BKL8" s="1876"/>
      <c r="BKM8" s="1876"/>
      <c r="BKN8" s="1876"/>
      <c r="BKO8" s="1876"/>
      <c r="BKP8" s="1876"/>
      <c r="BKQ8" s="1876"/>
      <c r="BKR8" s="1876"/>
      <c r="BKS8" s="1876"/>
      <c r="BKT8" s="1876"/>
      <c r="BKU8" s="1876"/>
      <c r="BKV8" s="1876"/>
      <c r="BKW8" s="1876"/>
      <c r="BKX8" s="1876"/>
      <c r="BKY8" s="1876"/>
      <c r="BKZ8" s="1876"/>
      <c r="BLA8" s="1876"/>
      <c r="BLB8" s="1876"/>
      <c r="BLC8" s="1876"/>
      <c r="BLD8" s="1876"/>
      <c r="BLE8" s="1876"/>
      <c r="BLF8" s="1876"/>
      <c r="BLG8" s="1876"/>
      <c r="BLH8" s="1876"/>
      <c r="BLI8" s="1876"/>
      <c r="BLJ8" s="1876"/>
      <c r="BLK8" s="1876"/>
      <c r="BLL8" s="1876"/>
      <c r="BLM8" s="1876"/>
      <c r="BLN8" s="1876"/>
      <c r="BLO8" s="1876"/>
      <c r="BLP8" s="1876"/>
      <c r="BLQ8" s="1876"/>
      <c r="BLR8" s="1876"/>
      <c r="BLS8" s="1876"/>
      <c r="BLT8" s="1876"/>
      <c r="BLU8" s="1876"/>
      <c r="BLV8" s="1876"/>
      <c r="BLW8" s="1876"/>
      <c r="BLX8" s="1876"/>
      <c r="BLY8" s="1876"/>
      <c r="BLZ8" s="1876"/>
      <c r="BMA8" s="1876"/>
      <c r="BMB8" s="1876"/>
      <c r="BMC8" s="1876"/>
      <c r="BMD8" s="1876"/>
      <c r="BME8" s="1876"/>
      <c r="BMF8" s="1876"/>
      <c r="BMG8" s="1876"/>
      <c r="BMH8" s="1876"/>
      <c r="BMI8" s="1876"/>
      <c r="BMJ8" s="1876"/>
      <c r="BMK8" s="1876"/>
      <c r="BML8" s="1876"/>
      <c r="BMM8" s="1876"/>
      <c r="BMN8" s="1876"/>
      <c r="BMO8" s="1876"/>
      <c r="BMP8" s="1876"/>
      <c r="BMQ8" s="1876"/>
      <c r="BMR8" s="1876"/>
      <c r="BMS8" s="1876"/>
      <c r="BMT8" s="1876"/>
      <c r="BMU8" s="1876"/>
      <c r="BMV8" s="1876"/>
      <c r="BMW8" s="1876"/>
      <c r="BMX8" s="1876"/>
      <c r="BMY8" s="1876"/>
      <c r="BMZ8" s="1876"/>
      <c r="BNA8" s="1876"/>
      <c r="BNB8" s="1876"/>
      <c r="BNC8" s="1876"/>
      <c r="BND8" s="1876"/>
      <c r="BNE8" s="1876"/>
      <c r="BNF8" s="1876"/>
      <c r="BNG8" s="1876"/>
      <c r="BNH8" s="1876"/>
      <c r="BNI8" s="1876"/>
      <c r="BNJ8" s="1876"/>
      <c r="BNK8" s="1876"/>
      <c r="BNL8" s="1876"/>
      <c r="BNM8" s="1876"/>
      <c r="BNN8" s="1876"/>
      <c r="BNO8" s="1876"/>
      <c r="BNP8" s="1876"/>
      <c r="BNQ8" s="1876"/>
      <c r="BNR8" s="1876"/>
      <c r="BNS8" s="1876"/>
      <c r="BNT8" s="1876"/>
      <c r="BNU8" s="1876"/>
      <c r="BNV8" s="1876"/>
      <c r="BNW8" s="1876"/>
      <c r="BNX8" s="1876"/>
      <c r="BNY8" s="1876"/>
      <c r="BNZ8" s="1876"/>
      <c r="BOA8" s="1876"/>
      <c r="BOB8" s="1876"/>
      <c r="BOC8" s="1876"/>
      <c r="BOD8" s="1876"/>
      <c r="BOE8" s="1876"/>
      <c r="BOF8" s="1876"/>
      <c r="BOG8" s="1876"/>
      <c r="BOH8" s="1876"/>
      <c r="BOI8" s="1876"/>
      <c r="BOJ8" s="1876"/>
      <c r="BOK8" s="1876"/>
      <c r="BOL8" s="1876"/>
      <c r="BOM8" s="1876"/>
      <c r="BON8" s="1876"/>
      <c r="BOO8" s="1876"/>
      <c r="BOP8" s="1876"/>
      <c r="BOQ8" s="1876"/>
      <c r="BOR8" s="1876"/>
      <c r="BOS8" s="1876"/>
      <c r="BOT8" s="1876"/>
      <c r="BOU8" s="1876"/>
      <c r="BOV8" s="1876"/>
      <c r="BOW8" s="1876"/>
      <c r="BOX8" s="1876"/>
      <c r="BOY8" s="1876"/>
      <c r="BOZ8" s="1876"/>
      <c r="BPA8" s="1876"/>
      <c r="BPB8" s="1876"/>
      <c r="BPC8" s="1876"/>
      <c r="BPD8" s="1876"/>
      <c r="BPE8" s="1876"/>
      <c r="BPF8" s="1876"/>
      <c r="BPG8" s="1876"/>
      <c r="BPH8" s="1876"/>
      <c r="BPI8" s="1876"/>
      <c r="BPJ8" s="1876"/>
      <c r="BPK8" s="1876"/>
      <c r="BPL8" s="1876"/>
      <c r="BPM8" s="1876"/>
      <c r="BPN8" s="1876"/>
      <c r="BPO8" s="1876"/>
      <c r="BPP8" s="1876"/>
      <c r="BPQ8" s="1876"/>
      <c r="BPR8" s="1876"/>
      <c r="BPS8" s="1876"/>
      <c r="BPT8" s="1876"/>
      <c r="BPU8" s="1876"/>
      <c r="BPV8" s="1876"/>
      <c r="BPW8" s="1876"/>
      <c r="BPX8" s="1876"/>
      <c r="BPY8" s="1876"/>
      <c r="BPZ8" s="1876"/>
      <c r="BQA8" s="1876"/>
      <c r="BQB8" s="1876"/>
      <c r="BQC8" s="1876"/>
      <c r="BQD8" s="1876"/>
      <c r="BQE8" s="1876"/>
      <c r="BQF8" s="1876"/>
      <c r="BQG8" s="1876"/>
      <c r="BQH8" s="1876"/>
      <c r="BQI8" s="1876"/>
      <c r="BQJ8" s="1876"/>
      <c r="BQK8" s="1876"/>
      <c r="BQL8" s="1876"/>
      <c r="BQM8" s="1876"/>
      <c r="BQN8" s="1876"/>
      <c r="BQO8" s="1876"/>
      <c r="BQP8" s="1876"/>
      <c r="BQQ8" s="1876"/>
      <c r="BQR8" s="1876"/>
      <c r="BQS8" s="1876"/>
      <c r="BQT8" s="1876"/>
      <c r="BQU8" s="1876"/>
      <c r="BQV8" s="1876"/>
      <c r="BQW8" s="1876"/>
      <c r="BQX8" s="1876"/>
      <c r="BQY8" s="1876"/>
      <c r="BQZ8" s="1876"/>
      <c r="BRA8" s="1876"/>
      <c r="BRB8" s="1876"/>
      <c r="BRC8" s="1876"/>
      <c r="BRD8" s="1876"/>
      <c r="BRE8" s="1876"/>
      <c r="BRF8" s="1876"/>
      <c r="BRG8" s="1876"/>
      <c r="BRH8" s="1876"/>
      <c r="BRI8" s="1876"/>
      <c r="BRJ8" s="1876"/>
      <c r="BRK8" s="1876"/>
      <c r="BRL8" s="1876"/>
      <c r="BRM8" s="1876"/>
      <c r="BRN8" s="1876"/>
      <c r="BRO8" s="1876"/>
      <c r="BRP8" s="1876"/>
      <c r="BRQ8" s="1876"/>
      <c r="BRR8" s="1876"/>
      <c r="BRS8" s="1876"/>
      <c r="BRT8" s="1876"/>
      <c r="BRU8" s="1876"/>
      <c r="BRV8" s="1876"/>
      <c r="BRW8" s="1876"/>
      <c r="BRX8" s="1876"/>
      <c r="BRY8" s="1876"/>
      <c r="BRZ8" s="1876"/>
      <c r="BSA8" s="1876"/>
      <c r="BSB8" s="1876"/>
      <c r="BSC8" s="1876"/>
      <c r="BSD8" s="1876"/>
      <c r="BSE8" s="1876"/>
      <c r="BSF8" s="1876"/>
      <c r="BSG8" s="1876"/>
      <c r="BSH8" s="1876"/>
      <c r="BSI8" s="1876"/>
      <c r="BSJ8" s="1876"/>
      <c r="BSK8" s="1876"/>
      <c r="BSL8" s="1876"/>
      <c r="BSM8" s="1876"/>
      <c r="BSN8" s="1876"/>
      <c r="BSO8" s="1876"/>
      <c r="BSP8" s="1876"/>
      <c r="BSQ8" s="1876"/>
      <c r="BSR8" s="1876"/>
      <c r="BSS8" s="1876"/>
      <c r="BST8" s="1876"/>
      <c r="BSU8" s="1876"/>
      <c r="BSV8" s="1876"/>
      <c r="BSW8" s="1876"/>
      <c r="BSX8" s="1876"/>
      <c r="BSY8" s="1876"/>
      <c r="BSZ8" s="1876"/>
      <c r="BTA8" s="1876"/>
      <c r="BTB8" s="1876"/>
      <c r="BTC8" s="1876"/>
      <c r="BTD8" s="1876"/>
      <c r="BTE8" s="1876"/>
      <c r="BTF8" s="1876"/>
      <c r="BTG8" s="1876"/>
      <c r="BTH8" s="1876"/>
      <c r="BTI8" s="1876"/>
      <c r="BTJ8" s="1876"/>
      <c r="BTK8" s="1876"/>
      <c r="BTL8" s="1876"/>
      <c r="BTM8" s="1876"/>
      <c r="BTN8" s="1876"/>
      <c r="BTO8" s="1876"/>
      <c r="BTP8" s="1876"/>
      <c r="BTQ8" s="1876"/>
      <c r="BTR8" s="1876"/>
      <c r="BTS8" s="1876"/>
      <c r="BTT8" s="1876"/>
      <c r="BTU8" s="1876"/>
      <c r="BTV8" s="1876"/>
      <c r="BTW8" s="1876"/>
      <c r="BTX8" s="1876"/>
      <c r="BTY8" s="1876"/>
      <c r="BTZ8" s="1876"/>
      <c r="BUA8" s="1876"/>
      <c r="BUB8" s="1876"/>
      <c r="BUC8" s="1876"/>
      <c r="BUD8" s="1876"/>
      <c r="BUE8" s="1876"/>
      <c r="BUF8" s="1876"/>
      <c r="BUG8" s="1876"/>
      <c r="BUH8" s="1876"/>
      <c r="BUI8" s="1876"/>
      <c r="BUJ8" s="1876"/>
      <c r="BUK8" s="1876"/>
      <c r="BUL8" s="1876"/>
      <c r="BUM8" s="1876"/>
      <c r="BUN8" s="1876"/>
      <c r="BUO8" s="1876"/>
      <c r="BUP8" s="1876"/>
      <c r="BUQ8" s="1876"/>
      <c r="BUR8" s="1876"/>
      <c r="BUS8" s="1876"/>
      <c r="BUT8" s="1876"/>
      <c r="BUU8" s="1876"/>
      <c r="BUV8" s="1876"/>
      <c r="BUW8" s="1876"/>
      <c r="BUX8" s="1876"/>
      <c r="BUY8" s="1876"/>
      <c r="BUZ8" s="1876"/>
      <c r="BVA8" s="1876"/>
      <c r="BVB8" s="1876"/>
      <c r="BVC8" s="1876"/>
      <c r="BVD8" s="1876"/>
      <c r="BVE8" s="1876"/>
      <c r="BVF8" s="1876"/>
      <c r="BVG8" s="1876"/>
      <c r="BVH8" s="1876"/>
      <c r="BVI8" s="1876"/>
      <c r="BVJ8" s="1876"/>
      <c r="BVK8" s="1876"/>
      <c r="BVL8" s="1876"/>
      <c r="BVM8" s="1876"/>
      <c r="BVN8" s="1876"/>
      <c r="BVO8" s="1876"/>
      <c r="BVP8" s="1876"/>
      <c r="BVQ8" s="1876"/>
      <c r="BVR8" s="1876"/>
      <c r="BVS8" s="1876"/>
      <c r="BVT8" s="1876"/>
      <c r="BVU8" s="1876"/>
      <c r="BVV8" s="1876"/>
      <c r="BVW8" s="1876"/>
      <c r="BVX8" s="1876"/>
      <c r="BVY8" s="1876"/>
      <c r="BVZ8" s="1876"/>
      <c r="BWA8" s="1876"/>
      <c r="BWB8" s="1876"/>
      <c r="BWC8" s="1876"/>
      <c r="BWD8" s="1876"/>
      <c r="BWE8" s="1876"/>
      <c r="BWF8" s="1876"/>
      <c r="BWG8" s="1876"/>
      <c r="BWH8" s="1876"/>
      <c r="BWI8" s="1876"/>
      <c r="BWJ8" s="1876"/>
      <c r="BWK8" s="1876"/>
      <c r="BWL8" s="1876"/>
      <c r="BWM8" s="1876"/>
      <c r="BWN8" s="1876"/>
      <c r="BWO8" s="1876"/>
      <c r="BWP8" s="1876"/>
      <c r="BWQ8" s="1876"/>
      <c r="BWR8" s="1876"/>
      <c r="BWS8" s="1876"/>
      <c r="BWT8" s="1876"/>
      <c r="BWU8" s="1876"/>
      <c r="BWV8" s="1876"/>
      <c r="BWW8" s="1876"/>
      <c r="BWX8" s="1876"/>
      <c r="BWY8" s="1876"/>
      <c r="BWZ8" s="1876"/>
      <c r="BXA8" s="1876"/>
      <c r="BXB8" s="1876"/>
      <c r="BXC8" s="1876"/>
      <c r="BXD8" s="1876"/>
      <c r="BXE8" s="1876"/>
      <c r="BXF8" s="1876"/>
      <c r="BXG8" s="1876"/>
      <c r="BXH8" s="1876"/>
      <c r="BXI8" s="1876"/>
      <c r="BXJ8" s="1876"/>
      <c r="BXK8" s="1876"/>
      <c r="BXL8" s="1876"/>
      <c r="BXM8" s="1876"/>
      <c r="BXN8" s="1876"/>
      <c r="BXO8" s="1876"/>
      <c r="BXP8" s="1876"/>
      <c r="BXQ8" s="1876"/>
      <c r="BXR8" s="1876"/>
      <c r="BXS8" s="1876"/>
      <c r="BXT8" s="1876"/>
      <c r="BXU8" s="1876"/>
      <c r="BXV8" s="1876"/>
      <c r="BXW8" s="1876"/>
      <c r="BXX8" s="1876"/>
      <c r="BXY8" s="1876"/>
      <c r="BXZ8" s="1876"/>
      <c r="BYA8" s="1876"/>
      <c r="BYB8" s="1876"/>
      <c r="BYC8" s="1876"/>
      <c r="BYD8" s="1876"/>
      <c r="BYE8" s="1876"/>
      <c r="BYF8" s="1876"/>
      <c r="BYG8" s="1876"/>
      <c r="BYH8" s="1876"/>
      <c r="BYI8" s="1876"/>
      <c r="BYJ8" s="1876"/>
      <c r="BYK8" s="1876"/>
      <c r="BYL8" s="1876"/>
      <c r="BYM8" s="1876"/>
      <c r="BYN8" s="1876"/>
      <c r="BYO8" s="1876"/>
      <c r="BYP8" s="1876"/>
      <c r="BYQ8" s="1876"/>
      <c r="BYR8" s="1876"/>
      <c r="BYS8" s="1876"/>
      <c r="BYT8" s="1876"/>
      <c r="BYU8" s="1876"/>
      <c r="BYV8" s="1876"/>
      <c r="BYW8" s="1876"/>
      <c r="BYX8" s="1876"/>
      <c r="BYY8" s="1876"/>
      <c r="BYZ8" s="1876"/>
      <c r="BZA8" s="1876"/>
      <c r="BZB8" s="1876"/>
      <c r="BZC8" s="1876"/>
      <c r="BZD8" s="1876"/>
      <c r="BZE8" s="1876"/>
      <c r="BZF8" s="1876"/>
      <c r="BZG8" s="1876"/>
      <c r="BZH8" s="1876"/>
      <c r="BZI8" s="1876"/>
      <c r="BZJ8" s="1876"/>
      <c r="BZK8" s="1876"/>
      <c r="BZL8" s="1876"/>
      <c r="BZM8" s="1876"/>
      <c r="BZN8" s="1876"/>
      <c r="BZO8" s="1876"/>
      <c r="BZP8" s="1876"/>
      <c r="BZQ8" s="1876"/>
      <c r="BZR8" s="1876"/>
      <c r="BZS8" s="1876"/>
      <c r="BZT8" s="1876"/>
      <c r="BZU8" s="1876"/>
      <c r="BZV8" s="1876"/>
      <c r="BZW8" s="1876"/>
      <c r="BZX8" s="1876"/>
      <c r="BZY8" s="1876"/>
      <c r="BZZ8" s="1876"/>
      <c r="CAA8" s="1876"/>
      <c r="CAB8" s="1876"/>
      <c r="CAC8" s="1876"/>
      <c r="CAD8" s="1876"/>
      <c r="CAE8" s="1876"/>
      <c r="CAF8" s="1876"/>
      <c r="CAG8" s="1876"/>
      <c r="CAH8" s="1876"/>
      <c r="CAI8" s="1876"/>
      <c r="CAJ8" s="1876"/>
      <c r="CAK8" s="1876"/>
      <c r="CAL8" s="1876"/>
      <c r="CAM8" s="1876"/>
      <c r="CAN8" s="1876"/>
      <c r="CAO8" s="1876"/>
      <c r="CAP8" s="1876"/>
      <c r="CAQ8" s="1876"/>
      <c r="CAR8" s="1876"/>
      <c r="CAS8" s="1876"/>
      <c r="CAT8" s="1876"/>
      <c r="CAU8" s="1876"/>
      <c r="CAV8" s="1876"/>
      <c r="CAW8" s="1876"/>
      <c r="CAX8" s="1876"/>
      <c r="CAY8" s="1876"/>
      <c r="CAZ8" s="1876"/>
      <c r="CBA8" s="1876"/>
      <c r="CBB8" s="1876"/>
      <c r="CBC8" s="1876"/>
      <c r="CBD8" s="1876"/>
      <c r="CBE8" s="1876"/>
      <c r="CBF8" s="1876"/>
      <c r="CBG8" s="1876"/>
      <c r="CBH8" s="1876"/>
      <c r="CBI8" s="1876"/>
      <c r="CBJ8" s="1876"/>
      <c r="CBK8" s="1876"/>
      <c r="CBL8" s="1876"/>
      <c r="CBM8" s="1876"/>
      <c r="CBN8" s="1876"/>
      <c r="CBO8" s="1876"/>
      <c r="CBP8" s="1876"/>
      <c r="CBQ8" s="1876"/>
      <c r="CBR8" s="1876"/>
      <c r="CBS8" s="1876"/>
      <c r="CBT8" s="1876"/>
      <c r="CBU8" s="1876"/>
      <c r="CBV8" s="1876"/>
      <c r="CBW8" s="1876"/>
      <c r="CBX8" s="1876"/>
      <c r="CBY8" s="1876"/>
      <c r="CBZ8" s="1876"/>
      <c r="CCA8" s="1876"/>
      <c r="CCB8" s="1876"/>
      <c r="CCC8" s="1876"/>
      <c r="CCD8" s="1876"/>
      <c r="CCE8" s="1876"/>
      <c r="CCF8" s="1876"/>
      <c r="CCG8" s="1876"/>
      <c r="CCH8" s="1876"/>
      <c r="CCI8" s="1876"/>
      <c r="CCJ8" s="1876"/>
      <c r="CCK8" s="1876"/>
      <c r="CCL8" s="1876"/>
      <c r="CCM8" s="1876"/>
      <c r="CCN8" s="1876"/>
      <c r="CCO8" s="1876"/>
      <c r="CCP8" s="1876"/>
      <c r="CCQ8" s="1876"/>
      <c r="CCR8" s="1876"/>
      <c r="CCS8" s="1876"/>
      <c r="CCT8" s="1876"/>
      <c r="CCU8" s="1876"/>
      <c r="CCV8" s="1876"/>
      <c r="CCW8" s="1876"/>
      <c r="CCX8" s="1876"/>
      <c r="CCY8" s="1876"/>
      <c r="CCZ8" s="1876"/>
      <c r="CDA8" s="1876"/>
      <c r="CDB8" s="1876"/>
      <c r="CDC8" s="1876"/>
      <c r="CDD8" s="1876"/>
      <c r="CDE8" s="1876"/>
      <c r="CDF8" s="1876"/>
      <c r="CDG8" s="1876"/>
      <c r="CDH8" s="1876"/>
      <c r="CDI8" s="1876"/>
      <c r="CDJ8" s="1876"/>
      <c r="CDK8" s="1876"/>
      <c r="CDL8" s="1876"/>
      <c r="CDM8" s="1876"/>
      <c r="CDN8" s="1876"/>
      <c r="CDO8" s="1876"/>
      <c r="CDP8" s="1876"/>
      <c r="CDQ8" s="1876"/>
      <c r="CDR8" s="1876"/>
      <c r="CDS8" s="1876"/>
      <c r="CDT8" s="1876"/>
      <c r="CDU8" s="1876"/>
      <c r="CDV8" s="1876"/>
      <c r="CDW8" s="1876"/>
      <c r="CDX8" s="1876"/>
      <c r="CDY8" s="1876"/>
      <c r="CDZ8" s="1876"/>
      <c r="CEA8" s="1876"/>
      <c r="CEB8" s="1876"/>
      <c r="CEC8" s="1876"/>
      <c r="CED8" s="1876"/>
      <c r="CEE8" s="1876"/>
      <c r="CEF8" s="1876"/>
      <c r="CEG8" s="1876"/>
      <c r="CEH8" s="1876"/>
      <c r="CEI8" s="1876"/>
      <c r="CEJ8" s="1876"/>
      <c r="CEK8" s="1876"/>
      <c r="CEL8" s="1876"/>
      <c r="CEM8" s="1876"/>
      <c r="CEN8" s="1876"/>
      <c r="CEO8" s="1876"/>
      <c r="CEP8" s="1876"/>
      <c r="CEQ8" s="1876"/>
      <c r="CER8" s="1876"/>
      <c r="CES8" s="1876"/>
      <c r="CET8" s="1876"/>
      <c r="CEU8" s="1876"/>
      <c r="CEV8" s="1876"/>
      <c r="CEW8" s="1876"/>
      <c r="CEX8" s="1876"/>
      <c r="CEY8" s="1876"/>
      <c r="CEZ8" s="1876"/>
      <c r="CFA8" s="1876"/>
      <c r="CFB8" s="1876"/>
      <c r="CFC8" s="1876"/>
      <c r="CFD8" s="1876"/>
      <c r="CFE8" s="1876"/>
      <c r="CFF8" s="1876"/>
      <c r="CFG8" s="1876"/>
      <c r="CFH8" s="1876"/>
      <c r="CFI8" s="1876"/>
      <c r="CFJ8" s="1876"/>
      <c r="CFK8" s="1876"/>
      <c r="CFL8" s="1876"/>
      <c r="CFM8" s="1876"/>
      <c r="CFN8" s="1876"/>
      <c r="CFO8" s="1876"/>
      <c r="CFP8" s="1876"/>
      <c r="CFQ8" s="1876"/>
      <c r="CFR8" s="1876"/>
      <c r="CFS8" s="1876"/>
      <c r="CFT8" s="1876"/>
      <c r="CFU8" s="1876"/>
      <c r="CFV8" s="1876"/>
      <c r="CFW8" s="1876"/>
      <c r="CFX8" s="1876"/>
      <c r="CFY8" s="1876"/>
      <c r="CFZ8" s="1876"/>
      <c r="CGA8" s="1876"/>
      <c r="CGB8" s="1876"/>
      <c r="CGC8" s="1876"/>
      <c r="CGD8" s="1876"/>
      <c r="CGE8" s="1876"/>
      <c r="CGF8" s="1876"/>
      <c r="CGG8" s="1876"/>
      <c r="CGH8" s="1876"/>
      <c r="CGI8" s="1876"/>
      <c r="CGJ8" s="1876"/>
      <c r="CGK8" s="1876"/>
      <c r="CGL8" s="1876"/>
      <c r="CGM8" s="1876"/>
      <c r="CGN8" s="1876"/>
      <c r="CGO8" s="1876"/>
      <c r="CGP8" s="1876"/>
      <c r="CGQ8" s="1876"/>
      <c r="CGR8" s="1876"/>
      <c r="CGS8" s="1876"/>
      <c r="CGT8" s="1876"/>
      <c r="CGU8" s="1876"/>
      <c r="CGV8" s="1876"/>
      <c r="CGW8" s="1876"/>
      <c r="CGX8" s="1876"/>
      <c r="CGY8" s="1876"/>
      <c r="CGZ8" s="1876"/>
      <c r="CHA8" s="1876"/>
      <c r="CHB8" s="1876"/>
      <c r="CHC8" s="1876"/>
      <c r="CHD8" s="1876"/>
      <c r="CHE8" s="1876"/>
      <c r="CHF8" s="1876"/>
      <c r="CHG8" s="1876"/>
      <c r="CHH8" s="1876"/>
      <c r="CHI8" s="1876"/>
      <c r="CHJ8" s="1876"/>
      <c r="CHK8" s="1876"/>
      <c r="CHL8" s="1876"/>
      <c r="CHM8" s="1876"/>
      <c r="CHN8" s="1876"/>
      <c r="CHO8" s="1876"/>
      <c r="CHP8" s="1876"/>
      <c r="CHQ8" s="1876"/>
      <c r="CHR8" s="1876"/>
      <c r="CHS8" s="1876"/>
      <c r="CHT8" s="1876"/>
      <c r="CHU8" s="1876"/>
      <c r="CHV8" s="1876"/>
      <c r="CHW8" s="1876"/>
      <c r="CHX8" s="1876"/>
      <c r="CHY8" s="1876"/>
      <c r="CHZ8" s="1876"/>
      <c r="CIA8" s="1876"/>
      <c r="CIB8" s="1876"/>
      <c r="CIC8" s="1876"/>
      <c r="CID8" s="1876"/>
      <c r="CIE8" s="1876"/>
      <c r="CIF8" s="1876"/>
      <c r="CIG8" s="1876"/>
      <c r="CIH8" s="1876"/>
      <c r="CII8" s="1876"/>
      <c r="CIJ8" s="1876"/>
      <c r="CIK8" s="1876"/>
      <c r="CIL8" s="1876"/>
      <c r="CIM8" s="1876"/>
      <c r="CIN8" s="1876"/>
      <c r="CIO8" s="1876"/>
      <c r="CIP8" s="1876"/>
      <c r="CIQ8" s="1876"/>
      <c r="CIR8" s="1876"/>
      <c r="CIS8" s="1876"/>
      <c r="CIT8" s="1876"/>
      <c r="CIU8" s="1876"/>
      <c r="CIV8" s="1876"/>
      <c r="CIW8" s="1876"/>
      <c r="CIX8" s="1876"/>
      <c r="CIY8" s="1876"/>
      <c r="CIZ8" s="1876"/>
      <c r="CJA8" s="1876"/>
      <c r="CJB8" s="1876"/>
      <c r="CJC8" s="1876"/>
      <c r="CJD8" s="1876"/>
      <c r="CJE8" s="1876"/>
      <c r="CJF8" s="1876"/>
      <c r="CJG8" s="1876"/>
      <c r="CJH8" s="1876"/>
      <c r="CJI8" s="1876"/>
      <c r="CJJ8" s="1876"/>
      <c r="CJK8" s="1876"/>
      <c r="CJL8" s="1876"/>
      <c r="CJM8" s="1876"/>
      <c r="CJN8" s="1876"/>
      <c r="CJO8" s="1876"/>
      <c r="CJP8" s="1876"/>
      <c r="CJQ8" s="1876"/>
      <c r="CJR8" s="1876"/>
      <c r="CJS8" s="1876"/>
      <c r="CJT8" s="1876"/>
      <c r="CJU8" s="1876"/>
      <c r="CJV8" s="1876"/>
      <c r="CJW8" s="1876"/>
      <c r="CJX8" s="1876"/>
      <c r="CJY8" s="1876"/>
      <c r="CJZ8" s="1876"/>
      <c r="CKA8" s="1876"/>
      <c r="CKB8" s="1876"/>
      <c r="CKC8" s="1876"/>
      <c r="CKD8" s="1876"/>
      <c r="CKE8" s="1876"/>
      <c r="CKF8" s="1876"/>
      <c r="CKG8" s="1876"/>
      <c r="CKH8" s="1876"/>
      <c r="CKI8" s="1876"/>
      <c r="CKJ8" s="1876"/>
      <c r="CKK8" s="1876"/>
      <c r="CKL8" s="1876"/>
      <c r="CKM8" s="1876"/>
      <c r="CKN8" s="1876"/>
      <c r="CKO8" s="1876"/>
      <c r="CKP8" s="1876"/>
      <c r="CKQ8" s="1876"/>
      <c r="CKR8" s="1876"/>
      <c r="CKS8" s="1876"/>
      <c r="CKT8" s="1876"/>
      <c r="CKU8" s="1876"/>
      <c r="CKV8" s="1876"/>
      <c r="CKW8" s="1876"/>
      <c r="CKX8" s="1876"/>
      <c r="CKY8" s="1876"/>
      <c r="CKZ8" s="1876"/>
      <c r="CLA8" s="1876"/>
      <c r="CLB8" s="1876"/>
      <c r="CLC8" s="1876"/>
      <c r="CLD8" s="1876"/>
      <c r="CLE8" s="1876"/>
      <c r="CLF8" s="1876"/>
      <c r="CLG8" s="1876"/>
      <c r="CLH8" s="1876"/>
      <c r="CLI8" s="1876"/>
      <c r="CLJ8" s="1876"/>
      <c r="CLK8" s="1876"/>
      <c r="CLL8" s="1876"/>
      <c r="CLM8" s="1876"/>
      <c r="CLN8" s="1876"/>
      <c r="CLO8" s="1876"/>
      <c r="CLP8" s="1876"/>
      <c r="CLQ8" s="1876"/>
      <c r="CLR8" s="1876"/>
      <c r="CLS8" s="1876"/>
      <c r="CLT8" s="1876"/>
      <c r="CLU8" s="1876"/>
      <c r="CLV8" s="1876"/>
      <c r="CLW8" s="1876"/>
      <c r="CLX8" s="1876"/>
      <c r="CLY8" s="1876"/>
      <c r="CLZ8" s="1876"/>
      <c r="CMA8" s="1876"/>
      <c r="CMB8" s="1876"/>
      <c r="CMC8" s="1876"/>
      <c r="CMD8" s="1876"/>
      <c r="CME8" s="1876"/>
      <c r="CMF8" s="1876"/>
      <c r="CMG8" s="1876"/>
      <c r="CMH8" s="1876"/>
      <c r="CMI8" s="1876"/>
      <c r="CMJ8" s="1876"/>
      <c r="CMK8" s="1876"/>
      <c r="CML8" s="1876"/>
      <c r="CMM8" s="1876"/>
      <c r="CMN8" s="1876"/>
      <c r="CMO8" s="1876"/>
      <c r="CMP8" s="1876"/>
      <c r="CMQ8" s="1876"/>
      <c r="CMR8" s="1876"/>
      <c r="CMS8" s="1876"/>
      <c r="CMT8" s="1876"/>
      <c r="CMU8" s="1876"/>
      <c r="CMV8" s="1876"/>
      <c r="CMW8" s="1876"/>
      <c r="CMX8" s="1876"/>
      <c r="CMY8" s="1876"/>
      <c r="CMZ8" s="1876"/>
      <c r="CNA8" s="1876"/>
      <c r="CNB8" s="1876"/>
      <c r="CNC8" s="1876"/>
      <c r="CND8" s="1876"/>
      <c r="CNE8" s="1876"/>
      <c r="CNF8" s="1876"/>
      <c r="CNG8" s="1876"/>
      <c r="CNH8" s="1876"/>
      <c r="CNI8" s="1876"/>
      <c r="CNJ8" s="1876"/>
      <c r="CNK8" s="1876"/>
      <c r="CNL8" s="1876"/>
      <c r="CNM8" s="1876"/>
      <c r="CNN8" s="1876"/>
      <c r="CNO8" s="1876"/>
      <c r="CNP8" s="1876"/>
      <c r="CNQ8" s="1876"/>
      <c r="CNR8" s="1876"/>
      <c r="CNS8" s="1876"/>
      <c r="CNT8" s="1876"/>
      <c r="CNU8" s="1876"/>
      <c r="CNV8" s="1876"/>
      <c r="CNW8" s="1876"/>
      <c r="CNX8" s="1876"/>
      <c r="CNY8" s="1876"/>
      <c r="CNZ8" s="1876"/>
      <c r="COA8" s="1876"/>
      <c r="COB8" s="1876"/>
      <c r="COC8" s="1876"/>
      <c r="COD8" s="1876"/>
      <c r="COE8" s="1876"/>
      <c r="COF8" s="1876"/>
      <c r="COG8" s="1876"/>
      <c r="COH8" s="1876"/>
      <c r="COI8" s="1876"/>
      <c r="COJ8" s="1876"/>
      <c r="COK8" s="1876"/>
      <c r="COL8" s="1876"/>
      <c r="COM8" s="1876"/>
      <c r="CON8" s="1876"/>
      <c r="COO8" s="1876"/>
      <c r="COP8" s="1876"/>
      <c r="COQ8" s="1876"/>
      <c r="COR8" s="1876"/>
      <c r="COS8" s="1876"/>
      <c r="COT8" s="1876"/>
      <c r="COU8" s="1876"/>
      <c r="COV8" s="1876"/>
      <c r="COW8" s="1876"/>
      <c r="COX8" s="1876"/>
      <c r="COY8" s="1876"/>
      <c r="COZ8" s="1876"/>
      <c r="CPA8" s="1876"/>
      <c r="CPB8" s="1876"/>
      <c r="CPC8" s="1876"/>
      <c r="CPD8" s="1876"/>
      <c r="CPE8" s="1876"/>
      <c r="CPF8" s="1876"/>
      <c r="CPG8" s="1876"/>
      <c r="CPH8" s="1876"/>
      <c r="CPI8" s="1876"/>
      <c r="CPJ8" s="1876"/>
      <c r="CPK8" s="1876"/>
      <c r="CPL8" s="1876"/>
      <c r="CPM8" s="1876"/>
      <c r="CPN8" s="1876"/>
      <c r="CPO8" s="1876"/>
      <c r="CPP8" s="1876"/>
      <c r="CPQ8" s="1876"/>
      <c r="CPR8" s="1876"/>
      <c r="CPS8" s="1876"/>
      <c r="CPT8" s="1876"/>
      <c r="CPU8" s="1876"/>
      <c r="CPV8" s="1876"/>
      <c r="CPW8" s="1876"/>
      <c r="CPX8" s="1876"/>
      <c r="CPY8" s="1876"/>
      <c r="CPZ8" s="1876"/>
      <c r="CQA8" s="1876"/>
      <c r="CQB8" s="1876"/>
      <c r="CQC8" s="1876"/>
      <c r="CQD8" s="1876"/>
      <c r="CQE8" s="1876"/>
      <c r="CQF8" s="1876"/>
      <c r="CQG8" s="1876"/>
      <c r="CQH8" s="1876"/>
      <c r="CQI8" s="1876"/>
      <c r="CQJ8" s="1876"/>
      <c r="CQK8" s="1876"/>
      <c r="CQL8" s="1876"/>
      <c r="CQM8" s="1876"/>
      <c r="CQN8" s="1876"/>
      <c r="CQO8" s="1876"/>
      <c r="CQP8" s="1876"/>
      <c r="CQQ8" s="1876"/>
      <c r="CQR8" s="1876"/>
      <c r="CQS8" s="1876"/>
      <c r="CQT8" s="1876"/>
      <c r="CQU8" s="1876"/>
      <c r="CQV8" s="1876"/>
      <c r="CQW8" s="1876"/>
      <c r="CQX8" s="1876"/>
      <c r="CQY8" s="1876"/>
      <c r="CQZ8" s="1876"/>
      <c r="CRA8" s="1876"/>
      <c r="CRB8" s="1876"/>
      <c r="CRC8" s="1876"/>
      <c r="CRD8" s="1876"/>
      <c r="CRE8" s="1876"/>
      <c r="CRF8" s="1876"/>
      <c r="CRG8" s="1876"/>
      <c r="CRH8" s="1876"/>
      <c r="CRI8" s="1876"/>
      <c r="CRJ8" s="1876"/>
      <c r="CRK8" s="1876"/>
      <c r="CRL8" s="1876"/>
      <c r="CRM8" s="1876"/>
      <c r="CRN8" s="1876"/>
      <c r="CRO8" s="1876"/>
      <c r="CRP8" s="1876"/>
      <c r="CRQ8" s="1876"/>
      <c r="CRR8" s="1876"/>
      <c r="CRS8" s="1876"/>
      <c r="CRT8" s="1876"/>
      <c r="CRU8" s="1876"/>
      <c r="CRV8" s="1876"/>
      <c r="CRW8" s="1876"/>
      <c r="CRX8" s="1876"/>
      <c r="CRY8" s="1876"/>
      <c r="CRZ8" s="1876"/>
      <c r="CSA8" s="1876"/>
      <c r="CSB8" s="1876"/>
      <c r="CSC8" s="1876"/>
      <c r="CSD8" s="1876"/>
      <c r="CSE8" s="1876"/>
      <c r="CSF8" s="1876"/>
      <c r="CSG8" s="1876"/>
      <c r="CSH8" s="1876"/>
      <c r="CSI8" s="1876"/>
      <c r="CSJ8" s="1876"/>
      <c r="CSK8" s="1876"/>
      <c r="CSL8" s="1876"/>
      <c r="CSM8" s="1876"/>
      <c r="CSN8" s="1876"/>
      <c r="CSO8" s="1876"/>
      <c r="CSP8" s="1876"/>
      <c r="CSQ8" s="1876"/>
      <c r="CSR8" s="1876"/>
      <c r="CSS8" s="1876"/>
      <c r="CST8" s="1876"/>
      <c r="CSU8" s="1876"/>
      <c r="CSV8" s="1876"/>
      <c r="CSW8" s="1876"/>
      <c r="CSX8" s="1876"/>
      <c r="CSY8" s="1876"/>
      <c r="CSZ8" s="1876"/>
      <c r="CTA8" s="1876"/>
      <c r="CTB8" s="1876"/>
      <c r="CTC8" s="1876"/>
      <c r="CTD8" s="1876"/>
      <c r="CTE8" s="1876"/>
      <c r="CTF8" s="1876"/>
      <c r="CTG8" s="1876"/>
      <c r="CTH8" s="1876"/>
      <c r="CTI8" s="1876"/>
      <c r="CTJ8" s="1876"/>
      <c r="CTK8" s="1876"/>
      <c r="CTL8" s="1876"/>
      <c r="CTM8" s="1876"/>
      <c r="CTN8" s="1876"/>
      <c r="CTO8" s="1876"/>
      <c r="CTP8" s="1876"/>
      <c r="CTQ8" s="1876"/>
      <c r="CTR8" s="1876"/>
      <c r="CTS8" s="1876"/>
      <c r="CTT8" s="1876"/>
      <c r="CTU8" s="1876"/>
      <c r="CTV8" s="1876"/>
      <c r="CTW8" s="1876"/>
      <c r="CTX8" s="1876"/>
      <c r="CTY8" s="1876"/>
      <c r="CTZ8" s="1876"/>
      <c r="CUA8" s="1876"/>
      <c r="CUB8" s="1876"/>
      <c r="CUC8" s="1876"/>
      <c r="CUD8" s="1876"/>
      <c r="CUE8" s="1876"/>
      <c r="CUF8" s="1876"/>
      <c r="CUG8" s="1876"/>
      <c r="CUH8" s="1876"/>
      <c r="CUI8" s="1876"/>
      <c r="CUJ8" s="1876"/>
      <c r="CUK8" s="1876"/>
      <c r="CUL8" s="1876"/>
      <c r="CUM8" s="1876"/>
      <c r="CUN8" s="1876"/>
      <c r="CUO8" s="1876"/>
      <c r="CUP8" s="1876"/>
      <c r="CUQ8" s="1876"/>
      <c r="CUR8" s="1876"/>
      <c r="CUS8" s="1876"/>
      <c r="CUT8" s="1876"/>
      <c r="CUU8" s="1876"/>
      <c r="CUV8" s="1876"/>
      <c r="CUW8" s="1876"/>
      <c r="CUX8" s="1876"/>
      <c r="CUY8" s="1876"/>
      <c r="CUZ8" s="1876"/>
      <c r="CVA8" s="1876"/>
      <c r="CVB8" s="1876"/>
      <c r="CVC8" s="1876"/>
      <c r="CVD8" s="1876"/>
      <c r="CVE8" s="1876"/>
      <c r="CVF8" s="1876"/>
      <c r="CVG8" s="1876"/>
      <c r="CVH8" s="1876"/>
      <c r="CVI8" s="1876"/>
      <c r="CVJ8" s="1876"/>
      <c r="CVK8" s="1876"/>
      <c r="CVL8" s="1876"/>
      <c r="CVM8" s="1876"/>
      <c r="CVN8" s="1876"/>
      <c r="CVO8" s="1876"/>
      <c r="CVP8" s="1876"/>
      <c r="CVQ8" s="1876"/>
      <c r="CVR8" s="1876"/>
      <c r="CVS8" s="1876"/>
      <c r="CVT8" s="1876"/>
      <c r="CVU8" s="1876"/>
      <c r="CVV8" s="1876"/>
      <c r="CVW8" s="1876"/>
      <c r="CVX8" s="1876"/>
      <c r="CVY8" s="1876"/>
      <c r="CVZ8" s="1876"/>
      <c r="CWA8" s="1876"/>
      <c r="CWB8" s="1876"/>
      <c r="CWC8" s="1876"/>
      <c r="CWD8" s="1876"/>
      <c r="CWE8" s="1876"/>
      <c r="CWF8" s="1876"/>
      <c r="CWG8" s="1876"/>
      <c r="CWH8" s="1876"/>
      <c r="CWI8" s="1876"/>
      <c r="CWJ8" s="1876"/>
      <c r="CWK8" s="1876"/>
      <c r="CWL8" s="1876"/>
      <c r="CWM8" s="1876"/>
      <c r="CWN8" s="1876"/>
      <c r="CWO8" s="1876"/>
      <c r="CWP8" s="1876"/>
      <c r="CWQ8" s="1876"/>
      <c r="CWR8" s="1876"/>
      <c r="CWS8" s="1876"/>
      <c r="CWT8" s="1876"/>
      <c r="CWU8" s="1876"/>
      <c r="CWV8" s="1876"/>
      <c r="CWW8" s="1876"/>
      <c r="CWX8" s="1876"/>
      <c r="CWY8" s="1876"/>
      <c r="CWZ8" s="1876"/>
      <c r="CXA8" s="1876"/>
      <c r="CXB8" s="1876"/>
      <c r="CXC8" s="1876"/>
      <c r="CXD8" s="1876"/>
      <c r="CXE8" s="1876"/>
      <c r="CXF8" s="1876"/>
      <c r="CXG8" s="1876"/>
      <c r="CXH8" s="1876"/>
      <c r="CXI8" s="1876"/>
      <c r="CXJ8" s="1876"/>
      <c r="CXK8" s="1876"/>
      <c r="CXL8" s="1876"/>
      <c r="CXM8" s="1876"/>
      <c r="CXN8" s="1876"/>
      <c r="CXO8" s="1876"/>
      <c r="CXP8" s="1876"/>
      <c r="CXQ8" s="1876"/>
      <c r="CXR8" s="1876"/>
      <c r="CXS8" s="1876"/>
      <c r="CXT8" s="1876"/>
      <c r="CXU8" s="1876"/>
      <c r="CXV8" s="1876"/>
      <c r="CXW8" s="1876"/>
      <c r="CXX8" s="1876"/>
      <c r="CXY8" s="1876"/>
      <c r="CXZ8" s="1876"/>
      <c r="CYA8" s="1876"/>
      <c r="CYB8" s="1876"/>
      <c r="CYC8" s="1876"/>
      <c r="CYD8" s="1876"/>
      <c r="CYE8" s="1876"/>
      <c r="CYF8" s="1876"/>
      <c r="CYG8" s="1876"/>
      <c r="CYH8" s="1876"/>
      <c r="CYI8" s="1876"/>
      <c r="CYJ8" s="1876"/>
      <c r="CYK8" s="1876"/>
      <c r="CYL8" s="1876"/>
      <c r="CYM8" s="1876"/>
      <c r="CYN8" s="1876"/>
      <c r="CYO8" s="1876"/>
      <c r="CYP8" s="1876"/>
      <c r="CYQ8" s="1876"/>
      <c r="CYR8" s="1876"/>
      <c r="CYS8" s="1876"/>
      <c r="CYT8" s="1876"/>
      <c r="CYU8" s="1876"/>
      <c r="CYV8" s="1876"/>
      <c r="CYW8" s="1876"/>
      <c r="CYX8" s="1876"/>
      <c r="CYY8" s="1876"/>
      <c r="CYZ8" s="1876"/>
      <c r="CZA8" s="1876"/>
      <c r="CZB8" s="1876"/>
      <c r="CZC8" s="1876"/>
      <c r="CZD8" s="1876"/>
      <c r="CZE8" s="1876"/>
      <c r="CZF8" s="1876"/>
      <c r="CZG8" s="1876"/>
      <c r="CZH8" s="1876"/>
      <c r="CZI8" s="1876"/>
      <c r="CZJ8" s="1876"/>
      <c r="CZK8" s="1876"/>
      <c r="CZL8" s="1876"/>
      <c r="CZM8" s="1876"/>
      <c r="CZN8" s="1876"/>
      <c r="CZO8" s="1876"/>
      <c r="CZP8" s="1876"/>
      <c r="CZQ8" s="1876"/>
      <c r="CZR8" s="1876"/>
      <c r="CZS8" s="1876"/>
      <c r="CZT8" s="1876"/>
      <c r="CZU8" s="1876"/>
      <c r="CZV8" s="1876"/>
      <c r="CZW8" s="1876"/>
      <c r="CZX8" s="1876"/>
      <c r="CZY8" s="1876"/>
      <c r="CZZ8" s="1876"/>
      <c r="DAA8" s="1876"/>
      <c r="DAB8" s="1876"/>
      <c r="DAC8" s="1876"/>
      <c r="DAD8" s="1876"/>
      <c r="DAE8" s="1876"/>
      <c r="DAF8" s="1876"/>
      <c r="DAG8" s="1876"/>
      <c r="DAH8" s="1876"/>
      <c r="DAI8" s="1876"/>
      <c r="DAJ8" s="1876"/>
      <c r="DAK8" s="1876"/>
      <c r="DAL8" s="1876"/>
      <c r="DAM8" s="1876"/>
      <c r="DAN8" s="1876"/>
      <c r="DAO8" s="1876"/>
      <c r="DAP8" s="1876"/>
      <c r="DAQ8" s="1876"/>
      <c r="DAR8" s="1876"/>
      <c r="DAS8" s="1876"/>
      <c r="DAT8" s="1876"/>
      <c r="DAU8" s="1876"/>
      <c r="DAV8" s="1876"/>
      <c r="DAW8" s="1876"/>
      <c r="DAX8" s="1876"/>
      <c r="DAY8" s="1876"/>
      <c r="DAZ8" s="1876"/>
      <c r="DBA8" s="1876"/>
      <c r="DBB8" s="1876"/>
      <c r="DBC8" s="1876"/>
      <c r="DBD8" s="1876"/>
      <c r="DBE8" s="1876"/>
      <c r="DBF8" s="1876"/>
      <c r="DBG8" s="1876"/>
      <c r="DBH8" s="1876"/>
      <c r="DBI8" s="1876"/>
      <c r="DBJ8" s="1876"/>
      <c r="DBK8" s="1876"/>
      <c r="DBL8" s="1876"/>
      <c r="DBM8" s="1876"/>
      <c r="DBN8" s="1876"/>
      <c r="DBO8" s="1876"/>
      <c r="DBP8" s="1876"/>
      <c r="DBQ8" s="1876"/>
      <c r="DBR8" s="1876"/>
      <c r="DBS8" s="1876"/>
      <c r="DBT8" s="1876"/>
      <c r="DBU8" s="1876"/>
      <c r="DBV8" s="1876"/>
      <c r="DBW8" s="1876"/>
      <c r="DBX8" s="1876"/>
      <c r="DBY8" s="1876"/>
      <c r="DBZ8" s="1876"/>
      <c r="DCA8" s="1876"/>
      <c r="DCB8" s="1876"/>
      <c r="DCC8" s="1876"/>
      <c r="DCD8" s="1876"/>
      <c r="DCE8" s="1876"/>
      <c r="DCF8" s="1876"/>
      <c r="DCG8" s="1876"/>
      <c r="DCH8" s="1876"/>
      <c r="DCI8" s="1876"/>
      <c r="DCJ8" s="1876"/>
      <c r="DCK8" s="1876"/>
      <c r="DCL8" s="1876"/>
      <c r="DCM8" s="1876"/>
      <c r="DCN8" s="1876"/>
      <c r="DCO8" s="1876"/>
      <c r="DCP8" s="1876"/>
      <c r="DCQ8" s="1876"/>
      <c r="DCR8" s="1876"/>
      <c r="DCS8" s="1876"/>
      <c r="DCT8" s="1876"/>
      <c r="DCU8" s="1876"/>
      <c r="DCV8" s="1876"/>
      <c r="DCW8" s="1876"/>
      <c r="DCX8" s="1876"/>
      <c r="DCY8" s="1876"/>
      <c r="DCZ8" s="1876"/>
      <c r="DDA8" s="1876"/>
      <c r="DDB8" s="1876"/>
      <c r="DDC8" s="1876"/>
      <c r="DDD8" s="1876"/>
      <c r="DDE8" s="1876"/>
      <c r="DDF8" s="1876"/>
      <c r="DDG8" s="1876"/>
      <c r="DDH8" s="1876"/>
      <c r="DDI8" s="1876"/>
      <c r="DDJ8" s="1876"/>
      <c r="DDK8" s="1876"/>
      <c r="DDL8" s="1876"/>
      <c r="DDM8" s="1876"/>
      <c r="DDN8" s="1876"/>
      <c r="DDO8" s="1876"/>
      <c r="DDP8" s="1876"/>
      <c r="DDQ8" s="1876"/>
      <c r="DDR8" s="1876"/>
      <c r="DDS8" s="1876"/>
      <c r="DDT8" s="1876"/>
      <c r="DDU8" s="1876"/>
      <c r="DDV8" s="1876"/>
      <c r="DDW8" s="1876"/>
      <c r="DDX8" s="1876"/>
      <c r="DDY8" s="1876"/>
      <c r="DDZ8" s="1876"/>
      <c r="DEA8" s="1876"/>
      <c r="DEB8" s="1876"/>
      <c r="DEC8" s="1876"/>
      <c r="DED8" s="1876"/>
      <c r="DEE8" s="1876"/>
      <c r="DEF8" s="1876"/>
      <c r="DEG8" s="1876"/>
      <c r="DEH8" s="1876"/>
      <c r="DEI8" s="1876"/>
      <c r="DEJ8" s="1876"/>
      <c r="DEK8" s="1876"/>
      <c r="DEL8" s="1876"/>
      <c r="DEM8" s="1876"/>
      <c r="DEN8" s="1876"/>
      <c r="DEO8" s="1876"/>
      <c r="DEP8" s="1876"/>
      <c r="DEQ8" s="1876"/>
      <c r="DER8" s="1876"/>
      <c r="DES8" s="1876"/>
      <c r="DET8" s="1876"/>
      <c r="DEU8" s="1876"/>
      <c r="DEV8" s="1876"/>
      <c r="DEW8" s="1876"/>
      <c r="DEX8" s="1876"/>
      <c r="DEY8" s="1876"/>
      <c r="DEZ8" s="1876"/>
      <c r="DFA8" s="1876"/>
      <c r="DFB8" s="1876"/>
      <c r="DFC8" s="1876"/>
      <c r="DFD8" s="1876"/>
      <c r="DFE8" s="1876"/>
      <c r="DFF8" s="1876"/>
      <c r="DFG8" s="1876"/>
      <c r="DFH8" s="1876"/>
      <c r="DFI8" s="1876"/>
      <c r="DFJ8" s="1876"/>
      <c r="DFK8" s="1876"/>
      <c r="DFL8" s="1876"/>
      <c r="DFM8" s="1876"/>
      <c r="DFN8" s="1876"/>
      <c r="DFO8" s="1876"/>
      <c r="DFP8" s="1876"/>
      <c r="DFQ8" s="1876"/>
      <c r="DFR8" s="1876"/>
      <c r="DFS8" s="1876"/>
      <c r="DFT8" s="1876"/>
      <c r="DFU8" s="1876"/>
      <c r="DFV8" s="1876"/>
      <c r="DFW8" s="1876"/>
      <c r="DFX8" s="1876"/>
      <c r="DFY8" s="1876"/>
      <c r="DFZ8" s="1876"/>
      <c r="DGA8" s="1876"/>
      <c r="DGB8" s="1876"/>
      <c r="DGC8" s="1876"/>
      <c r="DGD8" s="1876"/>
      <c r="DGE8" s="1876"/>
      <c r="DGF8" s="1876"/>
      <c r="DGG8" s="1876"/>
      <c r="DGH8" s="1876"/>
      <c r="DGI8" s="1876"/>
      <c r="DGJ8" s="1876"/>
      <c r="DGK8" s="1876"/>
      <c r="DGL8" s="1876"/>
      <c r="DGM8" s="1876"/>
      <c r="DGN8" s="1876"/>
      <c r="DGO8" s="1876"/>
      <c r="DGP8" s="1876"/>
      <c r="DGQ8" s="1876"/>
      <c r="DGR8" s="1876"/>
      <c r="DGS8" s="1876"/>
      <c r="DGT8" s="1876"/>
      <c r="DGU8" s="1876"/>
      <c r="DGV8" s="1876"/>
      <c r="DGW8" s="1876"/>
      <c r="DGX8" s="1876"/>
      <c r="DGY8" s="1876"/>
      <c r="DGZ8" s="1876"/>
      <c r="DHA8" s="1876"/>
      <c r="DHB8" s="1876"/>
      <c r="DHC8" s="1876"/>
      <c r="DHD8" s="1876"/>
      <c r="DHE8" s="1876"/>
      <c r="DHF8" s="1876"/>
      <c r="DHG8" s="1876"/>
      <c r="DHH8" s="1876"/>
      <c r="DHI8" s="1876"/>
      <c r="DHJ8" s="1876"/>
      <c r="DHK8" s="1876"/>
      <c r="DHL8" s="1876"/>
      <c r="DHM8" s="1876"/>
      <c r="DHN8" s="1876"/>
      <c r="DHO8" s="1876"/>
      <c r="DHP8" s="1876"/>
      <c r="DHQ8" s="1876"/>
      <c r="DHR8" s="1876"/>
      <c r="DHS8" s="1876"/>
      <c r="DHT8" s="1876"/>
      <c r="DHU8" s="1876"/>
      <c r="DHV8" s="1876"/>
      <c r="DHW8" s="1876"/>
      <c r="DHX8" s="1876"/>
      <c r="DHY8" s="1876"/>
      <c r="DHZ8" s="1876"/>
      <c r="DIA8" s="1876"/>
      <c r="DIB8" s="1876"/>
      <c r="DIC8" s="1876"/>
      <c r="DID8" s="1876"/>
      <c r="DIE8" s="1876"/>
      <c r="DIF8" s="1876"/>
      <c r="DIG8" s="1876"/>
      <c r="DIH8" s="1876"/>
      <c r="DII8" s="1876"/>
      <c r="DIJ8" s="1876"/>
      <c r="DIK8" s="1876"/>
      <c r="DIL8" s="1876"/>
      <c r="DIM8" s="1876"/>
      <c r="DIN8" s="1876"/>
      <c r="DIO8" s="1876"/>
      <c r="DIP8" s="1876"/>
      <c r="DIQ8" s="1876"/>
      <c r="DIR8" s="1876"/>
      <c r="DIS8" s="1876"/>
      <c r="DIT8" s="1876"/>
      <c r="DIU8" s="1876"/>
      <c r="DIV8" s="1876"/>
      <c r="DIW8" s="1876"/>
      <c r="DIX8" s="1876"/>
      <c r="DIY8" s="1876"/>
      <c r="DIZ8" s="1876"/>
      <c r="DJA8" s="1876"/>
      <c r="DJB8" s="1876"/>
      <c r="DJC8" s="1876"/>
      <c r="DJD8" s="1876"/>
      <c r="DJE8" s="1876"/>
      <c r="DJF8" s="1876"/>
      <c r="DJG8" s="1876"/>
      <c r="DJH8" s="1876"/>
      <c r="DJI8" s="1876"/>
      <c r="DJJ8" s="1876"/>
      <c r="DJK8" s="1876"/>
      <c r="DJL8" s="1876"/>
      <c r="DJM8" s="1876"/>
      <c r="DJN8" s="1876"/>
      <c r="DJO8" s="1876"/>
      <c r="DJP8" s="1876"/>
      <c r="DJQ8" s="1876"/>
      <c r="DJR8" s="1876"/>
      <c r="DJS8" s="1876"/>
      <c r="DJT8" s="1876"/>
      <c r="DJU8" s="1876"/>
      <c r="DJV8" s="1876"/>
      <c r="DJW8" s="1876"/>
      <c r="DJX8" s="1876"/>
      <c r="DJY8" s="1876"/>
      <c r="DJZ8" s="1876"/>
      <c r="DKA8" s="1876"/>
      <c r="DKB8" s="1876"/>
      <c r="DKC8" s="1876"/>
      <c r="DKD8" s="1876"/>
      <c r="DKE8" s="1876"/>
      <c r="DKF8" s="1876"/>
      <c r="DKG8" s="1876"/>
      <c r="DKH8" s="1876"/>
      <c r="DKI8" s="1876"/>
      <c r="DKJ8" s="1876"/>
      <c r="DKK8" s="1876"/>
      <c r="DKL8" s="1876"/>
      <c r="DKM8" s="1876"/>
      <c r="DKN8" s="1876"/>
      <c r="DKO8" s="1876"/>
      <c r="DKP8" s="1876"/>
      <c r="DKQ8" s="1876"/>
      <c r="DKR8" s="1876"/>
      <c r="DKS8" s="1876"/>
      <c r="DKT8" s="1876"/>
      <c r="DKU8" s="1876"/>
      <c r="DKV8" s="1876"/>
      <c r="DKW8" s="1876"/>
      <c r="DKX8" s="1876"/>
      <c r="DKY8" s="1876"/>
      <c r="DKZ8" s="1876"/>
      <c r="DLA8" s="1876"/>
      <c r="DLB8" s="1876"/>
      <c r="DLC8" s="1876"/>
      <c r="DLD8" s="1876"/>
      <c r="DLE8" s="1876"/>
      <c r="DLF8" s="1876"/>
      <c r="DLG8" s="1876"/>
      <c r="DLH8" s="1876"/>
      <c r="DLI8" s="1876"/>
      <c r="DLJ8" s="1876"/>
      <c r="DLK8" s="1876"/>
      <c r="DLL8" s="1876"/>
      <c r="DLM8" s="1876"/>
      <c r="DLN8" s="1876"/>
      <c r="DLO8" s="1876"/>
      <c r="DLP8" s="1876"/>
      <c r="DLQ8" s="1876"/>
      <c r="DLR8" s="1876"/>
      <c r="DLS8" s="1876"/>
      <c r="DLT8" s="1876"/>
      <c r="DLU8" s="1876"/>
      <c r="DLV8" s="1876"/>
      <c r="DLW8" s="1876"/>
      <c r="DLX8" s="1876"/>
      <c r="DLY8" s="1876"/>
      <c r="DLZ8" s="1876"/>
      <c r="DMA8" s="1876"/>
      <c r="DMB8" s="1876"/>
      <c r="DMC8" s="1876"/>
      <c r="DMD8" s="1876"/>
      <c r="DME8" s="1876"/>
      <c r="DMF8" s="1876"/>
      <c r="DMG8" s="1876"/>
      <c r="DMH8" s="1876"/>
      <c r="DMI8" s="1876"/>
      <c r="DMJ8" s="1876"/>
      <c r="DMK8" s="1876"/>
      <c r="DML8" s="1876"/>
      <c r="DMM8" s="1876"/>
      <c r="DMN8" s="1876"/>
      <c r="DMO8" s="1876"/>
      <c r="DMP8" s="1876"/>
      <c r="DMQ8" s="1876"/>
      <c r="DMR8" s="1876"/>
      <c r="DMS8" s="1876"/>
      <c r="DMT8" s="1876"/>
      <c r="DMU8" s="1876"/>
      <c r="DMV8" s="1876"/>
      <c r="DMW8" s="1876"/>
      <c r="DMX8" s="1876"/>
      <c r="DMY8" s="1876"/>
      <c r="DMZ8" s="1876"/>
      <c r="DNA8" s="1876"/>
      <c r="DNB8" s="1876"/>
      <c r="DNC8" s="1876"/>
      <c r="DND8" s="1876"/>
      <c r="DNE8" s="1876"/>
      <c r="DNF8" s="1876"/>
      <c r="DNG8" s="1876"/>
      <c r="DNH8" s="1876"/>
      <c r="DNI8" s="1876"/>
      <c r="DNJ8" s="1876"/>
      <c r="DNK8" s="1876"/>
      <c r="DNL8" s="1876"/>
      <c r="DNM8" s="1876"/>
      <c r="DNN8" s="1876"/>
      <c r="DNO8" s="1876"/>
      <c r="DNP8" s="1876"/>
      <c r="DNQ8" s="1876"/>
      <c r="DNR8" s="1876"/>
      <c r="DNS8" s="1876"/>
      <c r="DNT8" s="1876"/>
      <c r="DNU8" s="1876"/>
      <c r="DNV8" s="1876"/>
      <c r="DNW8" s="1876"/>
      <c r="DNX8" s="1876"/>
      <c r="DNY8" s="1876"/>
      <c r="DNZ8" s="1876"/>
      <c r="DOA8" s="1876"/>
      <c r="DOB8" s="1876"/>
      <c r="DOC8" s="1876"/>
      <c r="DOD8" s="1876"/>
      <c r="DOE8" s="1876"/>
      <c r="DOF8" s="1876"/>
      <c r="DOG8" s="1876"/>
      <c r="DOH8" s="1876"/>
      <c r="DOI8" s="1876"/>
      <c r="DOJ8" s="1876"/>
      <c r="DOK8" s="1876"/>
      <c r="DOL8" s="1876"/>
      <c r="DOM8" s="1876"/>
      <c r="DON8" s="1876"/>
      <c r="DOO8" s="1876"/>
      <c r="DOP8" s="1876"/>
      <c r="DOQ8" s="1876"/>
      <c r="DOR8" s="1876"/>
      <c r="DOS8" s="1876"/>
      <c r="DOT8" s="1876"/>
      <c r="DOU8" s="1876"/>
      <c r="DOV8" s="1876"/>
      <c r="DOW8" s="1876"/>
      <c r="DOX8" s="1876"/>
      <c r="DOY8" s="1876"/>
      <c r="DOZ8" s="1876"/>
      <c r="DPA8" s="1876"/>
      <c r="DPB8" s="1876"/>
      <c r="DPC8" s="1876"/>
      <c r="DPD8" s="1876"/>
      <c r="DPE8" s="1876"/>
      <c r="DPF8" s="1876"/>
      <c r="DPG8" s="1876"/>
      <c r="DPH8" s="1876"/>
      <c r="DPI8" s="1876"/>
      <c r="DPJ8" s="1876"/>
      <c r="DPK8" s="1876"/>
      <c r="DPL8" s="1876"/>
      <c r="DPM8" s="1876"/>
      <c r="DPN8" s="1876"/>
      <c r="DPO8" s="1876"/>
      <c r="DPP8" s="1876"/>
      <c r="DPQ8" s="1876"/>
      <c r="DPR8" s="1876"/>
      <c r="DPS8" s="1876"/>
      <c r="DPT8" s="1876"/>
      <c r="DPU8" s="1876"/>
      <c r="DPV8" s="1876"/>
      <c r="DPW8" s="1876"/>
      <c r="DPX8" s="1876"/>
      <c r="DPY8" s="1876"/>
      <c r="DPZ8" s="1876"/>
      <c r="DQA8" s="1876"/>
      <c r="DQB8" s="1876"/>
      <c r="DQC8" s="1876"/>
      <c r="DQD8" s="1876"/>
      <c r="DQE8" s="1876"/>
      <c r="DQF8" s="1876"/>
      <c r="DQG8" s="1876"/>
      <c r="DQH8" s="1876"/>
      <c r="DQI8" s="1876"/>
      <c r="DQJ8" s="1876"/>
      <c r="DQK8" s="1876"/>
      <c r="DQL8" s="1876"/>
      <c r="DQM8" s="1876"/>
      <c r="DQN8" s="1876"/>
      <c r="DQO8" s="1876"/>
      <c r="DQP8" s="1876"/>
      <c r="DQQ8" s="1876"/>
      <c r="DQR8" s="1876"/>
      <c r="DQS8" s="1876"/>
      <c r="DQT8" s="1876"/>
      <c r="DQU8" s="1876"/>
      <c r="DQV8" s="1876"/>
      <c r="DQW8" s="1876"/>
      <c r="DQX8" s="1876"/>
      <c r="DQY8" s="1876"/>
      <c r="DQZ8" s="1876"/>
      <c r="DRA8" s="1876"/>
      <c r="DRB8" s="1876"/>
      <c r="DRC8" s="1876"/>
      <c r="DRD8" s="1876"/>
      <c r="DRE8" s="1876"/>
      <c r="DRF8" s="1876"/>
      <c r="DRG8" s="1876"/>
      <c r="DRH8" s="1876"/>
      <c r="DRI8" s="1876"/>
      <c r="DRJ8" s="1876"/>
      <c r="DRK8" s="1876"/>
      <c r="DRL8" s="1876"/>
      <c r="DRM8" s="1876"/>
      <c r="DRN8" s="1876"/>
      <c r="DRO8" s="1876"/>
      <c r="DRP8" s="1876"/>
      <c r="DRQ8" s="1876"/>
      <c r="DRR8" s="1876"/>
      <c r="DRS8" s="1876"/>
      <c r="DRT8" s="1876"/>
      <c r="DRU8" s="1876"/>
      <c r="DRV8" s="1876"/>
      <c r="DRW8" s="1876"/>
      <c r="DRX8" s="1876"/>
      <c r="DRY8" s="1876"/>
      <c r="DRZ8" s="1876"/>
      <c r="DSA8" s="1876"/>
      <c r="DSB8" s="1876"/>
      <c r="DSC8" s="1876"/>
      <c r="DSD8" s="1876"/>
      <c r="DSE8" s="1876"/>
      <c r="DSF8" s="1876"/>
      <c r="DSG8" s="1876"/>
      <c r="DSH8" s="1876"/>
      <c r="DSI8" s="1876"/>
      <c r="DSJ8" s="1876"/>
      <c r="DSK8" s="1876"/>
      <c r="DSL8" s="1876"/>
      <c r="DSM8" s="1876"/>
      <c r="DSN8" s="1876"/>
      <c r="DSO8" s="1876"/>
      <c r="DSP8" s="1876"/>
      <c r="DSQ8" s="1876"/>
      <c r="DSR8" s="1876"/>
      <c r="DSS8" s="1876"/>
      <c r="DST8" s="1876"/>
      <c r="DSU8" s="1876"/>
      <c r="DSV8" s="1876"/>
      <c r="DSW8" s="1876"/>
      <c r="DSX8" s="1876"/>
      <c r="DSY8" s="1876"/>
      <c r="DSZ8" s="1876"/>
      <c r="DTA8" s="1876"/>
      <c r="DTB8" s="1876"/>
      <c r="DTC8" s="1876"/>
      <c r="DTD8" s="1876"/>
      <c r="DTE8" s="1876"/>
      <c r="DTF8" s="1876"/>
      <c r="DTG8" s="1876"/>
      <c r="DTH8" s="1876"/>
      <c r="DTI8" s="1876"/>
      <c r="DTJ8" s="1876"/>
      <c r="DTK8" s="1876"/>
      <c r="DTL8" s="1876"/>
      <c r="DTM8" s="1876"/>
      <c r="DTN8" s="1876"/>
      <c r="DTO8" s="1876"/>
      <c r="DTP8" s="1876"/>
      <c r="DTQ8" s="1876"/>
      <c r="DTR8" s="1876"/>
      <c r="DTS8" s="1876"/>
      <c r="DTT8" s="1876"/>
      <c r="DTU8" s="1876"/>
      <c r="DTV8" s="1876"/>
      <c r="DTW8" s="1876"/>
      <c r="DTX8" s="1876"/>
      <c r="DTY8" s="1876"/>
      <c r="DTZ8" s="1876"/>
      <c r="DUA8" s="1876"/>
      <c r="DUB8" s="1876"/>
      <c r="DUC8" s="1876"/>
      <c r="DUD8" s="1876"/>
      <c r="DUE8" s="1876"/>
      <c r="DUF8" s="1876"/>
      <c r="DUG8" s="1876"/>
      <c r="DUH8" s="1876"/>
      <c r="DUI8" s="1876"/>
      <c r="DUJ8" s="1876"/>
      <c r="DUK8" s="1876"/>
      <c r="DUL8" s="1876"/>
      <c r="DUM8" s="1876"/>
      <c r="DUN8" s="1876"/>
      <c r="DUO8" s="1876"/>
      <c r="DUP8" s="1876"/>
      <c r="DUQ8" s="1876"/>
      <c r="DUR8" s="1876"/>
      <c r="DUS8" s="1876"/>
      <c r="DUT8" s="1876"/>
      <c r="DUU8" s="1876"/>
      <c r="DUV8" s="1876"/>
      <c r="DUW8" s="1876"/>
      <c r="DUX8" s="1876"/>
      <c r="DUY8" s="1876"/>
      <c r="DUZ8" s="1876"/>
      <c r="DVA8" s="1876"/>
      <c r="DVB8" s="1876"/>
      <c r="DVC8" s="1876"/>
      <c r="DVD8" s="1876"/>
      <c r="DVE8" s="1876"/>
      <c r="DVF8" s="1876"/>
      <c r="DVG8" s="1876"/>
      <c r="DVH8" s="1876"/>
      <c r="DVI8" s="1876"/>
      <c r="DVJ8" s="1876"/>
      <c r="DVK8" s="1876"/>
      <c r="DVL8" s="1876"/>
      <c r="DVM8" s="1876"/>
      <c r="DVN8" s="1876"/>
      <c r="DVO8" s="1876"/>
      <c r="DVP8" s="1876"/>
      <c r="DVQ8" s="1876"/>
      <c r="DVR8" s="1876"/>
      <c r="DVS8" s="1876"/>
      <c r="DVT8" s="1876"/>
      <c r="DVU8" s="1876"/>
      <c r="DVV8" s="1876"/>
      <c r="DVW8" s="1876"/>
      <c r="DVX8" s="1876"/>
      <c r="DVY8" s="1876"/>
      <c r="DVZ8" s="1876"/>
      <c r="DWA8" s="1876"/>
      <c r="DWB8" s="1876"/>
      <c r="DWC8" s="1876"/>
      <c r="DWD8" s="1876"/>
      <c r="DWE8" s="1876"/>
      <c r="DWF8" s="1876"/>
      <c r="DWG8" s="1876"/>
      <c r="DWH8" s="1876"/>
      <c r="DWI8" s="1876"/>
      <c r="DWJ8" s="1876"/>
      <c r="DWK8" s="1876"/>
      <c r="DWL8" s="1876"/>
      <c r="DWM8" s="1876"/>
      <c r="DWN8" s="1876"/>
      <c r="DWO8" s="1876"/>
      <c r="DWP8" s="1876"/>
      <c r="DWQ8" s="1876"/>
      <c r="DWR8" s="1876"/>
      <c r="DWS8" s="1876"/>
      <c r="DWT8" s="1876"/>
      <c r="DWU8" s="1876"/>
      <c r="DWV8" s="1876"/>
      <c r="DWW8" s="1876"/>
      <c r="DWX8" s="1876"/>
      <c r="DWY8" s="1876"/>
      <c r="DWZ8" s="1876"/>
      <c r="DXA8" s="1876"/>
      <c r="DXB8" s="1876"/>
      <c r="DXC8" s="1876"/>
      <c r="DXD8" s="1876"/>
      <c r="DXE8" s="1876"/>
      <c r="DXF8" s="1876"/>
      <c r="DXG8" s="1876"/>
      <c r="DXH8" s="1876"/>
      <c r="DXI8" s="1876"/>
      <c r="DXJ8" s="1876"/>
      <c r="DXK8" s="1876"/>
      <c r="DXL8" s="1876"/>
      <c r="DXM8" s="1876"/>
      <c r="DXN8" s="1876"/>
      <c r="DXO8" s="1876"/>
      <c r="DXP8" s="1876"/>
      <c r="DXQ8" s="1876"/>
      <c r="DXR8" s="1876"/>
      <c r="DXS8" s="1876"/>
      <c r="DXT8" s="1876"/>
      <c r="DXU8" s="1876"/>
      <c r="DXV8" s="1876"/>
      <c r="DXW8" s="1876"/>
      <c r="DXX8" s="1876"/>
      <c r="DXY8" s="1876"/>
      <c r="DXZ8" s="1876"/>
      <c r="DYA8" s="1876"/>
      <c r="DYB8" s="1876"/>
      <c r="DYC8" s="1876"/>
      <c r="DYD8" s="1876"/>
      <c r="DYE8" s="1876"/>
      <c r="DYF8" s="1876"/>
      <c r="DYG8" s="1876"/>
      <c r="DYH8" s="1876"/>
      <c r="DYI8" s="1876"/>
      <c r="DYJ8" s="1876"/>
      <c r="DYK8" s="1876"/>
      <c r="DYL8" s="1876"/>
      <c r="DYM8" s="1876"/>
      <c r="DYN8" s="1876"/>
      <c r="DYO8" s="1876"/>
      <c r="DYP8" s="1876"/>
      <c r="DYQ8" s="1876"/>
      <c r="DYR8" s="1876"/>
      <c r="DYS8" s="1876"/>
      <c r="DYT8" s="1876"/>
      <c r="DYU8" s="1876"/>
      <c r="DYV8" s="1876"/>
      <c r="DYW8" s="1876"/>
      <c r="DYX8" s="1876"/>
      <c r="DYY8" s="1876"/>
      <c r="DYZ8" s="1876"/>
      <c r="DZA8" s="1876"/>
      <c r="DZB8" s="1876"/>
      <c r="DZC8" s="1876"/>
      <c r="DZD8" s="1876"/>
      <c r="DZE8" s="1876"/>
      <c r="DZF8" s="1876"/>
      <c r="DZG8" s="1876"/>
      <c r="DZH8" s="1876"/>
      <c r="DZI8" s="1876"/>
      <c r="DZJ8" s="1876"/>
      <c r="DZK8" s="1876"/>
      <c r="DZL8" s="1876"/>
      <c r="DZM8" s="1876"/>
      <c r="DZN8" s="1876"/>
      <c r="DZO8" s="1876"/>
      <c r="DZP8" s="1876"/>
      <c r="DZQ8" s="1876"/>
      <c r="DZR8" s="1876"/>
      <c r="DZS8" s="1876"/>
      <c r="DZT8" s="1876"/>
      <c r="DZU8" s="1876"/>
      <c r="DZV8" s="1876"/>
      <c r="DZW8" s="1876"/>
      <c r="DZX8" s="1876"/>
      <c r="DZY8" s="1876"/>
      <c r="DZZ8" s="1876"/>
      <c r="EAA8" s="1876"/>
      <c r="EAB8" s="1876"/>
      <c r="EAC8" s="1876"/>
      <c r="EAD8" s="1876"/>
      <c r="EAE8" s="1876"/>
      <c r="EAF8" s="1876"/>
      <c r="EAG8" s="1876"/>
      <c r="EAH8" s="1876"/>
      <c r="EAI8" s="1876"/>
      <c r="EAJ8" s="1876"/>
      <c r="EAK8" s="1876"/>
      <c r="EAL8" s="1876"/>
      <c r="EAM8" s="1876"/>
      <c r="EAN8" s="1876"/>
      <c r="EAO8" s="1876"/>
      <c r="EAP8" s="1876"/>
      <c r="EAQ8" s="1876"/>
      <c r="EAR8" s="1876"/>
      <c r="EAS8" s="1876"/>
      <c r="EAT8" s="1876"/>
      <c r="EAU8" s="1876"/>
      <c r="EAV8" s="1876"/>
      <c r="EAW8" s="1876"/>
      <c r="EAX8" s="1876"/>
      <c r="EAY8" s="1876"/>
      <c r="EAZ8" s="1876"/>
      <c r="EBA8" s="1876"/>
      <c r="EBB8" s="1876"/>
      <c r="EBC8" s="1876"/>
      <c r="EBD8" s="1876"/>
      <c r="EBE8" s="1876"/>
      <c r="EBF8" s="1876"/>
      <c r="EBG8" s="1876"/>
      <c r="EBH8" s="1876"/>
      <c r="EBI8" s="1876"/>
      <c r="EBJ8" s="1876"/>
      <c r="EBK8" s="1876"/>
      <c r="EBL8" s="1876"/>
      <c r="EBM8" s="1876"/>
      <c r="EBN8" s="1876"/>
      <c r="EBO8" s="1876"/>
      <c r="EBP8" s="1876"/>
      <c r="EBQ8" s="1876"/>
      <c r="EBR8" s="1876"/>
      <c r="EBS8" s="1876"/>
      <c r="EBT8" s="1876"/>
      <c r="EBU8" s="1876"/>
      <c r="EBV8" s="1876"/>
      <c r="EBW8" s="1876"/>
      <c r="EBX8" s="1876"/>
      <c r="EBY8" s="1876"/>
      <c r="EBZ8" s="1876"/>
      <c r="ECA8" s="1876"/>
      <c r="ECB8" s="1876"/>
      <c r="ECC8" s="1876"/>
      <c r="ECD8" s="1876"/>
      <c r="ECE8" s="1876"/>
      <c r="ECF8" s="1876"/>
      <c r="ECG8" s="1876"/>
      <c r="ECH8" s="1876"/>
      <c r="ECI8" s="1876"/>
      <c r="ECJ8" s="1876"/>
      <c r="ECK8" s="1876"/>
      <c r="ECL8" s="1876"/>
      <c r="ECM8" s="1876"/>
      <c r="ECN8" s="1876"/>
      <c r="ECO8" s="1876"/>
      <c r="ECP8" s="1876"/>
      <c r="ECQ8" s="1876"/>
      <c r="ECR8" s="1876"/>
      <c r="ECS8" s="1876"/>
      <c r="ECT8" s="1876"/>
      <c r="ECU8" s="1876"/>
      <c r="ECV8" s="1876"/>
      <c r="ECW8" s="1876"/>
      <c r="ECX8" s="1876"/>
      <c r="ECY8" s="1876"/>
      <c r="ECZ8" s="1876"/>
      <c r="EDA8" s="1876"/>
      <c r="EDB8" s="1876"/>
      <c r="EDC8" s="1876"/>
      <c r="EDD8" s="1876"/>
      <c r="EDE8" s="1876"/>
      <c r="EDF8" s="1876"/>
      <c r="EDG8" s="1876"/>
      <c r="EDH8" s="1876"/>
      <c r="EDI8" s="1876"/>
      <c r="EDJ8" s="1876"/>
      <c r="EDK8" s="1876"/>
      <c r="EDL8" s="1876"/>
      <c r="EDM8" s="1876"/>
      <c r="EDN8" s="1876"/>
      <c r="EDO8" s="1876"/>
      <c r="EDP8" s="1876"/>
      <c r="EDQ8" s="1876"/>
      <c r="EDR8" s="1876"/>
      <c r="EDS8" s="1876"/>
      <c r="EDT8" s="1876"/>
      <c r="EDU8" s="1876"/>
      <c r="EDV8" s="1876"/>
      <c r="EDW8" s="1876"/>
      <c r="EDX8" s="1876"/>
      <c r="EDY8" s="1876"/>
      <c r="EDZ8" s="1876"/>
      <c r="EEA8" s="1876"/>
      <c r="EEB8" s="1876"/>
      <c r="EEC8" s="1876"/>
      <c r="EED8" s="1876"/>
      <c r="EEE8" s="1876"/>
      <c r="EEF8" s="1876"/>
      <c r="EEG8" s="1876"/>
      <c r="EEH8" s="1876"/>
      <c r="EEI8" s="1876"/>
      <c r="EEJ8" s="1876"/>
      <c r="EEK8" s="1876"/>
      <c r="EEL8" s="1876"/>
      <c r="EEM8" s="1876"/>
      <c r="EEN8" s="1876"/>
      <c r="EEO8" s="1876"/>
      <c r="EEP8" s="1876"/>
      <c r="EEQ8" s="1876"/>
      <c r="EER8" s="1876"/>
      <c r="EES8" s="1876"/>
      <c r="EET8" s="1876"/>
      <c r="EEU8" s="1876"/>
      <c r="EEV8" s="1876"/>
      <c r="EEW8" s="1876"/>
      <c r="EEX8" s="1876"/>
      <c r="EEY8" s="1876"/>
      <c r="EEZ8" s="1876"/>
      <c r="EFA8" s="1876"/>
      <c r="EFB8" s="1876"/>
      <c r="EFC8" s="1876"/>
      <c r="EFD8" s="1876"/>
      <c r="EFE8" s="1876"/>
      <c r="EFF8" s="1876"/>
      <c r="EFG8" s="1876"/>
      <c r="EFH8" s="1876"/>
      <c r="EFI8" s="1876"/>
      <c r="EFJ8" s="1876"/>
      <c r="EFK8" s="1876"/>
      <c r="EFL8" s="1876"/>
      <c r="EFM8" s="1876"/>
      <c r="EFN8" s="1876"/>
      <c r="EFO8" s="1876"/>
      <c r="EFP8" s="1876"/>
      <c r="EFQ8" s="1876"/>
      <c r="EFR8" s="1876"/>
      <c r="EFS8" s="1876"/>
      <c r="EFT8" s="1876"/>
      <c r="EFU8" s="1876"/>
      <c r="EFV8" s="1876"/>
      <c r="EFW8" s="1876"/>
      <c r="EFX8" s="1876"/>
      <c r="EFY8" s="1876"/>
      <c r="EFZ8" s="1876"/>
      <c r="EGA8" s="1876"/>
      <c r="EGB8" s="1876"/>
      <c r="EGC8" s="1876"/>
      <c r="EGD8" s="1876"/>
      <c r="EGE8" s="1876"/>
      <c r="EGF8" s="1876"/>
      <c r="EGG8" s="1876"/>
      <c r="EGH8" s="1876"/>
      <c r="EGI8" s="1876"/>
      <c r="EGJ8" s="1876"/>
      <c r="EGK8" s="1876"/>
      <c r="EGL8" s="1876"/>
      <c r="EGM8" s="1876"/>
      <c r="EGN8" s="1876"/>
      <c r="EGO8" s="1876"/>
      <c r="EGP8" s="1876"/>
      <c r="EGQ8" s="1876"/>
      <c r="EGR8" s="1876"/>
      <c r="EGS8" s="1876"/>
      <c r="EGT8" s="1876"/>
      <c r="EGU8" s="1876"/>
      <c r="EGV8" s="1876"/>
      <c r="EGW8" s="1876"/>
      <c r="EGX8" s="1876"/>
      <c r="EGY8" s="1876"/>
      <c r="EGZ8" s="1876"/>
      <c r="EHA8" s="1876"/>
      <c r="EHB8" s="1876"/>
      <c r="EHC8" s="1876"/>
      <c r="EHD8" s="1876"/>
      <c r="EHE8" s="1876"/>
      <c r="EHF8" s="1876"/>
      <c r="EHG8" s="1876"/>
      <c r="EHH8" s="1876"/>
      <c r="EHI8" s="1876"/>
      <c r="EHJ8" s="1876"/>
      <c r="EHK8" s="1876"/>
      <c r="EHL8" s="1876"/>
      <c r="EHM8" s="1876"/>
      <c r="EHN8" s="1876"/>
      <c r="EHO8" s="1876"/>
      <c r="EHP8" s="1876"/>
      <c r="EHQ8" s="1876"/>
      <c r="EHR8" s="1876"/>
      <c r="EHS8" s="1876"/>
      <c r="EHT8" s="1876"/>
      <c r="EHU8" s="1876"/>
      <c r="EHV8" s="1876"/>
      <c r="EHW8" s="1876"/>
      <c r="EHX8" s="1876"/>
      <c r="EHY8" s="1876"/>
      <c r="EHZ8" s="1876"/>
      <c r="EIA8" s="1876"/>
      <c r="EIB8" s="1876"/>
      <c r="EIC8" s="1876"/>
      <c r="EID8" s="1876"/>
      <c r="EIE8" s="1876"/>
      <c r="EIF8" s="1876"/>
      <c r="EIG8" s="1876"/>
      <c r="EIH8" s="1876"/>
      <c r="EII8" s="1876"/>
      <c r="EIJ8" s="1876"/>
      <c r="EIK8" s="1876"/>
      <c r="EIL8" s="1876"/>
      <c r="EIM8" s="1876"/>
      <c r="EIN8" s="1876"/>
      <c r="EIO8" s="1876"/>
      <c r="EIP8" s="1876"/>
      <c r="EIQ8" s="1876"/>
      <c r="EIR8" s="1876"/>
      <c r="EIS8" s="1876"/>
      <c r="EIT8" s="1876"/>
      <c r="EIU8" s="1876"/>
      <c r="EIV8" s="1876"/>
      <c r="EIW8" s="1876"/>
      <c r="EIX8" s="1876"/>
      <c r="EIY8" s="1876"/>
      <c r="EIZ8" s="1876"/>
      <c r="EJA8" s="1876"/>
      <c r="EJB8" s="1876"/>
      <c r="EJC8" s="1876"/>
      <c r="EJD8" s="1876"/>
      <c r="EJE8" s="1876"/>
      <c r="EJF8" s="1876"/>
      <c r="EJG8" s="1876"/>
      <c r="EJH8" s="1876"/>
      <c r="EJI8" s="1876"/>
      <c r="EJJ8" s="1876"/>
      <c r="EJK8" s="1876"/>
      <c r="EJL8" s="1876"/>
      <c r="EJM8" s="1876"/>
      <c r="EJN8" s="1876"/>
      <c r="EJO8" s="1876"/>
      <c r="EJP8" s="1876"/>
      <c r="EJQ8" s="1876"/>
      <c r="EJR8" s="1876"/>
      <c r="EJS8" s="1876"/>
      <c r="EJT8" s="1876"/>
      <c r="EJU8" s="1876"/>
      <c r="EJV8" s="1876"/>
      <c r="EJW8" s="1876"/>
      <c r="EJX8" s="1876"/>
      <c r="EJY8" s="1876"/>
      <c r="EJZ8" s="1876"/>
      <c r="EKA8" s="1876"/>
      <c r="EKB8" s="1876"/>
      <c r="EKC8" s="1876"/>
      <c r="EKD8" s="1876"/>
      <c r="EKE8" s="1876"/>
      <c r="EKF8" s="1876"/>
      <c r="EKG8" s="1876"/>
      <c r="EKH8" s="1876"/>
      <c r="EKI8" s="1876"/>
      <c r="EKJ8" s="1876"/>
      <c r="EKK8" s="1876"/>
      <c r="EKL8" s="1876"/>
      <c r="EKM8" s="1876"/>
      <c r="EKN8" s="1876"/>
      <c r="EKO8" s="1876"/>
      <c r="EKP8" s="1876"/>
      <c r="EKQ8" s="1876"/>
      <c r="EKR8" s="1876"/>
      <c r="EKS8" s="1876"/>
      <c r="EKT8" s="1876"/>
      <c r="EKU8" s="1876"/>
      <c r="EKV8" s="1876"/>
      <c r="EKW8" s="1876"/>
      <c r="EKX8" s="1876"/>
      <c r="EKY8" s="1876"/>
      <c r="EKZ8" s="1876"/>
      <c r="ELA8" s="1876"/>
      <c r="ELB8" s="1876"/>
      <c r="ELC8" s="1876"/>
      <c r="ELD8" s="1876"/>
      <c r="ELE8" s="1876"/>
      <c r="ELF8" s="1876"/>
      <c r="ELG8" s="1876"/>
      <c r="ELH8" s="1876"/>
      <c r="ELI8" s="1876"/>
      <c r="ELJ8" s="1876"/>
      <c r="ELK8" s="1876"/>
      <c r="ELL8" s="1876"/>
      <c r="ELM8" s="1876"/>
      <c r="ELN8" s="1876"/>
      <c r="ELO8" s="1876"/>
      <c r="ELP8" s="1876"/>
      <c r="ELQ8" s="1876"/>
      <c r="ELR8" s="1876"/>
      <c r="ELS8" s="1876"/>
      <c r="ELT8" s="1876"/>
      <c r="ELU8" s="1876"/>
      <c r="ELV8" s="1876"/>
      <c r="ELW8" s="1876"/>
      <c r="ELX8" s="1876"/>
      <c r="ELY8" s="1876"/>
      <c r="ELZ8" s="1876"/>
      <c r="EMA8" s="1876"/>
      <c r="EMB8" s="1876"/>
      <c r="EMC8" s="1876"/>
      <c r="EMD8" s="1876"/>
      <c r="EME8" s="1876"/>
      <c r="EMF8" s="1876"/>
      <c r="EMG8" s="1876"/>
      <c r="EMH8" s="1876"/>
      <c r="EMI8" s="1876"/>
      <c r="EMJ8" s="1876"/>
      <c r="EMK8" s="1876"/>
      <c r="EML8" s="1876"/>
      <c r="EMM8" s="1876"/>
      <c r="EMN8" s="1876"/>
      <c r="EMO8" s="1876"/>
      <c r="EMP8" s="1876"/>
      <c r="EMQ8" s="1876"/>
      <c r="EMR8" s="1876"/>
      <c r="EMS8" s="1876"/>
      <c r="EMT8" s="1876"/>
      <c r="EMU8" s="1876"/>
      <c r="EMV8" s="1876"/>
      <c r="EMW8" s="1876"/>
      <c r="EMX8" s="1876"/>
      <c r="EMY8" s="1876"/>
      <c r="EMZ8" s="1876"/>
      <c r="ENA8" s="1876"/>
      <c r="ENB8" s="1876"/>
      <c r="ENC8" s="1876"/>
      <c r="END8" s="1876"/>
      <c r="ENE8" s="1876"/>
      <c r="ENF8" s="1876"/>
      <c r="ENG8" s="1876"/>
      <c r="ENH8" s="1876"/>
      <c r="ENI8" s="1876"/>
      <c r="ENJ8" s="1876"/>
      <c r="ENK8" s="1876"/>
      <c r="ENL8" s="1876"/>
      <c r="ENM8" s="1876"/>
      <c r="ENN8" s="1876"/>
      <c r="ENO8" s="1876"/>
      <c r="ENP8" s="1876"/>
      <c r="ENQ8" s="1876"/>
      <c r="ENR8" s="1876"/>
      <c r="ENS8" s="1876"/>
      <c r="ENT8" s="1876"/>
      <c r="ENU8" s="1876"/>
      <c r="ENV8" s="1876"/>
      <c r="ENW8" s="1876"/>
      <c r="ENX8" s="1876"/>
      <c r="ENY8" s="1876"/>
      <c r="ENZ8" s="1876"/>
      <c r="EOA8" s="1876"/>
      <c r="EOB8" s="1876"/>
      <c r="EOC8" s="1876"/>
      <c r="EOD8" s="1876"/>
      <c r="EOE8" s="1876"/>
      <c r="EOF8" s="1876"/>
      <c r="EOG8" s="1876"/>
      <c r="EOH8" s="1876"/>
      <c r="EOI8" s="1876"/>
      <c r="EOJ8" s="1876"/>
      <c r="EOK8" s="1876"/>
      <c r="EOL8" s="1876"/>
      <c r="EOM8" s="1876"/>
      <c r="EON8" s="1876"/>
      <c r="EOO8" s="1876"/>
      <c r="EOP8" s="1876"/>
      <c r="EOQ8" s="1876"/>
      <c r="EOR8" s="1876"/>
      <c r="EOS8" s="1876"/>
      <c r="EOT8" s="1876"/>
      <c r="EOU8" s="1876"/>
      <c r="EOV8" s="1876"/>
      <c r="EOW8" s="1876"/>
      <c r="EOX8" s="1876"/>
      <c r="EOY8" s="1876"/>
      <c r="EOZ8" s="1876"/>
      <c r="EPA8" s="1876"/>
      <c r="EPB8" s="1876"/>
      <c r="EPC8" s="1876"/>
      <c r="EPD8" s="1876"/>
      <c r="EPE8" s="1876"/>
      <c r="EPF8" s="1876"/>
      <c r="EPG8" s="1876"/>
      <c r="EPH8" s="1876"/>
      <c r="EPI8" s="1876"/>
      <c r="EPJ8" s="1876"/>
      <c r="EPK8" s="1876"/>
      <c r="EPL8" s="1876"/>
      <c r="EPM8" s="1876"/>
      <c r="EPN8" s="1876"/>
      <c r="EPO8" s="1876"/>
      <c r="EPP8" s="1876"/>
      <c r="EPQ8" s="1876"/>
      <c r="EPR8" s="1876"/>
      <c r="EPS8" s="1876"/>
      <c r="EPT8" s="1876"/>
      <c r="EPU8" s="1876"/>
      <c r="EPV8" s="1876"/>
      <c r="EPW8" s="1876"/>
      <c r="EPX8" s="1876"/>
      <c r="EPY8" s="1876"/>
      <c r="EPZ8" s="1876"/>
      <c r="EQA8" s="1876"/>
      <c r="EQB8" s="1876"/>
      <c r="EQC8" s="1876"/>
      <c r="EQD8" s="1876"/>
      <c r="EQE8" s="1876"/>
      <c r="EQF8" s="1876"/>
      <c r="EQG8" s="1876"/>
      <c r="EQH8" s="1876"/>
      <c r="EQI8" s="1876"/>
      <c r="EQJ8" s="1876"/>
      <c r="EQK8" s="1876"/>
      <c r="EQL8" s="1876"/>
      <c r="EQM8" s="1876"/>
      <c r="EQN8" s="1876"/>
      <c r="EQO8" s="1876"/>
      <c r="EQP8" s="1876"/>
      <c r="EQQ8" s="1876"/>
      <c r="EQR8" s="1876"/>
      <c r="EQS8" s="1876"/>
      <c r="EQT8" s="1876"/>
      <c r="EQU8" s="1876"/>
      <c r="EQV8" s="1876"/>
      <c r="EQW8" s="1876"/>
      <c r="EQX8" s="1876"/>
      <c r="EQY8" s="1876"/>
      <c r="EQZ8" s="1876"/>
      <c r="ERA8" s="1876"/>
      <c r="ERB8" s="1876"/>
      <c r="ERC8" s="1876"/>
      <c r="ERD8" s="1876"/>
      <c r="ERE8" s="1876"/>
      <c r="ERF8" s="1876"/>
      <c r="ERG8" s="1876"/>
      <c r="ERH8" s="1876"/>
      <c r="ERI8" s="1876"/>
      <c r="ERJ8" s="1876"/>
      <c r="ERK8" s="1876"/>
      <c r="ERL8" s="1876"/>
      <c r="ERM8" s="1876"/>
      <c r="ERN8" s="1876"/>
      <c r="ERO8" s="1876"/>
      <c r="ERP8" s="1876"/>
      <c r="ERQ8" s="1876"/>
      <c r="ERR8" s="1876"/>
      <c r="ERS8" s="1876"/>
      <c r="ERT8" s="1876"/>
      <c r="ERU8" s="1876"/>
      <c r="ERV8" s="1876"/>
      <c r="ERW8" s="1876"/>
      <c r="ERX8" s="1876"/>
      <c r="ERY8" s="1876"/>
      <c r="ERZ8" s="1876"/>
      <c r="ESA8" s="1876"/>
      <c r="ESB8" s="1876"/>
      <c r="ESC8" s="1876"/>
      <c r="ESD8" s="1876"/>
      <c r="ESE8" s="1876"/>
      <c r="ESF8" s="1876"/>
      <c r="ESG8" s="1876"/>
      <c r="ESH8" s="1876"/>
      <c r="ESI8" s="1876"/>
      <c r="ESJ8" s="1876"/>
      <c r="ESK8" s="1876"/>
      <c r="ESL8" s="1876"/>
      <c r="ESM8" s="1876"/>
      <c r="ESN8" s="1876"/>
      <c r="ESO8" s="1876"/>
      <c r="ESP8" s="1876"/>
      <c r="ESQ8" s="1876"/>
      <c r="ESR8" s="1876"/>
      <c r="ESS8" s="1876"/>
      <c r="EST8" s="1876"/>
      <c r="ESU8" s="1876"/>
      <c r="ESV8" s="1876"/>
      <c r="ESW8" s="1876"/>
      <c r="ESX8" s="1876"/>
      <c r="ESY8" s="1876"/>
      <c r="ESZ8" s="1876"/>
      <c r="ETA8" s="1876"/>
      <c r="ETB8" s="1876"/>
      <c r="ETC8" s="1876"/>
      <c r="ETD8" s="1876"/>
      <c r="ETE8" s="1876"/>
      <c r="ETF8" s="1876"/>
      <c r="ETG8" s="1876"/>
      <c r="ETH8" s="1876"/>
      <c r="ETI8" s="1876"/>
      <c r="ETJ8" s="1876"/>
      <c r="ETK8" s="1876"/>
      <c r="ETL8" s="1876"/>
      <c r="ETM8" s="1876"/>
      <c r="ETN8" s="1876"/>
      <c r="ETO8" s="1876"/>
      <c r="ETP8" s="1876"/>
      <c r="ETQ8" s="1876"/>
      <c r="ETR8" s="1876"/>
      <c r="ETS8" s="1876"/>
      <c r="ETT8" s="1876"/>
      <c r="ETU8" s="1876"/>
      <c r="ETV8" s="1876"/>
      <c r="ETW8" s="1876"/>
      <c r="ETX8" s="1876"/>
      <c r="ETY8" s="1876"/>
      <c r="ETZ8" s="1876"/>
      <c r="EUA8" s="1876"/>
      <c r="EUB8" s="1876"/>
      <c r="EUC8" s="1876"/>
      <c r="EUD8" s="1876"/>
      <c r="EUE8" s="1876"/>
      <c r="EUF8" s="1876"/>
      <c r="EUG8" s="1876"/>
      <c r="EUH8" s="1876"/>
      <c r="EUI8" s="1876"/>
      <c r="EUJ8" s="1876"/>
      <c r="EUK8" s="1876"/>
      <c r="EUL8" s="1876"/>
      <c r="EUM8" s="1876"/>
      <c r="EUN8" s="1876"/>
      <c r="EUO8" s="1876"/>
      <c r="EUP8" s="1876"/>
      <c r="EUQ8" s="1876"/>
      <c r="EUR8" s="1876"/>
      <c r="EUS8" s="1876"/>
      <c r="EUT8" s="1876"/>
      <c r="EUU8" s="1876"/>
      <c r="EUV8" s="1876"/>
      <c r="EUW8" s="1876"/>
      <c r="EUX8" s="1876"/>
      <c r="EUY8" s="1876"/>
      <c r="EUZ8" s="1876"/>
      <c r="EVA8" s="1876"/>
      <c r="EVB8" s="1876"/>
      <c r="EVC8" s="1876"/>
      <c r="EVD8" s="1876"/>
      <c r="EVE8" s="1876"/>
      <c r="EVF8" s="1876"/>
      <c r="EVG8" s="1876"/>
      <c r="EVH8" s="1876"/>
      <c r="EVI8" s="1876"/>
      <c r="EVJ8" s="1876"/>
      <c r="EVK8" s="1876"/>
      <c r="EVL8" s="1876"/>
      <c r="EVM8" s="1876"/>
      <c r="EVN8" s="1876"/>
      <c r="EVO8" s="1876"/>
      <c r="EVP8" s="1876"/>
      <c r="EVQ8" s="1876"/>
      <c r="EVR8" s="1876"/>
      <c r="EVS8" s="1876"/>
      <c r="EVT8" s="1876"/>
      <c r="EVU8" s="1876"/>
      <c r="EVV8" s="1876"/>
      <c r="EVW8" s="1876"/>
      <c r="EVX8" s="1876"/>
      <c r="EVY8" s="1876"/>
      <c r="EVZ8" s="1876"/>
      <c r="EWA8" s="1876"/>
      <c r="EWB8" s="1876"/>
      <c r="EWC8" s="1876"/>
      <c r="EWD8" s="1876"/>
      <c r="EWE8" s="1876"/>
      <c r="EWF8" s="1876"/>
      <c r="EWG8" s="1876"/>
      <c r="EWH8" s="1876"/>
      <c r="EWI8" s="1876"/>
      <c r="EWJ8" s="1876"/>
      <c r="EWK8" s="1876"/>
      <c r="EWL8" s="1876"/>
      <c r="EWM8" s="1876"/>
      <c r="EWN8" s="1876"/>
      <c r="EWO8" s="1876"/>
      <c r="EWP8" s="1876"/>
      <c r="EWQ8" s="1876"/>
      <c r="EWR8" s="1876"/>
      <c r="EWS8" s="1876"/>
      <c r="EWT8" s="1876"/>
      <c r="EWU8" s="1876"/>
      <c r="EWV8" s="1876"/>
      <c r="EWW8" s="1876"/>
      <c r="EWX8" s="1876"/>
      <c r="EWY8" s="1876"/>
      <c r="EWZ8" s="1876"/>
      <c r="EXA8" s="1876"/>
      <c r="EXB8" s="1876"/>
      <c r="EXC8" s="1876"/>
      <c r="EXD8" s="1876"/>
      <c r="EXE8" s="1876"/>
      <c r="EXF8" s="1876"/>
      <c r="EXG8" s="1876"/>
      <c r="EXH8" s="1876"/>
      <c r="EXI8" s="1876"/>
      <c r="EXJ8" s="1876"/>
      <c r="EXK8" s="1876"/>
      <c r="EXL8" s="1876"/>
      <c r="EXM8" s="1876"/>
      <c r="EXN8" s="1876"/>
      <c r="EXO8" s="1876"/>
      <c r="EXP8" s="1876"/>
      <c r="EXQ8" s="1876"/>
      <c r="EXR8" s="1876"/>
      <c r="EXS8" s="1876"/>
      <c r="EXT8" s="1876"/>
      <c r="EXU8" s="1876"/>
      <c r="EXV8" s="1876"/>
      <c r="EXW8" s="1876"/>
      <c r="EXX8" s="1876"/>
      <c r="EXY8" s="1876"/>
      <c r="EXZ8" s="1876"/>
      <c r="EYA8" s="1876"/>
      <c r="EYB8" s="1876"/>
      <c r="EYC8" s="1876"/>
      <c r="EYD8" s="1876"/>
      <c r="EYE8" s="1876"/>
      <c r="EYF8" s="1876"/>
      <c r="EYG8" s="1876"/>
      <c r="EYH8" s="1876"/>
      <c r="EYI8" s="1876"/>
      <c r="EYJ8" s="1876"/>
      <c r="EYK8" s="1876"/>
      <c r="EYL8" s="1876"/>
      <c r="EYM8" s="1876"/>
      <c r="EYN8" s="1876"/>
      <c r="EYO8" s="1876"/>
      <c r="EYP8" s="1876"/>
      <c r="EYQ8" s="1876"/>
      <c r="EYR8" s="1876"/>
      <c r="EYS8" s="1876"/>
      <c r="EYT8" s="1876"/>
      <c r="EYU8" s="1876"/>
      <c r="EYV8" s="1876"/>
      <c r="EYW8" s="1876"/>
      <c r="EYX8" s="1876"/>
      <c r="EYY8" s="1876"/>
      <c r="EYZ8" s="1876"/>
      <c r="EZA8" s="1876"/>
      <c r="EZB8" s="1876"/>
      <c r="EZC8" s="1876"/>
      <c r="EZD8" s="1876"/>
      <c r="EZE8" s="1876"/>
      <c r="EZF8" s="1876"/>
      <c r="EZG8" s="1876"/>
      <c r="EZH8" s="1876"/>
      <c r="EZI8" s="1876"/>
      <c r="EZJ8" s="1876"/>
      <c r="EZK8" s="1876"/>
      <c r="EZL8" s="1876"/>
      <c r="EZM8" s="1876"/>
      <c r="EZN8" s="1876"/>
      <c r="EZO8" s="1876"/>
      <c r="EZP8" s="1876"/>
      <c r="EZQ8" s="1876"/>
      <c r="EZR8" s="1876"/>
      <c r="EZS8" s="1876"/>
      <c r="EZT8" s="1876"/>
      <c r="EZU8" s="1876"/>
      <c r="EZV8" s="1876"/>
      <c r="EZW8" s="1876"/>
      <c r="EZX8" s="1876"/>
      <c r="EZY8" s="1876"/>
      <c r="EZZ8" s="1876"/>
      <c r="FAA8" s="1876"/>
      <c r="FAB8" s="1876"/>
      <c r="FAC8" s="1876"/>
      <c r="FAD8" s="1876"/>
      <c r="FAE8" s="1876"/>
      <c r="FAF8" s="1876"/>
      <c r="FAG8" s="1876"/>
      <c r="FAH8" s="1876"/>
      <c r="FAI8" s="1876"/>
      <c r="FAJ8" s="1876"/>
      <c r="FAK8" s="1876"/>
      <c r="FAL8" s="1876"/>
      <c r="FAM8" s="1876"/>
      <c r="FAN8" s="1876"/>
      <c r="FAO8" s="1876"/>
      <c r="FAP8" s="1876"/>
      <c r="FAQ8" s="1876"/>
      <c r="FAR8" s="1876"/>
      <c r="FAS8" s="1876"/>
      <c r="FAT8" s="1876"/>
      <c r="FAU8" s="1876"/>
      <c r="FAV8" s="1876"/>
      <c r="FAW8" s="1876"/>
      <c r="FAX8" s="1876"/>
      <c r="FAY8" s="1876"/>
      <c r="FAZ8" s="1876"/>
      <c r="FBA8" s="1876"/>
      <c r="FBB8" s="1876"/>
      <c r="FBC8" s="1876"/>
      <c r="FBD8" s="1876"/>
      <c r="FBE8" s="1876"/>
      <c r="FBF8" s="1876"/>
      <c r="FBG8" s="1876"/>
      <c r="FBH8" s="1876"/>
      <c r="FBI8" s="1876"/>
      <c r="FBJ8" s="1876"/>
      <c r="FBK8" s="1876"/>
      <c r="FBL8" s="1876"/>
      <c r="FBM8" s="1876"/>
      <c r="FBN8" s="1876"/>
      <c r="FBO8" s="1876"/>
      <c r="FBP8" s="1876"/>
      <c r="FBQ8" s="1876"/>
      <c r="FBR8" s="1876"/>
      <c r="FBS8" s="1876"/>
      <c r="FBT8" s="1876"/>
      <c r="FBU8" s="1876"/>
      <c r="FBV8" s="1876"/>
      <c r="FBW8" s="1876"/>
      <c r="FBX8" s="1876"/>
      <c r="FBY8" s="1876"/>
      <c r="FBZ8" s="1876"/>
      <c r="FCA8" s="1876"/>
      <c r="FCB8" s="1876"/>
      <c r="FCC8" s="1876"/>
      <c r="FCD8" s="1876"/>
      <c r="FCE8" s="1876"/>
      <c r="FCF8" s="1876"/>
      <c r="FCG8" s="1876"/>
      <c r="FCH8" s="1876"/>
      <c r="FCI8" s="1876"/>
      <c r="FCJ8" s="1876"/>
      <c r="FCK8" s="1876"/>
      <c r="FCL8" s="1876"/>
      <c r="FCM8" s="1876"/>
      <c r="FCN8" s="1876"/>
      <c r="FCO8" s="1876"/>
      <c r="FCP8" s="1876"/>
      <c r="FCQ8" s="1876"/>
      <c r="FCR8" s="1876"/>
      <c r="FCS8" s="1876"/>
      <c r="FCT8" s="1876"/>
      <c r="FCU8" s="1876"/>
      <c r="FCV8" s="1876"/>
      <c r="FCW8" s="1876"/>
      <c r="FCX8" s="1876"/>
      <c r="FCY8" s="1876"/>
      <c r="FCZ8" s="1876"/>
      <c r="FDA8" s="1876"/>
      <c r="FDB8" s="1876"/>
      <c r="FDC8" s="1876"/>
      <c r="FDD8" s="1876"/>
      <c r="FDE8" s="1876"/>
      <c r="FDF8" s="1876"/>
      <c r="FDG8" s="1876"/>
      <c r="FDH8" s="1876"/>
      <c r="FDI8" s="1876"/>
      <c r="FDJ8" s="1876"/>
      <c r="FDK8" s="1876"/>
      <c r="FDL8" s="1876"/>
      <c r="FDM8" s="1876"/>
      <c r="FDN8" s="1876"/>
      <c r="FDO8" s="1876"/>
      <c r="FDP8" s="1876"/>
      <c r="FDQ8" s="1876"/>
      <c r="FDR8" s="1876"/>
      <c r="FDS8" s="1876"/>
      <c r="FDT8" s="1876"/>
      <c r="FDU8" s="1876"/>
      <c r="FDV8" s="1876"/>
      <c r="FDW8" s="1876"/>
      <c r="FDX8" s="1876"/>
      <c r="FDY8" s="1876"/>
      <c r="FDZ8" s="1876"/>
      <c r="FEA8" s="1876"/>
      <c r="FEB8" s="1876"/>
      <c r="FEC8" s="1876"/>
      <c r="FED8" s="1876"/>
      <c r="FEE8" s="1876"/>
      <c r="FEF8" s="1876"/>
      <c r="FEG8" s="1876"/>
      <c r="FEH8" s="1876"/>
      <c r="FEI8" s="1876"/>
      <c r="FEJ8" s="1876"/>
      <c r="FEK8" s="1876"/>
      <c r="FEL8" s="1876"/>
      <c r="FEM8" s="1876"/>
      <c r="FEN8" s="1876"/>
      <c r="FEO8" s="1876"/>
      <c r="FEP8" s="1876"/>
      <c r="FEQ8" s="1876"/>
      <c r="FER8" s="1876"/>
      <c r="FES8" s="1876"/>
      <c r="FET8" s="1876"/>
      <c r="FEU8" s="1876"/>
      <c r="FEV8" s="1876"/>
      <c r="FEW8" s="1876"/>
      <c r="FEX8" s="1876"/>
      <c r="FEY8" s="1876"/>
      <c r="FEZ8" s="1876"/>
      <c r="FFA8" s="1876"/>
      <c r="FFB8" s="1876"/>
      <c r="FFC8" s="1876"/>
      <c r="FFD8" s="1876"/>
      <c r="FFE8" s="1876"/>
      <c r="FFF8" s="1876"/>
      <c r="FFG8" s="1876"/>
      <c r="FFH8" s="1876"/>
      <c r="FFI8" s="1876"/>
      <c r="FFJ8" s="1876"/>
      <c r="FFK8" s="1876"/>
      <c r="FFL8" s="1876"/>
      <c r="FFM8" s="1876"/>
      <c r="FFN8" s="1876"/>
      <c r="FFO8" s="1876"/>
      <c r="FFP8" s="1876"/>
      <c r="FFQ8" s="1876"/>
      <c r="FFR8" s="1876"/>
      <c r="FFS8" s="1876"/>
      <c r="FFT8" s="1876"/>
      <c r="FFU8" s="1876"/>
      <c r="FFV8" s="1876"/>
      <c r="FFW8" s="1876"/>
      <c r="FFX8" s="1876"/>
      <c r="FFY8" s="1876"/>
      <c r="FFZ8" s="1876"/>
      <c r="FGA8" s="1876"/>
      <c r="FGB8" s="1876"/>
      <c r="FGC8" s="1876"/>
      <c r="FGD8" s="1876"/>
      <c r="FGE8" s="1876"/>
      <c r="FGF8" s="1876"/>
      <c r="FGG8" s="1876"/>
      <c r="FGH8" s="1876"/>
      <c r="FGI8" s="1876"/>
      <c r="FGJ8" s="1876"/>
      <c r="FGK8" s="1876"/>
      <c r="FGL8" s="1876"/>
      <c r="FGM8" s="1876"/>
      <c r="FGN8" s="1876"/>
      <c r="FGO8" s="1876"/>
      <c r="FGP8" s="1876"/>
      <c r="FGQ8" s="1876"/>
      <c r="FGR8" s="1876"/>
      <c r="FGS8" s="1876"/>
      <c r="FGT8" s="1876"/>
      <c r="FGU8" s="1876"/>
      <c r="FGV8" s="1876"/>
      <c r="FGW8" s="1876"/>
      <c r="FGX8" s="1876"/>
      <c r="FGY8" s="1876"/>
      <c r="FGZ8" s="1876"/>
      <c r="FHA8" s="1876"/>
      <c r="FHB8" s="1876"/>
      <c r="FHC8" s="1876"/>
      <c r="FHD8" s="1876"/>
      <c r="FHE8" s="1876"/>
      <c r="FHF8" s="1876"/>
      <c r="FHG8" s="1876"/>
      <c r="FHH8" s="1876"/>
      <c r="FHI8" s="1876"/>
      <c r="FHJ8" s="1876"/>
      <c r="FHK8" s="1876"/>
      <c r="FHL8" s="1876"/>
      <c r="FHM8" s="1876"/>
      <c r="FHN8" s="1876"/>
      <c r="FHO8" s="1876"/>
      <c r="FHP8" s="1876"/>
      <c r="FHQ8" s="1876"/>
      <c r="FHR8" s="1876"/>
      <c r="FHS8" s="1876"/>
      <c r="FHT8" s="1876"/>
      <c r="FHU8" s="1876"/>
      <c r="FHV8" s="1876"/>
      <c r="FHW8" s="1876"/>
      <c r="FHX8" s="1876"/>
      <c r="FHY8" s="1876"/>
      <c r="FHZ8" s="1876"/>
      <c r="FIA8" s="1876"/>
      <c r="FIB8" s="1876"/>
      <c r="FIC8" s="1876"/>
      <c r="FID8" s="1876"/>
      <c r="FIE8" s="1876"/>
      <c r="FIF8" s="1876"/>
      <c r="FIG8" s="1876"/>
      <c r="FIH8" s="1876"/>
      <c r="FII8" s="1876"/>
      <c r="FIJ8" s="1876"/>
      <c r="FIK8" s="1876"/>
      <c r="FIL8" s="1876"/>
      <c r="FIM8" s="1876"/>
      <c r="FIN8" s="1876"/>
      <c r="FIO8" s="1876"/>
      <c r="FIP8" s="1876"/>
      <c r="FIQ8" s="1876"/>
      <c r="FIR8" s="1876"/>
      <c r="FIS8" s="1876"/>
      <c r="FIT8" s="1876"/>
      <c r="FIU8" s="1876"/>
      <c r="FIV8" s="1876"/>
      <c r="FIW8" s="1876"/>
      <c r="FIX8" s="1876"/>
      <c r="FIY8" s="1876"/>
      <c r="FIZ8" s="1876"/>
      <c r="FJA8" s="1876"/>
      <c r="FJB8" s="1876"/>
      <c r="FJC8" s="1876"/>
      <c r="FJD8" s="1876"/>
      <c r="FJE8" s="1876"/>
      <c r="FJF8" s="1876"/>
      <c r="FJG8" s="1876"/>
      <c r="FJH8" s="1876"/>
      <c r="FJI8" s="1876"/>
      <c r="FJJ8" s="1876"/>
      <c r="FJK8" s="1876"/>
      <c r="FJL8" s="1876"/>
      <c r="FJM8" s="1876"/>
      <c r="FJN8" s="1876"/>
      <c r="FJO8" s="1876"/>
      <c r="FJP8" s="1876"/>
      <c r="FJQ8" s="1876"/>
      <c r="FJR8" s="1876"/>
      <c r="FJS8" s="1876"/>
      <c r="FJT8" s="1876"/>
      <c r="FJU8" s="1876"/>
      <c r="FJV8" s="1876"/>
      <c r="FJW8" s="1876"/>
      <c r="FJX8" s="1876"/>
      <c r="FJY8" s="1876"/>
      <c r="FJZ8" s="1876"/>
      <c r="FKA8" s="1876"/>
      <c r="FKB8" s="1876"/>
      <c r="FKC8" s="1876"/>
      <c r="FKD8" s="1876"/>
      <c r="FKE8" s="1876"/>
      <c r="FKF8" s="1876"/>
      <c r="FKG8" s="1876"/>
      <c r="FKH8" s="1876"/>
      <c r="FKI8" s="1876"/>
      <c r="FKJ8" s="1876"/>
      <c r="FKK8" s="1876"/>
      <c r="FKL8" s="1876"/>
      <c r="FKM8" s="1876"/>
      <c r="FKN8" s="1876"/>
      <c r="FKO8" s="1876"/>
      <c r="FKP8" s="1876"/>
      <c r="FKQ8" s="1876"/>
      <c r="FKR8" s="1876"/>
      <c r="FKS8" s="1876"/>
      <c r="FKT8" s="1876"/>
      <c r="FKU8" s="1876"/>
      <c r="FKV8" s="1876"/>
      <c r="FKW8" s="1876"/>
      <c r="FKX8" s="1876"/>
      <c r="FKY8" s="1876"/>
      <c r="FKZ8" s="1876"/>
      <c r="FLA8" s="1876"/>
      <c r="FLB8" s="1876"/>
      <c r="FLC8" s="1876"/>
      <c r="FLD8" s="1876"/>
      <c r="FLE8" s="1876"/>
      <c r="FLF8" s="1876"/>
      <c r="FLG8" s="1876"/>
      <c r="FLH8" s="1876"/>
      <c r="FLI8" s="1876"/>
      <c r="FLJ8" s="1876"/>
      <c r="FLK8" s="1876"/>
      <c r="FLL8" s="1876"/>
      <c r="FLM8" s="1876"/>
      <c r="FLN8" s="1876"/>
      <c r="FLO8" s="1876"/>
      <c r="FLP8" s="1876"/>
      <c r="FLQ8" s="1876"/>
      <c r="FLR8" s="1876"/>
      <c r="FLS8" s="1876"/>
      <c r="FLT8" s="1876"/>
      <c r="FLU8" s="1876"/>
      <c r="FLV8" s="1876"/>
      <c r="FLW8" s="1876"/>
      <c r="FLX8" s="1876"/>
      <c r="FLY8" s="1876"/>
      <c r="FLZ8" s="1876"/>
      <c r="FMA8" s="1876"/>
      <c r="FMB8" s="1876"/>
      <c r="FMC8" s="1876"/>
      <c r="FMD8" s="1876"/>
      <c r="FME8" s="1876"/>
      <c r="FMF8" s="1876"/>
      <c r="FMG8" s="1876"/>
      <c r="FMH8" s="1876"/>
      <c r="FMI8" s="1876"/>
      <c r="FMJ8" s="1876"/>
      <c r="FMK8" s="1876"/>
      <c r="FML8" s="1876"/>
      <c r="FMM8" s="1876"/>
      <c r="FMN8" s="1876"/>
      <c r="FMO8" s="1876"/>
      <c r="FMP8" s="1876"/>
      <c r="FMQ8" s="1876"/>
      <c r="FMR8" s="1876"/>
      <c r="FMS8" s="1876"/>
      <c r="FMT8" s="1876"/>
      <c r="FMU8" s="1876"/>
      <c r="FMV8" s="1876"/>
      <c r="FMW8" s="1876"/>
      <c r="FMX8" s="1876"/>
      <c r="FMY8" s="1876"/>
      <c r="FMZ8" s="1876"/>
      <c r="FNA8" s="1876"/>
      <c r="FNB8" s="1876"/>
      <c r="FNC8" s="1876"/>
      <c r="FND8" s="1876"/>
      <c r="FNE8" s="1876"/>
      <c r="FNF8" s="1876"/>
      <c r="FNG8" s="1876"/>
      <c r="FNH8" s="1876"/>
      <c r="FNI8" s="1876"/>
      <c r="FNJ8" s="1876"/>
      <c r="FNK8" s="1876"/>
      <c r="FNL8" s="1876"/>
      <c r="FNM8" s="1876"/>
      <c r="FNN8" s="1876"/>
      <c r="FNO8" s="1876"/>
      <c r="FNP8" s="1876"/>
      <c r="FNQ8" s="1876"/>
      <c r="FNR8" s="1876"/>
      <c r="FNS8" s="1876"/>
      <c r="FNT8" s="1876"/>
      <c r="FNU8" s="1876"/>
      <c r="FNV8" s="1876"/>
      <c r="FNW8" s="1876"/>
      <c r="FNX8" s="1876"/>
      <c r="FNY8" s="1876"/>
      <c r="FNZ8" s="1876"/>
      <c r="FOA8" s="1876"/>
      <c r="FOB8" s="1876"/>
      <c r="FOC8" s="1876"/>
      <c r="FOD8" s="1876"/>
      <c r="FOE8" s="1876"/>
      <c r="FOF8" s="1876"/>
      <c r="FOG8" s="1876"/>
      <c r="FOH8" s="1876"/>
      <c r="FOI8" s="1876"/>
      <c r="FOJ8" s="1876"/>
      <c r="FOK8" s="1876"/>
      <c r="FOL8" s="1876"/>
      <c r="FOM8" s="1876"/>
      <c r="FON8" s="1876"/>
      <c r="FOO8" s="1876"/>
      <c r="FOP8" s="1876"/>
      <c r="FOQ8" s="1876"/>
      <c r="FOR8" s="1876"/>
      <c r="FOS8" s="1876"/>
      <c r="FOT8" s="1876"/>
      <c r="FOU8" s="1876"/>
      <c r="FOV8" s="1876"/>
      <c r="FOW8" s="1876"/>
      <c r="FOX8" s="1876"/>
      <c r="FOY8" s="1876"/>
      <c r="FOZ8" s="1876"/>
      <c r="FPA8" s="1876"/>
      <c r="FPB8" s="1876"/>
      <c r="FPC8" s="1876"/>
      <c r="FPD8" s="1876"/>
      <c r="FPE8" s="1876"/>
      <c r="FPF8" s="1876"/>
      <c r="FPG8" s="1876"/>
      <c r="FPH8" s="1876"/>
      <c r="FPI8" s="1876"/>
      <c r="FPJ8" s="1876"/>
      <c r="FPK8" s="1876"/>
      <c r="FPL8" s="1876"/>
      <c r="FPM8" s="1876"/>
      <c r="FPN8" s="1876"/>
      <c r="FPO8" s="1876"/>
      <c r="FPP8" s="1876"/>
      <c r="FPQ8" s="1876"/>
      <c r="FPR8" s="1876"/>
      <c r="FPS8" s="1876"/>
      <c r="FPT8" s="1876"/>
      <c r="FPU8" s="1876"/>
      <c r="FPV8" s="1876"/>
      <c r="FPW8" s="1876"/>
      <c r="FPX8" s="1876"/>
      <c r="FPY8" s="1876"/>
      <c r="FPZ8" s="1876"/>
      <c r="FQA8" s="1876"/>
      <c r="FQB8" s="1876"/>
      <c r="FQC8" s="1876"/>
      <c r="FQD8" s="1876"/>
      <c r="FQE8" s="1876"/>
      <c r="FQF8" s="1876"/>
      <c r="FQG8" s="1876"/>
      <c r="FQH8" s="1876"/>
      <c r="FQI8" s="1876"/>
      <c r="FQJ8" s="1876"/>
      <c r="FQK8" s="1876"/>
      <c r="FQL8" s="1876"/>
      <c r="FQM8" s="1876"/>
      <c r="FQN8" s="1876"/>
      <c r="FQO8" s="1876"/>
      <c r="FQP8" s="1876"/>
      <c r="FQQ8" s="1876"/>
      <c r="FQR8" s="1876"/>
      <c r="FQS8" s="1876"/>
      <c r="FQT8" s="1876"/>
      <c r="FQU8" s="1876"/>
      <c r="FQV8" s="1876"/>
      <c r="FQW8" s="1876"/>
      <c r="FQX8" s="1876"/>
      <c r="FQY8" s="1876"/>
      <c r="FQZ8" s="1876"/>
      <c r="FRA8" s="1876"/>
      <c r="FRB8" s="1876"/>
      <c r="FRC8" s="1876"/>
      <c r="FRD8" s="1876"/>
      <c r="FRE8" s="1876"/>
      <c r="FRF8" s="1876"/>
      <c r="FRG8" s="1876"/>
      <c r="FRH8" s="1876"/>
      <c r="FRI8" s="1876"/>
      <c r="FRJ8" s="1876"/>
      <c r="FRK8" s="1876"/>
      <c r="FRL8" s="1876"/>
      <c r="FRM8" s="1876"/>
      <c r="FRN8" s="1876"/>
      <c r="FRO8" s="1876"/>
      <c r="FRP8" s="1876"/>
      <c r="FRQ8" s="1876"/>
      <c r="FRR8" s="1876"/>
      <c r="FRS8" s="1876"/>
      <c r="FRT8" s="1876"/>
      <c r="FRU8" s="1876"/>
      <c r="FRV8" s="1876"/>
      <c r="FRW8" s="1876"/>
      <c r="FRX8" s="1876"/>
      <c r="FRY8" s="1876"/>
      <c r="FRZ8" s="1876"/>
      <c r="FSA8" s="1876"/>
      <c r="FSB8" s="1876"/>
      <c r="FSC8" s="1876"/>
      <c r="FSD8" s="1876"/>
      <c r="FSE8" s="1876"/>
      <c r="FSF8" s="1876"/>
      <c r="FSG8" s="1876"/>
      <c r="FSH8" s="1876"/>
      <c r="FSI8" s="1876"/>
      <c r="FSJ8" s="1876"/>
      <c r="FSK8" s="1876"/>
      <c r="FSL8" s="1876"/>
      <c r="FSM8" s="1876"/>
      <c r="FSN8" s="1876"/>
      <c r="FSO8" s="1876"/>
      <c r="FSP8" s="1876"/>
      <c r="FSQ8" s="1876"/>
      <c r="FSR8" s="1876"/>
      <c r="FSS8" s="1876"/>
      <c r="FST8" s="1876"/>
      <c r="FSU8" s="1876"/>
      <c r="FSV8" s="1876"/>
      <c r="FSW8" s="1876"/>
      <c r="FSX8" s="1876"/>
      <c r="FSY8" s="1876"/>
      <c r="FSZ8" s="1876"/>
      <c r="FTA8" s="1876"/>
      <c r="FTB8" s="1876"/>
      <c r="FTC8" s="1876"/>
      <c r="FTD8" s="1876"/>
      <c r="FTE8" s="1876"/>
      <c r="FTF8" s="1876"/>
      <c r="FTG8" s="1876"/>
      <c r="FTH8" s="1876"/>
      <c r="FTI8" s="1876"/>
      <c r="FTJ8" s="1876"/>
      <c r="FTK8" s="1876"/>
      <c r="FTL8" s="1876"/>
      <c r="FTM8" s="1876"/>
      <c r="FTN8" s="1876"/>
      <c r="FTO8" s="1876"/>
      <c r="FTP8" s="1876"/>
      <c r="FTQ8" s="1876"/>
      <c r="FTR8" s="1876"/>
      <c r="FTS8" s="1876"/>
      <c r="FTT8" s="1876"/>
      <c r="FTU8" s="1876"/>
      <c r="FTV8" s="1876"/>
      <c r="FTW8" s="1876"/>
      <c r="FTX8" s="1876"/>
      <c r="FTY8" s="1876"/>
      <c r="FTZ8" s="1876"/>
      <c r="FUA8" s="1876"/>
      <c r="FUB8" s="1876"/>
      <c r="FUC8" s="1876"/>
      <c r="FUD8" s="1876"/>
      <c r="FUE8" s="1876"/>
      <c r="FUF8" s="1876"/>
      <c r="FUG8" s="1876"/>
      <c r="FUH8" s="1876"/>
      <c r="FUI8" s="1876"/>
      <c r="FUJ8" s="1876"/>
      <c r="FUK8" s="1876"/>
      <c r="FUL8" s="1876"/>
      <c r="FUM8" s="1876"/>
      <c r="FUN8" s="1876"/>
      <c r="FUO8" s="1876"/>
      <c r="FUP8" s="1876"/>
      <c r="FUQ8" s="1876"/>
      <c r="FUR8" s="1876"/>
      <c r="FUS8" s="1876"/>
      <c r="FUT8" s="1876"/>
      <c r="FUU8" s="1876"/>
      <c r="FUV8" s="1876"/>
      <c r="FUW8" s="1876"/>
      <c r="FUX8" s="1876"/>
      <c r="FUY8" s="1876"/>
      <c r="FUZ8" s="1876"/>
      <c r="FVA8" s="1876"/>
      <c r="FVB8" s="1876"/>
      <c r="FVC8" s="1876"/>
      <c r="FVD8" s="1876"/>
      <c r="FVE8" s="1876"/>
      <c r="FVF8" s="1876"/>
      <c r="FVG8" s="1876"/>
      <c r="FVH8" s="1876"/>
      <c r="FVI8" s="1876"/>
      <c r="FVJ8" s="1876"/>
      <c r="FVK8" s="1876"/>
      <c r="FVL8" s="1876"/>
      <c r="FVM8" s="1876"/>
      <c r="FVN8" s="1876"/>
      <c r="FVO8" s="1876"/>
      <c r="FVP8" s="1876"/>
      <c r="FVQ8" s="1876"/>
      <c r="FVR8" s="1876"/>
      <c r="FVS8" s="1876"/>
      <c r="FVT8" s="1876"/>
      <c r="FVU8" s="1876"/>
      <c r="FVV8" s="1876"/>
      <c r="FVW8" s="1876"/>
      <c r="FVX8" s="1876"/>
      <c r="FVY8" s="1876"/>
      <c r="FVZ8" s="1876"/>
      <c r="FWA8" s="1876"/>
      <c r="FWB8" s="1876"/>
      <c r="FWC8" s="1876"/>
      <c r="FWD8" s="1876"/>
      <c r="FWE8" s="1876"/>
      <c r="FWF8" s="1876"/>
      <c r="FWG8" s="1876"/>
      <c r="FWH8" s="1876"/>
      <c r="FWI8" s="1876"/>
      <c r="FWJ8" s="1876"/>
      <c r="FWK8" s="1876"/>
      <c r="FWL8" s="1876"/>
      <c r="FWM8" s="1876"/>
      <c r="FWN8" s="1876"/>
      <c r="FWO8" s="1876"/>
      <c r="FWP8" s="1876"/>
      <c r="FWQ8" s="1876"/>
      <c r="FWR8" s="1876"/>
      <c r="FWS8" s="1876"/>
      <c r="FWT8" s="1876"/>
      <c r="FWU8" s="1876"/>
      <c r="FWV8" s="1876"/>
      <c r="FWW8" s="1876"/>
      <c r="FWX8" s="1876"/>
      <c r="FWY8" s="1876"/>
      <c r="FWZ8" s="1876"/>
      <c r="FXA8" s="1876"/>
      <c r="FXB8" s="1876"/>
      <c r="FXC8" s="1876"/>
      <c r="FXD8" s="1876"/>
      <c r="FXE8" s="1876"/>
      <c r="FXF8" s="1876"/>
      <c r="FXG8" s="1876"/>
      <c r="FXH8" s="1876"/>
      <c r="FXI8" s="1876"/>
      <c r="FXJ8" s="1876"/>
      <c r="FXK8" s="1876"/>
      <c r="FXL8" s="1876"/>
      <c r="FXM8" s="1876"/>
      <c r="FXN8" s="1876"/>
      <c r="FXO8" s="1876"/>
      <c r="FXP8" s="1876"/>
      <c r="FXQ8" s="1876"/>
      <c r="FXR8" s="1876"/>
      <c r="FXS8" s="1876"/>
      <c r="FXT8" s="1876"/>
      <c r="FXU8" s="1876"/>
      <c r="FXV8" s="1876"/>
      <c r="FXW8" s="1876"/>
      <c r="FXX8" s="1876"/>
      <c r="FXY8" s="1876"/>
      <c r="FXZ8" s="1876"/>
      <c r="FYA8" s="1876"/>
      <c r="FYB8" s="1876"/>
      <c r="FYC8" s="1876"/>
      <c r="FYD8" s="1876"/>
      <c r="FYE8" s="1876"/>
      <c r="FYF8" s="1876"/>
      <c r="FYG8" s="1876"/>
      <c r="FYH8" s="1876"/>
      <c r="FYI8" s="1876"/>
      <c r="FYJ8" s="1876"/>
      <c r="FYK8" s="1876"/>
      <c r="FYL8" s="1876"/>
      <c r="FYM8" s="1876"/>
      <c r="FYN8" s="1876"/>
      <c r="FYO8" s="1876"/>
      <c r="FYP8" s="1876"/>
      <c r="FYQ8" s="1876"/>
      <c r="FYR8" s="1876"/>
      <c r="FYS8" s="1876"/>
      <c r="FYT8" s="1876"/>
      <c r="FYU8" s="1876"/>
      <c r="FYV8" s="1876"/>
      <c r="FYW8" s="1876"/>
      <c r="FYX8" s="1876"/>
      <c r="FYY8" s="1876"/>
      <c r="FYZ8" s="1876"/>
      <c r="FZA8" s="1876"/>
      <c r="FZB8" s="1876"/>
      <c r="FZC8" s="1876"/>
      <c r="FZD8" s="1876"/>
      <c r="FZE8" s="1876"/>
      <c r="FZF8" s="1876"/>
      <c r="FZG8" s="1876"/>
      <c r="FZH8" s="1876"/>
      <c r="FZI8" s="1876"/>
      <c r="FZJ8" s="1876"/>
      <c r="FZK8" s="1876"/>
      <c r="FZL8" s="1876"/>
      <c r="FZM8" s="1876"/>
      <c r="FZN8" s="1876"/>
      <c r="FZO8" s="1876"/>
      <c r="FZP8" s="1876"/>
      <c r="FZQ8" s="1876"/>
      <c r="FZR8" s="1876"/>
      <c r="FZS8" s="1876"/>
      <c r="FZT8" s="1876"/>
      <c r="FZU8" s="1876"/>
      <c r="FZV8" s="1876"/>
      <c r="FZW8" s="1876"/>
      <c r="FZX8" s="1876"/>
      <c r="FZY8" s="1876"/>
      <c r="FZZ8" s="1876"/>
      <c r="GAA8" s="1876"/>
      <c r="GAB8" s="1876"/>
      <c r="GAC8" s="1876"/>
      <c r="GAD8" s="1876"/>
      <c r="GAE8" s="1876"/>
      <c r="GAF8" s="1876"/>
      <c r="GAG8" s="1876"/>
      <c r="GAH8" s="1876"/>
      <c r="GAI8" s="1876"/>
      <c r="GAJ8" s="1876"/>
      <c r="GAK8" s="1876"/>
      <c r="GAL8" s="1876"/>
      <c r="GAM8" s="1876"/>
      <c r="GAN8" s="1876"/>
      <c r="GAO8" s="1876"/>
      <c r="GAP8" s="1876"/>
      <c r="GAQ8" s="1876"/>
      <c r="GAR8" s="1876"/>
      <c r="GAS8" s="1876"/>
      <c r="GAT8" s="1876"/>
      <c r="GAU8" s="1876"/>
      <c r="GAV8" s="1876"/>
      <c r="GAW8" s="1876"/>
      <c r="GAX8" s="1876"/>
      <c r="GAY8" s="1876"/>
      <c r="GAZ8" s="1876"/>
      <c r="GBA8" s="1876"/>
      <c r="GBB8" s="1876"/>
      <c r="GBC8" s="1876"/>
      <c r="GBD8" s="1876"/>
      <c r="GBE8" s="1876"/>
      <c r="GBF8" s="1876"/>
      <c r="GBG8" s="1876"/>
      <c r="GBH8" s="1876"/>
      <c r="GBI8" s="1876"/>
      <c r="GBJ8" s="1876"/>
      <c r="GBK8" s="1876"/>
      <c r="GBL8" s="1876"/>
      <c r="GBM8" s="1876"/>
      <c r="GBN8" s="1876"/>
      <c r="GBO8" s="1876"/>
      <c r="GBP8" s="1876"/>
      <c r="GBQ8" s="1876"/>
      <c r="GBR8" s="1876"/>
      <c r="GBS8" s="1876"/>
      <c r="GBT8" s="1876"/>
      <c r="GBU8" s="1876"/>
      <c r="GBV8" s="1876"/>
      <c r="GBW8" s="1876"/>
      <c r="GBX8" s="1876"/>
      <c r="GBY8" s="1876"/>
      <c r="GBZ8" s="1876"/>
      <c r="GCA8" s="1876"/>
      <c r="GCB8" s="1876"/>
      <c r="GCC8" s="1876"/>
      <c r="GCD8" s="1876"/>
      <c r="GCE8" s="1876"/>
      <c r="GCF8" s="1876"/>
      <c r="GCG8" s="1876"/>
      <c r="GCH8" s="1876"/>
      <c r="GCI8" s="1876"/>
      <c r="GCJ8" s="1876"/>
      <c r="GCK8" s="1876"/>
      <c r="GCL8" s="1876"/>
      <c r="GCM8" s="1876"/>
      <c r="GCN8" s="1876"/>
      <c r="GCO8" s="1876"/>
      <c r="GCP8" s="1876"/>
      <c r="GCQ8" s="1876"/>
      <c r="GCR8" s="1876"/>
      <c r="GCS8" s="1876"/>
      <c r="GCT8" s="1876"/>
      <c r="GCU8" s="1876"/>
      <c r="GCV8" s="1876"/>
      <c r="GCW8" s="1876"/>
      <c r="GCX8" s="1876"/>
      <c r="GCY8" s="1876"/>
      <c r="GCZ8" s="1876"/>
      <c r="GDA8" s="1876"/>
      <c r="GDB8" s="1876"/>
      <c r="GDC8" s="1876"/>
      <c r="GDD8" s="1876"/>
      <c r="GDE8" s="1876"/>
      <c r="GDF8" s="1876"/>
      <c r="GDG8" s="1876"/>
      <c r="GDH8" s="1876"/>
      <c r="GDI8" s="1876"/>
      <c r="GDJ8" s="1876"/>
      <c r="GDK8" s="1876"/>
      <c r="GDL8" s="1876"/>
      <c r="GDM8" s="1876"/>
      <c r="GDN8" s="1876"/>
      <c r="GDO8" s="1876"/>
      <c r="GDP8" s="1876"/>
      <c r="GDQ8" s="1876"/>
      <c r="GDR8" s="1876"/>
      <c r="GDS8" s="1876"/>
      <c r="GDT8" s="1876"/>
      <c r="GDU8" s="1876"/>
      <c r="GDV8" s="1876"/>
      <c r="GDW8" s="1876"/>
      <c r="GDX8" s="1876"/>
      <c r="GDY8" s="1876"/>
      <c r="GDZ8" s="1876"/>
      <c r="GEA8" s="1876"/>
      <c r="GEB8" s="1876"/>
      <c r="GEC8" s="1876"/>
      <c r="GED8" s="1876"/>
      <c r="GEE8" s="1876"/>
      <c r="GEF8" s="1876"/>
      <c r="GEG8" s="1876"/>
      <c r="GEH8" s="1876"/>
      <c r="GEI8" s="1876"/>
      <c r="GEJ8" s="1876"/>
      <c r="GEK8" s="1876"/>
      <c r="GEL8" s="1876"/>
      <c r="GEM8" s="1876"/>
      <c r="GEN8" s="1876"/>
      <c r="GEO8" s="1876"/>
      <c r="GEP8" s="1876"/>
      <c r="GEQ8" s="1876"/>
      <c r="GER8" s="1876"/>
      <c r="GES8" s="1876"/>
      <c r="GET8" s="1876"/>
      <c r="GEU8" s="1876"/>
      <c r="GEV8" s="1876"/>
      <c r="GEW8" s="1876"/>
      <c r="GEX8" s="1876"/>
      <c r="GEY8" s="1876"/>
      <c r="GEZ8" s="1876"/>
      <c r="GFA8" s="1876"/>
      <c r="GFB8" s="1876"/>
      <c r="GFC8" s="1876"/>
      <c r="GFD8" s="1876"/>
      <c r="GFE8" s="1876"/>
      <c r="GFF8" s="1876"/>
      <c r="GFG8" s="1876"/>
      <c r="GFH8" s="1876"/>
      <c r="GFI8" s="1876"/>
      <c r="GFJ8" s="1876"/>
      <c r="GFK8" s="1876"/>
      <c r="GFL8" s="1876"/>
      <c r="GFM8" s="1876"/>
      <c r="GFN8" s="1876"/>
      <c r="GFO8" s="1876"/>
      <c r="GFP8" s="1876"/>
      <c r="GFQ8" s="1876"/>
      <c r="GFR8" s="1876"/>
      <c r="GFS8" s="1876"/>
      <c r="GFT8" s="1876"/>
      <c r="GFU8" s="1876"/>
      <c r="GFV8" s="1876"/>
      <c r="GFW8" s="1876"/>
      <c r="GFX8" s="1876"/>
      <c r="GFY8" s="1876"/>
      <c r="GFZ8" s="1876"/>
      <c r="GGA8" s="1876"/>
      <c r="GGB8" s="1876"/>
      <c r="GGC8" s="1876"/>
      <c r="GGD8" s="1876"/>
      <c r="GGE8" s="1876"/>
      <c r="GGF8" s="1876"/>
      <c r="GGG8" s="1876"/>
      <c r="GGH8" s="1876"/>
      <c r="GGI8" s="1876"/>
      <c r="GGJ8" s="1876"/>
      <c r="GGK8" s="1876"/>
      <c r="GGL8" s="1876"/>
      <c r="GGM8" s="1876"/>
      <c r="GGN8" s="1876"/>
      <c r="GGO8" s="1876"/>
      <c r="GGP8" s="1876"/>
      <c r="GGQ8" s="1876"/>
      <c r="GGR8" s="1876"/>
      <c r="GGS8" s="1876"/>
      <c r="GGT8" s="1876"/>
      <c r="GGU8" s="1876"/>
      <c r="GGV8" s="1876"/>
      <c r="GGW8" s="1876"/>
      <c r="GGX8" s="1876"/>
      <c r="GGY8" s="1876"/>
      <c r="GGZ8" s="1876"/>
      <c r="GHA8" s="1876"/>
      <c r="GHB8" s="1876"/>
      <c r="GHC8" s="1876"/>
      <c r="GHD8" s="1876"/>
      <c r="GHE8" s="1876"/>
      <c r="GHF8" s="1876"/>
      <c r="GHG8" s="1876"/>
      <c r="GHH8" s="1876"/>
      <c r="GHI8" s="1876"/>
      <c r="GHJ8" s="1876"/>
      <c r="GHK8" s="1876"/>
      <c r="GHL8" s="1876"/>
      <c r="GHM8" s="1876"/>
      <c r="GHN8" s="1876"/>
      <c r="GHO8" s="1876"/>
      <c r="GHP8" s="1876"/>
      <c r="GHQ8" s="1876"/>
      <c r="GHR8" s="1876"/>
      <c r="GHS8" s="1876"/>
      <c r="GHT8" s="1876"/>
      <c r="GHU8" s="1876"/>
      <c r="GHV8" s="1876"/>
      <c r="GHW8" s="1876"/>
      <c r="GHX8" s="1876"/>
      <c r="GHY8" s="1876"/>
      <c r="GHZ8" s="1876"/>
      <c r="GIA8" s="1876"/>
      <c r="GIB8" s="1876"/>
      <c r="GIC8" s="1876"/>
      <c r="GID8" s="1876"/>
      <c r="GIE8" s="1876"/>
      <c r="GIF8" s="1876"/>
      <c r="GIG8" s="1876"/>
      <c r="GIH8" s="1876"/>
      <c r="GII8" s="1876"/>
      <c r="GIJ8" s="1876"/>
      <c r="GIK8" s="1876"/>
      <c r="GIL8" s="1876"/>
      <c r="GIM8" s="1876"/>
      <c r="GIN8" s="1876"/>
      <c r="GIO8" s="1876"/>
      <c r="GIP8" s="1876"/>
      <c r="GIQ8" s="1876"/>
      <c r="GIR8" s="1876"/>
      <c r="GIS8" s="1876"/>
      <c r="GIT8" s="1876"/>
      <c r="GIU8" s="1876"/>
      <c r="GIV8" s="1876"/>
      <c r="GIW8" s="1876"/>
      <c r="GIX8" s="1876"/>
      <c r="GIY8" s="1876"/>
      <c r="GIZ8" s="1876"/>
      <c r="GJA8" s="1876"/>
      <c r="GJB8" s="1876"/>
      <c r="GJC8" s="1876"/>
      <c r="GJD8" s="1876"/>
      <c r="GJE8" s="1876"/>
      <c r="GJF8" s="1876"/>
      <c r="GJG8" s="1876"/>
      <c r="GJH8" s="1876"/>
      <c r="GJI8" s="1876"/>
      <c r="GJJ8" s="1876"/>
      <c r="GJK8" s="1876"/>
      <c r="GJL8" s="1876"/>
      <c r="GJM8" s="1876"/>
      <c r="GJN8" s="1876"/>
      <c r="GJO8" s="1876"/>
      <c r="GJP8" s="1876"/>
      <c r="GJQ8" s="1876"/>
      <c r="GJR8" s="1876"/>
      <c r="GJS8" s="1876"/>
      <c r="GJT8" s="1876"/>
      <c r="GJU8" s="1876"/>
      <c r="GJV8" s="1876"/>
      <c r="GJW8" s="1876"/>
      <c r="GJX8" s="1876"/>
      <c r="GJY8" s="1876"/>
      <c r="GJZ8" s="1876"/>
      <c r="GKA8" s="1876"/>
      <c r="GKB8" s="1876"/>
      <c r="GKC8" s="1876"/>
      <c r="GKD8" s="1876"/>
      <c r="GKE8" s="1876"/>
      <c r="GKF8" s="1876"/>
      <c r="GKG8" s="1876"/>
      <c r="GKH8" s="1876"/>
      <c r="GKI8" s="1876"/>
      <c r="GKJ8" s="1876"/>
      <c r="GKK8" s="1876"/>
      <c r="GKL8" s="1876"/>
      <c r="GKM8" s="1876"/>
      <c r="GKN8" s="1876"/>
      <c r="GKO8" s="1876"/>
      <c r="GKP8" s="1876"/>
      <c r="GKQ8" s="1876"/>
      <c r="GKR8" s="1876"/>
      <c r="GKS8" s="1876"/>
      <c r="GKT8" s="1876"/>
      <c r="GKU8" s="1876"/>
      <c r="GKV8" s="1876"/>
      <c r="GKW8" s="1876"/>
      <c r="GKX8" s="1876"/>
      <c r="GKY8" s="1876"/>
      <c r="GKZ8" s="1876"/>
      <c r="GLA8" s="1876"/>
      <c r="GLB8" s="1876"/>
      <c r="GLC8" s="1876"/>
      <c r="GLD8" s="1876"/>
      <c r="GLE8" s="1876"/>
      <c r="GLF8" s="1876"/>
      <c r="GLG8" s="1876"/>
      <c r="GLH8" s="1876"/>
      <c r="GLI8" s="1876"/>
      <c r="GLJ8" s="1876"/>
      <c r="GLK8" s="1876"/>
      <c r="GLL8" s="1876"/>
      <c r="GLM8" s="1876"/>
      <c r="GLN8" s="1876"/>
      <c r="GLO8" s="1876"/>
      <c r="GLP8" s="1876"/>
      <c r="GLQ8" s="1876"/>
      <c r="GLR8" s="1876"/>
      <c r="GLS8" s="1876"/>
      <c r="GLT8" s="1876"/>
      <c r="GLU8" s="1876"/>
      <c r="GLV8" s="1876"/>
      <c r="GLW8" s="1876"/>
      <c r="GLX8" s="1876"/>
      <c r="GLY8" s="1876"/>
      <c r="GLZ8" s="1876"/>
      <c r="GMA8" s="1876"/>
      <c r="GMB8" s="1876"/>
      <c r="GMC8" s="1876"/>
      <c r="GMD8" s="1876"/>
      <c r="GME8" s="1876"/>
      <c r="GMF8" s="1876"/>
      <c r="GMG8" s="1876"/>
      <c r="GMH8" s="1876"/>
      <c r="GMI8" s="1876"/>
      <c r="GMJ8" s="1876"/>
      <c r="GMK8" s="1876"/>
      <c r="GML8" s="1876"/>
      <c r="GMM8" s="1876"/>
      <c r="GMN8" s="1876"/>
      <c r="GMO8" s="1876"/>
      <c r="GMP8" s="1876"/>
      <c r="GMQ8" s="1876"/>
      <c r="GMR8" s="1876"/>
      <c r="GMS8" s="1876"/>
      <c r="GMT8" s="1876"/>
      <c r="GMU8" s="1876"/>
      <c r="GMV8" s="1876"/>
      <c r="GMW8" s="1876"/>
      <c r="GMX8" s="1876"/>
      <c r="GMY8" s="1876"/>
      <c r="GMZ8" s="1876"/>
      <c r="GNA8" s="1876"/>
      <c r="GNB8" s="1876"/>
      <c r="GNC8" s="1876"/>
      <c r="GND8" s="1876"/>
      <c r="GNE8" s="1876"/>
      <c r="GNF8" s="1876"/>
      <c r="GNG8" s="1876"/>
      <c r="GNH8" s="1876"/>
      <c r="GNI8" s="1876"/>
      <c r="GNJ8" s="1876"/>
      <c r="GNK8" s="1876"/>
      <c r="GNL8" s="1876"/>
      <c r="GNM8" s="1876"/>
      <c r="GNN8" s="1876"/>
      <c r="GNO8" s="1876"/>
      <c r="GNP8" s="1876"/>
      <c r="GNQ8" s="1876"/>
      <c r="GNR8" s="1876"/>
      <c r="GNS8" s="1876"/>
      <c r="GNT8" s="1876"/>
      <c r="GNU8" s="1876"/>
      <c r="GNV8" s="1876"/>
      <c r="GNW8" s="1876"/>
      <c r="GNX8" s="1876"/>
      <c r="GNY8" s="1876"/>
      <c r="GNZ8" s="1876"/>
      <c r="GOA8" s="1876"/>
      <c r="GOB8" s="1876"/>
      <c r="GOC8" s="1876"/>
      <c r="GOD8" s="1876"/>
      <c r="GOE8" s="1876"/>
      <c r="GOF8" s="1876"/>
      <c r="GOG8" s="1876"/>
      <c r="GOH8" s="1876"/>
      <c r="GOI8" s="1876"/>
      <c r="GOJ8" s="1876"/>
      <c r="GOK8" s="1876"/>
      <c r="GOL8" s="1876"/>
      <c r="GOM8" s="1876"/>
      <c r="GON8" s="1876"/>
      <c r="GOO8" s="1876"/>
      <c r="GOP8" s="1876"/>
      <c r="GOQ8" s="1876"/>
      <c r="GOR8" s="1876"/>
      <c r="GOS8" s="1876"/>
      <c r="GOT8" s="1876"/>
      <c r="GOU8" s="1876"/>
      <c r="GOV8" s="1876"/>
      <c r="GOW8" s="1876"/>
      <c r="GOX8" s="1876"/>
      <c r="GOY8" s="1876"/>
      <c r="GOZ8" s="1876"/>
      <c r="GPA8" s="1876"/>
      <c r="GPB8" s="1876"/>
      <c r="GPC8" s="1876"/>
      <c r="GPD8" s="1876"/>
      <c r="GPE8" s="1876"/>
      <c r="GPF8" s="1876"/>
      <c r="GPG8" s="1876"/>
      <c r="GPH8" s="1876"/>
      <c r="GPI8" s="1876"/>
      <c r="GPJ8" s="1876"/>
      <c r="GPK8" s="1876"/>
      <c r="GPL8" s="1876"/>
      <c r="GPM8" s="1876"/>
      <c r="GPN8" s="1876"/>
      <c r="GPO8" s="1876"/>
      <c r="GPP8" s="1876"/>
      <c r="GPQ8" s="1876"/>
      <c r="GPR8" s="1876"/>
      <c r="GPS8" s="1876"/>
      <c r="GPT8" s="1876"/>
      <c r="GPU8" s="1876"/>
      <c r="GPV8" s="1876"/>
      <c r="GPW8" s="1876"/>
      <c r="GPX8" s="1876"/>
      <c r="GPY8" s="1876"/>
      <c r="GPZ8" s="1876"/>
      <c r="GQA8" s="1876"/>
      <c r="GQB8" s="1876"/>
      <c r="GQC8" s="1876"/>
      <c r="GQD8" s="1876"/>
      <c r="GQE8" s="1876"/>
      <c r="GQF8" s="1876"/>
      <c r="GQG8" s="1876"/>
      <c r="GQH8" s="1876"/>
      <c r="GQI8" s="1876"/>
      <c r="GQJ8" s="1876"/>
      <c r="GQK8" s="1876"/>
      <c r="GQL8" s="1876"/>
      <c r="GQM8" s="1876"/>
      <c r="GQN8" s="1876"/>
      <c r="GQO8" s="1876"/>
      <c r="GQP8" s="1876"/>
      <c r="GQQ8" s="1876"/>
      <c r="GQR8" s="1876"/>
      <c r="GQS8" s="1876"/>
      <c r="GQT8" s="1876"/>
      <c r="GQU8" s="1876"/>
      <c r="GQV8" s="1876"/>
      <c r="GQW8" s="1876"/>
      <c r="GQX8" s="1876"/>
      <c r="GQY8" s="1876"/>
      <c r="GQZ8" s="1876"/>
      <c r="GRA8" s="1876"/>
      <c r="GRB8" s="1876"/>
      <c r="GRC8" s="1876"/>
      <c r="GRD8" s="1876"/>
      <c r="GRE8" s="1876"/>
      <c r="GRF8" s="1876"/>
      <c r="GRG8" s="1876"/>
      <c r="GRH8" s="1876"/>
      <c r="GRI8" s="1876"/>
      <c r="GRJ8" s="1876"/>
      <c r="GRK8" s="1876"/>
      <c r="GRL8" s="1876"/>
      <c r="GRM8" s="1876"/>
      <c r="GRN8" s="1876"/>
      <c r="GRO8" s="1876"/>
      <c r="GRP8" s="1876"/>
      <c r="GRQ8" s="1876"/>
      <c r="GRR8" s="1876"/>
      <c r="GRS8" s="1876"/>
      <c r="GRT8" s="1876"/>
      <c r="GRU8" s="1876"/>
      <c r="GRV8" s="1876"/>
      <c r="GRW8" s="1876"/>
      <c r="GRX8" s="1876"/>
      <c r="GRY8" s="1876"/>
      <c r="GRZ8" s="1876"/>
      <c r="GSA8" s="1876"/>
      <c r="GSB8" s="1876"/>
      <c r="GSC8" s="1876"/>
      <c r="GSD8" s="1876"/>
      <c r="GSE8" s="1876"/>
      <c r="GSF8" s="1876"/>
      <c r="GSG8" s="1876"/>
      <c r="GSH8" s="1876"/>
      <c r="GSI8" s="1876"/>
      <c r="GSJ8" s="1876"/>
      <c r="GSK8" s="1876"/>
      <c r="GSL8" s="1876"/>
      <c r="GSM8" s="1876"/>
      <c r="GSN8" s="1876"/>
      <c r="GSO8" s="1876"/>
      <c r="GSP8" s="1876"/>
      <c r="GSQ8" s="1876"/>
      <c r="GSR8" s="1876"/>
      <c r="GSS8" s="1876"/>
      <c r="GST8" s="1876"/>
      <c r="GSU8" s="1876"/>
      <c r="GSV8" s="1876"/>
      <c r="GSW8" s="1876"/>
      <c r="GSX8" s="1876"/>
      <c r="GSY8" s="1876"/>
      <c r="GSZ8" s="1876"/>
      <c r="GTA8" s="1876"/>
      <c r="GTB8" s="1876"/>
      <c r="GTC8" s="1876"/>
      <c r="GTD8" s="1876"/>
      <c r="GTE8" s="1876"/>
      <c r="GTF8" s="1876"/>
      <c r="GTG8" s="1876"/>
      <c r="GTH8" s="1876"/>
      <c r="GTI8" s="1876"/>
      <c r="GTJ8" s="1876"/>
      <c r="GTK8" s="1876"/>
      <c r="GTL8" s="1876"/>
      <c r="GTM8" s="1876"/>
      <c r="GTN8" s="1876"/>
      <c r="GTO8" s="1876"/>
      <c r="GTP8" s="1876"/>
      <c r="GTQ8" s="1876"/>
      <c r="GTR8" s="1876"/>
      <c r="GTS8" s="1876"/>
      <c r="GTT8" s="1876"/>
      <c r="GTU8" s="1876"/>
      <c r="GTV8" s="1876"/>
      <c r="GTW8" s="1876"/>
      <c r="GTX8" s="1876"/>
      <c r="GTY8" s="1876"/>
      <c r="GTZ8" s="1876"/>
      <c r="GUA8" s="1876"/>
      <c r="GUB8" s="1876"/>
      <c r="GUC8" s="1876"/>
      <c r="GUD8" s="1876"/>
      <c r="GUE8" s="1876"/>
      <c r="GUF8" s="1876"/>
      <c r="GUG8" s="1876"/>
      <c r="GUH8" s="1876"/>
      <c r="GUI8" s="1876"/>
      <c r="GUJ8" s="1876"/>
      <c r="GUK8" s="1876"/>
      <c r="GUL8" s="1876"/>
      <c r="GUM8" s="1876"/>
      <c r="GUN8" s="1876"/>
      <c r="GUO8" s="1876"/>
      <c r="GUP8" s="1876"/>
      <c r="GUQ8" s="1876"/>
      <c r="GUR8" s="1876"/>
      <c r="GUS8" s="1876"/>
      <c r="GUT8" s="1876"/>
      <c r="GUU8" s="1876"/>
      <c r="GUV8" s="1876"/>
      <c r="GUW8" s="1876"/>
      <c r="GUX8" s="1876"/>
      <c r="GUY8" s="1876"/>
      <c r="GUZ8" s="1876"/>
      <c r="GVA8" s="1876"/>
      <c r="GVB8" s="1876"/>
      <c r="GVC8" s="1876"/>
      <c r="GVD8" s="1876"/>
      <c r="GVE8" s="1876"/>
      <c r="GVF8" s="1876"/>
      <c r="GVG8" s="1876"/>
      <c r="GVH8" s="1876"/>
      <c r="GVI8" s="1876"/>
      <c r="GVJ8" s="1876"/>
      <c r="GVK8" s="1876"/>
      <c r="GVL8" s="1876"/>
      <c r="GVM8" s="1876"/>
      <c r="GVN8" s="1876"/>
      <c r="GVO8" s="1876"/>
      <c r="GVP8" s="1876"/>
      <c r="GVQ8" s="1876"/>
      <c r="GVR8" s="1876"/>
      <c r="GVS8" s="1876"/>
      <c r="GVT8" s="1876"/>
      <c r="GVU8" s="1876"/>
      <c r="GVV8" s="1876"/>
      <c r="GVW8" s="1876"/>
      <c r="GVX8" s="1876"/>
      <c r="GVY8" s="1876"/>
      <c r="GVZ8" s="1876"/>
      <c r="GWA8" s="1876"/>
      <c r="GWB8" s="1876"/>
      <c r="GWC8" s="1876"/>
      <c r="GWD8" s="1876"/>
      <c r="GWE8" s="1876"/>
      <c r="GWF8" s="1876"/>
      <c r="GWG8" s="1876"/>
      <c r="GWH8" s="1876"/>
      <c r="GWI8" s="1876"/>
      <c r="GWJ8" s="1876"/>
      <c r="GWK8" s="1876"/>
      <c r="GWL8" s="1876"/>
      <c r="GWM8" s="1876"/>
      <c r="GWN8" s="1876"/>
      <c r="GWO8" s="1876"/>
      <c r="GWP8" s="1876"/>
      <c r="GWQ8" s="1876"/>
      <c r="GWR8" s="1876"/>
      <c r="GWS8" s="1876"/>
      <c r="GWT8" s="1876"/>
      <c r="GWU8" s="1876"/>
      <c r="GWV8" s="1876"/>
      <c r="GWW8" s="1876"/>
      <c r="GWX8" s="1876"/>
      <c r="GWY8" s="1876"/>
      <c r="GWZ8" s="1876"/>
      <c r="GXA8" s="1876"/>
      <c r="GXB8" s="1876"/>
      <c r="GXC8" s="1876"/>
      <c r="GXD8" s="1876"/>
      <c r="GXE8" s="1876"/>
      <c r="GXF8" s="1876"/>
      <c r="GXG8" s="1876"/>
      <c r="GXH8" s="1876"/>
      <c r="GXI8" s="1876"/>
      <c r="GXJ8" s="1876"/>
      <c r="GXK8" s="1876"/>
      <c r="GXL8" s="1876"/>
      <c r="GXM8" s="1876"/>
      <c r="GXN8" s="1876"/>
      <c r="GXO8" s="1876"/>
      <c r="GXP8" s="1876"/>
      <c r="GXQ8" s="1876"/>
      <c r="GXR8" s="1876"/>
      <c r="GXS8" s="1876"/>
      <c r="GXT8" s="1876"/>
      <c r="GXU8" s="1876"/>
      <c r="GXV8" s="1876"/>
      <c r="GXW8" s="1876"/>
      <c r="GXX8" s="1876"/>
      <c r="GXY8" s="1876"/>
      <c r="GXZ8" s="1876"/>
      <c r="GYA8" s="1876"/>
      <c r="GYB8" s="1876"/>
      <c r="GYC8" s="1876"/>
      <c r="GYD8" s="1876"/>
      <c r="GYE8" s="1876"/>
      <c r="GYF8" s="1876"/>
      <c r="GYG8" s="1876"/>
      <c r="GYH8" s="1876"/>
      <c r="GYI8" s="1876"/>
      <c r="GYJ8" s="1876"/>
      <c r="GYK8" s="1876"/>
      <c r="GYL8" s="1876"/>
      <c r="GYM8" s="1876"/>
      <c r="GYN8" s="1876"/>
      <c r="GYO8" s="1876"/>
      <c r="GYP8" s="1876"/>
      <c r="GYQ8" s="1876"/>
      <c r="GYR8" s="1876"/>
      <c r="GYS8" s="1876"/>
      <c r="GYT8" s="1876"/>
      <c r="GYU8" s="1876"/>
      <c r="GYV8" s="1876"/>
      <c r="GYW8" s="1876"/>
      <c r="GYX8" s="1876"/>
      <c r="GYY8" s="1876"/>
      <c r="GYZ8" s="1876"/>
      <c r="GZA8" s="1876"/>
      <c r="GZB8" s="1876"/>
      <c r="GZC8" s="1876"/>
      <c r="GZD8" s="1876"/>
      <c r="GZE8" s="1876"/>
      <c r="GZF8" s="1876"/>
      <c r="GZG8" s="1876"/>
      <c r="GZH8" s="1876"/>
      <c r="GZI8" s="1876"/>
      <c r="GZJ8" s="1876"/>
      <c r="GZK8" s="1876"/>
      <c r="GZL8" s="1876"/>
      <c r="GZM8" s="1876"/>
      <c r="GZN8" s="1876"/>
      <c r="GZO8" s="1876"/>
      <c r="GZP8" s="1876"/>
      <c r="GZQ8" s="1876"/>
      <c r="GZR8" s="1876"/>
      <c r="GZS8" s="1876"/>
      <c r="GZT8" s="1876"/>
      <c r="GZU8" s="1876"/>
      <c r="GZV8" s="1876"/>
      <c r="GZW8" s="1876"/>
      <c r="GZX8" s="1876"/>
      <c r="GZY8" s="1876"/>
      <c r="GZZ8" s="1876"/>
      <c r="HAA8" s="1876"/>
      <c r="HAB8" s="1876"/>
      <c r="HAC8" s="1876"/>
      <c r="HAD8" s="1876"/>
      <c r="HAE8" s="1876"/>
      <c r="HAF8" s="1876"/>
      <c r="HAG8" s="1876"/>
      <c r="HAH8" s="1876"/>
      <c r="HAI8" s="1876"/>
      <c r="HAJ8" s="1876"/>
      <c r="HAK8" s="1876"/>
      <c r="HAL8" s="1876"/>
      <c r="HAM8" s="1876"/>
      <c r="HAN8" s="1876"/>
      <c r="HAO8" s="1876"/>
      <c r="HAP8" s="1876"/>
      <c r="HAQ8" s="1876"/>
      <c r="HAR8" s="1876"/>
      <c r="HAS8" s="1876"/>
      <c r="HAT8" s="1876"/>
      <c r="HAU8" s="1876"/>
      <c r="HAV8" s="1876"/>
      <c r="HAW8" s="1876"/>
      <c r="HAX8" s="1876"/>
      <c r="HAY8" s="1876"/>
      <c r="HAZ8" s="1876"/>
      <c r="HBA8" s="1876"/>
      <c r="HBB8" s="1876"/>
      <c r="HBC8" s="1876"/>
      <c r="HBD8" s="1876"/>
      <c r="HBE8" s="1876"/>
      <c r="HBF8" s="1876"/>
      <c r="HBG8" s="1876"/>
      <c r="HBH8" s="1876"/>
      <c r="HBI8" s="1876"/>
      <c r="HBJ8" s="1876"/>
      <c r="HBK8" s="1876"/>
      <c r="HBL8" s="1876"/>
      <c r="HBM8" s="1876"/>
      <c r="HBN8" s="1876"/>
      <c r="HBO8" s="1876"/>
      <c r="HBP8" s="1876"/>
      <c r="HBQ8" s="1876"/>
      <c r="HBR8" s="1876"/>
      <c r="HBS8" s="1876"/>
      <c r="HBT8" s="1876"/>
      <c r="HBU8" s="1876"/>
      <c r="HBV8" s="1876"/>
      <c r="HBW8" s="1876"/>
      <c r="HBX8" s="1876"/>
      <c r="HBY8" s="1876"/>
      <c r="HBZ8" s="1876"/>
      <c r="HCA8" s="1876"/>
      <c r="HCB8" s="1876"/>
      <c r="HCC8" s="1876"/>
      <c r="HCD8" s="1876"/>
      <c r="HCE8" s="1876"/>
      <c r="HCF8" s="1876"/>
      <c r="HCG8" s="1876"/>
      <c r="HCH8" s="1876"/>
      <c r="HCI8" s="1876"/>
      <c r="HCJ8" s="1876"/>
      <c r="HCK8" s="1876"/>
      <c r="HCL8" s="1876"/>
      <c r="HCM8" s="1876"/>
      <c r="HCN8" s="1876"/>
      <c r="HCO8" s="1876"/>
      <c r="HCP8" s="1876"/>
      <c r="HCQ8" s="1876"/>
      <c r="HCR8" s="1876"/>
      <c r="HCS8" s="1876"/>
      <c r="HCT8" s="1876"/>
      <c r="HCU8" s="1876"/>
      <c r="HCV8" s="1876"/>
      <c r="HCW8" s="1876"/>
      <c r="HCX8" s="1876"/>
      <c r="HCY8" s="1876"/>
      <c r="HCZ8" s="1876"/>
      <c r="HDA8" s="1876"/>
      <c r="HDB8" s="1876"/>
      <c r="HDC8" s="1876"/>
      <c r="HDD8" s="1876"/>
      <c r="HDE8" s="1876"/>
      <c r="HDF8" s="1876"/>
      <c r="HDG8" s="1876"/>
      <c r="HDH8" s="1876"/>
      <c r="HDI8" s="1876"/>
      <c r="HDJ8" s="1876"/>
      <c r="HDK8" s="1876"/>
      <c r="HDL8" s="1876"/>
      <c r="HDM8" s="1876"/>
      <c r="HDN8" s="1876"/>
      <c r="HDO8" s="1876"/>
      <c r="HDP8" s="1876"/>
      <c r="HDQ8" s="1876"/>
      <c r="HDR8" s="1876"/>
      <c r="HDS8" s="1876"/>
      <c r="HDT8" s="1876"/>
      <c r="HDU8" s="1876"/>
      <c r="HDV8" s="1876"/>
      <c r="HDW8" s="1876"/>
      <c r="HDX8" s="1876"/>
      <c r="HDY8" s="1876"/>
      <c r="HDZ8" s="1876"/>
      <c r="HEA8" s="1876"/>
      <c r="HEB8" s="1876"/>
      <c r="HEC8" s="1876"/>
      <c r="HED8" s="1876"/>
      <c r="HEE8" s="1876"/>
      <c r="HEF8" s="1876"/>
      <c r="HEG8" s="1876"/>
      <c r="HEH8" s="1876"/>
      <c r="HEI8" s="1876"/>
      <c r="HEJ8" s="1876"/>
      <c r="HEK8" s="1876"/>
      <c r="HEL8" s="1876"/>
      <c r="HEM8" s="1876"/>
      <c r="HEN8" s="1876"/>
      <c r="HEO8" s="1876"/>
      <c r="HEP8" s="1876"/>
      <c r="HEQ8" s="1876"/>
      <c r="HER8" s="1876"/>
      <c r="HES8" s="1876"/>
      <c r="HET8" s="1876"/>
      <c r="HEU8" s="1876"/>
      <c r="HEV8" s="1876"/>
      <c r="HEW8" s="1876"/>
      <c r="HEX8" s="1876"/>
      <c r="HEY8" s="1876"/>
      <c r="HEZ8" s="1876"/>
      <c r="HFA8" s="1876"/>
      <c r="HFB8" s="1876"/>
      <c r="HFC8" s="1876"/>
      <c r="HFD8" s="1876"/>
      <c r="HFE8" s="1876"/>
      <c r="HFF8" s="1876"/>
      <c r="HFG8" s="1876"/>
      <c r="HFH8" s="1876"/>
      <c r="HFI8" s="1876"/>
      <c r="HFJ8" s="1876"/>
      <c r="HFK8" s="1876"/>
      <c r="HFL8" s="1876"/>
      <c r="HFM8" s="1876"/>
      <c r="HFN8" s="1876"/>
      <c r="HFO8" s="1876"/>
      <c r="HFP8" s="1876"/>
      <c r="HFQ8" s="1876"/>
      <c r="HFR8" s="1876"/>
      <c r="HFS8" s="1876"/>
      <c r="HFT8" s="1876"/>
      <c r="HFU8" s="1876"/>
      <c r="HFV8" s="1876"/>
      <c r="HFW8" s="1876"/>
      <c r="HFX8" s="1876"/>
      <c r="HFY8" s="1876"/>
      <c r="HFZ8" s="1876"/>
      <c r="HGA8" s="1876"/>
      <c r="HGB8" s="1876"/>
      <c r="HGC8" s="1876"/>
      <c r="HGD8" s="1876"/>
      <c r="HGE8" s="1876"/>
      <c r="HGF8" s="1876"/>
      <c r="HGG8" s="1876"/>
      <c r="HGH8" s="1876"/>
      <c r="HGI8" s="1876"/>
      <c r="HGJ8" s="1876"/>
      <c r="HGK8" s="1876"/>
      <c r="HGL8" s="1876"/>
      <c r="HGM8" s="1876"/>
      <c r="HGN8" s="1876"/>
      <c r="HGO8" s="1876"/>
      <c r="HGP8" s="1876"/>
      <c r="HGQ8" s="1876"/>
      <c r="HGR8" s="1876"/>
      <c r="HGS8" s="1876"/>
      <c r="HGT8" s="1876"/>
      <c r="HGU8" s="1876"/>
      <c r="HGV8" s="1876"/>
      <c r="HGW8" s="1876"/>
      <c r="HGX8" s="1876"/>
      <c r="HGY8" s="1876"/>
      <c r="HGZ8" s="1876"/>
      <c r="HHA8" s="1876"/>
      <c r="HHB8" s="1876"/>
      <c r="HHC8" s="1876"/>
      <c r="HHD8" s="1876"/>
      <c r="HHE8" s="1876"/>
      <c r="HHF8" s="1876"/>
      <c r="HHG8" s="1876"/>
      <c r="HHH8" s="1876"/>
      <c r="HHI8" s="1876"/>
      <c r="HHJ8" s="1876"/>
      <c r="HHK8" s="1876"/>
      <c r="HHL8" s="1876"/>
      <c r="HHM8" s="1876"/>
      <c r="HHN8" s="1876"/>
      <c r="HHO8" s="1876"/>
      <c r="HHP8" s="1876"/>
      <c r="HHQ8" s="1876"/>
      <c r="HHR8" s="1876"/>
      <c r="HHS8" s="1876"/>
      <c r="HHT8" s="1876"/>
      <c r="HHU8" s="1876"/>
      <c r="HHV8" s="1876"/>
      <c r="HHW8" s="1876"/>
      <c r="HHX8" s="1876"/>
      <c r="HHY8" s="1876"/>
      <c r="HHZ8" s="1876"/>
      <c r="HIA8" s="1876"/>
      <c r="HIB8" s="1876"/>
      <c r="HIC8" s="1876"/>
      <c r="HID8" s="1876"/>
      <c r="HIE8" s="1876"/>
      <c r="HIF8" s="1876"/>
      <c r="HIG8" s="1876"/>
      <c r="HIH8" s="1876"/>
      <c r="HII8" s="1876"/>
      <c r="HIJ8" s="1876"/>
      <c r="HIK8" s="1876"/>
      <c r="HIL8" s="1876"/>
      <c r="HIM8" s="1876"/>
      <c r="HIN8" s="1876"/>
      <c r="HIO8" s="1876"/>
      <c r="HIP8" s="1876"/>
      <c r="HIQ8" s="1876"/>
      <c r="HIR8" s="1876"/>
      <c r="HIS8" s="1876"/>
      <c r="HIT8" s="1876"/>
      <c r="HIU8" s="1876"/>
      <c r="HIV8" s="1876"/>
      <c r="HIW8" s="1876"/>
      <c r="HIX8" s="1876"/>
      <c r="HIY8" s="1876"/>
      <c r="HIZ8" s="1876"/>
      <c r="HJA8" s="1876"/>
      <c r="HJB8" s="1876"/>
      <c r="HJC8" s="1876"/>
      <c r="HJD8" s="1876"/>
      <c r="HJE8" s="1876"/>
      <c r="HJF8" s="1876"/>
      <c r="HJG8" s="1876"/>
      <c r="HJH8" s="1876"/>
      <c r="HJI8" s="1876"/>
      <c r="HJJ8" s="1876"/>
      <c r="HJK8" s="1876"/>
      <c r="HJL8" s="1876"/>
      <c r="HJM8" s="1876"/>
      <c r="HJN8" s="1876"/>
      <c r="HJO8" s="1876"/>
      <c r="HJP8" s="1876"/>
      <c r="HJQ8" s="1876"/>
      <c r="HJR8" s="1876"/>
      <c r="HJS8" s="1876"/>
      <c r="HJT8" s="1876"/>
      <c r="HJU8" s="1876"/>
      <c r="HJV8" s="1876"/>
      <c r="HJW8" s="1876"/>
      <c r="HJX8" s="1876"/>
      <c r="HJY8" s="1876"/>
      <c r="HJZ8" s="1876"/>
      <c r="HKA8" s="1876"/>
      <c r="HKB8" s="1876"/>
      <c r="HKC8" s="1876"/>
      <c r="HKD8" s="1876"/>
      <c r="HKE8" s="1876"/>
      <c r="HKF8" s="1876"/>
      <c r="HKG8" s="1876"/>
      <c r="HKH8" s="1876"/>
      <c r="HKI8" s="1876"/>
      <c r="HKJ8" s="1876"/>
      <c r="HKK8" s="1876"/>
      <c r="HKL8" s="1876"/>
      <c r="HKM8" s="1876"/>
      <c r="HKN8" s="1876"/>
      <c r="HKO8" s="1876"/>
      <c r="HKP8" s="1876"/>
      <c r="HKQ8" s="1876"/>
      <c r="HKR8" s="1876"/>
      <c r="HKS8" s="1876"/>
      <c r="HKT8" s="1876"/>
      <c r="HKU8" s="1876"/>
      <c r="HKV8" s="1876"/>
      <c r="HKW8" s="1876"/>
      <c r="HKX8" s="1876"/>
      <c r="HKY8" s="1876"/>
      <c r="HKZ8" s="1876"/>
      <c r="HLA8" s="1876"/>
      <c r="HLB8" s="1876"/>
      <c r="HLC8" s="1876"/>
      <c r="HLD8" s="1876"/>
      <c r="HLE8" s="1876"/>
      <c r="HLF8" s="1876"/>
      <c r="HLG8" s="1876"/>
      <c r="HLH8" s="1876"/>
      <c r="HLI8" s="1876"/>
      <c r="HLJ8" s="1876"/>
      <c r="HLK8" s="1876"/>
      <c r="HLL8" s="1876"/>
      <c r="HLM8" s="1876"/>
      <c r="HLN8" s="1876"/>
      <c r="HLO8" s="1876"/>
      <c r="HLP8" s="1876"/>
      <c r="HLQ8" s="1876"/>
      <c r="HLR8" s="1876"/>
      <c r="HLS8" s="1876"/>
      <c r="HLT8" s="1876"/>
      <c r="HLU8" s="1876"/>
      <c r="HLV8" s="1876"/>
      <c r="HLW8" s="1876"/>
      <c r="HLX8" s="1876"/>
      <c r="HLY8" s="1876"/>
      <c r="HLZ8" s="1876"/>
      <c r="HMA8" s="1876"/>
      <c r="HMB8" s="1876"/>
      <c r="HMC8" s="1876"/>
      <c r="HMD8" s="1876"/>
      <c r="HME8" s="1876"/>
      <c r="HMF8" s="1876"/>
      <c r="HMG8" s="1876"/>
      <c r="HMH8" s="1876"/>
      <c r="HMI8" s="1876"/>
      <c r="HMJ8" s="1876"/>
      <c r="HMK8" s="1876"/>
      <c r="HML8" s="1876"/>
      <c r="HMM8" s="1876"/>
      <c r="HMN8" s="1876"/>
      <c r="HMO8" s="1876"/>
      <c r="HMP8" s="1876"/>
      <c r="HMQ8" s="1876"/>
      <c r="HMR8" s="1876"/>
      <c r="HMS8" s="1876"/>
      <c r="HMT8" s="1876"/>
      <c r="HMU8" s="1876"/>
      <c r="HMV8" s="1876"/>
      <c r="HMW8" s="1876"/>
      <c r="HMX8" s="1876"/>
      <c r="HMY8" s="1876"/>
      <c r="HMZ8" s="1876"/>
      <c r="HNA8" s="1876"/>
      <c r="HNB8" s="1876"/>
      <c r="HNC8" s="1876"/>
      <c r="HND8" s="1876"/>
      <c r="HNE8" s="1876"/>
      <c r="HNF8" s="1876"/>
      <c r="HNG8" s="1876"/>
      <c r="HNH8" s="1876"/>
      <c r="HNI8" s="1876"/>
      <c r="HNJ8" s="1876"/>
      <c r="HNK8" s="1876"/>
      <c r="HNL8" s="1876"/>
      <c r="HNM8" s="1876"/>
      <c r="HNN8" s="1876"/>
      <c r="HNO8" s="1876"/>
      <c r="HNP8" s="1876"/>
      <c r="HNQ8" s="1876"/>
      <c r="HNR8" s="1876"/>
      <c r="HNS8" s="1876"/>
      <c r="HNT8" s="1876"/>
      <c r="HNU8" s="1876"/>
      <c r="HNV8" s="1876"/>
      <c r="HNW8" s="1876"/>
      <c r="HNX8" s="1876"/>
      <c r="HNY8" s="1876"/>
      <c r="HNZ8" s="1876"/>
      <c r="HOA8" s="1876"/>
      <c r="HOB8" s="1876"/>
      <c r="HOC8" s="1876"/>
      <c r="HOD8" s="1876"/>
      <c r="HOE8" s="1876"/>
      <c r="HOF8" s="1876"/>
      <c r="HOG8" s="1876"/>
      <c r="HOH8" s="1876"/>
      <c r="HOI8" s="1876"/>
      <c r="HOJ8" s="1876"/>
      <c r="HOK8" s="1876"/>
      <c r="HOL8" s="1876"/>
      <c r="HOM8" s="1876"/>
      <c r="HON8" s="1876"/>
      <c r="HOO8" s="1876"/>
      <c r="HOP8" s="1876"/>
      <c r="HOQ8" s="1876"/>
      <c r="HOR8" s="1876"/>
      <c r="HOS8" s="1876"/>
      <c r="HOT8" s="1876"/>
      <c r="HOU8" s="1876"/>
      <c r="HOV8" s="1876"/>
      <c r="HOW8" s="1876"/>
      <c r="HOX8" s="1876"/>
      <c r="HOY8" s="1876"/>
      <c r="HOZ8" s="1876"/>
      <c r="HPA8" s="1876"/>
      <c r="HPB8" s="1876"/>
      <c r="HPC8" s="1876"/>
      <c r="HPD8" s="1876"/>
      <c r="HPE8" s="1876"/>
      <c r="HPF8" s="1876"/>
      <c r="HPG8" s="1876"/>
      <c r="HPH8" s="1876"/>
      <c r="HPI8" s="1876"/>
      <c r="HPJ8" s="1876"/>
      <c r="HPK8" s="1876"/>
      <c r="HPL8" s="1876"/>
      <c r="HPM8" s="1876"/>
      <c r="HPN8" s="1876"/>
      <c r="HPO8" s="1876"/>
      <c r="HPP8" s="1876"/>
      <c r="HPQ8" s="1876"/>
      <c r="HPR8" s="1876"/>
      <c r="HPS8" s="1876"/>
      <c r="HPT8" s="1876"/>
      <c r="HPU8" s="1876"/>
      <c r="HPV8" s="1876"/>
      <c r="HPW8" s="1876"/>
      <c r="HPX8" s="1876"/>
      <c r="HPY8" s="1876"/>
      <c r="HPZ8" s="1876"/>
      <c r="HQA8" s="1876"/>
      <c r="HQB8" s="1876"/>
      <c r="HQC8" s="1876"/>
      <c r="HQD8" s="1876"/>
      <c r="HQE8" s="1876"/>
      <c r="HQF8" s="1876"/>
      <c r="HQG8" s="1876"/>
      <c r="HQH8" s="1876"/>
      <c r="HQI8" s="1876"/>
      <c r="HQJ8" s="1876"/>
      <c r="HQK8" s="1876"/>
      <c r="HQL8" s="1876"/>
      <c r="HQM8" s="1876"/>
      <c r="HQN8" s="1876"/>
      <c r="HQO8" s="1876"/>
      <c r="HQP8" s="1876"/>
      <c r="HQQ8" s="1876"/>
      <c r="HQR8" s="1876"/>
      <c r="HQS8" s="1876"/>
      <c r="HQT8" s="1876"/>
      <c r="HQU8" s="1876"/>
      <c r="HQV8" s="1876"/>
      <c r="HQW8" s="1876"/>
      <c r="HQX8" s="1876"/>
      <c r="HQY8" s="1876"/>
      <c r="HQZ8" s="1876"/>
      <c r="HRA8" s="1876"/>
      <c r="HRB8" s="1876"/>
      <c r="HRC8" s="1876"/>
      <c r="HRD8" s="1876"/>
      <c r="HRE8" s="1876"/>
      <c r="HRF8" s="1876"/>
      <c r="HRG8" s="1876"/>
      <c r="HRH8" s="1876"/>
      <c r="HRI8" s="1876"/>
      <c r="HRJ8" s="1876"/>
      <c r="HRK8" s="1876"/>
      <c r="HRL8" s="1876"/>
      <c r="HRM8" s="1876"/>
      <c r="HRN8" s="1876"/>
      <c r="HRO8" s="1876"/>
      <c r="HRP8" s="1876"/>
      <c r="HRQ8" s="1876"/>
      <c r="HRR8" s="1876"/>
      <c r="HRS8" s="1876"/>
      <c r="HRT8" s="1876"/>
      <c r="HRU8" s="1876"/>
      <c r="HRV8" s="1876"/>
      <c r="HRW8" s="1876"/>
      <c r="HRX8" s="1876"/>
      <c r="HRY8" s="1876"/>
      <c r="HRZ8" s="1876"/>
      <c r="HSA8" s="1876"/>
      <c r="HSB8" s="1876"/>
      <c r="HSC8" s="1876"/>
      <c r="HSD8" s="1876"/>
      <c r="HSE8" s="1876"/>
      <c r="HSF8" s="1876"/>
      <c r="HSG8" s="1876"/>
      <c r="HSH8" s="1876"/>
      <c r="HSI8" s="1876"/>
      <c r="HSJ8" s="1876"/>
      <c r="HSK8" s="1876"/>
      <c r="HSL8" s="1876"/>
      <c r="HSM8" s="1876"/>
      <c r="HSN8" s="1876"/>
      <c r="HSO8" s="1876"/>
      <c r="HSP8" s="1876"/>
      <c r="HSQ8" s="1876"/>
      <c r="HSR8" s="1876"/>
      <c r="HSS8" s="1876"/>
      <c r="HST8" s="1876"/>
      <c r="HSU8" s="1876"/>
      <c r="HSV8" s="1876"/>
      <c r="HSW8" s="1876"/>
      <c r="HSX8" s="1876"/>
      <c r="HSY8" s="1876"/>
      <c r="HSZ8" s="1876"/>
      <c r="HTA8" s="1876"/>
      <c r="HTB8" s="1876"/>
      <c r="HTC8" s="1876"/>
      <c r="HTD8" s="1876"/>
      <c r="HTE8" s="1876"/>
      <c r="HTF8" s="1876"/>
      <c r="HTG8" s="1876"/>
      <c r="HTH8" s="1876"/>
      <c r="HTI8" s="1876"/>
      <c r="HTJ8" s="1876"/>
      <c r="HTK8" s="1876"/>
      <c r="HTL8" s="1876"/>
      <c r="HTM8" s="1876"/>
      <c r="HTN8" s="1876"/>
      <c r="HTO8" s="1876"/>
      <c r="HTP8" s="1876"/>
      <c r="HTQ8" s="1876"/>
      <c r="HTR8" s="1876"/>
      <c r="HTS8" s="1876"/>
      <c r="HTT8" s="1876"/>
      <c r="HTU8" s="1876"/>
      <c r="HTV8" s="1876"/>
      <c r="HTW8" s="1876"/>
      <c r="HTX8" s="1876"/>
      <c r="HTY8" s="1876"/>
      <c r="HTZ8" s="1876"/>
      <c r="HUA8" s="1876"/>
      <c r="HUB8" s="1876"/>
      <c r="HUC8" s="1876"/>
      <c r="HUD8" s="1876"/>
      <c r="HUE8" s="1876"/>
      <c r="HUF8" s="1876"/>
      <c r="HUG8" s="1876"/>
      <c r="HUH8" s="1876"/>
      <c r="HUI8" s="1876"/>
      <c r="HUJ8" s="1876"/>
      <c r="HUK8" s="1876"/>
      <c r="HUL8" s="1876"/>
      <c r="HUM8" s="1876"/>
      <c r="HUN8" s="1876"/>
      <c r="HUO8" s="1876"/>
      <c r="HUP8" s="1876"/>
      <c r="HUQ8" s="1876"/>
      <c r="HUR8" s="1876"/>
      <c r="HUS8" s="1876"/>
      <c r="HUT8" s="1876"/>
      <c r="HUU8" s="1876"/>
      <c r="HUV8" s="1876"/>
      <c r="HUW8" s="1876"/>
      <c r="HUX8" s="1876"/>
      <c r="HUY8" s="1876"/>
      <c r="HUZ8" s="1876"/>
      <c r="HVA8" s="1876"/>
      <c r="HVB8" s="1876"/>
      <c r="HVC8" s="1876"/>
      <c r="HVD8" s="1876"/>
      <c r="HVE8" s="1876"/>
      <c r="HVF8" s="1876"/>
      <c r="HVG8" s="1876"/>
      <c r="HVH8" s="1876"/>
      <c r="HVI8" s="1876"/>
      <c r="HVJ8" s="1876"/>
      <c r="HVK8" s="1876"/>
      <c r="HVL8" s="1876"/>
      <c r="HVM8" s="1876"/>
      <c r="HVN8" s="1876"/>
      <c r="HVO8" s="1876"/>
      <c r="HVP8" s="1876"/>
      <c r="HVQ8" s="1876"/>
      <c r="HVR8" s="1876"/>
      <c r="HVS8" s="1876"/>
      <c r="HVT8" s="1876"/>
      <c r="HVU8" s="1876"/>
      <c r="HVV8" s="1876"/>
      <c r="HVW8" s="1876"/>
      <c r="HVX8" s="1876"/>
      <c r="HVY8" s="1876"/>
      <c r="HVZ8" s="1876"/>
      <c r="HWA8" s="1876"/>
      <c r="HWB8" s="1876"/>
      <c r="HWC8" s="1876"/>
      <c r="HWD8" s="1876"/>
      <c r="HWE8" s="1876"/>
      <c r="HWF8" s="1876"/>
      <c r="HWG8" s="1876"/>
      <c r="HWH8" s="1876"/>
      <c r="HWI8" s="1876"/>
      <c r="HWJ8" s="1876"/>
      <c r="HWK8" s="1876"/>
      <c r="HWL8" s="1876"/>
      <c r="HWM8" s="1876"/>
      <c r="HWN8" s="1876"/>
      <c r="HWO8" s="1876"/>
      <c r="HWP8" s="1876"/>
      <c r="HWQ8" s="1876"/>
      <c r="HWR8" s="1876"/>
      <c r="HWS8" s="1876"/>
      <c r="HWT8" s="1876"/>
      <c r="HWU8" s="1876"/>
      <c r="HWV8" s="1876"/>
      <c r="HWW8" s="1876"/>
      <c r="HWX8" s="1876"/>
      <c r="HWY8" s="1876"/>
      <c r="HWZ8" s="1876"/>
      <c r="HXA8" s="1876"/>
      <c r="HXB8" s="1876"/>
      <c r="HXC8" s="1876"/>
      <c r="HXD8" s="1876"/>
      <c r="HXE8" s="1876"/>
      <c r="HXF8" s="1876"/>
      <c r="HXG8" s="1876"/>
      <c r="HXH8" s="1876"/>
      <c r="HXI8" s="1876"/>
      <c r="HXJ8" s="1876"/>
      <c r="HXK8" s="1876"/>
      <c r="HXL8" s="1876"/>
      <c r="HXM8" s="1876"/>
      <c r="HXN8" s="1876"/>
      <c r="HXO8" s="1876"/>
      <c r="HXP8" s="1876"/>
      <c r="HXQ8" s="1876"/>
      <c r="HXR8" s="1876"/>
      <c r="HXS8" s="1876"/>
      <c r="HXT8" s="1876"/>
      <c r="HXU8" s="1876"/>
      <c r="HXV8" s="1876"/>
      <c r="HXW8" s="1876"/>
      <c r="HXX8" s="1876"/>
      <c r="HXY8" s="1876"/>
      <c r="HXZ8" s="1876"/>
      <c r="HYA8" s="1876"/>
      <c r="HYB8" s="1876"/>
      <c r="HYC8" s="1876"/>
      <c r="HYD8" s="1876"/>
      <c r="HYE8" s="1876"/>
      <c r="HYF8" s="1876"/>
      <c r="HYG8" s="1876"/>
      <c r="HYH8" s="1876"/>
      <c r="HYI8" s="1876"/>
      <c r="HYJ8" s="1876"/>
      <c r="HYK8" s="1876"/>
      <c r="HYL8" s="1876"/>
      <c r="HYM8" s="1876"/>
      <c r="HYN8" s="1876"/>
      <c r="HYO8" s="1876"/>
      <c r="HYP8" s="1876"/>
      <c r="HYQ8" s="1876"/>
      <c r="HYR8" s="1876"/>
      <c r="HYS8" s="1876"/>
      <c r="HYT8" s="1876"/>
      <c r="HYU8" s="1876"/>
      <c r="HYV8" s="1876"/>
      <c r="HYW8" s="1876"/>
      <c r="HYX8" s="1876"/>
      <c r="HYY8" s="1876"/>
      <c r="HYZ8" s="1876"/>
      <c r="HZA8" s="1876"/>
      <c r="HZB8" s="1876"/>
      <c r="HZC8" s="1876"/>
      <c r="HZD8" s="1876"/>
      <c r="HZE8" s="1876"/>
      <c r="HZF8" s="1876"/>
      <c r="HZG8" s="1876"/>
      <c r="HZH8" s="1876"/>
      <c r="HZI8" s="1876"/>
      <c r="HZJ8" s="1876"/>
      <c r="HZK8" s="1876"/>
      <c r="HZL8" s="1876"/>
      <c r="HZM8" s="1876"/>
      <c r="HZN8" s="1876"/>
      <c r="HZO8" s="1876"/>
      <c r="HZP8" s="1876"/>
      <c r="HZQ8" s="1876"/>
      <c r="HZR8" s="1876"/>
      <c r="HZS8" s="1876"/>
      <c r="HZT8" s="1876"/>
      <c r="HZU8" s="1876"/>
      <c r="HZV8" s="1876"/>
      <c r="HZW8" s="1876"/>
      <c r="HZX8" s="1876"/>
      <c r="HZY8" s="1876"/>
      <c r="HZZ8" s="1876"/>
      <c r="IAA8" s="1876"/>
      <c r="IAB8" s="1876"/>
      <c r="IAC8" s="1876"/>
      <c r="IAD8" s="1876"/>
      <c r="IAE8" s="1876"/>
      <c r="IAF8" s="1876"/>
      <c r="IAG8" s="1876"/>
      <c r="IAH8" s="1876"/>
      <c r="IAI8" s="1876"/>
      <c r="IAJ8" s="1876"/>
      <c r="IAK8" s="1876"/>
      <c r="IAL8" s="1876"/>
      <c r="IAM8" s="1876"/>
      <c r="IAN8" s="1876"/>
      <c r="IAO8" s="1876"/>
      <c r="IAP8" s="1876"/>
      <c r="IAQ8" s="1876"/>
      <c r="IAR8" s="1876"/>
      <c r="IAS8" s="1876"/>
      <c r="IAT8" s="1876"/>
      <c r="IAU8" s="1876"/>
      <c r="IAV8" s="1876"/>
      <c r="IAW8" s="1876"/>
      <c r="IAX8" s="1876"/>
      <c r="IAY8" s="1876"/>
      <c r="IAZ8" s="1876"/>
      <c r="IBA8" s="1876"/>
      <c r="IBB8" s="1876"/>
      <c r="IBC8" s="1876"/>
      <c r="IBD8" s="1876"/>
      <c r="IBE8" s="1876"/>
      <c r="IBF8" s="1876"/>
      <c r="IBG8" s="1876"/>
      <c r="IBH8" s="1876"/>
      <c r="IBI8" s="1876"/>
      <c r="IBJ8" s="1876"/>
      <c r="IBK8" s="1876"/>
      <c r="IBL8" s="1876"/>
      <c r="IBM8" s="1876"/>
      <c r="IBN8" s="1876"/>
      <c r="IBO8" s="1876"/>
      <c r="IBP8" s="1876"/>
      <c r="IBQ8" s="1876"/>
      <c r="IBR8" s="1876"/>
      <c r="IBS8" s="1876"/>
      <c r="IBT8" s="1876"/>
      <c r="IBU8" s="1876"/>
      <c r="IBV8" s="1876"/>
      <c r="IBW8" s="1876"/>
      <c r="IBX8" s="1876"/>
      <c r="IBY8" s="1876"/>
      <c r="IBZ8" s="1876"/>
      <c r="ICA8" s="1876"/>
      <c r="ICB8" s="1876"/>
      <c r="ICC8" s="1876"/>
      <c r="ICD8" s="1876"/>
      <c r="ICE8" s="1876"/>
      <c r="ICF8" s="1876"/>
      <c r="ICG8" s="1876"/>
      <c r="ICH8" s="1876"/>
      <c r="ICI8" s="1876"/>
      <c r="ICJ8" s="1876"/>
      <c r="ICK8" s="1876"/>
      <c r="ICL8" s="1876"/>
      <c r="ICM8" s="1876"/>
      <c r="ICN8" s="1876"/>
      <c r="ICO8" s="1876"/>
      <c r="ICP8" s="1876"/>
      <c r="ICQ8" s="1876"/>
      <c r="ICR8" s="1876"/>
      <c r="ICS8" s="1876"/>
      <c r="ICT8" s="1876"/>
      <c r="ICU8" s="1876"/>
      <c r="ICV8" s="1876"/>
      <c r="ICW8" s="1876"/>
      <c r="ICX8" s="1876"/>
      <c r="ICY8" s="1876"/>
      <c r="ICZ8" s="1876"/>
      <c r="IDA8" s="1876"/>
      <c r="IDB8" s="1876"/>
      <c r="IDC8" s="1876"/>
      <c r="IDD8" s="1876"/>
      <c r="IDE8" s="1876"/>
      <c r="IDF8" s="1876"/>
      <c r="IDG8" s="1876"/>
      <c r="IDH8" s="1876"/>
      <c r="IDI8" s="1876"/>
      <c r="IDJ8" s="1876"/>
      <c r="IDK8" s="1876"/>
      <c r="IDL8" s="1876"/>
      <c r="IDM8" s="1876"/>
      <c r="IDN8" s="1876"/>
      <c r="IDO8" s="1876"/>
      <c r="IDP8" s="1876"/>
      <c r="IDQ8" s="1876"/>
      <c r="IDR8" s="1876"/>
      <c r="IDS8" s="1876"/>
      <c r="IDT8" s="1876"/>
      <c r="IDU8" s="1876"/>
      <c r="IDV8" s="1876"/>
      <c r="IDW8" s="1876"/>
      <c r="IDX8" s="1876"/>
      <c r="IDY8" s="1876"/>
      <c r="IDZ8" s="1876"/>
      <c r="IEA8" s="1876"/>
      <c r="IEB8" s="1876"/>
      <c r="IEC8" s="1876"/>
      <c r="IED8" s="1876"/>
      <c r="IEE8" s="1876"/>
      <c r="IEF8" s="1876"/>
      <c r="IEG8" s="1876"/>
      <c r="IEH8" s="1876"/>
      <c r="IEI8" s="1876"/>
      <c r="IEJ8" s="1876"/>
      <c r="IEK8" s="1876"/>
      <c r="IEL8" s="1876"/>
      <c r="IEM8" s="1876"/>
      <c r="IEN8" s="1876"/>
      <c r="IEO8" s="1876"/>
      <c r="IEP8" s="1876"/>
      <c r="IEQ8" s="1876"/>
      <c r="IER8" s="1876"/>
      <c r="IES8" s="1876"/>
      <c r="IET8" s="1876"/>
      <c r="IEU8" s="1876"/>
      <c r="IEV8" s="1876"/>
      <c r="IEW8" s="1876"/>
      <c r="IEX8" s="1876"/>
      <c r="IEY8" s="1876"/>
      <c r="IEZ8" s="1876"/>
      <c r="IFA8" s="1876"/>
      <c r="IFB8" s="1876"/>
      <c r="IFC8" s="1876"/>
      <c r="IFD8" s="1876"/>
      <c r="IFE8" s="1876"/>
      <c r="IFF8" s="1876"/>
      <c r="IFG8" s="1876"/>
      <c r="IFH8" s="1876"/>
      <c r="IFI8" s="1876"/>
      <c r="IFJ8" s="1876"/>
      <c r="IFK8" s="1876"/>
      <c r="IFL8" s="1876"/>
      <c r="IFM8" s="1876"/>
      <c r="IFN8" s="1876"/>
      <c r="IFO8" s="1876"/>
      <c r="IFP8" s="1876"/>
      <c r="IFQ8" s="1876"/>
      <c r="IFR8" s="1876"/>
      <c r="IFS8" s="1876"/>
      <c r="IFT8" s="1876"/>
      <c r="IFU8" s="1876"/>
      <c r="IFV8" s="1876"/>
      <c r="IFW8" s="1876"/>
      <c r="IFX8" s="1876"/>
      <c r="IFY8" s="1876"/>
      <c r="IFZ8" s="1876"/>
      <c r="IGA8" s="1876"/>
      <c r="IGB8" s="1876"/>
      <c r="IGC8" s="1876"/>
      <c r="IGD8" s="1876"/>
      <c r="IGE8" s="1876"/>
      <c r="IGF8" s="1876"/>
      <c r="IGG8" s="1876"/>
      <c r="IGH8" s="1876"/>
      <c r="IGI8" s="1876"/>
      <c r="IGJ8" s="1876"/>
      <c r="IGK8" s="1876"/>
      <c r="IGL8" s="1876"/>
      <c r="IGM8" s="1876"/>
      <c r="IGN8" s="1876"/>
      <c r="IGO8" s="1876"/>
      <c r="IGP8" s="1876"/>
      <c r="IGQ8" s="1876"/>
      <c r="IGR8" s="1876"/>
      <c r="IGS8" s="1876"/>
      <c r="IGT8" s="1876"/>
      <c r="IGU8" s="1876"/>
      <c r="IGV8" s="1876"/>
      <c r="IGW8" s="1876"/>
      <c r="IGX8" s="1876"/>
      <c r="IGY8" s="1876"/>
      <c r="IGZ8" s="1876"/>
      <c r="IHA8" s="1876"/>
      <c r="IHB8" s="1876"/>
      <c r="IHC8" s="1876"/>
      <c r="IHD8" s="1876"/>
      <c r="IHE8" s="1876"/>
      <c r="IHF8" s="1876"/>
      <c r="IHG8" s="1876"/>
      <c r="IHH8" s="1876"/>
      <c r="IHI8" s="1876"/>
      <c r="IHJ8" s="1876"/>
      <c r="IHK8" s="1876"/>
      <c r="IHL8" s="1876"/>
      <c r="IHM8" s="1876"/>
      <c r="IHN8" s="1876"/>
      <c r="IHO8" s="1876"/>
      <c r="IHP8" s="1876"/>
      <c r="IHQ8" s="1876"/>
      <c r="IHR8" s="1876"/>
      <c r="IHS8" s="1876"/>
      <c r="IHT8" s="1876"/>
      <c r="IHU8" s="1876"/>
      <c r="IHV8" s="1876"/>
      <c r="IHW8" s="1876"/>
      <c r="IHX8" s="1876"/>
      <c r="IHY8" s="1876"/>
      <c r="IHZ8" s="1876"/>
      <c r="IIA8" s="1876"/>
      <c r="IIB8" s="1876"/>
      <c r="IIC8" s="1876"/>
      <c r="IID8" s="1876"/>
      <c r="IIE8" s="1876"/>
      <c r="IIF8" s="1876"/>
      <c r="IIG8" s="1876"/>
      <c r="IIH8" s="1876"/>
      <c r="III8" s="1876"/>
      <c r="IIJ8" s="1876"/>
      <c r="IIK8" s="1876"/>
      <c r="IIL8" s="1876"/>
      <c r="IIM8" s="1876"/>
      <c r="IIN8" s="1876"/>
      <c r="IIO8" s="1876"/>
      <c r="IIP8" s="1876"/>
      <c r="IIQ8" s="1876"/>
      <c r="IIR8" s="1876"/>
      <c r="IIS8" s="1876"/>
      <c r="IIT8" s="1876"/>
      <c r="IIU8" s="1876"/>
      <c r="IIV8" s="1876"/>
      <c r="IIW8" s="1876"/>
      <c r="IIX8" s="1876"/>
      <c r="IIY8" s="1876"/>
      <c r="IIZ8" s="1876"/>
      <c r="IJA8" s="1876"/>
      <c r="IJB8" s="1876"/>
      <c r="IJC8" s="1876"/>
      <c r="IJD8" s="1876"/>
      <c r="IJE8" s="1876"/>
      <c r="IJF8" s="1876"/>
      <c r="IJG8" s="1876"/>
      <c r="IJH8" s="1876"/>
      <c r="IJI8" s="1876"/>
      <c r="IJJ8" s="1876"/>
      <c r="IJK8" s="1876"/>
      <c r="IJL8" s="1876"/>
      <c r="IJM8" s="1876"/>
      <c r="IJN8" s="1876"/>
      <c r="IJO8" s="1876"/>
      <c r="IJP8" s="1876"/>
      <c r="IJQ8" s="1876"/>
      <c r="IJR8" s="1876"/>
      <c r="IJS8" s="1876"/>
      <c r="IJT8" s="1876"/>
      <c r="IJU8" s="1876"/>
      <c r="IJV8" s="1876"/>
      <c r="IJW8" s="1876"/>
      <c r="IJX8" s="1876"/>
      <c r="IJY8" s="1876"/>
      <c r="IJZ8" s="1876"/>
      <c r="IKA8" s="1876"/>
      <c r="IKB8" s="1876"/>
      <c r="IKC8" s="1876"/>
      <c r="IKD8" s="1876"/>
      <c r="IKE8" s="1876"/>
      <c r="IKF8" s="1876"/>
      <c r="IKG8" s="1876"/>
      <c r="IKH8" s="1876"/>
      <c r="IKI8" s="1876"/>
      <c r="IKJ8" s="1876"/>
      <c r="IKK8" s="1876"/>
      <c r="IKL8" s="1876"/>
      <c r="IKM8" s="1876"/>
      <c r="IKN8" s="1876"/>
      <c r="IKO8" s="1876"/>
      <c r="IKP8" s="1876"/>
      <c r="IKQ8" s="1876"/>
      <c r="IKR8" s="1876"/>
      <c r="IKS8" s="1876"/>
      <c r="IKT8" s="1876"/>
      <c r="IKU8" s="1876"/>
      <c r="IKV8" s="1876"/>
      <c r="IKW8" s="1876"/>
      <c r="IKX8" s="1876"/>
      <c r="IKY8" s="1876"/>
      <c r="IKZ8" s="1876"/>
      <c r="ILA8" s="1876"/>
      <c r="ILB8" s="1876"/>
      <c r="ILC8" s="1876"/>
      <c r="ILD8" s="1876"/>
      <c r="ILE8" s="1876"/>
      <c r="ILF8" s="1876"/>
      <c r="ILG8" s="1876"/>
      <c r="ILH8" s="1876"/>
      <c r="ILI8" s="1876"/>
      <c r="ILJ8" s="1876"/>
      <c r="ILK8" s="1876"/>
      <c r="ILL8" s="1876"/>
      <c r="ILM8" s="1876"/>
      <c r="ILN8" s="1876"/>
      <c r="ILO8" s="1876"/>
      <c r="ILP8" s="1876"/>
      <c r="ILQ8" s="1876"/>
      <c r="ILR8" s="1876"/>
      <c r="ILS8" s="1876"/>
      <c r="ILT8" s="1876"/>
      <c r="ILU8" s="1876"/>
      <c r="ILV8" s="1876"/>
      <c r="ILW8" s="1876"/>
      <c r="ILX8" s="1876"/>
      <c r="ILY8" s="1876"/>
      <c r="ILZ8" s="1876"/>
      <c r="IMA8" s="1876"/>
      <c r="IMB8" s="1876"/>
      <c r="IMC8" s="1876"/>
      <c r="IMD8" s="1876"/>
      <c r="IME8" s="1876"/>
      <c r="IMF8" s="1876"/>
      <c r="IMG8" s="1876"/>
      <c r="IMH8" s="1876"/>
      <c r="IMI8" s="1876"/>
      <c r="IMJ8" s="1876"/>
      <c r="IMK8" s="1876"/>
      <c r="IML8" s="1876"/>
      <c r="IMM8" s="1876"/>
      <c r="IMN8" s="1876"/>
      <c r="IMO8" s="1876"/>
      <c r="IMP8" s="1876"/>
      <c r="IMQ8" s="1876"/>
      <c r="IMR8" s="1876"/>
      <c r="IMS8" s="1876"/>
      <c r="IMT8" s="1876"/>
      <c r="IMU8" s="1876"/>
      <c r="IMV8" s="1876"/>
      <c r="IMW8" s="1876"/>
      <c r="IMX8" s="1876"/>
      <c r="IMY8" s="1876"/>
      <c r="IMZ8" s="1876"/>
      <c r="INA8" s="1876"/>
      <c r="INB8" s="1876"/>
      <c r="INC8" s="1876"/>
      <c r="IND8" s="1876"/>
      <c r="INE8" s="1876"/>
      <c r="INF8" s="1876"/>
      <c r="ING8" s="1876"/>
      <c r="INH8" s="1876"/>
      <c r="INI8" s="1876"/>
      <c r="INJ8" s="1876"/>
      <c r="INK8" s="1876"/>
      <c r="INL8" s="1876"/>
      <c r="INM8" s="1876"/>
      <c r="INN8" s="1876"/>
      <c r="INO8" s="1876"/>
      <c r="INP8" s="1876"/>
      <c r="INQ8" s="1876"/>
      <c r="INR8" s="1876"/>
      <c r="INS8" s="1876"/>
      <c r="INT8" s="1876"/>
      <c r="INU8" s="1876"/>
      <c r="INV8" s="1876"/>
      <c r="INW8" s="1876"/>
      <c r="INX8" s="1876"/>
      <c r="INY8" s="1876"/>
      <c r="INZ8" s="1876"/>
      <c r="IOA8" s="1876"/>
      <c r="IOB8" s="1876"/>
      <c r="IOC8" s="1876"/>
      <c r="IOD8" s="1876"/>
      <c r="IOE8" s="1876"/>
      <c r="IOF8" s="1876"/>
      <c r="IOG8" s="1876"/>
      <c r="IOH8" s="1876"/>
      <c r="IOI8" s="1876"/>
      <c r="IOJ8" s="1876"/>
      <c r="IOK8" s="1876"/>
      <c r="IOL8" s="1876"/>
      <c r="IOM8" s="1876"/>
      <c r="ION8" s="1876"/>
      <c r="IOO8" s="1876"/>
      <c r="IOP8" s="1876"/>
      <c r="IOQ8" s="1876"/>
      <c r="IOR8" s="1876"/>
      <c r="IOS8" s="1876"/>
      <c r="IOT8" s="1876"/>
      <c r="IOU8" s="1876"/>
      <c r="IOV8" s="1876"/>
      <c r="IOW8" s="1876"/>
      <c r="IOX8" s="1876"/>
      <c r="IOY8" s="1876"/>
      <c r="IOZ8" s="1876"/>
      <c r="IPA8" s="1876"/>
      <c r="IPB8" s="1876"/>
      <c r="IPC8" s="1876"/>
      <c r="IPD8" s="1876"/>
      <c r="IPE8" s="1876"/>
      <c r="IPF8" s="1876"/>
      <c r="IPG8" s="1876"/>
      <c r="IPH8" s="1876"/>
      <c r="IPI8" s="1876"/>
      <c r="IPJ8" s="1876"/>
      <c r="IPK8" s="1876"/>
      <c r="IPL8" s="1876"/>
      <c r="IPM8" s="1876"/>
      <c r="IPN8" s="1876"/>
      <c r="IPO8" s="1876"/>
      <c r="IPP8" s="1876"/>
      <c r="IPQ8" s="1876"/>
      <c r="IPR8" s="1876"/>
      <c r="IPS8" s="1876"/>
      <c r="IPT8" s="1876"/>
      <c r="IPU8" s="1876"/>
      <c r="IPV8" s="1876"/>
      <c r="IPW8" s="1876"/>
      <c r="IPX8" s="1876"/>
      <c r="IPY8" s="1876"/>
      <c r="IPZ8" s="1876"/>
      <c r="IQA8" s="1876"/>
      <c r="IQB8" s="1876"/>
      <c r="IQC8" s="1876"/>
      <c r="IQD8" s="1876"/>
      <c r="IQE8" s="1876"/>
      <c r="IQF8" s="1876"/>
      <c r="IQG8" s="1876"/>
      <c r="IQH8" s="1876"/>
      <c r="IQI8" s="1876"/>
      <c r="IQJ8" s="1876"/>
      <c r="IQK8" s="1876"/>
      <c r="IQL8" s="1876"/>
      <c r="IQM8" s="1876"/>
      <c r="IQN8" s="1876"/>
      <c r="IQO8" s="1876"/>
      <c r="IQP8" s="1876"/>
      <c r="IQQ8" s="1876"/>
      <c r="IQR8" s="1876"/>
      <c r="IQS8" s="1876"/>
      <c r="IQT8" s="1876"/>
      <c r="IQU8" s="1876"/>
      <c r="IQV8" s="1876"/>
      <c r="IQW8" s="1876"/>
      <c r="IQX8" s="1876"/>
      <c r="IQY8" s="1876"/>
      <c r="IQZ8" s="1876"/>
      <c r="IRA8" s="1876"/>
      <c r="IRB8" s="1876"/>
      <c r="IRC8" s="1876"/>
      <c r="IRD8" s="1876"/>
      <c r="IRE8" s="1876"/>
      <c r="IRF8" s="1876"/>
      <c r="IRG8" s="1876"/>
      <c r="IRH8" s="1876"/>
      <c r="IRI8" s="1876"/>
      <c r="IRJ8" s="1876"/>
      <c r="IRK8" s="1876"/>
      <c r="IRL8" s="1876"/>
      <c r="IRM8" s="1876"/>
      <c r="IRN8" s="1876"/>
      <c r="IRO8" s="1876"/>
      <c r="IRP8" s="1876"/>
      <c r="IRQ8" s="1876"/>
      <c r="IRR8" s="1876"/>
      <c r="IRS8" s="1876"/>
      <c r="IRT8" s="1876"/>
      <c r="IRU8" s="1876"/>
      <c r="IRV8" s="1876"/>
      <c r="IRW8" s="1876"/>
      <c r="IRX8" s="1876"/>
      <c r="IRY8" s="1876"/>
      <c r="IRZ8" s="1876"/>
      <c r="ISA8" s="1876"/>
      <c r="ISB8" s="1876"/>
      <c r="ISC8" s="1876"/>
      <c r="ISD8" s="1876"/>
      <c r="ISE8" s="1876"/>
      <c r="ISF8" s="1876"/>
      <c r="ISG8" s="1876"/>
      <c r="ISH8" s="1876"/>
      <c r="ISI8" s="1876"/>
      <c r="ISJ8" s="1876"/>
      <c r="ISK8" s="1876"/>
      <c r="ISL8" s="1876"/>
      <c r="ISM8" s="1876"/>
      <c r="ISN8" s="1876"/>
      <c r="ISO8" s="1876"/>
      <c r="ISP8" s="1876"/>
      <c r="ISQ8" s="1876"/>
      <c r="ISR8" s="1876"/>
      <c r="ISS8" s="1876"/>
      <c r="IST8" s="1876"/>
      <c r="ISU8" s="1876"/>
      <c r="ISV8" s="1876"/>
      <c r="ISW8" s="1876"/>
      <c r="ISX8" s="1876"/>
      <c r="ISY8" s="1876"/>
      <c r="ISZ8" s="1876"/>
      <c r="ITA8" s="1876"/>
      <c r="ITB8" s="1876"/>
      <c r="ITC8" s="1876"/>
      <c r="ITD8" s="1876"/>
      <c r="ITE8" s="1876"/>
      <c r="ITF8" s="1876"/>
      <c r="ITG8" s="1876"/>
      <c r="ITH8" s="1876"/>
      <c r="ITI8" s="1876"/>
      <c r="ITJ8" s="1876"/>
      <c r="ITK8" s="1876"/>
      <c r="ITL8" s="1876"/>
      <c r="ITM8" s="1876"/>
      <c r="ITN8" s="1876"/>
      <c r="ITO8" s="1876"/>
      <c r="ITP8" s="1876"/>
      <c r="ITQ8" s="1876"/>
      <c r="ITR8" s="1876"/>
      <c r="ITS8" s="1876"/>
      <c r="ITT8" s="1876"/>
      <c r="ITU8" s="1876"/>
      <c r="ITV8" s="1876"/>
      <c r="ITW8" s="1876"/>
      <c r="ITX8" s="1876"/>
      <c r="ITY8" s="1876"/>
      <c r="ITZ8" s="1876"/>
      <c r="IUA8" s="1876"/>
      <c r="IUB8" s="1876"/>
      <c r="IUC8" s="1876"/>
      <c r="IUD8" s="1876"/>
      <c r="IUE8" s="1876"/>
      <c r="IUF8" s="1876"/>
      <c r="IUG8" s="1876"/>
      <c r="IUH8" s="1876"/>
      <c r="IUI8" s="1876"/>
      <c r="IUJ8" s="1876"/>
      <c r="IUK8" s="1876"/>
      <c r="IUL8" s="1876"/>
      <c r="IUM8" s="1876"/>
      <c r="IUN8" s="1876"/>
      <c r="IUO8" s="1876"/>
      <c r="IUP8" s="1876"/>
      <c r="IUQ8" s="1876"/>
      <c r="IUR8" s="1876"/>
      <c r="IUS8" s="1876"/>
      <c r="IUT8" s="1876"/>
      <c r="IUU8" s="1876"/>
      <c r="IUV8" s="1876"/>
      <c r="IUW8" s="1876"/>
      <c r="IUX8" s="1876"/>
      <c r="IUY8" s="1876"/>
      <c r="IUZ8" s="1876"/>
      <c r="IVA8" s="1876"/>
      <c r="IVB8" s="1876"/>
      <c r="IVC8" s="1876"/>
      <c r="IVD8" s="1876"/>
      <c r="IVE8" s="1876"/>
      <c r="IVF8" s="1876"/>
      <c r="IVG8" s="1876"/>
      <c r="IVH8" s="1876"/>
      <c r="IVI8" s="1876"/>
      <c r="IVJ8" s="1876"/>
      <c r="IVK8" s="1876"/>
      <c r="IVL8" s="1876"/>
      <c r="IVM8" s="1876"/>
      <c r="IVN8" s="1876"/>
      <c r="IVO8" s="1876"/>
      <c r="IVP8" s="1876"/>
      <c r="IVQ8" s="1876"/>
      <c r="IVR8" s="1876"/>
      <c r="IVS8" s="1876"/>
      <c r="IVT8" s="1876"/>
      <c r="IVU8" s="1876"/>
      <c r="IVV8" s="1876"/>
      <c r="IVW8" s="1876"/>
      <c r="IVX8" s="1876"/>
      <c r="IVY8" s="1876"/>
      <c r="IVZ8" s="1876"/>
      <c r="IWA8" s="1876"/>
      <c r="IWB8" s="1876"/>
      <c r="IWC8" s="1876"/>
      <c r="IWD8" s="1876"/>
      <c r="IWE8" s="1876"/>
      <c r="IWF8" s="1876"/>
      <c r="IWG8" s="1876"/>
      <c r="IWH8" s="1876"/>
      <c r="IWI8" s="1876"/>
      <c r="IWJ8" s="1876"/>
      <c r="IWK8" s="1876"/>
      <c r="IWL8" s="1876"/>
      <c r="IWM8" s="1876"/>
      <c r="IWN8" s="1876"/>
      <c r="IWO8" s="1876"/>
      <c r="IWP8" s="1876"/>
      <c r="IWQ8" s="1876"/>
      <c r="IWR8" s="1876"/>
      <c r="IWS8" s="1876"/>
      <c r="IWT8" s="1876"/>
      <c r="IWU8" s="1876"/>
      <c r="IWV8" s="1876"/>
      <c r="IWW8" s="1876"/>
      <c r="IWX8" s="1876"/>
      <c r="IWY8" s="1876"/>
      <c r="IWZ8" s="1876"/>
      <c r="IXA8" s="1876"/>
      <c r="IXB8" s="1876"/>
      <c r="IXC8" s="1876"/>
      <c r="IXD8" s="1876"/>
      <c r="IXE8" s="1876"/>
      <c r="IXF8" s="1876"/>
      <c r="IXG8" s="1876"/>
      <c r="IXH8" s="1876"/>
      <c r="IXI8" s="1876"/>
      <c r="IXJ8" s="1876"/>
      <c r="IXK8" s="1876"/>
      <c r="IXL8" s="1876"/>
      <c r="IXM8" s="1876"/>
      <c r="IXN8" s="1876"/>
      <c r="IXO8" s="1876"/>
      <c r="IXP8" s="1876"/>
      <c r="IXQ8" s="1876"/>
      <c r="IXR8" s="1876"/>
      <c r="IXS8" s="1876"/>
      <c r="IXT8" s="1876"/>
      <c r="IXU8" s="1876"/>
      <c r="IXV8" s="1876"/>
      <c r="IXW8" s="1876"/>
      <c r="IXX8" s="1876"/>
      <c r="IXY8" s="1876"/>
      <c r="IXZ8" s="1876"/>
      <c r="IYA8" s="1876"/>
      <c r="IYB8" s="1876"/>
      <c r="IYC8" s="1876"/>
      <c r="IYD8" s="1876"/>
      <c r="IYE8" s="1876"/>
      <c r="IYF8" s="1876"/>
      <c r="IYG8" s="1876"/>
      <c r="IYH8" s="1876"/>
      <c r="IYI8" s="1876"/>
      <c r="IYJ8" s="1876"/>
      <c r="IYK8" s="1876"/>
      <c r="IYL8" s="1876"/>
      <c r="IYM8" s="1876"/>
      <c r="IYN8" s="1876"/>
      <c r="IYO8" s="1876"/>
      <c r="IYP8" s="1876"/>
      <c r="IYQ8" s="1876"/>
      <c r="IYR8" s="1876"/>
      <c r="IYS8" s="1876"/>
      <c r="IYT8" s="1876"/>
      <c r="IYU8" s="1876"/>
      <c r="IYV8" s="1876"/>
      <c r="IYW8" s="1876"/>
      <c r="IYX8" s="1876"/>
      <c r="IYY8" s="1876"/>
      <c r="IYZ8" s="1876"/>
      <c r="IZA8" s="1876"/>
      <c r="IZB8" s="1876"/>
      <c r="IZC8" s="1876"/>
      <c r="IZD8" s="1876"/>
      <c r="IZE8" s="1876"/>
      <c r="IZF8" s="1876"/>
      <c r="IZG8" s="1876"/>
      <c r="IZH8" s="1876"/>
      <c r="IZI8" s="1876"/>
      <c r="IZJ8" s="1876"/>
      <c r="IZK8" s="1876"/>
      <c r="IZL8" s="1876"/>
      <c r="IZM8" s="1876"/>
      <c r="IZN8" s="1876"/>
      <c r="IZO8" s="1876"/>
      <c r="IZP8" s="1876"/>
      <c r="IZQ8" s="1876"/>
      <c r="IZR8" s="1876"/>
      <c r="IZS8" s="1876"/>
      <c r="IZT8" s="1876"/>
      <c r="IZU8" s="1876"/>
      <c r="IZV8" s="1876"/>
      <c r="IZW8" s="1876"/>
      <c r="IZX8" s="1876"/>
      <c r="IZY8" s="1876"/>
      <c r="IZZ8" s="1876"/>
      <c r="JAA8" s="1876"/>
      <c r="JAB8" s="1876"/>
      <c r="JAC8" s="1876"/>
      <c r="JAD8" s="1876"/>
      <c r="JAE8" s="1876"/>
      <c r="JAF8" s="1876"/>
      <c r="JAG8" s="1876"/>
      <c r="JAH8" s="1876"/>
      <c r="JAI8" s="1876"/>
      <c r="JAJ8" s="1876"/>
      <c r="JAK8" s="1876"/>
      <c r="JAL8" s="1876"/>
      <c r="JAM8" s="1876"/>
      <c r="JAN8" s="1876"/>
      <c r="JAO8" s="1876"/>
      <c r="JAP8" s="1876"/>
      <c r="JAQ8" s="1876"/>
      <c r="JAR8" s="1876"/>
      <c r="JAS8" s="1876"/>
      <c r="JAT8" s="1876"/>
      <c r="JAU8" s="1876"/>
      <c r="JAV8" s="1876"/>
      <c r="JAW8" s="1876"/>
      <c r="JAX8" s="1876"/>
      <c r="JAY8" s="1876"/>
      <c r="JAZ8" s="1876"/>
      <c r="JBA8" s="1876"/>
      <c r="JBB8" s="1876"/>
      <c r="JBC8" s="1876"/>
      <c r="JBD8" s="1876"/>
      <c r="JBE8" s="1876"/>
      <c r="JBF8" s="1876"/>
      <c r="JBG8" s="1876"/>
      <c r="JBH8" s="1876"/>
      <c r="JBI8" s="1876"/>
      <c r="JBJ8" s="1876"/>
      <c r="JBK8" s="1876"/>
      <c r="JBL8" s="1876"/>
      <c r="JBM8" s="1876"/>
      <c r="JBN8" s="1876"/>
      <c r="JBO8" s="1876"/>
      <c r="JBP8" s="1876"/>
      <c r="JBQ8" s="1876"/>
      <c r="JBR8" s="1876"/>
      <c r="JBS8" s="1876"/>
      <c r="JBT8" s="1876"/>
      <c r="JBU8" s="1876"/>
      <c r="JBV8" s="1876"/>
      <c r="JBW8" s="1876"/>
      <c r="JBX8" s="1876"/>
      <c r="JBY8" s="1876"/>
      <c r="JBZ8" s="1876"/>
      <c r="JCA8" s="1876"/>
      <c r="JCB8" s="1876"/>
      <c r="JCC8" s="1876"/>
      <c r="JCD8" s="1876"/>
      <c r="JCE8" s="1876"/>
      <c r="JCF8" s="1876"/>
      <c r="JCG8" s="1876"/>
      <c r="JCH8" s="1876"/>
      <c r="JCI8" s="1876"/>
      <c r="JCJ8" s="1876"/>
      <c r="JCK8" s="1876"/>
      <c r="JCL8" s="1876"/>
      <c r="JCM8" s="1876"/>
      <c r="JCN8" s="1876"/>
      <c r="JCO8" s="1876"/>
      <c r="JCP8" s="1876"/>
      <c r="JCQ8" s="1876"/>
      <c r="JCR8" s="1876"/>
      <c r="JCS8" s="1876"/>
      <c r="JCT8" s="1876"/>
      <c r="JCU8" s="1876"/>
      <c r="JCV8" s="1876"/>
      <c r="JCW8" s="1876"/>
      <c r="JCX8" s="1876"/>
      <c r="JCY8" s="1876"/>
      <c r="JCZ8" s="1876"/>
      <c r="JDA8" s="1876"/>
      <c r="JDB8" s="1876"/>
      <c r="JDC8" s="1876"/>
      <c r="JDD8" s="1876"/>
      <c r="JDE8" s="1876"/>
      <c r="JDF8" s="1876"/>
      <c r="JDG8" s="1876"/>
      <c r="JDH8" s="1876"/>
      <c r="JDI8" s="1876"/>
      <c r="JDJ8" s="1876"/>
      <c r="JDK8" s="1876"/>
      <c r="JDL8" s="1876"/>
      <c r="JDM8" s="1876"/>
      <c r="JDN8" s="1876"/>
      <c r="JDO8" s="1876"/>
      <c r="JDP8" s="1876"/>
      <c r="JDQ8" s="1876"/>
      <c r="JDR8" s="1876"/>
      <c r="JDS8" s="1876"/>
      <c r="JDT8" s="1876"/>
      <c r="JDU8" s="1876"/>
      <c r="JDV8" s="1876"/>
      <c r="JDW8" s="1876"/>
      <c r="JDX8" s="1876"/>
      <c r="JDY8" s="1876"/>
      <c r="JDZ8" s="1876"/>
      <c r="JEA8" s="1876"/>
      <c r="JEB8" s="1876"/>
      <c r="JEC8" s="1876"/>
      <c r="JED8" s="1876"/>
      <c r="JEE8" s="1876"/>
      <c r="JEF8" s="1876"/>
      <c r="JEG8" s="1876"/>
      <c r="JEH8" s="1876"/>
      <c r="JEI8" s="1876"/>
      <c r="JEJ8" s="1876"/>
      <c r="JEK8" s="1876"/>
      <c r="JEL8" s="1876"/>
      <c r="JEM8" s="1876"/>
      <c r="JEN8" s="1876"/>
      <c r="JEO8" s="1876"/>
      <c r="JEP8" s="1876"/>
      <c r="JEQ8" s="1876"/>
      <c r="JER8" s="1876"/>
      <c r="JES8" s="1876"/>
      <c r="JET8" s="1876"/>
      <c r="JEU8" s="1876"/>
      <c r="JEV8" s="1876"/>
      <c r="JEW8" s="1876"/>
      <c r="JEX8" s="1876"/>
      <c r="JEY8" s="1876"/>
      <c r="JEZ8" s="1876"/>
      <c r="JFA8" s="1876"/>
      <c r="JFB8" s="1876"/>
      <c r="JFC8" s="1876"/>
      <c r="JFD8" s="1876"/>
      <c r="JFE8" s="1876"/>
      <c r="JFF8" s="1876"/>
      <c r="JFG8" s="1876"/>
      <c r="JFH8" s="1876"/>
      <c r="JFI8" s="1876"/>
      <c r="JFJ8" s="1876"/>
      <c r="JFK8" s="1876"/>
      <c r="JFL8" s="1876"/>
      <c r="JFM8" s="1876"/>
      <c r="JFN8" s="1876"/>
      <c r="JFO8" s="1876"/>
      <c r="JFP8" s="1876"/>
      <c r="JFQ8" s="1876"/>
      <c r="JFR8" s="1876"/>
      <c r="JFS8" s="1876"/>
      <c r="JFT8" s="1876"/>
      <c r="JFU8" s="1876"/>
      <c r="JFV8" s="1876"/>
      <c r="JFW8" s="1876"/>
      <c r="JFX8" s="1876"/>
      <c r="JFY8" s="1876"/>
      <c r="JFZ8" s="1876"/>
      <c r="JGA8" s="1876"/>
      <c r="JGB8" s="1876"/>
      <c r="JGC8" s="1876"/>
      <c r="JGD8" s="1876"/>
      <c r="JGE8" s="1876"/>
      <c r="JGF8" s="1876"/>
      <c r="JGG8" s="1876"/>
      <c r="JGH8" s="1876"/>
      <c r="JGI8" s="1876"/>
      <c r="JGJ8" s="1876"/>
      <c r="JGK8" s="1876"/>
      <c r="JGL8" s="1876"/>
      <c r="JGM8" s="1876"/>
      <c r="JGN8" s="1876"/>
      <c r="JGO8" s="1876"/>
      <c r="JGP8" s="1876"/>
      <c r="JGQ8" s="1876"/>
      <c r="JGR8" s="1876"/>
      <c r="JGS8" s="1876"/>
      <c r="JGT8" s="1876"/>
      <c r="JGU8" s="1876"/>
      <c r="JGV8" s="1876"/>
      <c r="JGW8" s="1876"/>
      <c r="JGX8" s="1876"/>
      <c r="JGY8" s="1876"/>
      <c r="JGZ8" s="1876"/>
      <c r="JHA8" s="1876"/>
      <c r="JHB8" s="1876"/>
      <c r="JHC8" s="1876"/>
      <c r="JHD8" s="1876"/>
      <c r="JHE8" s="1876"/>
      <c r="JHF8" s="1876"/>
      <c r="JHG8" s="1876"/>
      <c r="JHH8" s="1876"/>
      <c r="JHI8" s="1876"/>
      <c r="JHJ8" s="1876"/>
      <c r="JHK8" s="1876"/>
      <c r="JHL8" s="1876"/>
      <c r="JHM8" s="1876"/>
      <c r="JHN8" s="1876"/>
      <c r="JHO8" s="1876"/>
      <c r="JHP8" s="1876"/>
      <c r="JHQ8" s="1876"/>
      <c r="JHR8" s="1876"/>
      <c r="JHS8" s="1876"/>
      <c r="JHT8" s="1876"/>
      <c r="JHU8" s="1876"/>
      <c r="JHV8" s="1876"/>
      <c r="JHW8" s="1876"/>
      <c r="JHX8" s="1876"/>
      <c r="JHY8" s="1876"/>
      <c r="JHZ8" s="1876"/>
      <c r="JIA8" s="1876"/>
      <c r="JIB8" s="1876"/>
      <c r="JIC8" s="1876"/>
      <c r="JID8" s="1876"/>
      <c r="JIE8" s="1876"/>
      <c r="JIF8" s="1876"/>
      <c r="JIG8" s="1876"/>
      <c r="JIH8" s="1876"/>
      <c r="JII8" s="1876"/>
      <c r="JIJ8" s="1876"/>
      <c r="JIK8" s="1876"/>
      <c r="JIL8" s="1876"/>
      <c r="JIM8" s="1876"/>
      <c r="JIN8" s="1876"/>
      <c r="JIO8" s="1876"/>
      <c r="JIP8" s="1876"/>
      <c r="JIQ8" s="1876"/>
      <c r="JIR8" s="1876"/>
      <c r="JIS8" s="1876"/>
      <c r="JIT8" s="1876"/>
      <c r="JIU8" s="1876"/>
      <c r="JIV8" s="1876"/>
      <c r="JIW8" s="1876"/>
      <c r="JIX8" s="1876"/>
      <c r="JIY8" s="1876"/>
      <c r="JIZ8" s="1876"/>
      <c r="JJA8" s="1876"/>
      <c r="JJB8" s="1876"/>
      <c r="JJC8" s="1876"/>
      <c r="JJD8" s="1876"/>
      <c r="JJE8" s="1876"/>
      <c r="JJF8" s="1876"/>
      <c r="JJG8" s="1876"/>
      <c r="JJH8" s="1876"/>
      <c r="JJI8" s="1876"/>
      <c r="JJJ8" s="1876"/>
      <c r="JJK8" s="1876"/>
      <c r="JJL8" s="1876"/>
      <c r="JJM8" s="1876"/>
      <c r="JJN8" s="1876"/>
      <c r="JJO8" s="1876"/>
      <c r="JJP8" s="1876"/>
      <c r="JJQ8" s="1876"/>
      <c r="JJR8" s="1876"/>
      <c r="JJS8" s="1876"/>
      <c r="JJT8" s="1876"/>
      <c r="JJU8" s="1876"/>
      <c r="JJV8" s="1876"/>
      <c r="JJW8" s="1876"/>
      <c r="JJX8" s="1876"/>
      <c r="JJY8" s="1876"/>
      <c r="JJZ8" s="1876"/>
      <c r="JKA8" s="1876"/>
      <c r="JKB8" s="1876"/>
      <c r="JKC8" s="1876"/>
      <c r="JKD8" s="1876"/>
      <c r="JKE8" s="1876"/>
      <c r="JKF8" s="1876"/>
      <c r="JKG8" s="1876"/>
      <c r="JKH8" s="1876"/>
      <c r="JKI8" s="1876"/>
      <c r="JKJ8" s="1876"/>
      <c r="JKK8" s="1876"/>
      <c r="JKL8" s="1876"/>
      <c r="JKM8" s="1876"/>
      <c r="JKN8" s="1876"/>
      <c r="JKO8" s="1876"/>
      <c r="JKP8" s="1876"/>
      <c r="JKQ8" s="1876"/>
      <c r="JKR8" s="1876"/>
      <c r="JKS8" s="1876"/>
      <c r="JKT8" s="1876"/>
      <c r="JKU8" s="1876"/>
      <c r="JKV8" s="1876"/>
      <c r="JKW8" s="1876"/>
      <c r="JKX8" s="1876"/>
      <c r="JKY8" s="1876"/>
      <c r="JKZ8" s="1876"/>
      <c r="JLA8" s="1876"/>
      <c r="JLB8" s="1876"/>
      <c r="JLC8" s="1876"/>
      <c r="JLD8" s="1876"/>
      <c r="JLE8" s="1876"/>
      <c r="JLF8" s="1876"/>
      <c r="JLG8" s="1876"/>
      <c r="JLH8" s="1876"/>
      <c r="JLI8" s="1876"/>
      <c r="JLJ8" s="1876"/>
      <c r="JLK8" s="1876"/>
      <c r="JLL8" s="1876"/>
      <c r="JLM8" s="1876"/>
      <c r="JLN8" s="1876"/>
      <c r="JLO8" s="1876"/>
      <c r="JLP8" s="1876"/>
      <c r="JLQ8" s="1876"/>
      <c r="JLR8" s="1876"/>
      <c r="JLS8" s="1876"/>
      <c r="JLT8" s="1876"/>
      <c r="JLU8" s="1876"/>
      <c r="JLV8" s="1876"/>
      <c r="JLW8" s="1876"/>
      <c r="JLX8" s="1876"/>
      <c r="JLY8" s="1876"/>
      <c r="JLZ8" s="1876"/>
      <c r="JMA8" s="1876"/>
      <c r="JMB8" s="1876"/>
      <c r="JMC8" s="1876"/>
      <c r="JMD8" s="1876"/>
      <c r="JME8" s="1876"/>
      <c r="JMF8" s="1876"/>
      <c r="JMG8" s="1876"/>
      <c r="JMH8" s="1876"/>
      <c r="JMI8" s="1876"/>
      <c r="JMJ8" s="1876"/>
      <c r="JMK8" s="1876"/>
      <c r="JML8" s="1876"/>
      <c r="JMM8" s="1876"/>
      <c r="JMN8" s="1876"/>
      <c r="JMO8" s="1876"/>
      <c r="JMP8" s="1876"/>
      <c r="JMQ8" s="1876"/>
      <c r="JMR8" s="1876"/>
      <c r="JMS8" s="1876"/>
      <c r="JMT8" s="1876"/>
      <c r="JMU8" s="1876"/>
      <c r="JMV8" s="1876"/>
      <c r="JMW8" s="1876"/>
      <c r="JMX8" s="1876"/>
      <c r="JMY8" s="1876"/>
      <c r="JMZ8" s="1876"/>
      <c r="JNA8" s="1876"/>
      <c r="JNB8" s="1876"/>
      <c r="JNC8" s="1876"/>
      <c r="JND8" s="1876"/>
      <c r="JNE8" s="1876"/>
      <c r="JNF8" s="1876"/>
      <c r="JNG8" s="1876"/>
      <c r="JNH8" s="1876"/>
      <c r="JNI8" s="1876"/>
      <c r="JNJ8" s="1876"/>
      <c r="JNK8" s="1876"/>
      <c r="JNL8" s="1876"/>
      <c r="JNM8" s="1876"/>
      <c r="JNN8" s="1876"/>
      <c r="JNO8" s="1876"/>
      <c r="JNP8" s="1876"/>
      <c r="JNQ8" s="1876"/>
      <c r="JNR8" s="1876"/>
      <c r="JNS8" s="1876"/>
      <c r="JNT8" s="1876"/>
      <c r="JNU8" s="1876"/>
      <c r="JNV8" s="1876"/>
      <c r="JNW8" s="1876"/>
      <c r="JNX8" s="1876"/>
      <c r="JNY8" s="1876"/>
      <c r="JNZ8" s="1876"/>
      <c r="JOA8" s="1876"/>
      <c r="JOB8" s="1876"/>
      <c r="JOC8" s="1876"/>
      <c r="JOD8" s="1876"/>
      <c r="JOE8" s="1876"/>
      <c r="JOF8" s="1876"/>
      <c r="JOG8" s="1876"/>
      <c r="JOH8" s="1876"/>
      <c r="JOI8" s="1876"/>
      <c r="JOJ8" s="1876"/>
      <c r="JOK8" s="1876"/>
      <c r="JOL8" s="1876"/>
      <c r="JOM8" s="1876"/>
      <c r="JON8" s="1876"/>
      <c r="JOO8" s="1876"/>
      <c r="JOP8" s="1876"/>
      <c r="JOQ8" s="1876"/>
      <c r="JOR8" s="1876"/>
      <c r="JOS8" s="1876"/>
      <c r="JOT8" s="1876"/>
      <c r="JOU8" s="1876"/>
      <c r="JOV8" s="1876"/>
      <c r="JOW8" s="1876"/>
      <c r="JOX8" s="1876"/>
      <c r="JOY8" s="1876"/>
      <c r="JOZ8" s="1876"/>
      <c r="JPA8" s="1876"/>
      <c r="JPB8" s="1876"/>
      <c r="JPC8" s="1876"/>
      <c r="JPD8" s="1876"/>
      <c r="JPE8" s="1876"/>
      <c r="JPF8" s="1876"/>
      <c r="JPG8" s="1876"/>
      <c r="JPH8" s="1876"/>
      <c r="JPI8" s="1876"/>
      <c r="JPJ8" s="1876"/>
      <c r="JPK8" s="1876"/>
      <c r="JPL8" s="1876"/>
      <c r="JPM8" s="1876"/>
      <c r="JPN8" s="1876"/>
      <c r="JPO8" s="1876"/>
      <c r="JPP8" s="1876"/>
      <c r="JPQ8" s="1876"/>
      <c r="JPR8" s="1876"/>
      <c r="JPS8" s="1876"/>
      <c r="JPT8" s="1876"/>
      <c r="JPU8" s="1876"/>
      <c r="JPV8" s="1876"/>
      <c r="JPW8" s="1876"/>
      <c r="JPX8" s="1876"/>
      <c r="JPY8" s="1876"/>
      <c r="JPZ8" s="1876"/>
      <c r="JQA8" s="1876"/>
      <c r="JQB8" s="1876"/>
      <c r="JQC8" s="1876"/>
      <c r="JQD8" s="1876"/>
      <c r="JQE8" s="1876"/>
      <c r="JQF8" s="1876"/>
      <c r="JQG8" s="1876"/>
      <c r="JQH8" s="1876"/>
      <c r="JQI8" s="1876"/>
      <c r="JQJ8" s="1876"/>
      <c r="JQK8" s="1876"/>
      <c r="JQL8" s="1876"/>
      <c r="JQM8" s="1876"/>
      <c r="JQN8" s="1876"/>
      <c r="JQO8" s="1876"/>
      <c r="JQP8" s="1876"/>
      <c r="JQQ8" s="1876"/>
      <c r="JQR8" s="1876"/>
      <c r="JQS8" s="1876"/>
      <c r="JQT8" s="1876"/>
      <c r="JQU8" s="1876"/>
      <c r="JQV8" s="1876"/>
      <c r="JQW8" s="1876"/>
      <c r="JQX8" s="1876"/>
      <c r="JQY8" s="1876"/>
      <c r="JQZ8" s="1876"/>
      <c r="JRA8" s="1876"/>
      <c r="JRB8" s="1876"/>
      <c r="JRC8" s="1876"/>
      <c r="JRD8" s="1876"/>
      <c r="JRE8" s="1876"/>
      <c r="JRF8" s="1876"/>
      <c r="JRG8" s="1876"/>
      <c r="JRH8" s="1876"/>
      <c r="JRI8" s="1876"/>
      <c r="JRJ8" s="1876"/>
      <c r="JRK8" s="1876"/>
      <c r="JRL8" s="1876"/>
      <c r="JRM8" s="1876"/>
      <c r="JRN8" s="1876"/>
      <c r="JRO8" s="1876"/>
      <c r="JRP8" s="1876"/>
      <c r="JRQ8" s="1876"/>
      <c r="JRR8" s="1876"/>
      <c r="JRS8" s="1876"/>
      <c r="JRT8" s="1876"/>
      <c r="JRU8" s="1876"/>
      <c r="JRV8" s="1876"/>
      <c r="JRW8" s="1876"/>
      <c r="JRX8" s="1876"/>
      <c r="JRY8" s="1876"/>
      <c r="JRZ8" s="1876"/>
      <c r="JSA8" s="1876"/>
      <c r="JSB8" s="1876"/>
      <c r="JSC8" s="1876"/>
      <c r="JSD8" s="1876"/>
      <c r="JSE8" s="1876"/>
      <c r="JSF8" s="1876"/>
      <c r="JSG8" s="1876"/>
      <c r="JSH8" s="1876"/>
      <c r="JSI8" s="1876"/>
      <c r="JSJ8" s="1876"/>
      <c r="JSK8" s="1876"/>
      <c r="JSL8" s="1876"/>
      <c r="JSM8" s="1876"/>
      <c r="JSN8" s="1876"/>
      <c r="JSO8" s="1876"/>
      <c r="JSP8" s="1876"/>
      <c r="JSQ8" s="1876"/>
      <c r="JSR8" s="1876"/>
      <c r="JSS8" s="1876"/>
      <c r="JST8" s="1876"/>
      <c r="JSU8" s="1876"/>
      <c r="JSV8" s="1876"/>
      <c r="JSW8" s="1876"/>
      <c r="JSX8" s="1876"/>
      <c r="JSY8" s="1876"/>
      <c r="JSZ8" s="1876"/>
      <c r="JTA8" s="1876"/>
      <c r="JTB8" s="1876"/>
      <c r="JTC8" s="1876"/>
      <c r="JTD8" s="1876"/>
      <c r="JTE8" s="1876"/>
      <c r="JTF8" s="1876"/>
      <c r="JTG8" s="1876"/>
      <c r="JTH8" s="1876"/>
      <c r="JTI8" s="1876"/>
      <c r="JTJ8" s="1876"/>
      <c r="JTK8" s="1876"/>
      <c r="JTL8" s="1876"/>
      <c r="JTM8" s="1876"/>
      <c r="JTN8" s="1876"/>
      <c r="JTO8" s="1876"/>
      <c r="JTP8" s="1876"/>
      <c r="JTQ8" s="1876"/>
      <c r="JTR8" s="1876"/>
      <c r="JTS8" s="1876"/>
      <c r="JTT8" s="1876"/>
      <c r="JTU8" s="1876"/>
      <c r="JTV8" s="1876"/>
      <c r="JTW8" s="1876"/>
      <c r="JTX8" s="1876"/>
      <c r="JTY8" s="1876"/>
      <c r="JTZ8" s="1876"/>
      <c r="JUA8" s="1876"/>
      <c r="JUB8" s="1876"/>
      <c r="JUC8" s="1876"/>
      <c r="JUD8" s="1876"/>
      <c r="JUE8" s="1876"/>
      <c r="JUF8" s="1876"/>
      <c r="JUG8" s="1876"/>
      <c r="JUH8" s="1876"/>
      <c r="JUI8" s="1876"/>
      <c r="JUJ8" s="1876"/>
      <c r="JUK8" s="1876"/>
      <c r="JUL8" s="1876"/>
      <c r="JUM8" s="1876"/>
      <c r="JUN8" s="1876"/>
      <c r="JUO8" s="1876"/>
      <c r="JUP8" s="1876"/>
      <c r="JUQ8" s="1876"/>
      <c r="JUR8" s="1876"/>
      <c r="JUS8" s="1876"/>
      <c r="JUT8" s="1876"/>
      <c r="JUU8" s="1876"/>
      <c r="JUV8" s="1876"/>
      <c r="JUW8" s="1876"/>
      <c r="JUX8" s="1876"/>
      <c r="JUY8" s="1876"/>
      <c r="JUZ8" s="1876"/>
      <c r="JVA8" s="1876"/>
      <c r="JVB8" s="1876"/>
      <c r="JVC8" s="1876"/>
      <c r="JVD8" s="1876"/>
      <c r="JVE8" s="1876"/>
      <c r="JVF8" s="1876"/>
      <c r="JVG8" s="1876"/>
      <c r="JVH8" s="1876"/>
      <c r="JVI8" s="1876"/>
      <c r="JVJ8" s="1876"/>
      <c r="JVK8" s="1876"/>
      <c r="JVL8" s="1876"/>
      <c r="JVM8" s="1876"/>
      <c r="JVN8" s="1876"/>
      <c r="JVO8" s="1876"/>
      <c r="JVP8" s="1876"/>
      <c r="JVQ8" s="1876"/>
      <c r="JVR8" s="1876"/>
      <c r="JVS8" s="1876"/>
      <c r="JVT8" s="1876"/>
      <c r="JVU8" s="1876"/>
      <c r="JVV8" s="1876"/>
      <c r="JVW8" s="1876"/>
      <c r="JVX8" s="1876"/>
      <c r="JVY8" s="1876"/>
      <c r="JVZ8" s="1876"/>
      <c r="JWA8" s="1876"/>
      <c r="JWB8" s="1876"/>
      <c r="JWC8" s="1876"/>
      <c r="JWD8" s="1876"/>
      <c r="JWE8" s="1876"/>
      <c r="JWF8" s="1876"/>
      <c r="JWG8" s="1876"/>
      <c r="JWH8" s="1876"/>
      <c r="JWI8" s="1876"/>
      <c r="JWJ8" s="1876"/>
      <c r="JWK8" s="1876"/>
      <c r="JWL8" s="1876"/>
      <c r="JWM8" s="1876"/>
      <c r="JWN8" s="1876"/>
      <c r="JWO8" s="1876"/>
      <c r="JWP8" s="1876"/>
      <c r="JWQ8" s="1876"/>
      <c r="JWR8" s="1876"/>
      <c r="JWS8" s="1876"/>
      <c r="JWT8" s="1876"/>
      <c r="JWU8" s="1876"/>
      <c r="JWV8" s="1876"/>
      <c r="JWW8" s="1876"/>
      <c r="JWX8" s="1876"/>
      <c r="JWY8" s="1876"/>
      <c r="JWZ8" s="1876"/>
      <c r="JXA8" s="1876"/>
      <c r="JXB8" s="1876"/>
      <c r="JXC8" s="1876"/>
      <c r="JXD8" s="1876"/>
      <c r="JXE8" s="1876"/>
      <c r="JXF8" s="1876"/>
      <c r="JXG8" s="1876"/>
      <c r="JXH8" s="1876"/>
      <c r="JXI8" s="1876"/>
      <c r="JXJ8" s="1876"/>
      <c r="JXK8" s="1876"/>
      <c r="JXL8" s="1876"/>
      <c r="JXM8" s="1876"/>
      <c r="JXN8" s="1876"/>
      <c r="JXO8" s="1876"/>
      <c r="JXP8" s="1876"/>
      <c r="JXQ8" s="1876"/>
      <c r="JXR8" s="1876"/>
      <c r="JXS8" s="1876"/>
      <c r="JXT8" s="1876"/>
      <c r="JXU8" s="1876"/>
      <c r="JXV8" s="1876"/>
      <c r="JXW8" s="1876"/>
      <c r="JXX8" s="1876"/>
      <c r="JXY8" s="1876"/>
      <c r="JXZ8" s="1876"/>
      <c r="JYA8" s="1876"/>
      <c r="JYB8" s="1876"/>
      <c r="JYC8" s="1876"/>
      <c r="JYD8" s="1876"/>
      <c r="JYE8" s="1876"/>
      <c r="JYF8" s="1876"/>
      <c r="JYG8" s="1876"/>
      <c r="JYH8" s="1876"/>
      <c r="JYI8" s="1876"/>
      <c r="JYJ8" s="1876"/>
      <c r="JYK8" s="1876"/>
      <c r="JYL8" s="1876"/>
      <c r="JYM8" s="1876"/>
      <c r="JYN8" s="1876"/>
      <c r="JYO8" s="1876"/>
      <c r="JYP8" s="1876"/>
      <c r="JYQ8" s="1876"/>
      <c r="JYR8" s="1876"/>
      <c r="JYS8" s="1876"/>
      <c r="JYT8" s="1876"/>
      <c r="JYU8" s="1876"/>
      <c r="JYV8" s="1876"/>
      <c r="JYW8" s="1876"/>
      <c r="JYX8" s="1876"/>
      <c r="JYY8" s="1876"/>
      <c r="JYZ8" s="1876"/>
      <c r="JZA8" s="1876"/>
      <c r="JZB8" s="1876"/>
      <c r="JZC8" s="1876"/>
      <c r="JZD8" s="1876"/>
      <c r="JZE8" s="1876"/>
      <c r="JZF8" s="1876"/>
      <c r="JZG8" s="1876"/>
      <c r="JZH8" s="1876"/>
      <c r="JZI8" s="1876"/>
      <c r="JZJ8" s="1876"/>
      <c r="JZK8" s="1876"/>
      <c r="JZL8" s="1876"/>
      <c r="JZM8" s="1876"/>
      <c r="JZN8" s="1876"/>
      <c r="JZO8" s="1876"/>
      <c r="JZP8" s="1876"/>
      <c r="JZQ8" s="1876"/>
      <c r="JZR8" s="1876"/>
      <c r="JZS8" s="1876"/>
      <c r="JZT8" s="1876"/>
      <c r="JZU8" s="1876"/>
      <c r="JZV8" s="1876"/>
      <c r="JZW8" s="1876"/>
      <c r="JZX8" s="1876"/>
      <c r="JZY8" s="1876"/>
      <c r="JZZ8" s="1876"/>
      <c r="KAA8" s="1876"/>
      <c r="KAB8" s="1876"/>
      <c r="KAC8" s="1876"/>
      <c r="KAD8" s="1876"/>
      <c r="KAE8" s="1876"/>
      <c r="KAF8" s="1876"/>
      <c r="KAG8" s="1876"/>
      <c r="KAH8" s="1876"/>
      <c r="KAI8" s="1876"/>
      <c r="KAJ8" s="1876"/>
      <c r="KAK8" s="1876"/>
      <c r="KAL8" s="1876"/>
      <c r="KAM8" s="1876"/>
      <c r="KAN8" s="1876"/>
      <c r="KAO8" s="1876"/>
      <c r="KAP8" s="1876"/>
      <c r="KAQ8" s="1876"/>
      <c r="KAR8" s="1876"/>
      <c r="KAS8" s="1876"/>
      <c r="KAT8" s="1876"/>
      <c r="KAU8" s="1876"/>
      <c r="KAV8" s="1876"/>
      <c r="KAW8" s="1876"/>
      <c r="KAX8" s="1876"/>
      <c r="KAY8" s="1876"/>
      <c r="KAZ8" s="1876"/>
      <c r="KBA8" s="1876"/>
      <c r="KBB8" s="1876"/>
      <c r="KBC8" s="1876"/>
      <c r="KBD8" s="1876"/>
      <c r="KBE8" s="1876"/>
      <c r="KBF8" s="1876"/>
      <c r="KBG8" s="1876"/>
      <c r="KBH8" s="1876"/>
      <c r="KBI8" s="1876"/>
      <c r="KBJ8" s="1876"/>
      <c r="KBK8" s="1876"/>
      <c r="KBL8" s="1876"/>
      <c r="KBM8" s="1876"/>
      <c r="KBN8" s="1876"/>
      <c r="KBO8" s="1876"/>
      <c r="KBP8" s="1876"/>
      <c r="KBQ8" s="1876"/>
      <c r="KBR8" s="1876"/>
      <c r="KBS8" s="1876"/>
      <c r="KBT8" s="1876"/>
      <c r="KBU8" s="1876"/>
      <c r="KBV8" s="1876"/>
      <c r="KBW8" s="1876"/>
      <c r="KBX8" s="1876"/>
      <c r="KBY8" s="1876"/>
      <c r="KBZ8" s="1876"/>
      <c r="KCA8" s="1876"/>
      <c r="KCB8" s="1876"/>
      <c r="KCC8" s="1876"/>
      <c r="KCD8" s="1876"/>
      <c r="KCE8" s="1876"/>
      <c r="KCF8" s="1876"/>
      <c r="KCG8" s="1876"/>
      <c r="KCH8" s="1876"/>
      <c r="KCI8" s="1876"/>
      <c r="KCJ8" s="1876"/>
      <c r="KCK8" s="1876"/>
      <c r="KCL8" s="1876"/>
      <c r="KCM8" s="1876"/>
      <c r="KCN8" s="1876"/>
      <c r="KCO8" s="1876"/>
      <c r="KCP8" s="1876"/>
      <c r="KCQ8" s="1876"/>
      <c r="KCR8" s="1876"/>
      <c r="KCS8" s="1876"/>
      <c r="KCT8" s="1876"/>
      <c r="KCU8" s="1876"/>
      <c r="KCV8" s="1876"/>
      <c r="KCW8" s="1876"/>
      <c r="KCX8" s="1876"/>
      <c r="KCY8" s="1876"/>
      <c r="KCZ8" s="1876"/>
      <c r="KDA8" s="1876"/>
      <c r="KDB8" s="1876"/>
      <c r="KDC8" s="1876"/>
      <c r="KDD8" s="1876"/>
      <c r="KDE8" s="1876"/>
      <c r="KDF8" s="1876"/>
      <c r="KDG8" s="1876"/>
      <c r="KDH8" s="1876"/>
      <c r="KDI8" s="1876"/>
      <c r="KDJ8" s="1876"/>
      <c r="KDK8" s="1876"/>
      <c r="KDL8" s="1876"/>
      <c r="KDM8" s="1876"/>
      <c r="KDN8" s="1876"/>
      <c r="KDO8" s="1876"/>
      <c r="KDP8" s="1876"/>
      <c r="KDQ8" s="1876"/>
      <c r="KDR8" s="1876"/>
      <c r="KDS8" s="1876"/>
      <c r="KDT8" s="1876"/>
      <c r="KDU8" s="1876"/>
      <c r="KDV8" s="1876"/>
      <c r="KDW8" s="1876"/>
      <c r="KDX8" s="1876"/>
      <c r="KDY8" s="1876"/>
      <c r="KDZ8" s="1876"/>
      <c r="KEA8" s="1876"/>
      <c r="KEB8" s="1876"/>
      <c r="KEC8" s="1876"/>
      <c r="KED8" s="1876"/>
      <c r="KEE8" s="1876"/>
      <c r="KEF8" s="1876"/>
      <c r="KEG8" s="1876"/>
      <c r="KEH8" s="1876"/>
      <c r="KEI8" s="1876"/>
      <c r="KEJ8" s="1876"/>
      <c r="KEK8" s="1876"/>
      <c r="KEL8" s="1876"/>
      <c r="KEM8" s="1876"/>
      <c r="KEN8" s="1876"/>
      <c r="KEO8" s="1876"/>
      <c r="KEP8" s="1876"/>
      <c r="KEQ8" s="1876"/>
      <c r="KER8" s="1876"/>
      <c r="KES8" s="1876"/>
      <c r="KET8" s="1876"/>
      <c r="KEU8" s="1876"/>
      <c r="KEV8" s="1876"/>
      <c r="KEW8" s="1876"/>
      <c r="KEX8" s="1876"/>
      <c r="KEY8" s="1876"/>
      <c r="KEZ8" s="1876"/>
      <c r="KFA8" s="1876"/>
      <c r="KFB8" s="1876"/>
      <c r="KFC8" s="1876"/>
      <c r="KFD8" s="1876"/>
      <c r="KFE8" s="1876"/>
      <c r="KFF8" s="1876"/>
      <c r="KFG8" s="1876"/>
      <c r="KFH8" s="1876"/>
      <c r="KFI8" s="1876"/>
      <c r="KFJ8" s="1876"/>
      <c r="KFK8" s="1876"/>
      <c r="KFL8" s="1876"/>
      <c r="KFM8" s="1876"/>
      <c r="KFN8" s="1876"/>
      <c r="KFO8" s="1876"/>
      <c r="KFP8" s="1876"/>
      <c r="KFQ8" s="1876"/>
      <c r="KFR8" s="1876"/>
      <c r="KFS8" s="1876"/>
      <c r="KFT8" s="1876"/>
      <c r="KFU8" s="1876"/>
      <c r="KFV8" s="1876"/>
      <c r="KFW8" s="1876"/>
      <c r="KFX8" s="1876"/>
      <c r="KFY8" s="1876"/>
      <c r="KFZ8" s="1876"/>
      <c r="KGA8" s="1876"/>
      <c r="KGB8" s="1876"/>
      <c r="KGC8" s="1876"/>
      <c r="KGD8" s="1876"/>
      <c r="KGE8" s="1876"/>
      <c r="KGF8" s="1876"/>
      <c r="KGG8" s="1876"/>
      <c r="KGH8" s="1876"/>
      <c r="KGI8" s="1876"/>
      <c r="KGJ8" s="1876"/>
      <c r="KGK8" s="1876"/>
      <c r="KGL8" s="1876"/>
      <c r="KGM8" s="1876"/>
      <c r="KGN8" s="1876"/>
      <c r="KGO8" s="1876"/>
      <c r="KGP8" s="1876"/>
      <c r="KGQ8" s="1876"/>
      <c r="KGR8" s="1876"/>
      <c r="KGS8" s="1876"/>
      <c r="KGT8" s="1876"/>
      <c r="KGU8" s="1876"/>
      <c r="KGV8" s="1876"/>
      <c r="KGW8" s="1876"/>
      <c r="KGX8" s="1876"/>
      <c r="KGY8" s="1876"/>
      <c r="KGZ8" s="1876"/>
      <c r="KHA8" s="1876"/>
      <c r="KHB8" s="1876"/>
      <c r="KHC8" s="1876"/>
      <c r="KHD8" s="1876"/>
      <c r="KHE8" s="1876"/>
      <c r="KHF8" s="1876"/>
      <c r="KHG8" s="1876"/>
      <c r="KHH8" s="1876"/>
      <c r="KHI8" s="1876"/>
      <c r="KHJ8" s="1876"/>
      <c r="KHK8" s="1876"/>
      <c r="KHL8" s="1876"/>
      <c r="KHM8" s="1876"/>
      <c r="KHN8" s="1876"/>
      <c r="KHO8" s="1876"/>
      <c r="KHP8" s="1876"/>
      <c r="KHQ8" s="1876"/>
      <c r="KHR8" s="1876"/>
      <c r="KHS8" s="1876"/>
      <c r="KHT8" s="1876"/>
      <c r="KHU8" s="1876"/>
      <c r="KHV8" s="1876"/>
      <c r="KHW8" s="1876"/>
      <c r="KHX8" s="1876"/>
      <c r="KHY8" s="1876"/>
      <c r="KHZ8" s="1876"/>
      <c r="KIA8" s="1876"/>
      <c r="KIB8" s="1876"/>
      <c r="KIC8" s="1876"/>
      <c r="KID8" s="1876"/>
      <c r="KIE8" s="1876"/>
      <c r="KIF8" s="1876"/>
      <c r="KIG8" s="1876"/>
      <c r="KIH8" s="1876"/>
      <c r="KII8" s="1876"/>
      <c r="KIJ8" s="1876"/>
      <c r="KIK8" s="1876"/>
      <c r="KIL8" s="1876"/>
      <c r="KIM8" s="1876"/>
      <c r="KIN8" s="1876"/>
      <c r="KIO8" s="1876"/>
      <c r="KIP8" s="1876"/>
      <c r="KIQ8" s="1876"/>
      <c r="KIR8" s="1876"/>
      <c r="KIS8" s="1876"/>
      <c r="KIT8" s="1876"/>
      <c r="KIU8" s="1876"/>
      <c r="KIV8" s="1876"/>
      <c r="KIW8" s="1876"/>
      <c r="KIX8" s="1876"/>
      <c r="KIY8" s="1876"/>
      <c r="KIZ8" s="1876"/>
      <c r="KJA8" s="1876"/>
      <c r="KJB8" s="1876"/>
      <c r="KJC8" s="1876"/>
      <c r="KJD8" s="1876"/>
      <c r="KJE8" s="1876"/>
      <c r="KJF8" s="1876"/>
      <c r="KJG8" s="1876"/>
      <c r="KJH8" s="1876"/>
      <c r="KJI8" s="1876"/>
      <c r="KJJ8" s="1876"/>
      <c r="KJK8" s="1876"/>
      <c r="KJL8" s="1876"/>
      <c r="KJM8" s="1876"/>
      <c r="KJN8" s="1876"/>
      <c r="KJO8" s="1876"/>
      <c r="KJP8" s="1876"/>
      <c r="KJQ8" s="1876"/>
      <c r="KJR8" s="1876"/>
      <c r="KJS8" s="1876"/>
      <c r="KJT8" s="1876"/>
      <c r="KJU8" s="1876"/>
      <c r="KJV8" s="1876"/>
      <c r="KJW8" s="1876"/>
      <c r="KJX8" s="1876"/>
      <c r="KJY8" s="1876"/>
      <c r="KJZ8" s="1876"/>
      <c r="KKA8" s="1876"/>
      <c r="KKB8" s="1876"/>
      <c r="KKC8" s="1876"/>
      <c r="KKD8" s="1876"/>
      <c r="KKE8" s="1876"/>
      <c r="KKF8" s="1876"/>
      <c r="KKG8" s="1876"/>
      <c r="KKH8" s="1876"/>
      <c r="KKI8" s="1876"/>
      <c r="KKJ8" s="1876"/>
      <c r="KKK8" s="1876"/>
      <c r="KKL8" s="1876"/>
      <c r="KKM8" s="1876"/>
      <c r="KKN8" s="1876"/>
      <c r="KKO8" s="1876"/>
      <c r="KKP8" s="1876"/>
      <c r="KKQ8" s="1876"/>
      <c r="KKR8" s="1876"/>
      <c r="KKS8" s="1876"/>
      <c r="KKT8" s="1876"/>
      <c r="KKU8" s="1876"/>
      <c r="KKV8" s="1876"/>
      <c r="KKW8" s="1876"/>
      <c r="KKX8" s="1876"/>
      <c r="KKY8" s="1876"/>
      <c r="KKZ8" s="1876"/>
      <c r="KLA8" s="1876"/>
      <c r="KLB8" s="1876"/>
      <c r="KLC8" s="1876"/>
      <c r="KLD8" s="1876"/>
      <c r="KLE8" s="1876"/>
      <c r="KLF8" s="1876"/>
      <c r="KLG8" s="1876"/>
      <c r="KLH8" s="1876"/>
      <c r="KLI8" s="1876"/>
      <c r="KLJ8" s="1876"/>
      <c r="KLK8" s="1876"/>
      <c r="KLL8" s="1876"/>
      <c r="KLM8" s="1876"/>
      <c r="KLN8" s="1876"/>
      <c r="KLO8" s="1876"/>
      <c r="KLP8" s="1876"/>
      <c r="KLQ8" s="1876"/>
      <c r="KLR8" s="1876"/>
      <c r="KLS8" s="1876"/>
      <c r="KLT8" s="1876"/>
      <c r="KLU8" s="1876"/>
      <c r="KLV8" s="1876"/>
      <c r="KLW8" s="1876"/>
      <c r="KLX8" s="1876"/>
      <c r="KLY8" s="1876"/>
      <c r="KLZ8" s="1876"/>
      <c r="KMA8" s="1876"/>
      <c r="KMB8" s="1876"/>
      <c r="KMC8" s="1876"/>
      <c r="KMD8" s="1876"/>
      <c r="KME8" s="1876"/>
      <c r="KMF8" s="1876"/>
      <c r="KMG8" s="1876"/>
      <c r="KMH8" s="1876"/>
      <c r="KMI8" s="1876"/>
      <c r="KMJ8" s="1876"/>
      <c r="KMK8" s="1876"/>
      <c r="KML8" s="1876"/>
      <c r="KMM8" s="1876"/>
      <c r="KMN8" s="1876"/>
      <c r="KMO8" s="1876"/>
      <c r="KMP8" s="1876"/>
      <c r="KMQ8" s="1876"/>
      <c r="KMR8" s="1876"/>
      <c r="KMS8" s="1876"/>
      <c r="KMT8" s="1876"/>
      <c r="KMU8" s="1876"/>
      <c r="KMV8" s="1876"/>
      <c r="KMW8" s="1876"/>
      <c r="KMX8" s="1876"/>
      <c r="KMY8" s="1876"/>
      <c r="KMZ8" s="1876"/>
      <c r="KNA8" s="1876"/>
      <c r="KNB8" s="1876"/>
      <c r="KNC8" s="1876"/>
      <c r="KND8" s="1876"/>
      <c r="KNE8" s="1876"/>
      <c r="KNF8" s="1876"/>
      <c r="KNG8" s="1876"/>
      <c r="KNH8" s="1876"/>
      <c r="KNI8" s="1876"/>
      <c r="KNJ8" s="1876"/>
      <c r="KNK8" s="1876"/>
      <c r="KNL8" s="1876"/>
      <c r="KNM8" s="1876"/>
      <c r="KNN8" s="1876"/>
      <c r="KNO8" s="1876"/>
      <c r="KNP8" s="1876"/>
      <c r="KNQ8" s="1876"/>
      <c r="KNR8" s="1876"/>
      <c r="KNS8" s="1876"/>
      <c r="KNT8" s="1876"/>
      <c r="KNU8" s="1876"/>
      <c r="KNV8" s="1876"/>
      <c r="KNW8" s="1876"/>
      <c r="KNX8" s="1876"/>
      <c r="KNY8" s="1876"/>
      <c r="KNZ8" s="1876"/>
      <c r="KOA8" s="1876"/>
      <c r="KOB8" s="1876"/>
      <c r="KOC8" s="1876"/>
      <c r="KOD8" s="1876"/>
      <c r="KOE8" s="1876"/>
      <c r="KOF8" s="1876"/>
      <c r="KOG8" s="1876"/>
      <c r="KOH8" s="1876"/>
      <c r="KOI8" s="1876"/>
      <c r="KOJ8" s="1876"/>
      <c r="KOK8" s="1876"/>
      <c r="KOL8" s="1876"/>
      <c r="KOM8" s="1876"/>
      <c r="KON8" s="1876"/>
      <c r="KOO8" s="1876"/>
      <c r="KOP8" s="1876"/>
      <c r="KOQ8" s="1876"/>
      <c r="KOR8" s="1876"/>
      <c r="KOS8" s="1876"/>
      <c r="KOT8" s="1876"/>
      <c r="KOU8" s="1876"/>
      <c r="KOV8" s="1876"/>
      <c r="KOW8" s="1876"/>
      <c r="KOX8" s="1876"/>
      <c r="KOY8" s="1876"/>
      <c r="KOZ8" s="1876"/>
      <c r="KPA8" s="1876"/>
      <c r="KPB8" s="1876"/>
      <c r="KPC8" s="1876"/>
      <c r="KPD8" s="1876"/>
      <c r="KPE8" s="1876"/>
      <c r="KPF8" s="1876"/>
      <c r="KPG8" s="1876"/>
      <c r="KPH8" s="1876"/>
      <c r="KPI8" s="1876"/>
      <c r="KPJ8" s="1876"/>
      <c r="KPK8" s="1876"/>
      <c r="KPL8" s="1876"/>
      <c r="KPM8" s="1876"/>
      <c r="KPN8" s="1876"/>
      <c r="KPO8" s="1876"/>
      <c r="KPP8" s="1876"/>
      <c r="KPQ8" s="1876"/>
      <c r="KPR8" s="1876"/>
      <c r="KPS8" s="1876"/>
      <c r="KPT8" s="1876"/>
      <c r="KPU8" s="1876"/>
      <c r="KPV8" s="1876"/>
      <c r="KPW8" s="1876"/>
      <c r="KPX8" s="1876"/>
      <c r="KPY8" s="1876"/>
      <c r="KPZ8" s="1876"/>
      <c r="KQA8" s="1876"/>
      <c r="KQB8" s="1876"/>
      <c r="KQC8" s="1876"/>
      <c r="KQD8" s="1876"/>
      <c r="KQE8" s="1876"/>
      <c r="KQF8" s="1876"/>
      <c r="KQG8" s="1876"/>
      <c r="KQH8" s="1876"/>
      <c r="KQI8" s="1876"/>
      <c r="KQJ8" s="1876"/>
      <c r="KQK8" s="1876"/>
      <c r="KQL8" s="1876"/>
      <c r="KQM8" s="1876"/>
      <c r="KQN8" s="1876"/>
      <c r="KQO8" s="1876"/>
      <c r="KQP8" s="1876"/>
      <c r="KQQ8" s="1876"/>
      <c r="KQR8" s="1876"/>
      <c r="KQS8" s="1876"/>
      <c r="KQT8" s="1876"/>
      <c r="KQU8" s="1876"/>
      <c r="KQV8" s="1876"/>
      <c r="KQW8" s="1876"/>
      <c r="KQX8" s="1876"/>
      <c r="KQY8" s="1876"/>
      <c r="KQZ8" s="1876"/>
      <c r="KRA8" s="1876"/>
      <c r="KRB8" s="1876"/>
      <c r="KRC8" s="1876"/>
      <c r="KRD8" s="1876"/>
      <c r="KRE8" s="1876"/>
      <c r="KRF8" s="1876"/>
      <c r="KRG8" s="1876"/>
      <c r="KRH8" s="1876"/>
      <c r="KRI8" s="1876"/>
      <c r="KRJ8" s="1876"/>
      <c r="KRK8" s="1876"/>
      <c r="KRL8" s="1876"/>
      <c r="KRM8" s="1876"/>
      <c r="KRN8" s="1876"/>
      <c r="KRO8" s="1876"/>
      <c r="KRP8" s="1876"/>
      <c r="KRQ8" s="1876"/>
      <c r="KRR8" s="1876"/>
      <c r="KRS8" s="1876"/>
      <c r="KRT8" s="1876"/>
      <c r="KRU8" s="1876"/>
      <c r="KRV8" s="1876"/>
      <c r="KRW8" s="1876"/>
      <c r="KRX8" s="1876"/>
      <c r="KRY8" s="1876"/>
      <c r="KRZ8" s="1876"/>
      <c r="KSA8" s="1876"/>
      <c r="KSB8" s="1876"/>
      <c r="KSC8" s="1876"/>
      <c r="KSD8" s="1876"/>
      <c r="KSE8" s="1876"/>
      <c r="KSF8" s="1876"/>
      <c r="KSG8" s="1876"/>
      <c r="KSH8" s="1876"/>
      <c r="KSI8" s="1876"/>
      <c r="KSJ8" s="1876"/>
      <c r="KSK8" s="1876"/>
      <c r="KSL8" s="1876"/>
      <c r="KSM8" s="1876"/>
      <c r="KSN8" s="1876"/>
      <c r="KSO8" s="1876"/>
      <c r="KSP8" s="1876"/>
      <c r="KSQ8" s="1876"/>
      <c r="KSR8" s="1876"/>
      <c r="KSS8" s="1876"/>
      <c r="KST8" s="1876"/>
      <c r="KSU8" s="1876"/>
      <c r="KSV8" s="1876"/>
      <c r="KSW8" s="1876"/>
      <c r="KSX8" s="1876"/>
      <c r="KSY8" s="1876"/>
      <c r="KSZ8" s="1876"/>
      <c r="KTA8" s="1876"/>
      <c r="KTB8" s="1876"/>
      <c r="KTC8" s="1876"/>
      <c r="KTD8" s="1876"/>
      <c r="KTE8" s="1876"/>
      <c r="KTF8" s="1876"/>
      <c r="KTG8" s="1876"/>
      <c r="KTH8" s="1876"/>
      <c r="KTI8" s="1876"/>
      <c r="KTJ8" s="1876"/>
      <c r="KTK8" s="1876"/>
      <c r="KTL8" s="1876"/>
      <c r="KTM8" s="1876"/>
      <c r="KTN8" s="1876"/>
      <c r="KTO8" s="1876"/>
      <c r="KTP8" s="1876"/>
      <c r="KTQ8" s="1876"/>
      <c r="KTR8" s="1876"/>
      <c r="KTS8" s="1876"/>
      <c r="KTT8" s="1876"/>
      <c r="KTU8" s="1876"/>
      <c r="KTV8" s="1876"/>
      <c r="KTW8" s="1876"/>
      <c r="KTX8" s="1876"/>
      <c r="KTY8" s="1876"/>
      <c r="KTZ8" s="1876"/>
      <c r="KUA8" s="1876"/>
      <c r="KUB8" s="1876"/>
      <c r="KUC8" s="1876"/>
      <c r="KUD8" s="1876"/>
      <c r="KUE8" s="1876"/>
      <c r="KUF8" s="1876"/>
      <c r="KUG8" s="1876"/>
      <c r="KUH8" s="1876"/>
      <c r="KUI8" s="1876"/>
      <c r="KUJ8" s="1876"/>
      <c r="KUK8" s="1876"/>
      <c r="KUL8" s="1876"/>
      <c r="KUM8" s="1876"/>
      <c r="KUN8" s="1876"/>
      <c r="KUO8" s="1876"/>
      <c r="KUP8" s="1876"/>
      <c r="KUQ8" s="1876"/>
      <c r="KUR8" s="1876"/>
      <c r="KUS8" s="1876"/>
      <c r="KUT8" s="1876"/>
      <c r="KUU8" s="1876"/>
      <c r="KUV8" s="1876"/>
      <c r="KUW8" s="1876"/>
      <c r="KUX8" s="1876"/>
      <c r="KUY8" s="1876"/>
      <c r="KUZ8" s="1876"/>
      <c r="KVA8" s="1876"/>
      <c r="KVB8" s="1876"/>
      <c r="KVC8" s="1876"/>
      <c r="KVD8" s="1876"/>
      <c r="KVE8" s="1876"/>
      <c r="KVF8" s="1876"/>
      <c r="KVG8" s="1876"/>
      <c r="KVH8" s="1876"/>
      <c r="KVI8" s="1876"/>
      <c r="KVJ8" s="1876"/>
      <c r="KVK8" s="1876"/>
      <c r="KVL8" s="1876"/>
      <c r="KVM8" s="1876"/>
      <c r="KVN8" s="1876"/>
      <c r="KVO8" s="1876"/>
      <c r="KVP8" s="1876"/>
      <c r="KVQ8" s="1876"/>
      <c r="KVR8" s="1876"/>
      <c r="KVS8" s="1876"/>
      <c r="KVT8" s="1876"/>
      <c r="KVU8" s="1876"/>
      <c r="KVV8" s="1876"/>
      <c r="KVW8" s="1876"/>
      <c r="KVX8" s="1876"/>
      <c r="KVY8" s="1876"/>
      <c r="KVZ8" s="1876"/>
      <c r="KWA8" s="1876"/>
      <c r="KWB8" s="1876"/>
      <c r="KWC8" s="1876"/>
      <c r="KWD8" s="1876"/>
      <c r="KWE8" s="1876"/>
      <c r="KWF8" s="1876"/>
      <c r="KWG8" s="1876"/>
      <c r="KWH8" s="1876"/>
      <c r="KWI8" s="1876"/>
      <c r="KWJ8" s="1876"/>
      <c r="KWK8" s="1876"/>
      <c r="KWL8" s="1876"/>
      <c r="KWM8" s="1876"/>
      <c r="KWN8" s="1876"/>
      <c r="KWO8" s="1876"/>
      <c r="KWP8" s="1876"/>
      <c r="KWQ8" s="1876"/>
      <c r="KWR8" s="1876"/>
      <c r="KWS8" s="1876"/>
      <c r="KWT8" s="1876"/>
      <c r="KWU8" s="1876"/>
      <c r="KWV8" s="1876"/>
      <c r="KWW8" s="1876"/>
      <c r="KWX8" s="1876"/>
      <c r="KWY8" s="1876"/>
      <c r="KWZ8" s="1876"/>
      <c r="KXA8" s="1876"/>
      <c r="KXB8" s="1876"/>
      <c r="KXC8" s="1876"/>
      <c r="KXD8" s="1876"/>
      <c r="KXE8" s="1876"/>
      <c r="KXF8" s="1876"/>
      <c r="KXG8" s="1876"/>
      <c r="KXH8" s="1876"/>
      <c r="KXI8" s="1876"/>
      <c r="KXJ8" s="1876"/>
      <c r="KXK8" s="1876"/>
      <c r="KXL8" s="1876"/>
      <c r="KXM8" s="1876"/>
      <c r="KXN8" s="1876"/>
      <c r="KXO8" s="1876"/>
      <c r="KXP8" s="1876"/>
      <c r="KXQ8" s="1876"/>
      <c r="KXR8" s="1876"/>
      <c r="KXS8" s="1876"/>
      <c r="KXT8" s="1876"/>
      <c r="KXU8" s="1876"/>
      <c r="KXV8" s="1876"/>
      <c r="KXW8" s="1876"/>
      <c r="KXX8" s="1876"/>
      <c r="KXY8" s="1876"/>
      <c r="KXZ8" s="1876"/>
      <c r="KYA8" s="1876"/>
      <c r="KYB8" s="1876"/>
      <c r="KYC8" s="1876"/>
      <c r="KYD8" s="1876"/>
      <c r="KYE8" s="1876"/>
      <c r="KYF8" s="1876"/>
      <c r="KYG8" s="1876"/>
      <c r="KYH8" s="1876"/>
      <c r="KYI8" s="1876"/>
      <c r="KYJ8" s="1876"/>
      <c r="KYK8" s="1876"/>
      <c r="KYL8" s="1876"/>
      <c r="KYM8" s="1876"/>
      <c r="KYN8" s="1876"/>
      <c r="KYO8" s="1876"/>
      <c r="KYP8" s="1876"/>
      <c r="KYQ8" s="1876"/>
      <c r="KYR8" s="1876"/>
      <c r="KYS8" s="1876"/>
      <c r="KYT8" s="1876"/>
      <c r="KYU8" s="1876"/>
      <c r="KYV8" s="1876"/>
      <c r="KYW8" s="1876"/>
      <c r="KYX8" s="1876"/>
      <c r="KYY8" s="1876"/>
      <c r="KYZ8" s="1876"/>
      <c r="KZA8" s="1876"/>
      <c r="KZB8" s="1876"/>
      <c r="KZC8" s="1876"/>
      <c r="KZD8" s="1876"/>
      <c r="KZE8" s="1876"/>
      <c r="KZF8" s="1876"/>
      <c r="KZG8" s="1876"/>
      <c r="KZH8" s="1876"/>
      <c r="KZI8" s="1876"/>
      <c r="KZJ8" s="1876"/>
      <c r="KZK8" s="1876"/>
      <c r="KZL8" s="1876"/>
      <c r="KZM8" s="1876"/>
      <c r="KZN8" s="1876"/>
      <c r="KZO8" s="1876"/>
      <c r="KZP8" s="1876"/>
      <c r="KZQ8" s="1876"/>
      <c r="KZR8" s="1876"/>
      <c r="KZS8" s="1876"/>
      <c r="KZT8" s="1876"/>
      <c r="KZU8" s="1876"/>
      <c r="KZV8" s="1876"/>
      <c r="KZW8" s="1876"/>
      <c r="KZX8" s="1876"/>
      <c r="KZY8" s="1876"/>
      <c r="KZZ8" s="1876"/>
      <c r="LAA8" s="1876"/>
      <c r="LAB8" s="1876"/>
      <c r="LAC8" s="1876"/>
      <c r="LAD8" s="1876"/>
      <c r="LAE8" s="1876"/>
      <c r="LAF8" s="1876"/>
      <c r="LAG8" s="1876"/>
      <c r="LAH8" s="1876"/>
      <c r="LAI8" s="1876"/>
      <c r="LAJ8" s="1876"/>
      <c r="LAK8" s="1876"/>
      <c r="LAL8" s="1876"/>
      <c r="LAM8" s="1876"/>
      <c r="LAN8" s="1876"/>
      <c r="LAO8" s="1876"/>
      <c r="LAP8" s="1876"/>
      <c r="LAQ8" s="1876"/>
      <c r="LAR8" s="1876"/>
      <c r="LAS8" s="1876"/>
      <c r="LAT8" s="1876"/>
      <c r="LAU8" s="1876"/>
      <c r="LAV8" s="1876"/>
      <c r="LAW8" s="1876"/>
      <c r="LAX8" s="1876"/>
      <c r="LAY8" s="1876"/>
      <c r="LAZ8" s="1876"/>
      <c r="LBA8" s="1876"/>
      <c r="LBB8" s="1876"/>
      <c r="LBC8" s="1876"/>
      <c r="LBD8" s="1876"/>
      <c r="LBE8" s="1876"/>
      <c r="LBF8" s="1876"/>
      <c r="LBG8" s="1876"/>
      <c r="LBH8" s="1876"/>
      <c r="LBI8" s="1876"/>
      <c r="LBJ8" s="1876"/>
      <c r="LBK8" s="1876"/>
      <c r="LBL8" s="1876"/>
      <c r="LBM8" s="1876"/>
      <c r="LBN8" s="1876"/>
      <c r="LBO8" s="1876"/>
      <c r="LBP8" s="1876"/>
      <c r="LBQ8" s="1876"/>
      <c r="LBR8" s="1876"/>
      <c r="LBS8" s="1876"/>
      <c r="LBT8" s="1876"/>
      <c r="LBU8" s="1876"/>
      <c r="LBV8" s="1876"/>
      <c r="LBW8" s="1876"/>
      <c r="LBX8" s="1876"/>
      <c r="LBY8" s="1876"/>
      <c r="LBZ8" s="1876"/>
      <c r="LCA8" s="1876"/>
      <c r="LCB8" s="1876"/>
      <c r="LCC8" s="1876"/>
      <c r="LCD8" s="1876"/>
      <c r="LCE8" s="1876"/>
      <c r="LCF8" s="1876"/>
      <c r="LCG8" s="1876"/>
      <c r="LCH8" s="1876"/>
      <c r="LCI8" s="1876"/>
      <c r="LCJ8" s="1876"/>
      <c r="LCK8" s="1876"/>
      <c r="LCL8" s="1876"/>
      <c r="LCM8" s="1876"/>
      <c r="LCN8" s="1876"/>
      <c r="LCO8" s="1876"/>
      <c r="LCP8" s="1876"/>
      <c r="LCQ8" s="1876"/>
      <c r="LCR8" s="1876"/>
      <c r="LCS8" s="1876"/>
      <c r="LCT8" s="1876"/>
      <c r="LCU8" s="1876"/>
      <c r="LCV8" s="1876"/>
      <c r="LCW8" s="1876"/>
      <c r="LCX8" s="1876"/>
      <c r="LCY8" s="1876"/>
      <c r="LCZ8" s="1876"/>
      <c r="LDA8" s="1876"/>
      <c r="LDB8" s="1876"/>
      <c r="LDC8" s="1876"/>
      <c r="LDD8" s="1876"/>
      <c r="LDE8" s="1876"/>
      <c r="LDF8" s="1876"/>
      <c r="LDG8" s="1876"/>
      <c r="LDH8" s="1876"/>
      <c r="LDI8" s="1876"/>
      <c r="LDJ8" s="1876"/>
      <c r="LDK8" s="1876"/>
      <c r="LDL8" s="1876"/>
      <c r="LDM8" s="1876"/>
      <c r="LDN8" s="1876"/>
      <c r="LDO8" s="1876"/>
      <c r="LDP8" s="1876"/>
      <c r="LDQ8" s="1876"/>
      <c r="LDR8" s="1876"/>
      <c r="LDS8" s="1876"/>
      <c r="LDT8" s="1876"/>
      <c r="LDU8" s="1876"/>
      <c r="LDV8" s="1876"/>
      <c r="LDW8" s="1876"/>
      <c r="LDX8" s="1876"/>
      <c r="LDY8" s="1876"/>
      <c r="LDZ8" s="1876"/>
      <c r="LEA8" s="1876"/>
      <c r="LEB8" s="1876"/>
      <c r="LEC8" s="1876"/>
      <c r="LED8" s="1876"/>
      <c r="LEE8" s="1876"/>
      <c r="LEF8" s="1876"/>
      <c r="LEG8" s="1876"/>
      <c r="LEH8" s="1876"/>
      <c r="LEI8" s="1876"/>
      <c r="LEJ8" s="1876"/>
      <c r="LEK8" s="1876"/>
      <c r="LEL8" s="1876"/>
      <c r="LEM8" s="1876"/>
      <c r="LEN8" s="1876"/>
      <c r="LEO8" s="1876"/>
      <c r="LEP8" s="1876"/>
      <c r="LEQ8" s="1876"/>
      <c r="LER8" s="1876"/>
      <c r="LES8" s="1876"/>
      <c r="LET8" s="1876"/>
      <c r="LEU8" s="1876"/>
      <c r="LEV8" s="1876"/>
      <c r="LEW8" s="1876"/>
      <c r="LEX8" s="1876"/>
      <c r="LEY8" s="1876"/>
      <c r="LEZ8" s="1876"/>
      <c r="LFA8" s="1876"/>
      <c r="LFB8" s="1876"/>
      <c r="LFC8" s="1876"/>
      <c r="LFD8" s="1876"/>
      <c r="LFE8" s="1876"/>
      <c r="LFF8" s="1876"/>
      <c r="LFG8" s="1876"/>
      <c r="LFH8" s="1876"/>
      <c r="LFI8" s="1876"/>
      <c r="LFJ8" s="1876"/>
      <c r="LFK8" s="1876"/>
      <c r="LFL8" s="1876"/>
      <c r="LFM8" s="1876"/>
      <c r="LFN8" s="1876"/>
      <c r="LFO8" s="1876"/>
      <c r="LFP8" s="1876"/>
      <c r="LFQ8" s="1876"/>
      <c r="LFR8" s="1876"/>
      <c r="LFS8" s="1876"/>
      <c r="LFT8" s="1876"/>
      <c r="LFU8" s="1876"/>
      <c r="LFV8" s="1876"/>
      <c r="LFW8" s="1876"/>
      <c r="LFX8" s="1876"/>
      <c r="LFY8" s="1876"/>
      <c r="LFZ8" s="1876"/>
      <c r="LGA8" s="1876"/>
      <c r="LGB8" s="1876"/>
      <c r="LGC8" s="1876"/>
      <c r="LGD8" s="1876"/>
      <c r="LGE8" s="1876"/>
      <c r="LGF8" s="1876"/>
      <c r="LGG8" s="1876"/>
      <c r="LGH8" s="1876"/>
      <c r="LGI8" s="1876"/>
      <c r="LGJ8" s="1876"/>
      <c r="LGK8" s="1876"/>
      <c r="LGL8" s="1876"/>
      <c r="LGM8" s="1876"/>
      <c r="LGN8" s="1876"/>
      <c r="LGO8" s="1876"/>
      <c r="LGP8" s="1876"/>
      <c r="LGQ8" s="1876"/>
      <c r="LGR8" s="1876"/>
      <c r="LGS8" s="1876"/>
      <c r="LGT8" s="1876"/>
      <c r="LGU8" s="1876"/>
      <c r="LGV8" s="1876"/>
      <c r="LGW8" s="1876"/>
      <c r="LGX8" s="1876"/>
      <c r="LGY8" s="1876"/>
      <c r="LGZ8" s="1876"/>
      <c r="LHA8" s="1876"/>
      <c r="LHB8" s="1876"/>
      <c r="LHC8" s="1876"/>
      <c r="LHD8" s="1876"/>
      <c r="LHE8" s="1876"/>
      <c r="LHF8" s="1876"/>
      <c r="LHG8" s="1876"/>
      <c r="LHH8" s="1876"/>
      <c r="LHI8" s="1876"/>
      <c r="LHJ8" s="1876"/>
      <c r="LHK8" s="1876"/>
      <c r="LHL8" s="1876"/>
      <c r="LHM8" s="1876"/>
      <c r="LHN8" s="1876"/>
      <c r="LHO8" s="1876"/>
      <c r="LHP8" s="1876"/>
      <c r="LHQ8" s="1876"/>
      <c r="LHR8" s="1876"/>
      <c r="LHS8" s="1876"/>
      <c r="LHT8" s="1876"/>
      <c r="LHU8" s="1876"/>
      <c r="LHV8" s="1876"/>
      <c r="LHW8" s="1876"/>
      <c r="LHX8" s="1876"/>
      <c r="LHY8" s="1876"/>
      <c r="LHZ8" s="1876"/>
      <c r="LIA8" s="1876"/>
      <c r="LIB8" s="1876"/>
      <c r="LIC8" s="1876"/>
      <c r="LID8" s="1876"/>
      <c r="LIE8" s="1876"/>
      <c r="LIF8" s="1876"/>
      <c r="LIG8" s="1876"/>
      <c r="LIH8" s="1876"/>
      <c r="LII8" s="1876"/>
      <c r="LIJ8" s="1876"/>
      <c r="LIK8" s="1876"/>
      <c r="LIL8" s="1876"/>
      <c r="LIM8" s="1876"/>
      <c r="LIN8" s="1876"/>
      <c r="LIO8" s="1876"/>
      <c r="LIP8" s="1876"/>
      <c r="LIQ8" s="1876"/>
      <c r="LIR8" s="1876"/>
      <c r="LIS8" s="1876"/>
      <c r="LIT8" s="1876"/>
      <c r="LIU8" s="1876"/>
      <c r="LIV8" s="1876"/>
      <c r="LIW8" s="1876"/>
      <c r="LIX8" s="1876"/>
      <c r="LIY8" s="1876"/>
      <c r="LIZ8" s="1876"/>
      <c r="LJA8" s="1876"/>
      <c r="LJB8" s="1876"/>
      <c r="LJC8" s="1876"/>
      <c r="LJD8" s="1876"/>
      <c r="LJE8" s="1876"/>
      <c r="LJF8" s="1876"/>
      <c r="LJG8" s="1876"/>
      <c r="LJH8" s="1876"/>
      <c r="LJI8" s="1876"/>
      <c r="LJJ8" s="1876"/>
      <c r="LJK8" s="1876"/>
      <c r="LJL8" s="1876"/>
      <c r="LJM8" s="1876"/>
      <c r="LJN8" s="1876"/>
      <c r="LJO8" s="1876"/>
      <c r="LJP8" s="1876"/>
      <c r="LJQ8" s="1876"/>
      <c r="LJR8" s="1876"/>
      <c r="LJS8" s="1876"/>
      <c r="LJT8" s="1876"/>
      <c r="LJU8" s="1876"/>
      <c r="LJV8" s="1876"/>
      <c r="LJW8" s="1876"/>
      <c r="LJX8" s="1876"/>
      <c r="LJY8" s="1876"/>
      <c r="LJZ8" s="1876"/>
      <c r="LKA8" s="1876"/>
      <c r="LKB8" s="1876"/>
      <c r="LKC8" s="1876"/>
      <c r="LKD8" s="1876"/>
      <c r="LKE8" s="1876"/>
      <c r="LKF8" s="1876"/>
      <c r="LKG8" s="1876"/>
      <c r="LKH8" s="1876"/>
      <c r="LKI8" s="1876"/>
      <c r="LKJ8" s="1876"/>
      <c r="LKK8" s="1876"/>
      <c r="LKL8" s="1876"/>
      <c r="LKM8" s="1876"/>
      <c r="LKN8" s="1876"/>
      <c r="LKO8" s="1876"/>
      <c r="LKP8" s="1876"/>
      <c r="LKQ8" s="1876"/>
      <c r="LKR8" s="1876"/>
      <c r="LKS8" s="1876"/>
      <c r="LKT8" s="1876"/>
      <c r="LKU8" s="1876"/>
      <c r="LKV8" s="1876"/>
      <c r="LKW8" s="1876"/>
      <c r="LKX8" s="1876"/>
      <c r="LKY8" s="1876"/>
      <c r="LKZ8" s="1876"/>
      <c r="LLA8" s="1876"/>
      <c r="LLB8" s="1876"/>
      <c r="LLC8" s="1876"/>
      <c r="LLD8" s="1876"/>
      <c r="LLE8" s="1876"/>
      <c r="LLF8" s="1876"/>
      <c r="LLG8" s="1876"/>
      <c r="LLH8" s="1876"/>
      <c r="LLI8" s="1876"/>
      <c r="LLJ8" s="1876"/>
      <c r="LLK8" s="1876"/>
      <c r="LLL8" s="1876"/>
      <c r="LLM8" s="1876"/>
      <c r="LLN8" s="1876"/>
      <c r="LLO8" s="1876"/>
      <c r="LLP8" s="1876"/>
      <c r="LLQ8" s="1876"/>
      <c r="LLR8" s="1876"/>
      <c r="LLS8" s="1876"/>
      <c r="LLT8" s="1876"/>
      <c r="LLU8" s="1876"/>
      <c r="LLV8" s="1876"/>
      <c r="LLW8" s="1876"/>
      <c r="LLX8" s="1876"/>
      <c r="LLY8" s="1876"/>
      <c r="LLZ8" s="1876"/>
      <c r="LMA8" s="1876"/>
      <c r="LMB8" s="1876"/>
      <c r="LMC8" s="1876"/>
      <c r="LMD8" s="1876"/>
      <c r="LME8" s="1876"/>
      <c r="LMF8" s="1876"/>
      <c r="LMG8" s="1876"/>
      <c r="LMH8" s="1876"/>
      <c r="LMI8" s="1876"/>
      <c r="LMJ8" s="1876"/>
      <c r="LMK8" s="1876"/>
      <c r="LML8" s="1876"/>
      <c r="LMM8" s="1876"/>
      <c r="LMN8" s="1876"/>
      <c r="LMO8" s="1876"/>
      <c r="LMP8" s="1876"/>
      <c r="LMQ8" s="1876"/>
      <c r="LMR8" s="1876"/>
      <c r="LMS8" s="1876"/>
      <c r="LMT8" s="1876"/>
      <c r="LMU8" s="1876"/>
      <c r="LMV8" s="1876"/>
      <c r="LMW8" s="1876"/>
      <c r="LMX8" s="1876"/>
      <c r="LMY8" s="1876"/>
      <c r="LMZ8" s="1876"/>
      <c r="LNA8" s="1876"/>
      <c r="LNB8" s="1876"/>
      <c r="LNC8" s="1876"/>
      <c r="LND8" s="1876"/>
      <c r="LNE8" s="1876"/>
      <c r="LNF8" s="1876"/>
      <c r="LNG8" s="1876"/>
      <c r="LNH8" s="1876"/>
      <c r="LNI8" s="1876"/>
      <c r="LNJ8" s="1876"/>
      <c r="LNK8" s="1876"/>
      <c r="LNL8" s="1876"/>
      <c r="LNM8" s="1876"/>
      <c r="LNN8" s="1876"/>
      <c r="LNO8" s="1876"/>
      <c r="LNP8" s="1876"/>
      <c r="LNQ8" s="1876"/>
      <c r="LNR8" s="1876"/>
      <c r="LNS8" s="1876"/>
      <c r="LNT8" s="1876"/>
      <c r="LNU8" s="1876"/>
      <c r="LNV8" s="1876"/>
      <c r="LNW8" s="1876"/>
      <c r="LNX8" s="1876"/>
      <c r="LNY8" s="1876"/>
      <c r="LNZ8" s="1876"/>
      <c r="LOA8" s="1876"/>
      <c r="LOB8" s="1876"/>
      <c r="LOC8" s="1876"/>
      <c r="LOD8" s="1876"/>
      <c r="LOE8" s="1876"/>
      <c r="LOF8" s="1876"/>
      <c r="LOG8" s="1876"/>
      <c r="LOH8" s="1876"/>
      <c r="LOI8" s="1876"/>
      <c r="LOJ8" s="1876"/>
      <c r="LOK8" s="1876"/>
      <c r="LOL8" s="1876"/>
      <c r="LOM8" s="1876"/>
      <c r="LON8" s="1876"/>
      <c r="LOO8" s="1876"/>
      <c r="LOP8" s="1876"/>
      <c r="LOQ8" s="1876"/>
      <c r="LOR8" s="1876"/>
      <c r="LOS8" s="1876"/>
      <c r="LOT8" s="1876"/>
      <c r="LOU8" s="1876"/>
      <c r="LOV8" s="1876"/>
      <c r="LOW8" s="1876"/>
      <c r="LOX8" s="1876"/>
      <c r="LOY8" s="1876"/>
      <c r="LOZ8" s="1876"/>
      <c r="LPA8" s="1876"/>
      <c r="LPB8" s="1876"/>
      <c r="LPC8" s="1876"/>
      <c r="LPD8" s="1876"/>
      <c r="LPE8" s="1876"/>
      <c r="LPF8" s="1876"/>
      <c r="LPG8" s="1876"/>
      <c r="LPH8" s="1876"/>
      <c r="LPI8" s="1876"/>
      <c r="LPJ8" s="1876"/>
      <c r="LPK8" s="1876"/>
      <c r="LPL8" s="1876"/>
      <c r="LPM8" s="1876"/>
      <c r="LPN8" s="1876"/>
      <c r="LPO8" s="1876"/>
      <c r="LPP8" s="1876"/>
      <c r="LPQ8" s="1876"/>
      <c r="LPR8" s="1876"/>
      <c r="LPS8" s="1876"/>
      <c r="LPT8" s="1876"/>
      <c r="LPU8" s="1876"/>
      <c r="LPV8" s="1876"/>
      <c r="LPW8" s="1876"/>
      <c r="LPX8" s="1876"/>
      <c r="LPY8" s="1876"/>
      <c r="LPZ8" s="1876"/>
      <c r="LQA8" s="1876"/>
      <c r="LQB8" s="1876"/>
      <c r="LQC8" s="1876"/>
      <c r="LQD8" s="1876"/>
      <c r="LQE8" s="1876"/>
      <c r="LQF8" s="1876"/>
      <c r="LQG8" s="1876"/>
      <c r="LQH8" s="1876"/>
      <c r="LQI8" s="1876"/>
      <c r="LQJ8" s="1876"/>
      <c r="LQK8" s="1876"/>
      <c r="LQL8" s="1876"/>
      <c r="LQM8" s="1876"/>
      <c r="LQN8" s="1876"/>
      <c r="LQO8" s="1876"/>
      <c r="LQP8" s="1876"/>
      <c r="LQQ8" s="1876"/>
      <c r="LQR8" s="1876"/>
      <c r="LQS8" s="1876"/>
      <c r="LQT8" s="1876"/>
      <c r="LQU8" s="1876"/>
      <c r="LQV8" s="1876"/>
      <c r="LQW8" s="1876"/>
      <c r="LQX8" s="1876"/>
      <c r="LQY8" s="1876"/>
      <c r="LQZ8" s="1876"/>
      <c r="LRA8" s="1876"/>
      <c r="LRB8" s="1876"/>
      <c r="LRC8" s="1876"/>
      <c r="LRD8" s="1876"/>
      <c r="LRE8" s="1876"/>
      <c r="LRF8" s="1876"/>
      <c r="LRG8" s="1876"/>
      <c r="LRH8" s="1876"/>
      <c r="LRI8" s="1876"/>
      <c r="LRJ8" s="1876"/>
      <c r="LRK8" s="1876"/>
      <c r="LRL8" s="1876"/>
      <c r="LRM8" s="1876"/>
      <c r="LRN8" s="1876"/>
      <c r="LRO8" s="1876"/>
      <c r="LRP8" s="1876"/>
      <c r="LRQ8" s="1876"/>
      <c r="LRR8" s="1876"/>
      <c r="LRS8" s="1876"/>
      <c r="LRT8" s="1876"/>
      <c r="LRU8" s="1876"/>
      <c r="LRV8" s="1876"/>
      <c r="LRW8" s="1876"/>
      <c r="LRX8" s="1876"/>
      <c r="LRY8" s="1876"/>
      <c r="LRZ8" s="1876"/>
      <c r="LSA8" s="1876"/>
      <c r="LSB8" s="1876"/>
      <c r="LSC8" s="1876"/>
      <c r="LSD8" s="1876"/>
      <c r="LSE8" s="1876"/>
      <c r="LSF8" s="1876"/>
      <c r="LSG8" s="1876"/>
      <c r="LSH8" s="1876"/>
      <c r="LSI8" s="1876"/>
      <c r="LSJ8" s="1876"/>
      <c r="LSK8" s="1876"/>
      <c r="LSL8" s="1876"/>
      <c r="LSM8" s="1876"/>
      <c r="LSN8" s="1876"/>
      <c r="LSO8" s="1876"/>
      <c r="LSP8" s="1876"/>
      <c r="LSQ8" s="1876"/>
      <c r="LSR8" s="1876"/>
      <c r="LSS8" s="1876"/>
      <c r="LST8" s="1876"/>
      <c r="LSU8" s="1876"/>
      <c r="LSV8" s="1876"/>
      <c r="LSW8" s="1876"/>
      <c r="LSX8" s="1876"/>
      <c r="LSY8" s="1876"/>
      <c r="LSZ8" s="1876"/>
      <c r="LTA8" s="1876"/>
      <c r="LTB8" s="1876"/>
      <c r="LTC8" s="1876"/>
      <c r="LTD8" s="1876"/>
      <c r="LTE8" s="1876"/>
      <c r="LTF8" s="1876"/>
      <c r="LTG8" s="1876"/>
      <c r="LTH8" s="1876"/>
      <c r="LTI8" s="1876"/>
      <c r="LTJ8" s="1876"/>
      <c r="LTK8" s="1876"/>
      <c r="LTL8" s="1876"/>
      <c r="LTM8" s="1876"/>
      <c r="LTN8" s="1876"/>
      <c r="LTO8" s="1876"/>
      <c r="LTP8" s="1876"/>
      <c r="LTQ8" s="1876"/>
      <c r="LTR8" s="1876"/>
      <c r="LTS8" s="1876"/>
      <c r="LTT8" s="1876"/>
      <c r="LTU8" s="1876"/>
      <c r="LTV8" s="1876"/>
      <c r="LTW8" s="1876"/>
      <c r="LTX8" s="1876"/>
      <c r="LTY8" s="1876"/>
      <c r="LTZ8" s="1876"/>
      <c r="LUA8" s="1876"/>
      <c r="LUB8" s="1876"/>
      <c r="LUC8" s="1876"/>
      <c r="LUD8" s="1876"/>
      <c r="LUE8" s="1876"/>
      <c r="LUF8" s="1876"/>
      <c r="LUG8" s="1876"/>
      <c r="LUH8" s="1876"/>
      <c r="LUI8" s="1876"/>
      <c r="LUJ8" s="1876"/>
      <c r="LUK8" s="1876"/>
      <c r="LUL8" s="1876"/>
      <c r="LUM8" s="1876"/>
      <c r="LUN8" s="1876"/>
      <c r="LUO8" s="1876"/>
      <c r="LUP8" s="1876"/>
      <c r="LUQ8" s="1876"/>
      <c r="LUR8" s="1876"/>
      <c r="LUS8" s="1876"/>
      <c r="LUT8" s="1876"/>
      <c r="LUU8" s="1876"/>
      <c r="LUV8" s="1876"/>
      <c r="LUW8" s="1876"/>
      <c r="LUX8" s="1876"/>
      <c r="LUY8" s="1876"/>
      <c r="LUZ8" s="1876"/>
      <c r="LVA8" s="1876"/>
      <c r="LVB8" s="1876"/>
      <c r="LVC8" s="1876"/>
      <c r="LVD8" s="1876"/>
      <c r="LVE8" s="1876"/>
      <c r="LVF8" s="1876"/>
      <c r="LVG8" s="1876"/>
      <c r="LVH8" s="1876"/>
      <c r="LVI8" s="1876"/>
      <c r="LVJ8" s="1876"/>
      <c r="LVK8" s="1876"/>
      <c r="LVL8" s="1876"/>
      <c r="LVM8" s="1876"/>
      <c r="LVN8" s="1876"/>
      <c r="LVO8" s="1876"/>
      <c r="LVP8" s="1876"/>
      <c r="LVQ8" s="1876"/>
      <c r="LVR8" s="1876"/>
      <c r="LVS8" s="1876"/>
      <c r="LVT8" s="1876"/>
      <c r="LVU8" s="1876"/>
      <c r="LVV8" s="1876"/>
      <c r="LVW8" s="1876"/>
      <c r="LVX8" s="1876"/>
      <c r="LVY8" s="1876"/>
      <c r="LVZ8" s="1876"/>
      <c r="LWA8" s="1876"/>
      <c r="LWB8" s="1876"/>
      <c r="LWC8" s="1876"/>
      <c r="LWD8" s="1876"/>
      <c r="LWE8" s="1876"/>
      <c r="LWF8" s="1876"/>
      <c r="LWG8" s="1876"/>
      <c r="LWH8" s="1876"/>
      <c r="LWI8" s="1876"/>
      <c r="LWJ8" s="1876"/>
      <c r="LWK8" s="1876"/>
      <c r="LWL8" s="1876"/>
      <c r="LWM8" s="1876"/>
      <c r="LWN8" s="1876"/>
      <c r="LWO8" s="1876"/>
      <c r="LWP8" s="1876"/>
      <c r="LWQ8" s="1876"/>
      <c r="LWR8" s="1876"/>
      <c r="LWS8" s="1876"/>
      <c r="LWT8" s="1876"/>
      <c r="LWU8" s="1876"/>
      <c r="LWV8" s="1876"/>
      <c r="LWW8" s="1876"/>
      <c r="LWX8" s="1876"/>
      <c r="LWY8" s="1876"/>
      <c r="LWZ8" s="1876"/>
      <c r="LXA8" s="1876"/>
      <c r="LXB8" s="1876"/>
      <c r="LXC8" s="1876"/>
      <c r="LXD8" s="1876"/>
      <c r="LXE8" s="1876"/>
      <c r="LXF8" s="1876"/>
      <c r="LXG8" s="1876"/>
      <c r="LXH8" s="1876"/>
      <c r="LXI8" s="1876"/>
      <c r="LXJ8" s="1876"/>
      <c r="LXK8" s="1876"/>
      <c r="LXL8" s="1876"/>
      <c r="LXM8" s="1876"/>
      <c r="LXN8" s="1876"/>
      <c r="LXO8" s="1876"/>
      <c r="LXP8" s="1876"/>
      <c r="LXQ8" s="1876"/>
      <c r="LXR8" s="1876"/>
      <c r="LXS8" s="1876"/>
      <c r="LXT8" s="1876"/>
      <c r="LXU8" s="1876"/>
      <c r="LXV8" s="1876"/>
      <c r="LXW8" s="1876"/>
      <c r="LXX8" s="1876"/>
      <c r="LXY8" s="1876"/>
      <c r="LXZ8" s="1876"/>
      <c r="LYA8" s="1876"/>
      <c r="LYB8" s="1876"/>
      <c r="LYC8" s="1876"/>
      <c r="LYD8" s="1876"/>
      <c r="LYE8" s="1876"/>
      <c r="LYF8" s="1876"/>
      <c r="LYG8" s="1876"/>
      <c r="LYH8" s="1876"/>
      <c r="LYI8" s="1876"/>
      <c r="LYJ8" s="1876"/>
      <c r="LYK8" s="1876"/>
      <c r="LYL8" s="1876"/>
      <c r="LYM8" s="1876"/>
      <c r="LYN8" s="1876"/>
      <c r="LYO8" s="1876"/>
      <c r="LYP8" s="1876"/>
      <c r="LYQ8" s="1876"/>
      <c r="LYR8" s="1876"/>
      <c r="LYS8" s="1876"/>
      <c r="LYT8" s="1876"/>
      <c r="LYU8" s="1876"/>
      <c r="LYV8" s="1876"/>
      <c r="LYW8" s="1876"/>
      <c r="LYX8" s="1876"/>
      <c r="LYY8" s="1876"/>
      <c r="LYZ8" s="1876"/>
      <c r="LZA8" s="1876"/>
      <c r="LZB8" s="1876"/>
      <c r="LZC8" s="1876"/>
      <c r="LZD8" s="1876"/>
      <c r="LZE8" s="1876"/>
      <c r="LZF8" s="1876"/>
      <c r="LZG8" s="1876"/>
      <c r="LZH8" s="1876"/>
      <c r="LZI8" s="1876"/>
      <c r="LZJ8" s="1876"/>
      <c r="LZK8" s="1876"/>
      <c r="LZL8" s="1876"/>
      <c r="LZM8" s="1876"/>
      <c r="LZN8" s="1876"/>
      <c r="LZO8" s="1876"/>
      <c r="LZP8" s="1876"/>
      <c r="LZQ8" s="1876"/>
      <c r="LZR8" s="1876"/>
      <c r="LZS8" s="1876"/>
      <c r="LZT8" s="1876"/>
      <c r="LZU8" s="1876"/>
      <c r="LZV8" s="1876"/>
      <c r="LZW8" s="1876"/>
      <c r="LZX8" s="1876"/>
      <c r="LZY8" s="1876"/>
      <c r="LZZ8" s="1876"/>
      <c r="MAA8" s="1876"/>
      <c r="MAB8" s="1876"/>
      <c r="MAC8" s="1876"/>
      <c r="MAD8" s="1876"/>
      <c r="MAE8" s="1876"/>
      <c r="MAF8" s="1876"/>
      <c r="MAG8" s="1876"/>
      <c r="MAH8" s="1876"/>
      <c r="MAI8" s="1876"/>
      <c r="MAJ8" s="1876"/>
      <c r="MAK8" s="1876"/>
      <c r="MAL8" s="1876"/>
      <c r="MAM8" s="1876"/>
      <c r="MAN8" s="1876"/>
      <c r="MAO8" s="1876"/>
      <c r="MAP8" s="1876"/>
      <c r="MAQ8" s="1876"/>
      <c r="MAR8" s="1876"/>
      <c r="MAS8" s="1876"/>
      <c r="MAT8" s="1876"/>
      <c r="MAU8" s="1876"/>
      <c r="MAV8" s="1876"/>
      <c r="MAW8" s="1876"/>
      <c r="MAX8" s="1876"/>
      <c r="MAY8" s="1876"/>
      <c r="MAZ8" s="1876"/>
      <c r="MBA8" s="1876"/>
      <c r="MBB8" s="1876"/>
      <c r="MBC8" s="1876"/>
      <c r="MBD8" s="1876"/>
      <c r="MBE8" s="1876"/>
      <c r="MBF8" s="1876"/>
      <c r="MBG8" s="1876"/>
      <c r="MBH8" s="1876"/>
      <c r="MBI8" s="1876"/>
      <c r="MBJ8" s="1876"/>
      <c r="MBK8" s="1876"/>
      <c r="MBL8" s="1876"/>
      <c r="MBM8" s="1876"/>
      <c r="MBN8" s="1876"/>
      <c r="MBO8" s="1876"/>
      <c r="MBP8" s="1876"/>
      <c r="MBQ8" s="1876"/>
      <c r="MBR8" s="1876"/>
      <c r="MBS8" s="1876"/>
      <c r="MBT8" s="1876"/>
      <c r="MBU8" s="1876"/>
      <c r="MBV8" s="1876"/>
      <c r="MBW8" s="1876"/>
      <c r="MBX8" s="1876"/>
      <c r="MBY8" s="1876"/>
      <c r="MBZ8" s="1876"/>
      <c r="MCA8" s="1876"/>
      <c r="MCB8" s="1876"/>
      <c r="MCC8" s="1876"/>
      <c r="MCD8" s="1876"/>
      <c r="MCE8" s="1876"/>
      <c r="MCF8" s="1876"/>
      <c r="MCG8" s="1876"/>
      <c r="MCH8" s="1876"/>
      <c r="MCI8" s="1876"/>
      <c r="MCJ8" s="1876"/>
      <c r="MCK8" s="1876"/>
      <c r="MCL8" s="1876"/>
      <c r="MCM8" s="1876"/>
      <c r="MCN8" s="1876"/>
      <c r="MCO8" s="1876"/>
      <c r="MCP8" s="1876"/>
      <c r="MCQ8" s="1876"/>
      <c r="MCR8" s="1876"/>
      <c r="MCS8" s="1876"/>
      <c r="MCT8" s="1876"/>
      <c r="MCU8" s="1876"/>
      <c r="MCV8" s="1876"/>
      <c r="MCW8" s="1876"/>
      <c r="MCX8" s="1876"/>
      <c r="MCY8" s="1876"/>
      <c r="MCZ8" s="1876"/>
      <c r="MDA8" s="1876"/>
      <c r="MDB8" s="1876"/>
      <c r="MDC8" s="1876"/>
      <c r="MDD8" s="1876"/>
      <c r="MDE8" s="1876"/>
      <c r="MDF8" s="1876"/>
      <c r="MDG8" s="1876"/>
      <c r="MDH8" s="1876"/>
      <c r="MDI8" s="1876"/>
      <c r="MDJ8" s="1876"/>
      <c r="MDK8" s="1876"/>
      <c r="MDL8" s="1876"/>
      <c r="MDM8" s="1876"/>
      <c r="MDN8" s="1876"/>
      <c r="MDO8" s="1876"/>
      <c r="MDP8" s="1876"/>
      <c r="MDQ8" s="1876"/>
      <c r="MDR8" s="1876"/>
      <c r="MDS8" s="1876"/>
      <c r="MDT8" s="1876"/>
      <c r="MDU8" s="1876"/>
      <c r="MDV8" s="1876"/>
      <c r="MDW8" s="1876"/>
      <c r="MDX8" s="1876"/>
      <c r="MDY8" s="1876"/>
      <c r="MDZ8" s="1876"/>
      <c r="MEA8" s="1876"/>
      <c r="MEB8" s="1876"/>
      <c r="MEC8" s="1876"/>
      <c r="MED8" s="1876"/>
      <c r="MEE8" s="1876"/>
      <c r="MEF8" s="1876"/>
      <c r="MEG8" s="1876"/>
      <c r="MEH8" s="1876"/>
      <c r="MEI8" s="1876"/>
      <c r="MEJ8" s="1876"/>
      <c r="MEK8" s="1876"/>
      <c r="MEL8" s="1876"/>
      <c r="MEM8" s="1876"/>
      <c r="MEN8" s="1876"/>
      <c r="MEO8" s="1876"/>
      <c r="MEP8" s="1876"/>
      <c r="MEQ8" s="1876"/>
      <c r="MER8" s="1876"/>
      <c r="MES8" s="1876"/>
      <c r="MET8" s="1876"/>
      <c r="MEU8" s="1876"/>
      <c r="MEV8" s="1876"/>
      <c r="MEW8" s="1876"/>
      <c r="MEX8" s="1876"/>
      <c r="MEY8" s="1876"/>
      <c r="MEZ8" s="1876"/>
      <c r="MFA8" s="1876"/>
      <c r="MFB8" s="1876"/>
      <c r="MFC8" s="1876"/>
      <c r="MFD8" s="1876"/>
      <c r="MFE8" s="1876"/>
      <c r="MFF8" s="1876"/>
      <c r="MFG8" s="1876"/>
      <c r="MFH8" s="1876"/>
      <c r="MFI8" s="1876"/>
      <c r="MFJ8" s="1876"/>
      <c r="MFK8" s="1876"/>
      <c r="MFL8" s="1876"/>
      <c r="MFM8" s="1876"/>
      <c r="MFN8" s="1876"/>
      <c r="MFO8" s="1876"/>
      <c r="MFP8" s="1876"/>
      <c r="MFQ8" s="1876"/>
      <c r="MFR8" s="1876"/>
      <c r="MFS8" s="1876"/>
      <c r="MFT8" s="1876"/>
      <c r="MFU8" s="1876"/>
      <c r="MFV8" s="1876"/>
      <c r="MFW8" s="1876"/>
      <c r="MFX8" s="1876"/>
      <c r="MFY8" s="1876"/>
      <c r="MFZ8" s="1876"/>
      <c r="MGA8" s="1876"/>
      <c r="MGB8" s="1876"/>
      <c r="MGC8" s="1876"/>
      <c r="MGD8" s="1876"/>
      <c r="MGE8" s="1876"/>
      <c r="MGF8" s="1876"/>
      <c r="MGG8" s="1876"/>
      <c r="MGH8" s="1876"/>
      <c r="MGI8" s="1876"/>
      <c r="MGJ8" s="1876"/>
      <c r="MGK8" s="1876"/>
      <c r="MGL8" s="1876"/>
      <c r="MGM8" s="1876"/>
      <c r="MGN8" s="1876"/>
      <c r="MGO8" s="1876"/>
      <c r="MGP8" s="1876"/>
      <c r="MGQ8" s="1876"/>
      <c r="MGR8" s="1876"/>
      <c r="MGS8" s="1876"/>
      <c r="MGT8" s="1876"/>
      <c r="MGU8" s="1876"/>
      <c r="MGV8" s="1876"/>
      <c r="MGW8" s="1876"/>
      <c r="MGX8" s="1876"/>
      <c r="MGY8" s="1876"/>
      <c r="MGZ8" s="1876"/>
      <c r="MHA8" s="1876"/>
      <c r="MHB8" s="1876"/>
      <c r="MHC8" s="1876"/>
      <c r="MHD8" s="1876"/>
      <c r="MHE8" s="1876"/>
      <c r="MHF8" s="1876"/>
      <c r="MHG8" s="1876"/>
      <c r="MHH8" s="1876"/>
      <c r="MHI8" s="1876"/>
      <c r="MHJ8" s="1876"/>
      <c r="MHK8" s="1876"/>
      <c r="MHL8" s="1876"/>
      <c r="MHM8" s="1876"/>
      <c r="MHN8" s="1876"/>
      <c r="MHO8" s="1876"/>
      <c r="MHP8" s="1876"/>
      <c r="MHQ8" s="1876"/>
      <c r="MHR8" s="1876"/>
      <c r="MHS8" s="1876"/>
      <c r="MHT8" s="1876"/>
      <c r="MHU8" s="1876"/>
      <c r="MHV8" s="1876"/>
      <c r="MHW8" s="1876"/>
      <c r="MHX8" s="1876"/>
      <c r="MHY8" s="1876"/>
      <c r="MHZ8" s="1876"/>
      <c r="MIA8" s="1876"/>
      <c r="MIB8" s="1876"/>
      <c r="MIC8" s="1876"/>
      <c r="MID8" s="1876"/>
      <c r="MIE8" s="1876"/>
      <c r="MIF8" s="1876"/>
      <c r="MIG8" s="1876"/>
      <c r="MIH8" s="1876"/>
      <c r="MII8" s="1876"/>
      <c r="MIJ8" s="1876"/>
      <c r="MIK8" s="1876"/>
      <c r="MIL8" s="1876"/>
      <c r="MIM8" s="1876"/>
      <c r="MIN8" s="1876"/>
      <c r="MIO8" s="1876"/>
      <c r="MIP8" s="1876"/>
      <c r="MIQ8" s="1876"/>
      <c r="MIR8" s="1876"/>
      <c r="MIS8" s="1876"/>
      <c r="MIT8" s="1876"/>
      <c r="MIU8" s="1876"/>
      <c r="MIV8" s="1876"/>
      <c r="MIW8" s="1876"/>
      <c r="MIX8" s="1876"/>
      <c r="MIY8" s="1876"/>
      <c r="MIZ8" s="1876"/>
      <c r="MJA8" s="1876"/>
      <c r="MJB8" s="1876"/>
      <c r="MJC8" s="1876"/>
      <c r="MJD8" s="1876"/>
      <c r="MJE8" s="1876"/>
      <c r="MJF8" s="1876"/>
      <c r="MJG8" s="1876"/>
      <c r="MJH8" s="1876"/>
      <c r="MJI8" s="1876"/>
      <c r="MJJ8" s="1876"/>
      <c r="MJK8" s="1876"/>
      <c r="MJL8" s="1876"/>
      <c r="MJM8" s="1876"/>
      <c r="MJN8" s="1876"/>
      <c r="MJO8" s="1876"/>
      <c r="MJP8" s="1876"/>
      <c r="MJQ8" s="1876"/>
      <c r="MJR8" s="1876"/>
      <c r="MJS8" s="1876"/>
      <c r="MJT8" s="1876"/>
      <c r="MJU8" s="1876"/>
      <c r="MJV8" s="1876"/>
      <c r="MJW8" s="1876"/>
      <c r="MJX8" s="1876"/>
      <c r="MJY8" s="1876"/>
      <c r="MJZ8" s="1876"/>
      <c r="MKA8" s="1876"/>
      <c r="MKB8" s="1876"/>
      <c r="MKC8" s="1876"/>
      <c r="MKD8" s="1876"/>
      <c r="MKE8" s="1876"/>
      <c r="MKF8" s="1876"/>
      <c r="MKG8" s="1876"/>
      <c r="MKH8" s="1876"/>
      <c r="MKI8" s="1876"/>
      <c r="MKJ8" s="1876"/>
      <c r="MKK8" s="1876"/>
      <c r="MKL8" s="1876"/>
      <c r="MKM8" s="1876"/>
      <c r="MKN8" s="1876"/>
      <c r="MKO8" s="1876"/>
      <c r="MKP8" s="1876"/>
      <c r="MKQ8" s="1876"/>
      <c r="MKR8" s="1876"/>
      <c r="MKS8" s="1876"/>
      <c r="MKT8" s="1876"/>
      <c r="MKU8" s="1876"/>
      <c r="MKV8" s="1876"/>
      <c r="MKW8" s="1876"/>
      <c r="MKX8" s="1876"/>
      <c r="MKY8" s="1876"/>
      <c r="MKZ8" s="1876"/>
      <c r="MLA8" s="1876"/>
      <c r="MLB8" s="1876"/>
      <c r="MLC8" s="1876"/>
      <c r="MLD8" s="1876"/>
      <c r="MLE8" s="1876"/>
      <c r="MLF8" s="1876"/>
      <c r="MLG8" s="1876"/>
      <c r="MLH8" s="1876"/>
      <c r="MLI8" s="1876"/>
      <c r="MLJ8" s="1876"/>
      <c r="MLK8" s="1876"/>
      <c r="MLL8" s="1876"/>
      <c r="MLM8" s="1876"/>
      <c r="MLN8" s="1876"/>
      <c r="MLO8" s="1876"/>
      <c r="MLP8" s="1876"/>
      <c r="MLQ8" s="1876"/>
      <c r="MLR8" s="1876"/>
      <c r="MLS8" s="1876"/>
      <c r="MLT8" s="1876"/>
      <c r="MLU8" s="1876"/>
      <c r="MLV8" s="1876"/>
      <c r="MLW8" s="1876"/>
      <c r="MLX8" s="1876"/>
      <c r="MLY8" s="1876"/>
      <c r="MLZ8" s="1876"/>
      <c r="MMA8" s="1876"/>
      <c r="MMB8" s="1876"/>
      <c r="MMC8" s="1876"/>
      <c r="MMD8" s="1876"/>
      <c r="MME8" s="1876"/>
      <c r="MMF8" s="1876"/>
      <c r="MMG8" s="1876"/>
      <c r="MMH8" s="1876"/>
      <c r="MMI8" s="1876"/>
      <c r="MMJ8" s="1876"/>
      <c r="MMK8" s="1876"/>
      <c r="MML8" s="1876"/>
      <c r="MMM8" s="1876"/>
      <c r="MMN8" s="1876"/>
      <c r="MMO8" s="1876"/>
      <c r="MMP8" s="1876"/>
      <c r="MMQ8" s="1876"/>
      <c r="MMR8" s="1876"/>
      <c r="MMS8" s="1876"/>
      <c r="MMT8" s="1876"/>
      <c r="MMU8" s="1876"/>
      <c r="MMV8" s="1876"/>
      <c r="MMW8" s="1876"/>
      <c r="MMX8" s="1876"/>
      <c r="MMY8" s="1876"/>
      <c r="MMZ8" s="1876"/>
      <c r="MNA8" s="1876"/>
      <c r="MNB8" s="1876"/>
      <c r="MNC8" s="1876"/>
      <c r="MND8" s="1876"/>
      <c r="MNE8" s="1876"/>
      <c r="MNF8" s="1876"/>
      <c r="MNG8" s="1876"/>
      <c r="MNH8" s="1876"/>
      <c r="MNI8" s="1876"/>
      <c r="MNJ8" s="1876"/>
      <c r="MNK8" s="1876"/>
      <c r="MNL8" s="1876"/>
      <c r="MNM8" s="1876"/>
      <c r="MNN8" s="1876"/>
      <c r="MNO8" s="1876"/>
      <c r="MNP8" s="1876"/>
      <c r="MNQ8" s="1876"/>
      <c r="MNR8" s="1876"/>
      <c r="MNS8" s="1876"/>
      <c r="MNT8" s="1876"/>
      <c r="MNU8" s="1876"/>
      <c r="MNV8" s="1876"/>
      <c r="MNW8" s="1876"/>
      <c r="MNX8" s="1876"/>
      <c r="MNY8" s="1876"/>
      <c r="MNZ8" s="1876"/>
      <c r="MOA8" s="1876"/>
      <c r="MOB8" s="1876"/>
      <c r="MOC8" s="1876"/>
      <c r="MOD8" s="1876"/>
      <c r="MOE8" s="1876"/>
      <c r="MOF8" s="1876"/>
      <c r="MOG8" s="1876"/>
      <c r="MOH8" s="1876"/>
      <c r="MOI8" s="1876"/>
      <c r="MOJ8" s="1876"/>
      <c r="MOK8" s="1876"/>
      <c r="MOL8" s="1876"/>
      <c r="MOM8" s="1876"/>
      <c r="MON8" s="1876"/>
      <c r="MOO8" s="1876"/>
      <c r="MOP8" s="1876"/>
      <c r="MOQ8" s="1876"/>
      <c r="MOR8" s="1876"/>
      <c r="MOS8" s="1876"/>
      <c r="MOT8" s="1876"/>
      <c r="MOU8" s="1876"/>
      <c r="MOV8" s="1876"/>
      <c r="MOW8" s="1876"/>
      <c r="MOX8" s="1876"/>
      <c r="MOY8" s="1876"/>
      <c r="MOZ8" s="1876"/>
      <c r="MPA8" s="1876"/>
      <c r="MPB8" s="1876"/>
      <c r="MPC8" s="1876"/>
      <c r="MPD8" s="1876"/>
      <c r="MPE8" s="1876"/>
      <c r="MPF8" s="1876"/>
      <c r="MPG8" s="1876"/>
      <c r="MPH8" s="1876"/>
      <c r="MPI8" s="1876"/>
      <c r="MPJ8" s="1876"/>
      <c r="MPK8" s="1876"/>
      <c r="MPL8" s="1876"/>
      <c r="MPM8" s="1876"/>
      <c r="MPN8" s="1876"/>
      <c r="MPO8" s="1876"/>
      <c r="MPP8" s="1876"/>
      <c r="MPQ8" s="1876"/>
      <c r="MPR8" s="1876"/>
      <c r="MPS8" s="1876"/>
      <c r="MPT8" s="1876"/>
      <c r="MPU8" s="1876"/>
      <c r="MPV8" s="1876"/>
      <c r="MPW8" s="1876"/>
      <c r="MPX8" s="1876"/>
      <c r="MPY8" s="1876"/>
      <c r="MPZ8" s="1876"/>
      <c r="MQA8" s="1876"/>
      <c r="MQB8" s="1876"/>
      <c r="MQC8" s="1876"/>
      <c r="MQD8" s="1876"/>
      <c r="MQE8" s="1876"/>
      <c r="MQF8" s="1876"/>
      <c r="MQG8" s="1876"/>
      <c r="MQH8" s="1876"/>
      <c r="MQI8" s="1876"/>
      <c r="MQJ8" s="1876"/>
      <c r="MQK8" s="1876"/>
      <c r="MQL8" s="1876"/>
      <c r="MQM8" s="1876"/>
      <c r="MQN8" s="1876"/>
      <c r="MQO8" s="1876"/>
      <c r="MQP8" s="1876"/>
      <c r="MQQ8" s="1876"/>
      <c r="MQR8" s="1876"/>
      <c r="MQS8" s="1876"/>
      <c r="MQT8" s="1876"/>
      <c r="MQU8" s="1876"/>
      <c r="MQV8" s="1876"/>
      <c r="MQW8" s="1876"/>
      <c r="MQX8" s="1876"/>
      <c r="MQY8" s="1876"/>
      <c r="MQZ8" s="1876"/>
      <c r="MRA8" s="1876"/>
      <c r="MRB8" s="1876"/>
      <c r="MRC8" s="1876"/>
      <c r="MRD8" s="1876"/>
      <c r="MRE8" s="1876"/>
      <c r="MRF8" s="1876"/>
      <c r="MRG8" s="1876"/>
      <c r="MRH8" s="1876"/>
      <c r="MRI8" s="1876"/>
      <c r="MRJ8" s="1876"/>
      <c r="MRK8" s="1876"/>
      <c r="MRL8" s="1876"/>
      <c r="MRM8" s="1876"/>
      <c r="MRN8" s="1876"/>
      <c r="MRO8" s="1876"/>
      <c r="MRP8" s="1876"/>
      <c r="MRQ8" s="1876"/>
      <c r="MRR8" s="1876"/>
      <c r="MRS8" s="1876"/>
      <c r="MRT8" s="1876"/>
      <c r="MRU8" s="1876"/>
      <c r="MRV8" s="1876"/>
      <c r="MRW8" s="1876"/>
      <c r="MRX8" s="1876"/>
      <c r="MRY8" s="1876"/>
      <c r="MRZ8" s="1876"/>
      <c r="MSA8" s="1876"/>
      <c r="MSB8" s="1876"/>
      <c r="MSC8" s="1876"/>
      <c r="MSD8" s="1876"/>
      <c r="MSE8" s="1876"/>
      <c r="MSF8" s="1876"/>
      <c r="MSG8" s="1876"/>
      <c r="MSH8" s="1876"/>
      <c r="MSI8" s="1876"/>
      <c r="MSJ8" s="1876"/>
      <c r="MSK8" s="1876"/>
      <c r="MSL8" s="1876"/>
      <c r="MSM8" s="1876"/>
      <c r="MSN8" s="1876"/>
      <c r="MSO8" s="1876"/>
      <c r="MSP8" s="1876"/>
      <c r="MSQ8" s="1876"/>
      <c r="MSR8" s="1876"/>
      <c r="MSS8" s="1876"/>
      <c r="MST8" s="1876"/>
      <c r="MSU8" s="1876"/>
      <c r="MSV8" s="1876"/>
      <c r="MSW8" s="1876"/>
      <c r="MSX8" s="1876"/>
      <c r="MSY8" s="1876"/>
      <c r="MSZ8" s="1876"/>
      <c r="MTA8" s="1876"/>
      <c r="MTB8" s="1876"/>
      <c r="MTC8" s="1876"/>
      <c r="MTD8" s="1876"/>
      <c r="MTE8" s="1876"/>
      <c r="MTF8" s="1876"/>
      <c r="MTG8" s="1876"/>
      <c r="MTH8" s="1876"/>
      <c r="MTI8" s="1876"/>
      <c r="MTJ8" s="1876"/>
      <c r="MTK8" s="1876"/>
      <c r="MTL8" s="1876"/>
      <c r="MTM8" s="1876"/>
      <c r="MTN8" s="1876"/>
      <c r="MTO8" s="1876"/>
      <c r="MTP8" s="1876"/>
      <c r="MTQ8" s="1876"/>
      <c r="MTR8" s="1876"/>
      <c r="MTS8" s="1876"/>
      <c r="MTT8" s="1876"/>
      <c r="MTU8" s="1876"/>
      <c r="MTV8" s="1876"/>
      <c r="MTW8" s="1876"/>
      <c r="MTX8" s="1876"/>
      <c r="MTY8" s="1876"/>
      <c r="MTZ8" s="1876"/>
      <c r="MUA8" s="1876"/>
      <c r="MUB8" s="1876"/>
      <c r="MUC8" s="1876"/>
      <c r="MUD8" s="1876"/>
      <c r="MUE8" s="1876"/>
      <c r="MUF8" s="1876"/>
      <c r="MUG8" s="1876"/>
      <c r="MUH8" s="1876"/>
      <c r="MUI8" s="1876"/>
      <c r="MUJ8" s="1876"/>
      <c r="MUK8" s="1876"/>
      <c r="MUL8" s="1876"/>
      <c r="MUM8" s="1876"/>
      <c r="MUN8" s="1876"/>
      <c r="MUO8" s="1876"/>
      <c r="MUP8" s="1876"/>
      <c r="MUQ8" s="1876"/>
      <c r="MUR8" s="1876"/>
      <c r="MUS8" s="1876"/>
      <c r="MUT8" s="1876"/>
      <c r="MUU8" s="1876"/>
      <c r="MUV8" s="1876"/>
      <c r="MUW8" s="1876"/>
      <c r="MUX8" s="1876"/>
      <c r="MUY8" s="1876"/>
      <c r="MUZ8" s="1876"/>
      <c r="MVA8" s="1876"/>
      <c r="MVB8" s="1876"/>
      <c r="MVC8" s="1876"/>
      <c r="MVD8" s="1876"/>
      <c r="MVE8" s="1876"/>
      <c r="MVF8" s="1876"/>
      <c r="MVG8" s="1876"/>
      <c r="MVH8" s="1876"/>
      <c r="MVI8" s="1876"/>
      <c r="MVJ8" s="1876"/>
      <c r="MVK8" s="1876"/>
      <c r="MVL8" s="1876"/>
      <c r="MVM8" s="1876"/>
      <c r="MVN8" s="1876"/>
      <c r="MVO8" s="1876"/>
      <c r="MVP8" s="1876"/>
      <c r="MVQ8" s="1876"/>
      <c r="MVR8" s="1876"/>
      <c r="MVS8" s="1876"/>
      <c r="MVT8" s="1876"/>
      <c r="MVU8" s="1876"/>
      <c r="MVV8" s="1876"/>
      <c r="MVW8" s="1876"/>
      <c r="MVX8" s="1876"/>
      <c r="MVY8" s="1876"/>
      <c r="MVZ8" s="1876"/>
      <c r="MWA8" s="1876"/>
      <c r="MWB8" s="1876"/>
      <c r="MWC8" s="1876"/>
      <c r="MWD8" s="1876"/>
      <c r="MWE8" s="1876"/>
      <c r="MWF8" s="1876"/>
      <c r="MWG8" s="1876"/>
      <c r="MWH8" s="1876"/>
      <c r="MWI8" s="1876"/>
      <c r="MWJ8" s="1876"/>
      <c r="MWK8" s="1876"/>
      <c r="MWL8" s="1876"/>
      <c r="MWM8" s="1876"/>
      <c r="MWN8" s="1876"/>
      <c r="MWO8" s="1876"/>
      <c r="MWP8" s="1876"/>
      <c r="MWQ8" s="1876"/>
      <c r="MWR8" s="1876"/>
      <c r="MWS8" s="1876"/>
      <c r="MWT8" s="1876"/>
      <c r="MWU8" s="1876"/>
      <c r="MWV8" s="1876"/>
      <c r="MWW8" s="1876"/>
      <c r="MWX8" s="1876"/>
      <c r="MWY8" s="1876"/>
      <c r="MWZ8" s="1876"/>
      <c r="MXA8" s="1876"/>
      <c r="MXB8" s="1876"/>
      <c r="MXC8" s="1876"/>
      <c r="MXD8" s="1876"/>
      <c r="MXE8" s="1876"/>
      <c r="MXF8" s="1876"/>
      <c r="MXG8" s="1876"/>
      <c r="MXH8" s="1876"/>
      <c r="MXI8" s="1876"/>
      <c r="MXJ8" s="1876"/>
      <c r="MXK8" s="1876"/>
      <c r="MXL8" s="1876"/>
      <c r="MXM8" s="1876"/>
      <c r="MXN8" s="1876"/>
      <c r="MXO8" s="1876"/>
      <c r="MXP8" s="1876"/>
      <c r="MXQ8" s="1876"/>
      <c r="MXR8" s="1876"/>
      <c r="MXS8" s="1876"/>
      <c r="MXT8" s="1876"/>
      <c r="MXU8" s="1876"/>
      <c r="MXV8" s="1876"/>
      <c r="MXW8" s="1876"/>
      <c r="MXX8" s="1876"/>
      <c r="MXY8" s="1876"/>
      <c r="MXZ8" s="1876"/>
      <c r="MYA8" s="1876"/>
      <c r="MYB8" s="1876"/>
      <c r="MYC8" s="1876"/>
      <c r="MYD8" s="1876"/>
      <c r="MYE8" s="1876"/>
      <c r="MYF8" s="1876"/>
      <c r="MYG8" s="1876"/>
      <c r="MYH8" s="1876"/>
      <c r="MYI8" s="1876"/>
      <c r="MYJ8" s="1876"/>
      <c r="MYK8" s="1876"/>
      <c r="MYL8" s="1876"/>
      <c r="MYM8" s="1876"/>
      <c r="MYN8" s="1876"/>
      <c r="MYO8" s="1876"/>
      <c r="MYP8" s="1876"/>
      <c r="MYQ8" s="1876"/>
      <c r="MYR8" s="1876"/>
      <c r="MYS8" s="1876"/>
      <c r="MYT8" s="1876"/>
      <c r="MYU8" s="1876"/>
      <c r="MYV8" s="1876"/>
      <c r="MYW8" s="1876"/>
      <c r="MYX8" s="1876"/>
      <c r="MYY8" s="1876"/>
      <c r="MYZ8" s="1876"/>
      <c r="MZA8" s="1876"/>
      <c r="MZB8" s="1876"/>
      <c r="MZC8" s="1876"/>
      <c r="MZD8" s="1876"/>
      <c r="MZE8" s="1876"/>
      <c r="MZF8" s="1876"/>
      <c r="MZG8" s="1876"/>
      <c r="MZH8" s="1876"/>
      <c r="MZI8" s="1876"/>
      <c r="MZJ8" s="1876"/>
      <c r="MZK8" s="1876"/>
      <c r="MZL8" s="1876"/>
      <c r="MZM8" s="1876"/>
      <c r="MZN8" s="1876"/>
      <c r="MZO8" s="1876"/>
      <c r="MZP8" s="1876"/>
      <c r="MZQ8" s="1876"/>
      <c r="MZR8" s="1876"/>
      <c r="MZS8" s="1876"/>
      <c r="MZT8" s="1876"/>
      <c r="MZU8" s="1876"/>
      <c r="MZV8" s="1876"/>
      <c r="MZW8" s="1876"/>
      <c r="MZX8" s="1876"/>
      <c r="MZY8" s="1876"/>
      <c r="MZZ8" s="1876"/>
      <c r="NAA8" s="1876"/>
      <c r="NAB8" s="1876"/>
      <c r="NAC8" s="1876"/>
      <c r="NAD8" s="1876"/>
      <c r="NAE8" s="1876"/>
      <c r="NAF8" s="1876"/>
      <c r="NAG8" s="1876"/>
      <c r="NAH8" s="1876"/>
      <c r="NAI8" s="1876"/>
      <c r="NAJ8" s="1876"/>
      <c r="NAK8" s="1876"/>
      <c r="NAL8" s="1876"/>
      <c r="NAM8" s="1876"/>
      <c r="NAN8" s="1876"/>
      <c r="NAO8" s="1876"/>
      <c r="NAP8" s="1876"/>
      <c r="NAQ8" s="1876"/>
      <c r="NAR8" s="1876"/>
      <c r="NAS8" s="1876"/>
      <c r="NAT8" s="1876"/>
      <c r="NAU8" s="1876"/>
      <c r="NAV8" s="1876"/>
      <c r="NAW8" s="1876"/>
      <c r="NAX8" s="1876"/>
      <c r="NAY8" s="1876"/>
      <c r="NAZ8" s="1876"/>
      <c r="NBA8" s="1876"/>
      <c r="NBB8" s="1876"/>
      <c r="NBC8" s="1876"/>
      <c r="NBD8" s="1876"/>
      <c r="NBE8" s="1876"/>
      <c r="NBF8" s="1876"/>
      <c r="NBG8" s="1876"/>
      <c r="NBH8" s="1876"/>
      <c r="NBI8" s="1876"/>
      <c r="NBJ8" s="1876"/>
      <c r="NBK8" s="1876"/>
      <c r="NBL8" s="1876"/>
      <c r="NBM8" s="1876"/>
      <c r="NBN8" s="1876"/>
      <c r="NBO8" s="1876"/>
      <c r="NBP8" s="1876"/>
      <c r="NBQ8" s="1876"/>
      <c r="NBR8" s="1876"/>
      <c r="NBS8" s="1876"/>
      <c r="NBT8" s="1876"/>
      <c r="NBU8" s="1876"/>
      <c r="NBV8" s="1876"/>
      <c r="NBW8" s="1876"/>
      <c r="NBX8" s="1876"/>
      <c r="NBY8" s="1876"/>
      <c r="NBZ8" s="1876"/>
      <c r="NCA8" s="1876"/>
      <c r="NCB8" s="1876"/>
      <c r="NCC8" s="1876"/>
      <c r="NCD8" s="1876"/>
      <c r="NCE8" s="1876"/>
      <c r="NCF8" s="1876"/>
      <c r="NCG8" s="1876"/>
      <c r="NCH8" s="1876"/>
      <c r="NCI8" s="1876"/>
      <c r="NCJ8" s="1876"/>
      <c r="NCK8" s="1876"/>
      <c r="NCL8" s="1876"/>
      <c r="NCM8" s="1876"/>
      <c r="NCN8" s="1876"/>
      <c r="NCO8" s="1876"/>
      <c r="NCP8" s="1876"/>
      <c r="NCQ8" s="1876"/>
      <c r="NCR8" s="1876"/>
      <c r="NCS8" s="1876"/>
      <c r="NCT8" s="1876"/>
      <c r="NCU8" s="1876"/>
      <c r="NCV8" s="1876"/>
      <c r="NCW8" s="1876"/>
      <c r="NCX8" s="1876"/>
      <c r="NCY8" s="1876"/>
      <c r="NCZ8" s="1876"/>
      <c r="NDA8" s="1876"/>
      <c r="NDB8" s="1876"/>
      <c r="NDC8" s="1876"/>
      <c r="NDD8" s="1876"/>
      <c r="NDE8" s="1876"/>
      <c r="NDF8" s="1876"/>
      <c r="NDG8" s="1876"/>
      <c r="NDH8" s="1876"/>
      <c r="NDI8" s="1876"/>
      <c r="NDJ8" s="1876"/>
      <c r="NDK8" s="1876"/>
      <c r="NDL8" s="1876"/>
      <c r="NDM8" s="1876"/>
      <c r="NDN8" s="1876"/>
      <c r="NDO8" s="1876"/>
      <c r="NDP8" s="1876"/>
      <c r="NDQ8" s="1876"/>
      <c r="NDR8" s="1876"/>
      <c r="NDS8" s="1876"/>
      <c r="NDT8" s="1876"/>
      <c r="NDU8" s="1876"/>
      <c r="NDV8" s="1876"/>
      <c r="NDW8" s="1876"/>
      <c r="NDX8" s="1876"/>
      <c r="NDY8" s="1876"/>
      <c r="NDZ8" s="1876"/>
      <c r="NEA8" s="1876"/>
      <c r="NEB8" s="1876"/>
      <c r="NEC8" s="1876"/>
      <c r="NED8" s="1876"/>
      <c r="NEE8" s="1876"/>
      <c r="NEF8" s="1876"/>
      <c r="NEG8" s="1876"/>
      <c r="NEH8" s="1876"/>
      <c r="NEI8" s="1876"/>
      <c r="NEJ8" s="1876"/>
      <c r="NEK8" s="1876"/>
      <c r="NEL8" s="1876"/>
      <c r="NEM8" s="1876"/>
      <c r="NEN8" s="1876"/>
      <c r="NEO8" s="1876"/>
      <c r="NEP8" s="1876"/>
      <c r="NEQ8" s="1876"/>
      <c r="NER8" s="1876"/>
      <c r="NES8" s="1876"/>
      <c r="NET8" s="1876"/>
      <c r="NEU8" s="1876"/>
      <c r="NEV8" s="1876"/>
      <c r="NEW8" s="1876"/>
      <c r="NEX8" s="1876"/>
      <c r="NEY8" s="1876"/>
      <c r="NEZ8" s="1876"/>
      <c r="NFA8" s="1876"/>
      <c r="NFB8" s="1876"/>
      <c r="NFC8" s="1876"/>
      <c r="NFD8" s="1876"/>
      <c r="NFE8" s="1876"/>
      <c r="NFF8" s="1876"/>
      <c r="NFG8" s="1876"/>
      <c r="NFH8" s="1876"/>
      <c r="NFI8" s="1876"/>
      <c r="NFJ8" s="1876"/>
      <c r="NFK8" s="1876"/>
      <c r="NFL8" s="1876"/>
      <c r="NFM8" s="1876"/>
      <c r="NFN8" s="1876"/>
      <c r="NFO8" s="1876"/>
      <c r="NFP8" s="1876"/>
      <c r="NFQ8" s="1876"/>
      <c r="NFR8" s="1876"/>
      <c r="NFS8" s="1876"/>
      <c r="NFT8" s="1876"/>
      <c r="NFU8" s="1876"/>
      <c r="NFV8" s="1876"/>
      <c r="NFW8" s="1876"/>
      <c r="NFX8" s="1876"/>
      <c r="NFY8" s="1876"/>
      <c r="NFZ8" s="1876"/>
      <c r="NGA8" s="1876"/>
      <c r="NGB8" s="1876"/>
      <c r="NGC8" s="1876"/>
      <c r="NGD8" s="1876"/>
      <c r="NGE8" s="1876"/>
      <c r="NGF8" s="1876"/>
      <c r="NGG8" s="1876"/>
      <c r="NGH8" s="1876"/>
      <c r="NGI8" s="1876"/>
      <c r="NGJ8" s="1876"/>
      <c r="NGK8" s="1876"/>
      <c r="NGL8" s="1876"/>
      <c r="NGM8" s="1876"/>
      <c r="NGN8" s="1876"/>
      <c r="NGO8" s="1876"/>
      <c r="NGP8" s="1876"/>
      <c r="NGQ8" s="1876"/>
      <c r="NGR8" s="1876"/>
      <c r="NGS8" s="1876"/>
      <c r="NGT8" s="1876"/>
      <c r="NGU8" s="1876"/>
      <c r="NGV8" s="1876"/>
      <c r="NGW8" s="1876"/>
      <c r="NGX8" s="1876"/>
      <c r="NGY8" s="1876"/>
      <c r="NGZ8" s="1876"/>
      <c r="NHA8" s="1876"/>
      <c r="NHB8" s="1876"/>
      <c r="NHC8" s="1876"/>
      <c r="NHD8" s="1876"/>
      <c r="NHE8" s="1876"/>
      <c r="NHF8" s="1876"/>
      <c r="NHG8" s="1876"/>
      <c r="NHH8" s="1876"/>
      <c r="NHI8" s="1876"/>
      <c r="NHJ8" s="1876"/>
      <c r="NHK8" s="1876"/>
      <c r="NHL8" s="1876"/>
      <c r="NHM8" s="1876"/>
      <c r="NHN8" s="1876"/>
      <c r="NHO8" s="1876"/>
      <c r="NHP8" s="1876"/>
      <c r="NHQ8" s="1876"/>
      <c r="NHR8" s="1876"/>
      <c r="NHS8" s="1876"/>
      <c r="NHT8" s="1876"/>
      <c r="NHU8" s="1876"/>
      <c r="NHV8" s="1876"/>
      <c r="NHW8" s="1876"/>
      <c r="NHX8" s="1876"/>
      <c r="NHY8" s="1876"/>
      <c r="NHZ8" s="1876"/>
      <c r="NIA8" s="1876"/>
      <c r="NIB8" s="1876"/>
      <c r="NIC8" s="1876"/>
      <c r="NID8" s="1876"/>
      <c r="NIE8" s="1876"/>
      <c r="NIF8" s="1876"/>
      <c r="NIG8" s="1876"/>
      <c r="NIH8" s="1876"/>
      <c r="NII8" s="1876"/>
      <c r="NIJ8" s="1876"/>
      <c r="NIK8" s="1876"/>
      <c r="NIL8" s="1876"/>
      <c r="NIM8" s="1876"/>
      <c r="NIN8" s="1876"/>
      <c r="NIO8" s="1876"/>
      <c r="NIP8" s="1876"/>
      <c r="NIQ8" s="1876"/>
      <c r="NIR8" s="1876"/>
      <c r="NIS8" s="1876"/>
      <c r="NIT8" s="1876"/>
      <c r="NIU8" s="1876"/>
      <c r="NIV8" s="1876"/>
      <c r="NIW8" s="1876"/>
      <c r="NIX8" s="1876"/>
      <c r="NIY8" s="1876"/>
      <c r="NIZ8" s="1876"/>
      <c r="NJA8" s="1876"/>
      <c r="NJB8" s="1876"/>
      <c r="NJC8" s="1876"/>
      <c r="NJD8" s="1876"/>
      <c r="NJE8" s="1876"/>
      <c r="NJF8" s="1876"/>
      <c r="NJG8" s="1876"/>
      <c r="NJH8" s="1876"/>
      <c r="NJI8" s="1876"/>
      <c r="NJJ8" s="1876"/>
      <c r="NJK8" s="1876"/>
      <c r="NJL8" s="1876"/>
      <c r="NJM8" s="1876"/>
      <c r="NJN8" s="1876"/>
      <c r="NJO8" s="1876"/>
      <c r="NJP8" s="1876"/>
      <c r="NJQ8" s="1876"/>
      <c r="NJR8" s="1876"/>
      <c r="NJS8" s="1876"/>
      <c r="NJT8" s="1876"/>
      <c r="NJU8" s="1876"/>
      <c r="NJV8" s="1876"/>
      <c r="NJW8" s="1876"/>
      <c r="NJX8" s="1876"/>
      <c r="NJY8" s="1876"/>
      <c r="NJZ8" s="1876"/>
      <c r="NKA8" s="1876"/>
      <c r="NKB8" s="1876"/>
      <c r="NKC8" s="1876"/>
      <c r="NKD8" s="1876"/>
      <c r="NKE8" s="1876"/>
      <c r="NKF8" s="1876"/>
      <c r="NKG8" s="1876"/>
      <c r="NKH8" s="1876"/>
      <c r="NKI8" s="1876"/>
      <c r="NKJ8" s="1876"/>
      <c r="NKK8" s="1876"/>
      <c r="NKL8" s="1876"/>
      <c r="NKM8" s="1876"/>
      <c r="NKN8" s="1876"/>
      <c r="NKO8" s="1876"/>
      <c r="NKP8" s="1876"/>
      <c r="NKQ8" s="1876"/>
      <c r="NKR8" s="1876"/>
      <c r="NKS8" s="1876"/>
      <c r="NKT8" s="1876"/>
      <c r="NKU8" s="1876"/>
      <c r="NKV8" s="1876"/>
      <c r="NKW8" s="1876"/>
      <c r="NKX8" s="1876"/>
      <c r="NKY8" s="1876"/>
      <c r="NKZ8" s="1876"/>
      <c r="NLA8" s="1876"/>
      <c r="NLB8" s="1876"/>
      <c r="NLC8" s="1876"/>
      <c r="NLD8" s="1876"/>
      <c r="NLE8" s="1876"/>
      <c r="NLF8" s="1876"/>
      <c r="NLG8" s="1876"/>
      <c r="NLH8" s="1876"/>
      <c r="NLI8" s="1876"/>
      <c r="NLJ8" s="1876"/>
      <c r="NLK8" s="1876"/>
      <c r="NLL8" s="1876"/>
      <c r="NLM8" s="1876"/>
      <c r="NLN8" s="1876"/>
      <c r="NLO8" s="1876"/>
      <c r="NLP8" s="1876"/>
      <c r="NLQ8" s="1876"/>
      <c r="NLR8" s="1876"/>
      <c r="NLS8" s="1876"/>
      <c r="NLT8" s="1876"/>
      <c r="NLU8" s="1876"/>
      <c r="NLV8" s="1876"/>
      <c r="NLW8" s="1876"/>
      <c r="NLX8" s="1876"/>
      <c r="NLY8" s="1876"/>
      <c r="NLZ8" s="1876"/>
      <c r="NMA8" s="1876"/>
      <c r="NMB8" s="1876"/>
      <c r="NMC8" s="1876"/>
      <c r="NMD8" s="1876"/>
      <c r="NME8" s="1876"/>
      <c r="NMF8" s="1876"/>
      <c r="NMG8" s="1876"/>
      <c r="NMH8" s="1876"/>
      <c r="NMI8" s="1876"/>
      <c r="NMJ8" s="1876"/>
      <c r="NMK8" s="1876"/>
      <c r="NML8" s="1876"/>
      <c r="NMM8" s="1876"/>
      <c r="NMN8" s="1876"/>
      <c r="NMO8" s="1876"/>
      <c r="NMP8" s="1876"/>
      <c r="NMQ8" s="1876"/>
      <c r="NMR8" s="1876"/>
      <c r="NMS8" s="1876"/>
      <c r="NMT8" s="1876"/>
      <c r="NMU8" s="1876"/>
      <c r="NMV8" s="1876"/>
      <c r="NMW8" s="1876"/>
      <c r="NMX8" s="1876"/>
      <c r="NMY8" s="1876"/>
      <c r="NMZ8" s="1876"/>
      <c r="NNA8" s="1876"/>
      <c r="NNB8" s="1876"/>
      <c r="NNC8" s="1876"/>
      <c r="NND8" s="1876"/>
      <c r="NNE8" s="1876"/>
      <c r="NNF8" s="1876"/>
      <c r="NNG8" s="1876"/>
      <c r="NNH8" s="1876"/>
      <c r="NNI8" s="1876"/>
      <c r="NNJ8" s="1876"/>
      <c r="NNK8" s="1876"/>
      <c r="NNL8" s="1876"/>
      <c r="NNM8" s="1876"/>
      <c r="NNN8" s="1876"/>
      <c r="NNO8" s="1876"/>
      <c r="NNP8" s="1876"/>
      <c r="NNQ8" s="1876"/>
      <c r="NNR8" s="1876"/>
      <c r="NNS8" s="1876"/>
      <c r="NNT8" s="1876"/>
      <c r="NNU8" s="1876"/>
      <c r="NNV8" s="1876"/>
      <c r="NNW8" s="1876"/>
      <c r="NNX8" s="1876"/>
      <c r="NNY8" s="1876"/>
      <c r="NNZ8" s="1876"/>
      <c r="NOA8" s="1876"/>
      <c r="NOB8" s="1876"/>
      <c r="NOC8" s="1876"/>
      <c r="NOD8" s="1876"/>
      <c r="NOE8" s="1876"/>
      <c r="NOF8" s="1876"/>
      <c r="NOG8" s="1876"/>
      <c r="NOH8" s="1876"/>
      <c r="NOI8" s="1876"/>
      <c r="NOJ8" s="1876"/>
      <c r="NOK8" s="1876"/>
      <c r="NOL8" s="1876"/>
      <c r="NOM8" s="1876"/>
      <c r="NON8" s="1876"/>
      <c r="NOO8" s="1876"/>
      <c r="NOP8" s="1876"/>
      <c r="NOQ8" s="1876"/>
      <c r="NOR8" s="1876"/>
      <c r="NOS8" s="1876"/>
      <c r="NOT8" s="1876"/>
      <c r="NOU8" s="1876"/>
      <c r="NOV8" s="1876"/>
      <c r="NOW8" s="1876"/>
      <c r="NOX8" s="1876"/>
      <c r="NOY8" s="1876"/>
      <c r="NOZ8" s="1876"/>
      <c r="NPA8" s="1876"/>
      <c r="NPB8" s="1876"/>
      <c r="NPC8" s="1876"/>
      <c r="NPD8" s="1876"/>
      <c r="NPE8" s="1876"/>
      <c r="NPF8" s="1876"/>
      <c r="NPG8" s="1876"/>
      <c r="NPH8" s="1876"/>
      <c r="NPI8" s="1876"/>
      <c r="NPJ8" s="1876"/>
      <c r="NPK8" s="1876"/>
      <c r="NPL8" s="1876"/>
      <c r="NPM8" s="1876"/>
      <c r="NPN8" s="1876"/>
      <c r="NPO8" s="1876"/>
      <c r="NPP8" s="1876"/>
      <c r="NPQ8" s="1876"/>
      <c r="NPR8" s="1876"/>
      <c r="NPS8" s="1876"/>
      <c r="NPT8" s="1876"/>
      <c r="NPU8" s="1876"/>
      <c r="NPV8" s="1876"/>
      <c r="NPW8" s="1876"/>
      <c r="NPX8" s="1876"/>
      <c r="NPY8" s="1876"/>
      <c r="NPZ8" s="1876"/>
      <c r="NQA8" s="1876"/>
      <c r="NQB8" s="1876"/>
      <c r="NQC8" s="1876"/>
      <c r="NQD8" s="1876"/>
      <c r="NQE8" s="1876"/>
      <c r="NQF8" s="1876"/>
      <c r="NQG8" s="1876"/>
      <c r="NQH8" s="1876"/>
      <c r="NQI8" s="1876"/>
      <c r="NQJ8" s="1876"/>
      <c r="NQK8" s="1876"/>
      <c r="NQL8" s="1876"/>
      <c r="NQM8" s="1876"/>
      <c r="NQN8" s="1876"/>
      <c r="NQO8" s="1876"/>
      <c r="NQP8" s="1876"/>
      <c r="NQQ8" s="1876"/>
      <c r="NQR8" s="1876"/>
      <c r="NQS8" s="1876"/>
      <c r="NQT8" s="1876"/>
      <c r="NQU8" s="1876"/>
      <c r="NQV8" s="1876"/>
      <c r="NQW8" s="1876"/>
      <c r="NQX8" s="1876"/>
      <c r="NQY8" s="1876"/>
      <c r="NQZ8" s="1876"/>
      <c r="NRA8" s="1876"/>
      <c r="NRB8" s="1876"/>
      <c r="NRC8" s="1876"/>
      <c r="NRD8" s="1876"/>
      <c r="NRE8" s="1876"/>
      <c r="NRF8" s="1876"/>
      <c r="NRG8" s="1876"/>
      <c r="NRH8" s="1876"/>
      <c r="NRI8" s="1876"/>
      <c r="NRJ8" s="1876"/>
      <c r="NRK8" s="1876"/>
      <c r="NRL8" s="1876"/>
      <c r="NRM8" s="1876"/>
      <c r="NRN8" s="1876"/>
      <c r="NRO8" s="1876"/>
      <c r="NRP8" s="1876"/>
      <c r="NRQ8" s="1876"/>
      <c r="NRR8" s="1876"/>
      <c r="NRS8" s="1876"/>
      <c r="NRT8" s="1876"/>
      <c r="NRU8" s="1876"/>
      <c r="NRV8" s="1876"/>
      <c r="NRW8" s="1876"/>
      <c r="NRX8" s="1876"/>
      <c r="NRY8" s="1876"/>
      <c r="NRZ8" s="1876"/>
      <c r="NSA8" s="1876"/>
      <c r="NSB8" s="1876"/>
      <c r="NSC8" s="1876"/>
      <c r="NSD8" s="1876"/>
      <c r="NSE8" s="1876"/>
      <c r="NSF8" s="1876"/>
      <c r="NSG8" s="1876"/>
      <c r="NSH8" s="1876"/>
      <c r="NSI8" s="1876"/>
      <c r="NSJ8" s="1876"/>
      <c r="NSK8" s="1876"/>
      <c r="NSL8" s="1876"/>
      <c r="NSM8" s="1876"/>
      <c r="NSN8" s="1876"/>
      <c r="NSO8" s="1876"/>
      <c r="NSP8" s="1876"/>
      <c r="NSQ8" s="1876"/>
      <c r="NSR8" s="1876"/>
      <c r="NSS8" s="1876"/>
      <c r="NST8" s="1876"/>
      <c r="NSU8" s="1876"/>
      <c r="NSV8" s="1876"/>
      <c r="NSW8" s="1876"/>
      <c r="NSX8" s="1876"/>
      <c r="NSY8" s="1876"/>
      <c r="NSZ8" s="1876"/>
      <c r="NTA8" s="1876"/>
      <c r="NTB8" s="1876"/>
      <c r="NTC8" s="1876"/>
      <c r="NTD8" s="1876"/>
      <c r="NTE8" s="1876"/>
      <c r="NTF8" s="1876"/>
      <c r="NTG8" s="1876"/>
      <c r="NTH8" s="1876"/>
      <c r="NTI8" s="1876"/>
      <c r="NTJ8" s="1876"/>
      <c r="NTK8" s="1876"/>
      <c r="NTL8" s="1876"/>
      <c r="NTM8" s="1876"/>
      <c r="NTN8" s="1876"/>
      <c r="NTO8" s="1876"/>
      <c r="NTP8" s="1876"/>
      <c r="NTQ8" s="1876"/>
      <c r="NTR8" s="1876"/>
      <c r="NTS8" s="1876"/>
      <c r="NTT8" s="1876"/>
      <c r="NTU8" s="1876"/>
      <c r="NTV8" s="1876"/>
      <c r="NTW8" s="1876"/>
      <c r="NTX8" s="1876"/>
      <c r="NTY8" s="1876"/>
      <c r="NTZ8" s="1876"/>
      <c r="NUA8" s="1876"/>
      <c r="NUB8" s="1876"/>
      <c r="NUC8" s="1876"/>
      <c r="NUD8" s="1876"/>
      <c r="NUE8" s="1876"/>
      <c r="NUF8" s="1876"/>
      <c r="NUG8" s="1876"/>
      <c r="NUH8" s="1876"/>
      <c r="NUI8" s="1876"/>
      <c r="NUJ8" s="1876"/>
      <c r="NUK8" s="1876"/>
      <c r="NUL8" s="1876"/>
      <c r="NUM8" s="1876"/>
      <c r="NUN8" s="1876"/>
      <c r="NUO8" s="1876"/>
      <c r="NUP8" s="1876"/>
      <c r="NUQ8" s="1876"/>
      <c r="NUR8" s="1876"/>
      <c r="NUS8" s="1876"/>
      <c r="NUT8" s="1876"/>
      <c r="NUU8" s="1876"/>
      <c r="NUV8" s="1876"/>
      <c r="NUW8" s="1876"/>
      <c r="NUX8" s="1876"/>
      <c r="NUY8" s="1876"/>
      <c r="NUZ8" s="1876"/>
      <c r="NVA8" s="1876"/>
      <c r="NVB8" s="1876"/>
      <c r="NVC8" s="1876"/>
      <c r="NVD8" s="1876"/>
      <c r="NVE8" s="1876"/>
      <c r="NVF8" s="1876"/>
      <c r="NVG8" s="1876"/>
      <c r="NVH8" s="1876"/>
      <c r="NVI8" s="1876"/>
      <c r="NVJ8" s="1876"/>
      <c r="NVK8" s="1876"/>
      <c r="NVL8" s="1876"/>
      <c r="NVM8" s="1876"/>
      <c r="NVN8" s="1876"/>
      <c r="NVO8" s="1876"/>
      <c r="NVP8" s="1876"/>
      <c r="NVQ8" s="1876"/>
      <c r="NVR8" s="1876"/>
      <c r="NVS8" s="1876"/>
      <c r="NVT8" s="1876"/>
      <c r="NVU8" s="1876"/>
      <c r="NVV8" s="1876"/>
      <c r="NVW8" s="1876"/>
      <c r="NVX8" s="1876"/>
      <c r="NVY8" s="1876"/>
      <c r="NVZ8" s="1876"/>
      <c r="NWA8" s="1876"/>
      <c r="NWB8" s="1876"/>
      <c r="NWC8" s="1876"/>
      <c r="NWD8" s="1876"/>
      <c r="NWE8" s="1876"/>
      <c r="NWF8" s="1876"/>
      <c r="NWG8" s="1876"/>
      <c r="NWH8" s="1876"/>
      <c r="NWI8" s="1876"/>
      <c r="NWJ8" s="1876"/>
      <c r="NWK8" s="1876"/>
      <c r="NWL8" s="1876"/>
      <c r="NWM8" s="1876"/>
      <c r="NWN8" s="1876"/>
      <c r="NWO8" s="1876"/>
      <c r="NWP8" s="1876"/>
      <c r="NWQ8" s="1876"/>
      <c r="NWR8" s="1876"/>
      <c r="NWS8" s="1876"/>
      <c r="NWT8" s="1876"/>
      <c r="NWU8" s="1876"/>
      <c r="NWV8" s="1876"/>
      <c r="NWW8" s="1876"/>
      <c r="NWX8" s="1876"/>
      <c r="NWY8" s="1876"/>
      <c r="NWZ8" s="1876"/>
      <c r="NXA8" s="1876"/>
      <c r="NXB8" s="1876"/>
      <c r="NXC8" s="1876"/>
      <c r="NXD8" s="1876"/>
      <c r="NXE8" s="1876"/>
      <c r="NXF8" s="1876"/>
      <c r="NXG8" s="1876"/>
      <c r="NXH8" s="1876"/>
      <c r="NXI8" s="1876"/>
      <c r="NXJ8" s="1876"/>
      <c r="NXK8" s="1876"/>
      <c r="NXL8" s="1876"/>
      <c r="NXM8" s="1876"/>
      <c r="NXN8" s="1876"/>
      <c r="NXO8" s="1876"/>
      <c r="NXP8" s="1876"/>
      <c r="NXQ8" s="1876"/>
      <c r="NXR8" s="1876"/>
      <c r="NXS8" s="1876"/>
      <c r="NXT8" s="1876"/>
      <c r="NXU8" s="1876"/>
      <c r="NXV8" s="1876"/>
      <c r="NXW8" s="1876"/>
      <c r="NXX8" s="1876"/>
      <c r="NXY8" s="1876"/>
      <c r="NXZ8" s="1876"/>
      <c r="NYA8" s="1876"/>
      <c r="NYB8" s="1876"/>
      <c r="NYC8" s="1876"/>
      <c r="NYD8" s="1876"/>
      <c r="NYE8" s="1876"/>
      <c r="NYF8" s="1876"/>
      <c r="NYG8" s="1876"/>
      <c r="NYH8" s="1876"/>
      <c r="NYI8" s="1876"/>
      <c r="NYJ8" s="1876"/>
      <c r="NYK8" s="1876"/>
      <c r="NYL8" s="1876"/>
      <c r="NYM8" s="1876"/>
      <c r="NYN8" s="1876"/>
      <c r="NYO8" s="1876"/>
      <c r="NYP8" s="1876"/>
      <c r="NYQ8" s="1876"/>
      <c r="NYR8" s="1876"/>
      <c r="NYS8" s="1876"/>
      <c r="NYT8" s="1876"/>
      <c r="NYU8" s="1876"/>
      <c r="NYV8" s="1876"/>
      <c r="NYW8" s="1876"/>
      <c r="NYX8" s="1876"/>
      <c r="NYY8" s="1876"/>
      <c r="NYZ8" s="1876"/>
      <c r="NZA8" s="1876"/>
      <c r="NZB8" s="1876"/>
      <c r="NZC8" s="1876"/>
      <c r="NZD8" s="1876"/>
      <c r="NZE8" s="1876"/>
      <c r="NZF8" s="1876"/>
      <c r="NZG8" s="1876"/>
      <c r="NZH8" s="1876"/>
      <c r="NZI8" s="1876"/>
      <c r="NZJ8" s="1876"/>
      <c r="NZK8" s="1876"/>
      <c r="NZL8" s="1876"/>
      <c r="NZM8" s="1876"/>
      <c r="NZN8" s="1876"/>
      <c r="NZO8" s="1876"/>
      <c r="NZP8" s="1876"/>
      <c r="NZQ8" s="1876"/>
      <c r="NZR8" s="1876"/>
      <c r="NZS8" s="1876"/>
      <c r="NZT8" s="1876"/>
      <c r="NZU8" s="1876"/>
      <c r="NZV8" s="1876"/>
      <c r="NZW8" s="1876"/>
      <c r="NZX8" s="1876"/>
      <c r="NZY8" s="1876"/>
      <c r="NZZ8" s="1876"/>
      <c r="OAA8" s="1876"/>
      <c r="OAB8" s="1876"/>
      <c r="OAC8" s="1876"/>
      <c r="OAD8" s="1876"/>
      <c r="OAE8" s="1876"/>
      <c r="OAF8" s="1876"/>
      <c r="OAG8" s="1876"/>
      <c r="OAH8" s="1876"/>
      <c r="OAI8" s="1876"/>
      <c r="OAJ8" s="1876"/>
      <c r="OAK8" s="1876"/>
      <c r="OAL8" s="1876"/>
      <c r="OAM8" s="1876"/>
      <c r="OAN8" s="1876"/>
      <c r="OAO8" s="1876"/>
      <c r="OAP8" s="1876"/>
      <c r="OAQ8" s="1876"/>
      <c r="OAR8" s="1876"/>
      <c r="OAS8" s="1876"/>
      <c r="OAT8" s="1876"/>
      <c r="OAU8" s="1876"/>
      <c r="OAV8" s="1876"/>
      <c r="OAW8" s="1876"/>
      <c r="OAX8" s="1876"/>
      <c r="OAY8" s="1876"/>
      <c r="OAZ8" s="1876"/>
      <c r="OBA8" s="1876"/>
      <c r="OBB8" s="1876"/>
      <c r="OBC8" s="1876"/>
      <c r="OBD8" s="1876"/>
      <c r="OBE8" s="1876"/>
      <c r="OBF8" s="1876"/>
      <c r="OBG8" s="1876"/>
      <c r="OBH8" s="1876"/>
      <c r="OBI8" s="1876"/>
      <c r="OBJ8" s="1876"/>
      <c r="OBK8" s="1876"/>
      <c r="OBL8" s="1876"/>
      <c r="OBM8" s="1876"/>
      <c r="OBN8" s="1876"/>
      <c r="OBO8" s="1876"/>
      <c r="OBP8" s="1876"/>
      <c r="OBQ8" s="1876"/>
      <c r="OBR8" s="1876"/>
      <c r="OBS8" s="1876"/>
      <c r="OBT8" s="1876"/>
      <c r="OBU8" s="1876"/>
      <c r="OBV8" s="1876"/>
      <c r="OBW8" s="1876"/>
      <c r="OBX8" s="1876"/>
      <c r="OBY8" s="1876"/>
      <c r="OBZ8" s="1876"/>
      <c r="OCA8" s="1876"/>
      <c r="OCB8" s="1876"/>
      <c r="OCC8" s="1876"/>
      <c r="OCD8" s="1876"/>
      <c r="OCE8" s="1876"/>
      <c r="OCF8" s="1876"/>
      <c r="OCG8" s="1876"/>
      <c r="OCH8" s="1876"/>
      <c r="OCI8" s="1876"/>
      <c r="OCJ8" s="1876"/>
      <c r="OCK8" s="1876"/>
      <c r="OCL8" s="1876"/>
      <c r="OCM8" s="1876"/>
      <c r="OCN8" s="1876"/>
      <c r="OCO8" s="1876"/>
      <c r="OCP8" s="1876"/>
      <c r="OCQ8" s="1876"/>
      <c r="OCR8" s="1876"/>
      <c r="OCS8" s="1876"/>
      <c r="OCT8" s="1876"/>
      <c r="OCU8" s="1876"/>
      <c r="OCV8" s="1876"/>
      <c r="OCW8" s="1876"/>
      <c r="OCX8" s="1876"/>
      <c r="OCY8" s="1876"/>
      <c r="OCZ8" s="1876"/>
      <c r="ODA8" s="1876"/>
      <c r="ODB8" s="1876"/>
      <c r="ODC8" s="1876"/>
      <c r="ODD8" s="1876"/>
      <c r="ODE8" s="1876"/>
      <c r="ODF8" s="1876"/>
      <c r="ODG8" s="1876"/>
      <c r="ODH8" s="1876"/>
      <c r="ODI8" s="1876"/>
      <c r="ODJ8" s="1876"/>
      <c r="ODK8" s="1876"/>
      <c r="ODL8" s="1876"/>
      <c r="ODM8" s="1876"/>
      <c r="ODN8" s="1876"/>
      <c r="ODO8" s="1876"/>
      <c r="ODP8" s="1876"/>
      <c r="ODQ8" s="1876"/>
      <c r="ODR8" s="1876"/>
      <c r="ODS8" s="1876"/>
      <c r="ODT8" s="1876"/>
      <c r="ODU8" s="1876"/>
      <c r="ODV8" s="1876"/>
      <c r="ODW8" s="1876"/>
      <c r="ODX8" s="1876"/>
      <c r="ODY8" s="1876"/>
      <c r="ODZ8" s="1876"/>
      <c r="OEA8" s="1876"/>
      <c r="OEB8" s="1876"/>
      <c r="OEC8" s="1876"/>
      <c r="OED8" s="1876"/>
      <c r="OEE8" s="1876"/>
      <c r="OEF8" s="1876"/>
      <c r="OEG8" s="1876"/>
      <c r="OEH8" s="1876"/>
      <c r="OEI8" s="1876"/>
      <c r="OEJ8" s="1876"/>
      <c r="OEK8" s="1876"/>
      <c r="OEL8" s="1876"/>
      <c r="OEM8" s="1876"/>
      <c r="OEN8" s="1876"/>
      <c r="OEO8" s="1876"/>
      <c r="OEP8" s="1876"/>
      <c r="OEQ8" s="1876"/>
      <c r="OER8" s="1876"/>
      <c r="OES8" s="1876"/>
      <c r="OET8" s="1876"/>
      <c r="OEU8" s="1876"/>
      <c r="OEV8" s="1876"/>
      <c r="OEW8" s="1876"/>
      <c r="OEX8" s="1876"/>
      <c r="OEY8" s="1876"/>
      <c r="OEZ8" s="1876"/>
      <c r="OFA8" s="1876"/>
      <c r="OFB8" s="1876"/>
      <c r="OFC8" s="1876"/>
      <c r="OFD8" s="1876"/>
      <c r="OFE8" s="1876"/>
      <c r="OFF8" s="1876"/>
      <c r="OFG8" s="1876"/>
      <c r="OFH8" s="1876"/>
      <c r="OFI8" s="1876"/>
      <c r="OFJ8" s="1876"/>
      <c r="OFK8" s="1876"/>
      <c r="OFL8" s="1876"/>
      <c r="OFM8" s="1876"/>
      <c r="OFN8" s="1876"/>
      <c r="OFO8" s="1876"/>
      <c r="OFP8" s="1876"/>
      <c r="OFQ8" s="1876"/>
      <c r="OFR8" s="1876"/>
      <c r="OFS8" s="1876"/>
      <c r="OFT8" s="1876"/>
      <c r="OFU8" s="1876"/>
      <c r="OFV8" s="1876"/>
      <c r="OFW8" s="1876"/>
      <c r="OFX8" s="1876"/>
      <c r="OFY8" s="1876"/>
      <c r="OFZ8" s="1876"/>
      <c r="OGA8" s="1876"/>
      <c r="OGB8" s="1876"/>
      <c r="OGC8" s="1876"/>
      <c r="OGD8" s="1876"/>
      <c r="OGE8" s="1876"/>
      <c r="OGF8" s="1876"/>
      <c r="OGG8" s="1876"/>
      <c r="OGH8" s="1876"/>
      <c r="OGI8" s="1876"/>
      <c r="OGJ8" s="1876"/>
      <c r="OGK8" s="1876"/>
      <c r="OGL8" s="1876"/>
      <c r="OGM8" s="1876"/>
      <c r="OGN8" s="1876"/>
      <c r="OGO8" s="1876"/>
      <c r="OGP8" s="1876"/>
      <c r="OGQ8" s="1876"/>
      <c r="OGR8" s="1876"/>
      <c r="OGS8" s="1876"/>
      <c r="OGT8" s="1876"/>
      <c r="OGU8" s="1876"/>
      <c r="OGV8" s="1876"/>
      <c r="OGW8" s="1876"/>
      <c r="OGX8" s="1876"/>
      <c r="OGY8" s="1876"/>
      <c r="OGZ8" s="1876"/>
      <c r="OHA8" s="1876"/>
      <c r="OHB8" s="1876"/>
      <c r="OHC8" s="1876"/>
      <c r="OHD8" s="1876"/>
      <c r="OHE8" s="1876"/>
      <c r="OHF8" s="1876"/>
      <c r="OHG8" s="1876"/>
      <c r="OHH8" s="1876"/>
      <c r="OHI8" s="1876"/>
      <c r="OHJ8" s="1876"/>
      <c r="OHK8" s="1876"/>
      <c r="OHL8" s="1876"/>
      <c r="OHM8" s="1876"/>
      <c r="OHN8" s="1876"/>
      <c r="OHO8" s="1876"/>
      <c r="OHP8" s="1876"/>
      <c r="OHQ8" s="1876"/>
      <c r="OHR8" s="1876"/>
      <c r="OHS8" s="1876"/>
      <c r="OHT8" s="1876"/>
      <c r="OHU8" s="1876"/>
      <c r="OHV8" s="1876"/>
      <c r="OHW8" s="1876"/>
      <c r="OHX8" s="1876"/>
      <c r="OHY8" s="1876"/>
      <c r="OHZ8" s="1876"/>
      <c r="OIA8" s="1876"/>
      <c r="OIB8" s="1876"/>
      <c r="OIC8" s="1876"/>
      <c r="OID8" s="1876"/>
      <c r="OIE8" s="1876"/>
      <c r="OIF8" s="1876"/>
      <c r="OIG8" s="1876"/>
      <c r="OIH8" s="1876"/>
      <c r="OII8" s="1876"/>
      <c r="OIJ8" s="1876"/>
      <c r="OIK8" s="1876"/>
      <c r="OIL8" s="1876"/>
      <c r="OIM8" s="1876"/>
      <c r="OIN8" s="1876"/>
      <c r="OIO8" s="1876"/>
      <c r="OIP8" s="1876"/>
      <c r="OIQ8" s="1876"/>
      <c r="OIR8" s="1876"/>
      <c r="OIS8" s="1876"/>
      <c r="OIT8" s="1876"/>
      <c r="OIU8" s="1876"/>
      <c r="OIV8" s="1876"/>
      <c r="OIW8" s="1876"/>
      <c r="OIX8" s="1876"/>
      <c r="OIY8" s="1876"/>
      <c r="OIZ8" s="1876"/>
      <c r="OJA8" s="1876"/>
      <c r="OJB8" s="1876"/>
      <c r="OJC8" s="1876"/>
      <c r="OJD8" s="1876"/>
      <c r="OJE8" s="1876"/>
      <c r="OJF8" s="1876"/>
      <c r="OJG8" s="1876"/>
      <c r="OJH8" s="1876"/>
      <c r="OJI8" s="1876"/>
      <c r="OJJ8" s="1876"/>
      <c r="OJK8" s="1876"/>
      <c r="OJL8" s="1876"/>
      <c r="OJM8" s="1876"/>
      <c r="OJN8" s="1876"/>
      <c r="OJO8" s="1876"/>
      <c r="OJP8" s="1876"/>
      <c r="OJQ8" s="1876"/>
      <c r="OJR8" s="1876"/>
      <c r="OJS8" s="1876"/>
      <c r="OJT8" s="1876"/>
      <c r="OJU8" s="1876"/>
      <c r="OJV8" s="1876"/>
      <c r="OJW8" s="1876"/>
      <c r="OJX8" s="1876"/>
      <c r="OJY8" s="1876"/>
      <c r="OJZ8" s="1876"/>
      <c r="OKA8" s="1876"/>
      <c r="OKB8" s="1876"/>
      <c r="OKC8" s="1876"/>
      <c r="OKD8" s="1876"/>
      <c r="OKE8" s="1876"/>
      <c r="OKF8" s="1876"/>
      <c r="OKG8" s="1876"/>
      <c r="OKH8" s="1876"/>
      <c r="OKI8" s="1876"/>
      <c r="OKJ8" s="1876"/>
      <c r="OKK8" s="1876"/>
      <c r="OKL8" s="1876"/>
      <c r="OKM8" s="1876"/>
      <c r="OKN8" s="1876"/>
      <c r="OKO8" s="1876"/>
      <c r="OKP8" s="1876"/>
      <c r="OKQ8" s="1876"/>
      <c r="OKR8" s="1876"/>
      <c r="OKS8" s="1876"/>
      <c r="OKT8" s="1876"/>
      <c r="OKU8" s="1876"/>
      <c r="OKV8" s="1876"/>
      <c r="OKW8" s="1876"/>
      <c r="OKX8" s="1876"/>
      <c r="OKY8" s="1876"/>
      <c r="OKZ8" s="1876"/>
      <c r="OLA8" s="1876"/>
      <c r="OLB8" s="1876"/>
      <c r="OLC8" s="1876"/>
      <c r="OLD8" s="1876"/>
      <c r="OLE8" s="1876"/>
      <c r="OLF8" s="1876"/>
      <c r="OLG8" s="1876"/>
      <c r="OLH8" s="1876"/>
      <c r="OLI8" s="1876"/>
      <c r="OLJ8" s="1876"/>
      <c r="OLK8" s="1876"/>
      <c r="OLL8" s="1876"/>
      <c r="OLM8" s="1876"/>
      <c r="OLN8" s="1876"/>
      <c r="OLO8" s="1876"/>
      <c r="OLP8" s="1876"/>
      <c r="OLQ8" s="1876"/>
      <c r="OLR8" s="1876"/>
      <c r="OLS8" s="1876"/>
      <c r="OLT8" s="1876"/>
      <c r="OLU8" s="1876"/>
      <c r="OLV8" s="1876"/>
      <c r="OLW8" s="1876"/>
      <c r="OLX8" s="1876"/>
      <c r="OLY8" s="1876"/>
      <c r="OLZ8" s="1876"/>
      <c r="OMA8" s="1876"/>
      <c r="OMB8" s="1876"/>
      <c r="OMC8" s="1876"/>
      <c r="OMD8" s="1876"/>
      <c r="OME8" s="1876"/>
      <c r="OMF8" s="1876"/>
      <c r="OMG8" s="1876"/>
      <c r="OMH8" s="1876"/>
      <c r="OMI8" s="1876"/>
      <c r="OMJ8" s="1876"/>
      <c r="OMK8" s="1876"/>
      <c r="OML8" s="1876"/>
      <c r="OMM8" s="1876"/>
      <c r="OMN8" s="1876"/>
      <c r="OMO8" s="1876"/>
      <c r="OMP8" s="1876"/>
      <c r="OMQ8" s="1876"/>
      <c r="OMR8" s="1876"/>
      <c r="OMS8" s="1876"/>
      <c r="OMT8" s="1876"/>
      <c r="OMU8" s="1876"/>
      <c r="OMV8" s="1876"/>
      <c r="OMW8" s="1876"/>
      <c r="OMX8" s="1876"/>
      <c r="OMY8" s="1876"/>
      <c r="OMZ8" s="1876"/>
      <c r="ONA8" s="1876"/>
      <c r="ONB8" s="1876"/>
      <c r="ONC8" s="1876"/>
      <c r="OND8" s="1876"/>
      <c r="ONE8" s="1876"/>
      <c r="ONF8" s="1876"/>
      <c r="ONG8" s="1876"/>
      <c r="ONH8" s="1876"/>
      <c r="ONI8" s="1876"/>
      <c r="ONJ8" s="1876"/>
      <c r="ONK8" s="1876"/>
      <c r="ONL8" s="1876"/>
      <c r="ONM8" s="1876"/>
      <c r="ONN8" s="1876"/>
      <c r="ONO8" s="1876"/>
      <c r="ONP8" s="1876"/>
      <c r="ONQ8" s="1876"/>
      <c r="ONR8" s="1876"/>
      <c r="ONS8" s="1876"/>
      <c r="ONT8" s="1876"/>
      <c r="ONU8" s="1876"/>
      <c r="ONV8" s="1876"/>
      <c r="ONW8" s="1876"/>
      <c r="ONX8" s="1876"/>
      <c r="ONY8" s="1876"/>
      <c r="ONZ8" s="1876"/>
      <c r="OOA8" s="1876"/>
      <c r="OOB8" s="1876"/>
      <c r="OOC8" s="1876"/>
      <c r="OOD8" s="1876"/>
      <c r="OOE8" s="1876"/>
      <c r="OOF8" s="1876"/>
      <c r="OOG8" s="1876"/>
      <c r="OOH8" s="1876"/>
      <c r="OOI8" s="1876"/>
      <c r="OOJ8" s="1876"/>
      <c r="OOK8" s="1876"/>
      <c r="OOL8" s="1876"/>
      <c r="OOM8" s="1876"/>
      <c r="OON8" s="1876"/>
      <c r="OOO8" s="1876"/>
      <c r="OOP8" s="1876"/>
      <c r="OOQ8" s="1876"/>
      <c r="OOR8" s="1876"/>
      <c r="OOS8" s="1876"/>
      <c r="OOT8" s="1876"/>
      <c r="OOU8" s="1876"/>
      <c r="OOV8" s="1876"/>
      <c r="OOW8" s="1876"/>
      <c r="OOX8" s="1876"/>
      <c r="OOY8" s="1876"/>
      <c r="OOZ8" s="1876"/>
      <c r="OPA8" s="1876"/>
      <c r="OPB8" s="1876"/>
      <c r="OPC8" s="1876"/>
      <c r="OPD8" s="1876"/>
      <c r="OPE8" s="1876"/>
      <c r="OPF8" s="1876"/>
      <c r="OPG8" s="1876"/>
      <c r="OPH8" s="1876"/>
      <c r="OPI8" s="1876"/>
      <c r="OPJ8" s="1876"/>
      <c r="OPK8" s="1876"/>
      <c r="OPL8" s="1876"/>
      <c r="OPM8" s="1876"/>
      <c r="OPN8" s="1876"/>
      <c r="OPO8" s="1876"/>
      <c r="OPP8" s="1876"/>
      <c r="OPQ8" s="1876"/>
      <c r="OPR8" s="1876"/>
      <c r="OPS8" s="1876"/>
      <c r="OPT8" s="1876"/>
      <c r="OPU8" s="1876"/>
      <c r="OPV8" s="1876"/>
      <c r="OPW8" s="1876"/>
      <c r="OPX8" s="1876"/>
      <c r="OPY8" s="1876"/>
      <c r="OPZ8" s="1876"/>
      <c r="OQA8" s="1876"/>
      <c r="OQB8" s="1876"/>
      <c r="OQC8" s="1876"/>
      <c r="OQD8" s="1876"/>
      <c r="OQE8" s="1876"/>
      <c r="OQF8" s="1876"/>
      <c r="OQG8" s="1876"/>
      <c r="OQH8" s="1876"/>
      <c r="OQI8" s="1876"/>
      <c r="OQJ8" s="1876"/>
      <c r="OQK8" s="1876"/>
      <c r="OQL8" s="1876"/>
      <c r="OQM8" s="1876"/>
      <c r="OQN8" s="1876"/>
      <c r="OQO8" s="1876"/>
      <c r="OQP8" s="1876"/>
      <c r="OQQ8" s="1876"/>
      <c r="OQR8" s="1876"/>
      <c r="OQS8" s="1876"/>
      <c r="OQT8" s="1876"/>
      <c r="OQU8" s="1876"/>
      <c r="OQV8" s="1876"/>
      <c r="OQW8" s="1876"/>
      <c r="OQX8" s="1876"/>
      <c r="OQY8" s="1876"/>
      <c r="OQZ8" s="1876"/>
      <c r="ORA8" s="1876"/>
      <c r="ORB8" s="1876"/>
      <c r="ORC8" s="1876"/>
      <c r="ORD8" s="1876"/>
      <c r="ORE8" s="1876"/>
      <c r="ORF8" s="1876"/>
      <c r="ORG8" s="1876"/>
      <c r="ORH8" s="1876"/>
      <c r="ORI8" s="1876"/>
      <c r="ORJ8" s="1876"/>
      <c r="ORK8" s="1876"/>
      <c r="ORL8" s="1876"/>
      <c r="ORM8" s="1876"/>
      <c r="ORN8" s="1876"/>
      <c r="ORO8" s="1876"/>
      <c r="ORP8" s="1876"/>
      <c r="ORQ8" s="1876"/>
      <c r="ORR8" s="1876"/>
      <c r="ORS8" s="1876"/>
      <c r="ORT8" s="1876"/>
      <c r="ORU8" s="1876"/>
      <c r="ORV8" s="1876"/>
      <c r="ORW8" s="1876"/>
      <c r="ORX8" s="1876"/>
      <c r="ORY8" s="1876"/>
      <c r="ORZ8" s="1876"/>
      <c r="OSA8" s="1876"/>
      <c r="OSB8" s="1876"/>
      <c r="OSC8" s="1876"/>
      <c r="OSD8" s="1876"/>
      <c r="OSE8" s="1876"/>
      <c r="OSF8" s="1876"/>
      <c r="OSG8" s="1876"/>
      <c r="OSH8" s="1876"/>
      <c r="OSI8" s="1876"/>
      <c r="OSJ8" s="1876"/>
      <c r="OSK8" s="1876"/>
      <c r="OSL8" s="1876"/>
      <c r="OSM8" s="1876"/>
      <c r="OSN8" s="1876"/>
      <c r="OSO8" s="1876"/>
      <c r="OSP8" s="1876"/>
      <c r="OSQ8" s="1876"/>
      <c r="OSR8" s="1876"/>
      <c r="OSS8" s="1876"/>
      <c r="OST8" s="1876"/>
      <c r="OSU8" s="1876"/>
      <c r="OSV8" s="1876"/>
      <c r="OSW8" s="1876"/>
      <c r="OSX8" s="1876"/>
      <c r="OSY8" s="1876"/>
      <c r="OSZ8" s="1876"/>
      <c r="OTA8" s="1876"/>
      <c r="OTB8" s="1876"/>
      <c r="OTC8" s="1876"/>
      <c r="OTD8" s="1876"/>
      <c r="OTE8" s="1876"/>
      <c r="OTF8" s="1876"/>
      <c r="OTG8" s="1876"/>
      <c r="OTH8" s="1876"/>
      <c r="OTI8" s="1876"/>
      <c r="OTJ8" s="1876"/>
      <c r="OTK8" s="1876"/>
      <c r="OTL8" s="1876"/>
      <c r="OTM8" s="1876"/>
      <c r="OTN8" s="1876"/>
      <c r="OTO8" s="1876"/>
      <c r="OTP8" s="1876"/>
      <c r="OTQ8" s="1876"/>
      <c r="OTR8" s="1876"/>
      <c r="OTS8" s="1876"/>
      <c r="OTT8" s="1876"/>
      <c r="OTU8" s="1876"/>
      <c r="OTV8" s="1876"/>
      <c r="OTW8" s="1876"/>
      <c r="OTX8" s="1876"/>
      <c r="OTY8" s="1876"/>
      <c r="OTZ8" s="1876"/>
      <c r="OUA8" s="1876"/>
      <c r="OUB8" s="1876"/>
      <c r="OUC8" s="1876"/>
      <c r="OUD8" s="1876"/>
      <c r="OUE8" s="1876"/>
      <c r="OUF8" s="1876"/>
      <c r="OUG8" s="1876"/>
      <c r="OUH8" s="1876"/>
      <c r="OUI8" s="1876"/>
      <c r="OUJ8" s="1876"/>
      <c r="OUK8" s="1876"/>
      <c r="OUL8" s="1876"/>
      <c r="OUM8" s="1876"/>
      <c r="OUN8" s="1876"/>
      <c r="OUO8" s="1876"/>
      <c r="OUP8" s="1876"/>
      <c r="OUQ8" s="1876"/>
      <c r="OUR8" s="1876"/>
      <c r="OUS8" s="1876"/>
      <c r="OUT8" s="1876"/>
      <c r="OUU8" s="1876"/>
      <c r="OUV8" s="1876"/>
      <c r="OUW8" s="1876"/>
      <c r="OUX8" s="1876"/>
      <c r="OUY8" s="1876"/>
      <c r="OUZ8" s="1876"/>
      <c r="OVA8" s="1876"/>
      <c r="OVB8" s="1876"/>
      <c r="OVC8" s="1876"/>
      <c r="OVD8" s="1876"/>
      <c r="OVE8" s="1876"/>
      <c r="OVF8" s="1876"/>
      <c r="OVG8" s="1876"/>
      <c r="OVH8" s="1876"/>
      <c r="OVI8" s="1876"/>
      <c r="OVJ8" s="1876"/>
      <c r="OVK8" s="1876"/>
      <c r="OVL8" s="1876"/>
      <c r="OVM8" s="1876"/>
      <c r="OVN8" s="1876"/>
      <c r="OVO8" s="1876"/>
      <c r="OVP8" s="1876"/>
      <c r="OVQ8" s="1876"/>
      <c r="OVR8" s="1876"/>
      <c r="OVS8" s="1876"/>
      <c r="OVT8" s="1876"/>
      <c r="OVU8" s="1876"/>
      <c r="OVV8" s="1876"/>
      <c r="OVW8" s="1876"/>
      <c r="OVX8" s="1876"/>
      <c r="OVY8" s="1876"/>
      <c r="OVZ8" s="1876"/>
      <c r="OWA8" s="1876"/>
      <c r="OWB8" s="1876"/>
      <c r="OWC8" s="1876"/>
      <c r="OWD8" s="1876"/>
      <c r="OWE8" s="1876"/>
      <c r="OWF8" s="1876"/>
      <c r="OWG8" s="1876"/>
      <c r="OWH8" s="1876"/>
      <c r="OWI8" s="1876"/>
      <c r="OWJ8" s="1876"/>
      <c r="OWK8" s="1876"/>
      <c r="OWL8" s="1876"/>
      <c r="OWM8" s="1876"/>
      <c r="OWN8" s="1876"/>
      <c r="OWO8" s="1876"/>
      <c r="OWP8" s="1876"/>
      <c r="OWQ8" s="1876"/>
      <c r="OWR8" s="1876"/>
      <c r="OWS8" s="1876"/>
      <c r="OWT8" s="1876"/>
      <c r="OWU8" s="1876"/>
      <c r="OWV8" s="1876"/>
      <c r="OWW8" s="1876"/>
      <c r="OWX8" s="1876"/>
      <c r="OWY8" s="1876"/>
      <c r="OWZ8" s="1876"/>
      <c r="OXA8" s="1876"/>
      <c r="OXB8" s="1876"/>
      <c r="OXC8" s="1876"/>
      <c r="OXD8" s="1876"/>
      <c r="OXE8" s="1876"/>
      <c r="OXF8" s="1876"/>
      <c r="OXG8" s="1876"/>
      <c r="OXH8" s="1876"/>
      <c r="OXI8" s="1876"/>
      <c r="OXJ8" s="1876"/>
      <c r="OXK8" s="1876"/>
      <c r="OXL8" s="1876"/>
      <c r="OXM8" s="1876"/>
      <c r="OXN8" s="1876"/>
      <c r="OXO8" s="1876"/>
      <c r="OXP8" s="1876"/>
      <c r="OXQ8" s="1876"/>
      <c r="OXR8" s="1876"/>
      <c r="OXS8" s="1876"/>
      <c r="OXT8" s="1876"/>
      <c r="OXU8" s="1876"/>
      <c r="OXV8" s="1876"/>
      <c r="OXW8" s="1876"/>
      <c r="OXX8" s="1876"/>
      <c r="OXY8" s="1876"/>
      <c r="OXZ8" s="1876"/>
      <c r="OYA8" s="1876"/>
      <c r="OYB8" s="1876"/>
      <c r="OYC8" s="1876"/>
      <c r="OYD8" s="1876"/>
      <c r="OYE8" s="1876"/>
      <c r="OYF8" s="1876"/>
      <c r="OYG8" s="1876"/>
      <c r="OYH8" s="1876"/>
      <c r="OYI8" s="1876"/>
      <c r="OYJ8" s="1876"/>
      <c r="OYK8" s="1876"/>
      <c r="OYL8" s="1876"/>
      <c r="OYM8" s="1876"/>
      <c r="OYN8" s="1876"/>
      <c r="OYO8" s="1876"/>
      <c r="OYP8" s="1876"/>
      <c r="OYQ8" s="1876"/>
      <c r="OYR8" s="1876"/>
      <c r="OYS8" s="1876"/>
      <c r="OYT8" s="1876"/>
      <c r="OYU8" s="1876"/>
      <c r="OYV8" s="1876"/>
      <c r="OYW8" s="1876"/>
      <c r="OYX8" s="1876"/>
      <c r="OYY8" s="1876"/>
      <c r="OYZ8" s="1876"/>
      <c r="OZA8" s="1876"/>
      <c r="OZB8" s="1876"/>
      <c r="OZC8" s="1876"/>
      <c r="OZD8" s="1876"/>
      <c r="OZE8" s="1876"/>
      <c r="OZF8" s="1876"/>
      <c r="OZG8" s="1876"/>
      <c r="OZH8" s="1876"/>
      <c r="OZI8" s="1876"/>
      <c r="OZJ8" s="1876"/>
      <c r="OZK8" s="1876"/>
      <c r="OZL8" s="1876"/>
      <c r="OZM8" s="1876"/>
      <c r="OZN8" s="1876"/>
      <c r="OZO8" s="1876"/>
      <c r="OZP8" s="1876"/>
      <c r="OZQ8" s="1876"/>
      <c r="OZR8" s="1876"/>
      <c r="OZS8" s="1876"/>
      <c r="OZT8" s="1876"/>
      <c r="OZU8" s="1876"/>
      <c r="OZV8" s="1876"/>
      <c r="OZW8" s="1876"/>
      <c r="OZX8" s="1876"/>
      <c r="OZY8" s="1876"/>
      <c r="OZZ8" s="1876"/>
      <c r="PAA8" s="1876"/>
      <c r="PAB8" s="1876"/>
      <c r="PAC8" s="1876"/>
      <c r="PAD8" s="1876"/>
      <c r="PAE8" s="1876"/>
      <c r="PAF8" s="1876"/>
      <c r="PAG8" s="1876"/>
      <c r="PAH8" s="1876"/>
      <c r="PAI8" s="1876"/>
      <c r="PAJ8" s="1876"/>
      <c r="PAK8" s="1876"/>
      <c r="PAL8" s="1876"/>
      <c r="PAM8" s="1876"/>
      <c r="PAN8" s="1876"/>
      <c r="PAO8" s="1876"/>
      <c r="PAP8" s="1876"/>
      <c r="PAQ8" s="1876"/>
      <c r="PAR8" s="1876"/>
      <c r="PAS8" s="1876"/>
      <c r="PAT8" s="1876"/>
      <c r="PAU8" s="1876"/>
      <c r="PAV8" s="1876"/>
      <c r="PAW8" s="1876"/>
      <c r="PAX8" s="1876"/>
      <c r="PAY8" s="1876"/>
      <c r="PAZ8" s="1876"/>
      <c r="PBA8" s="1876"/>
      <c r="PBB8" s="1876"/>
      <c r="PBC8" s="1876"/>
      <c r="PBD8" s="1876"/>
      <c r="PBE8" s="1876"/>
      <c r="PBF8" s="1876"/>
      <c r="PBG8" s="1876"/>
      <c r="PBH8" s="1876"/>
      <c r="PBI8" s="1876"/>
      <c r="PBJ8" s="1876"/>
      <c r="PBK8" s="1876"/>
      <c r="PBL8" s="1876"/>
      <c r="PBM8" s="1876"/>
      <c r="PBN8" s="1876"/>
      <c r="PBO8" s="1876"/>
      <c r="PBP8" s="1876"/>
      <c r="PBQ8" s="1876"/>
      <c r="PBR8" s="1876"/>
      <c r="PBS8" s="1876"/>
      <c r="PBT8" s="1876"/>
      <c r="PBU8" s="1876"/>
      <c r="PBV8" s="1876"/>
      <c r="PBW8" s="1876"/>
      <c r="PBX8" s="1876"/>
      <c r="PBY8" s="1876"/>
      <c r="PBZ8" s="1876"/>
      <c r="PCA8" s="1876"/>
      <c r="PCB8" s="1876"/>
      <c r="PCC8" s="1876"/>
      <c r="PCD8" s="1876"/>
      <c r="PCE8" s="1876"/>
      <c r="PCF8" s="1876"/>
      <c r="PCG8" s="1876"/>
      <c r="PCH8" s="1876"/>
      <c r="PCI8" s="1876"/>
      <c r="PCJ8" s="1876"/>
      <c r="PCK8" s="1876"/>
      <c r="PCL8" s="1876"/>
      <c r="PCM8" s="1876"/>
      <c r="PCN8" s="1876"/>
      <c r="PCO8" s="1876"/>
      <c r="PCP8" s="1876"/>
      <c r="PCQ8" s="1876"/>
      <c r="PCR8" s="1876"/>
      <c r="PCS8" s="1876"/>
      <c r="PCT8" s="1876"/>
      <c r="PCU8" s="1876"/>
      <c r="PCV8" s="1876"/>
      <c r="PCW8" s="1876"/>
      <c r="PCX8" s="1876"/>
      <c r="PCY8" s="1876"/>
      <c r="PCZ8" s="1876"/>
      <c r="PDA8" s="1876"/>
      <c r="PDB8" s="1876"/>
      <c r="PDC8" s="1876"/>
      <c r="PDD8" s="1876"/>
      <c r="PDE8" s="1876"/>
      <c r="PDF8" s="1876"/>
      <c r="PDG8" s="1876"/>
      <c r="PDH8" s="1876"/>
      <c r="PDI8" s="1876"/>
      <c r="PDJ8" s="1876"/>
      <c r="PDK8" s="1876"/>
      <c r="PDL8" s="1876"/>
      <c r="PDM8" s="1876"/>
      <c r="PDN8" s="1876"/>
      <c r="PDO8" s="1876"/>
      <c r="PDP8" s="1876"/>
      <c r="PDQ8" s="1876"/>
      <c r="PDR8" s="1876"/>
      <c r="PDS8" s="1876"/>
      <c r="PDT8" s="1876"/>
      <c r="PDU8" s="1876"/>
      <c r="PDV8" s="1876"/>
      <c r="PDW8" s="1876"/>
      <c r="PDX8" s="1876"/>
      <c r="PDY8" s="1876"/>
      <c r="PDZ8" s="1876"/>
      <c r="PEA8" s="1876"/>
      <c r="PEB8" s="1876"/>
      <c r="PEC8" s="1876"/>
      <c r="PED8" s="1876"/>
      <c r="PEE8" s="1876"/>
      <c r="PEF8" s="1876"/>
      <c r="PEG8" s="1876"/>
      <c r="PEH8" s="1876"/>
      <c r="PEI8" s="1876"/>
      <c r="PEJ8" s="1876"/>
      <c r="PEK8" s="1876"/>
      <c r="PEL8" s="1876"/>
      <c r="PEM8" s="1876"/>
      <c r="PEN8" s="1876"/>
      <c r="PEO8" s="1876"/>
      <c r="PEP8" s="1876"/>
      <c r="PEQ8" s="1876"/>
      <c r="PER8" s="1876"/>
      <c r="PES8" s="1876"/>
      <c r="PET8" s="1876"/>
      <c r="PEU8" s="1876"/>
      <c r="PEV8" s="1876"/>
      <c r="PEW8" s="1876"/>
      <c r="PEX8" s="1876"/>
      <c r="PEY8" s="1876"/>
      <c r="PEZ8" s="1876"/>
      <c r="PFA8" s="1876"/>
      <c r="PFB8" s="1876"/>
      <c r="PFC8" s="1876"/>
      <c r="PFD8" s="1876"/>
      <c r="PFE8" s="1876"/>
      <c r="PFF8" s="1876"/>
      <c r="PFG8" s="1876"/>
      <c r="PFH8" s="1876"/>
      <c r="PFI8" s="1876"/>
      <c r="PFJ8" s="1876"/>
      <c r="PFK8" s="1876"/>
      <c r="PFL8" s="1876"/>
      <c r="PFM8" s="1876"/>
      <c r="PFN8" s="1876"/>
      <c r="PFO8" s="1876"/>
      <c r="PFP8" s="1876"/>
      <c r="PFQ8" s="1876"/>
      <c r="PFR8" s="1876"/>
      <c r="PFS8" s="1876"/>
      <c r="PFT8" s="1876"/>
      <c r="PFU8" s="1876"/>
      <c r="PFV8" s="1876"/>
      <c r="PFW8" s="1876"/>
      <c r="PFX8" s="1876"/>
      <c r="PFY8" s="1876"/>
      <c r="PFZ8" s="1876"/>
      <c r="PGA8" s="1876"/>
      <c r="PGB8" s="1876"/>
      <c r="PGC8" s="1876"/>
      <c r="PGD8" s="1876"/>
      <c r="PGE8" s="1876"/>
      <c r="PGF8" s="1876"/>
      <c r="PGG8" s="1876"/>
      <c r="PGH8" s="1876"/>
      <c r="PGI8" s="1876"/>
      <c r="PGJ8" s="1876"/>
      <c r="PGK8" s="1876"/>
      <c r="PGL8" s="1876"/>
      <c r="PGM8" s="1876"/>
      <c r="PGN8" s="1876"/>
      <c r="PGO8" s="1876"/>
      <c r="PGP8" s="1876"/>
      <c r="PGQ8" s="1876"/>
      <c r="PGR8" s="1876"/>
      <c r="PGS8" s="1876"/>
      <c r="PGT8" s="1876"/>
      <c r="PGU8" s="1876"/>
      <c r="PGV8" s="1876"/>
      <c r="PGW8" s="1876"/>
      <c r="PGX8" s="1876"/>
      <c r="PGY8" s="1876"/>
      <c r="PGZ8" s="1876"/>
      <c r="PHA8" s="1876"/>
      <c r="PHB8" s="1876"/>
      <c r="PHC8" s="1876"/>
      <c r="PHD8" s="1876"/>
      <c r="PHE8" s="1876"/>
      <c r="PHF8" s="1876"/>
      <c r="PHG8" s="1876"/>
      <c r="PHH8" s="1876"/>
      <c r="PHI8" s="1876"/>
      <c r="PHJ8" s="1876"/>
      <c r="PHK8" s="1876"/>
      <c r="PHL8" s="1876"/>
      <c r="PHM8" s="1876"/>
      <c r="PHN8" s="1876"/>
      <c r="PHO8" s="1876"/>
      <c r="PHP8" s="1876"/>
      <c r="PHQ8" s="1876"/>
      <c r="PHR8" s="1876"/>
      <c r="PHS8" s="1876"/>
      <c r="PHT8" s="1876"/>
      <c r="PHU8" s="1876"/>
      <c r="PHV8" s="1876"/>
      <c r="PHW8" s="1876"/>
      <c r="PHX8" s="1876"/>
      <c r="PHY8" s="1876"/>
      <c r="PHZ8" s="1876"/>
      <c r="PIA8" s="1876"/>
      <c r="PIB8" s="1876"/>
      <c r="PIC8" s="1876"/>
      <c r="PID8" s="1876"/>
      <c r="PIE8" s="1876"/>
      <c r="PIF8" s="1876"/>
      <c r="PIG8" s="1876"/>
      <c r="PIH8" s="1876"/>
      <c r="PII8" s="1876"/>
      <c r="PIJ8" s="1876"/>
      <c r="PIK8" s="1876"/>
      <c r="PIL8" s="1876"/>
      <c r="PIM8" s="1876"/>
      <c r="PIN8" s="1876"/>
      <c r="PIO8" s="1876"/>
      <c r="PIP8" s="1876"/>
      <c r="PIQ8" s="1876"/>
      <c r="PIR8" s="1876"/>
      <c r="PIS8" s="1876"/>
      <c r="PIT8" s="1876"/>
      <c r="PIU8" s="1876"/>
      <c r="PIV8" s="1876"/>
      <c r="PIW8" s="1876"/>
      <c r="PIX8" s="1876"/>
      <c r="PIY8" s="1876"/>
      <c r="PIZ8" s="1876"/>
      <c r="PJA8" s="1876"/>
      <c r="PJB8" s="1876"/>
      <c r="PJC8" s="1876"/>
      <c r="PJD8" s="1876"/>
      <c r="PJE8" s="1876"/>
      <c r="PJF8" s="1876"/>
      <c r="PJG8" s="1876"/>
      <c r="PJH8" s="1876"/>
      <c r="PJI8" s="1876"/>
      <c r="PJJ8" s="1876"/>
      <c r="PJK8" s="1876"/>
      <c r="PJL8" s="1876"/>
      <c r="PJM8" s="1876"/>
      <c r="PJN8" s="1876"/>
      <c r="PJO8" s="1876"/>
      <c r="PJP8" s="1876"/>
      <c r="PJQ8" s="1876"/>
      <c r="PJR8" s="1876"/>
      <c r="PJS8" s="1876"/>
      <c r="PJT8" s="1876"/>
      <c r="PJU8" s="1876"/>
      <c r="PJV8" s="1876"/>
      <c r="PJW8" s="1876"/>
      <c r="PJX8" s="1876"/>
      <c r="PJY8" s="1876"/>
      <c r="PJZ8" s="1876"/>
      <c r="PKA8" s="1876"/>
      <c r="PKB8" s="1876"/>
      <c r="PKC8" s="1876"/>
      <c r="PKD8" s="1876"/>
      <c r="PKE8" s="1876"/>
      <c r="PKF8" s="1876"/>
      <c r="PKG8" s="1876"/>
      <c r="PKH8" s="1876"/>
      <c r="PKI8" s="1876"/>
      <c r="PKJ8" s="1876"/>
      <c r="PKK8" s="1876"/>
      <c r="PKL8" s="1876"/>
      <c r="PKM8" s="1876"/>
      <c r="PKN8" s="1876"/>
      <c r="PKO8" s="1876"/>
      <c r="PKP8" s="1876"/>
      <c r="PKQ8" s="1876"/>
      <c r="PKR8" s="1876"/>
      <c r="PKS8" s="1876"/>
      <c r="PKT8" s="1876"/>
      <c r="PKU8" s="1876"/>
      <c r="PKV8" s="1876"/>
      <c r="PKW8" s="1876"/>
      <c r="PKX8" s="1876"/>
      <c r="PKY8" s="1876"/>
      <c r="PKZ8" s="1876"/>
      <c r="PLA8" s="1876"/>
      <c r="PLB8" s="1876"/>
      <c r="PLC8" s="1876"/>
      <c r="PLD8" s="1876"/>
      <c r="PLE8" s="1876"/>
      <c r="PLF8" s="1876"/>
      <c r="PLG8" s="1876"/>
      <c r="PLH8" s="1876"/>
      <c r="PLI8" s="1876"/>
      <c r="PLJ8" s="1876"/>
      <c r="PLK8" s="1876"/>
      <c r="PLL8" s="1876"/>
      <c r="PLM8" s="1876"/>
      <c r="PLN8" s="1876"/>
      <c r="PLO8" s="1876"/>
      <c r="PLP8" s="1876"/>
      <c r="PLQ8" s="1876"/>
      <c r="PLR8" s="1876"/>
      <c r="PLS8" s="1876"/>
      <c r="PLT8" s="1876"/>
      <c r="PLU8" s="1876"/>
      <c r="PLV8" s="1876"/>
      <c r="PLW8" s="1876"/>
      <c r="PLX8" s="1876"/>
      <c r="PLY8" s="1876"/>
      <c r="PLZ8" s="1876"/>
      <c r="PMA8" s="1876"/>
      <c r="PMB8" s="1876"/>
      <c r="PMC8" s="1876"/>
      <c r="PMD8" s="1876"/>
      <c r="PME8" s="1876"/>
      <c r="PMF8" s="1876"/>
      <c r="PMG8" s="1876"/>
      <c r="PMH8" s="1876"/>
      <c r="PMI8" s="1876"/>
      <c r="PMJ8" s="1876"/>
      <c r="PMK8" s="1876"/>
      <c r="PML8" s="1876"/>
      <c r="PMM8" s="1876"/>
      <c r="PMN8" s="1876"/>
      <c r="PMO8" s="1876"/>
      <c r="PMP8" s="1876"/>
      <c r="PMQ8" s="1876"/>
      <c r="PMR8" s="1876"/>
      <c r="PMS8" s="1876"/>
      <c r="PMT8" s="1876"/>
      <c r="PMU8" s="1876"/>
      <c r="PMV8" s="1876"/>
      <c r="PMW8" s="1876"/>
      <c r="PMX8" s="1876"/>
      <c r="PMY8" s="1876"/>
      <c r="PMZ8" s="1876"/>
      <c r="PNA8" s="1876"/>
      <c r="PNB8" s="1876"/>
      <c r="PNC8" s="1876"/>
      <c r="PND8" s="1876"/>
      <c r="PNE8" s="1876"/>
      <c r="PNF8" s="1876"/>
      <c r="PNG8" s="1876"/>
      <c r="PNH8" s="1876"/>
      <c r="PNI8" s="1876"/>
      <c r="PNJ8" s="1876"/>
      <c r="PNK8" s="1876"/>
      <c r="PNL8" s="1876"/>
      <c r="PNM8" s="1876"/>
      <c r="PNN8" s="1876"/>
      <c r="PNO8" s="1876"/>
      <c r="PNP8" s="1876"/>
      <c r="PNQ8" s="1876"/>
      <c r="PNR8" s="1876"/>
      <c r="PNS8" s="1876"/>
      <c r="PNT8" s="1876"/>
      <c r="PNU8" s="1876"/>
      <c r="PNV8" s="1876"/>
      <c r="PNW8" s="1876"/>
      <c r="PNX8" s="1876"/>
      <c r="PNY8" s="1876"/>
      <c r="PNZ8" s="1876"/>
      <c r="POA8" s="1876"/>
      <c r="POB8" s="1876"/>
      <c r="POC8" s="1876"/>
      <c r="POD8" s="1876"/>
      <c r="POE8" s="1876"/>
      <c r="POF8" s="1876"/>
      <c r="POG8" s="1876"/>
      <c r="POH8" s="1876"/>
      <c r="POI8" s="1876"/>
      <c r="POJ8" s="1876"/>
      <c r="POK8" s="1876"/>
      <c r="POL8" s="1876"/>
      <c r="POM8" s="1876"/>
      <c r="PON8" s="1876"/>
      <c r="POO8" s="1876"/>
      <c r="POP8" s="1876"/>
      <c r="POQ8" s="1876"/>
      <c r="POR8" s="1876"/>
      <c r="POS8" s="1876"/>
      <c r="POT8" s="1876"/>
      <c r="POU8" s="1876"/>
      <c r="POV8" s="1876"/>
      <c r="POW8" s="1876"/>
      <c r="POX8" s="1876"/>
      <c r="POY8" s="1876"/>
      <c r="POZ8" s="1876"/>
      <c r="PPA8" s="1876"/>
      <c r="PPB8" s="1876"/>
      <c r="PPC8" s="1876"/>
      <c r="PPD8" s="1876"/>
      <c r="PPE8" s="1876"/>
      <c r="PPF8" s="1876"/>
      <c r="PPG8" s="1876"/>
      <c r="PPH8" s="1876"/>
      <c r="PPI8" s="1876"/>
      <c r="PPJ8" s="1876"/>
      <c r="PPK8" s="1876"/>
      <c r="PPL8" s="1876"/>
      <c r="PPM8" s="1876"/>
      <c r="PPN8" s="1876"/>
      <c r="PPO8" s="1876"/>
      <c r="PPP8" s="1876"/>
      <c r="PPQ8" s="1876"/>
      <c r="PPR8" s="1876"/>
      <c r="PPS8" s="1876"/>
      <c r="PPT8" s="1876"/>
      <c r="PPU8" s="1876"/>
      <c r="PPV8" s="1876"/>
      <c r="PPW8" s="1876"/>
      <c r="PPX8" s="1876"/>
      <c r="PPY8" s="1876"/>
      <c r="PPZ8" s="1876"/>
      <c r="PQA8" s="1876"/>
      <c r="PQB8" s="1876"/>
      <c r="PQC8" s="1876"/>
      <c r="PQD8" s="1876"/>
      <c r="PQE8" s="1876"/>
      <c r="PQF8" s="1876"/>
      <c r="PQG8" s="1876"/>
      <c r="PQH8" s="1876"/>
      <c r="PQI8" s="1876"/>
      <c r="PQJ8" s="1876"/>
      <c r="PQK8" s="1876"/>
      <c r="PQL8" s="1876"/>
      <c r="PQM8" s="1876"/>
      <c r="PQN8" s="1876"/>
      <c r="PQO8" s="1876"/>
      <c r="PQP8" s="1876"/>
      <c r="PQQ8" s="1876"/>
      <c r="PQR8" s="1876"/>
      <c r="PQS8" s="1876"/>
      <c r="PQT8" s="1876"/>
      <c r="PQU8" s="1876"/>
      <c r="PQV8" s="1876"/>
      <c r="PQW8" s="1876"/>
      <c r="PQX8" s="1876"/>
      <c r="PQY8" s="1876"/>
      <c r="PQZ8" s="1876"/>
      <c r="PRA8" s="1876"/>
      <c r="PRB8" s="1876"/>
      <c r="PRC8" s="1876"/>
      <c r="PRD8" s="1876"/>
      <c r="PRE8" s="1876"/>
      <c r="PRF8" s="1876"/>
      <c r="PRG8" s="1876"/>
      <c r="PRH8" s="1876"/>
      <c r="PRI8" s="1876"/>
      <c r="PRJ8" s="1876"/>
      <c r="PRK8" s="1876"/>
      <c r="PRL8" s="1876"/>
      <c r="PRM8" s="1876"/>
      <c r="PRN8" s="1876"/>
      <c r="PRO8" s="1876"/>
      <c r="PRP8" s="1876"/>
      <c r="PRQ8" s="1876"/>
      <c r="PRR8" s="1876"/>
      <c r="PRS8" s="1876"/>
      <c r="PRT8" s="1876"/>
      <c r="PRU8" s="1876"/>
      <c r="PRV8" s="1876"/>
      <c r="PRW8" s="1876"/>
      <c r="PRX8" s="1876"/>
      <c r="PRY8" s="1876"/>
      <c r="PRZ8" s="1876"/>
      <c r="PSA8" s="1876"/>
      <c r="PSB8" s="1876"/>
      <c r="PSC8" s="1876"/>
      <c r="PSD8" s="1876"/>
      <c r="PSE8" s="1876"/>
      <c r="PSF8" s="1876"/>
      <c r="PSG8" s="1876"/>
      <c r="PSH8" s="1876"/>
      <c r="PSI8" s="1876"/>
      <c r="PSJ8" s="1876"/>
      <c r="PSK8" s="1876"/>
      <c r="PSL8" s="1876"/>
      <c r="PSM8" s="1876"/>
      <c r="PSN8" s="1876"/>
      <c r="PSO8" s="1876"/>
      <c r="PSP8" s="1876"/>
      <c r="PSQ8" s="1876"/>
      <c r="PSR8" s="1876"/>
      <c r="PSS8" s="1876"/>
      <c r="PST8" s="1876"/>
      <c r="PSU8" s="1876"/>
      <c r="PSV8" s="1876"/>
      <c r="PSW8" s="1876"/>
      <c r="PSX8" s="1876"/>
      <c r="PSY8" s="1876"/>
      <c r="PSZ8" s="1876"/>
      <c r="PTA8" s="1876"/>
      <c r="PTB8" s="1876"/>
      <c r="PTC8" s="1876"/>
      <c r="PTD8" s="1876"/>
      <c r="PTE8" s="1876"/>
      <c r="PTF8" s="1876"/>
      <c r="PTG8" s="1876"/>
      <c r="PTH8" s="1876"/>
      <c r="PTI8" s="1876"/>
      <c r="PTJ8" s="1876"/>
      <c r="PTK8" s="1876"/>
      <c r="PTL8" s="1876"/>
      <c r="PTM8" s="1876"/>
      <c r="PTN8" s="1876"/>
      <c r="PTO8" s="1876"/>
      <c r="PTP8" s="1876"/>
      <c r="PTQ8" s="1876"/>
      <c r="PTR8" s="1876"/>
      <c r="PTS8" s="1876"/>
      <c r="PTT8" s="1876"/>
      <c r="PTU8" s="1876"/>
      <c r="PTV8" s="1876"/>
      <c r="PTW8" s="1876"/>
      <c r="PTX8" s="1876"/>
      <c r="PTY8" s="1876"/>
      <c r="PTZ8" s="1876"/>
      <c r="PUA8" s="1876"/>
      <c r="PUB8" s="1876"/>
      <c r="PUC8" s="1876"/>
      <c r="PUD8" s="1876"/>
      <c r="PUE8" s="1876"/>
      <c r="PUF8" s="1876"/>
      <c r="PUG8" s="1876"/>
      <c r="PUH8" s="1876"/>
      <c r="PUI8" s="1876"/>
      <c r="PUJ8" s="1876"/>
      <c r="PUK8" s="1876"/>
      <c r="PUL8" s="1876"/>
      <c r="PUM8" s="1876"/>
      <c r="PUN8" s="1876"/>
      <c r="PUO8" s="1876"/>
      <c r="PUP8" s="1876"/>
      <c r="PUQ8" s="1876"/>
      <c r="PUR8" s="1876"/>
      <c r="PUS8" s="1876"/>
      <c r="PUT8" s="1876"/>
      <c r="PUU8" s="1876"/>
      <c r="PUV8" s="1876"/>
      <c r="PUW8" s="1876"/>
      <c r="PUX8" s="1876"/>
      <c r="PUY8" s="1876"/>
      <c r="PUZ8" s="1876"/>
      <c r="PVA8" s="1876"/>
      <c r="PVB8" s="1876"/>
      <c r="PVC8" s="1876"/>
      <c r="PVD8" s="1876"/>
      <c r="PVE8" s="1876"/>
      <c r="PVF8" s="1876"/>
      <c r="PVG8" s="1876"/>
      <c r="PVH8" s="1876"/>
      <c r="PVI8" s="1876"/>
      <c r="PVJ8" s="1876"/>
      <c r="PVK8" s="1876"/>
      <c r="PVL8" s="1876"/>
      <c r="PVM8" s="1876"/>
      <c r="PVN8" s="1876"/>
      <c r="PVO8" s="1876"/>
      <c r="PVP8" s="1876"/>
      <c r="PVQ8" s="1876"/>
      <c r="PVR8" s="1876"/>
      <c r="PVS8" s="1876"/>
      <c r="PVT8" s="1876"/>
      <c r="PVU8" s="1876"/>
      <c r="PVV8" s="1876"/>
      <c r="PVW8" s="1876"/>
      <c r="PVX8" s="1876"/>
      <c r="PVY8" s="1876"/>
      <c r="PVZ8" s="1876"/>
      <c r="PWA8" s="1876"/>
      <c r="PWB8" s="1876"/>
      <c r="PWC8" s="1876"/>
      <c r="PWD8" s="1876"/>
      <c r="PWE8" s="1876"/>
      <c r="PWF8" s="1876"/>
      <c r="PWG8" s="1876"/>
      <c r="PWH8" s="1876"/>
      <c r="PWI8" s="1876"/>
      <c r="PWJ8" s="1876"/>
      <c r="PWK8" s="1876"/>
      <c r="PWL8" s="1876"/>
      <c r="PWM8" s="1876"/>
      <c r="PWN8" s="1876"/>
      <c r="PWO8" s="1876"/>
      <c r="PWP8" s="1876"/>
      <c r="PWQ8" s="1876"/>
      <c r="PWR8" s="1876"/>
      <c r="PWS8" s="1876"/>
      <c r="PWT8" s="1876"/>
      <c r="PWU8" s="1876"/>
      <c r="PWV8" s="1876"/>
      <c r="PWW8" s="1876"/>
      <c r="PWX8" s="1876"/>
      <c r="PWY8" s="1876"/>
      <c r="PWZ8" s="1876"/>
      <c r="PXA8" s="1876"/>
      <c r="PXB8" s="1876"/>
      <c r="PXC8" s="1876"/>
      <c r="PXD8" s="1876"/>
      <c r="PXE8" s="1876"/>
      <c r="PXF8" s="1876"/>
      <c r="PXG8" s="1876"/>
      <c r="PXH8" s="1876"/>
      <c r="PXI8" s="1876"/>
      <c r="PXJ8" s="1876"/>
      <c r="PXK8" s="1876"/>
      <c r="PXL8" s="1876"/>
      <c r="PXM8" s="1876"/>
      <c r="PXN8" s="1876"/>
      <c r="PXO8" s="1876"/>
      <c r="PXP8" s="1876"/>
      <c r="PXQ8" s="1876"/>
      <c r="PXR8" s="1876"/>
      <c r="PXS8" s="1876"/>
      <c r="PXT8" s="1876"/>
      <c r="PXU8" s="1876"/>
      <c r="PXV8" s="1876"/>
      <c r="PXW8" s="1876"/>
      <c r="PXX8" s="1876"/>
      <c r="PXY8" s="1876"/>
      <c r="PXZ8" s="1876"/>
      <c r="PYA8" s="1876"/>
      <c r="PYB8" s="1876"/>
      <c r="PYC8" s="1876"/>
      <c r="PYD8" s="1876"/>
      <c r="PYE8" s="1876"/>
      <c r="PYF8" s="1876"/>
      <c r="PYG8" s="1876"/>
      <c r="PYH8" s="1876"/>
      <c r="PYI8" s="1876"/>
      <c r="PYJ8" s="1876"/>
      <c r="PYK8" s="1876"/>
      <c r="PYL8" s="1876"/>
      <c r="PYM8" s="1876"/>
      <c r="PYN8" s="1876"/>
      <c r="PYO8" s="1876"/>
      <c r="PYP8" s="1876"/>
      <c r="PYQ8" s="1876"/>
      <c r="PYR8" s="1876"/>
      <c r="PYS8" s="1876"/>
      <c r="PYT8" s="1876"/>
      <c r="PYU8" s="1876"/>
      <c r="PYV8" s="1876"/>
      <c r="PYW8" s="1876"/>
      <c r="PYX8" s="1876"/>
      <c r="PYY8" s="1876"/>
      <c r="PYZ8" s="1876"/>
      <c r="PZA8" s="1876"/>
      <c r="PZB8" s="1876"/>
      <c r="PZC8" s="1876"/>
      <c r="PZD8" s="1876"/>
      <c r="PZE8" s="1876"/>
      <c r="PZF8" s="1876"/>
      <c r="PZG8" s="1876"/>
      <c r="PZH8" s="1876"/>
      <c r="PZI8" s="1876"/>
      <c r="PZJ8" s="1876"/>
      <c r="PZK8" s="1876"/>
      <c r="PZL8" s="1876"/>
      <c r="PZM8" s="1876"/>
      <c r="PZN8" s="1876"/>
      <c r="PZO8" s="1876"/>
      <c r="PZP8" s="1876"/>
      <c r="PZQ8" s="1876"/>
      <c r="PZR8" s="1876"/>
      <c r="PZS8" s="1876"/>
      <c r="PZT8" s="1876"/>
      <c r="PZU8" s="1876"/>
      <c r="PZV8" s="1876"/>
      <c r="PZW8" s="1876"/>
      <c r="PZX8" s="1876"/>
      <c r="PZY8" s="1876"/>
      <c r="PZZ8" s="1876"/>
      <c r="QAA8" s="1876"/>
      <c r="QAB8" s="1876"/>
      <c r="QAC8" s="1876"/>
      <c r="QAD8" s="1876"/>
      <c r="QAE8" s="1876"/>
      <c r="QAF8" s="1876"/>
      <c r="QAG8" s="1876"/>
      <c r="QAH8" s="1876"/>
      <c r="QAI8" s="1876"/>
      <c r="QAJ8" s="1876"/>
      <c r="QAK8" s="1876"/>
      <c r="QAL8" s="1876"/>
      <c r="QAM8" s="1876"/>
      <c r="QAN8" s="1876"/>
      <c r="QAO8" s="1876"/>
      <c r="QAP8" s="1876"/>
      <c r="QAQ8" s="1876"/>
      <c r="QAR8" s="1876"/>
      <c r="QAS8" s="1876"/>
      <c r="QAT8" s="1876"/>
      <c r="QAU8" s="1876"/>
      <c r="QAV8" s="1876"/>
      <c r="QAW8" s="1876"/>
      <c r="QAX8" s="1876"/>
      <c r="QAY8" s="1876"/>
      <c r="QAZ8" s="1876"/>
      <c r="QBA8" s="1876"/>
      <c r="QBB8" s="1876"/>
      <c r="QBC8" s="1876"/>
      <c r="QBD8" s="1876"/>
      <c r="QBE8" s="1876"/>
      <c r="QBF8" s="1876"/>
      <c r="QBG8" s="1876"/>
      <c r="QBH8" s="1876"/>
      <c r="QBI8" s="1876"/>
      <c r="QBJ8" s="1876"/>
      <c r="QBK8" s="1876"/>
      <c r="QBL8" s="1876"/>
      <c r="QBM8" s="1876"/>
      <c r="QBN8" s="1876"/>
      <c r="QBO8" s="1876"/>
      <c r="QBP8" s="1876"/>
      <c r="QBQ8" s="1876"/>
      <c r="QBR8" s="1876"/>
      <c r="QBS8" s="1876"/>
      <c r="QBT8" s="1876"/>
      <c r="QBU8" s="1876"/>
      <c r="QBV8" s="1876"/>
      <c r="QBW8" s="1876"/>
      <c r="QBX8" s="1876"/>
      <c r="QBY8" s="1876"/>
      <c r="QBZ8" s="1876"/>
      <c r="QCA8" s="1876"/>
      <c r="QCB8" s="1876"/>
      <c r="QCC8" s="1876"/>
      <c r="QCD8" s="1876"/>
      <c r="QCE8" s="1876"/>
      <c r="QCF8" s="1876"/>
      <c r="QCG8" s="1876"/>
      <c r="QCH8" s="1876"/>
      <c r="QCI8" s="1876"/>
      <c r="QCJ8" s="1876"/>
      <c r="QCK8" s="1876"/>
      <c r="QCL8" s="1876"/>
      <c r="QCM8" s="1876"/>
      <c r="QCN8" s="1876"/>
      <c r="QCO8" s="1876"/>
      <c r="QCP8" s="1876"/>
      <c r="QCQ8" s="1876"/>
      <c r="QCR8" s="1876"/>
      <c r="QCS8" s="1876"/>
      <c r="QCT8" s="1876"/>
      <c r="QCU8" s="1876"/>
      <c r="QCV8" s="1876"/>
      <c r="QCW8" s="1876"/>
      <c r="QCX8" s="1876"/>
      <c r="QCY8" s="1876"/>
      <c r="QCZ8" s="1876"/>
      <c r="QDA8" s="1876"/>
      <c r="QDB8" s="1876"/>
      <c r="QDC8" s="1876"/>
      <c r="QDD8" s="1876"/>
      <c r="QDE8" s="1876"/>
      <c r="QDF8" s="1876"/>
      <c r="QDG8" s="1876"/>
      <c r="QDH8" s="1876"/>
      <c r="QDI8" s="1876"/>
      <c r="QDJ8" s="1876"/>
      <c r="QDK8" s="1876"/>
      <c r="QDL8" s="1876"/>
      <c r="QDM8" s="1876"/>
      <c r="QDN8" s="1876"/>
      <c r="QDO8" s="1876"/>
      <c r="QDP8" s="1876"/>
      <c r="QDQ8" s="1876"/>
      <c r="QDR8" s="1876"/>
      <c r="QDS8" s="1876"/>
      <c r="QDT8" s="1876"/>
      <c r="QDU8" s="1876"/>
      <c r="QDV8" s="1876"/>
      <c r="QDW8" s="1876"/>
      <c r="QDX8" s="1876"/>
      <c r="QDY8" s="1876"/>
      <c r="QDZ8" s="1876"/>
      <c r="QEA8" s="1876"/>
      <c r="QEB8" s="1876"/>
      <c r="QEC8" s="1876"/>
      <c r="QED8" s="1876"/>
      <c r="QEE8" s="1876"/>
      <c r="QEF8" s="1876"/>
      <c r="QEG8" s="1876"/>
      <c r="QEH8" s="1876"/>
      <c r="QEI8" s="1876"/>
      <c r="QEJ8" s="1876"/>
      <c r="QEK8" s="1876"/>
      <c r="QEL8" s="1876"/>
      <c r="QEM8" s="1876"/>
      <c r="QEN8" s="1876"/>
      <c r="QEO8" s="1876"/>
      <c r="QEP8" s="1876"/>
      <c r="QEQ8" s="1876"/>
      <c r="QER8" s="1876"/>
      <c r="QES8" s="1876"/>
      <c r="QET8" s="1876"/>
      <c r="QEU8" s="1876"/>
      <c r="QEV8" s="1876"/>
      <c r="QEW8" s="1876"/>
      <c r="QEX8" s="1876"/>
      <c r="QEY8" s="1876"/>
      <c r="QEZ8" s="1876"/>
      <c r="QFA8" s="1876"/>
      <c r="QFB8" s="1876"/>
      <c r="QFC8" s="1876"/>
      <c r="QFD8" s="1876"/>
      <c r="QFE8" s="1876"/>
      <c r="QFF8" s="1876"/>
      <c r="QFG8" s="1876"/>
      <c r="QFH8" s="1876"/>
      <c r="QFI8" s="1876"/>
      <c r="QFJ8" s="1876"/>
      <c r="QFK8" s="1876"/>
      <c r="QFL8" s="1876"/>
      <c r="QFM8" s="1876"/>
      <c r="QFN8" s="1876"/>
      <c r="QFO8" s="1876"/>
      <c r="QFP8" s="1876"/>
      <c r="QFQ8" s="1876"/>
      <c r="QFR8" s="1876"/>
      <c r="QFS8" s="1876"/>
      <c r="QFT8" s="1876"/>
      <c r="QFU8" s="1876"/>
      <c r="QFV8" s="1876"/>
      <c r="QFW8" s="1876"/>
      <c r="QFX8" s="1876"/>
      <c r="QFY8" s="1876"/>
      <c r="QFZ8" s="1876"/>
      <c r="QGA8" s="1876"/>
      <c r="QGB8" s="1876"/>
      <c r="QGC8" s="1876"/>
      <c r="QGD8" s="1876"/>
      <c r="QGE8" s="1876"/>
      <c r="QGF8" s="1876"/>
      <c r="QGG8" s="1876"/>
      <c r="QGH8" s="1876"/>
      <c r="QGI8" s="1876"/>
      <c r="QGJ8" s="1876"/>
      <c r="QGK8" s="1876"/>
      <c r="QGL8" s="1876"/>
      <c r="QGM8" s="1876"/>
      <c r="QGN8" s="1876"/>
      <c r="QGO8" s="1876"/>
      <c r="QGP8" s="1876"/>
      <c r="QGQ8" s="1876"/>
      <c r="QGR8" s="1876"/>
      <c r="QGS8" s="1876"/>
      <c r="QGT8" s="1876"/>
      <c r="QGU8" s="1876"/>
      <c r="QGV8" s="1876"/>
      <c r="QGW8" s="1876"/>
      <c r="QGX8" s="1876"/>
      <c r="QGY8" s="1876"/>
      <c r="QGZ8" s="1876"/>
      <c r="QHA8" s="1876"/>
      <c r="QHB8" s="1876"/>
      <c r="QHC8" s="1876"/>
      <c r="QHD8" s="1876"/>
      <c r="QHE8" s="1876"/>
      <c r="QHF8" s="1876"/>
      <c r="QHG8" s="1876"/>
      <c r="QHH8" s="1876"/>
      <c r="QHI8" s="1876"/>
      <c r="QHJ8" s="1876"/>
      <c r="QHK8" s="1876"/>
      <c r="QHL8" s="1876"/>
      <c r="QHM8" s="1876"/>
      <c r="QHN8" s="1876"/>
      <c r="QHO8" s="1876"/>
      <c r="QHP8" s="1876"/>
      <c r="QHQ8" s="1876"/>
      <c r="QHR8" s="1876"/>
      <c r="QHS8" s="1876"/>
      <c r="QHT8" s="1876"/>
      <c r="QHU8" s="1876"/>
      <c r="QHV8" s="1876"/>
      <c r="QHW8" s="1876"/>
      <c r="QHX8" s="1876"/>
      <c r="QHY8" s="1876"/>
      <c r="QHZ8" s="1876"/>
      <c r="QIA8" s="1876"/>
      <c r="QIB8" s="1876"/>
      <c r="QIC8" s="1876"/>
      <c r="QID8" s="1876"/>
      <c r="QIE8" s="1876"/>
      <c r="QIF8" s="1876"/>
      <c r="QIG8" s="1876"/>
      <c r="QIH8" s="1876"/>
      <c r="QII8" s="1876"/>
      <c r="QIJ8" s="1876"/>
      <c r="QIK8" s="1876"/>
      <c r="QIL8" s="1876"/>
      <c r="QIM8" s="1876"/>
      <c r="QIN8" s="1876"/>
      <c r="QIO8" s="1876"/>
      <c r="QIP8" s="1876"/>
      <c r="QIQ8" s="1876"/>
      <c r="QIR8" s="1876"/>
      <c r="QIS8" s="1876"/>
      <c r="QIT8" s="1876"/>
      <c r="QIU8" s="1876"/>
      <c r="QIV8" s="1876"/>
      <c r="QIW8" s="1876"/>
      <c r="QIX8" s="1876"/>
      <c r="QIY8" s="1876"/>
      <c r="QIZ8" s="1876"/>
      <c r="QJA8" s="1876"/>
      <c r="QJB8" s="1876"/>
      <c r="QJC8" s="1876"/>
      <c r="QJD8" s="1876"/>
      <c r="QJE8" s="1876"/>
      <c r="QJF8" s="1876"/>
      <c r="QJG8" s="1876"/>
      <c r="QJH8" s="1876"/>
      <c r="QJI8" s="1876"/>
      <c r="QJJ8" s="1876"/>
      <c r="QJK8" s="1876"/>
      <c r="QJL8" s="1876"/>
      <c r="QJM8" s="1876"/>
      <c r="QJN8" s="1876"/>
      <c r="QJO8" s="1876"/>
      <c r="QJP8" s="1876"/>
      <c r="QJQ8" s="1876"/>
      <c r="QJR8" s="1876"/>
      <c r="QJS8" s="1876"/>
      <c r="QJT8" s="1876"/>
      <c r="QJU8" s="1876"/>
      <c r="QJV8" s="1876"/>
      <c r="QJW8" s="1876"/>
      <c r="QJX8" s="1876"/>
      <c r="QJY8" s="1876"/>
      <c r="QJZ8" s="1876"/>
      <c r="QKA8" s="1876"/>
      <c r="QKB8" s="1876"/>
      <c r="QKC8" s="1876"/>
      <c r="QKD8" s="1876"/>
      <c r="QKE8" s="1876"/>
      <c r="QKF8" s="1876"/>
      <c r="QKG8" s="1876"/>
      <c r="QKH8" s="1876"/>
      <c r="QKI8" s="1876"/>
      <c r="QKJ8" s="1876"/>
      <c r="QKK8" s="1876"/>
      <c r="QKL8" s="1876"/>
      <c r="QKM8" s="1876"/>
      <c r="QKN8" s="1876"/>
      <c r="QKO8" s="1876"/>
      <c r="QKP8" s="1876"/>
      <c r="QKQ8" s="1876"/>
      <c r="QKR8" s="1876"/>
      <c r="QKS8" s="1876"/>
      <c r="QKT8" s="1876"/>
      <c r="QKU8" s="1876"/>
      <c r="QKV8" s="1876"/>
      <c r="QKW8" s="1876"/>
      <c r="QKX8" s="1876"/>
      <c r="QKY8" s="1876"/>
      <c r="QKZ8" s="1876"/>
      <c r="QLA8" s="1876"/>
      <c r="QLB8" s="1876"/>
      <c r="QLC8" s="1876"/>
      <c r="QLD8" s="1876"/>
      <c r="QLE8" s="1876"/>
      <c r="QLF8" s="1876"/>
      <c r="QLG8" s="1876"/>
      <c r="QLH8" s="1876"/>
      <c r="QLI8" s="1876"/>
      <c r="QLJ8" s="1876"/>
      <c r="QLK8" s="1876"/>
      <c r="QLL8" s="1876"/>
      <c r="QLM8" s="1876"/>
      <c r="QLN8" s="1876"/>
      <c r="QLO8" s="1876"/>
      <c r="QLP8" s="1876"/>
      <c r="QLQ8" s="1876"/>
      <c r="QLR8" s="1876"/>
      <c r="QLS8" s="1876"/>
      <c r="QLT8" s="1876"/>
      <c r="QLU8" s="1876"/>
      <c r="QLV8" s="1876"/>
      <c r="QLW8" s="1876"/>
      <c r="QLX8" s="1876"/>
      <c r="QLY8" s="1876"/>
      <c r="QLZ8" s="1876"/>
      <c r="QMA8" s="1876"/>
      <c r="QMB8" s="1876"/>
      <c r="QMC8" s="1876"/>
      <c r="QMD8" s="1876"/>
      <c r="QME8" s="1876"/>
      <c r="QMF8" s="1876"/>
      <c r="QMG8" s="1876"/>
      <c r="QMH8" s="1876"/>
      <c r="QMI8" s="1876"/>
      <c r="QMJ8" s="1876"/>
      <c r="QMK8" s="1876"/>
      <c r="QML8" s="1876"/>
      <c r="QMM8" s="1876"/>
      <c r="QMN8" s="1876"/>
      <c r="QMO8" s="1876"/>
      <c r="QMP8" s="1876"/>
      <c r="QMQ8" s="1876"/>
      <c r="QMR8" s="1876"/>
      <c r="QMS8" s="1876"/>
      <c r="QMT8" s="1876"/>
      <c r="QMU8" s="1876"/>
      <c r="QMV8" s="1876"/>
      <c r="QMW8" s="1876"/>
      <c r="QMX8" s="1876"/>
      <c r="QMY8" s="1876"/>
      <c r="QMZ8" s="1876"/>
      <c r="QNA8" s="1876"/>
      <c r="QNB8" s="1876"/>
      <c r="QNC8" s="1876"/>
      <c r="QND8" s="1876"/>
      <c r="QNE8" s="1876"/>
      <c r="QNF8" s="1876"/>
      <c r="QNG8" s="1876"/>
      <c r="QNH8" s="1876"/>
      <c r="QNI8" s="1876"/>
      <c r="QNJ8" s="1876"/>
      <c r="QNK8" s="1876"/>
      <c r="QNL8" s="1876"/>
      <c r="QNM8" s="1876"/>
      <c r="QNN8" s="1876"/>
      <c r="QNO8" s="1876"/>
      <c r="QNP8" s="1876"/>
      <c r="QNQ8" s="1876"/>
      <c r="QNR8" s="1876"/>
      <c r="QNS8" s="1876"/>
      <c r="QNT8" s="1876"/>
      <c r="QNU8" s="1876"/>
      <c r="QNV8" s="1876"/>
      <c r="QNW8" s="1876"/>
      <c r="QNX8" s="1876"/>
      <c r="QNY8" s="1876"/>
      <c r="QNZ8" s="1876"/>
      <c r="QOA8" s="1876"/>
      <c r="QOB8" s="1876"/>
      <c r="QOC8" s="1876"/>
      <c r="QOD8" s="1876"/>
      <c r="QOE8" s="1876"/>
      <c r="QOF8" s="1876"/>
      <c r="QOG8" s="1876"/>
      <c r="QOH8" s="1876"/>
      <c r="QOI8" s="1876"/>
      <c r="QOJ8" s="1876"/>
      <c r="QOK8" s="1876"/>
      <c r="QOL8" s="1876"/>
      <c r="QOM8" s="1876"/>
      <c r="QON8" s="1876"/>
      <c r="QOO8" s="1876"/>
      <c r="QOP8" s="1876"/>
      <c r="QOQ8" s="1876"/>
      <c r="QOR8" s="1876"/>
      <c r="QOS8" s="1876"/>
      <c r="QOT8" s="1876"/>
      <c r="QOU8" s="1876"/>
      <c r="QOV8" s="1876"/>
      <c r="QOW8" s="1876"/>
      <c r="QOX8" s="1876"/>
      <c r="QOY8" s="1876"/>
      <c r="QOZ8" s="1876"/>
      <c r="QPA8" s="1876"/>
      <c r="QPB8" s="1876"/>
      <c r="QPC8" s="1876"/>
      <c r="QPD8" s="1876"/>
      <c r="QPE8" s="1876"/>
      <c r="QPF8" s="1876"/>
      <c r="QPG8" s="1876"/>
      <c r="QPH8" s="1876"/>
      <c r="QPI8" s="1876"/>
      <c r="QPJ8" s="1876"/>
      <c r="QPK8" s="1876"/>
      <c r="QPL8" s="1876"/>
      <c r="QPM8" s="1876"/>
      <c r="QPN8" s="1876"/>
      <c r="QPO8" s="1876"/>
      <c r="QPP8" s="1876"/>
      <c r="QPQ8" s="1876"/>
      <c r="QPR8" s="1876"/>
      <c r="QPS8" s="1876"/>
      <c r="QPT8" s="1876"/>
      <c r="QPU8" s="1876"/>
      <c r="QPV8" s="1876"/>
      <c r="QPW8" s="1876"/>
      <c r="QPX8" s="1876"/>
      <c r="QPY8" s="1876"/>
      <c r="QPZ8" s="1876"/>
      <c r="QQA8" s="1876"/>
      <c r="QQB8" s="1876"/>
      <c r="QQC8" s="1876"/>
      <c r="QQD8" s="1876"/>
      <c r="QQE8" s="1876"/>
      <c r="QQF8" s="1876"/>
      <c r="QQG8" s="1876"/>
      <c r="QQH8" s="1876"/>
      <c r="QQI8" s="1876"/>
      <c r="QQJ8" s="1876"/>
      <c r="QQK8" s="1876"/>
      <c r="QQL8" s="1876"/>
      <c r="QQM8" s="1876"/>
      <c r="QQN8" s="1876"/>
      <c r="QQO8" s="1876"/>
      <c r="QQP8" s="1876"/>
      <c r="QQQ8" s="1876"/>
      <c r="QQR8" s="1876"/>
      <c r="QQS8" s="1876"/>
      <c r="QQT8" s="1876"/>
      <c r="QQU8" s="1876"/>
      <c r="QQV8" s="1876"/>
      <c r="QQW8" s="1876"/>
      <c r="QQX8" s="1876"/>
      <c r="QQY8" s="1876"/>
      <c r="QQZ8" s="1876"/>
      <c r="QRA8" s="1876"/>
      <c r="QRB8" s="1876"/>
      <c r="QRC8" s="1876"/>
      <c r="QRD8" s="1876"/>
      <c r="QRE8" s="1876"/>
      <c r="QRF8" s="1876"/>
      <c r="QRG8" s="1876"/>
      <c r="QRH8" s="1876"/>
      <c r="QRI8" s="1876"/>
      <c r="QRJ8" s="1876"/>
      <c r="QRK8" s="1876"/>
      <c r="QRL8" s="1876"/>
      <c r="QRM8" s="1876"/>
      <c r="QRN8" s="1876"/>
      <c r="QRO8" s="1876"/>
      <c r="QRP8" s="1876"/>
      <c r="QRQ8" s="1876"/>
      <c r="QRR8" s="1876"/>
      <c r="QRS8" s="1876"/>
      <c r="QRT8" s="1876"/>
      <c r="QRU8" s="1876"/>
      <c r="QRV8" s="1876"/>
      <c r="QRW8" s="1876"/>
      <c r="QRX8" s="1876"/>
      <c r="QRY8" s="1876"/>
      <c r="QRZ8" s="1876"/>
      <c r="QSA8" s="1876"/>
      <c r="QSB8" s="1876"/>
      <c r="QSC8" s="1876"/>
      <c r="QSD8" s="1876"/>
      <c r="QSE8" s="1876"/>
      <c r="QSF8" s="1876"/>
      <c r="QSG8" s="1876"/>
      <c r="QSH8" s="1876"/>
      <c r="QSI8" s="1876"/>
      <c r="QSJ8" s="1876"/>
      <c r="QSK8" s="1876"/>
      <c r="QSL8" s="1876"/>
      <c r="QSM8" s="1876"/>
      <c r="QSN8" s="1876"/>
      <c r="QSO8" s="1876"/>
      <c r="QSP8" s="1876"/>
      <c r="QSQ8" s="1876"/>
      <c r="QSR8" s="1876"/>
      <c r="QSS8" s="1876"/>
      <c r="QST8" s="1876"/>
      <c r="QSU8" s="1876"/>
      <c r="QSV8" s="1876"/>
      <c r="QSW8" s="1876"/>
      <c r="QSX8" s="1876"/>
      <c r="QSY8" s="1876"/>
      <c r="QSZ8" s="1876"/>
      <c r="QTA8" s="1876"/>
      <c r="QTB8" s="1876"/>
      <c r="QTC8" s="1876"/>
      <c r="QTD8" s="1876"/>
      <c r="QTE8" s="1876"/>
      <c r="QTF8" s="1876"/>
      <c r="QTG8" s="1876"/>
      <c r="QTH8" s="1876"/>
      <c r="QTI8" s="1876"/>
      <c r="QTJ8" s="1876"/>
      <c r="QTK8" s="1876"/>
      <c r="QTL8" s="1876"/>
      <c r="QTM8" s="1876"/>
      <c r="QTN8" s="1876"/>
      <c r="QTO8" s="1876"/>
      <c r="QTP8" s="1876"/>
      <c r="QTQ8" s="1876"/>
      <c r="QTR8" s="1876"/>
      <c r="QTS8" s="1876"/>
      <c r="QTT8" s="1876"/>
      <c r="QTU8" s="1876"/>
      <c r="QTV8" s="1876"/>
      <c r="QTW8" s="1876"/>
      <c r="QTX8" s="1876"/>
      <c r="QTY8" s="1876"/>
      <c r="QTZ8" s="1876"/>
      <c r="QUA8" s="1876"/>
      <c r="QUB8" s="1876"/>
      <c r="QUC8" s="1876"/>
      <c r="QUD8" s="1876"/>
      <c r="QUE8" s="1876"/>
      <c r="QUF8" s="1876"/>
      <c r="QUG8" s="1876"/>
      <c r="QUH8" s="1876"/>
      <c r="QUI8" s="1876"/>
      <c r="QUJ8" s="1876"/>
      <c r="QUK8" s="1876"/>
      <c r="QUL8" s="1876"/>
      <c r="QUM8" s="1876"/>
      <c r="QUN8" s="1876"/>
      <c r="QUO8" s="1876"/>
      <c r="QUP8" s="1876"/>
      <c r="QUQ8" s="1876"/>
      <c r="QUR8" s="1876"/>
      <c r="QUS8" s="1876"/>
      <c r="QUT8" s="1876"/>
      <c r="QUU8" s="1876"/>
      <c r="QUV8" s="1876"/>
      <c r="QUW8" s="1876"/>
      <c r="QUX8" s="1876"/>
      <c r="QUY8" s="1876"/>
      <c r="QUZ8" s="1876"/>
      <c r="QVA8" s="1876"/>
      <c r="QVB8" s="1876"/>
      <c r="QVC8" s="1876"/>
      <c r="QVD8" s="1876"/>
      <c r="QVE8" s="1876"/>
      <c r="QVF8" s="1876"/>
      <c r="QVG8" s="1876"/>
      <c r="QVH8" s="1876"/>
      <c r="QVI8" s="1876"/>
      <c r="QVJ8" s="1876"/>
      <c r="QVK8" s="1876"/>
      <c r="QVL8" s="1876"/>
      <c r="QVM8" s="1876"/>
      <c r="QVN8" s="1876"/>
      <c r="QVO8" s="1876"/>
      <c r="QVP8" s="1876"/>
      <c r="QVQ8" s="1876"/>
      <c r="QVR8" s="1876"/>
      <c r="QVS8" s="1876"/>
      <c r="QVT8" s="1876"/>
      <c r="QVU8" s="1876"/>
      <c r="QVV8" s="1876"/>
      <c r="QVW8" s="1876"/>
      <c r="QVX8" s="1876"/>
      <c r="QVY8" s="1876"/>
      <c r="QVZ8" s="1876"/>
      <c r="QWA8" s="1876"/>
      <c r="QWB8" s="1876"/>
      <c r="QWC8" s="1876"/>
      <c r="QWD8" s="1876"/>
      <c r="QWE8" s="1876"/>
      <c r="QWF8" s="1876"/>
      <c r="QWG8" s="1876"/>
      <c r="QWH8" s="1876"/>
      <c r="QWI8" s="1876"/>
      <c r="QWJ8" s="1876"/>
      <c r="QWK8" s="1876"/>
      <c r="QWL8" s="1876"/>
      <c r="QWM8" s="1876"/>
      <c r="QWN8" s="1876"/>
      <c r="QWO8" s="1876"/>
      <c r="QWP8" s="1876"/>
      <c r="QWQ8" s="1876"/>
      <c r="QWR8" s="1876"/>
      <c r="QWS8" s="1876"/>
      <c r="QWT8" s="1876"/>
      <c r="QWU8" s="1876"/>
      <c r="QWV8" s="1876"/>
      <c r="QWW8" s="1876"/>
      <c r="QWX8" s="1876"/>
      <c r="QWY8" s="1876"/>
      <c r="QWZ8" s="1876"/>
      <c r="QXA8" s="1876"/>
      <c r="QXB8" s="1876"/>
      <c r="QXC8" s="1876"/>
      <c r="QXD8" s="1876"/>
      <c r="QXE8" s="1876"/>
      <c r="QXF8" s="1876"/>
      <c r="QXG8" s="1876"/>
      <c r="QXH8" s="1876"/>
      <c r="QXI8" s="1876"/>
      <c r="QXJ8" s="1876"/>
      <c r="QXK8" s="1876"/>
      <c r="QXL8" s="1876"/>
      <c r="QXM8" s="1876"/>
      <c r="QXN8" s="1876"/>
      <c r="QXO8" s="1876"/>
      <c r="QXP8" s="1876"/>
      <c r="QXQ8" s="1876"/>
      <c r="QXR8" s="1876"/>
      <c r="QXS8" s="1876"/>
      <c r="QXT8" s="1876"/>
      <c r="QXU8" s="1876"/>
      <c r="QXV8" s="1876"/>
      <c r="QXW8" s="1876"/>
      <c r="QXX8" s="1876"/>
      <c r="QXY8" s="1876"/>
      <c r="QXZ8" s="1876"/>
      <c r="QYA8" s="1876"/>
      <c r="QYB8" s="1876"/>
      <c r="QYC8" s="1876"/>
      <c r="QYD8" s="1876"/>
      <c r="QYE8" s="1876"/>
      <c r="QYF8" s="1876"/>
      <c r="QYG8" s="1876"/>
      <c r="QYH8" s="1876"/>
      <c r="QYI8" s="1876"/>
      <c r="QYJ8" s="1876"/>
      <c r="QYK8" s="1876"/>
      <c r="QYL8" s="1876"/>
      <c r="QYM8" s="1876"/>
      <c r="QYN8" s="1876"/>
      <c r="QYO8" s="1876"/>
      <c r="QYP8" s="1876"/>
      <c r="QYQ8" s="1876"/>
      <c r="QYR8" s="1876"/>
      <c r="QYS8" s="1876"/>
      <c r="QYT8" s="1876"/>
      <c r="QYU8" s="1876"/>
      <c r="QYV8" s="1876"/>
      <c r="QYW8" s="1876"/>
      <c r="QYX8" s="1876"/>
      <c r="QYY8" s="1876"/>
      <c r="QYZ8" s="1876"/>
      <c r="QZA8" s="1876"/>
      <c r="QZB8" s="1876"/>
      <c r="QZC8" s="1876"/>
      <c r="QZD8" s="1876"/>
      <c r="QZE8" s="1876"/>
      <c r="QZF8" s="1876"/>
      <c r="QZG8" s="1876"/>
      <c r="QZH8" s="1876"/>
      <c r="QZI8" s="1876"/>
      <c r="QZJ8" s="1876"/>
      <c r="QZK8" s="1876"/>
      <c r="QZL8" s="1876"/>
      <c r="QZM8" s="1876"/>
      <c r="QZN8" s="1876"/>
      <c r="QZO8" s="1876"/>
      <c r="QZP8" s="1876"/>
      <c r="QZQ8" s="1876"/>
      <c r="QZR8" s="1876"/>
      <c r="QZS8" s="1876"/>
      <c r="QZT8" s="1876"/>
      <c r="QZU8" s="1876"/>
      <c r="QZV8" s="1876"/>
      <c r="QZW8" s="1876"/>
      <c r="QZX8" s="1876"/>
      <c r="QZY8" s="1876"/>
      <c r="QZZ8" s="1876"/>
      <c r="RAA8" s="1876"/>
      <c r="RAB8" s="1876"/>
      <c r="RAC8" s="1876"/>
      <c r="RAD8" s="1876"/>
      <c r="RAE8" s="1876"/>
      <c r="RAF8" s="1876"/>
      <c r="RAG8" s="1876"/>
      <c r="RAH8" s="1876"/>
      <c r="RAI8" s="1876"/>
      <c r="RAJ8" s="1876"/>
      <c r="RAK8" s="1876"/>
      <c r="RAL8" s="1876"/>
      <c r="RAM8" s="1876"/>
      <c r="RAN8" s="1876"/>
      <c r="RAO8" s="1876"/>
      <c r="RAP8" s="1876"/>
      <c r="RAQ8" s="1876"/>
      <c r="RAR8" s="1876"/>
      <c r="RAS8" s="1876"/>
      <c r="RAT8" s="1876"/>
      <c r="RAU8" s="1876"/>
      <c r="RAV8" s="1876"/>
      <c r="RAW8" s="1876"/>
      <c r="RAX8" s="1876"/>
      <c r="RAY8" s="1876"/>
      <c r="RAZ8" s="1876"/>
      <c r="RBA8" s="1876"/>
      <c r="RBB8" s="1876"/>
      <c r="RBC8" s="1876"/>
      <c r="RBD8" s="1876"/>
      <c r="RBE8" s="1876"/>
      <c r="RBF8" s="1876"/>
      <c r="RBG8" s="1876"/>
      <c r="RBH8" s="1876"/>
      <c r="RBI8" s="1876"/>
      <c r="RBJ8" s="1876"/>
      <c r="RBK8" s="1876"/>
      <c r="RBL8" s="1876"/>
      <c r="RBM8" s="1876"/>
      <c r="RBN8" s="1876"/>
      <c r="RBO8" s="1876"/>
      <c r="RBP8" s="1876"/>
      <c r="RBQ8" s="1876"/>
      <c r="RBR8" s="1876"/>
      <c r="RBS8" s="1876"/>
      <c r="RBT8" s="1876"/>
      <c r="RBU8" s="1876"/>
      <c r="RBV8" s="1876"/>
      <c r="RBW8" s="1876"/>
      <c r="RBX8" s="1876"/>
      <c r="RBY8" s="1876"/>
      <c r="RBZ8" s="1876"/>
      <c r="RCA8" s="1876"/>
      <c r="RCB8" s="1876"/>
      <c r="RCC8" s="1876"/>
      <c r="RCD8" s="1876"/>
      <c r="RCE8" s="1876"/>
      <c r="RCF8" s="1876"/>
      <c r="RCG8" s="1876"/>
      <c r="RCH8" s="1876"/>
      <c r="RCI8" s="1876"/>
      <c r="RCJ8" s="1876"/>
      <c r="RCK8" s="1876"/>
      <c r="RCL8" s="1876"/>
      <c r="RCM8" s="1876"/>
      <c r="RCN8" s="1876"/>
      <c r="RCO8" s="1876"/>
      <c r="RCP8" s="1876"/>
      <c r="RCQ8" s="1876"/>
      <c r="RCR8" s="1876"/>
      <c r="RCS8" s="1876"/>
      <c r="RCT8" s="1876"/>
      <c r="RCU8" s="1876"/>
      <c r="RCV8" s="1876"/>
      <c r="RCW8" s="1876"/>
      <c r="RCX8" s="1876"/>
      <c r="RCY8" s="1876"/>
      <c r="RCZ8" s="1876"/>
      <c r="RDA8" s="1876"/>
      <c r="RDB8" s="1876"/>
      <c r="RDC8" s="1876"/>
      <c r="RDD8" s="1876"/>
      <c r="RDE8" s="1876"/>
      <c r="RDF8" s="1876"/>
      <c r="RDG8" s="1876"/>
      <c r="RDH8" s="1876"/>
      <c r="RDI8" s="1876"/>
      <c r="RDJ8" s="1876"/>
      <c r="RDK8" s="1876"/>
      <c r="RDL8" s="1876"/>
      <c r="RDM8" s="1876"/>
      <c r="RDN8" s="1876"/>
      <c r="RDO8" s="1876"/>
      <c r="RDP8" s="1876"/>
      <c r="RDQ8" s="1876"/>
      <c r="RDR8" s="1876"/>
      <c r="RDS8" s="1876"/>
      <c r="RDT8" s="1876"/>
      <c r="RDU8" s="1876"/>
      <c r="RDV8" s="1876"/>
      <c r="RDW8" s="1876"/>
      <c r="RDX8" s="1876"/>
      <c r="RDY8" s="1876"/>
      <c r="RDZ8" s="1876"/>
      <c r="REA8" s="1876"/>
      <c r="REB8" s="1876"/>
      <c r="REC8" s="1876"/>
      <c r="RED8" s="1876"/>
      <c r="REE8" s="1876"/>
      <c r="REF8" s="1876"/>
      <c r="REG8" s="1876"/>
      <c r="REH8" s="1876"/>
      <c r="REI8" s="1876"/>
      <c r="REJ8" s="1876"/>
      <c r="REK8" s="1876"/>
      <c r="REL8" s="1876"/>
      <c r="REM8" s="1876"/>
      <c r="REN8" s="1876"/>
      <c r="REO8" s="1876"/>
      <c r="REP8" s="1876"/>
      <c r="REQ8" s="1876"/>
      <c r="RER8" s="1876"/>
      <c r="RES8" s="1876"/>
      <c r="RET8" s="1876"/>
      <c r="REU8" s="1876"/>
      <c r="REV8" s="1876"/>
      <c r="REW8" s="1876"/>
      <c r="REX8" s="1876"/>
      <c r="REY8" s="1876"/>
      <c r="REZ8" s="1876"/>
      <c r="RFA8" s="1876"/>
      <c r="RFB8" s="1876"/>
      <c r="RFC8" s="1876"/>
      <c r="RFD8" s="1876"/>
      <c r="RFE8" s="1876"/>
      <c r="RFF8" s="1876"/>
      <c r="RFG8" s="1876"/>
      <c r="RFH8" s="1876"/>
      <c r="RFI8" s="1876"/>
      <c r="RFJ8" s="1876"/>
      <c r="RFK8" s="1876"/>
      <c r="RFL8" s="1876"/>
      <c r="RFM8" s="1876"/>
      <c r="RFN8" s="1876"/>
      <c r="RFO8" s="1876"/>
      <c r="RFP8" s="1876"/>
      <c r="RFQ8" s="1876"/>
      <c r="RFR8" s="1876"/>
      <c r="RFS8" s="1876"/>
      <c r="RFT8" s="1876"/>
      <c r="RFU8" s="1876"/>
      <c r="RFV8" s="1876"/>
      <c r="RFW8" s="1876"/>
      <c r="RFX8" s="1876"/>
      <c r="RFY8" s="1876"/>
      <c r="RFZ8" s="1876"/>
      <c r="RGA8" s="1876"/>
      <c r="RGB8" s="1876"/>
      <c r="RGC8" s="1876"/>
      <c r="RGD8" s="1876"/>
      <c r="RGE8" s="1876"/>
      <c r="RGF8" s="1876"/>
      <c r="RGG8" s="1876"/>
      <c r="RGH8" s="1876"/>
      <c r="RGI8" s="1876"/>
      <c r="RGJ8" s="1876"/>
      <c r="RGK8" s="1876"/>
      <c r="RGL8" s="1876"/>
      <c r="RGM8" s="1876"/>
      <c r="RGN8" s="1876"/>
      <c r="RGO8" s="1876"/>
      <c r="RGP8" s="1876"/>
      <c r="RGQ8" s="1876"/>
      <c r="RGR8" s="1876"/>
      <c r="RGS8" s="1876"/>
      <c r="RGT8" s="1876"/>
      <c r="RGU8" s="1876"/>
      <c r="RGV8" s="1876"/>
      <c r="RGW8" s="1876"/>
      <c r="RGX8" s="1876"/>
      <c r="RGY8" s="1876"/>
      <c r="RGZ8" s="1876"/>
      <c r="RHA8" s="1876"/>
      <c r="RHB8" s="1876"/>
      <c r="RHC8" s="1876"/>
      <c r="RHD8" s="1876"/>
      <c r="RHE8" s="1876"/>
      <c r="RHF8" s="1876"/>
      <c r="RHG8" s="1876"/>
      <c r="RHH8" s="1876"/>
      <c r="RHI8" s="1876"/>
      <c r="RHJ8" s="1876"/>
      <c r="RHK8" s="1876"/>
      <c r="RHL8" s="1876"/>
      <c r="RHM8" s="1876"/>
      <c r="RHN8" s="1876"/>
      <c r="RHO8" s="1876"/>
      <c r="RHP8" s="1876"/>
      <c r="RHQ8" s="1876"/>
      <c r="RHR8" s="1876"/>
      <c r="RHS8" s="1876"/>
      <c r="RHT8" s="1876"/>
      <c r="RHU8" s="1876"/>
      <c r="RHV8" s="1876"/>
      <c r="RHW8" s="1876"/>
      <c r="RHX8" s="1876"/>
      <c r="RHY8" s="1876"/>
      <c r="RHZ8" s="1876"/>
      <c r="RIA8" s="1876"/>
      <c r="RIB8" s="1876"/>
      <c r="RIC8" s="1876"/>
      <c r="RID8" s="1876"/>
      <c r="RIE8" s="1876"/>
      <c r="RIF8" s="1876"/>
      <c r="RIG8" s="1876"/>
      <c r="RIH8" s="1876"/>
      <c r="RII8" s="1876"/>
      <c r="RIJ8" s="1876"/>
      <c r="RIK8" s="1876"/>
      <c r="RIL8" s="1876"/>
      <c r="RIM8" s="1876"/>
      <c r="RIN8" s="1876"/>
      <c r="RIO8" s="1876"/>
      <c r="RIP8" s="1876"/>
      <c r="RIQ8" s="1876"/>
      <c r="RIR8" s="1876"/>
      <c r="RIS8" s="1876"/>
      <c r="RIT8" s="1876"/>
      <c r="RIU8" s="1876"/>
      <c r="RIV8" s="1876"/>
      <c r="RIW8" s="1876"/>
      <c r="RIX8" s="1876"/>
      <c r="RIY8" s="1876"/>
      <c r="RIZ8" s="1876"/>
      <c r="RJA8" s="1876"/>
      <c r="RJB8" s="1876"/>
      <c r="RJC8" s="1876"/>
      <c r="RJD8" s="1876"/>
      <c r="RJE8" s="1876"/>
      <c r="RJF8" s="1876"/>
      <c r="RJG8" s="1876"/>
      <c r="RJH8" s="1876"/>
      <c r="RJI8" s="1876"/>
      <c r="RJJ8" s="1876"/>
      <c r="RJK8" s="1876"/>
      <c r="RJL8" s="1876"/>
      <c r="RJM8" s="1876"/>
      <c r="RJN8" s="1876"/>
      <c r="RJO8" s="1876"/>
      <c r="RJP8" s="1876"/>
      <c r="RJQ8" s="1876"/>
      <c r="RJR8" s="1876"/>
      <c r="RJS8" s="1876"/>
      <c r="RJT8" s="1876"/>
      <c r="RJU8" s="1876"/>
      <c r="RJV8" s="1876"/>
      <c r="RJW8" s="1876"/>
      <c r="RJX8" s="1876"/>
      <c r="RJY8" s="1876"/>
      <c r="RJZ8" s="1876"/>
      <c r="RKA8" s="1876"/>
      <c r="RKB8" s="1876"/>
      <c r="RKC8" s="1876"/>
      <c r="RKD8" s="1876"/>
      <c r="RKE8" s="1876"/>
      <c r="RKF8" s="1876"/>
      <c r="RKG8" s="1876"/>
      <c r="RKH8" s="1876"/>
      <c r="RKI8" s="1876"/>
      <c r="RKJ8" s="1876"/>
      <c r="RKK8" s="1876"/>
      <c r="RKL8" s="1876"/>
      <c r="RKM8" s="1876"/>
      <c r="RKN8" s="1876"/>
      <c r="RKO8" s="1876"/>
      <c r="RKP8" s="1876"/>
      <c r="RKQ8" s="1876"/>
      <c r="RKR8" s="1876"/>
      <c r="RKS8" s="1876"/>
      <c r="RKT8" s="1876"/>
      <c r="RKU8" s="1876"/>
      <c r="RKV8" s="1876"/>
      <c r="RKW8" s="1876"/>
      <c r="RKX8" s="1876"/>
      <c r="RKY8" s="1876"/>
      <c r="RKZ8" s="1876"/>
      <c r="RLA8" s="1876"/>
      <c r="RLB8" s="1876"/>
      <c r="RLC8" s="1876"/>
      <c r="RLD8" s="1876"/>
      <c r="RLE8" s="1876"/>
      <c r="RLF8" s="1876"/>
      <c r="RLG8" s="1876"/>
      <c r="RLH8" s="1876"/>
      <c r="RLI8" s="1876"/>
      <c r="RLJ8" s="1876"/>
      <c r="RLK8" s="1876"/>
      <c r="RLL8" s="1876"/>
      <c r="RLM8" s="1876"/>
      <c r="RLN8" s="1876"/>
      <c r="RLO8" s="1876"/>
      <c r="RLP8" s="1876"/>
      <c r="RLQ8" s="1876"/>
      <c r="RLR8" s="1876"/>
      <c r="RLS8" s="1876"/>
      <c r="RLT8" s="1876"/>
      <c r="RLU8" s="1876"/>
      <c r="RLV8" s="1876"/>
      <c r="RLW8" s="1876"/>
      <c r="RLX8" s="1876"/>
      <c r="RLY8" s="1876"/>
      <c r="RLZ8" s="1876"/>
      <c r="RMA8" s="1876"/>
      <c r="RMB8" s="1876"/>
      <c r="RMC8" s="1876"/>
      <c r="RMD8" s="1876"/>
      <c r="RME8" s="1876"/>
      <c r="RMF8" s="1876"/>
      <c r="RMG8" s="1876"/>
      <c r="RMH8" s="1876"/>
      <c r="RMI8" s="1876"/>
      <c r="RMJ8" s="1876"/>
      <c r="RMK8" s="1876"/>
      <c r="RML8" s="1876"/>
      <c r="RMM8" s="1876"/>
      <c r="RMN8" s="1876"/>
      <c r="RMO8" s="1876"/>
      <c r="RMP8" s="1876"/>
      <c r="RMQ8" s="1876"/>
      <c r="RMR8" s="1876"/>
      <c r="RMS8" s="1876"/>
      <c r="RMT8" s="1876"/>
      <c r="RMU8" s="1876"/>
      <c r="RMV8" s="1876"/>
      <c r="RMW8" s="1876"/>
      <c r="RMX8" s="1876"/>
      <c r="RMY8" s="1876"/>
      <c r="RMZ8" s="1876"/>
      <c r="RNA8" s="1876"/>
      <c r="RNB8" s="1876"/>
      <c r="RNC8" s="1876"/>
      <c r="RND8" s="1876"/>
      <c r="RNE8" s="1876"/>
      <c r="RNF8" s="1876"/>
      <c r="RNG8" s="1876"/>
      <c r="RNH8" s="1876"/>
      <c r="RNI8" s="1876"/>
      <c r="RNJ8" s="1876"/>
      <c r="RNK8" s="1876"/>
      <c r="RNL8" s="1876"/>
      <c r="RNM8" s="1876"/>
      <c r="RNN8" s="1876"/>
      <c r="RNO8" s="1876"/>
      <c r="RNP8" s="1876"/>
      <c r="RNQ8" s="1876"/>
      <c r="RNR8" s="1876"/>
      <c r="RNS8" s="1876"/>
      <c r="RNT8" s="1876"/>
      <c r="RNU8" s="1876"/>
      <c r="RNV8" s="1876"/>
      <c r="RNW8" s="1876"/>
      <c r="RNX8" s="1876"/>
      <c r="RNY8" s="1876"/>
      <c r="RNZ8" s="1876"/>
      <c r="ROA8" s="1876"/>
      <c r="ROB8" s="1876"/>
      <c r="ROC8" s="1876"/>
      <c r="ROD8" s="1876"/>
      <c r="ROE8" s="1876"/>
      <c r="ROF8" s="1876"/>
      <c r="ROG8" s="1876"/>
      <c r="ROH8" s="1876"/>
      <c r="ROI8" s="1876"/>
      <c r="ROJ8" s="1876"/>
      <c r="ROK8" s="1876"/>
      <c r="ROL8" s="1876"/>
      <c r="ROM8" s="1876"/>
      <c r="RON8" s="1876"/>
      <c r="ROO8" s="1876"/>
      <c r="ROP8" s="1876"/>
      <c r="ROQ8" s="1876"/>
      <c r="ROR8" s="1876"/>
      <c r="ROS8" s="1876"/>
      <c r="ROT8" s="1876"/>
      <c r="ROU8" s="1876"/>
      <c r="ROV8" s="1876"/>
      <c r="ROW8" s="1876"/>
      <c r="ROX8" s="1876"/>
      <c r="ROY8" s="1876"/>
      <c r="ROZ8" s="1876"/>
      <c r="RPA8" s="1876"/>
      <c r="RPB8" s="1876"/>
      <c r="RPC8" s="1876"/>
      <c r="RPD8" s="1876"/>
      <c r="RPE8" s="1876"/>
      <c r="RPF8" s="1876"/>
      <c r="RPG8" s="1876"/>
      <c r="RPH8" s="1876"/>
      <c r="RPI8" s="1876"/>
      <c r="RPJ8" s="1876"/>
      <c r="RPK8" s="1876"/>
      <c r="RPL8" s="1876"/>
      <c r="RPM8" s="1876"/>
      <c r="RPN8" s="1876"/>
      <c r="RPO8" s="1876"/>
      <c r="RPP8" s="1876"/>
      <c r="RPQ8" s="1876"/>
      <c r="RPR8" s="1876"/>
      <c r="RPS8" s="1876"/>
      <c r="RPT8" s="1876"/>
      <c r="RPU8" s="1876"/>
      <c r="RPV8" s="1876"/>
      <c r="RPW8" s="1876"/>
      <c r="RPX8" s="1876"/>
      <c r="RPY8" s="1876"/>
      <c r="RPZ8" s="1876"/>
      <c r="RQA8" s="1876"/>
      <c r="RQB8" s="1876"/>
      <c r="RQC8" s="1876"/>
      <c r="RQD8" s="1876"/>
      <c r="RQE8" s="1876"/>
      <c r="RQF8" s="1876"/>
      <c r="RQG8" s="1876"/>
      <c r="RQH8" s="1876"/>
      <c r="RQI8" s="1876"/>
      <c r="RQJ8" s="1876"/>
      <c r="RQK8" s="1876"/>
      <c r="RQL8" s="1876"/>
      <c r="RQM8" s="1876"/>
      <c r="RQN8" s="1876"/>
      <c r="RQO8" s="1876"/>
      <c r="RQP8" s="1876"/>
      <c r="RQQ8" s="1876"/>
      <c r="RQR8" s="1876"/>
      <c r="RQS8" s="1876"/>
      <c r="RQT8" s="1876"/>
      <c r="RQU8" s="1876"/>
      <c r="RQV8" s="1876"/>
      <c r="RQW8" s="1876"/>
      <c r="RQX8" s="1876"/>
      <c r="RQY8" s="1876"/>
      <c r="RQZ8" s="1876"/>
      <c r="RRA8" s="1876"/>
      <c r="RRB8" s="1876"/>
      <c r="RRC8" s="1876"/>
      <c r="RRD8" s="1876"/>
      <c r="RRE8" s="1876"/>
      <c r="RRF8" s="1876"/>
      <c r="RRG8" s="1876"/>
      <c r="RRH8" s="1876"/>
      <c r="RRI8" s="1876"/>
      <c r="RRJ8" s="1876"/>
      <c r="RRK8" s="1876"/>
      <c r="RRL8" s="1876"/>
      <c r="RRM8" s="1876"/>
      <c r="RRN8" s="1876"/>
      <c r="RRO8" s="1876"/>
      <c r="RRP8" s="1876"/>
      <c r="RRQ8" s="1876"/>
      <c r="RRR8" s="1876"/>
      <c r="RRS8" s="1876"/>
      <c r="RRT8" s="1876"/>
      <c r="RRU8" s="1876"/>
      <c r="RRV8" s="1876"/>
      <c r="RRW8" s="1876"/>
      <c r="RRX8" s="1876"/>
      <c r="RRY8" s="1876"/>
      <c r="RRZ8" s="1876"/>
      <c r="RSA8" s="1876"/>
      <c r="RSB8" s="1876"/>
      <c r="RSC8" s="1876"/>
      <c r="RSD8" s="1876"/>
      <c r="RSE8" s="1876"/>
      <c r="RSF8" s="1876"/>
      <c r="RSG8" s="1876"/>
      <c r="RSH8" s="1876"/>
      <c r="RSI8" s="1876"/>
      <c r="RSJ8" s="1876"/>
      <c r="RSK8" s="1876"/>
      <c r="RSL8" s="1876"/>
      <c r="RSM8" s="1876"/>
      <c r="RSN8" s="1876"/>
      <c r="RSO8" s="1876"/>
      <c r="RSP8" s="1876"/>
      <c r="RSQ8" s="1876"/>
      <c r="RSR8" s="1876"/>
      <c r="RSS8" s="1876"/>
      <c r="RST8" s="1876"/>
      <c r="RSU8" s="1876"/>
      <c r="RSV8" s="1876"/>
      <c r="RSW8" s="1876"/>
      <c r="RSX8" s="1876"/>
      <c r="RSY8" s="1876"/>
      <c r="RSZ8" s="1876"/>
      <c r="RTA8" s="1876"/>
      <c r="RTB8" s="1876"/>
      <c r="RTC8" s="1876"/>
      <c r="RTD8" s="1876"/>
      <c r="RTE8" s="1876"/>
      <c r="RTF8" s="1876"/>
      <c r="RTG8" s="1876"/>
      <c r="RTH8" s="1876"/>
      <c r="RTI8" s="1876"/>
      <c r="RTJ8" s="1876"/>
      <c r="RTK8" s="1876"/>
      <c r="RTL8" s="1876"/>
      <c r="RTM8" s="1876"/>
      <c r="RTN8" s="1876"/>
      <c r="RTO8" s="1876"/>
      <c r="RTP8" s="1876"/>
      <c r="RTQ8" s="1876"/>
      <c r="RTR8" s="1876"/>
      <c r="RTS8" s="1876"/>
      <c r="RTT8" s="1876"/>
      <c r="RTU8" s="1876"/>
      <c r="RTV8" s="1876"/>
      <c r="RTW8" s="1876"/>
      <c r="RTX8" s="1876"/>
      <c r="RTY8" s="1876"/>
      <c r="RTZ8" s="1876"/>
      <c r="RUA8" s="1876"/>
      <c r="RUB8" s="1876"/>
      <c r="RUC8" s="1876"/>
      <c r="RUD8" s="1876"/>
      <c r="RUE8" s="1876"/>
      <c r="RUF8" s="1876"/>
      <c r="RUG8" s="1876"/>
      <c r="RUH8" s="1876"/>
      <c r="RUI8" s="1876"/>
      <c r="RUJ8" s="1876"/>
      <c r="RUK8" s="1876"/>
      <c r="RUL8" s="1876"/>
      <c r="RUM8" s="1876"/>
      <c r="RUN8" s="1876"/>
      <c r="RUO8" s="1876"/>
      <c r="RUP8" s="1876"/>
      <c r="RUQ8" s="1876"/>
      <c r="RUR8" s="1876"/>
      <c r="RUS8" s="1876"/>
      <c r="RUT8" s="1876"/>
      <c r="RUU8" s="1876"/>
      <c r="RUV8" s="1876"/>
      <c r="RUW8" s="1876"/>
      <c r="RUX8" s="1876"/>
      <c r="RUY8" s="1876"/>
      <c r="RUZ8" s="1876"/>
      <c r="RVA8" s="1876"/>
      <c r="RVB8" s="1876"/>
      <c r="RVC8" s="1876"/>
      <c r="RVD8" s="1876"/>
      <c r="RVE8" s="1876"/>
      <c r="RVF8" s="1876"/>
      <c r="RVG8" s="1876"/>
      <c r="RVH8" s="1876"/>
      <c r="RVI8" s="1876"/>
      <c r="RVJ8" s="1876"/>
      <c r="RVK8" s="1876"/>
      <c r="RVL8" s="1876"/>
      <c r="RVM8" s="1876"/>
      <c r="RVN8" s="1876"/>
      <c r="RVO8" s="1876"/>
      <c r="RVP8" s="1876"/>
      <c r="RVQ8" s="1876"/>
      <c r="RVR8" s="1876"/>
      <c r="RVS8" s="1876"/>
      <c r="RVT8" s="1876"/>
      <c r="RVU8" s="1876"/>
      <c r="RVV8" s="1876"/>
      <c r="RVW8" s="1876"/>
      <c r="RVX8" s="1876"/>
      <c r="RVY8" s="1876"/>
      <c r="RVZ8" s="1876"/>
      <c r="RWA8" s="1876"/>
      <c r="RWB8" s="1876"/>
      <c r="RWC8" s="1876"/>
      <c r="RWD8" s="1876"/>
      <c r="RWE8" s="1876"/>
      <c r="RWF8" s="1876"/>
      <c r="RWG8" s="1876"/>
      <c r="RWH8" s="1876"/>
      <c r="RWI8" s="1876"/>
      <c r="RWJ8" s="1876"/>
      <c r="RWK8" s="1876"/>
      <c r="RWL8" s="1876"/>
      <c r="RWM8" s="1876"/>
      <c r="RWN8" s="1876"/>
      <c r="RWO8" s="1876"/>
      <c r="RWP8" s="1876"/>
      <c r="RWQ8" s="1876"/>
      <c r="RWR8" s="1876"/>
      <c r="RWS8" s="1876"/>
      <c r="RWT8" s="1876"/>
      <c r="RWU8" s="1876"/>
      <c r="RWV8" s="1876"/>
      <c r="RWW8" s="1876"/>
      <c r="RWX8" s="1876"/>
      <c r="RWY8" s="1876"/>
      <c r="RWZ8" s="1876"/>
      <c r="RXA8" s="1876"/>
      <c r="RXB8" s="1876"/>
      <c r="RXC8" s="1876"/>
      <c r="RXD8" s="1876"/>
      <c r="RXE8" s="1876"/>
      <c r="RXF8" s="1876"/>
      <c r="RXG8" s="1876"/>
      <c r="RXH8" s="1876"/>
      <c r="RXI8" s="1876"/>
      <c r="RXJ8" s="1876"/>
      <c r="RXK8" s="1876"/>
      <c r="RXL8" s="1876"/>
      <c r="RXM8" s="1876"/>
      <c r="RXN8" s="1876"/>
      <c r="RXO8" s="1876"/>
      <c r="RXP8" s="1876"/>
      <c r="RXQ8" s="1876"/>
      <c r="RXR8" s="1876"/>
      <c r="RXS8" s="1876"/>
      <c r="RXT8" s="1876"/>
      <c r="RXU8" s="1876"/>
      <c r="RXV8" s="1876"/>
      <c r="RXW8" s="1876"/>
      <c r="RXX8" s="1876"/>
      <c r="RXY8" s="1876"/>
      <c r="RXZ8" s="1876"/>
      <c r="RYA8" s="1876"/>
      <c r="RYB8" s="1876"/>
      <c r="RYC8" s="1876"/>
      <c r="RYD8" s="1876"/>
      <c r="RYE8" s="1876"/>
      <c r="RYF8" s="1876"/>
      <c r="RYG8" s="1876"/>
      <c r="RYH8" s="1876"/>
      <c r="RYI8" s="1876"/>
      <c r="RYJ8" s="1876"/>
      <c r="RYK8" s="1876"/>
      <c r="RYL8" s="1876"/>
      <c r="RYM8" s="1876"/>
      <c r="RYN8" s="1876"/>
      <c r="RYO8" s="1876"/>
      <c r="RYP8" s="1876"/>
      <c r="RYQ8" s="1876"/>
      <c r="RYR8" s="1876"/>
      <c r="RYS8" s="1876"/>
      <c r="RYT8" s="1876"/>
      <c r="RYU8" s="1876"/>
      <c r="RYV8" s="1876"/>
      <c r="RYW8" s="1876"/>
      <c r="RYX8" s="1876"/>
      <c r="RYY8" s="1876"/>
      <c r="RYZ8" s="1876"/>
      <c r="RZA8" s="1876"/>
      <c r="RZB8" s="1876"/>
      <c r="RZC8" s="1876"/>
      <c r="RZD8" s="1876"/>
      <c r="RZE8" s="1876"/>
      <c r="RZF8" s="1876"/>
      <c r="RZG8" s="1876"/>
      <c r="RZH8" s="1876"/>
      <c r="RZI8" s="1876"/>
      <c r="RZJ8" s="1876"/>
      <c r="RZK8" s="1876"/>
      <c r="RZL8" s="1876"/>
      <c r="RZM8" s="1876"/>
      <c r="RZN8" s="1876"/>
      <c r="RZO8" s="1876"/>
      <c r="RZP8" s="1876"/>
      <c r="RZQ8" s="1876"/>
      <c r="RZR8" s="1876"/>
      <c r="RZS8" s="1876"/>
      <c r="RZT8" s="1876"/>
      <c r="RZU8" s="1876"/>
      <c r="RZV8" s="1876"/>
      <c r="RZW8" s="1876"/>
      <c r="RZX8" s="1876"/>
      <c r="RZY8" s="1876"/>
      <c r="RZZ8" s="1876"/>
      <c r="SAA8" s="1876"/>
      <c r="SAB8" s="1876"/>
      <c r="SAC8" s="1876"/>
      <c r="SAD8" s="1876"/>
      <c r="SAE8" s="1876"/>
      <c r="SAF8" s="1876"/>
      <c r="SAG8" s="1876"/>
      <c r="SAH8" s="1876"/>
      <c r="SAI8" s="1876"/>
      <c r="SAJ8" s="1876"/>
      <c r="SAK8" s="1876"/>
      <c r="SAL8" s="1876"/>
      <c r="SAM8" s="1876"/>
      <c r="SAN8" s="1876"/>
      <c r="SAO8" s="1876"/>
      <c r="SAP8" s="1876"/>
      <c r="SAQ8" s="1876"/>
      <c r="SAR8" s="1876"/>
      <c r="SAS8" s="1876"/>
      <c r="SAT8" s="1876"/>
      <c r="SAU8" s="1876"/>
      <c r="SAV8" s="1876"/>
      <c r="SAW8" s="1876"/>
      <c r="SAX8" s="1876"/>
      <c r="SAY8" s="1876"/>
      <c r="SAZ8" s="1876"/>
      <c r="SBA8" s="1876"/>
      <c r="SBB8" s="1876"/>
      <c r="SBC8" s="1876"/>
      <c r="SBD8" s="1876"/>
      <c r="SBE8" s="1876"/>
      <c r="SBF8" s="1876"/>
      <c r="SBG8" s="1876"/>
      <c r="SBH8" s="1876"/>
      <c r="SBI8" s="1876"/>
      <c r="SBJ8" s="1876"/>
      <c r="SBK8" s="1876"/>
      <c r="SBL8" s="1876"/>
      <c r="SBM8" s="1876"/>
      <c r="SBN8" s="1876"/>
      <c r="SBO8" s="1876"/>
      <c r="SBP8" s="1876"/>
      <c r="SBQ8" s="1876"/>
      <c r="SBR8" s="1876"/>
      <c r="SBS8" s="1876"/>
      <c r="SBT8" s="1876"/>
      <c r="SBU8" s="1876"/>
      <c r="SBV8" s="1876"/>
      <c r="SBW8" s="1876"/>
      <c r="SBX8" s="1876"/>
      <c r="SBY8" s="1876"/>
      <c r="SBZ8" s="1876"/>
      <c r="SCA8" s="1876"/>
      <c r="SCB8" s="1876"/>
      <c r="SCC8" s="1876"/>
      <c r="SCD8" s="1876"/>
      <c r="SCE8" s="1876"/>
      <c r="SCF8" s="1876"/>
      <c r="SCG8" s="1876"/>
      <c r="SCH8" s="1876"/>
      <c r="SCI8" s="1876"/>
      <c r="SCJ8" s="1876"/>
      <c r="SCK8" s="1876"/>
      <c r="SCL8" s="1876"/>
      <c r="SCM8" s="1876"/>
      <c r="SCN8" s="1876"/>
      <c r="SCO8" s="1876"/>
      <c r="SCP8" s="1876"/>
      <c r="SCQ8" s="1876"/>
      <c r="SCR8" s="1876"/>
      <c r="SCS8" s="1876"/>
      <c r="SCT8" s="1876"/>
      <c r="SCU8" s="1876"/>
      <c r="SCV8" s="1876"/>
      <c r="SCW8" s="1876"/>
      <c r="SCX8" s="1876"/>
      <c r="SCY8" s="1876"/>
      <c r="SCZ8" s="1876"/>
      <c r="SDA8" s="1876"/>
      <c r="SDB8" s="1876"/>
      <c r="SDC8" s="1876"/>
      <c r="SDD8" s="1876"/>
      <c r="SDE8" s="1876"/>
      <c r="SDF8" s="1876"/>
      <c r="SDG8" s="1876"/>
      <c r="SDH8" s="1876"/>
      <c r="SDI8" s="1876"/>
      <c r="SDJ8" s="1876"/>
      <c r="SDK8" s="1876"/>
      <c r="SDL8" s="1876"/>
      <c r="SDM8" s="1876"/>
      <c r="SDN8" s="1876"/>
      <c r="SDO8" s="1876"/>
      <c r="SDP8" s="1876"/>
      <c r="SDQ8" s="1876"/>
      <c r="SDR8" s="1876"/>
      <c r="SDS8" s="1876"/>
      <c r="SDT8" s="1876"/>
      <c r="SDU8" s="1876"/>
      <c r="SDV8" s="1876"/>
      <c r="SDW8" s="1876"/>
      <c r="SDX8" s="1876"/>
      <c r="SDY8" s="1876"/>
      <c r="SDZ8" s="1876"/>
      <c r="SEA8" s="1876"/>
      <c r="SEB8" s="1876"/>
      <c r="SEC8" s="1876"/>
      <c r="SED8" s="1876"/>
      <c r="SEE8" s="1876"/>
      <c r="SEF8" s="1876"/>
      <c r="SEG8" s="1876"/>
      <c r="SEH8" s="1876"/>
      <c r="SEI8" s="1876"/>
      <c r="SEJ8" s="1876"/>
      <c r="SEK8" s="1876"/>
      <c r="SEL8" s="1876"/>
      <c r="SEM8" s="1876"/>
      <c r="SEN8" s="1876"/>
      <c r="SEO8" s="1876"/>
      <c r="SEP8" s="1876"/>
      <c r="SEQ8" s="1876"/>
      <c r="SER8" s="1876"/>
      <c r="SES8" s="1876"/>
      <c r="SET8" s="1876"/>
      <c r="SEU8" s="1876"/>
      <c r="SEV8" s="1876"/>
      <c r="SEW8" s="1876"/>
      <c r="SEX8" s="1876"/>
      <c r="SEY8" s="1876"/>
      <c r="SEZ8" s="1876"/>
      <c r="SFA8" s="1876"/>
      <c r="SFB8" s="1876"/>
      <c r="SFC8" s="1876"/>
      <c r="SFD8" s="1876"/>
      <c r="SFE8" s="1876"/>
      <c r="SFF8" s="1876"/>
      <c r="SFG8" s="1876"/>
      <c r="SFH8" s="1876"/>
      <c r="SFI8" s="1876"/>
      <c r="SFJ8" s="1876"/>
      <c r="SFK8" s="1876"/>
      <c r="SFL8" s="1876"/>
      <c r="SFM8" s="1876"/>
      <c r="SFN8" s="1876"/>
      <c r="SFO8" s="1876"/>
      <c r="SFP8" s="1876"/>
      <c r="SFQ8" s="1876"/>
      <c r="SFR8" s="1876"/>
      <c r="SFS8" s="1876"/>
      <c r="SFT8" s="1876"/>
      <c r="SFU8" s="1876"/>
      <c r="SFV8" s="1876"/>
      <c r="SFW8" s="1876"/>
      <c r="SFX8" s="1876"/>
      <c r="SFY8" s="1876"/>
      <c r="SFZ8" s="1876"/>
      <c r="SGA8" s="1876"/>
      <c r="SGB8" s="1876"/>
      <c r="SGC8" s="1876"/>
      <c r="SGD8" s="1876"/>
      <c r="SGE8" s="1876"/>
      <c r="SGF8" s="1876"/>
      <c r="SGG8" s="1876"/>
      <c r="SGH8" s="1876"/>
      <c r="SGI8" s="1876"/>
      <c r="SGJ8" s="1876"/>
      <c r="SGK8" s="1876"/>
      <c r="SGL8" s="1876"/>
      <c r="SGM8" s="1876"/>
      <c r="SGN8" s="1876"/>
      <c r="SGO8" s="1876"/>
      <c r="SGP8" s="1876"/>
      <c r="SGQ8" s="1876"/>
      <c r="SGR8" s="1876"/>
      <c r="SGS8" s="1876"/>
      <c r="SGT8" s="1876"/>
      <c r="SGU8" s="1876"/>
      <c r="SGV8" s="1876"/>
      <c r="SGW8" s="1876"/>
      <c r="SGX8" s="1876"/>
      <c r="SGY8" s="1876"/>
      <c r="SGZ8" s="1876"/>
      <c r="SHA8" s="1876"/>
      <c r="SHB8" s="1876"/>
      <c r="SHC8" s="1876"/>
      <c r="SHD8" s="1876"/>
      <c r="SHE8" s="1876"/>
      <c r="SHF8" s="1876"/>
      <c r="SHG8" s="1876"/>
      <c r="SHH8" s="1876"/>
      <c r="SHI8" s="1876"/>
      <c r="SHJ8" s="1876"/>
      <c r="SHK8" s="1876"/>
      <c r="SHL8" s="1876"/>
      <c r="SHM8" s="1876"/>
      <c r="SHN8" s="1876"/>
      <c r="SHO8" s="1876"/>
      <c r="SHP8" s="1876"/>
      <c r="SHQ8" s="1876"/>
      <c r="SHR8" s="1876"/>
      <c r="SHS8" s="1876"/>
      <c r="SHT8" s="1876"/>
      <c r="SHU8" s="1876"/>
      <c r="SHV8" s="1876"/>
      <c r="SHW8" s="1876"/>
      <c r="SHX8" s="1876"/>
      <c r="SHY8" s="1876"/>
      <c r="SHZ8" s="1876"/>
      <c r="SIA8" s="1876"/>
      <c r="SIB8" s="1876"/>
      <c r="SIC8" s="1876"/>
      <c r="SID8" s="1876"/>
      <c r="SIE8" s="1876"/>
      <c r="SIF8" s="1876"/>
      <c r="SIG8" s="1876"/>
      <c r="SIH8" s="1876"/>
      <c r="SII8" s="1876"/>
      <c r="SIJ8" s="1876"/>
      <c r="SIK8" s="1876"/>
      <c r="SIL8" s="1876"/>
      <c r="SIM8" s="1876"/>
      <c r="SIN8" s="1876"/>
      <c r="SIO8" s="1876"/>
      <c r="SIP8" s="1876"/>
      <c r="SIQ8" s="1876"/>
      <c r="SIR8" s="1876"/>
      <c r="SIS8" s="1876"/>
      <c r="SIT8" s="1876"/>
      <c r="SIU8" s="1876"/>
      <c r="SIV8" s="1876"/>
      <c r="SIW8" s="1876"/>
      <c r="SIX8" s="1876"/>
      <c r="SIY8" s="1876"/>
      <c r="SIZ8" s="1876"/>
      <c r="SJA8" s="1876"/>
      <c r="SJB8" s="1876"/>
      <c r="SJC8" s="1876"/>
      <c r="SJD8" s="1876"/>
      <c r="SJE8" s="1876"/>
      <c r="SJF8" s="1876"/>
      <c r="SJG8" s="1876"/>
      <c r="SJH8" s="1876"/>
      <c r="SJI8" s="1876"/>
      <c r="SJJ8" s="1876"/>
      <c r="SJK8" s="1876"/>
      <c r="SJL8" s="1876"/>
      <c r="SJM8" s="1876"/>
      <c r="SJN8" s="1876"/>
      <c r="SJO8" s="1876"/>
      <c r="SJP8" s="1876"/>
      <c r="SJQ8" s="1876"/>
      <c r="SJR8" s="1876"/>
      <c r="SJS8" s="1876"/>
      <c r="SJT8" s="1876"/>
      <c r="SJU8" s="1876"/>
      <c r="SJV8" s="1876"/>
      <c r="SJW8" s="1876"/>
      <c r="SJX8" s="1876"/>
      <c r="SJY8" s="1876"/>
      <c r="SJZ8" s="1876"/>
      <c r="SKA8" s="1876"/>
      <c r="SKB8" s="1876"/>
      <c r="SKC8" s="1876"/>
      <c r="SKD8" s="1876"/>
      <c r="SKE8" s="1876"/>
      <c r="SKF8" s="1876"/>
      <c r="SKG8" s="1876"/>
      <c r="SKH8" s="1876"/>
      <c r="SKI8" s="1876"/>
      <c r="SKJ8" s="1876"/>
      <c r="SKK8" s="1876"/>
      <c r="SKL8" s="1876"/>
      <c r="SKM8" s="1876"/>
      <c r="SKN8" s="1876"/>
      <c r="SKO8" s="1876"/>
      <c r="SKP8" s="1876"/>
      <c r="SKQ8" s="1876"/>
      <c r="SKR8" s="1876"/>
      <c r="SKS8" s="1876"/>
      <c r="SKT8" s="1876"/>
      <c r="SKU8" s="1876"/>
      <c r="SKV8" s="1876"/>
      <c r="SKW8" s="1876"/>
      <c r="SKX8" s="1876"/>
      <c r="SKY8" s="1876"/>
      <c r="SKZ8" s="1876"/>
      <c r="SLA8" s="1876"/>
      <c r="SLB8" s="1876"/>
      <c r="SLC8" s="1876"/>
      <c r="SLD8" s="1876"/>
      <c r="SLE8" s="1876"/>
      <c r="SLF8" s="1876"/>
      <c r="SLG8" s="1876"/>
      <c r="SLH8" s="1876"/>
      <c r="SLI8" s="1876"/>
      <c r="SLJ8" s="1876"/>
      <c r="SLK8" s="1876"/>
      <c r="SLL8" s="1876"/>
      <c r="SLM8" s="1876"/>
      <c r="SLN8" s="1876"/>
      <c r="SLO8" s="1876"/>
      <c r="SLP8" s="1876"/>
      <c r="SLQ8" s="1876"/>
      <c r="SLR8" s="1876"/>
      <c r="SLS8" s="1876"/>
      <c r="SLT8" s="1876"/>
      <c r="SLU8" s="1876"/>
      <c r="SLV8" s="1876"/>
      <c r="SLW8" s="1876"/>
      <c r="SLX8" s="1876"/>
      <c r="SLY8" s="1876"/>
      <c r="SLZ8" s="1876"/>
      <c r="SMA8" s="1876"/>
      <c r="SMB8" s="1876"/>
      <c r="SMC8" s="1876"/>
      <c r="SMD8" s="1876"/>
      <c r="SME8" s="1876"/>
      <c r="SMF8" s="1876"/>
      <c r="SMG8" s="1876"/>
      <c r="SMH8" s="1876"/>
      <c r="SMI8" s="1876"/>
      <c r="SMJ8" s="1876"/>
      <c r="SMK8" s="1876"/>
      <c r="SML8" s="1876"/>
      <c r="SMM8" s="1876"/>
      <c r="SMN8" s="1876"/>
      <c r="SMO8" s="1876"/>
      <c r="SMP8" s="1876"/>
      <c r="SMQ8" s="1876"/>
      <c r="SMR8" s="1876"/>
      <c r="SMS8" s="1876"/>
      <c r="SMT8" s="1876"/>
      <c r="SMU8" s="1876"/>
      <c r="SMV8" s="1876"/>
      <c r="SMW8" s="1876"/>
      <c r="SMX8" s="1876"/>
      <c r="SMY8" s="1876"/>
      <c r="SMZ8" s="1876"/>
      <c r="SNA8" s="1876"/>
      <c r="SNB8" s="1876"/>
      <c r="SNC8" s="1876"/>
      <c r="SND8" s="1876"/>
      <c r="SNE8" s="1876"/>
      <c r="SNF8" s="1876"/>
      <c r="SNG8" s="1876"/>
      <c r="SNH8" s="1876"/>
      <c r="SNI8" s="1876"/>
      <c r="SNJ8" s="1876"/>
      <c r="SNK8" s="1876"/>
      <c r="SNL8" s="1876"/>
      <c r="SNM8" s="1876"/>
      <c r="SNN8" s="1876"/>
      <c r="SNO8" s="1876"/>
      <c r="SNP8" s="1876"/>
      <c r="SNQ8" s="1876"/>
      <c r="SNR8" s="1876"/>
      <c r="SNS8" s="1876"/>
      <c r="SNT8" s="1876"/>
      <c r="SNU8" s="1876"/>
      <c r="SNV8" s="1876"/>
      <c r="SNW8" s="1876"/>
      <c r="SNX8" s="1876"/>
      <c r="SNY8" s="1876"/>
      <c r="SNZ8" s="1876"/>
      <c r="SOA8" s="1876"/>
      <c r="SOB8" s="1876"/>
      <c r="SOC8" s="1876"/>
      <c r="SOD8" s="1876"/>
      <c r="SOE8" s="1876"/>
      <c r="SOF8" s="1876"/>
      <c r="SOG8" s="1876"/>
      <c r="SOH8" s="1876"/>
      <c r="SOI8" s="1876"/>
      <c r="SOJ8" s="1876"/>
      <c r="SOK8" s="1876"/>
      <c r="SOL8" s="1876"/>
      <c r="SOM8" s="1876"/>
      <c r="SON8" s="1876"/>
      <c r="SOO8" s="1876"/>
      <c r="SOP8" s="1876"/>
      <c r="SOQ8" s="1876"/>
      <c r="SOR8" s="1876"/>
      <c r="SOS8" s="1876"/>
      <c r="SOT8" s="1876"/>
      <c r="SOU8" s="1876"/>
      <c r="SOV8" s="1876"/>
      <c r="SOW8" s="1876"/>
      <c r="SOX8" s="1876"/>
      <c r="SOY8" s="1876"/>
      <c r="SOZ8" s="1876"/>
      <c r="SPA8" s="1876"/>
      <c r="SPB8" s="1876"/>
      <c r="SPC8" s="1876"/>
      <c r="SPD8" s="1876"/>
      <c r="SPE8" s="1876"/>
      <c r="SPF8" s="1876"/>
      <c r="SPG8" s="1876"/>
      <c r="SPH8" s="1876"/>
      <c r="SPI8" s="1876"/>
      <c r="SPJ8" s="1876"/>
      <c r="SPK8" s="1876"/>
      <c r="SPL8" s="1876"/>
      <c r="SPM8" s="1876"/>
      <c r="SPN8" s="1876"/>
      <c r="SPO8" s="1876"/>
      <c r="SPP8" s="1876"/>
      <c r="SPQ8" s="1876"/>
      <c r="SPR8" s="1876"/>
      <c r="SPS8" s="1876"/>
      <c r="SPT8" s="1876"/>
      <c r="SPU8" s="1876"/>
      <c r="SPV8" s="1876"/>
      <c r="SPW8" s="1876"/>
      <c r="SPX8" s="1876"/>
      <c r="SPY8" s="1876"/>
      <c r="SPZ8" s="1876"/>
      <c r="SQA8" s="1876"/>
      <c r="SQB8" s="1876"/>
      <c r="SQC8" s="1876"/>
      <c r="SQD8" s="1876"/>
      <c r="SQE8" s="1876"/>
      <c r="SQF8" s="1876"/>
      <c r="SQG8" s="1876"/>
      <c r="SQH8" s="1876"/>
      <c r="SQI8" s="1876"/>
      <c r="SQJ8" s="1876"/>
      <c r="SQK8" s="1876"/>
      <c r="SQL8" s="1876"/>
      <c r="SQM8" s="1876"/>
      <c r="SQN8" s="1876"/>
      <c r="SQO8" s="1876"/>
      <c r="SQP8" s="1876"/>
      <c r="SQQ8" s="1876"/>
      <c r="SQR8" s="1876"/>
      <c r="SQS8" s="1876"/>
      <c r="SQT8" s="1876"/>
      <c r="SQU8" s="1876"/>
      <c r="SQV8" s="1876"/>
      <c r="SQW8" s="1876"/>
      <c r="SQX8" s="1876"/>
      <c r="SQY8" s="1876"/>
      <c r="SQZ8" s="1876"/>
      <c r="SRA8" s="1876"/>
      <c r="SRB8" s="1876"/>
      <c r="SRC8" s="1876"/>
      <c r="SRD8" s="1876"/>
      <c r="SRE8" s="1876"/>
      <c r="SRF8" s="1876"/>
      <c r="SRG8" s="1876"/>
      <c r="SRH8" s="1876"/>
      <c r="SRI8" s="1876"/>
      <c r="SRJ8" s="1876"/>
      <c r="SRK8" s="1876"/>
      <c r="SRL8" s="1876"/>
      <c r="SRM8" s="1876"/>
      <c r="SRN8" s="1876"/>
      <c r="SRO8" s="1876"/>
      <c r="SRP8" s="1876"/>
      <c r="SRQ8" s="1876"/>
      <c r="SRR8" s="1876"/>
      <c r="SRS8" s="1876"/>
      <c r="SRT8" s="1876"/>
      <c r="SRU8" s="1876"/>
      <c r="SRV8" s="1876"/>
      <c r="SRW8" s="1876"/>
      <c r="SRX8" s="1876"/>
      <c r="SRY8" s="1876"/>
      <c r="SRZ8" s="1876"/>
      <c r="SSA8" s="1876"/>
      <c r="SSB8" s="1876"/>
      <c r="SSC8" s="1876"/>
      <c r="SSD8" s="1876"/>
      <c r="SSE8" s="1876"/>
      <c r="SSF8" s="1876"/>
      <c r="SSG8" s="1876"/>
      <c r="SSH8" s="1876"/>
      <c r="SSI8" s="1876"/>
      <c r="SSJ8" s="1876"/>
      <c r="SSK8" s="1876"/>
      <c r="SSL8" s="1876"/>
      <c r="SSM8" s="1876"/>
      <c r="SSN8" s="1876"/>
      <c r="SSO8" s="1876"/>
      <c r="SSP8" s="1876"/>
      <c r="SSQ8" s="1876"/>
      <c r="SSR8" s="1876"/>
      <c r="SSS8" s="1876"/>
      <c r="SST8" s="1876"/>
      <c r="SSU8" s="1876"/>
      <c r="SSV8" s="1876"/>
      <c r="SSW8" s="1876"/>
      <c r="SSX8" s="1876"/>
      <c r="SSY8" s="1876"/>
      <c r="SSZ8" s="1876"/>
      <c r="STA8" s="1876"/>
      <c r="STB8" s="1876"/>
      <c r="STC8" s="1876"/>
      <c r="STD8" s="1876"/>
      <c r="STE8" s="1876"/>
      <c r="STF8" s="1876"/>
      <c r="STG8" s="1876"/>
      <c r="STH8" s="1876"/>
      <c r="STI8" s="1876"/>
      <c r="STJ8" s="1876"/>
      <c r="STK8" s="1876"/>
      <c r="STL8" s="1876"/>
      <c r="STM8" s="1876"/>
      <c r="STN8" s="1876"/>
      <c r="STO8" s="1876"/>
      <c r="STP8" s="1876"/>
      <c r="STQ8" s="1876"/>
      <c r="STR8" s="1876"/>
      <c r="STS8" s="1876"/>
      <c r="STT8" s="1876"/>
      <c r="STU8" s="1876"/>
      <c r="STV8" s="1876"/>
      <c r="STW8" s="1876"/>
      <c r="STX8" s="1876"/>
      <c r="STY8" s="1876"/>
      <c r="STZ8" s="1876"/>
      <c r="SUA8" s="1876"/>
      <c r="SUB8" s="1876"/>
      <c r="SUC8" s="1876"/>
      <c r="SUD8" s="1876"/>
      <c r="SUE8" s="1876"/>
      <c r="SUF8" s="1876"/>
      <c r="SUG8" s="1876"/>
      <c r="SUH8" s="1876"/>
      <c r="SUI8" s="1876"/>
      <c r="SUJ8" s="1876"/>
      <c r="SUK8" s="1876"/>
      <c r="SUL8" s="1876"/>
      <c r="SUM8" s="1876"/>
      <c r="SUN8" s="1876"/>
      <c r="SUO8" s="1876"/>
      <c r="SUP8" s="1876"/>
      <c r="SUQ8" s="1876"/>
      <c r="SUR8" s="1876"/>
      <c r="SUS8" s="1876"/>
      <c r="SUT8" s="1876"/>
      <c r="SUU8" s="1876"/>
      <c r="SUV8" s="1876"/>
      <c r="SUW8" s="1876"/>
      <c r="SUX8" s="1876"/>
      <c r="SUY8" s="1876"/>
      <c r="SUZ8" s="1876"/>
      <c r="SVA8" s="1876"/>
      <c r="SVB8" s="1876"/>
      <c r="SVC8" s="1876"/>
      <c r="SVD8" s="1876"/>
      <c r="SVE8" s="1876"/>
      <c r="SVF8" s="1876"/>
      <c r="SVG8" s="1876"/>
      <c r="SVH8" s="1876"/>
      <c r="SVI8" s="1876"/>
      <c r="SVJ8" s="1876"/>
      <c r="SVK8" s="1876"/>
      <c r="SVL8" s="1876"/>
      <c r="SVM8" s="1876"/>
      <c r="SVN8" s="1876"/>
      <c r="SVO8" s="1876"/>
      <c r="SVP8" s="1876"/>
      <c r="SVQ8" s="1876"/>
      <c r="SVR8" s="1876"/>
      <c r="SVS8" s="1876"/>
      <c r="SVT8" s="1876"/>
      <c r="SVU8" s="1876"/>
      <c r="SVV8" s="1876"/>
      <c r="SVW8" s="1876"/>
      <c r="SVX8" s="1876"/>
      <c r="SVY8" s="1876"/>
      <c r="SVZ8" s="1876"/>
      <c r="SWA8" s="1876"/>
      <c r="SWB8" s="1876"/>
      <c r="SWC8" s="1876"/>
      <c r="SWD8" s="1876"/>
      <c r="SWE8" s="1876"/>
      <c r="SWF8" s="1876"/>
      <c r="SWG8" s="1876"/>
      <c r="SWH8" s="1876"/>
      <c r="SWI8" s="1876"/>
      <c r="SWJ8" s="1876"/>
      <c r="SWK8" s="1876"/>
      <c r="SWL8" s="1876"/>
      <c r="SWM8" s="1876"/>
      <c r="SWN8" s="1876"/>
      <c r="SWO8" s="1876"/>
      <c r="SWP8" s="1876"/>
      <c r="SWQ8" s="1876"/>
      <c r="SWR8" s="1876"/>
      <c r="SWS8" s="1876"/>
      <c r="SWT8" s="1876"/>
      <c r="SWU8" s="1876"/>
      <c r="SWV8" s="1876"/>
      <c r="SWW8" s="1876"/>
      <c r="SWX8" s="1876"/>
      <c r="SWY8" s="1876"/>
      <c r="SWZ8" s="1876"/>
      <c r="SXA8" s="1876"/>
      <c r="SXB8" s="1876"/>
      <c r="SXC8" s="1876"/>
      <c r="SXD8" s="1876"/>
      <c r="SXE8" s="1876"/>
      <c r="SXF8" s="1876"/>
      <c r="SXG8" s="1876"/>
      <c r="SXH8" s="1876"/>
      <c r="SXI8" s="1876"/>
      <c r="SXJ8" s="1876"/>
      <c r="SXK8" s="1876"/>
      <c r="SXL8" s="1876"/>
      <c r="SXM8" s="1876"/>
      <c r="SXN8" s="1876"/>
      <c r="SXO8" s="1876"/>
      <c r="SXP8" s="1876"/>
      <c r="SXQ8" s="1876"/>
      <c r="SXR8" s="1876"/>
      <c r="SXS8" s="1876"/>
      <c r="SXT8" s="1876"/>
      <c r="SXU8" s="1876"/>
      <c r="SXV8" s="1876"/>
      <c r="SXW8" s="1876"/>
      <c r="SXX8" s="1876"/>
      <c r="SXY8" s="1876"/>
      <c r="SXZ8" s="1876"/>
      <c r="SYA8" s="1876"/>
      <c r="SYB8" s="1876"/>
      <c r="SYC8" s="1876"/>
      <c r="SYD8" s="1876"/>
      <c r="SYE8" s="1876"/>
      <c r="SYF8" s="1876"/>
      <c r="SYG8" s="1876"/>
      <c r="SYH8" s="1876"/>
      <c r="SYI8" s="1876"/>
      <c r="SYJ8" s="1876"/>
      <c r="SYK8" s="1876"/>
      <c r="SYL8" s="1876"/>
      <c r="SYM8" s="1876"/>
      <c r="SYN8" s="1876"/>
      <c r="SYO8" s="1876"/>
      <c r="SYP8" s="1876"/>
      <c r="SYQ8" s="1876"/>
      <c r="SYR8" s="1876"/>
      <c r="SYS8" s="1876"/>
      <c r="SYT8" s="1876"/>
      <c r="SYU8" s="1876"/>
      <c r="SYV8" s="1876"/>
      <c r="SYW8" s="1876"/>
      <c r="SYX8" s="1876"/>
      <c r="SYY8" s="1876"/>
      <c r="SYZ8" s="1876"/>
      <c r="SZA8" s="1876"/>
      <c r="SZB8" s="1876"/>
      <c r="SZC8" s="1876"/>
      <c r="SZD8" s="1876"/>
      <c r="SZE8" s="1876"/>
      <c r="SZF8" s="1876"/>
      <c r="SZG8" s="1876"/>
      <c r="SZH8" s="1876"/>
      <c r="SZI8" s="1876"/>
      <c r="SZJ8" s="1876"/>
      <c r="SZK8" s="1876"/>
      <c r="SZL8" s="1876"/>
      <c r="SZM8" s="1876"/>
      <c r="SZN8" s="1876"/>
      <c r="SZO8" s="1876"/>
      <c r="SZP8" s="1876"/>
      <c r="SZQ8" s="1876"/>
      <c r="SZR8" s="1876"/>
      <c r="SZS8" s="1876"/>
      <c r="SZT8" s="1876"/>
      <c r="SZU8" s="1876"/>
      <c r="SZV8" s="1876"/>
      <c r="SZW8" s="1876"/>
      <c r="SZX8" s="1876"/>
      <c r="SZY8" s="1876"/>
      <c r="SZZ8" s="1876"/>
      <c r="TAA8" s="1876"/>
      <c r="TAB8" s="1876"/>
      <c r="TAC8" s="1876"/>
      <c r="TAD8" s="1876"/>
      <c r="TAE8" s="1876"/>
      <c r="TAF8" s="1876"/>
      <c r="TAG8" s="1876"/>
      <c r="TAH8" s="1876"/>
      <c r="TAI8" s="1876"/>
      <c r="TAJ8" s="1876"/>
      <c r="TAK8" s="1876"/>
      <c r="TAL8" s="1876"/>
      <c r="TAM8" s="1876"/>
      <c r="TAN8" s="1876"/>
      <c r="TAO8" s="1876"/>
      <c r="TAP8" s="1876"/>
      <c r="TAQ8" s="1876"/>
      <c r="TAR8" s="1876"/>
      <c r="TAS8" s="1876"/>
      <c r="TAT8" s="1876"/>
      <c r="TAU8" s="1876"/>
      <c r="TAV8" s="1876"/>
      <c r="TAW8" s="1876"/>
      <c r="TAX8" s="1876"/>
      <c r="TAY8" s="1876"/>
      <c r="TAZ8" s="1876"/>
      <c r="TBA8" s="1876"/>
      <c r="TBB8" s="1876"/>
      <c r="TBC8" s="1876"/>
      <c r="TBD8" s="1876"/>
      <c r="TBE8" s="1876"/>
      <c r="TBF8" s="1876"/>
      <c r="TBG8" s="1876"/>
      <c r="TBH8" s="1876"/>
      <c r="TBI8" s="1876"/>
      <c r="TBJ8" s="1876"/>
      <c r="TBK8" s="1876"/>
      <c r="TBL8" s="1876"/>
      <c r="TBM8" s="1876"/>
      <c r="TBN8" s="1876"/>
      <c r="TBO8" s="1876"/>
      <c r="TBP8" s="1876"/>
      <c r="TBQ8" s="1876"/>
      <c r="TBR8" s="1876"/>
      <c r="TBS8" s="1876"/>
      <c r="TBT8" s="1876"/>
      <c r="TBU8" s="1876"/>
      <c r="TBV8" s="1876"/>
      <c r="TBW8" s="1876"/>
      <c r="TBX8" s="1876"/>
      <c r="TBY8" s="1876"/>
      <c r="TBZ8" s="1876"/>
      <c r="TCA8" s="1876"/>
      <c r="TCB8" s="1876"/>
      <c r="TCC8" s="1876"/>
      <c r="TCD8" s="1876"/>
      <c r="TCE8" s="1876"/>
      <c r="TCF8" s="1876"/>
      <c r="TCG8" s="1876"/>
      <c r="TCH8" s="1876"/>
      <c r="TCI8" s="1876"/>
      <c r="TCJ8" s="1876"/>
      <c r="TCK8" s="1876"/>
      <c r="TCL8" s="1876"/>
      <c r="TCM8" s="1876"/>
      <c r="TCN8" s="1876"/>
      <c r="TCO8" s="1876"/>
      <c r="TCP8" s="1876"/>
      <c r="TCQ8" s="1876"/>
      <c r="TCR8" s="1876"/>
      <c r="TCS8" s="1876"/>
      <c r="TCT8" s="1876"/>
      <c r="TCU8" s="1876"/>
      <c r="TCV8" s="1876"/>
      <c r="TCW8" s="1876"/>
      <c r="TCX8" s="1876"/>
      <c r="TCY8" s="1876"/>
      <c r="TCZ8" s="1876"/>
      <c r="TDA8" s="1876"/>
      <c r="TDB8" s="1876"/>
      <c r="TDC8" s="1876"/>
      <c r="TDD8" s="1876"/>
      <c r="TDE8" s="1876"/>
      <c r="TDF8" s="1876"/>
      <c r="TDG8" s="1876"/>
      <c r="TDH8" s="1876"/>
      <c r="TDI8" s="1876"/>
      <c r="TDJ8" s="1876"/>
      <c r="TDK8" s="1876"/>
      <c r="TDL8" s="1876"/>
      <c r="TDM8" s="1876"/>
      <c r="TDN8" s="1876"/>
      <c r="TDO8" s="1876"/>
      <c r="TDP8" s="1876"/>
      <c r="TDQ8" s="1876"/>
      <c r="TDR8" s="1876"/>
      <c r="TDS8" s="1876"/>
      <c r="TDT8" s="1876"/>
      <c r="TDU8" s="1876"/>
      <c r="TDV8" s="1876"/>
      <c r="TDW8" s="1876"/>
      <c r="TDX8" s="1876"/>
      <c r="TDY8" s="1876"/>
      <c r="TDZ8" s="1876"/>
      <c r="TEA8" s="1876"/>
      <c r="TEB8" s="1876"/>
      <c r="TEC8" s="1876"/>
      <c r="TED8" s="1876"/>
      <c r="TEE8" s="1876"/>
      <c r="TEF8" s="1876"/>
      <c r="TEG8" s="1876"/>
      <c r="TEH8" s="1876"/>
      <c r="TEI8" s="1876"/>
      <c r="TEJ8" s="1876"/>
      <c r="TEK8" s="1876"/>
      <c r="TEL8" s="1876"/>
      <c r="TEM8" s="1876"/>
      <c r="TEN8" s="1876"/>
      <c r="TEO8" s="1876"/>
      <c r="TEP8" s="1876"/>
      <c r="TEQ8" s="1876"/>
      <c r="TER8" s="1876"/>
      <c r="TES8" s="1876"/>
      <c r="TET8" s="1876"/>
      <c r="TEU8" s="1876"/>
      <c r="TEV8" s="1876"/>
      <c r="TEW8" s="1876"/>
      <c r="TEX8" s="1876"/>
      <c r="TEY8" s="1876"/>
      <c r="TEZ8" s="1876"/>
      <c r="TFA8" s="1876"/>
      <c r="TFB8" s="1876"/>
      <c r="TFC8" s="1876"/>
      <c r="TFD8" s="1876"/>
      <c r="TFE8" s="1876"/>
      <c r="TFF8" s="1876"/>
      <c r="TFG8" s="1876"/>
      <c r="TFH8" s="1876"/>
      <c r="TFI8" s="1876"/>
      <c r="TFJ8" s="1876"/>
      <c r="TFK8" s="1876"/>
      <c r="TFL8" s="1876"/>
      <c r="TFM8" s="1876"/>
      <c r="TFN8" s="1876"/>
      <c r="TFO8" s="1876"/>
      <c r="TFP8" s="1876"/>
      <c r="TFQ8" s="1876"/>
      <c r="TFR8" s="1876"/>
      <c r="TFS8" s="1876"/>
      <c r="TFT8" s="1876"/>
      <c r="TFU8" s="1876"/>
      <c r="TFV8" s="1876"/>
      <c r="TFW8" s="1876"/>
      <c r="TFX8" s="1876"/>
      <c r="TFY8" s="1876"/>
      <c r="TFZ8" s="1876"/>
      <c r="TGA8" s="1876"/>
      <c r="TGB8" s="1876"/>
      <c r="TGC8" s="1876"/>
      <c r="TGD8" s="1876"/>
      <c r="TGE8" s="1876"/>
      <c r="TGF8" s="1876"/>
      <c r="TGG8" s="1876"/>
      <c r="TGH8" s="1876"/>
      <c r="TGI8" s="1876"/>
      <c r="TGJ8" s="1876"/>
      <c r="TGK8" s="1876"/>
      <c r="TGL8" s="1876"/>
      <c r="TGM8" s="1876"/>
      <c r="TGN8" s="1876"/>
      <c r="TGO8" s="1876"/>
      <c r="TGP8" s="1876"/>
      <c r="TGQ8" s="1876"/>
      <c r="TGR8" s="1876"/>
      <c r="TGS8" s="1876"/>
      <c r="TGT8" s="1876"/>
      <c r="TGU8" s="1876"/>
      <c r="TGV8" s="1876"/>
      <c r="TGW8" s="1876"/>
      <c r="TGX8" s="1876"/>
      <c r="TGY8" s="1876"/>
      <c r="TGZ8" s="1876"/>
      <c r="THA8" s="1876"/>
      <c r="THB8" s="1876"/>
      <c r="THC8" s="1876"/>
      <c r="THD8" s="1876"/>
      <c r="THE8" s="1876"/>
      <c r="THF8" s="1876"/>
      <c r="THG8" s="1876"/>
      <c r="THH8" s="1876"/>
      <c r="THI8" s="1876"/>
      <c r="THJ8" s="1876"/>
      <c r="THK8" s="1876"/>
      <c r="THL8" s="1876"/>
      <c r="THM8" s="1876"/>
      <c r="THN8" s="1876"/>
      <c r="THO8" s="1876"/>
      <c r="THP8" s="1876"/>
      <c r="THQ8" s="1876"/>
      <c r="THR8" s="1876"/>
      <c r="THS8" s="1876"/>
      <c r="THT8" s="1876"/>
      <c r="THU8" s="1876"/>
      <c r="THV8" s="1876"/>
      <c r="THW8" s="1876"/>
      <c r="THX8" s="1876"/>
      <c r="THY8" s="1876"/>
      <c r="THZ8" s="1876"/>
      <c r="TIA8" s="1876"/>
      <c r="TIB8" s="1876"/>
      <c r="TIC8" s="1876"/>
      <c r="TID8" s="1876"/>
      <c r="TIE8" s="1876"/>
      <c r="TIF8" s="1876"/>
      <c r="TIG8" s="1876"/>
      <c r="TIH8" s="1876"/>
      <c r="TII8" s="1876"/>
      <c r="TIJ8" s="1876"/>
      <c r="TIK8" s="1876"/>
      <c r="TIL8" s="1876"/>
      <c r="TIM8" s="1876"/>
      <c r="TIN8" s="1876"/>
      <c r="TIO8" s="1876"/>
      <c r="TIP8" s="1876"/>
      <c r="TIQ8" s="1876"/>
      <c r="TIR8" s="1876"/>
      <c r="TIS8" s="1876"/>
      <c r="TIT8" s="1876"/>
      <c r="TIU8" s="1876"/>
      <c r="TIV8" s="1876"/>
      <c r="TIW8" s="1876"/>
      <c r="TIX8" s="1876"/>
      <c r="TIY8" s="1876"/>
      <c r="TIZ8" s="1876"/>
      <c r="TJA8" s="1876"/>
      <c r="TJB8" s="1876"/>
      <c r="TJC8" s="1876"/>
      <c r="TJD8" s="1876"/>
      <c r="TJE8" s="1876"/>
      <c r="TJF8" s="1876"/>
      <c r="TJG8" s="1876"/>
      <c r="TJH8" s="1876"/>
      <c r="TJI8" s="1876"/>
      <c r="TJJ8" s="1876"/>
      <c r="TJK8" s="1876"/>
      <c r="TJL8" s="1876"/>
      <c r="TJM8" s="1876"/>
      <c r="TJN8" s="1876"/>
      <c r="TJO8" s="1876"/>
      <c r="TJP8" s="1876"/>
      <c r="TJQ8" s="1876"/>
      <c r="TJR8" s="1876"/>
      <c r="TJS8" s="1876"/>
      <c r="TJT8" s="1876"/>
      <c r="TJU8" s="1876"/>
      <c r="TJV8" s="1876"/>
      <c r="TJW8" s="1876"/>
      <c r="TJX8" s="1876"/>
      <c r="TJY8" s="1876"/>
      <c r="TJZ8" s="1876"/>
      <c r="TKA8" s="1876"/>
      <c r="TKB8" s="1876"/>
      <c r="TKC8" s="1876"/>
      <c r="TKD8" s="1876"/>
      <c r="TKE8" s="1876"/>
      <c r="TKF8" s="1876"/>
      <c r="TKG8" s="1876"/>
      <c r="TKH8" s="1876"/>
      <c r="TKI8" s="1876"/>
      <c r="TKJ8" s="1876"/>
      <c r="TKK8" s="1876"/>
      <c r="TKL8" s="1876"/>
      <c r="TKM8" s="1876"/>
      <c r="TKN8" s="1876"/>
      <c r="TKO8" s="1876"/>
      <c r="TKP8" s="1876"/>
      <c r="TKQ8" s="1876"/>
      <c r="TKR8" s="1876"/>
      <c r="TKS8" s="1876"/>
      <c r="TKT8" s="1876"/>
      <c r="TKU8" s="1876"/>
      <c r="TKV8" s="1876"/>
      <c r="TKW8" s="1876"/>
      <c r="TKX8" s="1876"/>
      <c r="TKY8" s="1876"/>
      <c r="TKZ8" s="1876"/>
      <c r="TLA8" s="1876"/>
      <c r="TLB8" s="1876"/>
      <c r="TLC8" s="1876"/>
      <c r="TLD8" s="1876"/>
      <c r="TLE8" s="1876"/>
      <c r="TLF8" s="1876"/>
      <c r="TLG8" s="1876"/>
      <c r="TLH8" s="1876"/>
      <c r="TLI8" s="1876"/>
      <c r="TLJ8" s="1876"/>
      <c r="TLK8" s="1876"/>
      <c r="TLL8" s="1876"/>
      <c r="TLM8" s="1876"/>
      <c r="TLN8" s="1876"/>
      <c r="TLO8" s="1876"/>
      <c r="TLP8" s="1876"/>
      <c r="TLQ8" s="1876"/>
      <c r="TLR8" s="1876"/>
      <c r="TLS8" s="1876"/>
      <c r="TLT8" s="1876"/>
      <c r="TLU8" s="1876"/>
      <c r="TLV8" s="1876"/>
      <c r="TLW8" s="1876"/>
      <c r="TLX8" s="1876"/>
      <c r="TLY8" s="1876"/>
      <c r="TLZ8" s="1876"/>
      <c r="TMA8" s="1876"/>
      <c r="TMB8" s="1876"/>
      <c r="TMC8" s="1876"/>
      <c r="TMD8" s="1876"/>
      <c r="TME8" s="1876"/>
      <c r="TMF8" s="1876"/>
      <c r="TMG8" s="1876"/>
      <c r="TMH8" s="1876"/>
      <c r="TMI8" s="1876"/>
      <c r="TMJ8" s="1876"/>
      <c r="TMK8" s="1876"/>
      <c r="TML8" s="1876"/>
      <c r="TMM8" s="1876"/>
      <c r="TMN8" s="1876"/>
      <c r="TMO8" s="1876"/>
      <c r="TMP8" s="1876"/>
      <c r="TMQ8" s="1876"/>
      <c r="TMR8" s="1876"/>
      <c r="TMS8" s="1876"/>
      <c r="TMT8" s="1876"/>
      <c r="TMU8" s="1876"/>
      <c r="TMV8" s="1876"/>
      <c r="TMW8" s="1876"/>
      <c r="TMX8" s="1876"/>
      <c r="TMY8" s="1876"/>
      <c r="TMZ8" s="1876"/>
      <c r="TNA8" s="1876"/>
      <c r="TNB8" s="1876"/>
      <c r="TNC8" s="1876"/>
      <c r="TND8" s="1876"/>
      <c r="TNE8" s="1876"/>
      <c r="TNF8" s="1876"/>
      <c r="TNG8" s="1876"/>
      <c r="TNH8" s="1876"/>
      <c r="TNI8" s="1876"/>
      <c r="TNJ8" s="1876"/>
      <c r="TNK8" s="1876"/>
      <c r="TNL8" s="1876"/>
      <c r="TNM8" s="1876"/>
      <c r="TNN8" s="1876"/>
      <c r="TNO8" s="1876"/>
      <c r="TNP8" s="1876"/>
      <c r="TNQ8" s="1876"/>
      <c r="TNR8" s="1876"/>
      <c r="TNS8" s="1876"/>
      <c r="TNT8" s="1876"/>
      <c r="TNU8" s="1876"/>
      <c r="TNV8" s="1876"/>
      <c r="TNW8" s="1876"/>
      <c r="TNX8" s="1876"/>
      <c r="TNY8" s="1876"/>
      <c r="TNZ8" s="1876"/>
      <c r="TOA8" s="1876"/>
      <c r="TOB8" s="1876"/>
      <c r="TOC8" s="1876"/>
      <c r="TOD8" s="1876"/>
      <c r="TOE8" s="1876"/>
      <c r="TOF8" s="1876"/>
      <c r="TOG8" s="1876"/>
      <c r="TOH8" s="1876"/>
      <c r="TOI8" s="1876"/>
      <c r="TOJ8" s="1876"/>
      <c r="TOK8" s="1876"/>
      <c r="TOL8" s="1876"/>
      <c r="TOM8" s="1876"/>
      <c r="TON8" s="1876"/>
      <c r="TOO8" s="1876"/>
      <c r="TOP8" s="1876"/>
      <c r="TOQ8" s="1876"/>
      <c r="TOR8" s="1876"/>
      <c r="TOS8" s="1876"/>
      <c r="TOT8" s="1876"/>
      <c r="TOU8" s="1876"/>
      <c r="TOV8" s="1876"/>
      <c r="TOW8" s="1876"/>
      <c r="TOX8" s="1876"/>
      <c r="TOY8" s="1876"/>
      <c r="TOZ8" s="1876"/>
      <c r="TPA8" s="1876"/>
      <c r="TPB8" s="1876"/>
      <c r="TPC8" s="1876"/>
      <c r="TPD8" s="1876"/>
      <c r="TPE8" s="1876"/>
      <c r="TPF8" s="1876"/>
      <c r="TPG8" s="1876"/>
      <c r="TPH8" s="1876"/>
      <c r="TPI8" s="1876"/>
      <c r="TPJ8" s="1876"/>
      <c r="TPK8" s="1876"/>
      <c r="TPL8" s="1876"/>
      <c r="TPM8" s="1876"/>
      <c r="TPN8" s="1876"/>
      <c r="TPO8" s="1876"/>
      <c r="TPP8" s="1876"/>
      <c r="TPQ8" s="1876"/>
      <c r="TPR8" s="1876"/>
      <c r="TPS8" s="1876"/>
      <c r="TPT8" s="1876"/>
      <c r="TPU8" s="1876"/>
      <c r="TPV8" s="1876"/>
      <c r="TPW8" s="1876"/>
      <c r="TPX8" s="1876"/>
      <c r="TPY8" s="1876"/>
      <c r="TPZ8" s="1876"/>
      <c r="TQA8" s="1876"/>
      <c r="TQB8" s="1876"/>
      <c r="TQC8" s="1876"/>
      <c r="TQD8" s="1876"/>
      <c r="TQE8" s="1876"/>
      <c r="TQF8" s="1876"/>
      <c r="TQG8" s="1876"/>
      <c r="TQH8" s="1876"/>
      <c r="TQI8" s="1876"/>
      <c r="TQJ8" s="1876"/>
      <c r="TQK8" s="1876"/>
      <c r="TQL8" s="1876"/>
      <c r="TQM8" s="1876"/>
      <c r="TQN8" s="1876"/>
      <c r="TQO8" s="1876"/>
      <c r="TQP8" s="1876"/>
      <c r="TQQ8" s="1876"/>
      <c r="TQR8" s="1876"/>
      <c r="TQS8" s="1876"/>
      <c r="TQT8" s="1876"/>
      <c r="TQU8" s="1876"/>
      <c r="TQV8" s="1876"/>
      <c r="TQW8" s="1876"/>
      <c r="TQX8" s="1876"/>
      <c r="TQY8" s="1876"/>
      <c r="TQZ8" s="1876"/>
      <c r="TRA8" s="1876"/>
      <c r="TRB8" s="1876"/>
      <c r="TRC8" s="1876"/>
      <c r="TRD8" s="1876"/>
      <c r="TRE8" s="1876"/>
      <c r="TRF8" s="1876"/>
      <c r="TRG8" s="1876"/>
      <c r="TRH8" s="1876"/>
      <c r="TRI8" s="1876"/>
      <c r="TRJ8" s="1876"/>
      <c r="TRK8" s="1876"/>
      <c r="TRL8" s="1876"/>
      <c r="TRM8" s="1876"/>
      <c r="TRN8" s="1876"/>
      <c r="TRO8" s="1876"/>
      <c r="TRP8" s="1876"/>
      <c r="TRQ8" s="1876"/>
      <c r="TRR8" s="1876"/>
      <c r="TRS8" s="1876"/>
      <c r="TRT8" s="1876"/>
      <c r="TRU8" s="1876"/>
      <c r="TRV8" s="1876"/>
      <c r="TRW8" s="1876"/>
      <c r="TRX8" s="1876"/>
      <c r="TRY8" s="1876"/>
      <c r="TRZ8" s="1876"/>
      <c r="TSA8" s="1876"/>
      <c r="TSB8" s="1876"/>
      <c r="TSC8" s="1876"/>
      <c r="TSD8" s="1876"/>
      <c r="TSE8" s="1876"/>
      <c r="TSF8" s="1876"/>
      <c r="TSG8" s="1876"/>
      <c r="TSH8" s="1876"/>
      <c r="TSI8" s="1876"/>
      <c r="TSJ8" s="1876"/>
      <c r="TSK8" s="1876"/>
      <c r="TSL8" s="1876"/>
      <c r="TSM8" s="1876"/>
      <c r="TSN8" s="1876"/>
      <c r="TSO8" s="1876"/>
      <c r="TSP8" s="1876"/>
      <c r="TSQ8" s="1876"/>
      <c r="TSR8" s="1876"/>
      <c r="TSS8" s="1876"/>
      <c r="TST8" s="1876"/>
      <c r="TSU8" s="1876"/>
      <c r="TSV8" s="1876"/>
      <c r="TSW8" s="1876"/>
      <c r="TSX8" s="1876"/>
      <c r="TSY8" s="1876"/>
      <c r="TSZ8" s="1876"/>
      <c r="TTA8" s="1876"/>
      <c r="TTB8" s="1876"/>
      <c r="TTC8" s="1876"/>
      <c r="TTD8" s="1876"/>
      <c r="TTE8" s="1876"/>
      <c r="TTF8" s="1876"/>
      <c r="TTG8" s="1876"/>
      <c r="TTH8" s="1876"/>
      <c r="TTI8" s="1876"/>
      <c r="TTJ8" s="1876"/>
      <c r="TTK8" s="1876"/>
      <c r="TTL8" s="1876"/>
      <c r="TTM8" s="1876"/>
      <c r="TTN8" s="1876"/>
      <c r="TTO8" s="1876"/>
      <c r="TTP8" s="1876"/>
      <c r="TTQ8" s="1876"/>
      <c r="TTR8" s="1876"/>
      <c r="TTS8" s="1876"/>
      <c r="TTT8" s="1876"/>
      <c r="TTU8" s="1876"/>
      <c r="TTV8" s="1876"/>
      <c r="TTW8" s="1876"/>
      <c r="TTX8" s="1876"/>
      <c r="TTY8" s="1876"/>
      <c r="TTZ8" s="1876"/>
      <c r="TUA8" s="1876"/>
      <c r="TUB8" s="1876"/>
      <c r="TUC8" s="1876"/>
      <c r="TUD8" s="1876"/>
      <c r="TUE8" s="1876"/>
      <c r="TUF8" s="1876"/>
      <c r="TUG8" s="1876"/>
      <c r="TUH8" s="1876"/>
      <c r="TUI8" s="1876"/>
      <c r="TUJ8" s="1876"/>
      <c r="TUK8" s="1876"/>
      <c r="TUL8" s="1876"/>
      <c r="TUM8" s="1876"/>
      <c r="TUN8" s="1876"/>
      <c r="TUO8" s="1876"/>
      <c r="TUP8" s="1876"/>
      <c r="TUQ8" s="1876"/>
      <c r="TUR8" s="1876"/>
      <c r="TUS8" s="1876"/>
      <c r="TUT8" s="1876"/>
      <c r="TUU8" s="1876"/>
      <c r="TUV8" s="1876"/>
      <c r="TUW8" s="1876"/>
      <c r="TUX8" s="1876"/>
      <c r="TUY8" s="1876"/>
      <c r="TUZ8" s="1876"/>
      <c r="TVA8" s="1876"/>
      <c r="TVB8" s="1876"/>
      <c r="TVC8" s="1876"/>
      <c r="TVD8" s="1876"/>
      <c r="TVE8" s="1876"/>
      <c r="TVF8" s="1876"/>
      <c r="TVG8" s="1876"/>
      <c r="TVH8" s="1876"/>
      <c r="TVI8" s="1876"/>
      <c r="TVJ8" s="1876"/>
      <c r="TVK8" s="1876"/>
      <c r="TVL8" s="1876"/>
      <c r="TVM8" s="1876"/>
      <c r="TVN8" s="1876"/>
      <c r="TVO8" s="1876"/>
      <c r="TVP8" s="1876"/>
      <c r="TVQ8" s="1876"/>
      <c r="TVR8" s="1876"/>
      <c r="TVS8" s="1876"/>
      <c r="TVT8" s="1876"/>
      <c r="TVU8" s="1876"/>
      <c r="TVV8" s="1876"/>
      <c r="TVW8" s="1876"/>
      <c r="TVX8" s="1876"/>
      <c r="TVY8" s="1876"/>
      <c r="TVZ8" s="1876"/>
      <c r="TWA8" s="1876"/>
      <c r="TWB8" s="1876"/>
      <c r="TWC8" s="1876"/>
      <c r="TWD8" s="1876"/>
      <c r="TWE8" s="1876"/>
      <c r="TWF8" s="1876"/>
      <c r="TWG8" s="1876"/>
      <c r="TWH8" s="1876"/>
      <c r="TWI8" s="1876"/>
      <c r="TWJ8" s="1876"/>
      <c r="TWK8" s="1876"/>
      <c r="TWL8" s="1876"/>
      <c r="TWM8" s="1876"/>
      <c r="TWN8" s="1876"/>
      <c r="TWO8" s="1876"/>
      <c r="TWP8" s="1876"/>
      <c r="TWQ8" s="1876"/>
      <c r="TWR8" s="1876"/>
      <c r="TWS8" s="1876"/>
      <c r="TWT8" s="1876"/>
      <c r="TWU8" s="1876"/>
      <c r="TWV8" s="1876"/>
      <c r="TWW8" s="1876"/>
      <c r="TWX8" s="1876"/>
      <c r="TWY8" s="1876"/>
      <c r="TWZ8" s="1876"/>
      <c r="TXA8" s="1876"/>
      <c r="TXB8" s="1876"/>
      <c r="TXC8" s="1876"/>
      <c r="TXD8" s="1876"/>
      <c r="TXE8" s="1876"/>
      <c r="TXF8" s="1876"/>
      <c r="TXG8" s="1876"/>
      <c r="TXH8" s="1876"/>
      <c r="TXI8" s="1876"/>
      <c r="TXJ8" s="1876"/>
      <c r="TXK8" s="1876"/>
      <c r="TXL8" s="1876"/>
      <c r="TXM8" s="1876"/>
      <c r="TXN8" s="1876"/>
      <c r="TXO8" s="1876"/>
      <c r="TXP8" s="1876"/>
      <c r="TXQ8" s="1876"/>
      <c r="TXR8" s="1876"/>
      <c r="TXS8" s="1876"/>
      <c r="TXT8" s="1876"/>
      <c r="TXU8" s="1876"/>
      <c r="TXV8" s="1876"/>
      <c r="TXW8" s="1876"/>
      <c r="TXX8" s="1876"/>
      <c r="TXY8" s="1876"/>
      <c r="TXZ8" s="1876"/>
      <c r="TYA8" s="1876"/>
      <c r="TYB8" s="1876"/>
      <c r="TYC8" s="1876"/>
      <c r="TYD8" s="1876"/>
      <c r="TYE8" s="1876"/>
      <c r="TYF8" s="1876"/>
      <c r="TYG8" s="1876"/>
      <c r="TYH8" s="1876"/>
      <c r="TYI8" s="1876"/>
      <c r="TYJ8" s="1876"/>
      <c r="TYK8" s="1876"/>
      <c r="TYL8" s="1876"/>
      <c r="TYM8" s="1876"/>
      <c r="TYN8" s="1876"/>
      <c r="TYO8" s="1876"/>
      <c r="TYP8" s="1876"/>
      <c r="TYQ8" s="1876"/>
      <c r="TYR8" s="1876"/>
      <c r="TYS8" s="1876"/>
      <c r="TYT8" s="1876"/>
      <c r="TYU8" s="1876"/>
      <c r="TYV8" s="1876"/>
      <c r="TYW8" s="1876"/>
      <c r="TYX8" s="1876"/>
      <c r="TYY8" s="1876"/>
      <c r="TYZ8" s="1876"/>
      <c r="TZA8" s="1876"/>
      <c r="TZB8" s="1876"/>
      <c r="TZC8" s="1876"/>
      <c r="TZD8" s="1876"/>
      <c r="TZE8" s="1876"/>
      <c r="TZF8" s="1876"/>
      <c r="TZG8" s="1876"/>
      <c r="TZH8" s="1876"/>
      <c r="TZI8" s="1876"/>
      <c r="TZJ8" s="1876"/>
      <c r="TZK8" s="1876"/>
      <c r="TZL8" s="1876"/>
      <c r="TZM8" s="1876"/>
      <c r="TZN8" s="1876"/>
      <c r="TZO8" s="1876"/>
      <c r="TZP8" s="1876"/>
      <c r="TZQ8" s="1876"/>
      <c r="TZR8" s="1876"/>
      <c r="TZS8" s="1876"/>
      <c r="TZT8" s="1876"/>
      <c r="TZU8" s="1876"/>
      <c r="TZV8" s="1876"/>
      <c r="TZW8" s="1876"/>
      <c r="TZX8" s="1876"/>
      <c r="TZY8" s="1876"/>
      <c r="TZZ8" s="1876"/>
      <c r="UAA8" s="1876"/>
      <c r="UAB8" s="1876"/>
      <c r="UAC8" s="1876"/>
      <c r="UAD8" s="1876"/>
      <c r="UAE8" s="1876"/>
      <c r="UAF8" s="1876"/>
      <c r="UAG8" s="1876"/>
      <c r="UAH8" s="1876"/>
      <c r="UAI8" s="1876"/>
      <c r="UAJ8" s="1876"/>
      <c r="UAK8" s="1876"/>
      <c r="UAL8" s="1876"/>
      <c r="UAM8" s="1876"/>
      <c r="UAN8" s="1876"/>
      <c r="UAO8" s="1876"/>
      <c r="UAP8" s="1876"/>
      <c r="UAQ8" s="1876"/>
      <c r="UAR8" s="1876"/>
      <c r="UAS8" s="1876"/>
      <c r="UAT8" s="1876"/>
      <c r="UAU8" s="1876"/>
      <c r="UAV8" s="1876"/>
      <c r="UAW8" s="1876"/>
      <c r="UAX8" s="1876"/>
      <c r="UAY8" s="1876"/>
      <c r="UAZ8" s="1876"/>
      <c r="UBA8" s="1876"/>
      <c r="UBB8" s="1876"/>
      <c r="UBC8" s="1876"/>
      <c r="UBD8" s="1876"/>
      <c r="UBE8" s="1876"/>
      <c r="UBF8" s="1876"/>
      <c r="UBG8" s="1876"/>
      <c r="UBH8" s="1876"/>
      <c r="UBI8" s="1876"/>
      <c r="UBJ8" s="1876"/>
      <c r="UBK8" s="1876"/>
      <c r="UBL8" s="1876"/>
      <c r="UBM8" s="1876"/>
      <c r="UBN8" s="1876"/>
      <c r="UBO8" s="1876"/>
      <c r="UBP8" s="1876"/>
      <c r="UBQ8" s="1876"/>
      <c r="UBR8" s="1876"/>
      <c r="UBS8" s="1876"/>
      <c r="UBT8" s="1876"/>
      <c r="UBU8" s="1876"/>
      <c r="UBV8" s="1876"/>
      <c r="UBW8" s="1876"/>
      <c r="UBX8" s="1876"/>
      <c r="UBY8" s="1876"/>
      <c r="UBZ8" s="1876"/>
      <c r="UCA8" s="1876"/>
      <c r="UCB8" s="1876"/>
      <c r="UCC8" s="1876"/>
      <c r="UCD8" s="1876"/>
      <c r="UCE8" s="1876"/>
      <c r="UCF8" s="1876"/>
      <c r="UCG8" s="1876"/>
      <c r="UCH8" s="1876"/>
      <c r="UCI8" s="1876"/>
      <c r="UCJ8" s="1876"/>
      <c r="UCK8" s="1876"/>
      <c r="UCL8" s="1876"/>
      <c r="UCM8" s="1876"/>
      <c r="UCN8" s="1876"/>
      <c r="UCO8" s="1876"/>
      <c r="UCP8" s="1876"/>
      <c r="UCQ8" s="1876"/>
      <c r="UCR8" s="1876"/>
      <c r="UCS8" s="1876"/>
      <c r="UCT8" s="1876"/>
      <c r="UCU8" s="1876"/>
      <c r="UCV8" s="1876"/>
      <c r="UCW8" s="1876"/>
      <c r="UCX8" s="1876"/>
      <c r="UCY8" s="1876"/>
      <c r="UCZ8" s="1876"/>
      <c r="UDA8" s="1876"/>
      <c r="UDB8" s="1876"/>
      <c r="UDC8" s="1876"/>
      <c r="UDD8" s="1876"/>
      <c r="UDE8" s="1876"/>
      <c r="UDF8" s="1876"/>
      <c r="UDG8" s="1876"/>
      <c r="UDH8" s="1876"/>
      <c r="UDI8" s="1876"/>
      <c r="UDJ8" s="1876"/>
      <c r="UDK8" s="1876"/>
      <c r="UDL8" s="1876"/>
      <c r="UDM8" s="1876"/>
      <c r="UDN8" s="1876"/>
      <c r="UDO8" s="1876"/>
      <c r="UDP8" s="1876"/>
      <c r="UDQ8" s="1876"/>
      <c r="UDR8" s="1876"/>
      <c r="UDS8" s="1876"/>
      <c r="UDT8" s="1876"/>
      <c r="UDU8" s="1876"/>
      <c r="UDV8" s="1876"/>
      <c r="UDW8" s="1876"/>
      <c r="UDX8" s="1876"/>
      <c r="UDY8" s="1876"/>
      <c r="UDZ8" s="1876"/>
      <c r="UEA8" s="1876"/>
      <c r="UEB8" s="1876"/>
      <c r="UEC8" s="1876"/>
      <c r="UED8" s="1876"/>
      <c r="UEE8" s="1876"/>
      <c r="UEF8" s="1876"/>
      <c r="UEG8" s="1876"/>
      <c r="UEH8" s="1876"/>
      <c r="UEI8" s="1876"/>
      <c r="UEJ8" s="1876"/>
      <c r="UEK8" s="1876"/>
      <c r="UEL8" s="1876"/>
      <c r="UEM8" s="1876"/>
      <c r="UEN8" s="1876"/>
      <c r="UEO8" s="1876"/>
      <c r="UEP8" s="1876"/>
      <c r="UEQ8" s="1876"/>
      <c r="UER8" s="1876"/>
      <c r="UES8" s="1876"/>
      <c r="UET8" s="1876"/>
      <c r="UEU8" s="1876"/>
      <c r="UEV8" s="1876"/>
      <c r="UEW8" s="1876"/>
      <c r="UEX8" s="1876"/>
      <c r="UEY8" s="1876"/>
      <c r="UEZ8" s="1876"/>
      <c r="UFA8" s="1876"/>
      <c r="UFB8" s="1876"/>
      <c r="UFC8" s="1876"/>
      <c r="UFD8" s="1876"/>
      <c r="UFE8" s="1876"/>
      <c r="UFF8" s="1876"/>
      <c r="UFG8" s="1876"/>
      <c r="UFH8" s="1876"/>
      <c r="UFI8" s="1876"/>
      <c r="UFJ8" s="1876"/>
      <c r="UFK8" s="1876"/>
      <c r="UFL8" s="1876"/>
      <c r="UFM8" s="1876"/>
      <c r="UFN8" s="1876"/>
      <c r="UFO8" s="1876"/>
      <c r="UFP8" s="1876"/>
      <c r="UFQ8" s="1876"/>
      <c r="UFR8" s="1876"/>
      <c r="UFS8" s="1876"/>
      <c r="UFT8" s="1876"/>
      <c r="UFU8" s="1876"/>
      <c r="UFV8" s="1876"/>
      <c r="UFW8" s="1876"/>
      <c r="UFX8" s="1876"/>
      <c r="UFY8" s="1876"/>
      <c r="UFZ8" s="1876"/>
      <c r="UGA8" s="1876"/>
      <c r="UGB8" s="1876"/>
      <c r="UGC8" s="1876"/>
      <c r="UGD8" s="1876"/>
      <c r="UGE8" s="1876"/>
      <c r="UGF8" s="1876"/>
      <c r="UGG8" s="1876"/>
      <c r="UGH8" s="1876"/>
      <c r="UGI8" s="1876"/>
      <c r="UGJ8" s="1876"/>
      <c r="UGK8" s="1876"/>
      <c r="UGL8" s="1876"/>
      <c r="UGM8" s="1876"/>
      <c r="UGN8" s="1876"/>
      <c r="UGO8" s="1876"/>
      <c r="UGP8" s="1876"/>
      <c r="UGQ8" s="1876"/>
      <c r="UGR8" s="1876"/>
      <c r="UGS8" s="1876"/>
      <c r="UGT8" s="1876"/>
      <c r="UGU8" s="1876"/>
      <c r="UGV8" s="1876"/>
      <c r="UGW8" s="1876"/>
      <c r="UGX8" s="1876"/>
      <c r="UGY8" s="1876"/>
      <c r="UGZ8" s="1876"/>
      <c r="UHA8" s="1876"/>
      <c r="UHB8" s="1876"/>
      <c r="UHC8" s="1876"/>
      <c r="UHD8" s="1876"/>
      <c r="UHE8" s="1876"/>
      <c r="UHF8" s="1876"/>
      <c r="UHG8" s="1876"/>
      <c r="UHH8" s="1876"/>
      <c r="UHI8" s="1876"/>
      <c r="UHJ8" s="1876"/>
      <c r="UHK8" s="1876"/>
      <c r="UHL8" s="1876"/>
      <c r="UHM8" s="1876"/>
      <c r="UHN8" s="1876"/>
      <c r="UHO8" s="1876"/>
      <c r="UHP8" s="1876"/>
      <c r="UHQ8" s="1876"/>
      <c r="UHR8" s="1876"/>
      <c r="UHS8" s="1876"/>
      <c r="UHT8" s="1876"/>
      <c r="UHU8" s="1876"/>
      <c r="UHV8" s="1876"/>
      <c r="UHW8" s="1876"/>
      <c r="UHX8" s="1876"/>
      <c r="UHY8" s="1876"/>
      <c r="UHZ8" s="1876"/>
      <c r="UIA8" s="1876"/>
      <c r="UIB8" s="1876"/>
      <c r="UIC8" s="1876"/>
      <c r="UID8" s="1876"/>
      <c r="UIE8" s="1876"/>
      <c r="UIF8" s="1876"/>
      <c r="UIG8" s="1876"/>
      <c r="UIH8" s="1876"/>
      <c r="UII8" s="1876"/>
      <c r="UIJ8" s="1876"/>
      <c r="UIK8" s="1876"/>
      <c r="UIL8" s="1876"/>
      <c r="UIM8" s="1876"/>
      <c r="UIN8" s="1876"/>
      <c r="UIO8" s="1876"/>
      <c r="UIP8" s="1876"/>
      <c r="UIQ8" s="1876"/>
      <c r="UIR8" s="1876"/>
      <c r="UIS8" s="1876"/>
      <c r="UIT8" s="1876"/>
      <c r="UIU8" s="1876"/>
      <c r="UIV8" s="1876"/>
      <c r="UIW8" s="1876"/>
      <c r="UIX8" s="1876"/>
      <c r="UIY8" s="1876"/>
      <c r="UIZ8" s="1876"/>
      <c r="UJA8" s="1876"/>
      <c r="UJB8" s="1876"/>
      <c r="UJC8" s="1876"/>
      <c r="UJD8" s="1876"/>
      <c r="UJE8" s="1876"/>
      <c r="UJF8" s="1876"/>
      <c r="UJG8" s="1876"/>
      <c r="UJH8" s="1876"/>
      <c r="UJI8" s="1876"/>
      <c r="UJJ8" s="1876"/>
      <c r="UJK8" s="1876"/>
      <c r="UJL8" s="1876"/>
      <c r="UJM8" s="1876"/>
      <c r="UJN8" s="1876"/>
      <c r="UJO8" s="1876"/>
      <c r="UJP8" s="1876"/>
      <c r="UJQ8" s="1876"/>
      <c r="UJR8" s="1876"/>
      <c r="UJS8" s="1876"/>
      <c r="UJT8" s="1876"/>
      <c r="UJU8" s="1876"/>
      <c r="UJV8" s="1876"/>
      <c r="UJW8" s="1876"/>
      <c r="UJX8" s="1876"/>
      <c r="UJY8" s="1876"/>
      <c r="UJZ8" s="1876"/>
      <c r="UKA8" s="1876"/>
      <c r="UKB8" s="1876"/>
      <c r="UKC8" s="1876"/>
      <c r="UKD8" s="1876"/>
      <c r="UKE8" s="1876"/>
      <c r="UKF8" s="1876"/>
      <c r="UKG8" s="1876"/>
      <c r="UKH8" s="1876"/>
      <c r="UKI8" s="1876"/>
      <c r="UKJ8" s="1876"/>
      <c r="UKK8" s="1876"/>
      <c r="UKL8" s="1876"/>
      <c r="UKM8" s="1876"/>
      <c r="UKN8" s="1876"/>
      <c r="UKO8" s="1876"/>
      <c r="UKP8" s="1876"/>
      <c r="UKQ8" s="1876"/>
      <c r="UKR8" s="1876"/>
      <c r="UKS8" s="1876"/>
      <c r="UKT8" s="1876"/>
      <c r="UKU8" s="1876"/>
      <c r="UKV8" s="1876"/>
      <c r="UKW8" s="1876"/>
      <c r="UKX8" s="1876"/>
      <c r="UKY8" s="1876"/>
      <c r="UKZ8" s="1876"/>
      <c r="ULA8" s="1876"/>
      <c r="ULB8" s="1876"/>
      <c r="ULC8" s="1876"/>
      <c r="ULD8" s="1876"/>
      <c r="ULE8" s="1876"/>
      <c r="ULF8" s="1876"/>
      <c r="ULG8" s="1876"/>
      <c r="ULH8" s="1876"/>
      <c r="ULI8" s="1876"/>
      <c r="ULJ8" s="1876"/>
      <c r="ULK8" s="1876"/>
      <c r="ULL8" s="1876"/>
      <c r="ULM8" s="1876"/>
      <c r="ULN8" s="1876"/>
      <c r="ULO8" s="1876"/>
      <c r="ULP8" s="1876"/>
      <c r="ULQ8" s="1876"/>
      <c r="ULR8" s="1876"/>
      <c r="ULS8" s="1876"/>
      <c r="ULT8" s="1876"/>
      <c r="ULU8" s="1876"/>
      <c r="ULV8" s="1876"/>
      <c r="ULW8" s="1876"/>
      <c r="ULX8" s="1876"/>
      <c r="ULY8" s="1876"/>
      <c r="ULZ8" s="1876"/>
      <c r="UMA8" s="1876"/>
      <c r="UMB8" s="1876"/>
      <c r="UMC8" s="1876"/>
      <c r="UMD8" s="1876"/>
      <c r="UME8" s="1876"/>
      <c r="UMF8" s="1876"/>
      <c r="UMG8" s="1876"/>
      <c r="UMH8" s="1876"/>
      <c r="UMI8" s="1876"/>
      <c r="UMJ8" s="1876"/>
      <c r="UMK8" s="1876"/>
      <c r="UML8" s="1876"/>
      <c r="UMM8" s="1876"/>
      <c r="UMN8" s="1876"/>
      <c r="UMO8" s="1876"/>
      <c r="UMP8" s="1876"/>
      <c r="UMQ8" s="1876"/>
      <c r="UMR8" s="1876"/>
      <c r="UMS8" s="1876"/>
      <c r="UMT8" s="1876"/>
      <c r="UMU8" s="1876"/>
      <c r="UMV8" s="1876"/>
      <c r="UMW8" s="1876"/>
      <c r="UMX8" s="1876"/>
      <c r="UMY8" s="1876"/>
      <c r="UMZ8" s="1876"/>
      <c r="UNA8" s="1876"/>
      <c r="UNB8" s="1876"/>
      <c r="UNC8" s="1876"/>
      <c r="UND8" s="1876"/>
      <c r="UNE8" s="1876"/>
      <c r="UNF8" s="1876"/>
      <c r="UNG8" s="1876"/>
      <c r="UNH8" s="1876"/>
      <c r="UNI8" s="1876"/>
      <c r="UNJ8" s="1876"/>
      <c r="UNK8" s="1876"/>
      <c r="UNL8" s="1876"/>
      <c r="UNM8" s="1876"/>
      <c r="UNN8" s="1876"/>
      <c r="UNO8" s="1876"/>
      <c r="UNP8" s="1876"/>
      <c r="UNQ8" s="1876"/>
      <c r="UNR8" s="1876"/>
      <c r="UNS8" s="1876"/>
      <c r="UNT8" s="1876"/>
      <c r="UNU8" s="1876"/>
      <c r="UNV8" s="1876"/>
      <c r="UNW8" s="1876"/>
      <c r="UNX8" s="1876"/>
      <c r="UNY8" s="1876"/>
      <c r="UNZ8" s="1876"/>
      <c r="UOA8" s="1876"/>
      <c r="UOB8" s="1876"/>
      <c r="UOC8" s="1876"/>
      <c r="UOD8" s="1876"/>
      <c r="UOE8" s="1876"/>
      <c r="UOF8" s="1876"/>
      <c r="UOG8" s="1876"/>
      <c r="UOH8" s="1876"/>
      <c r="UOI8" s="1876"/>
      <c r="UOJ8" s="1876"/>
      <c r="UOK8" s="1876"/>
      <c r="UOL8" s="1876"/>
      <c r="UOM8" s="1876"/>
      <c r="UON8" s="1876"/>
      <c r="UOO8" s="1876"/>
      <c r="UOP8" s="1876"/>
      <c r="UOQ8" s="1876"/>
      <c r="UOR8" s="1876"/>
      <c r="UOS8" s="1876"/>
      <c r="UOT8" s="1876"/>
      <c r="UOU8" s="1876"/>
      <c r="UOV8" s="1876"/>
      <c r="UOW8" s="1876"/>
      <c r="UOX8" s="1876"/>
      <c r="UOY8" s="1876"/>
      <c r="UOZ8" s="1876"/>
      <c r="UPA8" s="1876"/>
      <c r="UPB8" s="1876"/>
      <c r="UPC8" s="1876"/>
      <c r="UPD8" s="1876"/>
      <c r="UPE8" s="1876"/>
      <c r="UPF8" s="1876"/>
      <c r="UPG8" s="1876"/>
      <c r="UPH8" s="1876"/>
      <c r="UPI8" s="1876"/>
      <c r="UPJ8" s="1876"/>
      <c r="UPK8" s="1876"/>
      <c r="UPL8" s="1876"/>
      <c r="UPM8" s="1876"/>
      <c r="UPN8" s="1876"/>
      <c r="UPO8" s="1876"/>
      <c r="UPP8" s="1876"/>
      <c r="UPQ8" s="1876"/>
      <c r="UPR8" s="1876"/>
      <c r="UPS8" s="1876"/>
      <c r="UPT8" s="1876"/>
      <c r="UPU8" s="1876"/>
      <c r="UPV8" s="1876"/>
      <c r="UPW8" s="1876"/>
      <c r="UPX8" s="1876"/>
      <c r="UPY8" s="1876"/>
      <c r="UPZ8" s="1876"/>
      <c r="UQA8" s="1876"/>
      <c r="UQB8" s="1876"/>
      <c r="UQC8" s="1876"/>
      <c r="UQD8" s="1876"/>
      <c r="UQE8" s="1876"/>
      <c r="UQF8" s="1876"/>
      <c r="UQG8" s="1876"/>
      <c r="UQH8" s="1876"/>
      <c r="UQI8" s="1876"/>
      <c r="UQJ8" s="1876"/>
      <c r="UQK8" s="1876"/>
      <c r="UQL8" s="1876"/>
      <c r="UQM8" s="1876"/>
      <c r="UQN8" s="1876"/>
      <c r="UQO8" s="1876"/>
      <c r="UQP8" s="1876"/>
      <c r="UQQ8" s="1876"/>
      <c r="UQR8" s="1876"/>
      <c r="UQS8" s="1876"/>
      <c r="UQT8" s="1876"/>
      <c r="UQU8" s="1876"/>
      <c r="UQV8" s="1876"/>
      <c r="UQW8" s="1876"/>
      <c r="UQX8" s="1876"/>
      <c r="UQY8" s="1876"/>
      <c r="UQZ8" s="1876"/>
      <c r="URA8" s="1876"/>
      <c r="URB8" s="1876"/>
      <c r="URC8" s="1876"/>
      <c r="URD8" s="1876"/>
      <c r="URE8" s="1876"/>
      <c r="URF8" s="1876"/>
      <c r="URG8" s="1876"/>
      <c r="URH8" s="1876"/>
      <c r="URI8" s="1876"/>
      <c r="URJ8" s="1876"/>
      <c r="URK8" s="1876"/>
      <c r="URL8" s="1876"/>
      <c r="URM8" s="1876"/>
      <c r="URN8" s="1876"/>
      <c r="URO8" s="1876"/>
      <c r="URP8" s="1876"/>
      <c r="URQ8" s="1876"/>
      <c r="URR8" s="1876"/>
      <c r="URS8" s="1876"/>
      <c r="URT8" s="1876"/>
      <c r="URU8" s="1876"/>
      <c r="URV8" s="1876"/>
      <c r="URW8" s="1876"/>
      <c r="URX8" s="1876"/>
      <c r="URY8" s="1876"/>
      <c r="URZ8" s="1876"/>
      <c r="USA8" s="1876"/>
      <c r="USB8" s="1876"/>
      <c r="USC8" s="1876"/>
      <c r="USD8" s="1876"/>
      <c r="USE8" s="1876"/>
      <c r="USF8" s="1876"/>
      <c r="USG8" s="1876"/>
      <c r="USH8" s="1876"/>
      <c r="USI8" s="1876"/>
      <c r="USJ8" s="1876"/>
      <c r="USK8" s="1876"/>
      <c r="USL8" s="1876"/>
      <c r="USM8" s="1876"/>
      <c r="USN8" s="1876"/>
      <c r="USO8" s="1876"/>
      <c r="USP8" s="1876"/>
      <c r="USQ8" s="1876"/>
      <c r="USR8" s="1876"/>
      <c r="USS8" s="1876"/>
      <c r="UST8" s="1876"/>
      <c r="USU8" s="1876"/>
      <c r="USV8" s="1876"/>
      <c r="USW8" s="1876"/>
      <c r="USX8" s="1876"/>
      <c r="USY8" s="1876"/>
      <c r="USZ8" s="1876"/>
      <c r="UTA8" s="1876"/>
      <c r="UTB8" s="1876"/>
      <c r="UTC8" s="1876"/>
      <c r="UTD8" s="1876"/>
      <c r="UTE8" s="1876"/>
      <c r="UTF8" s="1876"/>
      <c r="UTG8" s="1876"/>
      <c r="UTH8" s="1876"/>
      <c r="UTI8" s="1876"/>
      <c r="UTJ8" s="1876"/>
      <c r="UTK8" s="1876"/>
      <c r="UTL8" s="1876"/>
      <c r="UTM8" s="1876"/>
      <c r="UTN8" s="1876"/>
      <c r="UTO8" s="1876"/>
      <c r="UTP8" s="1876"/>
      <c r="UTQ8" s="1876"/>
      <c r="UTR8" s="1876"/>
      <c r="UTS8" s="1876"/>
      <c r="UTT8" s="1876"/>
      <c r="UTU8" s="1876"/>
      <c r="UTV8" s="1876"/>
      <c r="UTW8" s="1876"/>
      <c r="UTX8" s="1876"/>
      <c r="UTY8" s="1876"/>
      <c r="UTZ8" s="1876"/>
      <c r="UUA8" s="1876"/>
      <c r="UUB8" s="1876"/>
      <c r="UUC8" s="1876"/>
      <c r="UUD8" s="1876"/>
      <c r="UUE8" s="1876"/>
      <c r="UUF8" s="1876"/>
      <c r="UUG8" s="1876"/>
      <c r="UUH8" s="1876"/>
      <c r="UUI8" s="1876"/>
      <c r="UUJ8" s="1876"/>
      <c r="UUK8" s="1876"/>
      <c r="UUL8" s="1876"/>
      <c r="UUM8" s="1876"/>
      <c r="UUN8" s="1876"/>
      <c r="UUO8" s="1876"/>
      <c r="UUP8" s="1876"/>
      <c r="UUQ8" s="1876"/>
      <c r="UUR8" s="1876"/>
      <c r="UUS8" s="1876"/>
      <c r="UUT8" s="1876"/>
      <c r="UUU8" s="1876"/>
      <c r="UUV8" s="1876"/>
      <c r="UUW8" s="1876"/>
      <c r="UUX8" s="1876"/>
      <c r="UUY8" s="1876"/>
      <c r="UUZ8" s="1876"/>
      <c r="UVA8" s="1876"/>
      <c r="UVB8" s="1876"/>
      <c r="UVC8" s="1876"/>
      <c r="UVD8" s="1876"/>
      <c r="UVE8" s="1876"/>
      <c r="UVF8" s="1876"/>
      <c r="UVG8" s="1876"/>
      <c r="UVH8" s="1876"/>
      <c r="UVI8" s="1876"/>
      <c r="UVJ8" s="1876"/>
      <c r="UVK8" s="1876"/>
      <c r="UVL8" s="1876"/>
      <c r="UVM8" s="1876"/>
      <c r="UVN8" s="1876"/>
      <c r="UVO8" s="1876"/>
      <c r="UVP8" s="1876"/>
      <c r="UVQ8" s="1876"/>
      <c r="UVR8" s="1876"/>
      <c r="UVS8" s="1876"/>
      <c r="UVT8" s="1876"/>
      <c r="UVU8" s="1876"/>
      <c r="UVV8" s="1876"/>
      <c r="UVW8" s="1876"/>
      <c r="UVX8" s="1876"/>
      <c r="UVY8" s="1876"/>
      <c r="UVZ8" s="1876"/>
      <c r="UWA8" s="1876"/>
      <c r="UWB8" s="1876"/>
      <c r="UWC8" s="1876"/>
      <c r="UWD8" s="1876"/>
      <c r="UWE8" s="1876"/>
      <c r="UWF8" s="1876"/>
      <c r="UWG8" s="1876"/>
      <c r="UWH8" s="1876"/>
      <c r="UWI8" s="1876"/>
      <c r="UWJ8" s="1876"/>
      <c r="UWK8" s="1876"/>
      <c r="UWL8" s="1876"/>
      <c r="UWM8" s="1876"/>
      <c r="UWN8" s="1876"/>
      <c r="UWO8" s="1876"/>
      <c r="UWP8" s="1876"/>
      <c r="UWQ8" s="1876"/>
      <c r="UWR8" s="1876"/>
      <c r="UWS8" s="1876"/>
      <c r="UWT8" s="1876"/>
      <c r="UWU8" s="1876"/>
      <c r="UWV8" s="1876"/>
      <c r="UWW8" s="1876"/>
      <c r="UWX8" s="1876"/>
      <c r="UWY8" s="1876"/>
      <c r="UWZ8" s="1876"/>
      <c r="UXA8" s="1876"/>
      <c r="UXB8" s="1876"/>
      <c r="UXC8" s="1876"/>
      <c r="UXD8" s="1876"/>
      <c r="UXE8" s="1876"/>
      <c r="UXF8" s="1876"/>
      <c r="UXG8" s="1876"/>
      <c r="UXH8" s="1876"/>
      <c r="UXI8" s="1876"/>
      <c r="UXJ8" s="1876"/>
      <c r="UXK8" s="1876"/>
      <c r="UXL8" s="1876"/>
      <c r="UXM8" s="1876"/>
      <c r="UXN8" s="1876"/>
      <c r="UXO8" s="1876"/>
      <c r="UXP8" s="1876"/>
      <c r="UXQ8" s="1876"/>
      <c r="UXR8" s="1876"/>
      <c r="UXS8" s="1876"/>
      <c r="UXT8" s="1876"/>
      <c r="UXU8" s="1876"/>
      <c r="UXV8" s="1876"/>
      <c r="UXW8" s="1876"/>
      <c r="UXX8" s="1876"/>
      <c r="UXY8" s="1876"/>
      <c r="UXZ8" s="1876"/>
      <c r="UYA8" s="1876"/>
      <c r="UYB8" s="1876"/>
      <c r="UYC8" s="1876"/>
      <c r="UYD8" s="1876"/>
      <c r="UYE8" s="1876"/>
      <c r="UYF8" s="1876"/>
      <c r="UYG8" s="1876"/>
      <c r="UYH8" s="1876"/>
      <c r="UYI8" s="1876"/>
      <c r="UYJ8" s="1876"/>
      <c r="UYK8" s="1876"/>
      <c r="UYL8" s="1876"/>
      <c r="UYM8" s="1876"/>
      <c r="UYN8" s="1876"/>
      <c r="UYO8" s="1876"/>
      <c r="UYP8" s="1876"/>
      <c r="UYQ8" s="1876"/>
      <c r="UYR8" s="1876"/>
      <c r="UYS8" s="1876"/>
      <c r="UYT8" s="1876"/>
      <c r="UYU8" s="1876"/>
      <c r="UYV8" s="1876"/>
      <c r="UYW8" s="1876"/>
      <c r="UYX8" s="1876"/>
      <c r="UYY8" s="1876"/>
      <c r="UYZ8" s="1876"/>
      <c r="UZA8" s="1876"/>
      <c r="UZB8" s="1876"/>
      <c r="UZC8" s="1876"/>
      <c r="UZD8" s="1876"/>
      <c r="UZE8" s="1876"/>
      <c r="UZF8" s="1876"/>
      <c r="UZG8" s="1876"/>
      <c r="UZH8" s="1876"/>
      <c r="UZI8" s="1876"/>
      <c r="UZJ8" s="1876"/>
      <c r="UZK8" s="1876"/>
      <c r="UZL8" s="1876"/>
      <c r="UZM8" s="1876"/>
      <c r="UZN8" s="1876"/>
      <c r="UZO8" s="1876"/>
      <c r="UZP8" s="1876"/>
      <c r="UZQ8" s="1876"/>
      <c r="UZR8" s="1876"/>
      <c r="UZS8" s="1876"/>
      <c r="UZT8" s="1876"/>
      <c r="UZU8" s="1876"/>
      <c r="UZV8" s="1876"/>
      <c r="UZW8" s="1876"/>
      <c r="UZX8" s="1876"/>
      <c r="UZY8" s="1876"/>
      <c r="UZZ8" s="1876"/>
      <c r="VAA8" s="1876"/>
      <c r="VAB8" s="1876"/>
      <c r="VAC8" s="1876"/>
      <c r="VAD8" s="1876"/>
      <c r="VAE8" s="1876"/>
      <c r="VAF8" s="1876"/>
      <c r="VAG8" s="1876"/>
      <c r="VAH8" s="1876"/>
      <c r="VAI8" s="1876"/>
      <c r="VAJ8" s="1876"/>
      <c r="VAK8" s="1876"/>
      <c r="VAL8" s="1876"/>
      <c r="VAM8" s="1876"/>
      <c r="VAN8" s="1876"/>
      <c r="VAO8" s="1876"/>
      <c r="VAP8" s="1876"/>
      <c r="VAQ8" s="1876"/>
      <c r="VAR8" s="1876"/>
      <c r="VAS8" s="1876"/>
      <c r="VAT8" s="1876"/>
      <c r="VAU8" s="1876"/>
      <c r="VAV8" s="1876"/>
      <c r="VAW8" s="1876"/>
      <c r="VAX8" s="1876"/>
      <c r="VAY8" s="1876"/>
      <c r="VAZ8" s="1876"/>
      <c r="VBA8" s="1876"/>
      <c r="VBB8" s="1876"/>
      <c r="VBC8" s="1876"/>
      <c r="VBD8" s="1876"/>
      <c r="VBE8" s="1876"/>
      <c r="VBF8" s="1876"/>
      <c r="VBG8" s="1876"/>
      <c r="VBH8" s="1876"/>
      <c r="VBI8" s="1876"/>
      <c r="VBJ8" s="1876"/>
      <c r="VBK8" s="1876"/>
      <c r="VBL8" s="1876"/>
      <c r="VBM8" s="1876"/>
      <c r="VBN8" s="1876"/>
      <c r="VBO8" s="1876"/>
      <c r="VBP8" s="1876"/>
      <c r="VBQ8" s="1876"/>
      <c r="VBR8" s="1876"/>
      <c r="VBS8" s="1876"/>
      <c r="VBT8" s="1876"/>
      <c r="VBU8" s="1876"/>
      <c r="VBV8" s="1876"/>
      <c r="VBW8" s="1876"/>
      <c r="VBX8" s="1876"/>
      <c r="VBY8" s="1876"/>
      <c r="VBZ8" s="1876"/>
      <c r="VCA8" s="1876"/>
      <c r="VCB8" s="1876"/>
      <c r="VCC8" s="1876"/>
      <c r="VCD8" s="1876"/>
      <c r="VCE8" s="1876"/>
      <c r="VCF8" s="1876"/>
      <c r="VCG8" s="1876"/>
      <c r="VCH8" s="1876"/>
      <c r="VCI8" s="1876"/>
      <c r="VCJ8" s="1876"/>
      <c r="VCK8" s="1876"/>
      <c r="VCL8" s="1876"/>
      <c r="VCM8" s="1876"/>
      <c r="VCN8" s="1876"/>
      <c r="VCO8" s="1876"/>
      <c r="VCP8" s="1876"/>
      <c r="VCQ8" s="1876"/>
      <c r="VCR8" s="1876"/>
      <c r="VCS8" s="1876"/>
      <c r="VCT8" s="1876"/>
      <c r="VCU8" s="1876"/>
      <c r="VCV8" s="1876"/>
      <c r="VCW8" s="1876"/>
      <c r="VCX8" s="1876"/>
      <c r="VCY8" s="1876"/>
      <c r="VCZ8" s="1876"/>
      <c r="VDA8" s="1876"/>
      <c r="VDB8" s="1876"/>
      <c r="VDC8" s="1876"/>
      <c r="VDD8" s="1876"/>
      <c r="VDE8" s="1876"/>
      <c r="VDF8" s="1876"/>
      <c r="VDG8" s="1876"/>
      <c r="VDH8" s="1876"/>
      <c r="VDI8" s="1876"/>
      <c r="VDJ8" s="1876"/>
      <c r="VDK8" s="1876"/>
      <c r="VDL8" s="1876"/>
      <c r="VDM8" s="1876"/>
      <c r="VDN8" s="1876"/>
      <c r="VDO8" s="1876"/>
      <c r="VDP8" s="1876"/>
      <c r="VDQ8" s="1876"/>
      <c r="VDR8" s="1876"/>
      <c r="VDS8" s="1876"/>
      <c r="VDT8" s="1876"/>
      <c r="VDU8" s="1876"/>
      <c r="VDV8" s="1876"/>
      <c r="VDW8" s="1876"/>
      <c r="VDX8" s="1876"/>
      <c r="VDY8" s="1876"/>
      <c r="VDZ8" s="1876"/>
      <c r="VEA8" s="1876"/>
      <c r="VEB8" s="1876"/>
      <c r="VEC8" s="1876"/>
      <c r="VED8" s="1876"/>
      <c r="VEE8" s="1876"/>
      <c r="VEF8" s="1876"/>
      <c r="VEG8" s="1876"/>
      <c r="VEH8" s="1876"/>
      <c r="VEI8" s="1876"/>
      <c r="VEJ8" s="1876"/>
      <c r="VEK8" s="1876"/>
      <c r="VEL8" s="1876"/>
      <c r="VEM8" s="1876"/>
      <c r="VEN8" s="1876"/>
      <c r="VEO8" s="1876"/>
      <c r="VEP8" s="1876"/>
      <c r="VEQ8" s="1876"/>
      <c r="VER8" s="1876"/>
      <c r="VES8" s="1876"/>
      <c r="VET8" s="1876"/>
      <c r="VEU8" s="1876"/>
      <c r="VEV8" s="1876"/>
      <c r="VEW8" s="1876"/>
      <c r="VEX8" s="1876"/>
      <c r="VEY8" s="1876"/>
      <c r="VEZ8" s="1876"/>
      <c r="VFA8" s="1876"/>
      <c r="VFB8" s="1876"/>
      <c r="VFC8" s="1876"/>
      <c r="VFD8" s="1876"/>
      <c r="VFE8" s="1876"/>
      <c r="VFF8" s="1876"/>
      <c r="VFG8" s="1876"/>
      <c r="VFH8" s="1876"/>
      <c r="VFI8" s="1876"/>
      <c r="VFJ8" s="1876"/>
      <c r="VFK8" s="1876"/>
      <c r="VFL8" s="1876"/>
      <c r="VFM8" s="1876"/>
      <c r="VFN8" s="1876"/>
      <c r="VFO8" s="1876"/>
      <c r="VFP8" s="1876"/>
      <c r="VFQ8" s="1876"/>
      <c r="VFR8" s="1876"/>
      <c r="VFS8" s="1876"/>
      <c r="VFT8" s="1876"/>
      <c r="VFU8" s="1876"/>
      <c r="VFV8" s="1876"/>
      <c r="VFW8" s="1876"/>
      <c r="VFX8" s="1876"/>
      <c r="VFY8" s="1876"/>
      <c r="VFZ8" s="1876"/>
      <c r="VGA8" s="1876"/>
      <c r="VGB8" s="1876"/>
      <c r="VGC8" s="1876"/>
      <c r="VGD8" s="1876"/>
      <c r="VGE8" s="1876"/>
      <c r="VGF8" s="1876"/>
      <c r="VGG8" s="1876"/>
      <c r="VGH8" s="1876"/>
      <c r="VGI8" s="1876"/>
      <c r="VGJ8" s="1876"/>
      <c r="VGK8" s="1876"/>
      <c r="VGL8" s="1876"/>
      <c r="VGM8" s="1876"/>
      <c r="VGN8" s="1876"/>
      <c r="VGO8" s="1876"/>
      <c r="VGP8" s="1876"/>
      <c r="VGQ8" s="1876"/>
      <c r="VGR8" s="1876"/>
      <c r="VGS8" s="1876"/>
      <c r="VGT8" s="1876"/>
      <c r="VGU8" s="1876"/>
      <c r="VGV8" s="1876"/>
      <c r="VGW8" s="1876"/>
      <c r="VGX8" s="1876"/>
      <c r="VGY8" s="1876"/>
      <c r="VGZ8" s="1876"/>
      <c r="VHA8" s="1876"/>
      <c r="VHB8" s="1876"/>
      <c r="VHC8" s="1876"/>
      <c r="VHD8" s="1876"/>
      <c r="VHE8" s="1876"/>
      <c r="VHF8" s="1876"/>
      <c r="VHG8" s="1876"/>
      <c r="VHH8" s="1876"/>
      <c r="VHI8" s="1876"/>
      <c r="VHJ8" s="1876"/>
      <c r="VHK8" s="1876"/>
      <c r="VHL8" s="1876"/>
      <c r="VHM8" s="1876"/>
      <c r="VHN8" s="1876"/>
      <c r="VHO8" s="1876"/>
      <c r="VHP8" s="1876"/>
      <c r="VHQ8" s="1876"/>
      <c r="VHR8" s="1876"/>
      <c r="VHS8" s="1876"/>
      <c r="VHT8" s="1876"/>
      <c r="VHU8" s="1876"/>
      <c r="VHV8" s="1876"/>
      <c r="VHW8" s="1876"/>
      <c r="VHX8" s="1876"/>
      <c r="VHY8" s="1876"/>
      <c r="VHZ8" s="1876"/>
      <c r="VIA8" s="1876"/>
      <c r="VIB8" s="1876"/>
      <c r="VIC8" s="1876"/>
      <c r="VID8" s="1876"/>
      <c r="VIE8" s="1876"/>
      <c r="VIF8" s="1876"/>
      <c r="VIG8" s="1876"/>
      <c r="VIH8" s="1876"/>
      <c r="VII8" s="1876"/>
      <c r="VIJ8" s="1876"/>
      <c r="VIK8" s="1876"/>
      <c r="VIL8" s="1876"/>
      <c r="VIM8" s="1876"/>
      <c r="VIN8" s="1876"/>
      <c r="VIO8" s="1876"/>
      <c r="VIP8" s="1876"/>
      <c r="VIQ8" s="1876"/>
      <c r="VIR8" s="1876"/>
      <c r="VIS8" s="1876"/>
      <c r="VIT8" s="1876"/>
      <c r="VIU8" s="1876"/>
      <c r="VIV8" s="1876"/>
      <c r="VIW8" s="1876"/>
      <c r="VIX8" s="1876"/>
      <c r="VIY8" s="1876"/>
      <c r="VIZ8" s="1876"/>
      <c r="VJA8" s="1876"/>
      <c r="VJB8" s="1876"/>
      <c r="VJC8" s="1876"/>
      <c r="VJD8" s="1876"/>
      <c r="VJE8" s="1876"/>
      <c r="VJF8" s="1876"/>
      <c r="VJG8" s="1876"/>
      <c r="VJH8" s="1876"/>
      <c r="VJI8" s="1876"/>
      <c r="VJJ8" s="1876"/>
      <c r="VJK8" s="1876"/>
      <c r="VJL8" s="1876"/>
      <c r="VJM8" s="1876"/>
      <c r="VJN8" s="1876"/>
      <c r="VJO8" s="1876"/>
      <c r="VJP8" s="1876"/>
      <c r="VJQ8" s="1876"/>
      <c r="VJR8" s="1876"/>
      <c r="VJS8" s="1876"/>
      <c r="VJT8" s="1876"/>
      <c r="VJU8" s="1876"/>
      <c r="VJV8" s="1876"/>
      <c r="VJW8" s="1876"/>
      <c r="VJX8" s="1876"/>
      <c r="VJY8" s="1876"/>
      <c r="VJZ8" s="1876"/>
      <c r="VKA8" s="1876"/>
      <c r="VKB8" s="1876"/>
      <c r="VKC8" s="1876"/>
      <c r="VKD8" s="1876"/>
      <c r="VKE8" s="1876"/>
      <c r="VKF8" s="1876"/>
      <c r="VKG8" s="1876"/>
      <c r="VKH8" s="1876"/>
      <c r="VKI8" s="1876"/>
      <c r="VKJ8" s="1876"/>
      <c r="VKK8" s="1876"/>
      <c r="VKL8" s="1876"/>
      <c r="VKM8" s="1876"/>
      <c r="VKN8" s="1876"/>
      <c r="VKO8" s="1876"/>
      <c r="VKP8" s="1876"/>
      <c r="VKQ8" s="1876"/>
      <c r="VKR8" s="1876"/>
      <c r="VKS8" s="1876"/>
      <c r="VKT8" s="1876"/>
      <c r="VKU8" s="1876"/>
      <c r="VKV8" s="1876"/>
      <c r="VKW8" s="1876"/>
      <c r="VKX8" s="1876"/>
      <c r="VKY8" s="1876"/>
      <c r="VKZ8" s="1876"/>
      <c r="VLA8" s="1876"/>
      <c r="VLB8" s="1876"/>
      <c r="VLC8" s="1876"/>
      <c r="VLD8" s="1876"/>
      <c r="VLE8" s="1876"/>
      <c r="VLF8" s="1876"/>
      <c r="VLG8" s="1876"/>
      <c r="VLH8" s="1876"/>
      <c r="VLI8" s="1876"/>
      <c r="VLJ8" s="1876"/>
      <c r="VLK8" s="1876"/>
      <c r="VLL8" s="1876"/>
      <c r="VLM8" s="1876"/>
      <c r="VLN8" s="1876"/>
      <c r="VLO8" s="1876"/>
      <c r="VLP8" s="1876"/>
      <c r="VLQ8" s="1876"/>
      <c r="VLR8" s="1876"/>
      <c r="VLS8" s="1876"/>
      <c r="VLT8" s="1876"/>
      <c r="VLU8" s="1876"/>
      <c r="VLV8" s="1876"/>
      <c r="VLW8" s="1876"/>
      <c r="VLX8" s="1876"/>
      <c r="VLY8" s="1876"/>
      <c r="VLZ8" s="1876"/>
      <c r="VMA8" s="1876"/>
      <c r="VMB8" s="1876"/>
      <c r="VMC8" s="1876"/>
      <c r="VMD8" s="1876"/>
      <c r="VME8" s="1876"/>
      <c r="VMF8" s="1876"/>
      <c r="VMG8" s="1876"/>
      <c r="VMH8" s="1876"/>
      <c r="VMI8" s="1876"/>
      <c r="VMJ8" s="1876"/>
      <c r="VMK8" s="1876"/>
      <c r="VML8" s="1876"/>
      <c r="VMM8" s="1876"/>
      <c r="VMN8" s="1876"/>
      <c r="VMO8" s="1876"/>
      <c r="VMP8" s="1876"/>
      <c r="VMQ8" s="1876"/>
      <c r="VMR8" s="1876"/>
      <c r="VMS8" s="1876"/>
      <c r="VMT8" s="1876"/>
      <c r="VMU8" s="1876"/>
      <c r="VMV8" s="1876"/>
      <c r="VMW8" s="1876"/>
      <c r="VMX8" s="1876"/>
      <c r="VMY8" s="1876"/>
      <c r="VMZ8" s="1876"/>
      <c r="VNA8" s="1876"/>
      <c r="VNB8" s="1876"/>
      <c r="VNC8" s="1876"/>
      <c r="VND8" s="1876"/>
      <c r="VNE8" s="1876"/>
      <c r="VNF8" s="1876"/>
      <c r="VNG8" s="1876"/>
      <c r="VNH8" s="1876"/>
      <c r="VNI8" s="1876"/>
      <c r="VNJ8" s="1876"/>
      <c r="VNK8" s="1876"/>
      <c r="VNL8" s="1876"/>
      <c r="VNM8" s="1876"/>
      <c r="VNN8" s="1876"/>
      <c r="VNO8" s="1876"/>
      <c r="VNP8" s="1876"/>
      <c r="VNQ8" s="1876"/>
      <c r="VNR8" s="1876"/>
      <c r="VNS8" s="1876"/>
      <c r="VNT8" s="1876"/>
      <c r="VNU8" s="1876"/>
      <c r="VNV8" s="1876"/>
      <c r="VNW8" s="1876"/>
      <c r="VNX8" s="1876"/>
      <c r="VNY8" s="1876"/>
      <c r="VNZ8" s="1876"/>
      <c r="VOA8" s="1876"/>
      <c r="VOB8" s="1876"/>
      <c r="VOC8" s="1876"/>
      <c r="VOD8" s="1876"/>
      <c r="VOE8" s="1876"/>
      <c r="VOF8" s="1876"/>
      <c r="VOG8" s="1876"/>
      <c r="VOH8" s="1876"/>
      <c r="VOI8" s="1876"/>
      <c r="VOJ8" s="1876"/>
      <c r="VOK8" s="1876"/>
      <c r="VOL8" s="1876"/>
      <c r="VOM8" s="1876"/>
      <c r="VON8" s="1876"/>
      <c r="VOO8" s="1876"/>
      <c r="VOP8" s="1876"/>
      <c r="VOQ8" s="1876"/>
      <c r="VOR8" s="1876"/>
      <c r="VOS8" s="1876"/>
      <c r="VOT8" s="1876"/>
      <c r="VOU8" s="1876"/>
      <c r="VOV8" s="1876"/>
      <c r="VOW8" s="1876"/>
      <c r="VOX8" s="1876"/>
      <c r="VOY8" s="1876"/>
      <c r="VOZ8" s="1876"/>
      <c r="VPA8" s="1876"/>
      <c r="VPB8" s="1876"/>
      <c r="VPC8" s="1876"/>
      <c r="VPD8" s="1876"/>
      <c r="VPE8" s="1876"/>
      <c r="VPF8" s="1876"/>
      <c r="VPG8" s="1876"/>
      <c r="VPH8" s="1876"/>
      <c r="VPI8" s="1876"/>
      <c r="VPJ8" s="1876"/>
      <c r="VPK8" s="1876"/>
      <c r="VPL8" s="1876"/>
      <c r="VPM8" s="1876"/>
      <c r="VPN8" s="1876"/>
      <c r="VPO8" s="1876"/>
      <c r="VPP8" s="1876"/>
      <c r="VPQ8" s="1876"/>
      <c r="VPR8" s="1876"/>
      <c r="VPS8" s="1876"/>
      <c r="VPT8" s="1876"/>
      <c r="VPU8" s="1876"/>
      <c r="VPV8" s="1876"/>
      <c r="VPW8" s="1876"/>
      <c r="VPX8" s="1876"/>
      <c r="VPY8" s="1876"/>
      <c r="VPZ8" s="1876"/>
      <c r="VQA8" s="1876"/>
      <c r="VQB8" s="1876"/>
      <c r="VQC8" s="1876"/>
      <c r="VQD8" s="1876"/>
      <c r="VQE8" s="1876"/>
      <c r="VQF8" s="1876"/>
      <c r="VQG8" s="1876"/>
      <c r="VQH8" s="1876"/>
      <c r="VQI8" s="1876"/>
      <c r="VQJ8" s="1876"/>
      <c r="VQK8" s="1876"/>
      <c r="VQL8" s="1876"/>
      <c r="VQM8" s="1876"/>
      <c r="VQN8" s="1876"/>
      <c r="VQO8" s="1876"/>
      <c r="VQP8" s="1876"/>
      <c r="VQQ8" s="1876"/>
      <c r="VQR8" s="1876"/>
      <c r="VQS8" s="1876"/>
      <c r="VQT8" s="1876"/>
      <c r="VQU8" s="1876"/>
      <c r="VQV8" s="1876"/>
      <c r="VQW8" s="1876"/>
      <c r="VQX8" s="1876"/>
      <c r="VQY8" s="1876"/>
      <c r="VQZ8" s="1876"/>
      <c r="VRA8" s="1876"/>
      <c r="VRB8" s="1876"/>
      <c r="VRC8" s="1876"/>
      <c r="VRD8" s="1876"/>
      <c r="VRE8" s="1876"/>
      <c r="VRF8" s="1876"/>
      <c r="VRG8" s="1876"/>
      <c r="VRH8" s="1876"/>
      <c r="VRI8" s="1876"/>
      <c r="VRJ8" s="1876"/>
      <c r="VRK8" s="1876"/>
      <c r="VRL8" s="1876"/>
      <c r="VRM8" s="1876"/>
      <c r="VRN8" s="1876"/>
      <c r="VRO8" s="1876"/>
      <c r="VRP8" s="1876"/>
      <c r="VRQ8" s="1876"/>
      <c r="VRR8" s="1876"/>
      <c r="VRS8" s="1876"/>
      <c r="VRT8" s="1876"/>
      <c r="VRU8" s="1876"/>
      <c r="VRV8" s="1876"/>
      <c r="VRW8" s="1876"/>
      <c r="VRX8" s="1876"/>
      <c r="VRY8" s="1876"/>
      <c r="VRZ8" s="1876"/>
      <c r="VSA8" s="1876"/>
      <c r="VSB8" s="1876"/>
      <c r="VSC8" s="1876"/>
      <c r="VSD8" s="1876"/>
      <c r="VSE8" s="1876"/>
      <c r="VSF8" s="1876"/>
      <c r="VSG8" s="1876"/>
      <c r="VSH8" s="1876"/>
      <c r="VSI8" s="1876"/>
      <c r="VSJ8" s="1876"/>
      <c r="VSK8" s="1876"/>
      <c r="VSL8" s="1876"/>
      <c r="VSM8" s="1876"/>
      <c r="VSN8" s="1876"/>
      <c r="VSO8" s="1876"/>
      <c r="VSP8" s="1876"/>
      <c r="VSQ8" s="1876"/>
      <c r="VSR8" s="1876"/>
      <c r="VSS8" s="1876"/>
      <c r="VST8" s="1876"/>
      <c r="VSU8" s="1876"/>
      <c r="VSV8" s="1876"/>
      <c r="VSW8" s="1876"/>
      <c r="VSX8" s="1876"/>
      <c r="VSY8" s="1876"/>
      <c r="VSZ8" s="1876"/>
      <c r="VTA8" s="1876"/>
      <c r="VTB8" s="1876"/>
      <c r="VTC8" s="1876"/>
      <c r="VTD8" s="1876"/>
      <c r="VTE8" s="1876"/>
      <c r="VTF8" s="1876"/>
      <c r="VTG8" s="1876"/>
      <c r="VTH8" s="1876"/>
      <c r="VTI8" s="1876"/>
      <c r="VTJ8" s="1876"/>
      <c r="VTK8" s="1876"/>
      <c r="VTL8" s="1876"/>
      <c r="VTM8" s="1876"/>
      <c r="VTN8" s="1876"/>
      <c r="VTO8" s="1876"/>
      <c r="VTP8" s="1876"/>
      <c r="VTQ8" s="1876"/>
      <c r="VTR8" s="1876"/>
      <c r="VTS8" s="1876"/>
      <c r="VTT8" s="1876"/>
      <c r="VTU8" s="1876"/>
      <c r="VTV8" s="1876"/>
      <c r="VTW8" s="1876"/>
      <c r="VTX8" s="1876"/>
      <c r="VTY8" s="1876"/>
      <c r="VTZ8" s="1876"/>
      <c r="VUA8" s="1876"/>
      <c r="VUB8" s="1876"/>
      <c r="VUC8" s="1876"/>
      <c r="VUD8" s="1876"/>
      <c r="VUE8" s="1876"/>
      <c r="VUF8" s="1876"/>
      <c r="VUG8" s="1876"/>
      <c r="VUH8" s="1876"/>
      <c r="VUI8" s="1876"/>
      <c r="VUJ8" s="1876"/>
      <c r="VUK8" s="1876"/>
      <c r="VUL8" s="1876"/>
      <c r="VUM8" s="1876"/>
      <c r="VUN8" s="1876"/>
      <c r="VUO8" s="1876"/>
      <c r="VUP8" s="1876"/>
      <c r="VUQ8" s="1876"/>
      <c r="VUR8" s="1876"/>
      <c r="VUS8" s="1876"/>
      <c r="VUT8" s="1876"/>
      <c r="VUU8" s="1876"/>
      <c r="VUV8" s="1876"/>
      <c r="VUW8" s="1876"/>
      <c r="VUX8" s="1876"/>
      <c r="VUY8" s="1876"/>
      <c r="VUZ8" s="1876"/>
      <c r="VVA8" s="1876"/>
      <c r="VVB8" s="1876"/>
      <c r="VVC8" s="1876"/>
      <c r="VVD8" s="1876"/>
      <c r="VVE8" s="1876"/>
      <c r="VVF8" s="1876"/>
      <c r="VVG8" s="1876"/>
      <c r="VVH8" s="1876"/>
      <c r="VVI8" s="1876"/>
      <c r="VVJ8" s="1876"/>
      <c r="VVK8" s="1876"/>
      <c r="VVL8" s="1876"/>
      <c r="VVM8" s="1876"/>
      <c r="VVN8" s="1876"/>
      <c r="VVO8" s="1876"/>
      <c r="VVP8" s="1876"/>
      <c r="VVQ8" s="1876"/>
      <c r="VVR8" s="1876"/>
      <c r="VVS8" s="1876"/>
      <c r="VVT8" s="1876"/>
      <c r="VVU8" s="1876"/>
      <c r="VVV8" s="1876"/>
      <c r="VVW8" s="1876"/>
      <c r="VVX8" s="1876"/>
      <c r="VVY8" s="1876"/>
      <c r="VVZ8" s="1876"/>
      <c r="VWA8" s="1876"/>
      <c r="VWB8" s="1876"/>
      <c r="VWC8" s="1876"/>
      <c r="VWD8" s="1876"/>
      <c r="VWE8" s="1876"/>
      <c r="VWF8" s="1876"/>
      <c r="VWG8" s="1876"/>
      <c r="VWH8" s="1876"/>
      <c r="VWI8" s="1876"/>
      <c r="VWJ8" s="1876"/>
      <c r="VWK8" s="1876"/>
      <c r="VWL8" s="1876"/>
      <c r="VWM8" s="1876"/>
      <c r="VWN8" s="1876"/>
      <c r="VWO8" s="1876"/>
      <c r="VWP8" s="1876"/>
      <c r="VWQ8" s="1876"/>
      <c r="VWR8" s="1876"/>
      <c r="VWS8" s="1876"/>
      <c r="VWT8" s="1876"/>
      <c r="VWU8" s="1876"/>
      <c r="VWV8" s="1876"/>
      <c r="VWW8" s="1876"/>
      <c r="VWX8" s="1876"/>
      <c r="VWY8" s="1876"/>
      <c r="VWZ8" s="1876"/>
      <c r="VXA8" s="1876"/>
      <c r="VXB8" s="1876"/>
      <c r="VXC8" s="1876"/>
      <c r="VXD8" s="1876"/>
      <c r="VXE8" s="1876"/>
      <c r="VXF8" s="1876"/>
      <c r="VXG8" s="1876"/>
      <c r="VXH8" s="1876"/>
      <c r="VXI8" s="1876"/>
      <c r="VXJ8" s="1876"/>
      <c r="VXK8" s="1876"/>
      <c r="VXL8" s="1876"/>
      <c r="VXM8" s="1876"/>
      <c r="VXN8" s="1876"/>
      <c r="VXO8" s="1876"/>
      <c r="VXP8" s="1876"/>
      <c r="VXQ8" s="1876"/>
      <c r="VXR8" s="1876"/>
      <c r="VXS8" s="1876"/>
      <c r="VXT8" s="1876"/>
      <c r="VXU8" s="1876"/>
      <c r="VXV8" s="1876"/>
      <c r="VXW8" s="1876"/>
      <c r="VXX8" s="1876"/>
      <c r="VXY8" s="1876"/>
      <c r="VXZ8" s="1876"/>
      <c r="VYA8" s="1876"/>
      <c r="VYB8" s="1876"/>
      <c r="VYC8" s="1876"/>
      <c r="VYD8" s="1876"/>
      <c r="VYE8" s="1876"/>
      <c r="VYF8" s="1876"/>
      <c r="VYG8" s="1876"/>
      <c r="VYH8" s="1876"/>
      <c r="VYI8" s="1876"/>
      <c r="VYJ8" s="1876"/>
      <c r="VYK8" s="1876"/>
      <c r="VYL8" s="1876"/>
      <c r="VYM8" s="1876"/>
      <c r="VYN8" s="1876"/>
      <c r="VYO8" s="1876"/>
      <c r="VYP8" s="1876"/>
      <c r="VYQ8" s="1876"/>
      <c r="VYR8" s="1876"/>
      <c r="VYS8" s="1876"/>
      <c r="VYT8" s="1876"/>
      <c r="VYU8" s="1876"/>
      <c r="VYV8" s="1876"/>
      <c r="VYW8" s="1876"/>
      <c r="VYX8" s="1876"/>
      <c r="VYY8" s="1876"/>
      <c r="VYZ8" s="1876"/>
      <c r="VZA8" s="1876"/>
      <c r="VZB8" s="1876"/>
      <c r="VZC8" s="1876"/>
      <c r="VZD8" s="1876"/>
      <c r="VZE8" s="1876"/>
      <c r="VZF8" s="1876"/>
      <c r="VZG8" s="1876"/>
      <c r="VZH8" s="1876"/>
      <c r="VZI8" s="1876"/>
      <c r="VZJ8" s="1876"/>
      <c r="VZK8" s="1876"/>
      <c r="VZL8" s="1876"/>
      <c r="VZM8" s="1876"/>
      <c r="VZN8" s="1876"/>
      <c r="VZO8" s="1876"/>
      <c r="VZP8" s="1876"/>
      <c r="VZQ8" s="1876"/>
      <c r="VZR8" s="1876"/>
      <c r="VZS8" s="1876"/>
      <c r="VZT8" s="1876"/>
      <c r="VZU8" s="1876"/>
      <c r="VZV8" s="1876"/>
      <c r="VZW8" s="1876"/>
      <c r="VZX8" s="1876"/>
      <c r="VZY8" s="1876"/>
      <c r="VZZ8" s="1876"/>
      <c r="WAA8" s="1876"/>
      <c r="WAB8" s="1876"/>
      <c r="WAC8" s="1876"/>
      <c r="WAD8" s="1876"/>
      <c r="WAE8" s="1876"/>
      <c r="WAF8" s="1876"/>
      <c r="WAG8" s="1876"/>
      <c r="WAH8" s="1876"/>
      <c r="WAI8" s="1876"/>
      <c r="WAJ8" s="1876"/>
      <c r="WAK8" s="1876"/>
      <c r="WAL8" s="1876"/>
      <c r="WAM8" s="1876"/>
      <c r="WAN8" s="1876"/>
      <c r="WAO8" s="1876"/>
      <c r="WAP8" s="1876"/>
      <c r="WAQ8" s="1876"/>
      <c r="WAR8" s="1876"/>
      <c r="WAS8" s="1876"/>
      <c r="WAT8" s="1876"/>
      <c r="WAU8" s="1876"/>
      <c r="WAV8" s="1876"/>
      <c r="WAW8" s="1876"/>
      <c r="WAX8" s="1876"/>
      <c r="WAY8" s="1876"/>
      <c r="WAZ8" s="1876"/>
      <c r="WBA8" s="1876"/>
      <c r="WBB8" s="1876"/>
      <c r="WBC8" s="1876"/>
      <c r="WBD8" s="1876"/>
      <c r="WBE8" s="1876"/>
      <c r="WBF8" s="1876"/>
      <c r="WBG8" s="1876"/>
      <c r="WBH8" s="1876"/>
      <c r="WBI8" s="1876"/>
      <c r="WBJ8" s="1876"/>
      <c r="WBK8" s="1876"/>
      <c r="WBL8" s="1876"/>
      <c r="WBM8" s="1876"/>
      <c r="WBN8" s="1876"/>
      <c r="WBO8" s="1876"/>
      <c r="WBP8" s="1876"/>
      <c r="WBQ8" s="1876"/>
      <c r="WBR8" s="1876"/>
      <c r="WBS8" s="1876"/>
      <c r="WBT8" s="1876"/>
      <c r="WBU8" s="1876"/>
      <c r="WBV8" s="1876"/>
      <c r="WBW8" s="1876"/>
      <c r="WBX8" s="1876"/>
      <c r="WBY8" s="1876"/>
      <c r="WBZ8" s="1876"/>
      <c r="WCA8" s="1876"/>
      <c r="WCB8" s="1876"/>
      <c r="WCC8" s="1876"/>
      <c r="WCD8" s="1876"/>
      <c r="WCE8" s="1876"/>
      <c r="WCF8" s="1876"/>
      <c r="WCG8" s="1876"/>
      <c r="WCH8" s="1876"/>
      <c r="WCI8" s="1876"/>
      <c r="WCJ8" s="1876"/>
      <c r="WCK8" s="1876"/>
      <c r="WCL8" s="1876"/>
      <c r="WCM8" s="1876"/>
      <c r="WCN8" s="1876"/>
      <c r="WCO8" s="1876"/>
      <c r="WCP8" s="1876"/>
      <c r="WCQ8" s="1876"/>
      <c r="WCR8" s="1876"/>
      <c r="WCS8" s="1876"/>
      <c r="WCT8" s="1876"/>
      <c r="WCU8" s="1876"/>
      <c r="WCV8" s="1876"/>
      <c r="WCW8" s="1876"/>
      <c r="WCX8" s="1876"/>
      <c r="WCY8" s="1876"/>
      <c r="WCZ8" s="1876"/>
      <c r="WDA8" s="1876"/>
      <c r="WDB8" s="1876"/>
      <c r="WDC8" s="1876"/>
      <c r="WDD8" s="1876"/>
      <c r="WDE8" s="1876"/>
      <c r="WDF8" s="1876"/>
      <c r="WDG8" s="1876"/>
      <c r="WDH8" s="1876"/>
      <c r="WDI8" s="1876"/>
      <c r="WDJ8" s="1876"/>
      <c r="WDK8" s="1876"/>
      <c r="WDL8" s="1876"/>
      <c r="WDM8" s="1876"/>
      <c r="WDN8" s="1876"/>
      <c r="WDO8" s="1876"/>
      <c r="WDP8" s="1876"/>
      <c r="WDQ8" s="1876"/>
      <c r="WDR8" s="1876"/>
      <c r="WDS8" s="1876"/>
      <c r="WDT8" s="1876"/>
      <c r="WDU8" s="1876"/>
      <c r="WDV8" s="1876"/>
      <c r="WDW8" s="1876"/>
      <c r="WDX8" s="1876"/>
      <c r="WDY8" s="1876"/>
      <c r="WDZ8" s="1876"/>
      <c r="WEA8" s="1876"/>
      <c r="WEB8" s="1876"/>
      <c r="WEC8" s="1876"/>
      <c r="WED8" s="1876"/>
      <c r="WEE8" s="1876"/>
      <c r="WEF8" s="1876"/>
      <c r="WEG8" s="1876"/>
      <c r="WEH8" s="1876"/>
      <c r="WEI8" s="1876"/>
      <c r="WEJ8" s="1876"/>
      <c r="WEK8" s="1876"/>
      <c r="WEL8" s="1876"/>
      <c r="WEM8" s="1876"/>
      <c r="WEN8" s="1876"/>
      <c r="WEO8" s="1876"/>
      <c r="WEP8" s="1876"/>
      <c r="WEQ8" s="1876"/>
      <c r="WER8" s="1876"/>
      <c r="WES8" s="1876"/>
      <c r="WET8" s="1876"/>
      <c r="WEU8" s="1876"/>
      <c r="WEV8" s="1876"/>
      <c r="WEW8" s="1876"/>
      <c r="WEX8" s="1876"/>
      <c r="WEY8" s="1876"/>
      <c r="WEZ8" s="1876"/>
      <c r="WFA8" s="1876"/>
      <c r="WFB8" s="1876"/>
      <c r="WFC8" s="1876"/>
      <c r="WFD8" s="1876"/>
      <c r="WFE8" s="1876"/>
      <c r="WFF8" s="1876"/>
      <c r="WFG8" s="1876"/>
      <c r="WFH8" s="1876"/>
      <c r="WFI8" s="1876"/>
      <c r="WFJ8" s="1876"/>
      <c r="WFK8" s="1876"/>
      <c r="WFL8" s="1876"/>
      <c r="WFM8" s="1876"/>
      <c r="WFN8" s="1876"/>
      <c r="WFO8" s="1876"/>
      <c r="WFP8" s="1876"/>
      <c r="WFQ8" s="1876"/>
      <c r="WFR8" s="1876"/>
      <c r="WFS8" s="1876"/>
      <c r="WFT8" s="1876"/>
      <c r="WFU8" s="1876"/>
      <c r="WFV8" s="1876"/>
      <c r="WFW8" s="1876"/>
      <c r="WFX8" s="1876"/>
      <c r="WFY8" s="1876"/>
      <c r="WFZ8" s="1876"/>
      <c r="WGA8" s="1876"/>
      <c r="WGB8" s="1876"/>
      <c r="WGC8" s="1876"/>
      <c r="WGD8" s="1876"/>
      <c r="WGE8" s="1876"/>
      <c r="WGF8" s="1876"/>
      <c r="WGG8" s="1876"/>
      <c r="WGH8" s="1876"/>
      <c r="WGI8" s="1876"/>
      <c r="WGJ8" s="1876"/>
      <c r="WGK8" s="1876"/>
      <c r="WGL8" s="1876"/>
      <c r="WGM8" s="1876"/>
      <c r="WGN8" s="1876"/>
      <c r="WGO8" s="1876"/>
      <c r="WGP8" s="1876"/>
      <c r="WGQ8" s="1876"/>
      <c r="WGR8" s="1876"/>
      <c r="WGS8" s="1876"/>
      <c r="WGT8" s="1876"/>
      <c r="WGU8" s="1876"/>
      <c r="WGV8" s="1876"/>
      <c r="WGW8" s="1876"/>
      <c r="WGX8" s="1876"/>
      <c r="WGY8" s="1876"/>
      <c r="WGZ8" s="1876"/>
      <c r="WHA8" s="1876"/>
      <c r="WHB8" s="1876"/>
      <c r="WHC8" s="1876"/>
      <c r="WHD8" s="1876"/>
      <c r="WHE8" s="1876"/>
      <c r="WHF8" s="1876"/>
      <c r="WHG8" s="1876"/>
      <c r="WHH8" s="1876"/>
      <c r="WHI8" s="1876"/>
      <c r="WHJ8" s="1876"/>
      <c r="WHK8" s="1876"/>
      <c r="WHL8" s="1876"/>
      <c r="WHM8" s="1876"/>
      <c r="WHN8" s="1876"/>
      <c r="WHO8" s="1876"/>
      <c r="WHP8" s="1876"/>
      <c r="WHQ8" s="1876"/>
      <c r="WHR8" s="1876"/>
      <c r="WHS8" s="1876"/>
      <c r="WHT8" s="1876"/>
      <c r="WHU8" s="1876"/>
      <c r="WHV8" s="1876"/>
      <c r="WHW8" s="1876"/>
      <c r="WHX8" s="1876"/>
      <c r="WHY8" s="1876"/>
      <c r="WHZ8" s="1876"/>
      <c r="WIA8" s="1876"/>
      <c r="WIB8" s="1876"/>
      <c r="WIC8" s="1876"/>
      <c r="WID8" s="1876"/>
      <c r="WIE8" s="1876"/>
      <c r="WIF8" s="1876"/>
      <c r="WIG8" s="1876"/>
      <c r="WIH8" s="1876"/>
      <c r="WII8" s="1876"/>
      <c r="WIJ8" s="1876"/>
      <c r="WIK8" s="1876"/>
      <c r="WIL8" s="1876"/>
      <c r="WIM8" s="1876"/>
      <c r="WIN8" s="1876"/>
      <c r="WIO8" s="1876"/>
      <c r="WIP8" s="1876"/>
      <c r="WIQ8" s="1876"/>
      <c r="WIR8" s="1876"/>
      <c r="WIS8" s="1876"/>
      <c r="WIT8" s="1876"/>
      <c r="WIU8" s="1876"/>
      <c r="WIV8" s="1876"/>
      <c r="WIW8" s="1876"/>
      <c r="WIX8" s="1876"/>
      <c r="WIY8" s="1876"/>
      <c r="WIZ8" s="1876"/>
      <c r="WJA8" s="1876"/>
      <c r="WJB8" s="1876"/>
      <c r="WJC8" s="1876"/>
      <c r="WJD8" s="1876"/>
      <c r="WJE8" s="1876"/>
      <c r="WJF8" s="1876"/>
      <c r="WJG8" s="1876"/>
      <c r="WJH8" s="1876"/>
      <c r="WJI8" s="1876"/>
      <c r="WJJ8" s="1876"/>
      <c r="WJK8" s="1876"/>
      <c r="WJL8" s="1876"/>
      <c r="WJM8" s="1876"/>
      <c r="WJN8" s="1876"/>
      <c r="WJO8" s="1876"/>
      <c r="WJP8" s="1876"/>
      <c r="WJQ8" s="1876"/>
      <c r="WJR8" s="1876"/>
      <c r="WJS8" s="1876"/>
      <c r="WJT8" s="1876"/>
      <c r="WJU8" s="1876"/>
      <c r="WJV8" s="1876"/>
      <c r="WJW8" s="1876"/>
      <c r="WJX8" s="1876"/>
      <c r="WJY8" s="1876"/>
      <c r="WJZ8" s="1876"/>
      <c r="WKA8" s="1876"/>
      <c r="WKB8" s="1876"/>
      <c r="WKC8" s="1876"/>
      <c r="WKD8" s="1876"/>
      <c r="WKE8" s="1876"/>
      <c r="WKF8" s="1876"/>
      <c r="WKG8" s="1876"/>
      <c r="WKH8" s="1876"/>
      <c r="WKI8" s="1876"/>
      <c r="WKJ8" s="1876"/>
      <c r="WKK8" s="1876"/>
      <c r="WKL8" s="1876"/>
      <c r="WKM8" s="1876"/>
      <c r="WKN8" s="1876"/>
      <c r="WKO8" s="1876"/>
      <c r="WKP8" s="1876"/>
      <c r="WKQ8" s="1876"/>
      <c r="WKR8" s="1876"/>
      <c r="WKS8" s="1876"/>
      <c r="WKT8" s="1876"/>
      <c r="WKU8" s="1876"/>
      <c r="WKV8" s="1876"/>
      <c r="WKW8" s="1876"/>
      <c r="WKX8" s="1876"/>
      <c r="WKY8" s="1876"/>
      <c r="WKZ8" s="1876"/>
      <c r="WLA8" s="1876"/>
      <c r="WLB8" s="1876"/>
      <c r="WLC8" s="1876"/>
      <c r="WLD8" s="1876"/>
      <c r="WLE8" s="1876"/>
      <c r="WLF8" s="1876"/>
      <c r="WLG8" s="1876"/>
      <c r="WLH8" s="1876"/>
      <c r="WLI8" s="1876"/>
      <c r="WLJ8" s="1876"/>
      <c r="WLK8" s="1876"/>
      <c r="WLL8" s="1876"/>
      <c r="WLM8" s="1876"/>
      <c r="WLN8" s="1876"/>
      <c r="WLO8" s="1876"/>
      <c r="WLP8" s="1876"/>
      <c r="WLQ8" s="1876"/>
      <c r="WLR8" s="1876"/>
      <c r="WLS8" s="1876"/>
      <c r="WLT8" s="1876"/>
      <c r="WLU8" s="1876"/>
      <c r="WLV8" s="1876"/>
      <c r="WLW8" s="1876"/>
      <c r="WLX8" s="1876"/>
      <c r="WLY8" s="1876"/>
      <c r="WLZ8" s="1876"/>
      <c r="WMA8" s="1876"/>
      <c r="WMB8" s="1876"/>
      <c r="WMC8" s="1876"/>
      <c r="WMD8" s="1876"/>
      <c r="WME8" s="1876"/>
      <c r="WMF8" s="1876"/>
      <c r="WMG8" s="1876"/>
      <c r="WMH8" s="1876"/>
      <c r="WMI8" s="1876"/>
      <c r="WMJ8" s="1876"/>
      <c r="WMK8" s="1876"/>
      <c r="WML8" s="1876"/>
      <c r="WMM8" s="1876"/>
      <c r="WMN8" s="1876"/>
      <c r="WMO8" s="1876"/>
      <c r="WMP8" s="1876"/>
      <c r="WMQ8" s="1876"/>
      <c r="WMR8" s="1876"/>
      <c r="WMS8" s="1876"/>
      <c r="WMT8" s="1876"/>
      <c r="WMU8" s="1876"/>
      <c r="WMV8" s="1876"/>
      <c r="WMW8" s="1876"/>
      <c r="WMX8" s="1876"/>
      <c r="WMY8" s="1876"/>
      <c r="WMZ8" s="1876"/>
      <c r="WNA8" s="1876"/>
      <c r="WNB8" s="1876"/>
      <c r="WNC8" s="1876"/>
      <c r="WND8" s="1876"/>
      <c r="WNE8" s="1876"/>
      <c r="WNF8" s="1876"/>
      <c r="WNG8" s="1876"/>
      <c r="WNH8" s="1876"/>
      <c r="WNI8" s="1876"/>
      <c r="WNJ8" s="1876"/>
      <c r="WNK8" s="1876"/>
      <c r="WNL8" s="1876"/>
      <c r="WNM8" s="1876"/>
      <c r="WNN8" s="1876"/>
      <c r="WNO8" s="1876"/>
      <c r="WNP8" s="1876"/>
      <c r="WNQ8" s="1876"/>
      <c r="WNR8" s="1876"/>
      <c r="WNS8" s="1876"/>
      <c r="WNT8" s="1876"/>
      <c r="WNU8" s="1876"/>
      <c r="WNV8" s="1876"/>
      <c r="WNW8" s="1876"/>
      <c r="WNX8" s="1876"/>
      <c r="WNY8" s="1876"/>
      <c r="WNZ8" s="1876"/>
      <c r="WOA8" s="1876"/>
      <c r="WOB8" s="1876"/>
      <c r="WOC8" s="1876"/>
      <c r="WOD8" s="1876"/>
      <c r="WOE8" s="1876"/>
      <c r="WOF8" s="1876"/>
      <c r="WOG8" s="1876"/>
      <c r="WOH8" s="1876"/>
      <c r="WOI8" s="1876"/>
      <c r="WOJ8" s="1876"/>
      <c r="WOK8" s="1876"/>
      <c r="WOL8" s="1876"/>
      <c r="WOM8" s="1876"/>
      <c r="WON8" s="1876"/>
      <c r="WOO8" s="1876"/>
      <c r="WOP8" s="1876"/>
      <c r="WOQ8" s="1876"/>
      <c r="WOR8" s="1876"/>
      <c r="WOS8" s="1876"/>
      <c r="WOT8" s="1876"/>
      <c r="WOU8" s="1876"/>
      <c r="WOV8" s="1876"/>
      <c r="WOW8" s="1876"/>
      <c r="WOX8" s="1876"/>
      <c r="WOY8" s="1876"/>
      <c r="WOZ8" s="1876"/>
      <c r="WPA8" s="1876"/>
      <c r="WPB8" s="1876"/>
      <c r="WPC8" s="1876"/>
      <c r="WPD8" s="1876"/>
      <c r="WPE8" s="1876"/>
      <c r="WPF8" s="1876"/>
      <c r="WPG8" s="1876"/>
      <c r="WPH8" s="1876"/>
      <c r="WPI8" s="1876"/>
      <c r="WPJ8" s="1876"/>
      <c r="WPK8" s="1876"/>
      <c r="WPL8" s="1876"/>
      <c r="WPM8" s="1876"/>
      <c r="WPN8" s="1876"/>
      <c r="WPO8" s="1876"/>
      <c r="WPP8" s="1876"/>
      <c r="WPQ8" s="1876"/>
      <c r="WPR8" s="1876"/>
      <c r="WPS8" s="1876"/>
      <c r="WPT8" s="1876"/>
      <c r="WPU8" s="1876"/>
      <c r="WPV8" s="1876"/>
      <c r="WPW8" s="1876"/>
      <c r="WPX8" s="1876"/>
      <c r="WPY8" s="1876"/>
      <c r="WPZ8" s="1876"/>
      <c r="WQA8" s="1876"/>
      <c r="WQB8" s="1876"/>
      <c r="WQC8" s="1876"/>
      <c r="WQD8" s="1876"/>
      <c r="WQE8" s="1876"/>
      <c r="WQF8" s="1876"/>
      <c r="WQG8" s="1876"/>
      <c r="WQH8" s="1876"/>
      <c r="WQI8" s="1876"/>
      <c r="WQJ8" s="1876"/>
      <c r="WQK8" s="1876"/>
      <c r="WQL8" s="1876"/>
      <c r="WQM8" s="1876"/>
      <c r="WQN8" s="1876"/>
      <c r="WQO8" s="1876"/>
      <c r="WQP8" s="1876"/>
      <c r="WQQ8" s="1876"/>
      <c r="WQR8" s="1876"/>
      <c r="WQS8" s="1876"/>
      <c r="WQT8" s="1876"/>
      <c r="WQU8" s="1876"/>
      <c r="WQV8" s="1876"/>
      <c r="WQW8" s="1876"/>
      <c r="WQX8" s="1876"/>
      <c r="WQY8" s="1876"/>
      <c r="WQZ8" s="1876"/>
      <c r="WRA8" s="1876"/>
      <c r="WRB8" s="1876"/>
      <c r="WRC8" s="1876"/>
      <c r="WRD8" s="1876"/>
      <c r="WRE8" s="1876"/>
      <c r="WRF8" s="1876"/>
      <c r="WRG8" s="1876"/>
      <c r="WRH8" s="1876"/>
      <c r="WRI8" s="1876"/>
      <c r="WRJ8" s="1876"/>
      <c r="WRK8" s="1876"/>
      <c r="WRL8" s="1876"/>
      <c r="WRM8" s="1876"/>
      <c r="WRN8" s="1876"/>
      <c r="WRO8" s="1876"/>
      <c r="WRP8" s="1876"/>
      <c r="WRQ8" s="1876"/>
      <c r="WRR8" s="1876"/>
      <c r="WRS8" s="1876"/>
      <c r="WRT8" s="1876"/>
      <c r="WRU8" s="1876"/>
      <c r="WRV8" s="1876"/>
      <c r="WRW8" s="1876"/>
      <c r="WRX8" s="1876"/>
      <c r="WRY8" s="1876"/>
      <c r="WRZ8" s="1876"/>
      <c r="WSA8" s="1876"/>
      <c r="WSB8" s="1876"/>
      <c r="WSC8" s="1876"/>
      <c r="WSD8" s="1876"/>
      <c r="WSE8" s="1876"/>
      <c r="WSF8" s="1876"/>
      <c r="WSG8" s="1876"/>
      <c r="WSH8" s="1876"/>
      <c r="WSI8" s="1876"/>
      <c r="WSJ8" s="1876"/>
      <c r="WSK8" s="1876"/>
      <c r="WSL8" s="1876"/>
      <c r="WSM8" s="1876"/>
      <c r="WSN8" s="1876"/>
      <c r="WSO8" s="1876"/>
      <c r="WSP8" s="1876"/>
      <c r="WSQ8" s="1876"/>
      <c r="WSR8" s="1876"/>
      <c r="WSS8" s="1876"/>
      <c r="WST8" s="1876"/>
      <c r="WSU8" s="1876"/>
      <c r="WSV8" s="1876"/>
      <c r="WSW8" s="1876"/>
      <c r="WSX8" s="1876"/>
      <c r="WSY8" s="1876"/>
      <c r="WSZ8" s="1876"/>
      <c r="WTA8" s="1876"/>
      <c r="WTB8" s="1876"/>
      <c r="WTC8" s="1876"/>
      <c r="WTD8" s="1876"/>
      <c r="WTE8" s="1876"/>
      <c r="WTF8" s="1876"/>
      <c r="WTG8" s="1876"/>
      <c r="WTH8" s="1876"/>
      <c r="WTI8" s="1876"/>
      <c r="WTJ8" s="1876"/>
      <c r="WTK8" s="1876"/>
      <c r="WTL8" s="1876"/>
      <c r="WTM8" s="1876"/>
      <c r="WTN8" s="1876"/>
      <c r="WTO8" s="1876"/>
      <c r="WTP8" s="1876"/>
      <c r="WTQ8" s="1876"/>
      <c r="WTR8" s="1876"/>
      <c r="WTS8" s="1876"/>
      <c r="WTT8" s="1876"/>
      <c r="WTU8" s="1876"/>
      <c r="WTV8" s="1876"/>
      <c r="WTW8" s="1876"/>
      <c r="WTX8" s="1876"/>
      <c r="WTY8" s="1876"/>
      <c r="WTZ8" s="1876"/>
      <c r="WUA8" s="1876"/>
      <c r="WUB8" s="1876"/>
      <c r="WUC8" s="1876"/>
      <c r="WUD8" s="1876"/>
      <c r="WUE8" s="1876"/>
      <c r="WUF8" s="1876"/>
      <c r="WUG8" s="1876"/>
      <c r="WUH8" s="1876"/>
      <c r="WUI8" s="1876"/>
      <c r="WUJ8" s="1876"/>
      <c r="WUK8" s="1876"/>
      <c r="WUL8" s="1876"/>
      <c r="WUM8" s="1876"/>
      <c r="WUN8" s="1876"/>
      <c r="WUO8" s="1876"/>
      <c r="WUP8" s="1876"/>
      <c r="WUQ8" s="1876"/>
      <c r="WUR8" s="1876"/>
      <c r="WUS8" s="1876"/>
      <c r="WUT8" s="1876"/>
      <c r="WUU8" s="1876"/>
      <c r="WUV8" s="1876"/>
      <c r="WUW8" s="1876"/>
      <c r="WUX8" s="1876"/>
      <c r="WUY8" s="1876"/>
      <c r="WUZ8" s="1876"/>
      <c r="WVA8" s="1876"/>
      <c r="WVB8" s="1876"/>
      <c r="WVC8" s="1876"/>
      <c r="WVD8" s="1876"/>
      <c r="WVE8" s="1876"/>
      <c r="WVF8" s="1876"/>
      <c r="WVG8" s="1876"/>
      <c r="WVH8" s="1876"/>
      <c r="WVI8" s="1876"/>
      <c r="WVJ8" s="1876"/>
      <c r="WVK8" s="1876"/>
      <c r="WVL8" s="1876"/>
      <c r="WVM8" s="1876"/>
      <c r="WVN8" s="1876"/>
      <c r="WVO8" s="1876"/>
      <c r="WVP8" s="1876"/>
      <c r="WVQ8" s="1876"/>
      <c r="WVR8" s="1876"/>
      <c r="WVS8" s="1876"/>
      <c r="WVT8" s="1876"/>
      <c r="WVU8" s="1876"/>
      <c r="WVV8" s="1876"/>
      <c r="WVW8" s="1876"/>
      <c r="WVX8" s="1876"/>
      <c r="WVY8" s="1876"/>
      <c r="WVZ8" s="1876"/>
      <c r="WWA8" s="1876"/>
      <c r="WWB8" s="1876"/>
      <c r="WWC8" s="1876"/>
      <c r="WWD8" s="1876"/>
      <c r="WWE8" s="1876"/>
      <c r="WWF8" s="1876"/>
      <c r="WWG8" s="1876"/>
      <c r="WWH8" s="1876"/>
      <c r="WWI8" s="1876"/>
      <c r="WWJ8" s="1876"/>
      <c r="WWK8" s="1876"/>
      <c r="WWL8" s="1876"/>
      <c r="WWM8" s="1876"/>
      <c r="WWN8" s="1876"/>
      <c r="WWO8" s="1876"/>
      <c r="WWP8" s="1876"/>
      <c r="WWQ8" s="1876"/>
      <c r="WWR8" s="1876"/>
      <c r="WWS8" s="1876"/>
      <c r="WWT8" s="1876"/>
      <c r="WWU8" s="1876"/>
      <c r="WWV8" s="1876"/>
      <c r="WWW8" s="1876"/>
      <c r="WWX8" s="1876"/>
      <c r="WWY8" s="1876"/>
      <c r="WWZ8" s="1876"/>
      <c r="WXA8" s="1876"/>
      <c r="WXB8" s="1876"/>
      <c r="WXC8" s="1876"/>
      <c r="WXD8" s="1876"/>
      <c r="WXE8" s="1876"/>
      <c r="WXF8" s="1876"/>
      <c r="WXG8" s="1876"/>
      <c r="WXH8" s="1876"/>
      <c r="WXI8" s="1876"/>
      <c r="WXJ8" s="1876"/>
      <c r="WXK8" s="1876"/>
      <c r="WXL8" s="1876"/>
      <c r="WXM8" s="1876"/>
      <c r="WXN8" s="1876"/>
      <c r="WXO8" s="1876"/>
      <c r="WXP8" s="1876"/>
      <c r="WXQ8" s="1876"/>
      <c r="WXR8" s="1876"/>
      <c r="WXS8" s="1876"/>
      <c r="WXT8" s="1876"/>
      <c r="WXU8" s="1876"/>
      <c r="WXV8" s="1876"/>
      <c r="WXW8" s="1876"/>
      <c r="WXX8" s="1876"/>
      <c r="WXY8" s="1876"/>
      <c r="WXZ8" s="1876"/>
      <c r="WYA8" s="1876"/>
      <c r="WYB8" s="1876"/>
      <c r="WYC8" s="1876"/>
      <c r="WYD8" s="1876"/>
      <c r="WYE8" s="1876"/>
      <c r="WYF8" s="1876"/>
      <c r="WYG8" s="1876"/>
      <c r="WYH8" s="1876"/>
      <c r="WYI8" s="1876"/>
      <c r="WYJ8" s="1876"/>
      <c r="WYK8" s="1876"/>
      <c r="WYL8" s="1876"/>
      <c r="WYM8" s="1876"/>
      <c r="WYN8" s="1876"/>
      <c r="WYO8" s="1876"/>
      <c r="WYP8" s="1876"/>
      <c r="WYQ8" s="1876"/>
      <c r="WYR8" s="1876"/>
      <c r="WYS8" s="1876"/>
      <c r="WYT8" s="1876"/>
      <c r="WYU8" s="1876"/>
      <c r="WYV8" s="1876"/>
      <c r="WYW8" s="1876"/>
      <c r="WYX8" s="1876"/>
      <c r="WYY8" s="1876"/>
      <c r="WYZ8" s="1876"/>
      <c r="WZA8" s="1876"/>
      <c r="WZB8" s="1876"/>
      <c r="WZC8" s="1876"/>
      <c r="WZD8" s="1876"/>
      <c r="WZE8" s="1876"/>
      <c r="WZF8" s="1876"/>
      <c r="WZG8" s="1876"/>
      <c r="WZH8" s="1876"/>
      <c r="WZI8" s="1876"/>
      <c r="WZJ8" s="1876"/>
      <c r="WZK8" s="1876"/>
      <c r="WZL8" s="1876"/>
      <c r="WZM8" s="1876"/>
      <c r="WZN8" s="1876"/>
      <c r="WZO8" s="1876"/>
      <c r="WZP8" s="1876"/>
      <c r="WZQ8" s="1876"/>
      <c r="WZR8" s="1876"/>
      <c r="WZS8" s="1876"/>
      <c r="WZT8" s="1876"/>
      <c r="WZU8" s="1876"/>
      <c r="WZV8" s="1876"/>
      <c r="WZW8" s="1876"/>
      <c r="WZX8" s="1876"/>
      <c r="WZY8" s="1876"/>
      <c r="WZZ8" s="1876"/>
      <c r="XAA8" s="1876"/>
      <c r="XAB8" s="1876"/>
      <c r="XAC8" s="1876"/>
      <c r="XAD8" s="1876"/>
      <c r="XAE8" s="1876"/>
      <c r="XAF8" s="1876"/>
      <c r="XAG8" s="1876"/>
      <c r="XAH8" s="1876"/>
      <c r="XAI8" s="1876"/>
      <c r="XAJ8" s="1876"/>
      <c r="XAK8" s="1876"/>
      <c r="XAL8" s="1876"/>
      <c r="XAM8" s="1876"/>
      <c r="XAN8" s="1876"/>
      <c r="XAO8" s="1876"/>
      <c r="XAP8" s="1876"/>
      <c r="XAQ8" s="1876"/>
      <c r="XAR8" s="1876"/>
      <c r="XAS8" s="1876"/>
      <c r="XAT8" s="1876"/>
      <c r="XAU8" s="1876"/>
      <c r="XAV8" s="1876"/>
      <c r="XAW8" s="1876"/>
      <c r="XAX8" s="1876"/>
      <c r="XAY8" s="1876"/>
      <c r="XAZ8" s="1876"/>
      <c r="XBA8" s="1876"/>
      <c r="XBB8" s="1876"/>
      <c r="XBC8" s="1876"/>
      <c r="XBD8" s="1876"/>
      <c r="XBE8" s="1876"/>
      <c r="XBF8" s="1876"/>
      <c r="XBG8" s="1876"/>
      <c r="XBH8" s="1876"/>
      <c r="XBI8" s="1876"/>
      <c r="XBJ8" s="1876"/>
      <c r="XBK8" s="1876"/>
      <c r="XBL8" s="1876"/>
      <c r="XBM8" s="1876"/>
      <c r="XBN8" s="1876"/>
      <c r="XBO8" s="1876"/>
      <c r="XBP8" s="1876"/>
      <c r="XBQ8" s="1876"/>
      <c r="XBR8" s="1876"/>
      <c r="XBS8" s="1876"/>
      <c r="XBT8" s="1876"/>
      <c r="XBU8" s="1876"/>
      <c r="XBV8" s="1876"/>
      <c r="XBW8" s="1876"/>
      <c r="XBX8" s="1876"/>
      <c r="XBY8" s="1876"/>
      <c r="XBZ8" s="1876"/>
      <c r="XCA8" s="1876"/>
      <c r="XCB8" s="1876"/>
      <c r="XCC8" s="1876"/>
      <c r="XCD8" s="1876"/>
      <c r="XCE8" s="1876"/>
      <c r="XCF8" s="1876"/>
      <c r="XCG8" s="1876"/>
      <c r="XCH8" s="1876"/>
      <c r="XCI8" s="1876"/>
      <c r="XCJ8" s="1876"/>
      <c r="XCK8" s="1876"/>
      <c r="XCL8" s="1876"/>
      <c r="XCM8" s="1876"/>
      <c r="XCN8" s="1876"/>
      <c r="XCO8" s="1876"/>
      <c r="XCP8" s="1876"/>
      <c r="XCQ8" s="1876"/>
      <c r="XCR8" s="1876"/>
      <c r="XCS8" s="1876"/>
      <c r="XCT8" s="1876"/>
      <c r="XCU8" s="1876"/>
      <c r="XCV8" s="1876"/>
      <c r="XCW8" s="1876"/>
      <c r="XCX8" s="1876"/>
      <c r="XCY8" s="1876"/>
      <c r="XCZ8" s="1876"/>
      <c r="XDA8" s="1876"/>
      <c r="XDB8" s="1876"/>
      <c r="XDC8" s="1876"/>
      <c r="XDD8" s="1876"/>
      <c r="XDE8" s="1876"/>
      <c r="XDF8" s="1876"/>
      <c r="XDG8" s="1876"/>
      <c r="XDH8" s="1876"/>
      <c r="XDI8" s="1876"/>
      <c r="XDJ8" s="1876"/>
      <c r="XDK8" s="1876"/>
      <c r="XDL8" s="1876"/>
      <c r="XDM8" s="1876"/>
      <c r="XDN8" s="1876"/>
      <c r="XDO8" s="1876"/>
      <c r="XDP8" s="1876"/>
      <c r="XDQ8" s="1876"/>
      <c r="XDR8" s="1876"/>
      <c r="XDS8" s="1876"/>
      <c r="XDT8" s="1876"/>
      <c r="XDU8" s="1876"/>
      <c r="XDV8" s="1876"/>
      <c r="XDW8" s="1876"/>
      <c r="XDX8" s="1876"/>
      <c r="XDY8" s="1876"/>
      <c r="XDZ8" s="1876"/>
      <c r="XEA8" s="1876"/>
      <c r="XEB8" s="1876"/>
      <c r="XEC8" s="1876"/>
      <c r="XED8" s="1876"/>
      <c r="XEE8" s="1876"/>
      <c r="XEF8" s="1876"/>
      <c r="XEG8" s="1876"/>
      <c r="XEH8" s="1876"/>
      <c r="XEI8" s="1876"/>
      <c r="XEJ8" s="1876"/>
      <c r="XEK8" s="1876"/>
      <c r="XEL8" s="1876"/>
      <c r="XEM8" s="1876"/>
      <c r="XEN8" s="1876"/>
      <c r="XEO8" s="1876"/>
      <c r="XEP8" s="1876"/>
      <c r="XEQ8" s="1876"/>
      <c r="XER8" s="1876"/>
      <c r="XES8" s="1876"/>
      <c r="XET8" s="1876"/>
      <c r="XEU8" s="1876"/>
    </row>
    <row r="9" spans="1:16375" s="1892" customFormat="1" ht="15.75" x14ac:dyDescent="0.25">
      <c r="A9" s="1894" t="s">
        <v>1971</v>
      </c>
      <c r="B9" s="1893"/>
      <c r="C9" s="1891"/>
      <c r="D9" s="1891"/>
      <c r="E9" s="1891"/>
      <c r="F9" s="1891"/>
      <c r="G9" s="1891"/>
      <c r="H9" s="1891"/>
      <c r="I9" s="1891"/>
      <c r="J9" s="1891"/>
      <c r="K9" s="1891"/>
      <c r="L9" s="1891"/>
      <c r="M9" s="1891"/>
      <c r="N9" s="1891"/>
      <c r="O9" s="1891"/>
      <c r="P9" s="1891"/>
      <c r="Q9" s="1891"/>
      <c r="R9" s="1891"/>
      <c r="S9" s="1891"/>
      <c r="T9" s="1891"/>
      <c r="U9" s="1891"/>
      <c r="V9" s="1891"/>
      <c r="W9" s="1891"/>
      <c r="X9" s="1891"/>
      <c r="Y9" s="1891"/>
      <c r="Z9" s="1891"/>
      <c r="AA9" s="1891"/>
      <c r="AB9" s="1891"/>
      <c r="AC9" s="1891"/>
      <c r="AD9" s="1891"/>
      <c r="AE9" s="1891"/>
      <c r="AF9" s="1891"/>
      <c r="AG9" s="1891"/>
      <c r="AH9" s="1891"/>
      <c r="AI9" s="1891"/>
      <c r="AJ9" s="1891"/>
      <c r="AK9" s="1891"/>
      <c r="AL9" s="1891"/>
      <c r="AM9" s="1891"/>
      <c r="AN9" s="1891"/>
      <c r="AO9" s="1891"/>
      <c r="AP9" s="1891"/>
      <c r="AQ9" s="1891"/>
      <c r="AR9" s="1891"/>
      <c r="AS9" s="1891"/>
      <c r="AT9" s="1891"/>
      <c r="AU9" s="1891"/>
      <c r="AV9" s="1891"/>
      <c r="AW9" s="1891"/>
      <c r="AX9" s="1891"/>
      <c r="AY9" s="1891"/>
      <c r="AZ9" s="1891"/>
      <c r="BA9" s="1891"/>
    </row>
    <row r="10" spans="1:16375" ht="15" customHeight="1" x14ac:dyDescent="0.25">
      <c r="A10" s="1887" t="s">
        <v>2306</v>
      </c>
      <c r="B10" s="1903" t="s">
        <v>1923</v>
      </c>
      <c r="C10" s="1903" t="str">
        <f>B10</f>
        <v>NI</v>
      </c>
      <c r="D10" s="1903" t="str">
        <f t="shared" ref="D10:Z10" si="1">C10</f>
        <v>NI</v>
      </c>
      <c r="E10" s="1903" t="str">
        <f t="shared" si="1"/>
        <v>NI</v>
      </c>
      <c r="F10" s="1903" t="str">
        <f t="shared" si="1"/>
        <v>NI</v>
      </c>
      <c r="G10" s="1903" t="str">
        <f t="shared" si="1"/>
        <v>NI</v>
      </c>
      <c r="H10" s="1903" t="str">
        <f t="shared" si="1"/>
        <v>NI</v>
      </c>
      <c r="I10" s="1903" t="str">
        <f t="shared" si="1"/>
        <v>NI</v>
      </c>
      <c r="J10" s="1903" t="str">
        <f t="shared" si="1"/>
        <v>NI</v>
      </c>
      <c r="K10" s="1903" t="str">
        <f t="shared" si="1"/>
        <v>NI</v>
      </c>
      <c r="L10" s="1903" t="str">
        <f t="shared" si="1"/>
        <v>NI</v>
      </c>
      <c r="M10" s="1903" t="str">
        <f t="shared" si="1"/>
        <v>NI</v>
      </c>
      <c r="N10" s="1903" t="str">
        <f t="shared" si="1"/>
        <v>NI</v>
      </c>
      <c r="O10" s="1903" t="str">
        <f t="shared" si="1"/>
        <v>NI</v>
      </c>
      <c r="P10" s="1903" t="str">
        <f t="shared" si="1"/>
        <v>NI</v>
      </c>
      <c r="Q10" s="1903" t="str">
        <f t="shared" si="1"/>
        <v>NI</v>
      </c>
      <c r="R10" s="1903" t="str">
        <f t="shared" si="1"/>
        <v>NI</v>
      </c>
      <c r="S10" s="1903" t="str">
        <f t="shared" si="1"/>
        <v>NI</v>
      </c>
      <c r="T10" s="1903" t="str">
        <f t="shared" si="1"/>
        <v>NI</v>
      </c>
      <c r="U10" s="1903" t="str">
        <f t="shared" si="1"/>
        <v>NI</v>
      </c>
      <c r="V10" s="1903" t="str">
        <f t="shared" si="1"/>
        <v>NI</v>
      </c>
      <c r="W10" s="1903" t="str">
        <f t="shared" si="1"/>
        <v>NI</v>
      </c>
      <c r="X10" s="1903" t="str">
        <f t="shared" si="1"/>
        <v>NI</v>
      </c>
      <c r="Y10" s="1903" t="str">
        <f t="shared" si="1"/>
        <v>NI</v>
      </c>
      <c r="Z10" s="1903" t="str">
        <f t="shared" si="1"/>
        <v>NI</v>
      </c>
      <c r="AA10" s="1903" t="str">
        <f t="shared" ref="AA10:AA11" si="2">Z10</f>
        <v>NI</v>
      </c>
      <c r="AB10" s="1903" t="str">
        <f t="shared" ref="AB10:AB11" si="3">AA10</f>
        <v>NI</v>
      </c>
      <c r="AC10" s="1903" t="str">
        <f t="shared" ref="AC10:AC11" si="4">AB10</f>
        <v>NI</v>
      </c>
      <c r="AD10" s="1903" t="str">
        <f t="shared" ref="AD10:AD11" si="5">AC10</f>
        <v>NI</v>
      </c>
      <c r="AE10" s="1903" t="str">
        <f t="shared" ref="AE10:AE11" si="6">AD10</f>
        <v>NI</v>
      </c>
      <c r="AF10" s="1903" t="str">
        <f t="shared" ref="AF10:AF11" si="7">AE10</f>
        <v>NI</v>
      </c>
      <c r="AG10" s="1903" t="str">
        <f t="shared" ref="AG10:AG11" si="8">AF10</f>
        <v>NI</v>
      </c>
      <c r="AH10" s="1903" t="str">
        <f t="shared" ref="AH10:AH11" si="9">AG10</f>
        <v>NI</v>
      </c>
      <c r="AI10" s="1903" t="str">
        <f t="shared" ref="AI10:AI11" si="10">AH10</f>
        <v>NI</v>
      </c>
      <c r="AJ10" s="1903" t="str">
        <f t="shared" ref="AJ10:AJ11" si="11">AI10</f>
        <v>NI</v>
      </c>
      <c r="AK10" s="1903" t="str">
        <f t="shared" ref="AK10:AK11" si="12">AJ10</f>
        <v>NI</v>
      </c>
      <c r="AL10" s="1903" t="str">
        <f t="shared" ref="AL10:AL11" si="13">AK10</f>
        <v>NI</v>
      </c>
      <c r="AM10" s="1903" t="str">
        <f t="shared" ref="AM10:AM11" si="14">AL10</f>
        <v>NI</v>
      </c>
      <c r="AN10" s="1903" t="str">
        <f t="shared" ref="AN10:AN11" si="15">AM10</f>
        <v>NI</v>
      </c>
      <c r="AO10" s="1903" t="str">
        <f t="shared" ref="AO10:AO11" si="16">AN10</f>
        <v>NI</v>
      </c>
      <c r="AP10" s="1903" t="str">
        <f t="shared" ref="AP10:AP11" si="17">AO10</f>
        <v>NI</v>
      </c>
      <c r="AQ10" s="1903" t="str">
        <f t="shared" ref="AQ10:AQ11" si="18">AP10</f>
        <v>NI</v>
      </c>
      <c r="AR10" s="1903" t="str">
        <f t="shared" ref="AR10:AR11" si="19">AQ10</f>
        <v>NI</v>
      </c>
      <c r="AS10" s="1903" t="str">
        <f t="shared" ref="AS10:AS11" si="20">AR10</f>
        <v>NI</v>
      </c>
      <c r="AT10" s="1903" t="str">
        <f t="shared" ref="AT10:AT11" si="21">AS10</f>
        <v>NI</v>
      </c>
      <c r="AU10" s="1903" t="str">
        <f t="shared" ref="AU10:AU11" si="22">AT10</f>
        <v>NI</v>
      </c>
      <c r="AV10" s="1903" t="str">
        <f t="shared" ref="AV10:AV11" si="23">AU10</f>
        <v>NI</v>
      </c>
      <c r="AW10" s="1903" t="str">
        <f t="shared" ref="AW10:AW11" si="24">AV10</f>
        <v>NI</v>
      </c>
      <c r="AX10" s="1903" t="str">
        <f t="shared" ref="AX10:AX11" si="25">AW10</f>
        <v>NI</v>
      </c>
      <c r="AY10" s="1903" t="str">
        <f t="shared" ref="AY10:AY11" si="26">AX10</f>
        <v>NI</v>
      </c>
      <c r="AZ10" s="1903" t="str">
        <f t="shared" ref="AZ10:AZ11" si="27">AY10</f>
        <v>NI</v>
      </c>
      <c r="BA10" s="1903" t="str">
        <f t="shared" ref="BA10:BA11" si="28">AZ10</f>
        <v>NI</v>
      </c>
    </row>
    <row r="11" spans="1:16375" ht="15" customHeight="1" x14ac:dyDescent="0.25">
      <c r="A11" s="1887" t="s">
        <v>2307</v>
      </c>
      <c r="B11" s="1903" t="s">
        <v>1923</v>
      </c>
      <c r="C11" s="1903" t="str">
        <f>B11</f>
        <v>NI</v>
      </c>
      <c r="D11" s="1903" t="str">
        <f t="shared" ref="D11:Z12" si="29">C11</f>
        <v>NI</v>
      </c>
      <c r="E11" s="1903" t="str">
        <f t="shared" si="29"/>
        <v>NI</v>
      </c>
      <c r="F11" s="1903" t="str">
        <f t="shared" si="29"/>
        <v>NI</v>
      </c>
      <c r="G11" s="1903" t="str">
        <f t="shared" si="29"/>
        <v>NI</v>
      </c>
      <c r="H11" s="1903" t="str">
        <f t="shared" si="29"/>
        <v>NI</v>
      </c>
      <c r="I11" s="1903" t="str">
        <f t="shared" si="29"/>
        <v>NI</v>
      </c>
      <c r="J11" s="1903" t="str">
        <f t="shared" si="29"/>
        <v>NI</v>
      </c>
      <c r="K11" s="1903" t="str">
        <f t="shared" si="29"/>
        <v>NI</v>
      </c>
      <c r="L11" s="1903" t="str">
        <f t="shared" si="29"/>
        <v>NI</v>
      </c>
      <c r="M11" s="1903" t="str">
        <f t="shared" si="29"/>
        <v>NI</v>
      </c>
      <c r="N11" s="1903" t="str">
        <f t="shared" si="29"/>
        <v>NI</v>
      </c>
      <c r="O11" s="1903" t="str">
        <f t="shared" si="29"/>
        <v>NI</v>
      </c>
      <c r="P11" s="1903" t="str">
        <f t="shared" si="29"/>
        <v>NI</v>
      </c>
      <c r="Q11" s="1903" t="str">
        <f t="shared" si="29"/>
        <v>NI</v>
      </c>
      <c r="R11" s="1903" t="str">
        <f t="shared" si="29"/>
        <v>NI</v>
      </c>
      <c r="S11" s="1903" t="str">
        <f t="shared" si="29"/>
        <v>NI</v>
      </c>
      <c r="T11" s="1903" t="str">
        <f t="shared" si="29"/>
        <v>NI</v>
      </c>
      <c r="U11" s="1903" t="str">
        <f t="shared" si="29"/>
        <v>NI</v>
      </c>
      <c r="V11" s="1903" t="str">
        <f t="shared" si="29"/>
        <v>NI</v>
      </c>
      <c r="W11" s="1903" t="str">
        <f t="shared" si="29"/>
        <v>NI</v>
      </c>
      <c r="X11" s="1903" t="str">
        <f t="shared" si="29"/>
        <v>NI</v>
      </c>
      <c r="Y11" s="1903" t="str">
        <f t="shared" si="29"/>
        <v>NI</v>
      </c>
      <c r="Z11" s="1903" t="str">
        <f t="shared" si="29"/>
        <v>NI</v>
      </c>
      <c r="AA11" s="1903" t="str">
        <f t="shared" si="2"/>
        <v>NI</v>
      </c>
      <c r="AB11" s="1903" t="str">
        <f t="shared" si="3"/>
        <v>NI</v>
      </c>
      <c r="AC11" s="1903" t="str">
        <f t="shared" si="4"/>
        <v>NI</v>
      </c>
      <c r="AD11" s="1903" t="str">
        <f t="shared" si="5"/>
        <v>NI</v>
      </c>
      <c r="AE11" s="1903" t="str">
        <f t="shared" si="6"/>
        <v>NI</v>
      </c>
      <c r="AF11" s="1903" t="str">
        <f t="shared" si="7"/>
        <v>NI</v>
      </c>
      <c r="AG11" s="1903" t="str">
        <f t="shared" si="8"/>
        <v>NI</v>
      </c>
      <c r="AH11" s="1903" t="str">
        <f t="shared" si="9"/>
        <v>NI</v>
      </c>
      <c r="AI11" s="1903" t="str">
        <f t="shared" si="10"/>
        <v>NI</v>
      </c>
      <c r="AJ11" s="1903" t="str">
        <f t="shared" si="11"/>
        <v>NI</v>
      </c>
      <c r="AK11" s="1903" t="str">
        <f t="shared" si="12"/>
        <v>NI</v>
      </c>
      <c r="AL11" s="1903" t="str">
        <f t="shared" si="13"/>
        <v>NI</v>
      </c>
      <c r="AM11" s="1903" t="str">
        <f t="shared" si="14"/>
        <v>NI</v>
      </c>
      <c r="AN11" s="1903" t="str">
        <f t="shared" si="15"/>
        <v>NI</v>
      </c>
      <c r="AO11" s="1903" t="str">
        <f t="shared" si="16"/>
        <v>NI</v>
      </c>
      <c r="AP11" s="1903" t="str">
        <f t="shared" si="17"/>
        <v>NI</v>
      </c>
      <c r="AQ11" s="1903" t="str">
        <f t="shared" si="18"/>
        <v>NI</v>
      </c>
      <c r="AR11" s="1903" t="str">
        <f t="shared" si="19"/>
        <v>NI</v>
      </c>
      <c r="AS11" s="1903" t="str">
        <f t="shared" si="20"/>
        <v>NI</v>
      </c>
      <c r="AT11" s="1903" t="str">
        <f t="shared" si="21"/>
        <v>NI</v>
      </c>
      <c r="AU11" s="1903" t="str">
        <f t="shared" si="22"/>
        <v>NI</v>
      </c>
      <c r="AV11" s="1903" t="str">
        <f t="shared" si="23"/>
        <v>NI</v>
      </c>
      <c r="AW11" s="1903" t="str">
        <f t="shared" si="24"/>
        <v>NI</v>
      </c>
      <c r="AX11" s="1903" t="str">
        <f t="shared" si="25"/>
        <v>NI</v>
      </c>
      <c r="AY11" s="1903" t="str">
        <f t="shared" si="26"/>
        <v>NI</v>
      </c>
      <c r="AZ11" s="1903" t="str">
        <f t="shared" si="27"/>
        <v>NI</v>
      </c>
      <c r="BA11" s="1903" t="str">
        <f t="shared" si="28"/>
        <v>NI</v>
      </c>
    </row>
    <row r="12" spans="1:16375" ht="15" customHeight="1" x14ac:dyDescent="0.25">
      <c r="A12" s="1887" t="s">
        <v>2308</v>
      </c>
      <c r="B12" s="1903" t="s">
        <v>1923</v>
      </c>
      <c r="C12" s="1903" t="str">
        <f>B12</f>
        <v>NI</v>
      </c>
      <c r="D12" s="1903" t="str">
        <f t="shared" si="29"/>
        <v>NI</v>
      </c>
      <c r="E12" s="1903" t="str">
        <f t="shared" si="29"/>
        <v>NI</v>
      </c>
      <c r="F12" s="1903" t="str">
        <f t="shared" si="29"/>
        <v>NI</v>
      </c>
      <c r="G12" s="1903" t="str">
        <f t="shared" si="29"/>
        <v>NI</v>
      </c>
      <c r="H12" s="1903" t="str">
        <f t="shared" si="29"/>
        <v>NI</v>
      </c>
      <c r="I12" s="1903" t="str">
        <f t="shared" si="29"/>
        <v>NI</v>
      </c>
      <c r="J12" s="1903" t="str">
        <f t="shared" si="29"/>
        <v>NI</v>
      </c>
      <c r="K12" s="1903" t="str">
        <f t="shared" si="29"/>
        <v>NI</v>
      </c>
      <c r="L12" s="1903" t="str">
        <f t="shared" si="29"/>
        <v>NI</v>
      </c>
      <c r="M12" s="1903" t="str">
        <f t="shared" si="29"/>
        <v>NI</v>
      </c>
      <c r="N12" s="1903" t="str">
        <f t="shared" si="29"/>
        <v>NI</v>
      </c>
      <c r="O12" s="1903" t="str">
        <f t="shared" si="29"/>
        <v>NI</v>
      </c>
      <c r="P12" s="1903" t="str">
        <f t="shared" si="29"/>
        <v>NI</v>
      </c>
      <c r="Q12" s="1903" t="str">
        <f t="shared" si="29"/>
        <v>NI</v>
      </c>
      <c r="R12" s="1903" t="str">
        <f t="shared" si="29"/>
        <v>NI</v>
      </c>
      <c r="S12" s="1903" t="str">
        <f t="shared" si="29"/>
        <v>NI</v>
      </c>
      <c r="T12" s="1903" t="str">
        <f t="shared" si="29"/>
        <v>NI</v>
      </c>
      <c r="U12" s="1903" t="str">
        <f t="shared" si="29"/>
        <v>NI</v>
      </c>
      <c r="V12" s="1903" t="str">
        <f t="shared" si="29"/>
        <v>NI</v>
      </c>
      <c r="W12" s="1903" t="str">
        <f t="shared" si="29"/>
        <v>NI</v>
      </c>
      <c r="X12" s="1903" t="str">
        <f t="shared" si="29"/>
        <v>NI</v>
      </c>
      <c r="Y12" s="1903" t="str">
        <f t="shared" si="29"/>
        <v>NI</v>
      </c>
      <c r="Z12" s="1903" t="str">
        <f t="shared" si="29"/>
        <v>NI</v>
      </c>
      <c r="AA12" s="1903" t="str">
        <f t="shared" ref="AA12:AA13" si="30">Z12</f>
        <v>NI</v>
      </c>
      <c r="AB12" s="1903" t="str">
        <f t="shared" ref="AB12:AB13" si="31">AA12</f>
        <v>NI</v>
      </c>
      <c r="AC12" s="1903" t="str">
        <f t="shared" ref="AC12:AC13" si="32">AB12</f>
        <v>NI</v>
      </c>
      <c r="AD12" s="1903" t="str">
        <f t="shared" ref="AD12:AD13" si="33">AC12</f>
        <v>NI</v>
      </c>
      <c r="AE12" s="1903" t="str">
        <f t="shared" ref="AE12:AE13" si="34">AD12</f>
        <v>NI</v>
      </c>
      <c r="AF12" s="1903" t="str">
        <f t="shared" ref="AF12:AF13" si="35">AE12</f>
        <v>NI</v>
      </c>
      <c r="AG12" s="1903" t="str">
        <f t="shared" ref="AG12:AG13" si="36">AF12</f>
        <v>NI</v>
      </c>
      <c r="AH12" s="1903" t="str">
        <f t="shared" ref="AH12:AH13" si="37">AG12</f>
        <v>NI</v>
      </c>
      <c r="AI12" s="1903" t="str">
        <f t="shared" ref="AI12:AI13" si="38">AH12</f>
        <v>NI</v>
      </c>
      <c r="AJ12" s="1903" t="str">
        <f t="shared" ref="AJ12:AJ13" si="39">AI12</f>
        <v>NI</v>
      </c>
      <c r="AK12" s="1903" t="str">
        <f t="shared" ref="AK12:AK13" si="40">AJ12</f>
        <v>NI</v>
      </c>
      <c r="AL12" s="1903" t="str">
        <f t="shared" ref="AL12:AL13" si="41">AK12</f>
        <v>NI</v>
      </c>
      <c r="AM12" s="1903" t="str">
        <f t="shared" ref="AM12:AM13" si="42">AL12</f>
        <v>NI</v>
      </c>
      <c r="AN12" s="1903" t="str">
        <f t="shared" ref="AN12:AN13" si="43">AM12</f>
        <v>NI</v>
      </c>
      <c r="AO12" s="1903" t="str">
        <f t="shared" ref="AO12:AO13" si="44">AN12</f>
        <v>NI</v>
      </c>
      <c r="AP12" s="1903" t="str">
        <f t="shared" ref="AP12:AP13" si="45">AO12</f>
        <v>NI</v>
      </c>
      <c r="AQ12" s="1903" t="str">
        <f t="shared" ref="AQ12:AQ13" si="46">AP12</f>
        <v>NI</v>
      </c>
      <c r="AR12" s="1903" t="str">
        <f t="shared" ref="AR12:AR13" si="47">AQ12</f>
        <v>NI</v>
      </c>
      <c r="AS12" s="1903" t="str">
        <f t="shared" ref="AS12:AS13" si="48">AR12</f>
        <v>NI</v>
      </c>
      <c r="AT12" s="1903" t="str">
        <f t="shared" ref="AT12:AT13" si="49">AS12</f>
        <v>NI</v>
      </c>
      <c r="AU12" s="1903" t="str">
        <f t="shared" ref="AU12:AU13" si="50">AT12</f>
        <v>NI</v>
      </c>
      <c r="AV12" s="1903" t="str">
        <f t="shared" ref="AV12:AV13" si="51">AU12</f>
        <v>NI</v>
      </c>
      <c r="AW12" s="1903" t="str">
        <f t="shared" ref="AW12:AW13" si="52">AV12</f>
        <v>NI</v>
      </c>
      <c r="AX12" s="1903" t="str">
        <f t="shared" ref="AX12:AX13" si="53">AW12</f>
        <v>NI</v>
      </c>
      <c r="AY12" s="1903" t="str">
        <f t="shared" ref="AY12:AY13" si="54">AX12</f>
        <v>NI</v>
      </c>
      <c r="AZ12" s="1903" t="str">
        <f t="shared" ref="AZ12:AZ13" si="55">AY12</f>
        <v>NI</v>
      </c>
      <c r="BA12" s="1903" t="str">
        <f t="shared" ref="BA12:BA13" si="56">AZ12</f>
        <v>NI</v>
      </c>
    </row>
    <row r="13" spans="1:16375" ht="15" customHeight="1" x14ac:dyDescent="0.25">
      <c r="A13" s="1887" t="s">
        <v>2309</v>
      </c>
      <c r="B13" s="1903" t="s">
        <v>1923</v>
      </c>
      <c r="C13" s="1903" t="str">
        <f>B13</f>
        <v>NI</v>
      </c>
      <c r="D13" s="1903" t="str">
        <f t="shared" ref="D13" si="57">C13</f>
        <v>NI</v>
      </c>
      <c r="E13" s="1903" t="str">
        <f t="shared" ref="E13" si="58">D13</f>
        <v>NI</v>
      </c>
      <c r="F13" s="1903" t="str">
        <f t="shared" ref="F13" si="59">E13</f>
        <v>NI</v>
      </c>
      <c r="G13" s="1903" t="str">
        <f t="shared" ref="G13" si="60">F13</f>
        <v>NI</v>
      </c>
      <c r="H13" s="1903" t="str">
        <f t="shared" ref="H13" si="61">G13</f>
        <v>NI</v>
      </c>
      <c r="I13" s="1903" t="str">
        <f t="shared" ref="I13" si="62">H13</f>
        <v>NI</v>
      </c>
      <c r="J13" s="1903" t="str">
        <f t="shared" ref="J13" si="63">I13</f>
        <v>NI</v>
      </c>
      <c r="K13" s="1903" t="str">
        <f t="shared" ref="K13" si="64">J13</f>
        <v>NI</v>
      </c>
      <c r="L13" s="1903" t="str">
        <f t="shared" ref="L13" si="65">K13</f>
        <v>NI</v>
      </c>
      <c r="M13" s="1903" t="str">
        <f t="shared" ref="M13" si="66">L13</f>
        <v>NI</v>
      </c>
      <c r="N13" s="1903" t="str">
        <f t="shared" ref="N13" si="67">M13</f>
        <v>NI</v>
      </c>
      <c r="O13" s="1903" t="str">
        <f t="shared" ref="O13" si="68">N13</f>
        <v>NI</v>
      </c>
      <c r="P13" s="1903" t="str">
        <f t="shared" ref="P13" si="69">O13</f>
        <v>NI</v>
      </c>
      <c r="Q13" s="1903" t="str">
        <f t="shared" ref="Q13" si="70">P13</f>
        <v>NI</v>
      </c>
      <c r="R13" s="1903" t="str">
        <f t="shared" ref="R13" si="71">Q13</f>
        <v>NI</v>
      </c>
      <c r="S13" s="1903" t="str">
        <f t="shared" ref="S13" si="72">R13</f>
        <v>NI</v>
      </c>
      <c r="T13" s="1903" t="str">
        <f t="shared" ref="T13" si="73">S13</f>
        <v>NI</v>
      </c>
      <c r="U13" s="1903" t="str">
        <f t="shared" ref="U13" si="74">T13</f>
        <v>NI</v>
      </c>
      <c r="V13" s="1903" t="str">
        <f t="shared" ref="V13" si="75">U13</f>
        <v>NI</v>
      </c>
      <c r="W13" s="1903" t="str">
        <f t="shared" ref="W13" si="76">V13</f>
        <v>NI</v>
      </c>
      <c r="X13" s="1903" t="str">
        <f t="shared" ref="X13" si="77">W13</f>
        <v>NI</v>
      </c>
      <c r="Y13" s="1903" t="str">
        <f t="shared" ref="Y13" si="78">X13</f>
        <v>NI</v>
      </c>
      <c r="Z13" s="1903" t="str">
        <f t="shared" ref="Z13" si="79">Y13</f>
        <v>NI</v>
      </c>
      <c r="AA13" s="1903" t="str">
        <f t="shared" si="30"/>
        <v>NI</v>
      </c>
      <c r="AB13" s="1903" t="str">
        <f t="shared" si="31"/>
        <v>NI</v>
      </c>
      <c r="AC13" s="1903" t="str">
        <f t="shared" si="32"/>
        <v>NI</v>
      </c>
      <c r="AD13" s="1903" t="str">
        <f t="shared" si="33"/>
        <v>NI</v>
      </c>
      <c r="AE13" s="1903" t="str">
        <f t="shared" si="34"/>
        <v>NI</v>
      </c>
      <c r="AF13" s="1903" t="str">
        <f t="shared" si="35"/>
        <v>NI</v>
      </c>
      <c r="AG13" s="1903" t="str">
        <f t="shared" si="36"/>
        <v>NI</v>
      </c>
      <c r="AH13" s="1903" t="str">
        <f t="shared" si="37"/>
        <v>NI</v>
      </c>
      <c r="AI13" s="1903" t="str">
        <f t="shared" si="38"/>
        <v>NI</v>
      </c>
      <c r="AJ13" s="1903" t="str">
        <f t="shared" si="39"/>
        <v>NI</v>
      </c>
      <c r="AK13" s="1903" t="str">
        <f t="shared" si="40"/>
        <v>NI</v>
      </c>
      <c r="AL13" s="1903" t="str">
        <f t="shared" si="41"/>
        <v>NI</v>
      </c>
      <c r="AM13" s="1903" t="str">
        <f t="shared" si="42"/>
        <v>NI</v>
      </c>
      <c r="AN13" s="1903" t="str">
        <f t="shared" si="43"/>
        <v>NI</v>
      </c>
      <c r="AO13" s="1903" t="str">
        <f t="shared" si="44"/>
        <v>NI</v>
      </c>
      <c r="AP13" s="1903" t="str">
        <f t="shared" si="45"/>
        <v>NI</v>
      </c>
      <c r="AQ13" s="1903" t="str">
        <f t="shared" si="46"/>
        <v>NI</v>
      </c>
      <c r="AR13" s="1903" t="str">
        <f t="shared" si="47"/>
        <v>NI</v>
      </c>
      <c r="AS13" s="1903" t="str">
        <f t="shared" si="48"/>
        <v>NI</v>
      </c>
      <c r="AT13" s="1903" t="str">
        <f t="shared" si="49"/>
        <v>NI</v>
      </c>
      <c r="AU13" s="1903" t="str">
        <f t="shared" si="50"/>
        <v>NI</v>
      </c>
      <c r="AV13" s="1903" t="str">
        <f t="shared" si="51"/>
        <v>NI</v>
      </c>
      <c r="AW13" s="1903" t="str">
        <f t="shared" si="52"/>
        <v>NI</v>
      </c>
      <c r="AX13" s="1903" t="str">
        <f t="shared" si="53"/>
        <v>NI</v>
      </c>
      <c r="AY13" s="1903" t="str">
        <f t="shared" si="54"/>
        <v>NI</v>
      </c>
      <c r="AZ13" s="1903" t="str">
        <f t="shared" si="55"/>
        <v>NI</v>
      </c>
      <c r="BA13" s="1903" t="str">
        <f t="shared" si="56"/>
        <v>NI</v>
      </c>
    </row>
    <row r="14" spans="1:16375" ht="15" customHeight="1" x14ac:dyDescent="0.25">
      <c r="A14" s="1887"/>
      <c r="B14" s="1888"/>
      <c r="C14" s="1881"/>
      <c r="D14" s="1881"/>
      <c r="E14" s="1881"/>
      <c r="F14" s="1881"/>
      <c r="G14" s="1881"/>
      <c r="H14" s="1881"/>
      <c r="I14" s="1881"/>
      <c r="J14" s="1881"/>
      <c r="K14" s="1881"/>
      <c r="L14" s="1881"/>
      <c r="M14" s="1881"/>
      <c r="N14" s="1881"/>
      <c r="O14" s="1881"/>
      <c r="P14" s="1881"/>
      <c r="Q14" s="1881"/>
      <c r="R14" s="1881"/>
      <c r="S14" s="1881"/>
      <c r="T14" s="1881"/>
      <c r="U14" s="1881"/>
      <c r="V14" s="1881"/>
      <c r="W14" s="1881"/>
      <c r="X14" s="1881"/>
      <c r="Y14" s="1881"/>
      <c r="Z14" s="1881"/>
      <c r="AA14" s="1881"/>
      <c r="AB14" s="1881"/>
      <c r="AC14" s="1881"/>
      <c r="AD14" s="1881"/>
      <c r="AE14" s="1881"/>
      <c r="AF14" s="1881"/>
      <c r="AG14" s="1881"/>
      <c r="AH14" s="1881"/>
      <c r="AI14" s="1881"/>
      <c r="AJ14" s="1881"/>
      <c r="AK14" s="1881"/>
      <c r="AL14" s="1881"/>
      <c r="AM14" s="1881"/>
      <c r="AN14" s="1881"/>
      <c r="AO14" s="1881"/>
      <c r="AP14" s="1881"/>
      <c r="AQ14" s="1881"/>
      <c r="AR14" s="1881"/>
      <c r="AS14" s="1881"/>
      <c r="AT14" s="1881"/>
      <c r="AU14" s="1881"/>
      <c r="AV14" s="1881"/>
      <c r="AW14" s="1881"/>
      <c r="AX14" s="1881"/>
      <c r="AY14" s="1881"/>
      <c r="AZ14" s="1881"/>
      <c r="BA14" s="1881"/>
    </row>
    <row r="15" spans="1:16375" ht="15" customHeight="1" x14ac:dyDescent="0.25">
      <c r="A15" s="1887" t="s">
        <v>1967</v>
      </c>
      <c r="B15" s="1903">
        <v>5</v>
      </c>
      <c r="C15" s="1903">
        <f>B15</f>
        <v>5</v>
      </c>
      <c r="D15" s="1903">
        <f t="shared" ref="D15:Z15" si="80">C15</f>
        <v>5</v>
      </c>
      <c r="E15" s="1903">
        <f t="shared" si="80"/>
        <v>5</v>
      </c>
      <c r="F15" s="1903">
        <f t="shared" si="80"/>
        <v>5</v>
      </c>
      <c r="G15" s="1903">
        <f t="shared" si="80"/>
        <v>5</v>
      </c>
      <c r="H15" s="1903">
        <f t="shared" si="80"/>
        <v>5</v>
      </c>
      <c r="I15" s="1903">
        <f t="shared" si="80"/>
        <v>5</v>
      </c>
      <c r="J15" s="1903">
        <f t="shared" si="80"/>
        <v>5</v>
      </c>
      <c r="K15" s="1903">
        <f t="shared" si="80"/>
        <v>5</v>
      </c>
      <c r="L15" s="1903">
        <f t="shared" si="80"/>
        <v>5</v>
      </c>
      <c r="M15" s="1903">
        <f t="shared" si="80"/>
        <v>5</v>
      </c>
      <c r="N15" s="1903">
        <f t="shared" si="80"/>
        <v>5</v>
      </c>
      <c r="O15" s="1903">
        <f t="shared" si="80"/>
        <v>5</v>
      </c>
      <c r="P15" s="1903">
        <f t="shared" si="80"/>
        <v>5</v>
      </c>
      <c r="Q15" s="1903">
        <f t="shared" si="80"/>
        <v>5</v>
      </c>
      <c r="R15" s="1903">
        <f t="shared" si="80"/>
        <v>5</v>
      </c>
      <c r="S15" s="1903">
        <f t="shared" si="80"/>
        <v>5</v>
      </c>
      <c r="T15" s="1903">
        <f t="shared" si="80"/>
        <v>5</v>
      </c>
      <c r="U15" s="1903">
        <f t="shared" si="80"/>
        <v>5</v>
      </c>
      <c r="V15" s="1903">
        <f t="shared" si="80"/>
        <v>5</v>
      </c>
      <c r="W15" s="1903">
        <f t="shared" si="80"/>
        <v>5</v>
      </c>
      <c r="X15" s="1903">
        <f t="shared" si="80"/>
        <v>5</v>
      </c>
      <c r="Y15" s="1903">
        <f t="shared" si="80"/>
        <v>5</v>
      </c>
      <c r="Z15" s="1903">
        <f t="shared" si="80"/>
        <v>5</v>
      </c>
      <c r="AA15" s="1903">
        <f t="shared" ref="AA15:AA18" si="81">Z15</f>
        <v>5</v>
      </c>
      <c r="AB15" s="1903">
        <f t="shared" ref="AB15:AB18" si="82">AA15</f>
        <v>5</v>
      </c>
      <c r="AC15" s="1903">
        <f t="shared" ref="AC15:AC18" si="83">AB15</f>
        <v>5</v>
      </c>
      <c r="AD15" s="1903">
        <f t="shared" ref="AD15:AD18" si="84">AC15</f>
        <v>5</v>
      </c>
      <c r="AE15" s="1903">
        <f t="shared" ref="AE15:AE18" si="85">AD15</f>
        <v>5</v>
      </c>
      <c r="AF15" s="1903">
        <f t="shared" ref="AF15:AF18" si="86">AE15</f>
        <v>5</v>
      </c>
      <c r="AG15" s="1903">
        <f t="shared" ref="AG15:AG18" si="87">AF15</f>
        <v>5</v>
      </c>
      <c r="AH15" s="1903">
        <f t="shared" ref="AH15:AH18" si="88">AG15</f>
        <v>5</v>
      </c>
      <c r="AI15" s="1903">
        <f t="shared" ref="AI15:AI18" si="89">AH15</f>
        <v>5</v>
      </c>
      <c r="AJ15" s="1903">
        <f t="shared" ref="AJ15:AJ18" si="90">AI15</f>
        <v>5</v>
      </c>
      <c r="AK15" s="1903">
        <f t="shared" ref="AK15:AK18" si="91">AJ15</f>
        <v>5</v>
      </c>
      <c r="AL15" s="1903">
        <f t="shared" ref="AL15:AL18" si="92">AK15</f>
        <v>5</v>
      </c>
      <c r="AM15" s="1903">
        <f t="shared" ref="AM15:AM18" si="93">AL15</f>
        <v>5</v>
      </c>
      <c r="AN15" s="1903">
        <f t="shared" ref="AN15:AN18" si="94">AM15</f>
        <v>5</v>
      </c>
      <c r="AO15" s="1903">
        <f t="shared" ref="AO15:AO18" si="95">AN15</f>
        <v>5</v>
      </c>
      <c r="AP15" s="1903">
        <f t="shared" ref="AP15:AP18" si="96">AO15</f>
        <v>5</v>
      </c>
      <c r="AQ15" s="1903">
        <f t="shared" ref="AQ15:AQ18" si="97">AP15</f>
        <v>5</v>
      </c>
      <c r="AR15" s="1903">
        <f t="shared" ref="AR15:AR18" si="98">AQ15</f>
        <v>5</v>
      </c>
      <c r="AS15" s="1903">
        <f t="shared" ref="AS15:AS18" si="99">AR15</f>
        <v>5</v>
      </c>
      <c r="AT15" s="1903">
        <f t="shared" ref="AT15:AT18" si="100">AS15</f>
        <v>5</v>
      </c>
      <c r="AU15" s="1903">
        <f t="shared" ref="AU15:AU18" si="101">AT15</f>
        <v>5</v>
      </c>
      <c r="AV15" s="1903">
        <f t="shared" ref="AV15:AV18" si="102">AU15</f>
        <v>5</v>
      </c>
      <c r="AW15" s="1903">
        <f t="shared" ref="AW15:AW18" si="103">AV15</f>
        <v>5</v>
      </c>
      <c r="AX15" s="1903">
        <f t="shared" ref="AX15:AX18" si="104">AW15</f>
        <v>5</v>
      </c>
      <c r="AY15" s="1903">
        <f t="shared" ref="AY15:AY18" si="105">AX15</f>
        <v>5</v>
      </c>
      <c r="AZ15" s="1903">
        <f t="shared" ref="AZ15:AZ18" si="106">AY15</f>
        <v>5</v>
      </c>
      <c r="BA15" s="1903">
        <f t="shared" ref="BA15:BA18" si="107">AZ15</f>
        <v>5</v>
      </c>
    </row>
    <row r="16" spans="1:16375" ht="15" customHeight="1" x14ac:dyDescent="0.25">
      <c r="A16" s="1887" t="s">
        <v>1968</v>
      </c>
      <c r="B16" s="1903">
        <v>10</v>
      </c>
      <c r="C16" s="1903">
        <f>B16</f>
        <v>10</v>
      </c>
      <c r="D16" s="1903">
        <f t="shared" ref="D16:Z16" si="108">C16</f>
        <v>10</v>
      </c>
      <c r="E16" s="1903">
        <f t="shared" si="108"/>
        <v>10</v>
      </c>
      <c r="F16" s="1903">
        <f t="shared" si="108"/>
        <v>10</v>
      </c>
      <c r="G16" s="1903">
        <f t="shared" si="108"/>
        <v>10</v>
      </c>
      <c r="H16" s="1903">
        <f t="shared" si="108"/>
        <v>10</v>
      </c>
      <c r="I16" s="1903">
        <f t="shared" si="108"/>
        <v>10</v>
      </c>
      <c r="J16" s="1903">
        <f t="shared" si="108"/>
        <v>10</v>
      </c>
      <c r="K16" s="1903">
        <f t="shared" si="108"/>
        <v>10</v>
      </c>
      <c r="L16" s="1903">
        <f t="shared" si="108"/>
        <v>10</v>
      </c>
      <c r="M16" s="1903">
        <f t="shared" si="108"/>
        <v>10</v>
      </c>
      <c r="N16" s="1903">
        <f t="shared" si="108"/>
        <v>10</v>
      </c>
      <c r="O16" s="1903">
        <f t="shared" si="108"/>
        <v>10</v>
      </c>
      <c r="P16" s="1903">
        <f t="shared" si="108"/>
        <v>10</v>
      </c>
      <c r="Q16" s="1903">
        <f t="shared" si="108"/>
        <v>10</v>
      </c>
      <c r="R16" s="1903">
        <f t="shared" si="108"/>
        <v>10</v>
      </c>
      <c r="S16" s="1903">
        <f t="shared" si="108"/>
        <v>10</v>
      </c>
      <c r="T16" s="1903">
        <f t="shared" si="108"/>
        <v>10</v>
      </c>
      <c r="U16" s="1903">
        <f t="shared" si="108"/>
        <v>10</v>
      </c>
      <c r="V16" s="1903">
        <f t="shared" si="108"/>
        <v>10</v>
      </c>
      <c r="W16" s="1903">
        <f t="shared" si="108"/>
        <v>10</v>
      </c>
      <c r="X16" s="1903">
        <f t="shared" si="108"/>
        <v>10</v>
      </c>
      <c r="Y16" s="1903">
        <f t="shared" si="108"/>
        <v>10</v>
      </c>
      <c r="Z16" s="1903">
        <f t="shared" si="108"/>
        <v>10</v>
      </c>
      <c r="AA16" s="1903">
        <f t="shared" si="81"/>
        <v>10</v>
      </c>
      <c r="AB16" s="1903">
        <f t="shared" si="82"/>
        <v>10</v>
      </c>
      <c r="AC16" s="1903">
        <f t="shared" si="83"/>
        <v>10</v>
      </c>
      <c r="AD16" s="1903">
        <f t="shared" si="84"/>
        <v>10</v>
      </c>
      <c r="AE16" s="1903">
        <f t="shared" si="85"/>
        <v>10</v>
      </c>
      <c r="AF16" s="1903">
        <f t="shared" si="86"/>
        <v>10</v>
      </c>
      <c r="AG16" s="1903">
        <f t="shared" si="87"/>
        <v>10</v>
      </c>
      <c r="AH16" s="1903">
        <f t="shared" si="88"/>
        <v>10</v>
      </c>
      <c r="AI16" s="1903">
        <f t="shared" si="89"/>
        <v>10</v>
      </c>
      <c r="AJ16" s="1903">
        <f t="shared" si="90"/>
        <v>10</v>
      </c>
      <c r="AK16" s="1903">
        <f t="shared" si="91"/>
        <v>10</v>
      </c>
      <c r="AL16" s="1903">
        <f t="shared" si="92"/>
        <v>10</v>
      </c>
      <c r="AM16" s="1903">
        <f t="shared" si="93"/>
        <v>10</v>
      </c>
      <c r="AN16" s="1903">
        <f t="shared" si="94"/>
        <v>10</v>
      </c>
      <c r="AO16" s="1903">
        <f t="shared" si="95"/>
        <v>10</v>
      </c>
      <c r="AP16" s="1903">
        <f t="shared" si="96"/>
        <v>10</v>
      </c>
      <c r="AQ16" s="1903">
        <f t="shared" si="97"/>
        <v>10</v>
      </c>
      <c r="AR16" s="1903">
        <f t="shared" si="98"/>
        <v>10</v>
      </c>
      <c r="AS16" s="1903">
        <f t="shared" si="99"/>
        <v>10</v>
      </c>
      <c r="AT16" s="1903">
        <f t="shared" si="100"/>
        <v>10</v>
      </c>
      <c r="AU16" s="1903">
        <f t="shared" si="101"/>
        <v>10</v>
      </c>
      <c r="AV16" s="1903">
        <f t="shared" si="102"/>
        <v>10</v>
      </c>
      <c r="AW16" s="1903">
        <f t="shared" si="103"/>
        <v>10</v>
      </c>
      <c r="AX16" s="1903">
        <f t="shared" si="104"/>
        <v>10</v>
      </c>
      <c r="AY16" s="1903">
        <f t="shared" si="105"/>
        <v>10</v>
      </c>
      <c r="AZ16" s="1903">
        <f t="shared" si="106"/>
        <v>10</v>
      </c>
      <c r="BA16" s="1903">
        <f t="shared" si="107"/>
        <v>10</v>
      </c>
    </row>
    <row r="17" spans="1:53" ht="15" customHeight="1" x14ac:dyDescent="0.25">
      <c r="A17" s="1887" t="s">
        <v>1969</v>
      </c>
      <c r="B17" s="1903">
        <v>10</v>
      </c>
      <c r="C17" s="1903">
        <f>B17</f>
        <v>10</v>
      </c>
      <c r="D17" s="1903">
        <f t="shared" ref="D17:Z17" si="109">C17</f>
        <v>10</v>
      </c>
      <c r="E17" s="1903">
        <f t="shared" si="109"/>
        <v>10</v>
      </c>
      <c r="F17" s="1903">
        <f t="shared" si="109"/>
        <v>10</v>
      </c>
      <c r="G17" s="1903">
        <f t="shared" si="109"/>
        <v>10</v>
      </c>
      <c r="H17" s="1903">
        <f t="shared" si="109"/>
        <v>10</v>
      </c>
      <c r="I17" s="1903">
        <f t="shared" si="109"/>
        <v>10</v>
      </c>
      <c r="J17" s="1903">
        <f t="shared" si="109"/>
        <v>10</v>
      </c>
      <c r="K17" s="1903">
        <f t="shared" si="109"/>
        <v>10</v>
      </c>
      <c r="L17" s="1903">
        <f t="shared" si="109"/>
        <v>10</v>
      </c>
      <c r="M17" s="1903">
        <f t="shared" si="109"/>
        <v>10</v>
      </c>
      <c r="N17" s="1903">
        <f t="shared" si="109"/>
        <v>10</v>
      </c>
      <c r="O17" s="1903">
        <f t="shared" si="109"/>
        <v>10</v>
      </c>
      <c r="P17" s="1903">
        <f t="shared" si="109"/>
        <v>10</v>
      </c>
      <c r="Q17" s="1903">
        <f t="shared" si="109"/>
        <v>10</v>
      </c>
      <c r="R17" s="1903">
        <f t="shared" si="109"/>
        <v>10</v>
      </c>
      <c r="S17" s="1903">
        <f t="shared" si="109"/>
        <v>10</v>
      </c>
      <c r="T17" s="1903">
        <f t="shared" si="109"/>
        <v>10</v>
      </c>
      <c r="U17" s="1903">
        <f t="shared" si="109"/>
        <v>10</v>
      </c>
      <c r="V17" s="1903">
        <f t="shared" si="109"/>
        <v>10</v>
      </c>
      <c r="W17" s="1903">
        <f t="shared" si="109"/>
        <v>10</v>
      </c>
      <c r="X17" s="1903">
        <f t="shared" si="109"/>
        <v>10</v>
      </c>
      <c r="Y17" s="1903">
        <f t="shared" si="109"/>
        <v>10</v>
      </c>
      <c r="Z17" s="1903">
        <f t="shared" si="109"/>
        <v>10</v>
      </c>
      <c r="AA17" s="1903">
        <f t="shared" si="81"/>
        <v>10</v>
      </c>
      <c r="AB17" s="1903">
        <f t="shared" si="82"/>
        <v>10</v>
      </c>
      <c r="AC17" s="1903">
        <f t="shared" si="83"/>
        <v>10</v>
      </c>
      <c r="AD17" s="1903">
        <f t="shared" si="84"/>
        <v>10</v>
      </c>
      <c r="AE17" s="1903">
        <f t="shared" si="85"/>
        <v>10</v>
      </c>
      <c r="AF17" s="1903">
        <f t="shared" si="86"/>
        <v>10</v>
      </c>
      <c r="AG17" s="1903">
        <f t="shared" si="87"/>
        <v>10</v>
      </c>
      <c r="AH17" s="1903">
        <f t="shared" si="88"/>
        <v>10</v>
      </c>
      <c r="AI17" s="1903">
        <f t="shared" si="89"/>
        <v>10</v>
      </c>
      <c r="AJ17" s="1903">
        <f t="shared" si="90"/>
        <v>10</v>
      </c>
      <c r="AK17" s="1903">
        <f t="shared" si="91"/>
        <v>10</v>
      </c>
      <c r="AL17" s="1903">
        <f t="shared" si="92"/>
        <v>10</v>
      </c>
      <c r="AM17" s="1903">
        <f t="shared" si="93"/>
        <v>10</v>
      </c>
      <c r="AN17" s="1903">
        <f t="shared" si="94"/>
        <v>10</v>
      </c>
      <c r="AO17" s="1903">
        <f t="shared" si="95"/>
        <v>10</v>
      </c>
      <c r="AP17" s="1903">
        <f t="shared" si="96"/>
        <v>10</v>
      </c>
      <c r="AQ17" s="1903">
        <f t="shared" si="97"/>
        <v>10</v>
      </c>
      <c r="AR17" s="1903">
        <f t="shared" si="98"/>
        <v>10</v>
      </c>
      <c r="AS17" s="1903">
        <f t="shared" si="99"/>
        <v>10</v>
      </c>
      <c r="AT17" s="1903">
        <f t="shared" si="100"/>
        <v>10</v>
      </c>
      <c r="AU17" s="1903">
        <f t="shared" si="101"/>
        <v>10</v>
      </c>
      <c r="AV17" s="1903">
        <f t="shared" si="102"/>
        <v>10</v>
      </c>
      <c r="AW17" s="1903">
        <f t="shared" si="103"/>
        <v>10</v>
      </c>
      <c r="AX17" s="1903">
        <f t="shared" si="104"/>
        <v>10</v>
      </c>
      <c r="AY17" s="1903">
        <f t="shared" si="105"/>
        <v>10</v>
      </c>
      <c r="AZ17" s="1903">
        <f t="shared" si="106"/>
        <v>10</v>
      </c>
      <c r="BA17" s="1903">
        <f t="shared" si="107"/>
        <v>10</v>
      </c>
    </row>
    <row r="18" spans="1:53" x14ac:dyDescent="0.25">
      <c r="A18" s="1887" t="s">
        <v>1970</v>
      </c>
      <c r="B18" s="1903">
        <v>20</v>
      </c>
      <c r="C18" s="1903">
        <f>B18</f>
        <v>20</v>
      </c>
      <c r="D18" s="1903">
        <f t="shared" ref="D18:Z18" si="110">C18</f>
        <v>20</v>
      </c>
      <c r="E18" s="1903">
        <f t="shared" si="110"/>
        <v>20</v>
      </c>
      <c r="F18" s="1903">
        <f t="shared" si="110"/>
        <v>20</v>
      </c>
      <c r="G18" s="1903">
        <f t="shared" si="110"/>
        <v>20</v>
      </c>
      <c r="H18" s="1903">
        <f t="shared" si="110"/>
        <v>20</v>
      </c>
      <c r="I18" s="1903">
        <f t="shared" si="110"/>
        <v>20</v>
      </c>
      <c r="J18" s="1903">
        <f t="shared" si="110"/>
        <v>20</v>
      </c>
      <c r="K18" s="1903">
        <f t="shared" si="110"/>
        <v>20</v>
      </c>
      <c r="L18" s="1903">
        <f t="shared" si="110"/>
        <v>20</v>
      </c>
      <c r="M18" s="1903">
        <f t="shared" si="110"/>
        <v>20</v>
      </c>
      <c r="N18" s="1903">
        <f t="shared" si="110"/>
        <v>20</v>
      </c>
      <c r="O18" s="1903">
        <f t="shared" si="110"/>
        <v>20</v>
      </c>
      <c r="P18" s="1903">
        <f t="shared" si="110"/>
        <v>20</v>
      </c>
      <c r="Q18" s="1903">
        <f t="shared" si="110"/>
        <v>20</v>
      </c>
      <c r="R18" s="1903">
        <f t="shared" si="110"/>
        <v>20</v>
      </c>
      <c r="S18" s="1903">
        <f t="shared" si="110"/>
        <v>20</v>
      </c>
      <c r="T18" s="1903">
        <f t="shared" si="110"/>
        <v>20</v>
      </c>
      <c r="U18" s="1903">
        <f t="shared" si="110"/>
        <v>20</v>
      </c>
      <c r="V18" s="1903">
        <f t="shared" si="110"/>
        <v>20</v>
      </c>
      <c r="W18" s="1903">
        <f t="shared" si="110"/>
        <v>20</v>
      </c>
      <c r="X18" s="1903">
        <f t="shared" si="110"/>
        <v>20</v>
      </c>
      <c r="Y18" s="1903">
        <f t="shared" si="110"/>
        <v>20</v>
      </c>
      <c r="Z18" s="1903">
        <f t="shared" si="110"/>
        <v>20</v>
      </c>
      <c r="AA18" s="1903">
        <f t="shared" si="81"/>
        <v>20</v>
      </c>
      <c r="AB18" s="1903">
        <f t="shared" si="82"/>
        <v>20</v>
      </c>
      <c r="AC18" s="1903">
        <f t="shared" si="83"/>
        <v>20</v>
      </c>
      <c r="AD18" s="1903">
        <f t="shared" si="84"/>
        <v>20</v>
      </c>
      <c r="AE18" s="1903">
        <f t="shared" si="85"/>
        <v>20</v>
      </c>
      <c r="AF18" s="1903">
        <f t="shared" si="86"/>
        <v>20</v>
      </c>
      <c r="AG18" s="1903">
        <f t="shared" si="87"/>
        <v>20</v>
      </c>
      <c r="AH18" s="1903">
        <f t="shared" si="88"/>
        <v>20</v>
      </c>
      <c r="AI18" s="1903">
        <f t="shared" si="89"/>
        <v>20</v>
      </c>
      <c r="AJ18" s="1903">
        <f t="shared" si="90"/>
        <v>20</v>
      </c>
      <c r="AK18" s="1903">
        <f t="shared" si="91"/>
        <v>20</v>
      </c>
      <c r="AL18" s="1903">
        <f t="shared" si="92"/>
        <v>20</v>
      </c>
      <c r="AM18" s="1903">
        <f t="shared" si="93"/>
        <v>20</v>
      </c>
      <c r="AN18" s="1903">
        <f t="shared" si="94"/>
        <v>20</v>
      </c>
      <c r="AO18" s="1903">
        <f t="shared" si="95"/>
        <v>20</v>
      </c>
      <c r="AP18" s="1903">
        <f t="shared" si="96"/>
        <v>20</v>
      </c>
      <c r="AQ18" s="1903">
        <f t="shared" si="97"/>
        <v>20</v>
      </c>
      <c r="AR18" s="1903">
        <f t="shared" si="98"/>
        <v>20</v>
      </c>
      <c r="AS18" s="1903">
        <f t="shared" si="99"/>
        <v>20</v>
      </c>
      <c r="AT18" s="1903">
        <f t="shared" si="100"/>
        <v>20</v>
      </c>
      <c r="AU18" s="1903">
        <f t="shared" si="101"/>
        <v>20</v>
      </c>
      <c r="AV18" s="1903">
        <f t="shared" si="102"/>
        <v>20</v>
      </c>
      <c r="AW18" s="1903">
        <f t="shared" si="103"/>
        <v>20</v>
      </c>
      <c r="AX18" s="1903">
        <f t="shared" si="104"/>
        <v>20</v>
      </c>
      <c r="AY18" s="1903">
        <f t="shared" si="105"/>
        <v>20</v>
      </c>
      <c r="AZ18" s="1903">
        <f t="shared" si="106"/>
        <v>20</v>
      </c>
      <c r="BA18" s="1903">
        <f t="shared" si="107"/>
        <v>20</v>
      </c>
    </row>
    <row r="19" spans="1:53" x14ac:dyDescent="0.25">
      <c r="C19" s="1882"/>
      <c r="D19" s="1882"/>
      <c r="E19" s="1882"/>
      <c r="F19" s="1882"/>
      <c r="G19" s="1882"/>
      <c r="H19" s="1882"/>
      <c r="I19" s="1882"/>
      <c r="J19" s="1882"/>
      <c r="K19" s="1882"/>
      <c r="L19" s="1882"/>
      <c r="M19" s="1882"/>
      <c r="N19" s="1882"/>
      <c r="O19" s="1882"/>
      <c r="P19" s="1882"/>
      <c r="Q19" s="1882"/>
      <c r="R19" s="1882"/>
      <c r="S19" s="1882"/>
      <c r="T19" s="1882"/>
      <c r="U19" s="1882"/>
      <c r="V19" s="1882"/>
      <c r="W19" s="1882"/>
      <c r="X19" s="1882"/>
      <c r="Y19" s="1882"/>
      <c r="Z19" s="1882"/>
      <c r="AA19" s="1882"/>
      <c r="AB19" s="1882"/>
      <c r="AC19" s="1882"/>
      <c r="AD19" s="1882"/>
      <c r="AE19" s="1882"/>
      <c r="AF19" s="1882"/>
      <c r="AG19" s="1882"/>
      <c r="AH19" s="1882"/>
      <c r="AI19" s="1882"/>
      <c r="AJ19" s="1882"/>
      <c r="AK19" s="1882"/>
      <c r="AL19" s="1882"/>
      <c r="AM19" s="1882"/>
      <c r="AN19" s="1882"/>
      <c r="AO19" s="1882"/>
      <c r="AP19" s="1882"/>
      <c r="AQ19" s="1882"/>
      <c r="AR19" s="1882"/>
      <c r="AS19" s="1882"/>
      <c r="AT19" s="1882"/>
      <c r="AU19" s="1882"/>
      <c r="AV19" s="1882"/>
      <c r="AW19" s="1882"/>
      <c r="AX19" s="1882"/>
      <c r="AY19" s="1882"/>
      <c r="AZ19" s="1882"/>
      <c r="BA19" s="1882"/>
    </row>
    <row r="20" spans="1:53" ht="15.75" x14ac:dyDescent="0.25">
      <c r="A20" s="1880"/>
      <c r="B20" s="1880"/>
      <c r="C20" s="1882"/>
      <c r="D20" s="1882"/>
      <c r="E20" s="1882"/>
      <c r="F20" s="1882"/>
      <c r="G20" s="1882"/>
      <c r="H20" s="1882"/>
      <c r="I20" s="1882"/>
      <c r="J20" s="1882"/>
      <c r="K20" s="1882"/>
      <c r="L20" s="1882"/>
      <c r="M20" s="1882"/>
      <c r="N20" s="1882"/>
      <c r="O20" s="1882"/>
      <c r="P20" s="1882"/>
      <c r="Q20" s="1882"/>
      <c r="R20" s="1882"/>
      <c r="S20" s="1882"/>
      <c r="T20" s="1882"/>
      <c r="U20" s="1882"/>
      <c r="V20" s="1882"/>
      <c r="W20" s="1882"/>
      <c r="X20" s="1882"/>
      <c r="Y20" s="1882"/>
      <c r="Z20" s="1882"/>
      <c r="AA20" s="1882"/>
      <c r="AB20" s="1882"/>
      <c r="AC20" s="1882"/>
      <c r="AD20" s="1882"/>
      <c r="AE20" s="1882"/>
      <c r="AF20" s="1882"/>
      <c r="AG20" s="1882"/>
      <c r="AH20" s="1882"/>
      <c r="AI20" s="1882"/>
      <c r="AJ20" s="1882"/>
      <c r="AK20" s="1882"/>
      <c r="AL20" s="1882"/>
      <c r="AM20" s="1882"/>
      <c r="AN20" s="1882"/>
      <c r="AO20" s="1882"/>
      <c r="AP20" s="1882"/>
      <c r="AQ20" s="1882"/>
      <c r="AR20" s="1882"/>
      <c r="AS20" s="1882"/>
      <c r="AT20" s="1882"/>
      <c r="AU20" s="1882"/>
      <c r="AV20" s="1882"/>
      <c r="AW20" s="1882"/>
      <c r="AX20" s="1882"/>
      <c r="AY20" s="1882"/>
      <c r="AZ20" s="1882"/>
      <c r="BA20" s="1882"/>
    </row>
    <row r="21" spans="1:53" s="1892" customFormat="1" ht="15.75" x14ac:dyDescent="0.25">
      <c r="A21" s="1889" t="s">
        <v>83</v>
      </c>
      <c r="B21" s="1890" t="str">
        <f>IF(COUNTA(B22:B33)&gt;0,B$4,"")</f>
        <v/>
      </c>
      <c r="C21" s="1890" t="str">
        <f t="shared" ref="C21:Z21" si="111">IF(COUNTA(C22:C33)&gt;0,C$4,"")</f>
        <v/>
      </c>
      <c r="D21" s="1890" t="str">
        <f t="shared" si="111"/>
        <v/>
      </c>
      <c r="E21" s="1890" t="str">
        <f t="shared" si="111"/>
        <v/>
      </c>
      <c r="F21" s="1890" t="str">
        <f t="shared" si="111"/>
        <v/>
      </c>
      <c r="G21" s="1890" t="str">
        <f t="shared" si="111"/>
        <v/>
      </c>
      <c r="H21" s="1890" t="str">
        <f t="shared" si="111"/>
        <v/>
      </c>
      <c r="I21" s="1890" t="str">
        <f t="shared" si="111"/>
        <v/>
      </c>
      <c r="J21" s="1890" t="str">
        <f t="shared" si="111"/>
        <v/>
      </c>
      <c r="K21" s="1890" t="str">
        <f t="shared" si="111"/>
        <v/>
      </c>
      <c r="L21" s="1890" t="str">
        <f t="shared" si="111"/>
        <v/>
      </c>
      <c r="M21" s="1890" t="str">
        <f t="shared" si="111"/>
        <v/>
      </c>
      <c r="N21" s="1890" t="str">
        <f t="shared" si="111"/>
        <v/>
      </c>
      <c r="O21" s="1890" t="str">
        <f t="shared" si="111"/>
        <v/>
      </c>
      <c r="P21" s="1890" t="str">
        <f t="shared" si="111"/>
        <v/>
      </c>
      <c r="Q21" s="1890" t="str">
        <f t="shared" si="111"/>
        <v/>
      </c>
      <c r="R21" s="1890" t="str">
        <f t="shared" si="111"/>
        <v/>
      </c>
      <c r="S21" s="1890" t="str">
        <f t="shared" si="111"/>
        <v/>
      </c>
      <c r="T21" s="1890" t="str">
        <f t="shared" si="111"/>
        <v/>
      </c>
      <c r="U21" s="1890" t="str">
        <f t="shared" si="111"/>
        <v/>
      </c>
      <c r="V21" s="1890" t="str">
        <f t="shared" si="111"/>
        <v/>
      </c>
      <c r="W21" s="1890" t="str">
        <f t="shared" si="111"/>
        <v/>
      </c>
      <c r="X21" s="1890" t="str">
        <f t="shared" si="111"/>
        <v/>
      </c>
      <c r="Y21" s="1890" t="str">
        <f t="shared" si="111"/>
        <v/>
      </c>
      <c r="Z21" s="1890" t="str">
        <f t="shared" si="111"/>
        <v/>
      </c>
      <c r="AA21" s="1890" t="str">
        <f t="shared" ref="AA21:BA21" si="112">IF(COUNTA(AA22:AA33)&gt;0,AA$4,"")</f>
        <v/>
      </c>
      <c r="AB21" s="1890" t="str">
        <f t="shared" si="112"/>
        <v/>
      </c>
      <c r="AC21" s="1890" t="str">
        <f t="shared" si="112"/>
        <v/>
      </c>
      <c r="AD21" s="1890" t="str">
        <f t="shared" si="112"/>
        <v/>
      </c>
      <c r="AE21" s="1890" t="str">
        <f t="shared" si="112"/>
        <v/>
      </c>
      <c r="AF21" s="1890" t="str">
        <f t="shared" si="112"/>
        <v/>
      </c>
      <c r="AG21" s="1890" t="str">
        <f t="shared" si="112"/>
        <v/>
      </c>
      <c r="AH21" s="1890" t="str">
        <f t="shared" si="112"/>
        <v/>
      </c>
      <c r="AI21" s="1890" t="str">
        <f t="shared" si="112"/>
        <v/>
      </c>
      <c r="AJ21" s="1890" t="str">
        <f t="shared" si="112"/>
        <v/>
      </c>
      <c r="AK21" s="1890" t="str">
        <f t="shared" si="112"/>
        <v/>
      </c>
      <c r="AL21" s="1890" t="str">
        <f t="shared" si="112"/>
        <v/>
      </c>
      <c r="AM21" s="1890" t="str">
        <f t="shared" si="112"/>
        <v/>
      </c>
      <c r="AN21" s="1890" t="str">
        <f t="shared" si="112"/>
        <v/>
      </c>
      <c r="AO21" s="1890" t="str">
        <f t="shared" si="112"/>
        <v/>
      </c>
      <c r="AP21" s="1890" t="str">
        <f t="shared" si="112"/>
        <v/>
      </c>
      <c r="AQ21" s="1890" t="str">
        <f t="shared" si="112"/>
        <v/>
      </c>
      <c r="AR21" s="1890" t="str">
        <f t="shared" si="112"/>
        <v/>
      </c>
      <c r="AS21" s="1890" t="str">
        <f t="shared" si="112"/>
        <v/>
      </c>
      <c r="AT21" s="1890" t="str">
        <f t="shared" si="112"/>
        <v/>
      </c>
      <c r="AU21" s="1890" t="str">
        <f t="shared" si="112"/>
        <v/>
      </c>
      <c r="AV21" s="1890" t="str">
        <f t="shared" si="112"/>
        <v/>
      </c>
      <c r="AW21" s="1890" t="str">
        <f t="shared" si="112"/>
        <v/>
      </c>
      <c r="AX21" s="1890" t="str">
        <f t="shared" si="112"/>
        <v/>
      </c>
      <c r="AY21" s="1890" t="str">
        <f t="shared" si="112"/>
        <v/>
      </c>
      <c r="AZ21" s="1890" t="str">
        <f t="shared" si="112"/>
        <v/>
      </c>
      <c r="BA21" s="1890" t="str">
        <f t="shared" si="112"/>
        <v/>
      </c>
    </row>
    <row r="22" spans="1:53" s="1883" customFormat="1" x14ac:dyDescent="0.25">
      <c r="A22" s="881" t="s">
        <v>0</v>
      </c>
      <c r="B22" s="1903"/>
      <c r="C22" s="1903"/>
      <c r="D22" s="1903"/>
      <c r="E22" s="1903"/>
      <c r="F22" s="1903"/>
      <c r="G22" s="1903"/>
      <c r="H22" s="1903"/>
      <c r="I22" s="1903"/>
      <c r="J22" s="1903"/>
      <c r="K22" s="1903"/>
      <c r="L22" s="1903"/>
      <c r="M22" s="1903"/>
      <c r="N22" s="1903"/>
      <c r="O22" s="1903"/>
      <c r="P22" s="1903"/>
      <c r="Q22" s="1903"/>
      <c r="R22" s="1903"/>
      <c r="S22" s="1903"/>
      <c r="T22" s="1903"/>
      <c r="U22" s="1903"/>
      <c r="V22" s="1903"/>
      <c r="W22" s="1903"/>
      <c r="X22" s="1903"/>
      <c r="Y22" s="1903"/>
      <c r="Z22" s="1903"/>
      <c r="AA22" s="1903"/>
      <c r="AB22" s="1903"/>
      <c r="AC22" s="1903"/>
      <c r="AD22" s="1903"/>
      <c r="AE22" s="1903"/>
      <c r="AF22" s="1903"/>
      <c r="AG22" s="1903"/>
      <c r="AH22" s="1903"/>
      <c r="AI22" s="1903"/>
      <c r="AJ22" s="1903"/>
      <c r="AK22" s="1903"/>
      <c r="AL22" s="1903"/>
      <c r="AM22" s="1903"/>
      <c r="AN22" s="1903"/>
      <c r="AO22" s="1903"/>
      <c r="AP22" s="1903"/>
      <c r="AQ22" s="1903"/>
      <c r="AR22" s="1903"/>
      <c r="AS22" s="1903"/>
      <c r="AT22" s="1903"/>
      <c r="AU22" s="1903"/>
      <c r="AV22" s="1903"/>
      <c r="AW22" s="1903"/>
      <c r="AX22" s="1903"/>
      <c r="AY22" s="1903"/>
      <c r="AZ22" s="1903"/>
      <c r="BA22" s="1903"/>
    </row>
    <row r="23" spans="1:53" s="1883" customFormat="1" x14ac:dyDescent="0.25">
      <c r="A23" s="881" t="s">
        <v>199</v>
      </c>
      <c r="B23" s="1903"/>
      <c r="C23" s="1903"/>
      <c r="D23" s="1903"/>
      <c r="E23" s="1903"/>
      <c r="F23" s="1903"/>
      <c r="G23" s="1903"/>
      <c r="H23" s="1903"/>
      <c r="I23" s="1903"/>
      <c r="J23" s="1903"/>
      <c r="K23" s="1903"/>
      <c r="L23" s="1903"/>
      <c r="M23" s="1903"/>
      <c r="N23" s="1903"/>
      <c r="O23" s="1903"/>
      <c r="P23" s="1903"/>
      <c r="Q23" s="1903"/>
      <c r="R23" s="1903"/>
      <c r="S23" s="1903"/>
      <c r="T23" s="1903"/>
      <c r="U23" s="1903"/>
      <c r="V23" s="1903"/>
      <c r="W23" s="1903"/>
      <c r="X23" s="1903"/>
      <c r="Y23" s="1903"/>
      <c r="Z23" s="1903"/>
      <c r="AA23" s="1903"/>
      <c r="AB23" s="1903"/>
      <c r="AC23" s="1903"/>
      <c r="AD23" s="1903"/>
      <c r="AE23" s="1903"/>
      <c r="AF23" s="1903"/>
      <c r="AG23" s="1903"/>
      <c r="AH23" s="1903"/>
      <c r="AI23" s="1903"/>
      <c r="AJ23" s="1903"/>
      <c r="AK23" s="1903"/>
      <c r="AL23" s="1903"/>
      <c r="AM23" s="1903"/>
      <c r="AN23" s="1903"/>
      <c r="AO23" s="1903"/>
      <c r="AP23" s="1903"/>
      <c r="AQ23" s="1903"/>
      <c r="AR23" s="1903"/>
      <c r="AS23" s="1903"/>
      <c r="AT23" s="1903"/>
      <c r="AU23" s="1903"/>
      <c r="AV23" s="1903"/>
      <c r="AW23" s="1903"/>
      <c r="AX23" s="1903"/>
      <c r="AY23" s="1903"/>
      <c r="AZ23" s="1903"/>
      <c r="BA23" s="1903"/>
    </row>
    <row r="24" spans="1:53" s="1883" customFormat="1" x14ac:dyDescent="0.25">
      <c r="A24" s="881" t="s">
        <v>110</v>
      </c>
      <c r="B24" s="1903"/>
      <c r="C24" s="1903"/>
      <c r="D24" s="1903"/>
      <c r="E24" s="1903"/>
      <c r="F24" s="1903"/>
      <c r="G24" s="1903"/>
      <c r="H24" s="1903"/>
      <c r="I24" s="1903"/>
      <c r="J24" s="1903"/>
      <c r="K24" s="1903"/>
      <c r="L24" s="1903"/>
      <c r="M24" s="1903"/>
      <c r="N24" s="1903"/>
      <c r="O24" s="1903"/>
      <c r="P24" s="1903"/>
      <c r="Q24" s="1903"/>
      <c r="R24" s="1903"/>
      <c r="S24" s="1903"/>
      <c r="T24" s="1903"/>
      <c r="U24" s="1903"/>
      <c r="V24" s="1903"/>
      <c r="W24" s="1903"/>
      <c r="X24" s="1903"/>
      <c r="Y24" s="1903"/>
      <c r="Z24" s="1903"/>
      <c r="AA24" s="1903"/>
      <c r="AB24" s="1903"/>
      <c r="AC24" s="1903"/>
      <c r="AD24" s="1903"/>
      <c r="AE24" s="1903"/>
      <c r="AF24" s="1903"/>
      <c r="AG24" s="1903"/>
      <c r="AH24" s="1903"/>
      <c r="AI24" s="1903"/>
      <c r="AJ24" s="1903"/>
      <c r="AK24" s="1903"/>
      <c r="AL24" s="1903"/>
      <c r="AM24" s="1903"/>
      <c r="AN24" s="1903"/>
      <c r="AO24" s="1903"/>
      <c r="AP24" s="1903"/>
      <c r="AQ24" s="1903"/>
      <c r="AR24" s="1903"/>
      <c r="AS24" s="1903"/>
      <c r="AT24" s="1903"/>
      <c r="AU24" s="1903"/>
      <c r="AV24" s="1903"/>
      <c r="AW24" s="1903"/>
      <c r="AX24" s="1903"/>
      <c r="AY24" s="1903"/>
      <c r="AZ24" s="1903"/>
      <c r="BA24" s="1903"/>
    </row>
    <row r="25" spans="1:53" s="1883" customFormat="1" x14ac:dyDescent="0.25">
      <c r="A25" s="1901" t="s">
        <v>77</v>
      </c>
      <c r="B25" s="1904"/>
      <c r="C25" s="1904"/>
      <c r="D25" s="1904"/>
      <c r="E25" s="1904"/>
      <c r="F25" s="1904"/>
      <c r="G25" s="1904"/>
      <c r="H25" s="1904"/>
      <c r="I25" s="1904"/>
      <c r="J25" s="1904"/>
      <c r="K25" s="1904"/>
      <c r="L25" s="1904"/>
      <c r="M25" s="1904"/>
      <c r="N25" s="1904"/>
      <c r="O25" s="1904"/>
      <c r="P25" s="1904"/>
      <c r="Q25" s="1904"/>
      <c r="R25" s="1904"/>
      <c r="S25" s="1904"/>
      <c r="T25" s="1904"/>
      <c r="U25" s="1904"/>
      <c r="V25" s="1904"/>
      <c r="W25" s="1904"/>
      <c r="X25" s="1904"/>
      <c r="Y25" s="1904"/>
      <c r="Z25" s="1904"/>
      <c r="AA25" s="1904"/>
      <c r="AB25" s="1904"/>
      <c r="AC25" s="1904"/>
      <c r="AD25" s="1904"/>
      <c r="AE25" s="1904"/>
      <c r="AF25" s="1904"/>
      <c r="AG25" s="1904"/>
      <c r="AH25" s="1904"/>
      <c r="AI25" s="1904"/>
      <c r="AJ25" s="1904"/>
      <c r="AK25" s="1904"/>
      <c r="AL25" s="1904"/>
      <c r="AM25" s="1904"/>
      <c r="AN25" s="1904"/>
      <c r="AO25" s="1904"/>
      <c r="AP25" s="1904"/>
      <c r="AQ25" s="1904"/>
      <c r="AR25" s="1904"/>
      <c r="AS25" s="1904"/>
      <c r="AT25" s="1904"/>
      <c r="AU25" s="1904"/>
      <c r="AV25" s="1904"/>
      <c r="AW25" s="1904"/>
      <c r="AX25" s="1904"/>
      <c r="AY25" s="1904"/>
      <c r="AZ25" s="1904"/>
      <c r="BA25" s="1904"/>
    </row>
    <row r="26" spans="1:53" s="1883" customFormat="1" x14ac:dyDescent="0.25">
      <c r="A26" s="881" t="s">
        <v>1966</v>
      </c>
      <c r="B26" s="1903"/>
      <c r="C26" s="1903"/>
      <c r="D26" s="1903"/>
      <c r="E26" s="1903"/>
      <c r="F26" s="1903"/>
      <c r="G26" s="1903"/>
      <c r="H26" s="1903"/>
      <c r="I26" s="1903"/>
      <c r="J26" s="1903"/>
      <c r="K26" s="1903"/>
      <c r="L26" s="1903"/>
      <c r="M26" s="1903"/>
      <c r="N26" s="1903"/>
      <c r="O26" s="1903"/>
      <c r="P26" s="1903"/>
      <c r="Q26" s="1903"/>
      <c r="R26" s="1903"/>
      <c r="S26" s="1903"/>
      <c r="T26" s="1903"/>
      <c r="U26" s="1903"/>
      <c r="V26" s="1903"/>
      <c r="W26" s="1903"/>
      <c r="X26" s="1903"/>
      <c r="Y26" s="1903"/>
      <c r="Z26" s="1903"/>
      <c r="AA26" s="1903"/>
      <c r="AB26" s="1903"/>
      <c r="AC26" s="1903"/>
      <c r="AD26" s="1903"/>
      <c r="AE26" s="1903"/>
      <c r="AF26" s="1903"/>
      <c r="AG26" s="1903"/>
      <c r="AH26" s="1903"/>
      <c r="AI26" s="1903"/>
      <c r="AJ26" s="1903"/>
      <c r="AK26" s="1903"/>
      <c r="AL26" s="1903"/>
      <c r="AM26" s="1903"/>
      <c r="AN26" s="1903"/>
      <c r="AO26" s="1903"/>
      <c r="AP26" s="1903"/>
      <c r="AQ26" s="1903"/>
      <c r="AR26" s="1903"/>
      <c r="AS26" s="1903"/>
      <c r="AT26" s="1903"/>
      <c r="AU26" s="1903"/>
      <c r="AV26" s="1903"/>
      <c r="AW26" s="1903"/>
      <c r="AX26" s="1903"/>
      <c r="AY26" s="1903"/>
      <c r="AZ26" s="1903"/>
      <c r="BA26" s="1903"/>
    </row>
    <row r="27" spans="1:53" s="1883" customFormat="1" x14ac:dyDescent="0.25">
      <c r="A27" s="881" t="s">
        <v>1959</v>
      </c>
      <c r="B27" s="1903"/>
      <c r="C27" s="1903"/>
      <c r="D27" s="1903"/>
      <c r="E27" s="1903"/>
      <c r="F27" s="1903"/>
      <c r="G27" s="1903"/>
      <c r="H27" s="1903"/>
      <c r="I27" s="1903"/>
      <c r="J27" s="1903"/>
      <c r="K27" s="1903"/>
      <c r="L27" s="1903"/>
      <c r="M27" s="1903"/>
      <c r="N27" s="1903"/>
      <c r="O27" s="1903"/>
      <c r="P27" s="1903"/>
      <c r="Q27" s="1903"/>
      <c r="R27" s="1903"/>
      <c r="S27" s="1903"/>
      <c r="T27" s="1903"/>
      <c r="U27" s="1903"/>
      <c r="V27" s="1903"/>
      <c r="W27" s="1903"/>
      <c r="X27" s="1903"/>
      <c r="Y27" s="1903"/>
      <c r="Z27" s="1903"/>
      <c r="AA27" s="1903"/>
      <c r="AB27" s="1903"/>
      <c r="AC27" s="1903"/>
      <c r="AD27" s="1903"/>
      <c r="AE27" s="1903"/>
      <c r="AF27" s="1903"/>
      <c r="AG27" s="1903"/>
      <c r="AH27" s="1903"/>
      <c r="AI27" s="1903"/>
      <c r="AJ27" s="1903"/>
      <c r="AK27" s="1903"/>
      <c r="AL27" s="1903"/>
      <c r="AM27" s="1903"/>
      <c r="AN27" s="1903"/>
      <c r="AO27" s="1903"/>
      <c r="AP27" s="1903"/>
      <c r="AQ27" s="1903"/>
      <c r="AR27" s="1903"/>
      <c r="AS27" s="1903"/>
      <c r="AT27" s="1903"/>
      <c r="AU27" s="1903"/>
      <c r="AV27" s="1903"/>
      <c r="AW27" s="1903"/>
      <c r="AX27" s="1903"/>
      <c r="AY27" s="1903"/>
      <c r="AZ27" s="1903"/>
      <c r="BA27" s="1903"/>
    </row>
    <row r="28" spans="1:53" s="1883" customFormat="1" x14ac:dyDescent="0.25">
      <c r="A28" s="881" t="s">
        <v>58</v>
      </c>
      <c r="B28" s="1903"/>
      <c r="C28" s="1903"/>
      <c r="D28" s="1903"/>
      <c r="E28" s="1903"/>
      <c r="F28" s="1903"/>
      <c r="G28" s="1903"/>
      <c r="H28" s="1903"/>
      <c r="I28" s="1903"/>
      <c r="J28" s="1903"/>
      <c r="K28" s="1903"/>
      <c r="L28" s="1903"/>
      <c r="M28" s="1903"/>
      <c r="N28" s="1903"/>
      <c r="O28" s="1903"/>
      <c r="P28" s="1903"/>
      <c r="Q28" s="1903"/>
      <c r="R28" s="1903"/>
      <c r="S28" s="1903"/>
      <c r="T28" s="1903"/>
      <c r="U28" s="1903"/>
      <c r="V28" s="1903"/>
      <c r="W28" s="1903"/>
      <c r="X28" s="1903"/>
      <c r="Y28" s="1903"/>
      <c r="Z28" s="1903"/>
      <c r="AA28" s="1903"/>
      <c r="AB28" s="1903"/>
      <c r="AC28" s="1903"/>
      <c r="AD28" s="1903"/>
      <c r="AE28" s="1903"/>
      <c r="AF28" s="1903"/>
      <c r="AG28" s="1903"/>
      <c r="AH28" s="1903"/>
      <c r="AI28" s="1903"/>
      <c r="AJ28" s="1903"/>
      <c r="AK28" s="1903"/>
      <c r="AL28" s="1903"/>
      <c r="AM28" s="1903"/>
      <c r="AN28" s="1903"/>
      <c r="AO28" s="1903"/>
      <c r="AP28" s="1903"/>
      <c r="AQ28" s="1903"/>
      <c r="AR28" s="1903"/>
      <c r="AS28" s="1903"/>
      <c r="AT28" s="1903"/>
      <c r="AU28" s="1903"/>
      <c r="AV28" s="1903"/>
      <c r="AW28" s="1903"/>
      <c r="AX28" s="1903"/>
      <c r="AY28" s="1903"/>
      <c r="AZ28" s="1903"/>
      <c r="BA28" s="1903"/>
    </row>
    <row r="29" spans="1:53" s="1883" customFormat="1" x14ac:dyDescent="0.25">
      <c r="A29" s="881" t="s">
        <v>59</v>
      </c>
      <c r="B29" s="1903"/>
      <c r="C29" s="1903"/>
      <c r="D29" s="1903"/>
      <c r="E29" s="1903"/>
      <c r="F29" s="1903"/>
      <c r="G29" s="1903"/>
      <c r="H29" s="1903"/>
      <c r="I29" s="1903"/>
      <c r="J29" s="1903"/>
      <c r="K29" s="1903"/>
      <c r="L29" s="1903"/>
      <c r="M29" s="1903"/>
      <c r="N29" s="1903"/>
      <c r="O29" s="1903"/>
      <c r="P29" s="1903"/>
      <c r="Q29" s="1903"/>
      <c r="R29" s="1903"/>
      <c r="S29" s="1903"/>
      <c r="T29" s="1903"/>
      <c r="U29" s="1903"/>
      <c r="V29" s="1903"/>
      <c r="W29" s="1903"/>
      <c r="X29" s="1903"/>
      <c r="Y29" s="1903"/>
      <c r="Z29" s="1903"/>
      <c r="AA29" s="1903"/>
      <c r="AB29" s="1903"/>
      <c r="AC29" s="1903"/>
      <c r="AD29" s="1903"/>
      <c r="AE29" s="1903"/>
      <c r="AF29" s="1903"/>
      <c r="AG29" s="1903"/>
      <c r="AH29" s="1903"/>
      <c r="AI29" s="1903"/>
      <c r="AJ29" s="1903"/>
      <c r="AK29" s="1903"/>
      <c r="AL29" s="1903"/>
      <c r="AM29" s="1903"/>
      <c r="AN29" s="1903"/>
      <c r="AO29" s="1903"/>
      <c r="AP29" s="1903"/>
      <c r="AQ29" s="1903"/>
      <c r="AR29" s="1903"/>
      <c r="AS29" s="1903"/>
      <c r="AT29" s="1903"/>
      <c r="AU29" s="1903"/>
      <c r="AV29" s="1903"/>
      <c r="AW29" s="1903"/>
      <c r="AX29" s="1903"/>
      <c r="AY29" s="1903"/>
      <c r="AZ29" s="1903"/>
      <c r="BA29" s="1903"/>
    </row>
    <row r="30" spans="1:53" s="1883" customFormat="1" x14ac:dyDescent="0.25">
      <c r="A30" s="881" t="s">
        <v>60</v>
      </c>
      <c r="B30" s="1903"/>
      <c r="C30" s="1903"/>
      <c r="D30" s="1903"/>
      <c r="E30" s="1903"/>
      <c r="F30" s="1903"/>
      <c r="G30" s="1903"/>
      <c r="H30" s="1903"/>
      <c r="I30" s="1903"/>
      <c r="J30" s="1903"/>
      <c r="K30" s="1903"/>
      <c r="L30" s="1903"/>
      <c r="M30" s="1903"/>
      <c r="N30" s="1903"/>
      <c r="O30" s="1903"/>
      <c r="P30" s="1903"/>
      <c r="Q30" s="1903"/>
      <c r="R30" s="1903"/>
      <c r="S30" s="1903"/>
      <c r="T30" s="1903"/>
      <c r="U30" s="1903"/>
      <c r="V30" s="1903"/>
      <c r="W30" s="1903"/>
      <c r="X30" s="1903"/>
      <c r="Y30" s="1903"/>
      <c r="Z30" s="1903"/>
      <c r="AA30" s="1903"/>
      <c r="AB30" s="1903"/>
      <c r="AC30" s="1903"/>
      <c r="AD30" s="1903"/>
      <c r="AE30" s="1903"/>
      <c r="AF30" s="1903"/>
      <c r="AG30" s="1903"/>
      <c r="AH30" s="1903"/>
      <c r="AI30" s="1903"/>
      <c r="AJ30" s="1903"/>
      <c r="AK30" s="1903"/>
      <c r="AL30" s="1903"/>
      <c r="AM30" s="1903"/>
      <c r="AN30" s="1903"/>
      <c r="AO30" s="1903"/>
      <c r="AP30" s="1903"/>
      <c r="AQ30" s="1903"/>
      <c r="AR30" s="1903"/>
      <c r="AS30" s="1903"/>
      <c r="AT30" s="1903"/>
      <c r="AU30" s="1903"/>
      <c r="AV30" s="1903"/>
      <c r="AW30" s="1903"/>
      <c r="AX30" s="1903"/>
      <c r="AY30" s="1903"/>
      <c r="AZ30" s="1903"/>
      <c r="BA30" s="1903"/>
    </row>
    <row r="31" spans="1:53" s="1883" customFormat="1" x14ac:dyDescent="0.25">
      <c r="A31" s="1901" t="s">
        <v>61</v>
      </c>
      <c r="B31" s="1904"/>
      <c r="C31" s="1904"/>
      <c r="D31" s="1904"/>
      <c r="E31" s="1904"/>
      <c r="F31" s="1904"/>
      <c r="G31" s="1904"/>
      <c r="H31" s="1904"/>
      <c r="I31" s="1904"/>
      <c r="J31" s="1904"/>
      <c r="K31" s="1904"/>
      <c r="L31" s="1904"/>
      <c r="M31" s="1904"/>
      <c r="N31" s="1904"/>
      <c r="O31" s="1904"/>
      <c r="P31" s="1904"/>
      <c r="Q31" s="1904"/>
      <c r="R31" s="1904"/>
      <c r="S31" s="1904"/>
      <c r="T31" s="1904"/>
      <c r="U31" s="1904"/>
      <c r="V31" s="1904"/>
      <c r="W31" s="1904"/>
      <c r="X31" s="1904"/>
      <c r="Y31" s="1904"/>
      <c r="Z31" s="1904"/>
      <c r="AA31" s="1904"/>
      <c r="AB31" s="1904"/>
      <c r="AC31" s="1904"/>
      <c r="AD31" s="1904"/>
      <c r="AE31" s="1904"/>
      <c r="AF31" s="1904"/>
      <c r="AG31" s="1904"/>
      <c r="AH31" s="1904"/>
      <c r="AI31" s="1904"/>
      <c r="AJ31" s="1904"/>
      <c r="AK31" s="1904"/>
      <c r="AL31" s="1904"/>
      <c r="AM31" s="1904"/>
      <c r="AN31" s="1904"/>
      <c r="AO31" s="1904"/>
      <c r="AP31" s="1904"/>
      <c r="AQ31" s="1904"/>
      <c r="AR31" s="1904"/>
      <c r="AS31" s="1904"/>
      <c r="AT31" s="1904"/>
      <c r="AU31" s="1904"/>
      <c r="AV31" s="1904"/>
      <c r="AW31" s="1904"/>
      <c r="AX31" s="1904"/>
      <c r="AY31" s="1904"/>
      <c r="AZ31" s="1904"/>
      <c r="BA31" s="1904"/>
    </row>
    <row r="32" spans="1:53" s="1883" customFormat="1" x14ac:dyDescent="0.25">
      <c r="A32" s="881" t="s">
        <v>1965</v>
      </c>
      <c r="B32" s="1903"/>
      <c r="C32" s="1903"/>
      <c r="D32" s="1903"/>
      <c r="E32" s="1903"/>
      <c r="F32" s="1903"/>
      <c r="G32" s="1903"/>
      <c r="H32" s="1903"/>
      <c r="I32" s="1903"/>
      <c r="J32" s="1903"/>
      <c r="K32" s="1903"/>
      <c r="L32" s="1903"/>
      <c r="M32" s="1903"/>
      <c r="N32" s="1903"/>
      <c r="O32" s="1903"/>
      <c r="P32" s="1903"/>
      <c r="Q32" s="1903"/>
      <c r="R32" s="1903"/>
      <c r="S32" s="1903"/>
      <c r="T32" s="1903"/>
      <c r="U32" s="1903"/>
      <c r="V32" s="1903"/>
      <c r="W32" s="1903"/>
      <c r="X32" s="1903"/>
      <c r="Y32" s="1903"/>
      <c r="Z32" s="1903"/>
      <c r="AA32" s="1903"/>
      <c r="AB32" s="1903"/>
      <c r="AC32" s="1903"/>
      <c r="AD32" s="1903"/>
      <c r="AE32" s="1903"/>
      <c r="AF32" s="1903"/>
      <c r="AG32" s="1903"/>
      <c r="AH32" s="1903"/>
      <c r="AI32" s="1903"/>
      <c r="AJ32" s="1903"/>
      <c r="AK32" s="1903"/>
      <c r="AL32" s="1903"/>
      <c r="AM32" s="1903"/>
      <c r="AN32" s="1903"/>
      <c r="AO32" s="1903"/>
      <c r="AP32" s="1903"/>
      <c r="AQ32" s="1903"/>
      <c r="AR32" s="1903"/>
      <c r="AS32" s="1903"/>
      <c r="AT32" s="1903"/>
      <c r="AU32" s="1903"/>
      <c r="AV32" s="1903"/>
      <c r="AW32" s="1903"/>
      <c r="AX32" s="1903"/>
      <c r="AY32" s="1903"/>
      <c r="AZ32" s="1903"/>
      <c r="BA32" s="1903"/>
    </row>
    <row r="33" spans="1:53" s="1883" customFormat="1" x14ac:dyDescent="0.25">
      <c r="A33" s="881" t="s">
        <v>1960</v>
      </c>
      <c r="B33" s="1903"/>
      <c r="C33" s="1903"/>
      <c r="D33" s="1903"/>
      <c r="E33" s="1903"/>
      <c r="F33" s="1903"/>
      <c r="G33" s="1903"/>
      <c r="H33" s="1903"/>
      <c r="I33" s="1903"/>
      <c r="J33" s="1903"/>
      <c r="K33" s="1903"/>
      <c r="L33" s="1903"/>
      <c r="M33" s="1903"/>
      <c r="N33" s="1903"/>
      <c r="O33" s="1903"/>
      <c r="P33" s="1903"/>
      <c r="Q33" s="1903"/>
      <c r="R33" s="1903"/>
      <c r="S33" s="1903"/>
      <c r="T33" s="1903"/>
      <c r="U33" s="1903"/>
      <c r="V33" s="1903"/>
      <c r="W33" s="1903"/>
      <c r="X33" s="1903"/>
      <c r="Y33" s="1903"/>
      <c r="Z33" s="1903"/>
      <c r="AA33" s="1903"/>
      <c r="AB33" s="1903"/>
      <c r="AC33" s="1903"/>
      <c r="AD33" s="1903"/>
      <c r="AE33" s="1903"/>
      <c r="AF33" s="1903"/>
      <c r="AG33" s="1903"/>
      <c r="AH33" s="1903"/>
      <c r="AI33" s="1903"/>
      <c r="AJ33" s="1903"/>
      <c r="AK33" s="1903"/>
      <c r="AL33" s="1903"/>
      <c r="AM33" s="1903"/>
      <c r="AN33" s="1903"/>
      <c r="AO33" s="1903"/>
      <c r="AP33" s="1903"/>
      <c r="AQ33" s="1903"/>
      <c r="AR33" s="1903"/>
      <c r="AS33" s="1903"/>
      <c r="AT33" s="1903"/>
      <c r="AU33" s="1903"/>
      <c r="AV33" s="1903"/>
      <c r="AW33" s="1903"/>
      <c r="AX33" s="1903"/>
      <c r="AY33" s="1903"/>
      <c r="AZ33" s="1903"/>
      <c r="BA33" s="1903"/>
    </row>
    <row r="34" spans="1:53" s="1883" customFormat="1" x14ac:dyDescent="0.25">
      <c r="A34" s="1866" t="s">
        <v>1962</v>
      </c>
      <c r="B34" s="1881"/>
      <c r="C34" s="1881"/>
      <c r="D34" s="1881"/>
      <c r="E34" s="1881"/>
      <c r="F34" s="1881"/>
      <c r="G34" s="1881"/>
      <c r="H34" s="1881"/>
      <c r="I34" s="1881"/>
      <c r="J34" s="1881"/>
      <c r="K34" s="1881"/>
      <c r="L34" s="1881"/>
      <c r="M34" s="1881"/>
      <c r="N34" s="1881"/>
      <c r="O34" s="1881"/>
      <c r="P34" s="1881"/>
      <c r="Q34" s="1881"/>
      <c r="R34" s="1881"/>
      <c r="S34" s="1881"/>
      <c r="T34" s="1881"/>
      <c r="U34" s="1881"/>
      <c r="V34" s="1881"/>
      <c r="W34" s="1881"/>
      <c r="X34" s="1881"/>
      <c r="Y34" s="1881"/>
      <c r="Z34" s="1881"/>
      <c r="AA34" s="1881"/>
      <c r="AB34" s="1881"/>
      <c r="AC34" s="1881"/>
      <c r="AD34" s="1881"/>
      <c r="AE34" s="1881"/>
      <c r="AF34" s="1881"/>
      <c r="AG34" s="1881"/>
      <c r="AH34" s="1881"/>
      <c r="AI34" s="1881"/>
      <c r="AJ34" s="1881"/>
      <c r="AK34" s="1881"/>
      <c r="AL34" s="1881"/>
      <c r="AM34" s="1881"/>
      <c r="AN34" s="1881"/>
      <c r="AO34" s="1881"/>
      <c r="AP34" s="1881"/>
      <c r="AQ34" s="1881"/>
      <c r="AR34" s="1881"/>
      <c r="AS34" s="1881"/>
      <c r="AT34" s="1881"/>
      <c r="AU34" s="1881"/>
      <c r="AV34" s="1881"/>
      <c r="AW34" s="1881"/>
      <c r="AX34" s="1881"/>
      <c r="AY34" s="1881"/>
      <c r="AZ34" s="1881"/>
      <c r="BA34" s="1881"/>
    </row>
    <row r="35" spans="1:53" s="1883" customFormat="1" x14ac:dyDescent="0.25">
      <c r="A35" s="881" t="s">
        <v>1945</v>
      </c>
      <c r="B35" s="510" t="str">
        <f>IF(B26="","NPA",B26)</f>
        <v>NPA</v>
      </c>
      <c r="C35" s="510" t="str">
        <f t="shared" ref="C35:Z35" si="113">IF(C26="","NPA",C26)</f>
        <v>NPA</v>
      </c>
      <c r="D35" s="510" t="str">
        <f t="shared" si="113"/>
        <v>NPA</v>
      </c>
      <c r="E35" s="510" t="str">
        <f t="shared" si="113"/>
        <v>NPA</v>
      </c>
      <c r="F35" s="510" t="str">
        <f t="shared" si="113"/>
        <v>NPA</v>
      </c>
      <c r="G35" s="510" t="str">
        <f t="shared" si="113"/>
        <v>NPA</v>
      </c>
      <c r="H35" s="510" t="str">
        <f t="shared" si="113"/>
        <v>NPA</v>
      </c>
      <c r="I35" s="510" t="str">
        <f t="shared" si="113"/>
        <v>NPA</v>
      </c>
      <c r="J35" s="510" t="str">
        <f t="shared" si="113"/>
        <v>NPA</v>
      </c>
      <c r="K35" s="510" t="str">
        <f t="shared" si="113"/>
        <v>NPA</v>
      </c>
      <c r="L35" s="510" t="str">
        <f t="shared" si="113"/>
        <v>NPA</v>
      </c>
      <c r="M35" s="510" t="str">
        <f t="shared" si="113"/>
        <v>NPA</v>
      </c>
      <c r="N35" s="510" t="str">
        <f t="shared" si="113"/>
        <v>NPA</v>
      </c>
      <c r="O35" s="510" t="str">
        <f t="shared" si="113"/>
        <v>NPA</v>
      </c>
      <c r="P35" s="510" t="str">
        <f t="shared" si="113"/>
        <v>NPA</v>
      </c>
      <c r="Q35" s="510" t="str">
        <f t="shared" si="113"/>
        <v>NPA</v>
      </c>
      <c r="R35" s="510" t="str">
        <f t="shared" si="113"/>
        <v>NPA</v>
      </c>
      <c r="S35" s="510" t="str">
        <f t="shared" si="113"/>
        <v>NPA</v>
      </c>
      <c r="T35" s="510" t="str">
        <f t="shared" si="113"/>
        <v>NPA</v>
      </c>
      <c r="U35" s="510" t="str">
        <f t="shared" si="113"/>
        <v>NPA</v>
      </c>
      <c r="V35" s="510" t="str">
        <f t="shared" si="113"/>
        <v>NPA</v>
      </c>
      <c r="W35" s="510" t="str">
        <f t="shared" si="113"/>
        <v>NPA</v>
      </c>
      <c r="X35" s="510" t="str">
        <f t="shared" si="113"/>
        <v>NPA</v>
      </c>
      <c r="Y35" s="510" t="str">
        <f t="shared" si="113"/>
        <v>NPA</v>
      </c>
      <c r="Z35" s="510" t="str">
        <f t="shared" si="113"/>
        <v>NPA</v>
      </c>
      <c r="AA35" s="510" t="str">
        <f t="shared" ref="AA35:BA35" si="114">IF(AA26="","NPA",AA26)</f>
        <v>NPA</v>
      </c>
      <c r="AB35" s="510" t="str">
        <f t="shared" si="114"/>
        <v>NPA</v>
      </c>
      <c r="AC35" s="510" t="str">
        <f t="shared" si="114"/>
        <v>NPA</v>
      </c>
      <c r="AD35" s="510" t="str">
        <f t="shared" si="114"/>
        <v>NPA</v>
      </c>
      <c r="AE35" s="510" t="str">
        <f t="shared" si="114"/>
        <v>NPA</v>
      </c>
      <c r="AF35" s="510" t="str">
        <f t="shared" si="114"/>
        <v>NPA</v>
      </c>
      <c r="AG35" s="510" t="str">
        <f t="shared" si="114"/>
        <v>NPA</v>
      </c>
      <c r="AH35" s="510" t="str">
        <f t="shared" si="114"/>
        <v>NPA</v>
      </c>
      <c r="AI35" s="510" t="str">
        <f t="shared" si="114"/>
        <v>NPA</v>
      </c>
      <c r="AJ35" s="510" t="str">
        <f t="shared" si="114"/>
        <v>NPA</v>
      </c>
      <c r="AK35" s="510" t="str">
        <f t="shared" si="114"/>
        <v>NPA</v>
      </c>
      <c r="AL35" s="510" t="str">
        <f t="shared" si="114"/>
        <v>NPA</v>
      </c>
      <c r="AM35" s="510" t="str">
        <f t="shared" si="114"/>
        <v>NPA</v>
      </c>
      <c r="AN35" s="510" t="str">
        <f t="shared" si="114"/>
        <v>NPA</v>
      </c>
      <c r="AO35" s="510" t="str">
        <f t="shared" si="114"/>
        <v>NPA</v>
      </c>
      <c r="AP35" s="510" t="str">
        <f t="shared" si="114"/>
        <v>NPA</v>
      </c>
      <c r="AQ35" s="510" t="str">
        <f t="shared" si="114"/>
        <v>NPA</v>
      </c>
      <c r="AR35" s="510" t="str">
        <f t="shared" si="114"/>
        <v>NPA</v>
      </c>
      <c r="AS35" s="510" t="str">
        <f t="shared" si="114"/>
        <v>NPA</v>
      </c>
      <c r="AT35" s="510" t="str">
        <f t="shared" si="114"/>
        <v>NPA</v>
      </c>
      <c r="AU35" s="510" t="str">
        <f t="shared" si="114"/>
        <v>NPA</v>
      </c>
      <c r="AV35" s="510" t="str">
        <f t="shared" si="114"/>
        <v>NPA</v>
      </c>
      <c r="AW35" s="510" t="str">
        <f t="shared" si="114"/>
        <v>NPA</v>
      </c>
      <c r="AX35" s="510" t="str">
        <f t="shared" si="114"/>
        <v>NPA</v>
      </c>
      <c r="AY35" s="510" t="str">
        <f t="shared" si="114"/>
        <v>NPA</v>
      </c>
      <c r="AZ35" s="510" t="str">
        <f t="shared" si="114"/>
        <v>NPA</v>
      </c>
      <c r="BA35" s="510" t="str">
        <f t="shared" si="114"/>
        <v>NPA</v>
      </c>
    </row>
    <row r="36" spans="1:53" s="1883" customFormat="1" x14ac:dyDescent="0.25">
      <c r="A36" s="1902" t="str">
        <f>$B$1</f>
        <v>IN 93</v>
      </c>
      <c r="B36" s="510" t="str">
        <f>IFERROR(IF(ABS(B35)&gt;B$17,"Restrição",IF(ABS(B35)&gt;B$15,"Não","Sim")),"NPA")</f>
        <v>NPA</v>
      </c>
      <c r="C36" s="510" t="str">
        <f t="shared" ref="C36:Z36" si="115">IFERROR(IF(ABS(C35)&gt;C$17,"Restrição",IF(ABS(C35)&gt;C$15,"Não","Sim")),"NPA")</f>
        <v>NPA</v>
      </c>
      <c r="D36" s="510" t="str">
        <f t="shared" si="115"/>
        <v>NPA</v>
      </c>
      <c r="E36" s="510" t="str">
        <f t="shared" si="115"/>
        <v>NPA</v>
      </c>
      <c r="F36" s="510" t="str">
        <f t="shared" si="115"/>
        <v>NPA</v>
      </c>
      <c r="G36" s="510" t="str">
        <f t="shared" si="115"/>
        <v>NPA</v>
      </c>
      <c r="H36" s="510" t="str">
        <f t="shared" si="115"/>
        <v>NPA</v>
      </c>
      <c r="I36" s="510" t="str">
        <f t="shared" si="115"/>
        <v>NPA</v>
      </c>
      <c r="J36" s="510" t="str">
        <f t="shared" si="115"/>
        <v>NPA</v>
      </c>
      <c r="K36" s="510" t="str">
        <f t="shared" si="115"/>
        <v>NPA</v>
      </c>
      <c r="L36" s="510" t="str">
        <f t="shared" si="115"/>
        <v>NPA</v>
      </c>
      <c r="M36" s="510" t="str">
        <f t="shared" si="115"/>
        <v>NPA</v>
      </c>
      <c r="N36" s="510" t="str">
        <f t="shared" si="115"/>
        <v>NPA</v>
      </c>
      <c r="O36" s="510" t="str">
        <f t="shared" si="115"/>
        <v>NPA</v>
      </c>
      <c r="P36" s="510" t="str">
        <f t="shared" si="115"/>
        <v>NPA</v>
      </c>
      <c r="Q36" s="510" t="str">
        <f t="shared" si="115"/>
        <v>NPA</v>
      </c>
      <c r="R36" s="510" t="str">
        <f t="shared" si="115"/>
        <v>NPA</v>
      </c>
      <c r="S36" s="510" t="str">
        <f t="shared" si="115"/>
        <v>NPA</v>
      </c>
      <c r="T36" s="510" t="str">
        <f t="shared" si="115"/>
        <v>NPA</v>
      </c>
      <c r="U36" s="510" t="str">
        <f t="shared" si="115"/>
        <v>NPA</v>
      </c>
      <c r="V36" s="510" t="str">
        <f t="shared" si="115"/>
        <v>NPA</v>
      </c>
      <c r="W36" s="510" t="str">
        <f t="shared" si="115"/>
        <v>NPA</v>
      </c>
      <c r="X36" s="510" t="str">
        <f t="shared" si="115"/>
        <v>NPA</v>
      </c>
      <c r="Y36" s="510" t="str">
        <f t="shared" si="115"/>
        <v>NPA</v>
      </c>
      <c r="Z36" s="510" t="str">
        <f t="shared" si="115"/>
        <v>NPA</v>
      </c>
      <c r="AA36" s="510" t="str">
        <f t="shared" ref="AA36:BA36" si="116">IFERROR(IF(ABS(AA35)&gt;AA$17,"Restrição",IF(ABS(AA35)&gt;AA$15,"Não","Sim")),"NPA")</f>
        <v>NPA</v>
      </c>
      <c r="AB36" s="510" t="str">
        <f t="shared" si="116"/>
        <v>NPA</v>
      </c>
      <c r="AC36" s="510" t="str">
        <f t="shared" si="116"/>
        <v>NPA</v>
      </c>
      <c r="AD36" s="510" t="str">
        <f t="shared" si="116"/>
        <v>NPA</v>
      </c>
      <c r="AE36" s="510" t="str">
        <f t="shared" si="116"/>
        <v>NPA</v>
      </c>
      <c r="AF36" s="510" t="str">
        <f t="shared" si="116"/>
        <v>NPA</v>
      </c>
      <c r="AG36" s="510" t="str">
        <f t="shared" si="116"/>
        <v>NPA</v>
      </c>
      <c r="AH36" s="510" t="str">
        <f t="shared" si="116"/>
        <v>NPA</v>
      </c>
      <c r="AI36" s="510" t="str">
        <f t="shared" si="116"/>
        <v>NPA</v>
      </c>
      <c r="AJ36" s="510" t="str">
        <f t="shared" si="116"/>
        <v>NPA</v>
      </c>
      <c r="AK36" s="510" t="str">
        <f t="shared" si="116"/>
        <v>NPA</v>
      </c>
      <c r="AL36" s="510" t="str">
        <f t="shared" si="116"/>
        <v>NPA</v>
      </c>
      <c r="AM36" s="510" t="str">
        <f t="shared" si="116"/>
        <v>NPA</v>
      </c>
      <c r="AN36" s="510" t="str">
        <f t="shared" si="116"/>
        <v>NPA</v>
      </c>
      <c r="AO36" s="510" t="str">
        <f t="shared" si="116"/>
        <v>NPA</v>
      </c>
      <c r="AP36" s="510" t="str">
        <f t="shared" si="116"/>
        <v>NPA</v>
      </c>
      <c r="AQ36" s="510" t="str">
        <f t="shared" si="116"/>
        <v>NPA</v>
      </c>
      <c r="AR36" s="510" t="str">
        <f t="shared" si="116"/>
        <v>NPA</v>
      </c>
      <c r="AS36" s="510" t="str">
        <f t="shared" si="116"/>
        <v>NPA</v>
      </c>
      <c r="AT36" s="510" t="str">
        <f t="shared" si="116"/>
        <v>NPA</v>
      </c>
      <c r="AU36" s="510" t="str">
        <f t="shared" si="116"/>
        <v>NPA</v>
      </c>
      <c r="AV36" s="510" t="str">
        <f t="shared" si="116"/>
        <v>NPA</v>
      </c>
      <c r="AW36" s="510" t="str">
        <f t="shared" si="116"/>
        <v>NPA</v>
      </c>
      <c r="AX36" s="510" t="str">
        <f t="shared" si="116"/>
        <v>NPA</v>
      </c>
      <c r="AY36" s="510" t="str">
        <f t="shared" si="116"/>
        <v>NPA</v>
      </c>
      <c r="AZ36" s="510" t="str">
        <f t="shared" si="116"/>
        <v>NPA</v>
      </c>
      <c r="BA36" s="510" t="str">
        <f t="shared" si="116"/>
        <v>NPA</v>
      </c>
    </row>
    <row r="37" spans="1:53" x14ac:dyDescent="0.25">
      <c r="A37" s="881" t="s">
        <v>1944</v>
      </c>
      <c r="B37" s="510" t="str">
        <f>IF(B32="","NPA",B32+1000)</f>
        <v>NPA</v>
      </c>
      <c r="C37" s="510" t="str">
        <f t="shared" ref="C37:Z37" si="117">IF(C32="","NPA",C32+1000)</f>
        <v>NPA</v>
      </c>
      <c r="D37" s="510" t="str">
        <f t="shared" si="117"/>
        <v>NPA</v>
      </c>
      <c r="E37" s="510" t="str">
        <f t="shared" si="117"/>
        <v>NPA</v>
      </c>
      <c r="F37" s="510" t="str">
        <f t="shared" si="117"/>
        <v>NPA</v>
      </c>
      <c r="G37" s="510" t="str">
        <f t="shared" si="117"/>
        <v>NPA</v>
      </c>
      <c r="H37" s="510" t="str">
        <f t="shared" si="117"/>
        <v>NPA</v>
      </c>
      <c r="I37" s="510" t="str">
        <f t="shared" si="117"/>
        <v>NPA</v>
      </c>
      <c r="J37" s="510" t="str">
        <f t="shared" si="117"/>
        <v>NPA</v>
      </c>
      <c r="K37" s="510" t="str">
        <f t="shared" si="117"/>
        <v>NPA</v>
      </c>
      <c r="L37" s="510" t="str">
        <f t="shared" si="117"/>
        <v>NPA</v>
      </c>
      <c r="M37" s="510" t="str">
        <f t="shared" si="117"/>
        <v>NPA</v>
      </c>
      <c r="N37" s="510" t="str">
        <f t="shared" si="117"/>
        <v>NPA</v>
      </c>
      <c r="O37" s="510" t="str">
        <f t="shared" si="117"/>
        <v>NPA</v>
      </c>
      <c r="P37" s="510" t="str">
        <f t="shared" si="117"/>
        <v>NPA</v>
      </c>
      <c r="Q37" s="510" t="str">
        <f t="shared" si="117"/>
        <v>NPA</v>
      </c>
      <c r="R37" s="510" t="str">
        <f t="shared" si="117"/>
        <v>NPA</v>
      </c>
      <c r="S37" s="510" t="str">
        <f t="shared" si="117"/>
        <v>NPA</v>
      </c>
      <c r="T37" s="510" t="str">
        <f t="shared" si="117"/>
        <v>NPA</v>
      </c>
      <c r="U37" s="510" t="str">
        <f t="shared" si="117"/>
        <v>NPA</v>
      </c>
      <c r="V37" s="510" t="str">
        <f t="shared" si="117"/>
        <v>NPA</v>
      </c>
      <c r="W37" s="510" t="str">
        <f t="shared" si="117"/>
        <v>NPA</v>
      </c>
      <c r="X37" s="510" t="str">
        <f t="shared" si="117"/>
        <v>NPA</v>
      </c>
      <c r="Y37" s="510" t="str">
        <f t="shared" si="117"/>
        <v>NPA</v>
      </c>
      <c r="Z37" s="510" t="str">
        <f t="shared" si="117"/>
        <v>NPA</v>
      </c>
      <c r="AA37" s="510" t="str">
        <f t="shared" ref="AA37:BA37" si="118">IF(AA32="","NPA",AA32+1000)</f>
        <v>NPA</v>
      </c>
      <c r="AB37" s="510" t="str">
        <f t="shared" si="118"/>
        <v>NPA</v>
      </c>
      <c r="AC37" s="510" t="str">
        <f t="shared" si="118"/>
        <v>NPA</v>
      </c>
      <c r="AD37" s="510" t="str">
        <f t="shared" si="118"/>
        <v>NPA</v>
      </c>
      <c r="AE37" s="510" t="str">
        <f t="shared" si="118"/>
        <v>NPA</v>
      </c>
      <c r="AF37" s="510" t="str">
        <f t="shared" si="118"/>
        <v>NPA</v>
      </c>
      <c r="AG37" s="510" t="str">
        <f t="shared" si="118"/>
        <v>NPA</v>
      </c>
      <c r="AH37" s="510" t="str">
        <f t="shared" si="118"/>
        <v>NPA</v>
      </c>
      <c r="AI37" s="510" t="str">
        <f t="shared" si="118"/>
        <v>NPA</v>
      </c>
      <c r="AJ37" s="510" t="str">
        <f t="shared" si="118"/>
        <v>NPA</v>
      </c>
      <c r="AK37" s="510" t="str">
        <f t="shared" si="118"/>
        <v>NPA</v>
      </c>
      <c r="AL37" s="510" t="str">
        <f t="shared" si="118"/>
        <v>NPA</v>
      </c>
      <c r="AM37" s="510" t="str">
        <f t="shared" si="118"/>
        <v>NPA</v>
      </c>
      <c r="AN37" s="510" t="str">
        <f t="shared" si="118"/>
        <v>NPA</v>
      </c>
      <c r="AO37" s="510" t="str">
        <f t="shared" si="118"/>
        <v>NPA</v>
      </c>
      <c r="AP37" s="510" t="str">
        <f t="shared" si="118"/>
        <v>NPA</v>
      </c>
      <c r="AQ37" s="510" t="str">
        <f t="shared" si="118"/>
        <v>NPA</v>
      </c>
      <c r="AR37" s="510" t="str">
        <f t="shared" si="118"/>
        <v>NPA</v>
      </c>
      <c r="AS37" s="510" t="str">
        <f t="shared" si="118"/>
        <v>NPA</v>
      </c>
      <c r="AT37" s="510" t="str">
        <f t="shared" si="118"/>
        <v>NPA</v>
      </c>
      <c r="AU37" s="510" t="str">
        <f t="shared" si="118"/>
        <v>NPA</v>
      </c>
      <c r="AV37" s="510" t="str">
        <f t="shared" si="118"/>
        <v>NPA</v>
      </c>
      <c r="AW37" s="510" t="str">
        <f t="shared" si="118"/>
        <v>NPA</v>
      </c>
      <c r="AX37" s="510" t="str">
        <f t="shared" si="118"/>
        <v>NPA</v>
      </c>
      <c r="AY37" s="510" t="str">
        <f t="shared" si="118"/>
        <v>NPA</v>
      </c>
      <c r="AZ37" s="510" t="str">
        <f t="shared" si="118"/>
        <v>NPA</v>
      </c>
      <c r="BA37" s="510" t="str">
        <f t="shared" si="118"/>
        <v>NPA</v>
      </c>
    </row>
    <row r="38" spans="1:53" x14ac:dyDescent="0.25">
      <c r="A38" s="1902" t="str">
        <f>$B$1</f>
        <v>IN 93</v>
      </c>
      <c r="B38" s="510" t="str">
        <f>IFERROR(IF(ABS(B37)&gt;B$18,"Restrição",IF(ABS(B37)&gt;B$16,"Não","Sim")),"NPA")</f>
        <v>NPA</v>
      </c>
      <c r="C38" s="510" t="str">
        <f t="shared" ref="C38:Z38" si="119">IFERROR(IF(ABS(C37)&gt;C$18,"Restrição",IF(ABS(C37)&gt;C$16,"Não","Sim")),"NPA")</f>
        <v>NPA</v>
      </c>
      <c r="D38" s="510" t="str">
        <f t="shared" si="119"/>
        <v>NPA</v>
      </c>
      <c r="E38" s="510" t="str">
        <f t="shared" si="119"/>
        <v>NPA</v>
      </c>
      <c r="F38" s="510" t="str">
        <f t="shared" si="119"/>
        <v>NPA</v>
      </c>
      <c r="G38" s="510" t="str">
        <f t="shared" si="119"/>
        <v>NPA</v>
      </c>
      <c r="H38" s="510" t="str">
        <f t="shared" si="119"/>
        <v>NPA</v>
      </c>
      <c r="I38" s="510" t="str">
        <f t="shared" si="119"/>
        <v>NPA</v>
      </c>
      <c r="J38" s="510" t="str">
        <f t="shared" si="119"/>
        <v>NPA</v>
      </c>
      <c r="K38" s="510" t="str">
        <f t="shared" si="119"/>
        <v>NPA</v>
      </c>
      <c r="L38" s="510" t="str">
        <f t="shared" si="119"/>
        <v>NPA</v>
      </c>
      <c r="M38" s="510" t="str">
        <f t="shared" si="119"/>
        <v>NPA</v>
      </c>
      <c r="N38" s="510" t="str">
        <f t="shared" si="119"/>
        <v>NPA</v>
      </c>
      <c r="O38" s="510" t="str">
        <f t="shared" si="119"/>
        <v>NPA</v>
      </c>
      <c r="P38" s="510" t="str">
        <f t="shared" si="119"/>
        <v>NPA</v>
      </c>
      <c r="Q38" s="510" t="str">
        <f t="shared" si="119"/>
        <v>NPA</v>
      </c>
      <c r="R38" s="510" t="str">
        <f t="shared" si="119"/>
        <v>NPA</v>
      </c>
      <c r="S38" s="510" t="str">
        <f t="shared" si="119"/>
        <v>NPA</v>
      </c>
      <c r="T38" s="510" t="str">
        <f t="shared" si="119"/>
        <v>NPA</v>
      </c>
      <c r="U38" s="510" t="str">
        <f t="shared" si="119"/>
        <v>NPA</v>
      </c>
      <c r="V38" s="510" t="str">
        <f t="shared" si="119"/>
        <v>NPA</v>
      </c>
      <c r="W38" s="510" t="str">
        <f t="shared" si="119"/>
        <v>NPA</v>
      </c>
      <c r="X38" s="510" t="str">
        <f t="shared" si="119"/>
        <v>NPA</v>
      </c>
      <c r="Y38" s="510" t="str">
        <f t="shared" si="119"/>
        <v>NPA</v>
      </c>
      <c r="Z38" s="510" t="str">
        <f t="shared" si="119"/>
        <v>NPA</v>
      </c>
      <c r="AA38" s="510" t="str">
        <f t="shared" ref="AA38:BA38" si="120">IFERROR(IF(ABS(AA37)&gt;AA$18,"Restrição",IF(ABS(AA37)&gt;AA$16,"Não","Sim")),"NPA")</f>
        <v>NPA</v>
      </c>
      <c r="AB38" s="510" t="str">
        <f t="shared" si="120"/>
        <v>NPA</v>
      </c>
      <c r="AC38" s="510" t="str">
        <f t="shared" si="120"/>
        <v>NPA</v>
      </c>
      <c r="AD38" s="510" t="str">
        <f t="shared" si="120"/>
        <v>NPA</v>
      </c>
      <c r="AE38" s="510" t="str">
        <f t="shared" si="120"/>
        <v>NPA</v>
      </c>
      <c r="AF38" s="510" t="str">
        <f t="shared" si="120"/>
        <v>NPA</v>
      </c>
      <c r="AG38" s="510" t="str">
        <f t="shared" si="120"/>
        <v>NPA</v>
      </c>
      <c r="AH38" s="510" t="str">
        <f t="shared" si="120"/>
        <v>NPA</v>
      </c>
      <c r="AI38" s="510" t="str">
        <f t="shared" si="120"/>
        <v>NPA</v>
      </c>
      <c r="AJ38" s="510" t="str">
        <f t="shared" si="120"/>
        <v>NPA</v>
      </c>
      <c r="AK38" s="510" t="str">
        <f t="shared" si="120"/>
        <v>NPA</v>
      </c>
      <c r="AL38" s="510" t="str">
        <f t="shared" si="120"/>
        <v>NPA</v>
      </c>
      <c r="AM38" s="510" t="str">
        <f t="shared" si="120"/>
        <v>NPA</v>
      </c>
      <c r="AN38" s="510" t="str">
        <f t="shared" si="120"/>
        <v>NPA</v>
      </c>
      <c r="AO38" s="510" t="str">
        <f t="shared" si="120"/>
        <v>NPA</v>
      </c>
      <c r="AP38" s="510" t="str">
        <f t="shared" si="120"/>
        <v>NPA</v>
      </c>
      <c r="AQ38" s="510" t="str">
        <f t="shared" si="120"/>
        <v>NPA</v>
      </c>
      <c r="AR38" s="510" t="str">
        <f t="shared" si="120"/>
        <v>NPA</v>
      </c>
      <c r="AS38" s="510" t="str">
        <f t="shared" si="120"/>
        <v>NPA</v>
      </c>
      <c r="AT38" s="510" t="str">
        <f t="shared" si="120"/>
        <v>NPA</v>
      </c>
      <c r="AU38" s="510" t="str">
        <f t="shared" si="120"/>
        <v>NPA</v>
      </c>
      <c r="AV38" s="510" t="str">
        <f t="shared" si="120"/>
        <v>NPA</v>
      </c>
      <c r="AW38" s="510" t="str">
        <f t="shared" si="120"/>
        <v>NPA</v>
      </c>
      <c r="AX38" s="510" t="str">
        <f t="shared" si="120"/>
        <v>NPA</v>
      </c>
      <c r="AY38" s="510" t="str">
        <f t="shared" si="120"/>
        <v>NPA</v>
      </c>
      <c r="AZ38" s="510" t="str">
        <f t="shared" si="120"/>
        <v>NPA</v>
      </c>
      <c r="BA38" s="510" t="str">
        <f t="shared" si="120"/>
        <v>NPA</v>
      </c>
    </row>
    <row r="39" spans="1:53" x14ac:dyDescent="0.25">
      <c r="A39" s="881" t="s">
        <v>62</v>
      </c>
      <c r="B39" s="510" t="str">
        <f>IF(B27="","NPA",ABS(ABS(MAX(B28:B31)-ABS(MIN(B28:B31)))-B27))</f>
        <v>NPA</v>
      </c>
      <c r="C39" s="510" t="str">
        <f t="shared" ref="C39:Z39" si="121">IF(C27="","NPA",ABS(ABS(MAX(C28:C31)-ABS(MIN(C28:C31)))-C27))</f>
        <v>NPA</v>
      </c>
      <c r="D39" s="510" t="str">
        <f t="shared" si="121"/>
        <v>NPA</v>
      </c>
      <c r="E39" s="510" t="str">
        <f t="shared" si="121"/>
        <v>NPA</v>
      </c>
      <c r="F39" s="510" t="str">
        <f t="shared" si="121"/>
        <v>NPA</v>
      </c>
      <c r="G39" s="510" t="str">
        <f t="shared" si="121"/>
        <v>NPA</v>
      </c>
      <c r="H39" s="510" t="str">
        <f t="shared" si="121"/>
        <v>NPA</v>
      </c>
      <c r="I39" s="510" t="str">
        <f t="shared" si="121"/>
        <v>NPA</v>
      </c>
      <c r="J39" s="510" t="str">
        <f t="shared" si="121"/>
        <v>NPA</v>
      </c>
      <c r="K39" s="510" t="str">
        <f t="shared" si="121"/>
        <v>NPA</v>
      </c>
      <c r="L39" s="510" t="str">
        <f t="shared" si="121"/>
        <v>NPA</v>
      </c>
      <c r="M39" s="510" t="str">
        <f t="shared" si="121"/>
        <v>NPA</v>
      </c>
      <c r="N39" s="510" t="str">
        <f t="shared" si="121"/>
        <v>NPA</v>
      </c>
      <c r="O39" s="510" t="str">
        <f t="shared" si="121"/>
        <v>NPA</v>
      </c>
      <c r="P39" s="510" t="str">
        <f t="shared" si="121"/>
        <v>NPA</v>
      </c>
      <c r="Q39" s="510" t="str">
        <f t="shared" si="121"/>
        <v>NPA</v>
      </c>
      <c r="R39" s="510" t="str">
        <f t="shared" si="121"/>
        <v>NPA</v>
      </c>
      <c r="S39" s="510" t="str">
        <f t="shared" si="121"/>
        <v>NPA</v>
      </c>
      <c r="T39" s="510" t="str">
        <f t="shared" si="121"/>
        <v>NPA</v>
      </c>
      <c r="U39" s="510" t="str">
        <f t="shared" si="121"/>
        <v>NPA</v>
      </c>
      <c r="V39" s="510" t="str">
        <f t="shared" si="121"/>
        <v>NPA</v>
      </c>
      <c r="W39" s="510" t="str">
        <f t="shared" si="121"/>
        <v>NPA</v>
      </c>
      <c r="X39" s="510" t="str">
        <f t="shared" si="121"/>
        <v>NPA</v>
      </c>
      <c r="Y39" s="510" t="str">
        <f t="shared" si="121"/>
        <v>NPA</v>
      </c>
      <c r="Z39" s="510" t="str">
        <f t="shared" si="121"/>
        <v>NPA</v>
      </c>
      <c r="AA39" s="510" t="str">
        <f t="shared" ref="AA39:BA39" si="122">IF(AA27="","NPA",ABS(ABS(MAX(AA28:AA31)-ABS(MIN(AA28:AA31)))-AA27))</f>
        <v>NPA</v>
      </c>
      <c r="AB39" s="510" t="str">
        <f t="shared" si="122"/>
        <v>NPA</v>
      </c>
      <c r="AC39" s="510" t="str">
        <f t="shared" si="122"/>
        <v>NPA</v>
      </c>
      <c r="AD39" s="510" t="str">
        <f t="shared" si="122"/>
        <v>NPA</v>
      </c>
      <c r="AE39" s="510" t="str">
        <f t="shared" si="122"/>
        <v>NPA</v>
      </c>
      <c r="AF39" s="510" t="str">
        <f t="shared" si="122"/>
        <v>NPA</v>
      </c>
      <c r="AG39" s="510" t="str">
        <f t="shared" si="122"/>
        <v>NPA</v>
      </c>
      <c r="AH39" s="510" t="str">
        <f t="shared" si="122"/>
        <v>NPA</v>
      </c>
      <c r="AI39" s="510" t="str">
        <f t="shared" si="122"/>
        <v>NPA</v>
      </c>
      <c r="AJ39" s="510" t="str">
        <f t="shared" si="122"/>
        <v>NPA</v>
      </c>
      <c r="AK39" s="510" t="str">
        <f t="shared" si="122"/>
        <v>NPA</v>
      </c>
      <c r="AL39" s="510" t="str">
        <f t="shared" si="122"/>
        <v>NPA</v>
      </c>
      <c r="AM39" s="510" t="str">
        <f t="shared" si="122"/>
        <v>NPA</v>
      </c>
      <c r="AN39" s="510" t="str">
        <f t="shared" si="122"/>
        <v>NPA</v>
      </c>
      <c r="AO39" s="510" t="str">
        <f t="shared" si="122"/>
        <v>NPA</v>
      </c>
      <c r="AP39" s="510" t="str">
        <f t="shared" si="122"/>
        <v>NPA</v>
      </c>
      <c r="AQ39" s="510" t="str">
        <f t="shared" si="122"/>
        <v>NPA</v>
      </c>
      <c r="AR39" s="510" t="str">
        <f t="shared" si="122"/>
        <v>NPA</v>
      </c>
      <c r="AS39" s="510" t="str">
        <f t="shared" si="122"/>
        <v>NPA</v>
      </c>
      <c r="AT39" s="510" t="str">
        <f t="shared" si="122"/>
        <v>NPA</v>
      </c>
      <c r="AU39" s="510" t="str">
        <f t="shared" si="122"/>
        <v>NPA</v>
      </c>
      <c r="AV39" s="510" t="str">
        <f t="shared" si="122"/>
        <v>NPA</v>
      </c>
      <c r="AW39" s="510" t="str">
        <f t="shared" si="122"/>
        <v>NPA</v>
      </c>
      <c r="AX39" s="510" t="str">
        <f t="shared" si="122"/>
        <v>NPA</v>
      </c>
      <c r="AY39" s="510" t="str">
        <f t="shared" si="122"/>
        <v>NPA</v>
      </c>
      <c r="AZ39" s="510" t="str">
        <f t="shared" si="122"/>
        <v>NPA</v>
      </c>
      <c r="BA39" s="510" t="str">
        <f t="shared" si="122"/>
        <v>NPA</v>
      </c>
    </row>
    <row r="40" spans="1:53" x14ac:dyDescent="0.25">
      <c r="A40" s="1902" t="str">
        <f>$B$1</f>
        <v>IN 93</v>
      </c>
      <c r="B40" s="510" t="str">
        <f>IFERROR(IF(ABS(B39)&gt;10,"Restrição",IF(ABS(B39)&gt;5,"Não","Sim")),"NPA")</f>
        <v>NPA</v>
      </c>
      <c r="C40" s="510" t="str">
        <f t="shared" ref="C40:Z40" si="123">IFERROR(IF(ABS(C39)&gt;10,"Restrição",IF(ABS(C39)&gt;5,"Não","Sim")),"NPA")</f>
        <v>NPA</v>
      </c>
      <c r="D40" s="510" t="str">
        <f t="shared" si="123"/>
        <v>NPA</v>
      </c>
      <c r="E40" s="510" t="str">
        <f t="shared" si="123"/>
        <v>NPA</v>
      </c>
      <c r="F40" s="510" t="str">
        <f t="shared" si="123"/>
        <v>NPA</v>
      </c>
      <c r="G40" s="510" t="str">
        <f t="shared" si="123"/>
        <v>NPA</v>
      </c>
      <c r="H40" s="510" t="str">
        <f t="shared" si="123"/>
        <v>NPA</v>
      </c>
      <c r="I40" s="510" t="str">
        <f t="shared" si="123"/>
        <v>NPA</v>
      </c>
      <c r="J40" s="510" t="str">
        <f t="shared" si="123"/>
        <v>NPA</v>
      </c>
      <c r="K40" s="510" t="str">
        <f t="shared" si="123"/>
        <v>NPA</v>
      </c>
      <c r="L40" s="510" t="str">
        <f t="shared" si="123"/>
        <v>NPA</v>
      </c>
      <c r="M40" s="510" t="str">
        <f t="shared" si="123"/>
        <v>NPA</v>
      </c>
      <c r="N40" s="510" t="str">
        <f t="shared" si="123"/>
        <v>NPA</v>
      </c>
      <c r="O40" s="510" t="str">
        <f t="shared" si="123"/>
        <v>NPA</v>
      </c>
      <c r="P40" s="510" t="str">
        <f t="shared" si="123"/>
        <v>NPA</v>
      </c>
      <c r="Q40" s="510" t="str">
        <f t="shared" si="123"/>
        <v>NPA</v>
      </c>
      <c r="R40" s="510" t="str">
        <f t="shared" si="123"/>
        <v>NPA</v>
      </c>
      <c r="S40" s="510" t="str">
        <f t="shared" si="123"/>
        <v>NPA</v>
      </c>
      <c r="T40" s="510" t="str">
        <f t="shared" si="123"/>
        <v>NPA</v>
      </c>
      <c r="U40" s="510" t="str">
        <f t="shared" si="123"/>
        <v>NPA</v>
      </c>
      <c r="V40" s="510" t="str">
        <f t="shared" si="123"/>
        <v>NPA</v>
      </c>
      <c r="W40" s="510" t="str">
        <f t="shared" si="123"/>
        <v>NPA</v>
      </c>
      <c r="X40" s="510" t="str">
        <f t="shared" si="123"/>
        <v>NPA</v>
      </c>
      <c r="Y40" s="510" t="str">
        <f t="shared" si="123"/>
        <v>NPA</v>
      </c>
      <c r="Z40" s="510" t="str">
        <f t="shared" si="123"/>
        <v>NPA</v>
      </c>
      <c r="AA40" s="510" t="str">
        <f t="shared" ref="AA40:BA40" si="124">IFERROR(IF(ABS(AA39)&gt;10,"Restrição",IF(ABS(AA39)&gt;5,"Não","Sim")),"NPA")</f>
        <v>NPA</v>
      </c>
      <c r="AB40" s="510" t="str">
        <f t="shared" si="124"/>
        <v>NPA</v>
      </c>
      <c r="AC40" s="510" t="str">
        <f t="shared" si="124"/>
        <v>NPA</v>
      </c>
      <c r="AD40" s="510" t="str">
        <f t="shared" si="124"/>
        <v>NPA</v>
      </c>
      <c r="AE40" s="510" t="str">
        <f t="shared" si="124"/>
        <v>NPA</v>
      </c>
      <c r="AF40" s="510" t="str">
        <f t="shared" si="124"/>
        <v>NPA</v>
      </c>
      <c r="AG40" s="510" t="str">
        <f t="shared" si="124"/>
        <v>NPA</v>
      </c>
      <c r="AH40" s="510" t="str">
        <f t="shared" si="124"/>
        <v>NPA</v>
      </c>
      <c r="AI40" s="510" t="str">
        <f t="shared" si="124"/>
        <v>NPA</v>
      </c>
      <c r="AJ40" s="510" t="str">
        <f t="shared" si="124"/>
        <v>NPA</v>
      </c>
      <c r="AK40" s="510" t="str">
        <f t="shared" si="124"/>
        <v>NPA</v>
      </c>
      <c r="AL40" s="510" t="str">
        <f t="shared" si="124"/>
        <v>NPA</v>
      </c>
      <c r="AM40" s="510" t="str">
        <f t="shared" si="124"/>
        <v>NPA</v>
      </c>
      <c r="AN40" s="510" t="str">
        <f t="shared" si="124"/>
        <v>NPA</v>
      </c>
      <c r="AO40" s="510" t="str">
        <f t="shared" si="124"/>
        <v>NPA</v>
      </c>
      <c r="AP40" s="510" t="str">
        <f t="shared" si="124"/>
        <v>NPA</v>
      </c>
      <c r="AQ40" s="510" t="str">
        <f t="shared" si="124"/>
        <v>NPA</v>
      </c>
      <c r="AR40" s="510" t="str">
        <f t="shared" si="124"/>
        <v>NPA</v>
      </c>
      <c r="AS40" s="510" t="str">
        <f t="shared" si="124"/>
        <v>NPA</v>
      </c>
      <c r="AT40" s="510" t="str">
        <f t="shared" si="124"/>
        <v>NPA</v>
      </c>
      <c r="AU40" s="510" t="str">
        <f t="shared" si="124"/>
        <v>NPA</v>
      </c>
      <c r="AV40" s="510" t="str">
        <f t="shared" si="124"/>
        <v>NPA</v>
      </c>
      <c r="AW40" s="510" t="str">
        <f t="shared" si="124"/>
        <v>NPA</v>
      </c>
      <c r="AX40" s="510" t="str">
        <f t="shared" si="124"/>
        <v>NPA</v>
      </c>
      <c r="AY40" s="510" t="str">
        <f t="shared" si="124"/>
        <v>NPA</v>
      </c>
      <c r="AZ40" s="510" t="str">
        <f t="shared" si="124"/>
        <v>NPA</v>
      </c>
      <c r="BA40" s="510" t="str">
        <f t="shared" si="124"/>
        <v>NPA</v>
      </c>
    </row>
    <row r="41" spans="1:53" x14ac:dyDescent="0.25">
      <c r="A41" s="881" t="s">
        <v>1964</v>
      </c>
      <c r="B41" s="510" t="str">
        <f>IF(B27="","NPA",B27)</f>
        <v>NPA</v>
      </c>
      <c r="C41" s="510" t="str">
        <f t="shared" ref="C41:Z41" si="125">IF(C27="","NPA",C27)</f>
        <v>NPA</v>
      </c>
      <c r="D41" s="510" t="str">
        <f t="shared" si="125"/>
        <v>NPA</v>
      </c>
      <c r="E41" s="510" t="str">
        <f t="shared" si="125"/>
        <v>NPA</v>
      </c>
      <c r="F41" s="510" t="str">
        <f t="shared" si="125"/>
        <v>NPA</v>
      </c>
      <c r="G41" s="510" t="str">
        <f t="shared" si="125"/>
        <v>NPA</v>
      </c>
      <c r="H41" s="510" t="str">
        <f t="shared" si="125"/>
        <v>NPA</v>
      </c>
      <c r="I41" s="510" t="str">
        <f t="shared" si="125"/>
        <v>NPA</v>
      </c>
      <c r="J41" s="510" t="str">
        <f t="shared" si="125"/>
        <v>NPA</v>
      </c>
      <c r="K41" s="510" t="str">
        <f t="shared" si="125"/>
        <v>NPA</v>
      </c>
      <c r="L41" s="510" t="str">
        <f t="shared" si="125"/>
        <v>NPA</v>
      </c>
      <c r="M41" s="510" t="str">
        <f t="shared" si="125"/>
        <v>NPA</v>
      </c>
      <c r="N41" s="510" t="str">
        <f t="shared" si="125"/>
        <v>NPA</v>
      </c>
      <c r="O41" s="510" t="str">
        <f t="shared" si="125"/>
        <v>NPA</v>
      </c>
      <c r="P41" s="510" t="str">
        <f t="shared" si="125"/>
        <v>NPA</v>
      </c>
      <c r="Q41" s="510" t="str">
        <f t="shared" si="125"/>
        <v>NPA</v>
      </c>
      <c r="R41" s="510" t="str">
        <f t="shared" si="125"/>
        <v>NPA</v>
      </c>
      <c r="S41" s="510" t="str">
        <f t="shared" si="125"/>
        <v>NPA</v>
      </c>
      <c r="T41" s="510" t="str">
        <f t="shared" si="125"/>
        <v>NPA</v>
      </c>
      <c r="U41" s="510" t="str">
        <f t="shared" si="125"/>
        <v>NPA</v>
      </c>
      <c r="V41" s="510" t="str">
        <f t="shared" si="125"/>
        <v>NPA</v>
      </c>
      <c r="W41" s="510" t="str">
        <f t="shared" si="125"/>
        <v>NPA</v>
      </c>
      <c r="X41" s="510" t="str">
        <f t="shared" si="125"/>
        <v>NPA</v>
      </c>
      <c r="Y41" s="510" t="str">
        <f t="shared" si="125"/>
        <v>NPA</v>
      </c>
      <c r="Z41" s="510" t="str">
        <f t="shared" si="125"/>
        <v>NPA</v>
      </c>
      <c r="AA41" s="510" t="str">
        <f t="shared" ref="AA41:BA41" si="126">IF(AA27="","NPA",AA27)</f>
        <v>NPA</v>
      </c>
      <c r="AB41" s="510" t="str">
        <f t="shared" si="126"/>
        <v>NPA</v>
      </c>
      <c r="AC41" s="510" t="str">
        <f t="shared" si="126"/>
        <v>NPA</v>
      </c>
      <c r="AD41" s="510" t="str">
        <f t="shared" si="126"/>
        <v>NPA</v>
      </c>
      <c r="AE41" s="510" t="str">
        <f t="shared" si="126"/>
        <v>NPA</v>
      </c>
      <c r="AF41" s="510" t="str">
        <f t="shared" si="126"/>
        <v>NPA</v>
      </c>
      <c r="AG41" s="510" t="str">
        <f t="shared" si="126"/>
        <v>NPA</v>
      </c>
      <c r="AH41" s="510" t="str">
        <f t="shared" si="126"/>
        <v>NPA</v>
      </c>
      <c r="AI41" s="510" t="str">
        <f t="shared" si="126"/>
        <v>NPA</v>
      </c>
      <c r="AJ41" s="510" t="str">
        <f t="shared" si="126"/>
        <v>NPA</v>
      </c>
      <c r="AK41" s="510" t="str">
        <f t="shared" si="126"/>
        <v>NPA</v>
      </c>
      <c r="AL41" s="510" t="str">
        <f t="shared" si="126"/>
        <v>NPA</v>
      </c>
      <c r="AM41" s="510" t="str">
        <f t="shared" si="126"/>
        <v>NPA</v>
      </c>
      <c r="AN41" s="510" t="str">
        <f t="shared" si="126"/>
        <v>NPA</v>
      </c>
      <c r="AO41" s="510" t="str">
        <f t="shared" si="126"/>
        <v>NPA</v>
      </c>
      <c r="AP41" s="510" t="str">
        <f t="shared" si="126"/>
        <v>NPA</v>
      </c>
      <c r="AQ41" s="510" t="str">
        <f t="shared" si="126"/>
        <v>NPA</v>
      </c>
      <c r="AR41" s="510" t="str">
        <f t="shared" si="126"/>
        <v>NPA</v>
      </c>
      <c r="AS41" s="510" t="str">
        <f t="shared" si="126"/>
        <v>NPA</v>
      </c>
      <c r="AT41" s="510" t="str">
        <f t="shared" si="126"/>
        <v>NPA</v>
      </c>
      <c r="AU41" s="510" t="str">
        <f t="shared" si="126"/>
        <v>NPA</v>
      </c>
      <c r="AV41" s="510" t="str">
        <f t="shared" si="126"/>
        <v>NPA</v>
      </c>
      <c r="AW41" s="510" t="str">
        <f t="shared" si="126"/>
        <v>NPA</v>
      </c>
      <c r="AX41" s="510" t="str">
        <f t="shared" si="126"/>
        <v>NPA</v>
      </c>
      <c r="AY41" s="510" t="str">
        <f t="shared" si="126"/>
        <v>NPA</v>
      </c>
      <c r="AZ41" s="510" t="str">
        <f t="shared" si="126"/>
        <v>NPA</v>
      </c>
      <c r="BA41" s="510" t="str">
        <f t="shared" si="126"/>
        <v>NPA</v>
      </c>
    </row>
    <row r="42" spans="1:53" x14ac:dyDescent="0.25">
      <c r="A42" s="1902" t="str">
        <f>$B$1</f>
        <v>IN 93</v>
      </c>
      <c r="B42" s="510" t="str">
        <f>IFERROR(IF(B41="NPA","NPA",IF(B41&gt;1.2*B$10,"Restrição",IF(B41&gt;1.15*B$10,"Não","Sim"))),"NPA")</f>
        <v>NPA</v>
      </c>
      <c r="C42" s="510" t="str">
        <f t="shared" ref="C42:BA42" si="127">IFERROR(IF(C41="NPA","NPA",IF(C41&gt;1.2*C$10,"Restrição",IF(C41&gt;1.15*C$10,"Não","Sim"))),"NPA")</f>
        <v>NPA</v>
      </c>
      <c r="D42" s="510" t="str">
        <f t="shared" si="127"/>
        <v>NPA</v>
      </c>
      <c r="E42" s="510" t="str">
        <f t="shared" si="127"/>
        <v>NPA</v>
      </c>
      <c r="F42" s="510" t="str">
        <f t="shared" si="127"/>
        <v>NPA</v>
      </c>
      <c r="G42" s="510" t="str">
        <f t="shared" si="127"/>
        <v>NPA</v>
      </c>
      <c r="H42" s="510" t="str">
        <f t="shared" si="127"/>
        <v>NPA</v>
      </c>
      <c r="I42" s="510" t="str">
        <f t="shared" si="127"/>
        <v>NPA</v>
      </c>
      <c r="J42" s="510" t="str">
        <f t="shared" si="127"/>
        <v>NPA</v>
      </c>
      <c r="K42" s="510" t="str">
        <f t="shared" si="127"/>
        <v>NPA</v>
      </c>
      <c r="L42" s="510" t="str">
        <f t="shared" si="127"/>
        <v>NPA</v>
      </c>
      <c r="M42" s="510" t="str">
        <f t="shared" si="127"/>
        <v>NPA</v>
      </c>
      <c r="N42" s="510" t="str">
        <f t="shared" si="127"/>
        <v>NPA</v>
      </c>
      <c r="O42" s="510" t="str">
        <f t="shared" si="127"/>
        <v>NPA</v>
      </c>
      <c r="P42" s="510" t="str">
        <f t="shared" si="127"/>
        <v>NPA</v>
      </c>
      <c r="Q42" s="510" t="str">
        <f t="shared" si="127"/>
        <v>NPA</v>
      </c>
      <c r="R42" s="510" t="str">
        <f t="shared" si="127"/>
        <v>NPA</v>
      </c>
      <c r="S42" s="510" t="str">
        <f t="shared" si="127"/>
        <v>NPA</v>
      </c>
      <c r="T42" s="510" t="str">
        <f t="shared" si="127"/>
        <v>NPA</v>
      </c>
      <c r="U42" s="510" t="str">
        <f t="shared" si="127"/>
        <v>NPA</v>
      </c>
      <c r="V42" s="510" t="str">
        <f t="shared" si="127"/>
        <v>NPA</v>
      </c>
      <c r="W42" s="510" t="str">
        <f t="shared" si="127"/>
        <v>NPA</v>
      </c>
      <c r="X42" s="510" t="str">
        <f t="shared" si="127"/>
        <v>NPA</v>
      </c>
      <c r="Y42" s="510" t="str">
        <f t="shared" si="127"/>
        <v>NPA</v>
      </c>
      <c r="Z42" s="510" t="str">
        <f t="shared" si="127"/>
        <v>NPA</v>
      </c>
      <c r="AA42" s="510" t="str">
        <f t="shared" si="127"/>
        <v>NPA</v>
      </c>
      <c r="AB42" s="510" t="str">
        <f t="shared" si="127"/>
        <v>NPA</v>
      </c>
      <c r="AC42" s="510" t="str">
        <f t="shared" si="127"/>
        <v>NPA</v>
      </c>
      <c r="AD42" s="510" t="str">
        <f t="shared" si="127"/>
        <v>NPA</v>
      </c>
      <c r="AE42" s="510" t="str">
        <f t="shared" si="127"/>
        <v>NPA</v>
      </c>
      <c r="AF42" s="510" t="str">
        <f t="shared" si="127"/>
        <v>NPA</v>
      </c>
      <c r="AG42" s="510" t="str">
        <f t="shared" si="127"/>
        <v>NPA</v>
      </c>
      <c r="AH42" s="510" t="str">
        <f t="shared" si="127"/>
        <v>NPA</v>
      </c>
      <c r="AI42" s="510" t="str">
        <f t="shared" si="127"/>
        <v>NPA</v>
      </c>
      <c r="AJ42" s="510" t="str">
        <f t="shared" si="127"/>
        <v>NPA</v>
      </c>
      <c r="AK42" s="510" t="str">
        <f t="shared" si="127"/>
        <v>NPA</v>
      </c>
      <c r="AL42" s="510" t="str">
        <f t="shared" si="127"/>
        <v>NPA</v>
      </c>
      <c r="AM42" s="510" t="str">
        <f t="shared" si="127"/>
        <v>NPA</v>
      </c>
      <c r="AN42" s="510" t="str">
        <f t="shared" si="127"/>
        <v>NPA</v>
      </c>
      <c r="AO42" s="510" t="str">
        <f t="shared" si="127"/>
        <v>NPA</v>
      </c>
      <c r="AP42" s="510" t="str">
        <f t="shared" si="127"/>
        <v>NPA</v>
      </c>
      <c r="AQ42" s="510" t="str">
        <f t="shared" si="127"/>
        <v>NPA</v>
      </c>
      <c r="AR42" s="510" t="str">
        <f t="shared" si="127"/>
        <v>NPA</v>
      </c>
      <c r="AS42" s="510" t="str">
        <f t="shared" si="127"/>
        <v>NPA</v>
      </c>
      <c r="AT42" s="510" t="str">
        <f t="shared" si="127"/>
        <v>NPA</v>
      </c>
      <c r="AU42" s="510" t="str">
        <f t="shared" si="127"/>
        <v>NPA</v>
      </c>
      <c r="AV42" s="510" t="str">
        <f t="shared" si="127"/>
        <v>NPA</v>
      </c>
      <c r="AW42" s="510" t="str">
        <f t="shared" si="127"/>
        <v>NPA</v>
      </c>
      <c r="AX42" s="510" t="str">
        <f t="shared" si="127"/>
        <v>NPA</v>
      </c>
      <c r="AY42" s="510" t="str">
        <f t="shared" si="127"/>
        <v>NPA</v>
      </c>
      <c r="AZ42" s="510" t="str">
        <f t="shared" si="127"/>
        <v>NPA</v>
      </c>
      <c r="BA42" s="510" t="str">
        <f t="shared" si="127"/>
        <v>NPA</v>
      </c>
    </row>
    <row r="43" spans="1:53" x14ac:dyDescent="0.25">
      <c r="A43" s="881" t="s">
        <v>1963</v>
      </c>
      <c r="B43" s="510" t="str">
        <f>IF(B33="","NPA",B33)</f>
        <v>NPA</v>
      </c>
      <c r="C43" s="510" t="str">
        <f t="shared" ref="C43:BA43" si="128">IF(C33="","NPA",C33)</f>
        <v>NPA</v>
      </c>
      <c r="D43" s="510" t="str">
        <f t="shared" si="128"/>
        <v>NPA</v>
      </c>
      <c r="E43" s="510" t="str">
        <f t="shared" si="128"/>
        <v>NPA</v>
      </c>
      <c r="F43" s="510" t="str">
        <f t="shared" si="128"/>
        <v>NPA</v>
      </c>
      <c r="G43" s="510" t="str">
        <f t="shared" si="128"/>
        <v>NPA</v>
      </c>
      <c r="H43" s="510" t="str">
        <f t="shared" si="128"/>
        <v>NPA</v>
      </c>
      <c r="I43" s="510" t="str">
        <f t="shared" si="128"/>
        <v>NPA</v>
      </c>
      <c r="J43" s="510" t="str">
        <f t="shared" si="128"/>
        <v>NPA</v>
      </c>
      <c r="K43" s="510" t="str">
        <f t="shared" si="128"/>
        <v>NPA</v>
      </c>
      <c r="L43" s="510" t="str">
        <f t="shared" si="128"/>
        <v>NPA</v>
      </c>
      <c r="M43" s="510" t="str">
        <f t="shared" si="128"/>
        <v>NPA</v>
      </c>
      <c r="N43" s="510" t="str">
        <f t="shared" si="128"/>
        <v>NPA</v>
      </c>
      <c r="O43" s="510" t="str">
        <f t="shared" si="128"/>
        <v>NPA</v>
      </c>
      <c r="P43" s="510" t="str">
        <f t="shared" si="128"/>
        <v>NPA</v>
      </c>
      <c r="Q43" s="510" t="str">
        <f t="shared" si="128"/>
        <v>NPA</v>
      </c>
      <c r="R43" s="510" t="str">
        <f t="shared" si="128"/>
        <v>NPA</v>
      </c>
      <c r="S43" s="510" t="str">
        <f t="shared" si="128"/>
        <v>NPA</v>
      </c>
      <c r="T43" s="510" t="str">
        <f t="shared" si="128"/>
        <v>NPA</v>
      </c>
      <c r="U43" s="510" t="str">
        <f t="shared" si="128"/>
        <v>NPA</v>
      </c>
      <c r="V43" s="510" t="str">
        <f t="shared" si="128"/>
        <v>NPA</v>
      </c>
      <c r="W43" s="510" t="str">
        <f t="shared" si="128"/>
        <v>NPA</v>
      </c>
      <c r="X43" s="510" t="str">
        <f t="shared" si="128"/>
        <v>NPA</v>
      </c>
      <c r="Y43" s="510" t="str">
        <f t="shared" si="128"/>
        <v>NPA</v>
      </c>
      <c r="Z43" s="510" t="str">
        <f t="shared" si="128"/>
        <v>NPA</v>
      </c>
      <c r="AA43" s="510" t="str">
        <f t="shared" si="128"/>
        <v>NPA</v>
      </c>
      <c r="AB43" s="510" t="str">
        <f t="shared" si="128"/>
        <v>NPA</v>
      </c>
      <c r="AC43" s="510" t="str">
        <f t="shared" si="128"/>
        <v>NPA</v>
      </c>
      <c r="AD43" s="510" t="str">
        <f t="shared" si="128"/>
        <v>NPA</v>
      </c>
      <c r="AE43" s="510" t="str">
        <f t="shared" si="128"/>
        <v>NPA</v>
      </c>
      <c r="AF43" s="510" t="str">
        <f t="shared" si="128"/>
        <v>NPA</v>
      </c>
      <c r="AG43" s="510" t="str">
        <f t="shared" si="128"/>
        <v>NPA</v>
      </c>
      <c r="AH43" s="510" t="str">
        <f t="shared" si="128"/>
        <v>NPA</v>
      </c>
      <c r="AI43" s="510" t="str">
        <f t="shared" si="128"/>
        <v>NPA</v>
      </c>
      <c r="AJ43" s="510" t="str">
        <f t="shared" si="128"/>
        <v>NPA</v>
      </c>
      <c r="AK43" s="510" t="str">
        <f t="shared" si="128"/>
        <v>NPA</v>
      </c>
      <c r="AL43" s="510" t="str">
        <f t="shared" si="128"/>
        <v>NPA</v>
      </c>
      <c r="AM43" s="510" t="str">
        <f t="shared" si="128"/>
        <v>NPA</v>
      </c>
      <c r="AN43" s="510" t="str">
        <f t="shared" si="128"/>
        <v>NPA</v>
      </c>
      <c r="AO43" s="510" t="str">
        <f t="shared" si="128"/>
        <v>NPA</v>
      </c>
      <c r="AP43" s="510" t="str">
        <f t="shared" si="128"/>
        <v>NPA</v>
      </c>
      <c r="AQ43" s="510" t="str">
        <f t="shared" si="128"/>
        <v>NPA</v>
      </c>
      <c r="AR43" s="510" t="str">
        <f t="shared" si="128"/>
        <v>NPA</v>
      </c>
      <c r="AS43" s="510" t="str">
        <f t="shared" si="128"/>
        <v>NPA</v>
      </c>
      <c r="AT43" s="510" t="str">
        <f t="shared" si="128"/>
        <v>NPA</v>
      </c>
      <c r="AU43" s="510" t="str">
        <f t="shared" si="128"/>
        <v>NPA</v>
      </c>
      <c r="AV43" s="510" t="str">
        <f t="shared" si="128"/>
        <v>NPA</v>
      </c>
      <c r="AW43" s="510" t="str">
        <f t="shared" si="128"/>
        <v>NPA</v>
      </c>
      <c r="AX43" s="510" t="str">
        <f t="shared" si="128"/>
        <v>NPA</v>
      </c>
      <c r="AY43" s="510" t="str">
        <f t="shared" si="128"/>
        <v>NPA</v>
      </c>
      <c r="AZ43" s="510" t="str">
        <f t="shared" si="128"/>
        <v>NPA</v>
      </c>
      <c r="BA43" s="510" t="str">
        <f t="shared" si="128"/>
        <v>NPA</v>
      </c>
    </row>
    <row r="44" spans="1:53" x14ac:dyDescent="0.25">
      <c r="A44" s="1902" t="str">
        <f>$B$1</f>
        <v>IN 93</v>
      </c>
      <c r="B44" s="510" t="str">
        <f>IFERROR(IF(B43="NPA","NPA",IF(B43&gt;1.2*B$11,"Restrição",IF(B43&gt;1.15*B$11,"Não","Sim"))),"NPA")</f>
        <v>NPA</v>
      </c>
      <c r="C44" s="510" t="str">
        <f t="shared" ref="C44:BA44" si="129">IFERROR(IF(C43="NPA","NPA",IF(C43&gt;1.2*C$11,"Restrição",IF(C43&gt;1.15*C$11,"Não","Sim"))),"NPA")</f>
        <v>NPA</v>
      </c>
      <c r="D44" s="510" t="str">
        <f t="shared" si="129"/>
        <v>NPA</v>
      </c>
      <c r="E44" s="510" t="str">
        <f t="shared" si="129"/>
        <v>NPA</v>
      </c>
      <c r="F44" s="510" t="str">
        <f t="shared" si="129"/>
        <v>NPA</v>
      </c>
      <c r="G44" s="510" t="str">
        <f t="shared" si="129"/>
        <v>NPA</v>
      </c>
      <c r="H44" s="510" t="str">
        <f t="shared" si="129"/>
        <v>NPA</v>
      </c>
      <c r="I44" s="510" t="str">
        <f t="shared" si="129"/>
        <v>NPA</v>
      </c>
      <c r="J44" s="510" t="str">
        <f t="shared" si="129"/>
        <v>NPA</v>
      </c>
      <c r="K44" s="510" t="str">
        <f t="shared" si="129"/>
        <v>NPA</v>
      </c>
      <c r="L44" s="510" t="str">
        <f t="shared" si="129"/>
        <v>NPA</v>
      </c>
      <c r="M44" s="510" t="str">
        <f t="shared" si="129"/>
        <v>NPA</v>
      </c>
      <c r="N44" s="510" t="str">
        <f t="shared" si="129"/>
        <v>NPA</v>
      </c>
      <c r="O44" s="510" t="str">
        <f t="shared" si="129"/>
        <v>NPA</v>
      </c>
      <c r="P44" s="510" t="str">
        <f t="shared" si="129"/>
        <v>NPA</v>
      </c>
      <c r="Q44" s="510" t="str">
        <f t="shared" si="129"/>
        <v>NPA</v>
      </c>
      <c r="R44" s="510" t="str">
        <f t="shared" si="129"/>
        <v>NPA</v>
      </c>
      <c r="S44" s="510" t="str">
        <f t="shared" si="129"/>
        <v>NPA</v>
      </c>
      <c r="T44" s="510" t="str">
        <f t="shared" si="129"/>
        <v>NPA</v>
      </c>
      <c r="U44" s="510" t="str">
        <f t="shared" si="129"/>
        <v>NPA</v>
      </c>
      <c r="V44" s="510" t="str">
        <f t="shared" si="129"/>
        <v>NPA</v>
      </c>
      <c r="W44" s="510" t="str">
        <f t="shared" si="129"/>
        <v>NPA</v>
      </c>
      <c r="X44" s="510" t="str">
        <f t="shared" si="129"/>
        <v>NPA</v>
      </c>
      <c r="Y44" s="510" t="str">
        <f t="shared" si="129"/>
        <v>NPA</v>
      </c>
      <c r="Z44" s="510" t="str">
        <f t="shared" si="129"/>
        <v>NPA</v>
      </c>
      <c r="AA44" s="510" t="str">
        <f t="shared" si="129"/>
        <v>NPA</v>
      </c>
      <c r="AB44" s="510" t="str">
        <f t="shared" si="129"/>
        <v>NPA</v>
      </c>
      <c r="AC44" s="510" t="str">
        <f t="shared" si="129"/>
        <v>NPA</v>
      </c>
      <c r="AD44" s="510" t="str">
        <f t="shared" si="129"/>
        <v>NPA</v>
      </c>
      <c r="AE44" s="510" t="str">
        <f t="shared" si="129"/>
        <v>NPA</v>
      </c>
      <c r="AF44" s="510" t="str">
        <f t="shared" si="129"/>
        <v>NPA</v>
      </c>
      <c r="AG44" s="510" t="str">
        <f t="shared" si="129"/>
        <v>NPA</v>
      </c>
      <c r="AH44" s="510" t="str">
        <f t="shared" si="129"/>
        <v>NPA</v>
      </c>
      <c r="AI44" s="510" t="str">
        <f t="shared" si="129"/>
        <v>NPA</v>
      </c>
      <c r="AJ44" s="510" t="str">
        <f t="shared" si="129"/>
        <v>NPA</v>
      </c>
      <c r="AK44" s="510" t="str">
        <f t="shared" si="129"/>
        <v>NPA</v>
      </c>
      <c r="AL44" s="510" t="str">
        <f t="shared" si="129"/>
        <v>NPA</v>
      </c>
      <c r="AM44" s="510" t="str">
        <f t="shared" si="129"/>
        <v>NPA</v>
      </c>
      <c r="AN44" s="510" t="str">
        <f t="shared" si="129"/>
        <v>NPA</v>
      </c>
      <c r="AO44" s="510" t="str">
        <f t="shared" si="129"/>
        <v>NPA</v>
      </c>
      <c r="AP44" s="510" t="str">
        <f t="shared" si="129"/>
        <v>NPA</v>
      </c>
      <c r="AQ44" s="510" t="str">
        <f t="shared" si="129"/>
        <v>NPA</v>
      </c>
      <c r="AR44" s="510" t="str">
        <f t="shared" si="129"/>
        <v>NPA</v>
      </c>
      <c r="AS44" s="510" t="str">
        <f t="shared" si="129"/>
        <v>NPA</v>
      </c>
      <c r="AT44" s="510" t="str">
        <f t="shared" si="129"/>
        <v>NPA</v>
      </c>
      <c r="AU44" s="510" t="str">
        <f t="shared" si="129"/>
        <v>NPA</v>
      </c>
      <c r="AV44" s="510" t="str">
        <f t="shared" si="129"/>
        <v>NPA</v>
      </c>
      <c r="AW44" s="510" t="str">
        <f t="shared" si="129"/>
        <v>NPA</v>
      </c>
      <c r="AX44" s="510" t="str">
        <f t="shared" si="129"/>
        <v>NPA</v>
      </c>
      <c r="AY44" s="510" t="str">
        <f t="shared" si="129"/>
        <v>NPA</v>
      </c>
      <c r="AZ44" s="510" t="str">
        <f t="shared" si="129"/>
        <v>NPA</v>
      </c>
      <c r="BA44" s="510" t="str">
        <f t="shared" si="129"/>
        <v>NPA</v>
      </c>
    </row>
    <row r="45" spans="1:53" x14ac:dyDescent="0.25">
      <c r="A45" s="1902"/>
      <c r="B45" s="510"/>
      <c r="C45" s="510"/>
      <c r="D45" s="510"/>
      <c r="E45" s="510"/>
      <c r="F45" s="510"/>
      <c r="G45" s="510"/>
      <c r="H45" s="510"/>
      <c r="I45" s="510"/>
      <c r="J45" s="510"/>
      <c r="K45" s="510"/>
      <c r="L45" s="510"/>
      <c r="M45" s="510"/>
      <c r="N45" s="510"/>
      <c r="O45" s="510"/>
      <c r="P45" s="510"/>
      <c r="Q45" s="510"/>
      <c r="R45" s="510"/>
      <c r="S45" s="510"/>
      <c r="T45" s="510"/>
      <c r="U45" s="510"/>
      <c r="V45" s="510"/>
      <c r="W45" s="510"/>
      <c r="X45" s="510"/>
      <c r="Y45" s="510"/>
      <c r="Z45" s="510"/>
      <c r="AA45" s="510"/>
      <c r="AB45" s="510"/>
      <c r="AC45" s="510"/>
      <c r="AD45" s="510"/>
      <c r="AE45" s="510"/>
      <c r="AF45" s="510"/>
      <c r="AG45" s="510"/>
      <c r="AH45" s="510"/>
      <c r="AI45" s="510"/>
      <c r="AJ45" s="510"/>
      <c r="AK45" s="510"/>
      <c r="AL45" s="510"/>
      <c r="AM45" s="510"/>
      <c r="AN45" s="510"/>
      <c r="AO45" s="510"/>
      <c r="AP45" s="510"/>
      <c r="AQ45" s="510"/>
      <c r="AR45" s="510"/>
      <c r="AS45" s="510"/>
      <c r="AT45" s="510"/>
      <c r="AU45" s="510"/>
      <c r="AV45" s="510"/>
      <c r="AW45" s="510"/>
      <c r="AX45" s="510"/>
      <c r="AY45" s="510"/>
      <c r="AZ45" s="510"/>
      <c r="BA45" s="510"/>
    </row>
    <row r="46" spans="1:53" x14ac:dyDescent="0.25">
      <c r="A46" s="1884"/>
      <c r="B46" s="1885"/>
      <c r="C46" s="1885"/>
      <c r="D46" s="1885"/>
      <c r="E46" s="1885"/>
      <c r="F46" s="1885"/>
      <c r="G46" s="1885"/>
      <c r="H46" s="1885"/>
      <c r="I46" s="1885"/>
      <c r="J46" s="1885"/>
      <c r="K46" s="1885"/>
      <c r="L46" s="1885"/>
      <c r="M46" s="1885"/>
      <c r="N46" s="1885"/>
      <c r="O46" s="1885"/>
      <c r="P46" s="1885"/>
      <c r="Q46" s="1885"/>
      <c r="R46" s="1885"/>
      <c r="S46" s="1885"/>
      <c r="T46" s="1885"/>
      <c r="U46" s="1885"/>
      <c r="V46" s="1885"/>
      <c r="W46" s="1885"/>
      <c r="X46" s="1885"/>
      <c r="Y46" s="1885"/>
      <c r="Z46" s="1885"/>
      <c r="AA46" s="1885"/>
      <c r="AB46" s="1885"/>
      <c r="AC46" s="1885"/>
      <c r="AD46" s="1885"/>
      <c r="AE46" s="1885"/>
      <c r="AF46" s="1885"/>
      <c r="AG46" s="1885"/>
      <c r="AH46" s="1885"/>
      <c r="AI46" s="1885"/>
      <c r="AJ46" s="1885"/>
      <c r="AK46" s="1885"/>
      <c r="AL46" s="1885"/>
      <c r="AM46" s="1885"/>
      <c r="AN46" s="1885"/>
      <c r="AO46" s="1885"/>
      <c r="AP46" s="1885"/>
      <c r="AQ46" s="1885"/>
      <c r="AR46" s="1885"/>
      <c r="AS46" s="1885"/>
      <c r="AT46" s="1885"/>
      <c r="AU46" s="1885"/>
      <c r="AV46" s="1885"/>
      <c r="AW46" s="1885"/>
      <c r="AX46" s="1885"/>
      <c r="AY46" s="1885"/>
      <c r="AZ46" s="1885"/>
      <c r="BA46" s="1885"/>
    </row>
    <row r="47" spans="1:53" s="1892" customFormat="1" ht="15.75" x14ac:dyDescent="0.25">
      <c r="A47" s="1889" t="s">
        <v>82</v>
      </c>
      <c r="B47" s="1890" t="str">
        <f>IF(COUNTA(B48:B59)&gt;0,B$4,"")</f>
        <v/>
      </c>
      <c r="C47" s="1890" t="str">
        <f t="shared" ref="C47:Z47" si="130">IF(COUNTA(C48:C59)&gt;0,C$4,"")</f>
        <v/>
      </c>
      <c r="D47" s="1890" t="str">
        <f t="shared" si="130"/>
        <v/>
      </c>
      <c r="E47" s="1890" t="str">
        <f t="shared" si="130"/>
        <v/>
      </c>
      <c r="F47" s="1890" t="str">
        <f t="shared" si="130"/>
        <v/>
      </c>
      <c r="G47" s="1890" t="str">
        <f t="shared" si="130"/>
        <v/>
      </c>
      <c r="H47" s="1890" t="str">
        <f t="shared" si="130"/>
        <v/>
      </c>
      <c r="I47" s="1890" t="str">
        <f t="shared" si="130"/>
        <v/>
      </c>
      <c r="J47" s="1890" t="str">
        <f t="shared" si="130"/>
        <v/>
      </c>
      <c r="K47" s="1890" t="str">
        <f t="shared" si="130"/>
        <v/>
      </c>
      <c r="L47" s="1890" t="str">
        <f t="shared" si="130"/>
        <v/>
      </c>
      <c r="M47" s="1890" t="str">
        <f t="shared" si="130"/>
        <v/>
      </c>
      <c r="N47" s="1890" t="str">
        <f t="shared" si="130"/>
        <v/>
      </c>
      <c r="O47" s="1890" t="str">
        <f t="shared" si="130"/>
        <v/>
      </c>
      <c r="P47" s="1890" t="str">
        <f t="shared" si="130"/>
        <v/>
      </c>
      <c r="Q47" s="1890" t="str">
        <f t="shared" si="130"/>
        <v/>
      </c>
      <c r="R47" s="1890" t="str">
        <f t="shared" si="130"/>
        <v/>
      </c>
      <c r="S47" s="1890" t="str">
        <f t="shared" si="130"/>
        <v/>
      </c>
      <c r="T47" s="1890" t="str">
        <f t="shared" si="130"/>
        <v/>
      </c>
      <c r="U47" s="1890" t="str">
        <f t="shared" si="130"/>
        <v/>
      </c>
      <c r="V47" s="1890" t="str">
        <f t="shared" si="130"/>
        <v/>
      </c>
      <c r="W47" s="1890" t="str">
        <f t="shared" si="130"/>
        <v/>
      </c>
      <c r="X47" s="1890" t="str">
        <f t="shared" si="130"/>
        <v/>
      </c>
      <c r="Y47" s="1890" t="str">
        <f t="shared" si="130"/>
        <v/>
      </c>
      <c r="Z47" s="1890" t="str">
        <f t="shared" si="130"/>
        <v/>
      </c>
      <c r="AA47" s="1890" t="str">
        <f t="shared" ref="AA47:BA47" si="131">IF(COUNTA(AA48:AA59)&gt;0,AA$4,"")</f>
        <v/>
      </c>
      <c r="AB47" s="1890" t="str">
        <f t="shared" si="131"/>
        <v/>
      </c>
      <c r="AC47" s="1890" t="str">
        <f t="shared" si="131"/>
        <v/>
      </c>
      <c r="AD47" s="1890" t="str">
        <f t="shared" si="131"/>
        <v/>
      </c>
      <c r="AE47" s="1890" t="str">
        <f t="shared" si="131"/>
        <v/>
      </c>
      <c r="AF47" s="1890" t="str">
        <f t="shared" si="131"/>
        <v/>
      </c>
      <c r="AG47" s="1890" t="str">
        <f t="shared" si="131"/>
        <v/>
      </c>
      <c r="AH47" s="1890" t="str">
        <f t="shared" si="131"/>
        <v/>
      </c>
      <c r="AI47" s="1890" t="str">
        <f t="shared" si="131"/>
        <v/>
      </c>
      <c r="AJ47" s="1890" t="str">
        <f t="shared" si="131"/>
        <v/>
      </c>
      <c r="AK47" s="1890" t="str">
        <f t="shared" si="131"/>
        <v/>
      </c>
      <c r="AL47" s="1890" t="str">
        <f t="shared" si="131"/>
        <v/>
      </c>
      <c r="AM47" s="1890" t="str">
        <f t="shared" si="131"/>
        <v/>
      </c>
      <c r="AN47" s="1890" t="str">
        <f t="shared" si="131"/>
        <v/>
      </c>
      <c r="AO47" s="1890" t="str">
        <f t="shared" si="131"/>
        <v/>
      </c>
      <c r="AP47" s="1890" t="str">
        <f t="shared" si="131"/>
        <v/>
      </c>
      <c r="AQ47" s="1890" t="str">
        <f t="shared" si="131"/>
        <v/>
      </c>
      <c r="AR47" s="1890" t="str">
        <f t="shared" si="131"/>
        <v/>
      </c>
      <c r="AS47" s="1890" t="str">
        <f t="shared" si="131"/>
        <v/>
      </c>
      <c r="AT47" s="1890" t="str">
        <f t="shared" si="131"/>
        <v/>
      </c>
      <c r="AU47" s="1890" t="str">
        <f t="shared" si="131"/>
        <v/>
      </c>
      <c r="AV47" s="1890" t="str">
        <f t="shared" si="131"/>
        <v/>
      </c>
      <c r="AW47" s="1890" t="str">
        <f t="shared" si="131"/>
        <v/>
      </c>
      <c r="AX47" s="1890" t="str">
        <f t="shared" si="131"/>
        <v/>
      </c>
      <c r="AY47" s="1890" t="str">
        <f t="shared" si="131"/>
        <v/>
      </c>
      <c r="AZ47" s="1890" t="str">
        <f t="shared" si="131"/>
        <v/>
      </c>
      <c r="BA47" s="1890" t="str">
        <f t="shared" si="131"/>
        <v/>
      </c>
    </row>
    <row r="48" spans="1:53" x14ac:dyDescent="0.25">
      <c r="A48" s="881" t="s">
        <v>0</v>
      </c>
      <c r="B48" s="1903"/>
      <c r="C48" s="1903"/>
      <c r="D48" s="1903"/>
      <c r="E48" s="1903"/>
      <c r="F48" s="1903"/>
      <c r="G48" s="1903"/>
      <c r="H48" s="1903"/>
      <c r="I48" s="1903"/>
      <c r="J48" s="1903"/>
      <c r="K48" s="1903"/>
      <c r="L48" s="1903"/>
      <c r="M48" s="1903"/>
      <c r="N48" s="1903"/>
      <c r="O48" s="1903"/>
      <c r="P48" s="1903"/>
      <c r="Q48" s="1903"/>
      <c r="R48" s="1903"/>
      <c r="S48" s="1903"/>
      <c r="T48" s="1903"/>
      <c r="U48" s="1903"/>
      <c r="V48" s="1903"/>
      <c r="W48" s="1903"/>
      <c r="X48" s="1903"/>
      <c r="Y48" s="1903"/>
      <c r="Z48" s="1903"/>
      <c r="AA48" s="1903"/>
      <c r="AB48" s="1903"/>
      <c r="AC48" s="1903"/>
      <c r="AD48" s="1903"/>
      <c r="AE48" s="1903"/>
      <c r="AF48" s="1903"/>
      <c r="AG48" s="1903"/>
      <c r="AH48" s="1903"/>
      <c r="AI48" s="1903"/>
      <c r="AJ48" s="1903"/>
      <c r="AK48" s="1903"/>
      <c r="AL48" s="1903"/>
      <c r="AM48" s="1903"/>
      <c r="AN48" s="1903"/>
      <c r="AO48" s="1903"/>
      <c r="AP48" s="1903"/>
      <c r="AQ48" s="1903"/>
      <c r="AR48" s="1903"/>
      <c r="AS48" s="1903"/>
      <c r="AT48" s="1903"/>
      <c r="AU48" s="1903"/>
      <c r="AV48" s="1903"/>
      <c r="AW48" s="1903"/>
      <c r="AX48" s="1903"/>
      <c r="AY48" s="1903"/>
      <c r="AZ48" s="1903"/>
      <c r="BA48" s="1903"/>
    </row>
    <row r="49" spans="1:53" x14ac:dyDescent="0.25">
      <c r="A49" s="881" t="s">
        <v>199</v>
      </c>
      <c r="B49" s="1903"/>
      <c r="C49" s="1903"/>
      <c r="D49" s="1903"/>
      <c r="E49" s="1903"/>
      <c r="F49" s="1903"/>
      <c r="G49" s="1903"/>
      <c r="H49" s="1903"/>
      <c r="I49" s="1903"/>
      <c r="J49" s="1903"/>
      <c r="K49" s="1903"/>
      <c r="L49" s="1903"/>
      <c r="M49" s="1903"/>
      <c r="N49" s="1903"/>
      <c r="O49" s="1903"/>
      <c r="P49" s="1903"/>
      <c r="Q49" s="1903"/>
      <c r="R49" s="1903"/>
      <c r="S49" s="1903"/>
      <c r="T49" s="1903"/>
      <c r="U49" s="1903"/>
      <c r="V49" s="1903"/>
      <c r="W49" s="1903"/>
      <c r="X49" s="1903"/>
      <c r="Y49" s="1903"/>
      <c r="Z49" s="1903"/>
      <c r="AA49" s="1903"/>
      <c r="AB49" s="1903"/>
      <c r="AC49" s="1903"/>
      <c r="AD49" s="1903"/>
      <c r="AE49" s="1903"/>
      <c r="AF49" s="1903"/>
      <c r="AG49" s="1903"/>
      <c r="AH49" s="1903"/>
      <c r="AI49" s="1903"/>
      <c r="AJ49" s="1903"/>
      <c r="AK49" s="1903"/>
      <c r="AL49" s="1903"/>
      <c r="AM49" s="1903"/>
      <c r="AN49" s="1903"/>
      <c r="AO49" s="1903"/>
      <c r="AP49" s="1903"/>
      <c r="AQ49" s="1903"/>
      <c r="AR49" s="1903"/>
      <c r="AS49" s="1903"/>
      <c r="AT49" s="1903"/>
      <c r="AU49" s="1903"/>
      <c r="AV49" s="1903"/>
      <c r="AW49" s="1903"/>
      <c r="AX49" s="1903"/>
      <c r="AY49" s="1903"/>
      <c r="AZ49" s="1903"/>
      <c r="BA49" s="1903"/>
    </row>
    <row r="50" spans="1:53" x14ac:dyDescent="0.25">
      <c r="A50" s="881" t="s">
        <v>110</v>
      </c>
      <c r="B50" s="1903"/>
      <c r="C50" s="1903"/>
      <c r="D50" s="1903"/>
      <c r="E50" s="1903"/>
      <c r="F50" s="1903"/>
      <c r="G50" s="1903"/>
      <c r="H50" s="1903"/>
      <c r="I50" s="1903"/>
      <c r="J50" s="1903"/>
      <c r="K50" s="1903"/>
      <c r="L50" s="1903"/>
      <c r="M50" s="1903"/>
      <c r="N50" s="1903"/>
      <c r="O50" s="1903"/>
      <c r="P50" s="1903"/>
      <c r="Q50" s="1903"/>
      <c r="R50" s="1903"/>
      <c r="S50" s="1903"/>
      <c r="T50" s="1903"/>
      <c r="U50" s="1903"/>
      <c r="V50" s="1903"/>
      <c r="W50" s="1903"/>
      <c r="X50" s="1903"/>
      <c r="Y50" s="1903"/>
      <c r="Z50" s="1903"/>
      <c r="AA50" s="1903"/>
      <c r="AB50" s="1903"/>
      <c r="AC50" s="1903"/>
      <c r="AD50" s="1903"/>
      <c r="AE50" s="1903"/>
      <c r="AF50" s="1903"/>
      <c r="AG50" s="1903"/>
      <c r="AH50" s="1903"/>
      <c r="AI50" s="1903"/>
      <c r="AJ50" s="1903"/>
      <c r="AK50" s="1903"/>
      <c r="AL50" s="1903"/>
      <c r="AM50" s="1903"/>
      <c r="AN50" s="1903"/>
      <c r="AO50" s="1903"/>
      <c r="AP50" s="1903"/>
      <c r="AQ50" s="1903"/>
      <c r="AR50" s="1903"/>
      <c r="AS50" s="1903"/>
      <c r="AT50" s="1903"/>
      <c r="AU50" s="1903"/>
      <c r="AV50" s="1903"/>
      <c r="AW50" s="1903"/>
      <c r="AX50" s="1903"/>
      <c r="AY50" s="1903"/>
      <c r="AZ50" s="1903"/>
      <c r="BA50" s="1903"/>
    </row>
    <row r="51" spans="1:53" x14ac:dyDescent="0.25">
      <c r="A51" s="1901" t="s">
        <v>77</v>
      </c>
      <c r="B51" s="1904"/>
      <c r="C51" s="1904"/>
      <c r="D51" s="1904"/>
      <c r="E51" s="1904"/>
      <c r="F51" s="1904"/>
      <c r="G51" s="1904"/>
      <c r="H51" s="1904"/>
      <c r="I51" s="1904"/>
      <c r="J51" s="1904"/>
      <c r="K51" s="1904"/>
      <c r="L51" s="1904"/>
      <c r="M51" s="1904"/>
      <c r="N51" s="1904"/>
      <c r="O51" s="1904"/>
      <c r="P51" s="1904"/>
      <c r="Q51" s="1904"/>
      <c r="R51" s="1904"/>
      <c r="S51" s="1904"/>
      <c r="T51" s="1904"/>
      <c r="U51" s="1904"/>
      <c r="V51" s="1904"/>
      <c r="W51" s="1904"/>
      <c r="X51" s="1904"/>
      <c r="Y51" s="1904"/>
      <c r="Z51" s="1904"/>
      <c r="AA51" s="1904"/>
      <c r="AB51" s="1904"/>
      <c r="AC51" s="1904"/>
      <c r="AD51" s="1904"/>
      <c r="AE51" s="1904"/>
      <c r="AF51" s="1904"/>
      <c r="AG51" s="1904"/>
      <c r="AH51" s="1904"/>
      <c r="AI51" s="1904"/>
      <c r="AJ51" s="1904"/>
      <c r="AK51" s="1904"/>
      <c r="AL51" s="1904"/>
      <c r="AM51" s="1904"/>
      <c r="AN51" s="1904"/>
      <c r="AO51" s="1904"/>
      <c r="AP51" s="1904"/>
      <c r="AQ51" s="1904"/>
      <c r="AR51" s="1904"/>
      <c r="AS51" s="1904"/>
      <c r="AT51" s="1904"/>
      <c r="AU51" s="1904"/>
      <c r="AV51" s="1904"/>
      <c r="AW51" s="1904"/>
      <c r="AX51" s="1904"/>
      <c r="AY51" s="1904"/>
      <c r="AZ51" s="1904"/>
      <c r="BA51" s="1904"/>
    </row>
    <row r="52" spans="1:53" x14ac:dyDescent="0.25">
      <c r="A52" s="881" t="s">
        <v>1966</v>
      </c>
      <c r="B52" s="1903"/>
      <c r="C52" s="1903"/>
      <c r="D52" s="1903"/>
      <c r="E52" s="1903"/>
      <c r="F52" s="1903"/>
      <c r="G52" s="1903"/>
      <c r="H52" s="1903"/>
      <c r="I52" s="1903"/>
      <c r="J52" s="1903"/>
      <c r="K52" s="1903"/>
      <c r="L52" s="1903"/>
      <c r="M52" s="1903"/>
      <c r="N52" s="1903"/>
      <c r="O52" s="1903"/>
      <c r="P52" s="1903"/>
      <c r="Q52" s="1903"/>
      <c r="R52" s="1903"/>
      <c r="S52" s="1903"/>
      <c r="T52" s="1903"/>
      <c r="U52" s="1903"/>
      <c r="V52" s="1903"/>
      <c r="W52" s="1903"/>
      <c r="X52" s="1903"/>
      <c r="Y52" s="1903"/>
      <c r="Z52" s="1903"/>
      <c r="AA52" s="1903"/>
      <c r="AB52" s="1903"/>
      <c r="AC52" s="1903"/>
      <c r="AD52" s="1903"/>
      <c r="AE52" s="1903"/>
      <c r="AF52" s="1903"/>
      <c r="AG52" s="1903"/>
      <c r="AH52" s="1903"/>
      <c r="AI52" s="1903"/>
      <c r="AJ52" s="1903"/>
      <c r="AK52" s="1903"/>
      <c r="AL52" s="1903"/>
      <c r="AM52" s="1903"/>
      <c r="AN52" s="1903"/>
      <c r="AO52" s="1903"/>
      <c r="AP52" s="1903"/>
      <c r="AQ52" s="1903"/>
      <c r="AR52" s="1903"/>
      <c r="AS52" s="1903"/>
      <c r="AT52" s="1903"/>
      <c r="AU52" s="1903"/>
      <c r="AV52" s="1903"/>
      <c r="AW52" s="1903"/>
      <c r="AX52" s="1903"/>
      <c r="AY52" s="1903"/>
      <c r="AZ52" s="1903"/>
      <c r="BA52" s="1903"/>
    </row>
    <row r="53" spans="1:53" x14ac:dyDescent="0.25">
      <c r="A53" s="881" t="s">
        <v>1959</v>
      </c>
      <c r="B53" s="1903"/>
      <c r="C53" s="1903"/>
      <c r="D53" s="1903"/>
      <c r="E53" s="1903"/>
      <c r="F53" s="1903"/>
      <c r="G53" s="1903"/>
      <c r="H53" s="1903"/>
      <c r="I53" s="1903"/>
      <c r="J53" s="1903"/>
      <c r="K53" s="1903"/>
      <c r="L53" s="1903"/>
      <c r="M53" s="1903"/>
      <c r="N53" s="1903"/>
      <c r="O53" s="1903"/>
      <c r="P53" s="1903"/>
      <c r="Q53" s="1903"/>
      <c r="R53" s="1903"/>
      <c r="S53" s="1903"/>
      <c r="T53" s="1903"/>
      <c r="U53" s="1903"/>
      <c r="V53" s="1903"/>
      <c r="W53" s="1903"/>
      <c r="X53" s="1903"/>
      <c r="Y53" s="1903"/>
      <c r="Z53" s="1903"/>
      <c r="AA53" s="1903"/>
      <c r="AB53" s="1903"/>
      <c r="AC53" s="1903"/>
      <c r="AD53" s="1903"/>
      <c r="AE53" s="1903"/>
      <c r="AF53" s="1903"/>
      <c r="AG53" s="1903"/>
      <c r="AH53" s="1903"/>
      <c r="AI53" s="1903"/>
      <c r="AJ53" s="1903"/>
      <c r="AK53" s="1903"/>
      <c r="AL53" s="1903"/>
      <c r="AM53" s="1903"/>
      <c r="AN53" s="1903"/>
      <c r="AO53" s="1903"/>
      <c r="AP53" s="1903"/>
      <c r="AQ53" s="1903"/>
      <c r="AR53" s="1903"/>
      <c r="AS53" s="1903"/>
      <c r="AT53" s="1903"/>
      <c r="AU53" s="1903"/>
      <c r="AV53" s="1903"/>
      <c r="AW53" s="1903"/>
      <c r="AX53" s="1903"/>
      <c r="AY53" s="1903"/>
      <c r="AZ53" s="1903"/>
      <c r="BA53" s="1903"/>
    </row>
    <row r="54" spans="1:53" x14ac:dyDescent="0.25">
      <c r="A54" s="881" t="s">
        <v>58</v>
      </c>
      <c r="B54" s="1903"/>
      <c r="C54" s="1903"/>
      <c r="D54" s="1903"/>
      <c r="E54" s="1903"/>
      <c r="F54" s="1903"/>
      <c r="G54" s="1903"/>
      <c r="H54" s="1903"/>
      <c r="I54" s="1903"/>
      <c r="J54" s="1903"/>
      <c r="K54" s="1903"/>
      <c r="L54" s="1903"/>
      <c r="M54" s="1903"/>
      <c r="N54" s="1903"/>
      <c r="O54" s="1903"/>
      <c r="P54" s="1903"/>
      <c r="Q54" s="1903"/>
      <c r="R54" s="1903"/>
      <c r="S54" s="1903"/>
      <c r="T54" s="1903"/>
      <c r="U54" s="1903"/>
      <c r="V54" s="1903"/>
      <c r="W54" s="1903"/>
      <c r="X54" s="1903"/>
      <c r="Y54" s="1903"/>
      <c r="Z54" s="1903"/>
      <c r="AA54" s="1903"/>
      <c r="AB54" s="1903"/>
      <c r="AC54" s="1903"/>
      <c r="AD54" s="1903"/>
      <c r="AE54" s="1903"/>
      <c r="AF54" s="1903"/>
      <c r="AG54" s="1903"/>
      <c r="AH54" s="1903"/>
      <c r="AI54" s="1903"/>
      <c r="AJ54" s="1903"/>
      <c r="AK54" s="1903"/>
      <c r="AL54" s="1903"/>
      <c r="AM54" s="1903"/>
      <c r="AN54" s="1903"/>
      <c r="AO54" s="1903"/>
      <c r="AP54" s="1903"/>
      <c r="AQ54" s="1903"/>
      <c r="AR54" s="1903"/>
      <c r="AS54" s="1903"/>
      <c r="AT54" s="1903"/>
      <c r="AU54" s="1903"/>
      <c r="AV54" s="1903"/>
      <c r="AW54" s="1903"/>
      <c r="AX54" s="1903"/>
      <c r="AY54" s="1903"/>
      <c r="AZ54" s="1903"/>
      <c r="BA54" s="1903"/>
    </row>
    <row r="55" spans="1:53" x14ac:dyDescent="0.25">
      <c r="A55" s="881" t="s">
        <v>59</v>
      </c>
      <c r="B55" s="1903"/>
      <c r="C55" s="1903"/>
      <c r="D55" s="1903"/>
      <c r="E55" s="1903"/>
      <c r="F55" s="1903"/>
      <c r="G55" s="1903"/>
      <c r="H55" s="1903"/>
      <c r="I55" s="1903"/>
      <c r="J55" s="1903"/>
      <c r="K55" s="1903"/>
      <c r="L55" s="1903"/>
      <c r="M55" s="1903"/>
      <c r="N55" s="1903"/>
      <c r="O55" s="1903"/>
      <c r="P55" s="1903"/>
      <c r="Q55" s="1903"/>
      <c r="R55" s="1903"/>
      <c r="S55" s="1903"/>
      <c r="T55" s="1903"/>
      <c r="U55" s="1903"/>
      <c r="V55" s="1903"/>
      <c r="W55" s="1903"/>
      <c r="X55" s="1903"/>
      <c r="Y55" s="1903"/>
      <c r="Z55" s="1903"/>
      <c r="AA55" s="1903"/>
      <c r="AB55" s="1903"/>
      <c r="AC55" s="1903"/>
      <c r="AD55" s="1903"/>
      <c r="AE55" s="1903"/>
      <c r="AF55" s="1903"/>
      <c r="AG55" s="1903"/>
      <c r="AH55" s="1903"/>
      <c r="AI55" s="1903"/>
      <c r="AJ55" s="1903"/>
      <c r="AK55" s="1903"/>
      <c r="AL55" s="1903"/>
      <c r="AM55" s="1903"/>
      <c r="AN55" s="1903"/>
      <c r="AO55" s="1903"/>
      <c r="AP55" s="1903"/>
      <c r="AQ55" s="1903"/>
      <c r="AR55" s="1903"/>
      <c r="AS55" s="1903"/>
      <c r="AT55" s="1903"/>
      <c r="AU55" s="1903"/>
      <c r="AV55" s="1903"/>
      <c r="AW55" s="1903"/>
      <c r="AX55" s="1903"/>
      <c r="AY55" s="1903"/>
      <c r="AZ55" s="1903"/>
      <c r="BA55" s="1903"/>
    </row>
    <row r="56" spans="1:53" x14ac:dyDescent="0.25">
      <c r="A56" s="881" t="s">
        <v>60</v>
      </c>
      <c r="B56" s="1903"/>
      <c r="C56" s="1903"/>
      <c r="D56" s="1903"/>
      <c r="E56" s="1903"/>
      <c r="F56" s="1903"/>
      <c r="G56" s="1903"/>
      <c r="H56" s="1903"/>
      <c r="I56" s="1903"/>
      <c r="J56" s="1903"/>
      <c r="K56" s="1903"/>
      <c r="L56" s="1903"/>
      <c r="M56" s="1903"/>
      <c r="N56" s="1903"/>
      <c r="O56" s="1903"/>
      <c r="P56" s="1903"/>
      <c r="Q56" s="1903"/>
      <c r="R56" s="1903"/>
      <c r="S56" s="1903"/>
      <c r="T56" s="1903"/>
      <c r="U56" s="1903"/>
      <c r="V56" s="1903"/>
      <c r="W56" s="1903"/>
      <c r="X56" s="1903"/>
      <c r="Y56" s="1903"/>
      <c r="Z56" s="1903"/>
      <c r="AA56" s="1903"/>
      <c r="AB56" s="1903"/>
      <c r="AC56" s="1903"/>
      <c r="AD56" s="1903"/>
      <c r="AE56" s="1903"/>
      <c r="AF56" s="1903"/>
      <c r="AG56" s="1903"/>
      <c r="AH56" s="1903"/>
      <c r="AI56" s="1903"/>
      <c r="AJ56" s="1903"/>
      <c r="AK56" s="1903"/>
      <c r="AL56" s="1903"/>
      <c r="AM56" s="1903"/>
      <c r="AN56" s="1903"/>
      <c r="AO56" s="1903"/>
      <c r="AP56" s="1903"/>
      <c r="AQ56" s="1903"/>
      <c r="AR56" s="1903"/>
      <c r="AS56" s="1903"/>
      <c r="AT56" s="1903"/>
      <c r="AU56" s="1903"/>
      <c r="AV56" s="1903"/>
      <c r="AW56" s="1903"/>
      <c r="AX56" s="1903"/>
      <c r="AY56" s="1903"/>
      <c r="AZ56" s="1903"/>
      <c r="BA56" s="1903"/>
    </row>
    <row r="57" spans="1:53" x14ac:dyDescent="0.25">
      <c r="A57" s="1901" t="s">
        <v>61</v>
      </c>
      <c r="B57" s="1904"/>
      <c r="C57" s="1904"/>
      <c r="D57" s="1904"/>
      <c r="E57" s="1904"/>
      <c r="F57" s="1904"/>
      <c r="G57" s="1904"/>
      <c r="H57" s="1904"/>
      <c r="I57" s="1904"/>
      <c r="J57" s="1904"/>
      <c r="K57" s="1904"/>
      <c r="L57" s="1904"/>
      <c r="M57" s="1904"/>
      <c r="N57" s="1904"/>
      <c r="O57" s="1904"/>
      <c r="P57" s="1904"/>
      <c r="Q57" s="1904"/>
      <c r="R57" s="1904"/>
      <c r="S57" s="1904"/>
      <c r="T57" s="1904"/>
      <c r="U57" s="1904"/>
      <c r="V57" s="1904"/>
      <c r="W57" s="1904"/>
      <c r="X57" s="1904"/>
      <c r="Y57" s="1904"/>
      <c r="Z57" s="1904"/>
      <c r="AA57" s="1904"/>
      <c r="AB57" s="1904"/>
      <c r="AC57" s="1904"/>
      <c r="AD57" s="1904"/>
      <c r="AE57" s="1904"/>
      <c r="AF57" s="1904"/>
      <c r="AG57" s="1904"/>
      <c r="AH57" s="1904"/>
      <c r="AI57" s="1904"/>
      <c r="AJ57" s="1904"/>
      <c r="AK57" s="1904"/>
      <c r="AL57" s="1904"/>
      <c r="AM57" s="1904"/>
      <c r="AN57" s="1904"/>
      <c r="AO57" s="1904"/>
      <c r="AP57" s="1904"/>
      <c r="AQ57" s="1904"/>
      <c r="AR57" s="1904"/>
      <c r="AS57" s="1904"/>
      <c r="AT57" s="1904"/>
      <c r="AU57" s="1904"/>
      <c r="AV57" s="1904"/>
      <c r="AW57" s="1904"/>
      <c r="AX57" s="1904"/>
      <c r="AY57" s="1904"/>
      <c r="AZ57" s="1904"/>
      <c r="BA57" s="1904"/>
    </row>
    <row r="58" spans="1:53" x14ac:dyDescent="0.25">
      <c r="A58" s="881" t="s">
        <v>1965</v>
      </c>
      <c r="B58" s="1903"/>
      <c r="C58" s="1903"/>
      <c r="D58" s="1903"/>
      <c r="E58" s="1903"/>
      <c r="F58" s="1903"/>
      <c r="G58" s="1903"/>
      <c r="H58" s="1903"/>
      <c r="I58" s="1903"/>
      <c r="J58" s="1903"/>
      <c r="K58" s="1903"/>
      <c r="L58" s="1903"/>
      <c r="M58" s="1903"/>
      <c r="N58" s="1903"/>
      <c r="O58" s="1903"/>
      <c r="P58" s="1903"/>
      <c r="Q58" s="1903"/>
      <c r="R58" s="1903"/>
      <c r="S58" s="1903"/>
      <c r="T58" s="1903"/>
      <c r="U58" s="1903"/>
      <c r="V58" s="1903"/>
      <c r="W58" s="1903"/>
      <c r="X58" s="1903"/>
      <c r="Y58" s="1903"/>
      <c r="Z58" s="1903"/>
      <c r="AA58" s="1903"/>
      <c r="AB58" s="1903"/>
      <c r="AC58" s="1903"/>
      <c r="AD58" s="1903"/>
      <c r="AE58" s="1903"/>
      <c r="AF58" s="1903"/>
      <c r="AG58" s="1903"/>
      <c r="AH58" s="1903"/>
      <c r="AI58" s="1903"/>
      <c r="AJ58" s="1903"/>
      <c r="AK58" s="1903"/>
      <c r="AL58" s="1903"/>
      <c r="AM58" s="1903"/>
      <c r="AN58" s="1903"/>
      <c r="AO58" s="1903"/>
      <c r="AP58" s="1903"/>
      <c r="AQ58" s="1903"/>
      <c r="AR58" s="1903"/>
      <c r="AS58" s="1903"/>
      <c r="AT58" s="1903"/>
      <c r="AU58" s="1903"/>
      <c r="AV58" s="1903"/>
      <c r="AW58" s="1903"/>
      <c r="AX58" s="1903"/>
      <c r="AY58" s="1903"/>
      <c r="AZ58" s="1903"/>
      <c r="BA58" s="1903"/>
    </row>
    <row r="59" spans="1:53" x14ac:dyDescent="0.25">
      <c r="A59" s="881" t="s">
        <v>1960</v>
      </c>
      <c r="B59" s="1903"/>
      <c r="C59" s="1903"/>
      <c r="D59" s="1903"/>
      <c r="E59" s="1903"/>
      <c r="F59" s="1903"/>
      <c r="G59" s="1903"/>
      <c r="H59" s="1903"/>
      <c r="I59" s="1903"/>
      <c r="J59" s="1903"/>
      <c r="K59" s="1903"/>
      <c r="L59" s="1903"/>
      <c r="M59" s="1903"/>
      <c r="N59" s="1903"/>
      <c r="O59" s="1903"/>
      <c r="P59" s="1903"/>
      <c r="Q59" s="1903"/>
      <c r="R59" s="1903"/>
      <c r="S59" s="1903"/>
      <c r="T59" s="1903"/>
      <c r="U59" s="1903"/>
      <c r="V59" s="1903"/>
      <c r="W59" s="1903"/>
      <c r="X59" s="1903"/>
      <c r="Y59" s="1903"/>
      <c r="Z59" s="1903"/>
      <c r="AA59" s="1903"/>
      <c r="AB59" s="1903"/>
      <c r="AC59" s="1903"/>
      <c r="AD59" s="1903"/>
      <c r="AE59" s="1903"/>
      <c r="AF59" s="1903"/>
      <c r="AG59" s="1903"/>
      <c r="AH59" s="1903"/>
      <c r="AI59" s="1903"/>
      <c r="AJ59" s="1903"/>
      <c r="AK59" s="1903"/>
      <c r="AL59" s="1903"/>
      <c r="AM59" s="1903"/>
      <c r="AN59" s="1903"/>
      <c r="AO59" s="1903"/>
      <c r="AP59" s="1903"/>
      <c r="AQ59" s="1903"/>
      <c r="AR59" s="1903"/>
      <c r="AS59" s="1903"/>
      <c r="AT59" s="1903"/>
      <c r="AU59" s="1903"/>
      <c r="AV59" s="1903"/>
      <c r="AW59" s="1903"/>
      <c r="AX59" s="1903"/>
      <c r="AY59" s="1903"/>
      <c r="AZ59" s="1903"/>
      <c r="BA59" s="1903"/>
    </row>
    <row r="60" spans="1:53" x14ac:dyDescent="0.25">
      <c r="A60" s="1866" t="s">
        <v>1962</v>
      </c>
      <c r="B60" s="1881"/>
      <c r="C60" s="1881"/>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A60" s="1881"/>
      <c r="AB60" s="1881"/>
      <c r="AC60" s="1881"/>
      <c r="AD60" s="1881"/>
      <c r="AE60" s="1881"/>
      <c r="AF60" s="1881"/>
      <c r="AG60" s="1881"/>
      <c r="AH60" s="1881"/>
      <c r="AI60" s="1881"/>
      <c r="AJ60" s="1881"/>
      <c r="AK60" s="1881"/>
      <c r="AL60" s="1881"/>
      <c r="AM60" s="1881"/>
      <c r="AN60" s="1881"/>
      <c r="AO60" s="1881"/>
      <c r="AP60" s="1881"/>
      <c r="AQ60" s="1881"/>
      <c r="AR60" s="1881"/>
      <c r="AS60" s="1881"/>
      <c r="AT60" s="1881"/>
      <c r="AU60" s="1881"/>
      <c r="AV60" s="1881"/>
      <c r="AW60" s="1881"/>
      <c r="AX60" s="1881"/>
      <c r="AY60" s="1881"/>
      <c r="AZ60" s="1881"/>
      <c r="BA60" s="1881"/>
    </row>
    <row r="61" spans="1:53" x14ac:dyDescent="0.25">
      <c r="A61" s="881" t="s">
        <v>1945</v>
      </c>
      <c r="B61" s="510" t="str">
        <f>IF(B52="","NPA",B52)</f>
        <v>NPA</v>
      </c>
      <c r="C61" s="510" t="str">
        <f t="shared" ref="C61:BA61" si="132">IF(C52="","NPA",C52)</f>
        <v>NPA</v>
      </c>
      <c r="D61" s="510" t="str">
        <f t="shared" si="132"/>
        <v>NPA</v>
      </c>
      <c r="E61" s="510" t="str">
        <f t="shared" si="132"/>
        <v>NPA</v>
      </c>
      <c r="F61" s="510" t="str">
        <f t="shared" si="132"/>
        <v>NPA</v>
      </c>
      <c r="G61" s="510" t="str">
        <f t="shared" si="132"/>
        <v>NPA</v>
      </c>
      <c r="H61" s="510" t="str">
        <f t="shared" si="132"/>
        <v>NPA</v>
      </c>
      <c r="I61" s="510" t="str">
        <f t="shared" si="132"/>
        <v>NPA</v>
      </c>
      <c r="J61" s="510" t="str">
        <f t="shared" si="132"/>
        <v>NPA</v>
      </c>
      <c r="K61" s="510" t="str">
        <f t="shared" si="132"/>
        <v>NPA</v>
      </c>
      <c r="L61" s="510" t="str">
        <f t="shared" si="132"/>
        <v>NPA</v>
      </c>
      <c r="M61" s="510" t="str">
        <f t="shared" si="132"/>
        <v>NPA</v>
      </c>
      <c r="N61" s="510" t="str">
        <f t="shared" si="132"/>
        <v>NPA</v>
      </c>
      <c r="O61" s="510" t="str">
        <f t="shared" si="132"/>
        <v>NPA</v>
      </c>
      <c r="P61" s="510" t="str">
        <f t="shared" si="132"/>
        <v>NPA</v>
      </c>
      <c r="Q61" s="510" t="str">
        <f t="shared" si="132"/>
        <v>NPA</v>
      </c>
      <c r="R61" s="510" t="str">
        <f t="shared" si="132"/>
        <v>NPA</v>
      </c>
      <c r="S61" s="510" t="str">
        <f t="shared" si="132"/>
        <v>NPA</v>
      </c>
      <c r="T61" s="510" t="str">
        <f t="shared" si="132"/>
        <v>NPA</v>
      </c>
      <c r="U61" s="510" t="str">
        <f t="shared" si="132"/>
        <v>NPA</v>
      </c>
      <c r="V61" s="510" t="str">
        <f t="shared" si="132"/>
        <v>NPA</v>
      </c>
      <c r="W61" s="510" t="str">
        <f t="shared" si="132"/>
        <v>NPA</v>
      </c>
      <c r="X61" s="510" t="str">
        <f t="shared" si="132"/>
        <v>NPA</v>
      </c>
      <c r="Y61" s="510" t="str">
        <f t="shared" si="132"/>
        <v>NPA</v>
      </c>
      <c r="Z61" s="510" t="str">
        <f t="shared" si="132"/>
        <v>NPA</v>
      </c>
      <c r="AA61" s="510" t="str">
        <f t="shared" si="132"/>
        <v>NPA</v>
      </c>
      <c r="AB61" s="510" t="str">
        <f t="shared" si="132"/>
        <v>NPA</v>
      </c>
      <c r="AC61" s="510" t="str">
        <f t="shared" si="132"/>
        <v>NPA</v>
      </c>
      <c r="AD61" s="510" t="str">
        <f t="shared" si="132"/>
        <v>NPA</v>
      </c>
      <c r="AE61" s="510" t="str">
        <f t="shared" si="132"/>
        <v>NPA</v>
      </c>
      <c r="AF61" s="510" t="str">
        <f t="shared" si="132"/>
        <v>NPA</v>
      </c>
      <c r="AG61" s="510" t="str">
        <f t="shared" si="132"/>
        <v>NPA</v>
      </c>
      <c r="AH61" s="510" t="str">
        <f t="shared" si="132"/>
        <v>NPA</v>
      </c>
      <c r="AI61" s="510" t="str">
        <f t="shared" si="132"/>
        <v>NPA</v>
      </c>
      <c r="AJ61" s="510" t="str">
        <f t="shared" si="132"/>
        <v>NPA</v>
      </c>
      <c r="AK61" s="510" t="str">
        <f t="shared" si="132"/>
        <v>NPA</v>
      </c>
      <c r="AL61" s="510" t="str">
        <f t="shared" si="132"/>
        <v>NPA</v>
      </c>
      <c r="AM61" s="510" t="str">
        <f t="shared" si="132"/>
        <v>NPA</v>
      </c>
      <c r="AN61" s="510" t="str">
        <f t="shared" si="132"/>
        <v>NPA</v>
      </c>
      <c r="AO61" s="510" t="str">
        <f t="shared" si="132"/>
        <v>NPA</v>
      </c>
      <c r="AP61" s="510" t="str">
        <f t="shared" si="132"/>
        <v>NPA</v>
      </c>
      <c r="AQ61" s="510" t="str">
        <f t="shared" si="132"/>
        <v>NPA</v>
      </c>
      <c r="AR61" s="510" t="str">
        <f t="shared" si="132"/>
        <v>NPA</v>
      </c>
      <c r="AS61" s="510" t="str">
        <f t="shared" si="132"/>
        <v>NPA</v>
      </c>
      <c r="AT61" s="510" t="str">
        <f t="shared" si="132"/>
        <v>NPA</v>
      </c>
      <c r="AU61" s="510" t="str">
        <f t="shared" si="132"/>
        <v>NPA</v>
      </c>
      <c r="AV61" s="510" t="str">
        <f t="shared" si="132"/>
        <v>NPA</v>
      </c>
      <c r="AW61" s="510" t="str">
        <f t="shared" si="132"/>
        <v>NPA</v>
      </c>
      <c r="AX61" s="510" t="str">
        <f t="shared" si="132"/>
        <v>NPA</v>
      </c>
      <c r="AY61" s="510" t="str">
        <f t="shared" si="132"/>
        <v>NPA</v>
      </c>
      <c r="AZ61" s="510" t="str">
        <f t="shared" si="132"/>
        <v>NPA</v>
      </c>
      <c r="BA61" s="510" t="str">
        <f t="shared" si="132"/>
        <v>NPA</v>
      </c>
    </row>
    <row r="62" spans="1:53" x14ac:dyDescent="0.25">
      <c r="A62" s="1902" t="str">
        <f>$B$1</f>
        <v>IN 93</v>
      </c>
      <c r="B62" s="510" t="str">
        <f>IFERROR(IF(ABS(B61)&gt;B$17,"Restrição",IF(ABS(B61)&gt;B$15,"Não","Sim")),"NPA")</f>
        <v>NPA</v>
      </c>
      <c r="C62" s="510" t="str">
        <f t="shared" ref="C62:BA62" si="133">IFERROR(IF(ABS(C61)&gt;C$17,"Restrição",IF(ABS(C61)&gt;C$15,"Não","Sim")),"NPA")</f>
        <v>NPA</v>
      </c>
      <c r="D62" s="510" t="str">
        <f t="shared" si="133"/>
        <v>NPA</v>
      </c>
      <c r="E62" s="510" t="str">
        <f t="shared" si="133"/>
        <v>NPA</v>
      </c>
      <c r="F62" s="510" t="str">
        <f t="shared" si="133"/>
        <v>NPA</v>
      </c>
      <c r="G62" s="510" t="str">
        <f t="shared" si="133"/>
        <v>NPA</v>
      </c>
      <c r="H62" s="510" t="str">
        <f t="shared" si="133"/>
        <v>NPA</v>
      </c>
      <c r="I62" s="510" t="str">
        <f t="shared" si="133"/>
        <v>NPA</v>
      </c>
      <c r="J62" s="510" t="str">
        <f t="shared" si="133"/>
        <v>NPA</v>
      </c>
      <c r="K62" s="510" t="str">
        <f t="shared" si="133"/>
        <v>NPA</v>
      </c>
      <c r="L62" s="510" t="str">
        <f t="shared" si="133"/>
        <v>NPA</v>
      </c>
      <c r="M62" s="510" t="str">
        <f t="shared" si="133"/>
        <v>NPA</v>
      </c>
      <c r="N62" s="510" t="str">
        <f t="shared" si="133"/>
        <v>NPA</v>
      </c>
      <c r="O62" s="510" t="str">
        <f t="shared" si="133"/>
        <v>NPA</v>
      </c>
      <c r="P62" s="510" t="str">
        <f t="shared" si="133"/>
        <v>NPA</v>
      </c>
      <c r="Q62" s="510" t="str">
        <f t="shared" si="133"/>
        <v>NPA</v>
      </c>
      <c r="R62" s="510" t="str">
        <f t="shared" si="133"/>
        <v>NPA</v>
      </c>
      <c r="S62" s="510" t="str">
        <f t="shared" si="133"/>
        <v>NPA</v>
      </c>
      <c r="T62" s="510" t="str">
        <f t="shared" si="133"/>
        <v>NPA</v>
      </c>
      <c r="U62" s="510" t="str">
        <f t="shared" si="133"/>
        <v>NPA</v>
      </c>
      <c r="V62" s="510" t="str">
        <f t="shared" si="133"/>
        <v>NPA</v>
      </c>
      <c r="W62" s="510" t="str">
        <f t="shared" si="133"/>
        <v>NPA</v>
      </c>
      <c r="X62" s="510" t="str">
        <f t="shared" si="133"/>
        <v>NPA</v>
      </c>
      <c r="Y62" s="510" t="str">
        <f t="shared" si="133"/>
        <v>NPA</v>
      </c>
      <c r="Z62" s="510" t="str">
        <f t="shared" si="133"/>
        <v>NPA</v>
      </c>
      <c r="AA62" s="510" t="str">
        <f t="shared" si="133"/>
        <v>NPA</v>
      </c>
      <c r="AB62" s="510" t="str">
        <f t="shared" si="133"/>
        <v>NPA</v>
      </c>
      <c r="AC62" s="510" t="str">
        <f t="shared" si="133"/>
        <v>NPA</v>
      </c>
      <c r="AD62" s="510" t="str">
        <f t="shared" si="133"/>
        <v>NPA</v>
      </c>
      <c r="AE62" s="510" t="str">
        <f t="shared" si="133"/>
        <v>NPA</v>
      </c>
      <c r="AF62" s="510" t="str">
        <f t="shared" si="133"/>
        <v>NPA</v>
      </c>
      <c r="AG62" s="510" t="str">
        <f t="shared" si="133"/>
        <v>NPA</v>
      </c>
      <c r="AH62" s="510" t="str">
        <f t="shared" si="133"/>
        <v>NPA</v>
      </c>
      <c r="AI62" s="510" t="str">
        <f t="shared" si="133"/>
        <v>NPA</v>
      </c>
      <c r="AJ62" s="510" t="str">
        <f t="shared" si="133"/>
        <v>NPA</v>
      </c>
      <c r="AK62" s="510" t="str">
        <f t="shared" si="133"/>
        <v>NPA</v>
      </c>
      <c r="AL62" s="510" t="str">
        <f t="shared" si="133"/>
        <v>NPA</v>
      </c>
      <c r="AM62" s="510" t="str">
        <f t="shared" si="133"/>
        <v>NPA</v>
      </c>
      <c r="AN62" s="510" t="str">
        <f t="shared" si="133"/>
        <v>NPA</v>
      </c>
      <c r="AO62" s="510" t="str">
        <f t="shared" si="133"/>
        <v>NPA</v>
      </c>
      <c r="AP62" s="510" t="str">
        <f t="shared" si="133"/>
        <v>NPA</v>
      </c>
      <c r="AQ62" s="510" t="str">
        <f t="shared" si="133"/>
        <v>NPA</v>
      </c>
      <c r="AR62" s="510" t="str">
        <f t="shared" si="133"/>
        <v>NPA</v>
      </c>
      <c r="AS62" s="510" t="str">
        <f t="shared" si="133"/>
        <v>NPA</v>
      </c>
      <c r="AT62" s="510" t="str">
        <f t="shared" si="133"/>
        <v>NPA</v>
      </c>
      <c r="AU62" s="510" t="str">
        <f t="shared" si="133"/>
        <v>NPA</v>
      </c>
      <c r="AV62" s="510" t="str">
        <f t="shared" si="133"/>
        <v>NPA</v>
      </c>
      <c r="AW62" s="510" t="str">
        <f t="shared" si="133"/>
        <v>NPA</v>
      </c>
      <c r="AX62" s="510" t="str">
        <f t="shared" si="133"/>
        <v>NPA</v>
      </c>
      <c r="AY62" s="510" t="str">
        <f t="shared" si="133"/>
        <v>NPA</v>
      </c>
      <c r="AZ62" s="510" t="str">
        <f t="shared" si="133"/>
        <v>NPA</v>
      </c>
      <c r="BA62" s="510" t="str">
        <f t="shared" si="133"/>
        <v>NPA</v>
      </c>
    </row>
    <row r="63" spans="1:53" x14ac:dyDescent="0.25">
      <c r="A63" s="881" t="s">
        <v>1944</v>
      </c>
      <c r="B63" s="510" t="str">
        <f>IF(B58="","NPA",B58+1000)</f>
        <v>NPA</v>
      </c>
      <c r="C63" s="510" t="str">
        <f t="shared" ref="C63:BA63" si="134">IF(C58="","NPA",C58+1000)</f>
        <v>NPA</v>
      </c>
      <c r="D63" s="510" t="str">
        <f t="shared" si="134"/>
        <v>NPA</v>
      </c>
      <c r="E63" s="510" t="str">
        <f t="shared" si="134"/>
        <v>NPA</v>
      </c>
      <c r="F63" s="510" t="str">
        <f t="shared" si="134"/>
        <v>NPA</v>
      </c>
      <c r="G63" s="510" t="str">
        <f t="shared" si="134"/>
        <v>NPA</v>
      </c>
      <c r="H63" s="510" t="str">
        <f t="shared" si="134"/>
        <v>NPA</v>
      </c>
      <c r="I63" s="510" t="str">
        <f t="shared" si="134"/>
        <v>NPA</v>
      </c>
      <c r="J63" s="510" t="str">
        <f t="shared" si="134"/>
        <v>NPA</v>
      </c>
      <c r="K63" s="510" t="str">
        <f t="shared" si="134"/>
        <v>NPA</v>
      </c>
      <c r="L63" s="510" t="str">
        <f t="shared" si="134"/>
        <v>NPA</v>
      </c>
      <c r="M63" s="510" t="str">
        <f t="shared" si="134"/>
        <v>NPA</v>
      </c>
      <c r="N63" s="510" t="str">
        <f t="shared" si="134"/>
        <v>NPA</v>
      </c>
      <c r="O63" s="510" t="str">
        <f t="shared" si="134"/>
        <v>NPA</v>
      </c>
      <c r="P63" s="510" t="str">
        <f t="shared" si="134"/>
        <v>NPA</v>
      </c>
      <c r="Q63" s="510" t="str">
        <f t="shared" si="134"/>
        <v>NPA</v>
      </c>
      <c r="R63" s="510" t="str">
        <f t="shared" si="134"/>
        <v>NPA</v>
      </c>
      <c r="S63" s="510" t="str">
        <f t="shared" si="134"/>
        <v>NPA</v>
      </c>
      <c r="T63" s="510" t="str">
        <f t="shared" si="134"/>
        <v>NPA</v>
      </c>
      <c r="U63" s="510" t="str">
        <f t="shared" si="134"/>
        <v>NPA</v>
      </c>
      <c r="V63" s="510" t="str">
        <f t="shared" si="134"/>
        <v>NPA</v>
      </c>
      <c r="W63" s="510" t="str">
        <f t="shared" si="134"/>
        <v>NPA</v>
      </c>
      <c r="X63" s="510" t="str">
        <f t="shared" si="134"/>
        <v>NPA</v>
      </c>
      <c r="Y63" s="510" t="str">
        <f t="shared" si="134"/>
        <v>NPA</v>
      </c>
      <c r="Z63" s="510" t="str">
        <f t="shared" si="134"/>
        <v>NPA</v>
      </c>
      <c r="AA63" s="510" t="str">
        <f t="shared" si="134"/>
        <v>NPA</v>
      </c>
      <c r="AB63" s="510" t="str">
        <f t="shared" si="134"/>
        <v>NPA</v>
      </c>
      <c r="AC63" s="510" t="str">
        <f t="shared" si="134"/>
        <v>NPA</v>
      </c>
      <c r="AD63" s="510" t="str">
        <f t="shared" si="134"/>
        <v>NPA</v>
      </c>
      <c r="AE63" s="510" t="str">
        <f t="shared" si="134"/>
        <v>NPA</v>
      </c>
      <c r="AF63" s="510" t="str">
        <f t="shared" si="134"/>
        <v>NPA</v>
      </c>
      <c r="AG63" s="510" t="str">
        <f t="shared" si="134"/>
        <v>NPA</v>
      </c>
      <c r="AH63" s="510" t="str">
        <f t="shared" si="134"/>
        <v>NPA</v>
      </c>
      <c r="AI63" s="510" t="str">
        <f t="shared" si="134"/>
        <v>NPA</v>
      </c>
      <c r="AJ63" s="510" t="str">
        <f t="shared" si="134"/>
        <v>NPA</v>
      </c>
      <c r="AK63" s="510" t="str">
        <f t="shared" si="134"/>
        <v>NPA</v>
      </c>
      <c r="AL63" s="510" t="str">
        <f t="shared" si="134"/>
        <v>NPA</v>
      </c>
      <c r="AM63" s="510" t="str">
        <f t="shared" si="134"/>
        <v>NPA</v>
      </c>
      <c r="AN63" s="510" t="str">
        <f t="shared" si="134"/>
        <v>NPA</v>
      </c>
      <c r="AO63" s="510" t="str">
        <f t="shared" si="134"/>
        <v>NPA</v>
      </c>
      <c r="AP63" s="510" t="str">
        <f t="shared" si="134"/>
        <v>NPA</v>
      </c>
      <c r="AQ63" s="510" t="str">
        <f t="shared" si="134"/>
        <v>NPA</v>
      </c>
      <c r="AR63" s="510" t="str">
        <f t="shared" si="134"/>
        <v>NPA</v>
      </c>
      <c r="AS63" s="510" t="str">
        <f t="shared" si="134"/>
        <v>NPA</v>
      </c>
      <c r="AT63" s="510" t="str">
        <f t="shared" si="134"/>
        <v>NPA</v>
      </c>
      <c r="AU63" s="510" t="str">
        <f t="shared" si="134"/>
        <v>NPA</v>
      </c>
      <c r="AV63" s="510" t="str">
        <f t="shared" si="134"/>
        <v>NPA</v>
      </c>
      <c r="AW63" s="510" t="str">
        <f t="shared" si="134"/>
        <v>NPA</v>
      </c>
      <c r="AX63" s="510" t="str">
        <f t="shared" si="134"/>
        <v>NPA</v>
      </c>
      <c r="AY63" s="510" t="str">
        <f t="shared" si="134"/>
        <v>NPA</v>
      </c>
      <c r="AZ63" s="510" t="str">
        <f t="shared" si="134"/>
        <v>NPA</v>
      </c>
      <c r="BA63" s="510" t="str">
        <f t="shared" si="134"/>
        <v>NPA</v>
      </c>
    </row>
    <row r="64" spans="1:53" x14ac:dyDescent="0.25">
      <c r="A64" s="1902" t="str">
        <f>$B$1</f>
        <v>IN 93</v>
      </c>
      <c r="B64" s="510" t="str">
        <f>IFERROR(IF(ABS(B63)&gt;B$18,"Restrição",IF(ABS(B63)&gt;B$16,"Não","Sim")),"NPA")</f>
        <v>NPA</v>
      </c>
      <c r="C64" s="510" t="str">
        <f t="shared" ref="C64:BA64" si="135">IFERROR(IF(ABS(C63)&gt;C$18,"Restrição",IF(ABS(C63)&gt;C$16,"Não","Sim")),"NPA")</f>
        <v>NPA</v>
      </c>
      <c r="D64" s="510" t="str">
        <f t="shared" si="135"/>
        <v>NPA</v>
      </c>
      <c r="E64" s="510" t="str">
        <f t="shared" si="135"/>
        <v>NPA</v>
      </c>
      <c r="F64" s="510" t="str">
        <f t="shared" si="135"/>
        <v>NPA</v>
      </c>
      <c r="G64" s="510" t="str">
        <f t="shared" si="135"/>
        <v>NPA</v>
      </c>
      <c r="H64" s="510" t="str">
        <f t="shared" si="135"/>
        <v>NPA</v>
      </c>
      <c r="I64" s="510" t="str">
        <f t="shared" si="135"/>
        <v>NPA</v>
      </c>
      <c r="J64" s="510" t="str">
        <f t="shared" si="135"/>
        <v>NPA</v>
      </c>
      <c r="K64" s="510" t="str">
        <f t="shared" si="135"/>
        <v>NPA</v>
      </c>
      <c r="L64" s="510" t="str">
        <f t="shared" si="135"/>
        <v>NPA</v>
      </c>
      <c r="M64" s="510" t="str">
        <f t="shared" si="135"/>
        <v>NPA</v>
      </c>
      <c r="N64" s="510" t="str">
        <f t="shared" si="135"/>
        <v>NPA</v>
      </c>
      <c r="O64" s="510" t="str">
        <f t="shared" si="135"/>
        <v>NPA</v>
      </c>
      <c r="P64" s="510" t="str">
        <f t="shared" si="135"/>
        <v>NPA</v>
      </c>
      <c r="Q64" s="510" t="str">
        <f t="shared" si="135"/>
        <v>NPA</v>
      </c>
      <c r="R64" s="510" t="str">
        <f t="shared" si="135"/>
        <v>NPA</v>
      </c>
      <c r="S64" s="510" t="str">
        <f t="shared" si="135"/>
        <v>NPA</v>
      </c>
      <c r="T64" s="510" t="str">
        <f t="shared" si="135"/>
        <v>NPA</v>
      </c>
      <c r="U64" s="510" t="str">
        <f t="shared" si="135"/>
        <v>NPA</v>
      </c>
      <c r="V64" s="510" t="str">
        <f t="shared" si="135"/>
        <v>NPA</v>
      </c>
      <c r="W64" s="510" t="str">
        <f t="shared" si="135"/>
        <v>NPA</v>
      </c>
      <c r="X64" s="510" t="str">
        <f t="shared" si="135"/>
        <v>NPA</v>
      </c>
      <c r="Y64" s="510" t="str">
        <f t="shared" si="135"/>
        <v>NPA</v>
      </c>
      <c r="Z64" s="510" t="str">
        <f t="shared" si="135"/>
        <v>NPA</v>
      </c>
      <c r="AA64" s="510" t="str">
        <f t="shared" si="135"/>
        <v>NPA</v>
      </c>
      <c r="AB64" s="510" t="str">
        <f t="shared" si="135"/>
        <v>NPA</v>
      </c>
      <c r="AC64" s="510" t="str">
        <f t="shared" si="135"/>
        <v>NPA</v>
      </c>
      <c r="AD64" s="510" t="str">
        <f t="shared" si="135"/>
        <v>NPA</v>
      </c>
      <c r="AE64" s="510" t="str">
        <f t="shared" si="135"/>
        <v>NPA</v>
      </c>
      <c r="AF64" s="510" t="str">
        <f t="shared" si="135"/>
        <v>NPA</v>
      </c>
      <c r="AG64" s="510" t="str">
        <f t="shared" si="135"/>
        <v>NPA</v>
      </c>
      <c r="AH64" s="510" t="str">
        <f t="shared" si="135"/>
        <v>NPA</v>
      </c>
      <c r="AI64" s="510" t="str">
        <f t="shared" si="135"/>
        <v>NPA</v>
      </c>
      <c r="AJ64" s="510" t="str">
        <f t="shared" si="135"/>
        <v>NPA</v>
      </c>
      <c r="AK64" s="510" t="str">
        <f t="shared" si="135"/>
        <v>NPA</v>
      </c>
      <c r="AL64" s="510" t="str">
        <f t="shared" si="135"/>
        <v>NPA</v>
      </c>
      <c r="AM64" s="510" t="str">
        <f t="shared" si="135"/>
        <v>NPA</v>
      </c>
      <c r="AN64" s="510" t="str">
        <f t="shared" si="135"/>
        <v>NPA</v>
      </c>
      <c r="AO64" s="510" t="str">
        <f t="shared" si="135"/>
        <v>NPA</v>
      </c>
      <c r="AP64" s="510" t="str">
        <f t="shared" si="135"/>
        <v>NPA</v>
      </c>
      <c r="AQ64" s="510" t="str">
        <f t="shared" si="135"/>
        <v>NPA</v>
      </c>
      <c r="AR64" s="510" t="str">
        <f t="shared" si="135"/>
        <v>NPA</v>
      </c>
      <c r="AS64" s="510" t="str">
        <f t="shared" si="135"/>
        <v>NPA</v>
      </c>
      <c r="AT64" s="510" t="str">
        <f t="shared" si="135"/>
        <v>NPA</v>
      </c>
      <c r="AU64" s="510" t="str">
        <f t="shared" si="135"/>
        <v>NPA</v>
      </c>
      <c r="AV64" s="510" t="str">
        <f t="shared" si="135"/>
        <v>NPA</v>
      </c>
      <c r="AW64" s="510" t="str">
        <f t="shared" si="135"/>
        <v>NPA</v>
      </c>
      <c r="AX64" s="510" t="str">
        <f t="shared" si="135"/>
        <v>NPA</v>
      </c>
      <c r="AY64" s="510" t="str">
        <f t="shared" si="135"/>
        <v>NPA</v>
      </c>
      <c r="AZ64" s="510" t="str">
        <f t="shared" si="135"/>
        <v>NPA</v>
      </c>
      <c r="BA64" s="510" t="str">
        <f t="shared" si="135"/>
        <v>NPA</v>
      </c>
    </row>
    <row r="65" spans="1:53" x14ac:dyDescent="0.25">
      <c r="A65" s="881" t="s">
        <v>62</v>
      </c>
      <c r="B65" s="510" t="str">
        <f>IF(B53="","NPA",ABS(ABS(MAX(B54:B57)-ABS(MIN(B54:B57)))-B53))</f>
        <v>NPA</v>
      </c>
      <c r="C65" s="510" t="str">
        <f t="shared" ref="C65:BA65" si="136">IF(C53="","NPA",ABS(ABS(MAX(C54:C57)-ABS(MIN(C54:C57)))-C53))</f>
        <v>NPA</v>
      </c>
      <c r="D65" s="510" t="str">
        <f t="shared" si="136"/>
        <v>NPA</v>
      </c>
      <c r="E65" s="510" t="str">
        <f t="shared" si="136"/>
        <v>NPA</v>
      </c>
      <c r="F65" s="510" t="str">
        <f t="shared" si="136"/>
        <v>NPA</v>
      </c>
      <c r="G65" s="510" t="str">
        <f t="shared" si="136"/>
        <v>NPA</v>
      </c>
      <c r="H65" s="510" t="str">
        <f t="shared" si="136"/>
        <v>NPA</v>
      </c>
      <c r="I65" s="510" t="str">
        <f t="shared" si="136"/>
        <v>NPA</v>
      </c>
      <c r="J65" s="510" t="str">
        <f t="shared" si="136"/>
        <v>NPA</v>
      </c>
      <c r="K65" s="510" t="str">
        <f t="shared" si="136"/>
        <v>NPA</v>
      </c>
      <c r="L65" s="510" t="str">
        <f t="shared" si="136"/>
        <v>NPA</v>
      </c>
      <c r="M65" s="510" t="str">
        <f t="shared" si="136"/>
        <v>NPA</v>
      </c>
      <c r="N65" s="510" t="str">
        <f t="shared" si="136"/>
        <v>NPA</v>
      </c>
      <c r="O65" s="510" t="str">
        <f t="shared" si="136"/>
        <v>NPA</v>
      </c>
      <c r="P65" s="510" t="str">
        <f t="shared" si="136"/>
        <v>NPA</v>
      </c>
      <c r="Q65" s="510" t="str">
        <f t="shared" si="136"/>
        <v>NPA</v>
      </c>
      <c r="R65" s="510" t="str">
        <f t="shared" si="136"/>
        <v>NPA</v>
      </c>
      <c r="S65" s="510" t="str">
        <f t="shared" si="136"/>
        <v>NPA</v>
      </c>
      <c r="T65" s="510" t="str">
        <f t="shared" si="136"/>
        <v>NPA</v>
      </c>
      <c r="U65" s="510" t="str">
        <f t="shared" si="136"/>
        <v>NPA</v>
      </c>
      <c r="V65" s="510" t="str">
        <f t="shared" si="136"/>
        <v>NPA</v>
      </c>
      <c r="W65" s="510" t="str">
        <f t="shared" si="136"/>
        <v>NPA</v>
      </c>
      <c r="X65" s="510" t="str">
        <f t="shared" si="136"/>
        <v>NPA</v>
      </c>
      <c r="Y65" s="510" t="str">
        <f t="shared" si="136"/>
        <v>NPA</v>
      </c>
      <c r="Z65" s="510" t="str">
        <f t="shared" si="136"/>
        <v>NPA</v>
      </c>
      <c r="AA65" s="510" t="str">
        <f t="shared" si="136"/>
        <v>NPA</v>
      </c>
      <c r="AB65" s="510" t="str">
        <f t="shared" si="136"/>
        <v>NPA</v>
      </c>
      <c r="AC65" s="510" t="str">
        <f t="shared" si="136"/>
        <v>NPA</v>
      </c>
      <c r="AD65" s="510" t="str">
        <f t="shared" si="136"/>
        <v>NPA</v>
      </c>
      <c r="AE65" s="510" t="str">
        <f t="shared" si="136"/>
        <v>NPA</v>
      </c>
      <c r="AF65" s="510" t="str">
        <f t="shared" si="136"/>
        <v>NPA</v>
      </c>
      <c r="AG65" s="510" t="str">
        <f t="shared" si="136"/>
        <v>NPA</v>
      </c>
      <c r="AH65" s="510" t="str">
        <f t="shared" si="136"/>
        <v>NPA</v>
      </c>
      <c r="AI65" s="510" t="str">
        <f t="shared" si="136"/>
        <v>NPA</v>
      </c>
      <c r="AJ65" s="510" t="str">
        <f t="shared" si="136"/>
        <v>NPA</v>
      </c>
      <c r="AK65" s="510" t="str">
        <f t="shared" si="136"/>
        <v>NPA</v>
      </c>
      <c r="AL65" s="510" t="str">
        <f t="shared" si="136"/>
        <v>NPA</v>
      </c>
      <c r="AM65" s="510" t="str">
        <f t="shared" si="136"/>
        <v>NPA</v>
      </c>
      <c r="AN65" s="510" t="str">
        <f t="shared" si="136"/>
        <v>NPA</v>
      </c>
      <c r="AO65" s="510" t="str">
        <f t="shared" si="136"/>
        <v>NPA</v>
      </c>
      <c r="AP65" s="510" t="str">
        <f t="shared" si="136"/>
        <v>NPA</v>
      </c>
      <c r="AQ65" s="510" t="str">
        <f t="shared" si="136"/>
        <v>NPA</v>
      </c>
      <c r="AR65" s="510" t="str">
        <f t="shared" si="136"/>
        <v>NPA</v>
      </c>
      <c r="AS65" s="510" t="str">
        <f t="shared" si="136"/>
        <v>NPA</v>
      </c>
      <c r="AT65" s="510" t="str">
        <f t="shared" si="136"/>
        <v>NPA</v>
      </c>
      <c r="AU65" s="510" t="str">
        <f t="shared" si="136"/>
        <v>NPA</v>
      </c>
      <c r="AV65" s="510" t="str">
        <f t="shared" si="136"/>
        <v>NPA</v>
      </c>
      <c r="AW65" s="510" t="str">
        <f t="shared" si="136"/>
        <v>NPA</v>
      </c>
      <c r="AX65" s="510" t="str">
        <f t="shared" si="136"/>
        <v>NPA</v>
      </c>
      <c r="AY65" s="510" t="str">
        <f t="shared" si="136"/>
        <v>NPA</v>
      </c>
      <c r="AZ65" s="510" t="str">
        <f t="shared" si="136"/>
        <v>NPA</v>
      </c>
      <c r="BA65" s="510" t="str">
        <f t="shared" si="136"/>
        <v>NPA</v>
      </c>
    </row>
    <row r="66" spans="1:53" x14ac:dyDescent="0.25">
      <c r="A66" s="1902" t="str">
        <f>$B$1</f>
        <v>IN 93</v>
      </c>
      <c r="B66" s="510" t="str">
        <f>IFERROR(IF(ABS(B65)&gt;10,"Restrição",IF(ABS(B65)&gt;5,"Não","Sim")),"NPA")</f>
        <v>NPA</v>
      </c>
      <c r="C66" s="510" t="str">
        <f t="shared" ref="C66:BA66" si="137">IFERROR(IF(ABS(C65)&gt;10,"Restrição",IF(ABS(C65)&gt;5,"Não","Sim")),"NPA")</f>
        <v>NPA</v>
      </c>
      <c r="D66" s="510" t="str">
        <f t="shared" si="137"/>
        <v>NPA</v>
      </c>
      <c r="E66" s="510" t="str">
        <f t="shared" si="137"/>
        <v>NPA</v>
      </c>
      <c r="F66" s="510" t="str">
        <f t="shared" si="137"/>
        <v>NPA</v>
      </c>
      <c r="G66" s="510" t="str">
        <f t="shared" si="137"/>
        <v>NPA</v>
      </c>
      <c r="H66" s="510" t="str">
        <f t="shared" si="137"/>
        <v>NPA</v>
      </c>
      <c r="I66" s="510" t="str">
        <f t="shared" si="137"/>
        <v>NPA</v>
      </c>
      <c r="J66" s="510" t="str">
        <f t="shared" si="137"/>
        <v>NPA</v>
      </c>
      <c r="K66" s="510" t="str">
        <f t="shared" si="137"/>
        <v>NPA</v>
      </c>
      <c r="L66" s="510" t="str">
        <f t="shared" si="137"/>
        <v>NPA</v>
      </c>
      <c r="M66" s="510" t="str">
        <f t="shared" si="137"/>
        <v>NPA</v>
      </c>
      <c r="N66" s="510" t="str">
        <f t="shared" si="137"/>
        <v>NPA</v>
      </c>
      <c r="O66" s="510" t="str">
        <f t="shared" si="137"/>
        <v>NPA</v>
      </c>
      <c r="P66" s="510" t="str">
        <f t="shared" si="137"/>
        <v>NPA</v>
      </c>
      <c r="Q66" s="510" t="str">
        <f t="shared" si="137"/>
        <v>NPA</v>
      </c>
      <c r="R66" s="510" t="str">
        <f t="shared" si="137"/>
        <v>NPA</v>
      </c>
      <c r="S66" s="510" t="str">
        <f t="shared" si="137"/>
        <v>NPA</v>
      </c>
      <c r="T66" s="510" t="str">
        <f t="shared" si="137"/>
        <v>NPA</v>
      </c>
      <c r="U66" s="510" t="str">
        <f t="shared" si="137"/>
        <v>NPA</v>
      </c>
      <c r="V66" s="510" t="str">
        <f t="shared" si="137"/>
        <v>NPA</v>
      </c>
      <c r="W66" s="510" t="str">
        <f t="shared" si="137"/>
        <v>NPA</v>
      </c>
      <c r="X66" s="510" t="str">
        <f t="shared" si="137"/>
        <v>NPA</v>
      </c>
      <c r="Y66" s="510" t="str">
        <f t="shared" si="137"/>
        <v>NPA</v>
      </c>
      <c r="Z66" s="510" t="str">
        <f t="shared" si="137"/>
        <v>NPA</v>
      </c>
      <c r="AA66" s="510" t="str">
        <f t="shared" si="137"/>
        <v>NPA</v>
      </c>
      <c r="AB66" s="510" t="str">
        <f t="shared" si="137"/>
        <v>NPA</v>
      </c>
      <c r="AC66" s="510" t="str">
        <f t="shared" si="137"/>
        <v>NPA</v>
      </c>
      <c r="AD66" s="510" t="str">
        <f t="shared" si="137"/>
        <v>NPA</v>
      </c>
      <c r="AE66" s="510" t="str">
        <f t="shared" si="137"/>
        <v>NPA</v>
      </c>
      <c r="AF66" s="510" t="str">
        <f t="shared" si="137"/>
        <v>NPA</v>
      </c>
      <c r="AG66" s="510" t="str">
        <f t="shared" si="137"/>
        <v>NPA</v>
      </c>
      <c r="AH66" s="510" t="str">
        <f t="shared" si="137"/>
        <v>NPA</v>
      </c>
      <c r="AI66" s="510" t="str">
        <f t="shared" si="137"/>
        <v>NPA</v>
      </c>
      <c r="AJ66" s="510" t="str">
        <f t="shared" si="137"/>
        <v>NPA</v>
      </c>
      <c r="AK66" s="510" t="str">
        <f t="shared" si="137"/>
        <v>NPA</v>
      </c>
      <c r="AL66" s="510" t="str">
        <f t="shared" si="137"/>
        <v>NPA</v>
      </c>
      <c r="AM66" s="510" t="str">
        <f t="shared" si="137"/>
        <v>NPA</v>
      </c>
      <c r="AN66" s="510" t="str">
        <f t="shared" si="137"/>
        <v>NPA</v>
      </c>
      <c r="AO66" s="510" t="str">
        <f t="shared" si="137"/>
        <v>NPA</v>
      </c>
      <c r="AP66" s="510" t="str">
        <f t="shared" si="137"/>
        <v>NPA</v>
      </c>
      <c r="AQ66" s="510" t="str">
        <f t="shared" si="137"/>
        <v>NPA</v>
      </c>
      <c r="AR66" s="510" t="str">
        <f t="shared" si="137"/>
        <v>NPA</v>
      </c>
      <c r="AS66" s="510" t="str">
        <f t="shared" si="137"/>
        <v>NPA</v>
      </c>
      <c r="AT66" s="510" t="str">
        <f t="shared" si="137"/>
        <v>NPA</v>
      </c>
      <c r="AU66" s="510" t="str">
        <f t="shared" si="137"/>
        <v>NPA</v>
      </c>
      <c r="AV66" s="510" t="str">
        <f t="shared" si="137"/>
        <v>NPA</v>
      </c>
      <c r="AW66" s="510" t="str">
        <f t="shared" si="137"/>
        <v>NPA</v>
      </c>
      <c r="AX66" s="510" t="str">
        <f t="shared" si="137"/>
        <v>NPA</v>
      </c>
      <c r="AY66" s="510" t="str">
        <f t="shared" si="137"/>
        <v>NPA</v>
      </c>
      <c r="AZ66" s="510" t="str">
        <f t="shared" si="137"/>
        <v>NPA</v>
      </c>
      <c r="BA66" s="510" t="str">
        <f t="shared" si="137"/>
        <v>NPA</v>
      </c>
    </row>
    <row r="67" spans="1:53" x14ac:dyDescent="0.25">
      <c r="A67" s="881" t="s">
        <v>1964</v>
      </c>
      <c r="B67" s="510" t="str">
        <f>IF(B53="","NPA",B53)</f>
        <v>NPA</v>
      </c>
      <c r="C67" s="510" t="str">
        <f t="shared" ref="C67:BA67" si="138">IF(C53="","NPA",C53)</f>
        <v>NPA</v>
      </c>
      <c r="D67" s="510" t="str">
        <f t="shared" si="138"/>
        <v>NPA</v>
      </c>
      <c r="E67" s="510" t="str">
        <f t="shared" si="138"/>
        <v>NPA</v>
      </c>
      <c r="F67" s="510" t="str">
        <f t="shared" si="138"/>
        <v>NPA</v>
      </c>
      <c r="G67" s="510" t="str">
        <f t="shared" si="138"/>
        <v>NPA</v>
      </c>
      <c r="H67" s="510" t="str">
        <f t="shared" si="138"/>
        <v>NPA</v>
      </c>
      <c r="I67" s="510" t="str">
        <f t="shared" si="138"/>
        <v>NPA</v>
      </c>
      <c r="J67" s="510" t="str">
        <f t="shared" si="138"/>
        <v>NPA</v>
      </c>
      <c r="K67" s="510" t="str">
        <f t="shared" si="138"/>
        <v>NPA</v>
      </c>
      <c r="L67" s="510" t="str">
        <f t="shared" si="138"/>
        <v>NPA</v>
      </c>
      <c r="M67" s="510" t="str">
        <f t="shared" si="138"/>
        <v>NPA</v>
      </c>
      <c r="N67" s="510" t="str">
        <f t="shared" si="138"/>
        <v>NPA</v>
      </c>
      <c r="O67" s="510" t="str">
        <f t="shared" si="138"/>
        <v>NPA</v>
      </c>
      <c r="P67" s="510" t="str">
        <f t="shared" si="138"/>
        <v>NPA</v>
      </c>
      <c r="Q67" s="510" t="str">
        <f t="shared" si="138"/>
        <v>NPA</v>
      </c>
      <c r="R67" s="510" t="str">
        <f t="shared" si="138"/>
        <v>NPA</v>
      </c>
      <c r="S67" s="510" t="str">
        <f t="shared" si="138"/>
        <v>NPA</v>
      </c>
      <c r="T67" s="510" t="str">
        <f t="shared" si="138"/>
        <v>NPA</v>
      </c>
      <c r="U67" s="510" t="str">
        <f t="shared" si="138"/>
        <v>NPA</v>
      </c>
      <c r="V67" s="510" t="str">
        <f t="shared" si="138"/>
        <v>NPA</v>
      </c>
      <c r="W67" s="510" t="str">
        <f t="shared" si="138"/>
        <v>NPA</v>
      </c>
      <c r="X67" s="510" t="str">
        <f t="shared" si="138"/>
        <v>NPA</v>
      </c>
      <c r="Y67" s="510" t="str">
        <f t="shared" si="138"/>
        <v>NPA</v>
      </c>
      <c r="Z67" s="510" t="str">
        <f t="shared" si="138"/>
        <v>NPA</v>
      </c>
      <c r="AA67" s="510" t="str">
        <f t="shared" si="138"/>
        <v>NPA</v>
      </c>
      <c r="AB67" s="510" t="str">
        <f t="shared" si="138"/>
        <v>NPA</v>
      </c>
      <c r="AC67" s="510" t="str">
        <f t="shared" si="138"/>
        <v>NPA</v>
      </c>
      <c r="AD67" s="510" t="str">
        <f t="shared" si="138"/>
        <v>NPA</v>
      </c>
      <c r="AE67" s="510" t="str">
        <f t="shared" si="138"/>
        <v>NPA</v>
      </c>
      <c r="AF67" s="510" t="str">
        <f t="shared" si="138"/>
        <v>NPA</v>
      </c>
      <c r="AG67" s="510" t="str">
        <f t="shared" si="138"/>
        <v>NPA</v>
      </c>
      <c r="AH67" s="510" t="str">
        <f t="shared" si="138"/>
        <v>NPA</v>
      </c>
      <c r="AI67" s="510" t="str">
        <f t="shared" si="138"/>
        <v>NPA</v>
      </c>
      <c r="AJ67" s="510" t="str">
        <f t="shared" si="138"/>
        <v>NPA</v>
      </c>
      <c r="AK67" s="510" t="str">
        <f t="shared" si="138"/>
        <v>NPA</v>
      </c>
      <c r="AL67" s="510" t="str">
        <f t="shared" si="138"/>
        <v>NPA</v>
      </c>
      <c r="AM67" s="510" t="str">
        <f t="shared" si="138"/>
        <v>NPA</v>
      </c>
      <c r="AN67" s="510" t="str">
        <f t="shared" si="138"/>
        <v>NPA</v>
      </c>
      <c r="AO67" s="510" t="str">
        <f t="shared" si="138"/>
        <v>NPA</v>
      </c>
      <c r="AP67" s="510" t="str">
        <f t="shared" si="138"/>
        <v>NPA</v>
      </c>
      <c r="AQ67" s="510" t="str">
        <f t="shared" si="138"/>
        <v>NPA</v>
      </c>
      <c r="AR67" s="510" t="str">
        <f t="shared" si="138"/>
        <v>NPA</v>
      </c>
      <c r="AS67" s="510" t="str">
        <f t="shared" si="138"/>
        <v>NPA</v>
      </c>
      <c r="AT67" s="510" t="str">
        <f t="shared" si="138"/>
        <v>NPA</v>
      </c>
      <c r="AU67" s="510" t="str">
        <f t="shared" si="138"/>
        <v>NPA</v>
      </c>
      <c r="AV67" s="510" t="str">
        <f t="shared" si="138"/>
        <v>NPA</v>
      </c>
      <c r="AW67" s="510" t="str">
        <f t="shared" si="138"/>
        <v>NPA</v>
      </c>
      <c r="AX67" s="510" t="str">
        <f t="shared" si="138"/>
        <v>NPA</v>
      </c>
      <c r="AY67" s="510" t="str">
        <f t="shared" si="138"/>
        <v>NPA</v>
      </c>
      <c r="AZ67" s="510" t="str">
        <f t="shared" si="138"/>
        <v>NPA</v>
      </c>
      <c r="BA67" s="510" t="str">
        <f t="shared" si="138"/>
        <v>NPA</v>
      </c>
    </row>
    <row r="68" spans="1:53" x14ac:dyDescent="0.25">
      <c r="A68" s="1902" t="str">
        <f>$B$1</f>
        <v>IN 93</v>
      </c>
      <c r="B68" s="510" t="str">
        <f>IFERROR(IF(B67="NPA","NPA",IF(B67="NPA","NPA",IF(B67&gt;1.2*B$12,"Restrição",IF(B67&gt;1.15*B$12,"Não","Sim")))),"NPA")</f>
        <v>NPA</v>
      </c>
      <c r="C68" s="510" t="str">
        <f t="shared" ref="C68:BA68" si="139">IFERROR(IF(C67="NPA","NPA",IF(C67="NPA","NPA",IF(C67&gt;1.2*C$12,"Restrição",IF(C67&gt;1.15*C$12,"Não","Sim")))),"NPA")</f>
        <v>NPA</v>
      </c>
      <c r="D68" s="510" t="str">
        <f t="shared" si="139"/>
        <v>NPA</v>
      </c>
      <c r="E68" s="510" t="str">
        <f t="shared" si="139"/>
        <v>NPA</v>
      </c>
      <c r="F68" s="510" t="str">
        <f t="shared" si="139"/>
        <v>NPA</v>
      </c>
      <c r="G68" s="510" t="str">
        <f t="shared" si="139"/>
        <v>NPA</v>
      </c>
      <c r="H68" s="510" t="str">
        <f t="shared" si="139"/>
        <v>NPA</v>
      </c>
      <c r="I68" s="510" t="str">
        <f t="shared" si="139"/>
        <v>NPA</v>
      </c>
      <c r="J68" s="510" t="str">
        <f t="shared" si="139"/>
        <v>NPA</v>
      </c>
      <c r="K68" s="510" t="str">
        <f t="shared" si="139"/>
        <v>NPA</v>
      </c>
      <c r="L68" s="510" t="str">
        <f t="shared" si="139"/>
        <v>NPA</v>
      </c>
      <c r="M68" s="510" t="str">
        <f t="shared" si="139"/>
        <v>NPA</v>
      </c>
      <c r="N68" s="510" t="str">
        <f t="shared" si="139"/>
        <v>NPA</v>
      </c>
      <c r="O68" s="510" t="str">
        <f t="shared" si="139"/>
        <v>NPA</v>
      </c>
      <c r="P68" s="510" t="str">
        <f t="shared" si="139"/>
        <v>NPA</v>
      </c>
      <c r="Q68" s="510" t="str">
        <f t="shared" si="139"/>
        <v>NPA</v>
      </c>
      <c r="R68" s="510" t="str">
        <f t="shared" si="139"/>
        <v>NPA</v>
      </c>
      <c r="S68" s="510" t="str">
        <f t="shared" si="139"/>
        <v>NPA</v>
      </c>
      <c r="T68" s="510" t="str">
        <f t="shared" si="139"/>
        <v>NPA</v>
      </c>
      <c r="U68" s="510" t="str">
        <f t="shared" si="139"/>
        <v>NPA</v>
      </c>
      <c r="V68" s="510" t="str">
        <f t="shared" si="139"/>
        <v>NPA</v>
      </c>
      <c r="W68" s="510" t="str">
        <f t="shared" si="139"/>
        <v>NPA</v>
      </c>
      <c r="X68" s="510" t="str">
        <f t="shared" si="139"/>
        <v>NPA</v>
      </c>
      <c r="Y68" s="510" t="str">
        <f t="shared" si="139"/>
        <v>NPA</v>
      </c>
      <c r="Z68" s="510" t="str">
        <f t="shared" si="139"/>
        <v>NPA</v>
      </c>
      <c r="AA68" s="510" t="str">
        <f t="shared" si="139"/>
        <v>NPA</v>
      </c>
      <c r="AB68" s="510" t="str">
        <f t="shared" si="139"/>
        <v>NPA</v>
      </c>
      <c r="AC68" s="510" t="str">
        <f t="shared" si="139"/>
        <v>NPA</v>
      </c>
      <c r="AD68" s="510" t="str">
        <f t="shared" si="139"/>
        <v>NPA</v>
      </c>
      <c r="AE68" s="510" t="str">
        <f t="shared" si="139"/>
        <v>NPA</v>
      </c>
      <c r="AF68" s="510" t="str">
        <f t="shared" si="139"/>
        <v>NPA</v>
      </c>
      <c r="AG68" s="510" t="str">
        <f t="shared" si="139"/>
        <v>NPA</v>
      </c>
      <c r="AH68" s="510" t="str">
        <f t="shared" si="139"/>
        <v>NPA</v>
      </c>
      <c r="AI68" s="510" t="str">
        <f t="shared" si="139"/>
        <v>NPA</v>
      </c>
      <c r="AJ68" s="510" t="str">
        <f t="shared" si="139"/>
        <v>NPA</v>
      </c>
      <c r="AK68" s="510" t="str">
        <f t="shared" si="139"/>
        <v>NPA</v>
      </c>
      <c r="AL68" s="510" t="str">
        <f t="shared" si="139"/>
        <v>NPA</v>
      </c>
      <c r="AM68" s="510" t="str">
        <f t="shared" si="139"/>
        <v>NPA</v>
      </c>
      <c r="AN68" s="510" t="str">
        <f t="shared" si="139"/>
        <v>NPA</v>
      </c>
      <c r="AO68" s="510" t="str">
        <f t="shared" si="139"/>
        <v>NPA</v>
      </c>
      <c r="AP68" s="510" t="str">
        <f t="shared" si="139"/>
        <v>NPA</v>
      </c>
      <c r="AQ68" s="510" t="str">
        <f t="shared" si="139"/>
        <v>NPA</v>
      </c>
      <c r="AR68" s="510" t="str">
        <f t="shared" si="139"/>
        <v>NPA</v>
      </c>
      <c r="AS68" s="510" t="str">
        <f t="shared" si="139"/>
        <v>NPA</v>
      </c>
      <c r="AT68" s="510" t="str">
        <f t="shared" si="139"/>
        <v>NPA</v>
      </c>
      <c r="AU68" s="510" t="str">
        <f t="shared" si="139"/>
        <v>NPA</v>
      </c>
      <c r="AV68" s="510" t="str">
        <f t="shared" si="139"/>
        <v>NPA</v>
      </c>
      <c r="AW68" s="510" t="str">
        <f t="shared" si="139"/>
        <v>NPA</v>
      </c>
      <c r="AX68" s="510" t="str">
        <f t="shared" si="139"/>
        <v>NPA</v>
      </c>
      <c r="AY68" s="510" t="str">
        <f t="shared" si="139"/>
        <v>NPA</v>
      </c>
      <c r="AZ68" s="510" t="str">
        <f t="shared" si="139"/>
        <v>NPA</v>
      </c>
      <c r="BA68" s="510" t="str">
        <f t="shared" si="139"/>
        <v>NPA</v>
      </c>
    </row>
    <row r="69" spans="1:53" x14ac:dyDescent="0.25">
      <c r="A69" s="881" t="s">
        <v>1963</v>
      </c>
      <c r="B69" s="510" t="str">
        <f>IF(B59="","NPA",B59)</f>
        <v>NPA</v>
      </c>
      <c r="C69" s="510" t="str">
        <f t="shared" ref="C69:BA69" si="140">IF(C59="","NPA",C59)</f>
        <v>NPA</v>
      </c>
      <c r="D69" s="510" t="str">
        <f t="shared" si="140"/>
        <v>NPA</v>
      </c>
      <c r="E69" s="510" t="str">
        <f t="shared" si="140"/>
        <v>NPA</v>
      </c>
      <c r="F69" s="510" t="str">
        <f t="shared" si="140"/>
        <v>NPA</v>
      </c>
      <c r="G69" s="510" t="str">
        <f t="shared" si="140"/>
        <v>NPA</v>
      </c>
      <c r="H69" s="510" t="str">
        <f t="shared" si="140"/>
        <v>NPA</v>
      </c>
      <c r="I69" s="510" t="str">
        <f t="shared" si="140"/>
        <v>NPA</v>
      </c>
      <c r="J69" s="510" t="str">
        <f t="shared" si="140"/>
        <v>NPA</v>
      </c>
      <c r="K69" s="510" t="str">
        <f t="shared" si="140"/>
        <v>NPA</v>
      </c>
      <c r="L69" s="510" t="str">
        <f t="shared" si="140"/>
        <v>NPA</v>
      </c>
      <c r="M69" s="510" t="str">
        <f t="shared" si="140"/>
        <v>NPA</v>
      </c>
      <c r="N69" s="510" t="str">
        <f t="shared" si="140"/>
        <v>NPA</v>
      </c>
      <c r="O69" s="510" t="str">
        <f t="shared" si="140"/>
        <v>NPA</v>
      </c>
      <c r="P69" s="510" t="str">
        <f t="shared" si="140"/>
        <v>NPA</v>
      </c>
      <c r="Q69" s="510" t="str">
        <f t="shared" si="140"/>
        <v>NPA</v>
      </c>
      <c r="R69" s="510" t="str">
        <f t="shared" si="140"/>
        <v>NPA</v>
      </c>
      <c r="S69" s="510" t="str">
        <f t="shared" si="140"/>
        <v>NPA</v>
      </c>
      <c r="T69" s="510" t="str">
        <f t="shared" si="140"/>
        <v>NPA</v>
      </c>
      <c r="U69" s="510" t="str">
        <f t="shared" si="140"/>
        <v>NPA</v>
      </c>
      <c r="V69" s="510" t="str">
        <f t="shared" si="140"/>
        <v>NPA</v>
      </c>
      <c r="W69" s="510" t="str">
        <f t="shared" si="140"/>
        <v>NPA</v>
      </c>
      <c r="X69" s="510" t="str">
        <f t="shared" si="140"/>
        <v>NPA</v>
      </c>
      <c r="Y69" s="510" t="str">
        <f t="shared" si="140"/>
        <v>NPA</v>
      </c>
      <c r="Z69" s="510" t="str">
        <f t="shared" si="140"/>
        <v>NPA</v>
      </c>
      <c r="AA69" s="510" t="str">
        <f t="shared" si="140"/>
        <v>NPA</v>
      </c>
      <c r="AB69" s="510" t="str">
        <f t="shared" si="140"/>
        <v>NPA</v>
      </c>
      <c r="AC69" s="510" t="str">
        <f t="shared" si="140"/>
        <v>NPA</v>
      </c>
      <c r="AD69" s="510" t="str">
        <f t="shared" si="140"/>
        <v>NPA</v>
      </c>
      <c r="AE69" s="510" t="str">
        <f t="shared" si="140"/>
        <v>NPA</v>
      </c>
      <c r="AF69" s="510" t="str">
        <f t="shared" si="140"/>
        <v>NPA</v>
      </c>
      <c r="AG69" s="510" t="str">
        <f t="shared" si="140"/>
        <v>NPA</v>
      </c>
      <c r="AH69" s="510" t="str">
        <f t="shared" si="140"/>
        <v>NPA</v>
      </c>
      <c r="AI69" s="510" t="str">
        <f t="shared" si="140"/>
        <v>NPA</v>
      </c>
      <c r="AJ69" s="510" t="str">
        <f t="shared" si="140"/>
        <v>NPA</v>
      </c>
      <c r="AK69" s="510" t="str">
        <f t="shared" si="140"/>
        <v>NPA</v>
      </c>
      <c r="AL69" s="510" t="str">
        <f t="shared" si="140"/>
        <v>NPA</v>
      </c>
      <c r="AM69" s="510" t="str">
        <f t="shared" si="140"/>
        <v>NPA</v>
      </c>
      <c r="AN69" s="510" t="str">
        <f t="shared" si="140"/>
        <v>NPA</v>
      </c>
      <c r="AO69" s="510" t="str">
        <f t="shared" si="140"/>
        <v>NPA</v>
      </c>
      <c r="AP69" s="510" t="str">
        <f t="shared" si="140"/>
        <v>NPA</v>
      </c>
      <c r="AQ69" s="510" t="str">
        <f t="shared" si="140"/>
        <v>NPA</v>
      </c>
      <c r="AR69" s="510" t="str">
        <f t="shared" si="140"/>
        <v>NPA</v>
      </c>
      <c r="AS69" s="510" t="str">
        <f t="shared" si="140"/>
        <v>NPA</v>
      </c>
      <c r="AT69" s="510" t="str">
        <f t="shared" si="140"/>
        <v>NPA</v>
      </c>
      <c r="AU69" s="510" t="str">
        <f t="shared" si="140"/>
        <v>NPA</v>
      </c>
      <c r="AV69" s="510" t="str">
        <f t="shared" si="140"/>
        <v>NPA</v>
      </c>
      <c r="AW69" s="510" t="str">
        <f t="shared" si="140"/>
        <v>NPA</v>
      </c>
      <c r="AX69" s="510" t="str">
        <f t="shared" si="140"/>
        <v>NPA</v>
      </c>
      <c r="AY69" s="510" t="str">
        <f t="shared" si="140"/>
        <v>NPA</v>
      </c>
      <c r="AZ69" s="510" t="str">
        <f t="shared" si="140"/>
        <v>NPA</v>
      </c>
      <c r="BA69" s="510" t="str">
        <f t="shared" si="140"/>
        <v>NPA</v>
      </c>
    </row>
    <row r="70" spans="1:53" x14ac:dyDescent="0.25">
      <c r="A70" s="1902" t="str">
        <f>$B$1</f>
        <v>IN 93</v>
      </c>
      <c r="B70" s="510" t="str">
        <f>IFERROR(IF(B69="NPA","NPA",IF(B69="NPA","NPA",IF(B69&gt;1.2*B$13,"Restrição",IF(B69&gt;1.15*B$13,"Não","Sim")))),"NPA")</f>
        <v>NPA</v>
      </c>
      <c r="C70" s="510" t="str">
        <f t="shared" ref="C70:BA70" si="141">IFERROR(IF(C69="NPA","NPA",IF(C69="NPA","NPA",IF(C69&gt;1.2*C$13,"Restrição",IF(C69&gt;1.15*C$13,"Não","Sim")))),"NPA")</f>
        <v>NPA</v>
      </c>
      <c r="D70" s="510" t="str">
        <f t="shared" si="141"/>
        <v>NPA</v>
      </c>
      <c r="E70" s="510" t="str">
        <f t="shared" si="141"/>
        <v>NPA</v>
      </c>
      <c r="F70" s="510" t="str">
        <f t="shared" si="141"/>
        <v>NPA</v>
      </c>
      <c r="G70" s="510" t="str">
        <f t="shared" si="141"/>
        <v>NPA</v>
      </c>
      <c r="H70" s="510" t="str">
        <f t="shared" si="141"/>
        <v>NPA</v>
      </c>
      <c r="I70" s="510" t="str">
        <f t="shared" si="141"/>
        <v>NPA</v>
      </c>
      <c r="J70" s="510" t="str">
        <f t="shared" si="141"/>
        <v>NPA</v>
      </c>
      <c r="K70" s="510" t="str">
        <f t="shared" si="141"/>
        <v>NPA</v>
      </c>
      <c r="L70" s="510" t="str">
        <f t="shared" si="141"/>
        <v>NPA</v>
      </c>
      <c r="M70" s="510" t="str">
        <f t="shared" si="141"/>
        <v>NPA</v>
      </c>
      <c r="N70" s="510" t="str">
        <f t="shared" si="141"/>
        <v>NPA</v>
      </c>
      <c r="O70" s="510" t="str">
        <f t="shared" si="141"/>
        <v>NPA</v>
      </c>
      <c r="P70" s="510" t="str">
        <f t="shared" si="141"/>
        <v>NPA</v>
      </c>
      <c r="Q70" s="510" t="str">
        <f t="shared" si="141"/>
        <v>NPA</v>
      </c>
      <c r="R70" s="510" t="str">
        <f t="shared" si="141"/>
        <v>NPA</v>
      </c>
      <c r="S70" s="510" t="str">
        <f t="shared" si="141"/>
        <v>NPA</v>
      </c>
      <c r="T70" s="510" t="str">
        <f t="shared" si="141"/>
        <v>NPA</v>
      </c>
      <c r="U70" s="510" t="str">
        <f t="shared" si="141"/>
        <v>NPA</v>
      </c>
      <c r="V70" s="510" t="str">
        <f t="shared" si="141"/>
        <v>NPA</v>
      </c>
      <c r="W70" s="510" t="str">
        <f t="shared" si="141"/>
        <v>NPA</v>
      </c>
      <c r="X70" s="510" t="str">
        <f t="shared" si="141"/>
        <v>NPA</v>
      </c>
      <c r="Y70" s="510" t="str">
        <f t="shared" si="141"/>
        <v>NPA</v>
      </c>
      <c r="Z70" s="510" t="str">
        <f t="shared" si="141"/>
        <v>NPA</v>
      </c>
      <c r="AA70" s="510" t="str">
        <f t="shared" si="141"/>
        <v>NPA</v>
      </c>
      <c r="AB70" s="510" t="str">
        <f t="shared" si="141"/>
        <v>NPA</v>
      </c>
      <c r="AC70" s="510" t="str">
        <f t="shared" si="141"/>
        <v>NPA</v>
      </c>
      <c r="AD70" s="510" t="str">
        <f t="shared" si="141"/>
        <v>NPA</v>
      </c>
      <c r="AE70" s="510" t="str">
        <f t="shared" si="141"/>
        <v>NPA</v>
      </c>
      <c r="AF70" s="510" t="str">
        <f t="shared" si="141"/>
        <v>NPA</v>
      </c>
      <c r="AG70" s="510" t="str">
        <f t="shared" si="141"/>
        <v>NPA</v>
      </c>
      <c r="AH70" s="510" t="str">
        <f t="shared" si="141"/>
        <v>NPA</v>
      </c>
      <c r="AI70" s="510" t="str">
        <f t="shared" si="141"/>
        <v>NPA</v>
      </c>
      <c r="AJ70" s="510" t="str">
        <f t="shared" si="141"/>
        <v>NPA</v>
      </c>
      <c r="AK70" s="510" t="str">
        <f t="shared" si="141"/>
        <v>NPA</v>
      </c>
      <c r="AL70" s="510" t="str">
        <f t="shared" si="141"/>
        <v>NPA</v>
      </c>
      <c r="AM70" s="510" t="str">
        <f t="shared" si="141"/>
        <v>NPA</v>
      </c>
      <c r="AN70" s="510" t="str">
        <f t="shared" si="141"/>
        <v>NPA</v>
      </c>
      <c r="AO70" s="510" t="str">
        <f t="shared" si="141"/>
        <v>NPA</v>
      </c>
      <c r="AP70" s="510" t="str">
        <f t="shared" si="141"/>
        <v>NPA</v>
      </c>
      <c r="AQ70" s="510" t="str">
        <f t="shared" si="141"/>
        <v>NPA</v>
      </c>
      <c r="AR70" s="510" t="str">
        <f t="shared" si="141"/>
        <v>NPA</v>
      </c>
      <c r="AS70" s="510" t="str">
        <f t="shared" si="141"/>
        <v>NPA</v>
      </c>
      <c r="AT70" s="510" t="str">
        <f t="shared" si="141"/>
        <v>NPA</v>
      </c>
      <c r="AU70" s="510" t="str">
        <f t="shared" si="141"/>
        <v>NPA</v>
      </c>
      <c r="AV70" s="510" t="str">
        <f t="shared" si="141"/>
        <v>NPA</v>
      </c>
      <c r="AW70" s="510" t="str">
        <f t="shared" si="141"/>
        <v>NPA</v>
      </c>
      <c r="AX70" s="510" t="str">
        <f t="shared" si="141"/>
        <v>NPA</v>
      </c>
      <c r="AY70" s="510" t="str">
        <f t="shared" si="141"/>
        <v>NPA</v>
      </c>
      <c r="AZ70" s="510" t="str">
        <f t="shared" si="141"/>
        <v>NPA</v>
      </c>
      <c r="BA70" s="510" t="str">
        <f t="shared" si="141"/>
        <v>NPA</v>
      </c>
    </row>
  </sheetData>
  <sheetProtection algorithmName="SHA-512" hashValue="0DzpKb4AO6Dp/Fc/Wgp2Lfu9lmqf2kFd0kbzx/OkInDwb4zaYUt/nXRkaBnNEnH0h0sDWDSg6FlwJOhFxSG8Nw==" saltValue="IXFsAmy+cVVmneIW6qeujw==" spinCount="100000" sheet="1" objects="1" scenarios="1" selectLockedCells="1"/>
  <conditionalFormatting sqref="B21:Z21">
    <cfRule type="containsText" dxfId="810" priority="25" stopIfTrue="1" operator="containsText" text="Imprimir">
      <formula>NOT(ISERROR(SEARCH("Imprimir",B21)))</formula>
    </cfRule>
  </conditionalFormatting>
  <conditionalFormatting sqref="B45">
    <cfRule type="containsText" dxfId="809" priority="23" operator="containsText" text="Restrição">
      <formula>NOT(ISERROR(SEARCH("Restrição",B45)))</formula>
    </cfRule>
    <cfRule type="containsText" dxfId="808" priority="24" operator="containsText" text="Não">
      <formula>NOT(ISERROR(SEARCH("Não",B45)))</formula>
    </cfRule>
  </conditionalFormatting>
  <conditionalFormatting sqref="C45:Z45 B36:Z36 B38:Z38 B40:Z40 B42:BA42 B44:BA44">
    <cfRule type="containsText" dxfId="807" priority="18" operator="containsText" text="Restrição">
      <formula>NOT(ISERROR(SEARCH("Restrição",B36)))</formula>
    </cfRule>
    <cfRule type="containsText" dxfId="806" priority="19" operator="containsText" text="Não">
      <formula>NOT(ISERROR(SEARCH("Não",B36)))</formula>
    </cfRule>
  </conditionalFormatting>
  <conditionalFormatting sqref="B62:BA62 B64:BA64 B66:BA66 B68:BA68 B70:BA70">
    <cfRule type="containsText" dxfId="805" priority="11" operator="containsText" text="Restrição">
      <formula>NOT(ISERROR(SEARCH("Restrição",B62)))</formula>
    </cfRule>
    <cfRule type="containsText" dxfId="804" priority="12" operator="containsText" text="Não">
      <formula>NOT(ISERROR(SEARCH("Não",B62)))</formula>
    </cfRule>
  </conditionalFormatting>
  <conditionalFormatting sqref="B47">
    <cfRule type="containsText" dxfId="803" priority="8" stopIfTrue="1" operator="containsText" text="Imprimir">
      <formula>NOT(ISERROR(SEARCH("Imprimir",B47)))</formula>
    </cfRule>
  </conditionalFormatting>
  <conditionalFormatting sqref="C47:Z47">
    <cfRule type="containsText" dxfId="802" priority="7" stopIfTrue="1" operator="containsText" text="Imprimir">
      <formula>NOT(ISERROR(SEARCH("Imprimir",C47)))</formula>
    </cfRule>
  </conditionalFormatting>
  <conditionalFormatting sqref="AA21:BA21">
    <cfRule type="containsText" dxfId="801" priority="6" stopIfTrue="1" operator="containsText" text="Imprimir">
      <formula>NOT(ISERROR(SEARCH("Imprimir",AA21)))</formula>
    </cfRule>
  </conditionalFormatting>
  <conditionalFormatting sqref="AA44:BA45 AA36:BA36 AA38:BA38 AA40:BA40 AA42:BA42">
    <cfRule type="containsText" dxfId="800" priority="4" operator="containsText" text="Restrição">
      <formula>NOT(ISERROR(SEARCH("Restrição",AA36)))</formula>
    </cfRule>
    <cfRule type="containsText" dxfId="799" priority="5" operator="containsText" text="Não">
      <formula>NOT(ISERROR(SEARCH("Não",AA36)))</formula>
    </cfRule>
  </conditionalFormatting>
  <conditionalFormatting sqref="AA47:BA47">
    <cfRule type="containsText" dxfId="798" priority="1" stopIfTrue="1" operator="containsText" text="Imprimir">
      <formula>NOT(ISERROR(SEARCH("Imprimir",AA47)))</formula>
    </cfRule>
  </conditionalFormatting>
  <dataValidations count="4">
    <dataValidation type="decimal" operator="greaterThanOrEqual" allowBlank="1" showInputMessage="1" showErrorMessage="1" errorTitle="Número:" error="Digite um número." sqref="B5:BA5">
      <formula1>0</formula1>
    </dataValidation>
    <dataValidation type="list" operator="greaterThanOrEqual" allowBlank="1" showInputMessage="1" showErrorMessage="1" errorTitle="Número:" error="Digite um número." sqref="BB6:XFD6">
      <formula1>"acr,je"</formula1>
    </dataValidation>
    <dataValidation operator="greaterThanOrEqual" allowBlank="1" showInputMessage="1" showErrorMessage="1" errorTitle="Número:" error="Digite um número." sqref="B20:B1048576 C21:BA70"/>
    <dataValidation type="list" operator="greaterThanOrEqual" allowBlank="1" showInputMessage="1" showErrorMessage="1" errorTitle="Número:" error="Digite acr ou je." sqref="B6:BA6">
      <formula1>"ar dentro,ar fora"</formula1>
    </dataValidation>
  </dataValidations>
  <pageMargins left="0.511811024" right="0.511811024" top="0.78740157499999996" bottom="0.78740157499999996" header="0.31496062000000002" footer="0.31496062000000002"/>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58"/>
  <sheetViews>
    <sheetView view="pageBreakPreview" zoomScale="130" zoomScaleNormal="100" zoomScaleSheetLayoutView="130" workbookViewId="0">
      <pane ySplit="1" topLeftCell="A2" activePane="bottomLeft" state="frozen"/>
      <selection activeCell="C12" sqref="C12:J13"/>
      <selection pane="bottomLeft" activeCell="C12" sqref="C12:J13"/>
    </sheetView>
  </sheetViews>
  <sheetFormatPr defaultColWidth="9.140625" defaultRowHeight="15.75" x14ac:dyDescent="0.25"/>
  <cols>
    <col min="1" max="5" width="9.140625" style="1089" customWidth="1"/>
    <col min="6" max="8" width="9.140625" style="1089"/>
    <col min="9" max="10" width="9.140625" style="1089" customWidth="1"/>
    <col min="11" max="16384" width="9.140625" style="1089"/>
  </cols>
  <sheetData>
    <row r="1" spans="1:13" ht="15" customHeight="1" x14ac:dyDescent="0.25">
      <c r="A1" s="2751" t="e">
        <f>Cabeçalho!B6</f>
        <v>#N/A</v>
      </c>
      <c r="B1" s="2751"/>
      <c r="C1" s="2751"/>
      <c r="D1" s="2751"/>
      <c r="E1" s="2751"/>
      <c r="F1" s="2751"/>
      <c r="G1" s="2788" t="str">
        <f>IF(Cabeçalho!$B$15="",CONCATENATE(Cabeçalho!$B$14,IF(Cabeçalho!$B$16&lt;&gt;0," - ",""),UPPER(Cabeçalho!$B$16)),CONCATENATE(Cabeçalho!$B$14," - ",Cabeçalho!$B$15," - ",UPPER(Cabeçalho!$B$16)))</f>
        <v/>
      </c>
      <c r="H1" s="2788"/>
      <c r="I1" s="2753">
        <f>LOOKUP('N° CT'!$A$2,'N° CT'!$B$4:$BA$4,'N° CT'!B5:BA5)</f>
        <v>0</v>
      </c>
      <c r="J1" s="2753"/>
      <c r="K1" s="1840" t="s">
        <v>648</v>
      </c>
    </row>
    <row r="2" spans="1:13" ht="15" customHeight="1" x14ac:dyDescent="0.25">
      <c r="A2" s="1867"/>
      <c r="B2" s="1867"/>
      <c r="C2" s="1867"/>
      <c r="D2" s="1867"/>
      <c r="E2" s="1867"/>
      <c r="F2" s="1867"/>
      <c r="G2" s="1867"/>
      <c r="H2" s="1867"/>
      <c r="I2" s="1867"/>
      <c r="J2" s="1867"/>
    </row>
    <row r="3" spans="1:13" ht="15" customHeight="1" x14ac:dyDescent="0.25">
      <c r="A3" s="2789" t="s">
        <v>1930</v>
      </c>
      <c r="B3" s="2789"/>
      <c r="C3" s="2789"/>
      <c r="D3" s="2789"/>
      <c r="E3" s="2789"/>
      <c r="F3" s="2789"/>
      <c r="G3" s="2789"/>
      <c r="H3" s="2789"/>
      <c r="I3" s="2789"/>
      <c r="J3" s="2789"/>
      <c r="L3" s="1895" t="s">
        <v>1972</v>
      </c>
      <c r="M3" s="1896">
        <f>'N° CT'!A2</f>
        <v>1</v>
      </c>
    </row>
    <row r="4" spans="1:13" ht="15" customHeight="1" x14ac:dyDescent="0.25">
      <c r="A4" s="1867"/>
      <c r="B4" s="1867"/>
      <c r="C4" s="1867"/>
      <c r="D4" s="1867"/>
      <c r="E4" s="1867"/>
      <c r="F4" s="1867"/>
      <c r="G4" s="1867"/>
      <c r="H4" s="1867"/>
      <c r="I4" s="1867"/>
      <c r="J4" s="1867"/>
    </row>
    <row r="5" spans="1:13" ht="15" customHeight="1" x14ac:dyDescent="0.25">
      <c r="A5" s="2791" t="s">
        <v>1931</v>
      </c>
      <c r="B5" s="2791"/>
      <c r="C5" s="2791"/>
      <c r="D5" s="2791"/>
      <c r="E5" s="2791"/>
      <c r="F5" s="2791"/>
      <c r="G5" s="2791"/>
      <c r="H5" s="2791"/>
      <c r="I5" s="2791"/>
      <c r="J5" s="2791"/>
      <c r="K5" s="1841"/>
    </row>
    <row r="6" spans="1:13" ht="15" customHeight="1" x14ac:dyDescent="0.25">
      <c r="A6" s="2791"/>
      <c r="B6" s="2791"/>
      <c r="C6" s="2791"/>
      <c r="D6" s="2791"/>
      <c r="E6" s="2791"/>
      <c r="F6" s="2791"/>
      <c r="G6" s="2791"/>
      <c r="H6" s="2791"/>
      <c r="I6" s="2791"/>
      <c r="J6" s="2791"/>
    </row>
    <row r="7" spans="1:13" ht="15" customHeight="1" x14ac:dyDescent="0.25">
      <c r="A7" s="1867"/>
      <c r="B7" s="1867"/>
      <c r="C7" s="1867"/>
      <c r="D7" s="1867"/>
      <c r="E7" s="1867"/>
      <c r="F7" s="1867"/>
      <c r="G7" s="1867"/>
      <c r="H7" s="1867"/>
      <c r="I7" s="1867"/>
      <c r="J7" s="1867"/>
    </row>
    <row r="8" spans="1:13" ht="15" customHeight="1" x14ac:dyDescent="0.25">
      <c r="A8" s="1867"/>
      <c r="B8" s="1867"/>
      <c r="C8" s="1867"/>
      <c r="D8" s="1867"/>
      <c r="E8" s="1867"/>
      <c r="F8" s="1867"/>
      <c r="G8" s="1867"/>
      <c r="H8" s="1867"/>
      <c r="I8" s="1867"/>
      <c r="J8" s="1867"/>
    </row>
    <row r="9" spans="1:13" ht="15" customHeight="1" x14ac:dyDescent="0.25">
      <c r="A9" s="1867"/>
      <c r="B9" s="1867"/>
      <c r="C9" s="2790" t="e">
        <f>Cabeçalho!B6</f>
        <v>#N/A</v>
      </c>
      <c r="D9" s="2790"/>
      <c r="E9" s="2790"/>
      <c r="F9" s="2790"/>
      <c r="G9" s="2790"/>
      <c r="H9" s="2790"/>
      <c r="I9" s="2790"/>
      <c r="J9" s="2790"/>
    </row>
    <row r="10" spans="1:13" ht="15" customHeight="1" x14ac:dyDescent="0.25">
      <c r="A10" s="1867"/>
      <c r="B10" s="1867"/>
      <c r="C10" s="2790"/>
      <c r="D10" s="2790"/>
      <c r="E10" s="2790"/>
      <c r="F10" s="2790"/>
      <c r="G10" s="2790"/>
      <c r="H10" s="2790"/>
      <c r="I10" s="2790"/>
      <c r="J10" s="2790"/>
    </row>
    <row r="11" spans="1:13" ht="15" customHeight="1" x14ac:dyDescent="0.25">
      <c r="A11" s="1867"/>
      <c r="B11" s="1868"/>
      <c r="C11" s="1868"/>
      <c r="D11" s="1868"/>
      <c r="E11" s="1868"/>
      <c r="F11" s="1868"/>
      <c r="G11" s="1868"/>
      <c r="H11" s="1867"/>
      <c r="I11" s="1867"/>
      <c r="J11" s="1867"/>
    </row>
    <row r="12" spans="1:13" ht="15" customHeight="1" x14ac:dyDescent="0.25">
      <c r="A12" s="1867"/>
      <c r="B12" s="1867"/>
      <c r="C12" s="2784" t="e">
        <f>Cabeçalho!B7</f>
        <v>#N/A</v>
      </c>
      <c r="D12" s="2784"/>
      <c r="E12" s="2784"/>
      <c r="F12" s="2784"/>
      <c r="G12" s="2784"/>
      <c r="H12" s="2784"/>
      <c r="I12" s="2784"/>
      <c r="J12" s="2784"/>
    </row>
    <row r="13" spans="1:13" ht="15" customHeight="1" x14ac:dyDescent="0.25">
      <c r="A13" s="1867"/>
      <c r="B13" s="1868"/>
      <c r="C13" s="2784"/>
      <c r="D13" s="2784"/>
      <c r="E13" s="2784"/>
      <c r="F13" s="2784"/>
      <c r="G13" s="2784"/>
      <c r="H13" s="2784"/>
      <c r="I13" s="2784"/>
      <c r="J13" s="2784"/>
    </row>
    <row r="14" spans="1:13" ht="15" customHeight="1" x14ac:dyDescent="0.25">
      <c r="A14" s="1867"/>
      <c r="B14" s="1868"/>
      <c r="C14" s="1868"/>
      <c r="D14" s="1868"/>
      <c r="E14" s="1868"/>
      <c r="F14" s="1868"/>
      <c r="G14" s="1868"/>
      <c r="H14" s="1867"/>
      <c r="I14" s="1867"/>
      <c r="J14" s="1867"/>
    </row>
    <row r="15" spans="1:13" ht="15" customHeight="1" x14ac:dyDescent="0.25">
      <c r="A15" s="1867"/>
      <c r="B15" s="1867"/>
      <c r="C15" s="1869" t="e">
        <f>Cabeçalho!B8</f>
        <v>#N/A</v>
      </c>
      <c r="D15" s="1867"/>
      <c r="E15" s="1868" t="e">
        <f>CONCATENATE(Cabeçalho!B9,", ",Cabeçalho!B10)</f>
        <v>#N/A</v>
      </c>
      <c r="F15" s="1868"/>
      <c r="G15" s="1868"/>
      <c r="H15" s="1867"/>
      <c r="I15" s="1867"/>
      <c r="J15" s="1867"/>
    </row>
    <row r="16" spans="1:13" ht="15" customHeight="1" x14ac:dyDescent="0.25">
      <c r="A16" s="1867"/>
      <c r="B16" s="1867"/>
      <c r="C16" s="1867"/>
      <c r="D16" s="1867"/>
      <c r="E16" s="1867"/>
      <c r="F16" s="1867"/>
      <c r="G16" s="1867"/>
      <c r="H16" s="1867"/>
      <c r="I16" s="1867"/>
      <c r="J16" s="1867"/>
    </row>
    <row r="17" spans="1:10" ht="30" customHeight="1" x14ac:dyDescent="0.25">
      <c r="A17" s="1867" t="s">
        <v>115</v>
      </c>
      <c r="B17" s="1867"/>
      <c r="C17" s="2785" t="e">
        <f>Cabeçalho!B4</f>
        <v>#N/A</v>
      </c>
      <c r="D17" s="2785"/>
      <c r="E17" s="2785"/>
      <c r="F17" s="2785"/>
      <c r="G17" s="2785"/>
      <c r="H17" s="2785"/>
      <c r="I17" s="2785"/>
      <c r="J17" s="2785"/>
    </row>
    <row r="18" spans="1:10" ht="15" customHeight="1" x14ac:dyDescent="0.25">
      <c r="A18" s="1867"/>
      <c r="B18" s="1867"/>
      <c r="C18" s="1869" t="e">
        <f>Cabeçalho!B5</f>
        <v>#N/A</v>
      </c>
      <c r="D18" s="1867"/>
      <c r="E18" s="1867"/>
      <c r="F18" s="1867"/>
      <c r="G18" s="1867"/>
      <c r="H18" s="1867"/>
      <c r="I18" s="1867"/>
      <c r="J18" s="1867"/>
    </row>
    <row r="19" spans="1:10" ht="15" customHeight="1" x14ac:dyDescent="0.25">
      <c r="A19" s="1867"/>
      <c r="B19" s="1867"/>
      <c r="C19" s="1868"/>
      <c r="D19" s="1867"/>
      <c r="E19" s="1867"/>
      <c r="F19" s="1867"/>
      <c r="G19" s="1867"/>
      <c r="H19" s="1867"/>
      <c r="I19" s="1867"/>
      <c r="J19" s="1867"/>
    </row>
    <row r="20" spans="1:10" ht="15" customHeight="1" x14ac:dyDescent="0.25">
      <c r="A20" s="1867"/>
      <c r="B20" s="1867"/>
      <c r="C20" s="1870"/>
      <c r="D20" s="1867"/>
      <c r="E20" s="1867"/>
      <c r="F20" s="1867"/>
      <c r="G20" s="1867"/>
      <c r="H20" s="1867"/>
      <c r="I20" s="1867"/>
      <c r="J20" s="1867"/>
    </row>
    <row r="21" spans="1:10" ht="15" customHeight="1" x14ac:dyDescent="0.25">
      <c r="A21" s="1868" t="s">
        <v>116</v>
      </c>
      <c r="B21" s="1867"/>
      <c r="C21" s="1867"/>
      <c r="D21" s="1867"/>
      <c r="E21" s="1867"/>
      <c r="F21" s="1867"/>
      <c r="G21" s="1867"/>
      <c r="H21" s="1867"/>
      <c r="I21" s="1867"/>
      <c r="J21" s="1867"/>
    </row>
    <row r="22" spans="1:10" ht="15" customHeight="1" x14ac:dyDescent="0.25">
      <c r="A22" s="2755" t="str">
        <f>"               Este relatório é parte do Programa de Garantia da Qualidade, conforme Resolução da Diretoria Colegiada - "&amp;VLOOKUP("rdc",IN_ANVISA[],2)&amp;"/"&amp;VLOOKUP("rdc",IN_ANVISA[],3)&amp;" da ANVISA e atende também ao teste de qualidade da imagem previsto na Instrução Normativa "&amp;VLOOKUP("Tomografia computadorizada",IN_ANVISA[],2)&amp;"/"&amp;VLOOKUP("Tomografia computadorizada",IN_ANVISA[],3)&amp;" da ANVISA."&amp;" Os testes de exatidão e uniformidade dos números de CT e de ruído da imagem tomográfica possuem periodicidade semanal ou após reparos. "</f>
        <v xml:space="preserve">               Este relatório é parte do Programa de Garantia da Qualidade, conforme Resolução da Diretoria Colegiada - 611/2022 da ANVISA e atende também ao teste de qualidade da imagem previsto na Instrução Normativa 93/2021 da ANVISA. Os testes de exatidão e uniformidade dos números de CT e de ruído da imagem tomográfica possuem periodicidade semanal ou após reparos. </v>
      </c>
      <c r="B22" s="2755"/>
      <c r="C22" s="2755"/>
      <c r="D22" s="2755"/>
      <c r="E22" s="2755"/>
      <c r="F22" s="2755"/>
      <c r="G22" s="2755"/>
      <c r="H22" s="2755"/>
      <c r="I22" s="2755"/>
      <c r="J22" s="2755"/>
    </row>
    <row r="23" spans="1:10" ht="15" customHeight="1" x14ac:dyDescent="0.25">
      <c r="A23" s="2755"/>
      <c r="B23" s="2755"/>
      <c r="C23" s="2755"/>
      <c r="D23" s="2755"/>
      <c r="E23" s="2755"/>
      <c r="F23" s="2755"/>
      <c r="G23" s="2755"/>
      <c r="H23" s="2755"/>
      <c r="I23" s="2755"/>
      <c r="J23" s="2755"/>
    </row>
    <row r="24" spans="1:10" ht="15" customHeight="1" x14ac:dyDescent="0.25">
      <c r="A24" s="2755"/>
      <c r="B24" s="2755"/>
      <c r="C24" s="2755"/>
      <c r="D24" s="2755"/>
      <c r="E24" s="2755"/>
      <c r="F24" s="2755"/>
      <c r="G24" s="2755"/>
      <c r="H24" s="2755"/>
      <c r="I24" s="2755"/>
      <c r="J24" s="2755"/>
    </row>
    <row r="25" spans="1:10" ht="15" customHeight="1" x14ac:dyDescent="0.25">
      <c r="A25" s="2755"/>
      <c r="B25" s="2755"/>
      <c r="C25" s="2755"/>
      <c r="D25" s="2755"/>
      <c r="E25" s="2755"/>
      <c r="F25" s="2755"/>
      <c r="G25" s="2755"/>
      <c r="H25" s="2755"/>
      <c r="I25" s="2755"/>
      <c r="J25" s="2755"/>
    </row>
    <row r="26" spans="1:10" ht="15" customHeight="1" x14ac:dyDescent="0.25">
      <c r="A26" s="2755"/>
      <c r="B26" s="2755"/>
      <c r="C26" s="2755"/>
      <c r="D26" s="2755"/>
      <c r="E26" s="2755"/>
      <c r="F26" s="2755"/>
      <c r="G26" s="2755"/>
      <c r="H26" s="2755"/>
      <c r="I26" s="2755"/>
      <c r="J26" s="2755"/>
    </row>
    <row r="27" spans="1:10" ht="15" customHeight="1" x14ac:dyDescent="0.25">
      <c r="A27" s="2755" t="str">
        <f>IntroProtocolo</f>
        <v xml:space="preserve">               A metodologia utilizada atende aos "Protocolos para Execução de Testes em Sistemas de Radiologia Diagnóstica e Intervencionista" do CONFEA.</v>
      </c>
      <c r="B27" s="2755"/>
      <c r="C27" s="2755"/>
      <c r="D27" s="2755"/>
      <c r="E27" s="2755"/>
      <c r="F27" s="2755"/>
      <c r="G27" s="2755"/>
      <c r="H27" s="2755"/>
      <c r="I27" s="2755"/>
      <c r="J27" s="2755"/>
    </row>
    <row r="28" spans="1:10" ht="15" customHeight="1" x14ac:dyDescent="0.25">
      <c r="A28" s="2755"/>
      <c r="B28" s="2755"/>
      <c r="C28" s="2755"/>
      <c r="D28" s="2755"/>
      <c r="E28" s="2755"/>
      <c r="F28" s="2755"/>
      <c r="G28" s="2755"/>
      <c r="H28" s="2755"/>
      <c r="I28" s="2755"/>
      <c r="J28" s="2755"/>
    </row>
    <row r="29" spans="1:10" ht="15" customHeight="1" x14ac:dyDescent="0.25">
      <c r="A29" s="1859"/>
      <c r="B29" s="1859"/>
      <c r="C29" s="1859"/>
      <c r="D29" s="1859"/>
      <c r="E29" s="1859"/>
      <c r="F29" s="1859"/>
      <c r="G29" s="1859"/>
      <c r="H29" s="1859"/>
      <c r="I29" s="1859"/>
      <c r="J29" s="1859"/>
    </row>
    <row r="30" spans="1:10" s="1843" customFormat="1" ht="15" customHeight="1" x14ac:dyDescent="0.25">
      <c r="A30" s="1842"/>
      <c r="B30" s="1842"/>
      <c r="C30" s="1842"/>
      <c r="D30" s="1842"/>
      <c r="E30" s="1842"/>
      <c r="F30" s="1842"/>
      <c r="G30" s="1842"/>
      <c r="H30" s="1842"/>
      <c r="I30" s="1842"/>
    </row>
    <row r="31" spans="1:10" ht="15" customHeight="1" x14ac:dyDescent="0.25">
      <c r="A31" s="1844" t="s">
        <v>728</v>
      </c>
    </row>
    <row r="32" spans="1:10" ht="15" customHeight="1" x14ac:dyDescent="0.25">
      <c r="A32" s="2767" t="str">
        <f>"               Avaliar a qualidade da imagem, verificando a adequação à IN "&amp;VLOOKUP("Tomografia computadorizada",IN_ANVISA[],2)&amp;"/"&amp;VLOOKUP("Tomografia computadorizada",IN_ANVISA[],3)&amp;" da ANVISA e ao art. 28 da RDC "&amp;VLOOKUP("rdc",IN_ANVISA[],2)&amp;"/"&amp;VLOOKUP("rdc",IN_ANVISA[],3)&amp;" da ANVISA."</f>
        <v xml:space="preserve">               Avaliar a qualidade da imagem, verificando a adequação à IN 93/2021 da ANVISA e ao art. 28 da RDC 611/2022 da ANVISA.</v>
      </c>
      <c r="B32" s="2767"/>
      <c r="C32" s="2767"/>
      <c r="D32" s="2767"/>
      <c r="E32" s="2767"/>
      <c r="F32" s="2767"/>
      <c r="G32" s="2767"/>
      <c r="H32" s="2767"/>
      <c r="I32" s="2767"/>
      <c r="J32" s="2767"/>
    </row>
    <row r="33" spans="1:10" ht="15" customHeight="1" x14ac:dyDescent="0.25">
      <c r="A33" s="2767"/>
      <c r="B33" s="2767"/>
      <c r="C33" s="2767"/>
      <c r="D33" s="2767"/>
      <c r="E33" s="2767"/>
      <c r="F33" s="2767"/>
      <c r="G33" s="2767"/>
      <c r="H33" s="2767"/>
      <c r="I33" s="2767"/>
      <c r="J33" s="2767"/>
    </row>
    <row r="34" spans="1:10" ht="15" customHeight="1" x14ac:dyDescent="0.25">
      <c r="A34" s="2767" t="s">
        <v>2000</v>
      </c>
      <c r="B34" s="2767"/>
      <c r="C34" s="2767"/>
      <c r="D34" s="2767"/>
      <c r="E34" s="2767"/>
      <c r="F34" s="2767"/>
      <c r="G34" s="2767"/>
      <c r="H34" s="2767"/>
      <c r="I34" s="2767"/>
      <c r="J34" s="2767"/>
    </row>
    <row r="35" spans="1:10" ht="15" customHeight="1" x14ac:dyDescent="0.25">
      <c r="A35" s="2767"/>
      <c r="B35" s="2767"/>
      <c r="C35" s="2767"/>
      <c r="D35" s="2767"/>
      <c r="E35" s="2767"/>
      <c r="F35" s="2767"/>
      <c r="G35" s="2767"/>
      <c r="H35" s="2767"/>
      <c r="I35" s="2767"/>
      <c r="J35" s="2767"/>
    </row>
    <row r="36" spans="1:10" ht="15" customHeight="1" x14ac:dyDescent="0.25">
      <c r="A36" s="2767" t="s">
        <v>1941</v>
      </c>
      <c r="B36" s="2767"/>
      <c r="C36" s="2767"/>
      <c r="D36" s="2767"/>
      <c r="E36" s="2767"/>
      <c r="F36" s="2767"/>
      <c r="G36" s="2767"/>
      <c r="H36" s="2767"/>
      <c r="I36" s="2767"/>
      <c r="J36" s="2767"/>
    </row>
    <row r="37" spans="1:10" ht="15" customHeight="1" x14ac:dyDescent="0.25">
      <c r="A37" s="2767"/>
      <c r="B37" s="2767"/>
      <c r="C37" s="2767"/>
      <c r="D37" s="2767"/>
      <c r="E37" s="2767"/>
      <c r="F37" s="2767"/>
      <c r="G37" s="2767"/>
      <c r="H37" s="2767"/>
      <c r="I37" s="2767"/>
      <c r="J37" s="2767"/>
    </row>
    <row r="38" spans="1:10" ht="15" customHeight="1" x14ac:dyDescent="0.25">
      <c r="A38" s="2767"/>
      <c r="B38" s="2767"/>
      <c r="C38" s="2767"/>
      <c r="D38" s="2767"/>
      <c r="E38" s="2767"/>
      <c r="F38" s="2767"/>
      <c r="G38" s="2767"/>
      <c r="H38" s="2767"/>
      <c r="I38" s="2767"/>
      <c r="J38" s="2767"/>
    </row>
    <row r="39" spans="1:10" ht="15" customHeight="1" x14ac:dyDescent="0.25">
      <c r="A39" s="1864"/>
      <c r="B39" s="1864"/>
      <c r="C39" s="1864"/>
      <c r="D39" s="1864"/>
      <c r="E39" s="1864"/>
      <c r="F39" s="1864"/>
      <c r="G39" s="1864"/>
      <c r="H39" s="1864"/>
      <c r="I39" s="1864"/>
      <c r="J39" s="1864"/>
    </row>
    <row r="40" spans="1:10" ht="15" customHeight="1" x14ac:dyDescent="0.25"/>
    <row r="41" spans="1:10" ht="15" customHeight="1" x14ac:dyDescent="0.25">
      <c r="A41" s="1868" t="s">
        <v>118</v>
      </c>
      <c r="B41" s="1867"/>
      <c r="C41" s="1867"/>
      <c r="D41" s="1867"/>
      <c r="E41" s="1867"/>
      <c r="F41" s="1867"/>
      <c r="G41" s="1867"/>
      <c r="H41" s="1867"/>
      <c r="I41" s="1867"/>
      <c r="J41" s="1867"/>
    </row>
    <row r="42" spans="1:10" ht="15" customHeight="1" x14ac:dyDescent="0.25">
      <c r="A42" s="1868"/>
      <c r="B42" s="1867"/>
      <c r="C42" s="1867"/>
      <c r="D42" s="1867"/>
      <c r="E42" s="1867"/>
      <c r="F42" s="1867"/>
      <c r="G42" s="1867"/>
      <c r="H42" s="1867"/>
      <c r="I42" s="1867"/>
      <c r="J42" s="1867"/>
    </row>
    <row r="43" spans="1:10" ht="15" customHeight="1" x14ac:dyDescent="0.25">
      <c r="A43" s="2786" t="s">
        <v>124</v>
      </c>
      <c r="B43" s="2786"/>
      <c r="C43" s="2786"/>
      <c r="D43" s="2786"/>
      <c r="E43" s="2787" t="s">
        <v>174</v>
      </c>
      <c r="F43" s="2787"/>
      <c r="G43" s="2787"/>
      <c r="H43" s="2787"/>
      <c r="I43" s="2787"/>
      <c r="J43" s="2787"/>
    </row>
    <row r="44" spans="1:10" ht="15" customHeight="1" x14ac:dyDescent="0.25">
      <c r="A44" s="2781" t="s">
        <v>119</v>
      </c>
      <c r="B44" s="2781"/>
      <c r="C44" s="2781"/>
      <c r="D44" s="2781" t="s">
        <v>120</v>
      </c>
      <c r="E44" s="2781"/>
      <c r="F44" s="2781"/>
      <c r="G44" s="2781" t="s">
        <v>121</v>
      </c>
      <c r="H44" s="2781"/>
      <c r="I44" s="2781" t="s">
        <v>475</v>
      </c>
      <c r="J44" s="2781"/>
    </row>
    <row r="45" spans="1:10" ht="15" customHeight="1" x14ac:dyDescent="0.25">
      <c r="A45" s="2782" t="str">
        <f>IF(Cabeçalho!G3="","*",Cabeçalho!G3)</f>
        <v>*</v>
      </c>
      <c r="B45" s="2782"/>
      <c r="C45" s="2782"/>
      <c r="D45" s="2783" t="str">
        <f>IF(Cabeçalho!G4="","*",Cabeçalho!G4)</f>
        <v>*</v>
      </c>
      <c r="E45" s="2783"/>
      <c r="F45" s="2783"/>
      <c r="G45" s="2783" t="str">
        <f>IF(Cabeçalho!G5="","*",Cabeçalho!G5)</f>
        <v>*</v>
      </c>
      <c r="H45" s="2783"/>
      <c r="I45" s="2783" t="str">
        <f>IF(Cabeçalho!G6="","*",Cabeçalho!G6)</f>
        <v>*</v>
      </c>
      <c r="J45" s="2783"/>
    </row>
    <row r="46" spans="1:10" ht="15" customHeight="1" x14ac:dyDescent="0.25">
      <c r="A46" s="2782"/>
      <c r="B46" s="2782"/>
      <c r="C46" s="2782"/>
      <c r="D46" s="2783"/>
      <c r="E46" s="2783"/>
      <c r="F46" s="2783"/>
      <c r="G46" s="2783"/>
      <c r="H46" s="2783"/>
      <c r="I46" s="2783"/>
      <c r="J46" s="2783"/>
    </row>
    <row r="47" spans="1:10" ht="15" customHeight="1" x14ac:dyDescent="0.25">
      <c r="A47" s="1871" t="s">
        <v>835</v>
      </c>
      <c r="B47" s="1845"/>
      <c r="C47" s="1845"/>
      <c r="D47" s="1846"/>
      <c r="E47" s="1846"/>
      <c r="F47" s="1846"/>
      <c r="G47" s="1846"/>
      <c r="H47" s="1846"/>
    </row>
    <row r="48" spans="1:10" ht="15" customHeight="1" x14ac:dyDescent="0.25">
      <c r="A48" s="1871"/>
      <c r="B48" s="1845"/>
      <c r="C48" s="1845"/>
      <c r="D48" s="1846"/>
      <c r="E48" s="1846"/>
      <c r="F48" s="1846"/>
      <c r="G48" s="1846"/>
      <c r="H48" s="1846"/>
    </row>
    <row r="49" spans="1:18" ht="15" customHeight="1" x14ac:dyDescent="0.25">
      <c r="A49" s="1871"/>
      <c r="B49" s="1845"/>
      <c r="C49" s="1845"/>
      <c r="D49" s="1846"/>
      <c r="E49" s="1846"/>
      <c r="F49" s="1846"/>
      <c r="G49" s="1846"/>
      <c r="H49" s="1846"/>
    </row>
    <row r="50" spans="1:18" ht="15" customHeight="1" x14ac:dyDescent="0.25">
      <c r="A50" s="2751" t="e">
        <f>A1</f>
        <v>#N/A</v>
      </c>
      <c r="B50" s="2751"/>
      <c r="C50" s="2751"/>
      <c r="D50" s="2751"/>
      <c r="E50" s="2751"/>
      <c r="F50" s="2751"/>
      <c r="G50" s="2752" t="str">
        <f>G1</f>
        <v/>
      </c>
      <c r="H50" s="2752"/>
      <c r="I50" s="2753">
        <f>I1</f>
        <v>0</v>
      </c>
      <c r="J50" s="2753"/>
      <c r="L50" s="1847"/>
      <c r="M50" s="1847"/>
      <c r="N50" s="1847"/>
      <c r="O50" s="1847"/>
      <c r="P50" s="1847"/>
      <c r="Q50" s="1847"/>
      <c r="R50" s="1847"/>
    </row>
    <row r="51" spans="1:18" ht="15" customHeight="1" x14ac:dyDescent="0.25">
      <c r="A51" s="1872"/>
      <c r="B51" s="1872"/>
      <c r="C51" s="1872"/>
      <c r="D51" s="1872"/>
      <c r="E51" s="1873"/>
      <c r="F51" s="1873"/>
      <c r="G51" s="1873"/>
      <c r="H51" s="1873"/>
      <c r="I51" s="1874"/>
      <c r="J51" s="1875"/>
      <c r="L51" s="1847"/>
      <c r="M51" s="1847"/>
      <c r="N51" s="1847"/>
      <c r="O51" s="1847"/>
      <c r="P51" s="1847"/>
      <c r="Q51" s="1847"/>
      <c r="R51" s="1847"/>
    </row>
    <row r="52" spans="1:18" ht="15" customHeight="1" x14ac:dyDescent="0.25">
      <c r="A52" s="1844" t="s">
        <v>729</v>
      </c>
      <c r="L52" s="1847"/>
      <c r="M52" s="1847"/>
      <c r="N52" s="1847"/>
      <c r="O52" s="1847"/>
      <c r="P52" s="1847"/>
      <c r="Q52" s="1847"/>
      <c r="R52" s="1847"/>
    </row>
    <row r="53" spans="1:18" ht="15" customHeight="1" x14ac:dyDescent="0.25">
      <c r="A53" s="2767" t="str">
        <f>"               Avaliou-se a qualidade da imagem com o uso de ferramenta teste específica do contratante: um simulador radiográfico para tomógrafos (fantoma de calibração)."&amp;" A partir do fantoma, são produzidas as imagens e as regiões de interesse a serem avaliadas.
               A IN "&amp;VLOOKUP("Tomografia computadorizada",IN_ANVISA[],2)&amp;"/"&amp;VLOOKUP("Tomografia computadorizada",IN_ANVISA[],3)&amp;" da ANVISA"&amp;", que estabelece que todo equipamento de tomografia computadorizada deve possuir meios para ajustar os números de CT, de modo que os dados de calibração no fantoma com água ou material equivalente produzam números iguais a 0 (zero)."</f>
        <v xml:space="preserve">               Avaliou-se a qualidade da imagem com o uso de ferramenta teste específica do contratante: um simulador radiográfico para tomógrafos (fantoma de calibração). A partir do fantoma, são produzidas as imagens e as regiões de interesse a serem avaliadas.
               A IN 93/2021 da ANVISA, que estabelece que todo equipamento de tomografia computadorizada deve possuir meios para ajustar os números de CT, de modo que os dados de calibração no fantoma com água ou material equivalente produzam números iguais a 0 (zero).</v>
      </c>
      <c r="B53" s="2767"/>
      <c r="C53" s="2767"/>
      <c r="D53" s="2767"/>
      <c r="E53" s="2767"/>
      <c r="F53" s="2767"/>
      <c r="G53" s="2767"/>
      <c r="H53" s="2767"/>
      <c r="I53" s="2767"/>
      <c r="J53" s="2767"/>
      <c r="L53" s="1847"/>
      <c r="M53" s="1847"/>
      <c r="N53" s="1847"/>
      <c r="O53" s="1847"/>
      <c r="P53" s="1847"/>
      <c r="Q53" s="1847"/>
      <c r="R53" s="1847"/>
    </row>
    <row r="54" spans="1:18" ht="15" customHeight="1" x14ac:dyDescent="0.25">
      <c r="A54" s="2767"/>
      <c r="B54" s="2767"/>
      <c r="C54" s="2767"/>
      <c r="D54" s="2767"/>
      <c r="E54" s="2767"/>
      <c r="F54" s="2767"/>
      <c r="G54" s="2767"/>
      <c r="H54" s="2767"/>
      <c r="I54" s="2767"/>
      <c r="J54" s="2767"/>
    </row>
    <row r="55" spans="1:18" ht="15" customHeight="1" x14ac:dyDescent="0.25">
      <c r="A55" s="2767"/>
      <c r="B55" s="2767"/>
      <c r="C55" s="2767"/>
      <c r="D55" s="2767"/>
      <c r="E55" s="2767"/>
      <c r="F55" s="2767"/>
      <c r="G55" s="2767"/>
      <c r="H55" s="2767"/>
      <c r="I55" s="2767"/>
      <c r="J55" s="2767"/>
    </row>
    <row r="56" spans="1:18" ht="15" customHeight="1" x14ac:dyDescent="0.25">
      <c r="A56" s="2767"/>
      <c r="B56" s="2767"/>
      <c r="C56" s="2767"/>
      <c r="D56" s="2767"/>
      <c r="E56" s="2767"/>
      <c r="F56" s="2767"/>
      <c r="G56" s="2767"/>
      <c r="H56" s="2767"/>
      <c r="I56" s="2767"/>
      <c r="J56" s="2767"/>
    </row>
    <row r="57" spans="1:18" ht="15" customHeight="1" x14ac:dyDescent="0.25">
      <c r="A57" s="2767"/>
      <c r="B57" s="2767"/>
      <c r="C57" s="2767"/>
      <c r="D57" s="2767"/>
      <c r="E57" s="2767"/>
      <c r="F57" s="2767"/>
      <c r="G57" s="2767"/>
      <c r="H57" s="2767"/>
      <c r="I57" s="2767"/>
      <c r="J57" s="2767"/>
    </row>
    <row r="58" spans="1:18" ht="15" customHeight="1" x14ac:dyDescent="0.25">
      <c r="A58" s="2767"/>
      <c r="B58" s="2767"/>
      <c r="C58" s="2767"/>
      <c r="D58" s="2767"/>
      <c r="E58" s="2767"/>
      <c r="F58" s="2767"/>
      <c r="G58" s="2767"/>
      <c r="H58" s="2767"/>
      <c r="I58" s="2767"/>
      <c r="J58" s="2767"/>
    </row>
    <row r="59" spans="1:18" ht="15" customHeight="1" x14ac:dyDescent="0.25">
      <c r="A59" s="2767"/>
      <c r="B59" s="2767"/>
      <c r="C59" s="2767"/>
      <c r="D59" s="2767"/>
      <c r="E59" s="2767"/>
      <c r="F59" s="2767"/>
      <c r="G59" s="2767"/>
      <c r="H59" s="2767"/>
      <c r="I59" s="2767"/>
      <c r="J59" s="2767"/>
    </row>
    <row r="60" spans="1:18" ht="15" customHeight="1" x14ac:dyDescent="0.25">
      <c r="A60" s="2754" t="str">
        <f>"               Na avaliação das imagens são seguidos os critérios da IN "&amp;VLOOKUP("Tomografia computadorizada",IN_ANVISA[],2)&amp;"/"&amp;VLOOKUP("Tomografia computadorizada",IN_ANVISA[],3)&amp;" da ANVISA, cujos níveis de tolerância e restrição estão transcritos na tabela abaixo, em unidades Hounsfield (HU)."</f>
        <v xml:space="preserve">               Na avaliação das imagens são seguidos os critérios da IN 93/2021 da ANVISA, cujos níveis de tolerância e restrição estão transcritos na tabela abaixo, em unidades Hounsfield (HU).</v>
      </c>
      <c r="B60" s="2754"/>
      <c r="C60" s="2754"/>
      <c r="D60" s="2754"/>
      <c r="E60" s="2754"/>
      <c r="F60" s="2754"/>
      <c r="G60" s="2754"/>
      <c r="H60" s="2754"/>
      <c r="I60" s="2754"/>
      <c r="J60" s="2754"/>
    </row>
    <row r="61" spans="1:18" ht="15" customHeight="1" x14ac:dyDescent="0.25">
      <c r="A61" s="2754"/>
      <c r="B61" s="2754"/>
      <c r="C61" s="2754"/>
      <c r="D61" s="2754"/>
      <c r="E61" s="2754"/>
      <c r="F61" s="2754"/>
      <c r="G61" s="2754"/>
      <c r="H61" s="2754"/>
      <c r="I61" s="2754"/>
      <c r="J61" s="2754"/>
    </row>
    <row r="62" spans="1:18" ht="15" customHeight="1" x14ac:dyDescent="0.25">
      <c r="A62" s="1858"/>
      <c r="B62" s="1858"/>
      <c r="C62" s="1858"/>
      <c r="D62" s="1858"/>
      <c r="E62" s="1858"/>
      <c r="F62" s="1858"/>
      <c r="G62" s="1858"/>
      <c r="H62" s="1858"/>
      <c r="I62" s="1858"/>
      <c r="J62" s="1858"/>
    </row>
    <row r="63" spans="1:18" ht="15" customHeight="1" x14ac:dyDescent="0.25">
      <c r="A63" s="1858"/>
      <c r="B63" s="2757" t="s">
        <v>146</v>
      </c>
      <c r="C63" s="2757"/>
      <c r="D63" s="2757" t="s">
        <v>1933</v>
      </c>
      <c r="E63" s="2757"/>
      <c r="F63" s="2757"/>
      <c r="G63" s="2757" t="s">
        <v>1934</v>
      </c>
      <c r="H63" s="2757"/>
      <c r="I63" s="2757"/>
      <c r="J63" s="1858"/>
    </row>
    <row r="64" spans="1:18" ht="15" customHeight="1" x14ac:dyDescent="0.25">
      <c r="A64" s="1858"/>
      <c r="B64" s="2756" t="s">
        <v>1953</v>
      </c>
      <c r="C64" s="2756"/>
      <c r="D64" s="2758" t="str">
        <f>"-1000 ± "&amp;LOOKUP('N° CT'!$A$2,'N° CT'!$B$4:$BA$4,'N° CT'!B16:BA16)&amp;" (ar); e
0 ± "&amp;LOOKUP('N° CT'!$A$2,'N° CT'!$B$4:$BA$4,'N° CT'!B15:BA15)&amp;" (água)"</f>
        <v>-1000 ± 10 (ar); e
0 ± 5 (água)</v>
      </c>
      <c r="E64" s="2756"/>
      <c r="F64" s="2756"/>
      <c r="G64" s="2759" t="str">
        <f>"&gt; "&amp;LOOKUP('N° CT'!$A$2,'N° CT'!$B$4:$BA$4,'N° CT'!B18:BA18)-1000&amp;" ou &lt; "&amp;-1000-LOOKUP('N° CT'!$A$2,'N° CT'!$B$4:$BA$4,'N° CT'!B18:BA18)&amp;" (ar); e
&gt; "&amp;LOOKUP('N° CT'!$A$2,'N° CT'!$B$4:$BA$4,'N° CT'!B17:BA17)&amp;" ou &lt; "&amp;-LOOKUP('N° CT'!$A$2,'N° CT'!$B$4:$BA$4,'N° CT'!B17:BA17)&amp;" (água)"</f>
        <v>&gt; -980 ou &lt; -1020 (ar); e
&gt; 10 ou &lt; -10 (água)</v>
      </c>
      <c r="H64" s="2756"/>
      <c r="I64" s="2756"/>
      <c r="J64" s="1858"/>
    </row>
    <row r="65" spans="1:10" ht="15" customHeight="1" x14ac:dyDescent="0.25">
      <c r="A65" s="1858"/>
      <c r="B65" s="2756"/>
      <c r="C65" s="2756"/>
      <c r="D65" s="2756"/>
      <c r="E65" s="2756"/>
      <c r="F65" s="2756"/>
      <c r="G65" s="2756"/>
      <c r="H65" s="2756"/>
      <c r="I65" s="2756"/>
      <c r="J65" s="1858"/>
    </row>
    <row r="66" spans="1:10" ht="15" customHeight="1" x14ac:dyDescent="0.25">
      <c r="A66" s="1858"/>
      <c r="B66" s="2756" t="s">
        <v>1935</v>
      </c>
      <c r="C66" s="2756"/>
      <c r="D66" s="2759" t="s">
        <v>1947</v>
      </c>
      <c r="E66" s="2760"/>
      <c r="F66" s="2761"/>
      <c r="G66" s="2759" t="s">
        <v>1938</v>
      </c>
      <c r="H66" s="2756"/>
      <c r="I66" s="2756"/>
      <c r="J66" s="1858"/>
    </row>
    <row r="67" spans="1:10" ht="15" customHeight="1" x14ac:dyDescent="0.25">
      <c r="A67" s="1858"/>
      <c r="B67" s="2756"/>
      <c r="C67" s="2756"/>
      <c r="D67" s="2762"/>
      <c r="E67" s="2763"/>
      <c r="F67" s="2764"/>
      <c r="G67" s="2756"/>
      <c r="H67" s="2756"/>
      <c r="I67" s="2756"/>
      <c r="J67" s="1858"/>
    </row>
    <row r="68" spans="1:10" ht="15" customHeight="1" x14ac:dyDescent="0.25">
      <c r="A68" s="1858"/>
      <c r="B68" s="2756" t="s">
        <v>1936</v>
      </c>
      <c r="C68" s="2756"/>
      <c r="D68" s="2765" t="s">
        <v>1939</v>
      </c>
      <c r="E68" s="2756"/>
      <c r="F68" s="2756"/>
      <c r="G68" s="2765" t="s">
        <v>1940</v>
      </c>
      <c r="H68" s="2756"/>
      <c r="I68" s="2756"/>
      <c r="J68" s="1858"/>
    </row>
    <row r="69" spans="1:10" ht="15" customHeight="1" x14ac:dyDescent="0.25">
      <c r="A69" s="1858"/>
      <c r="B69" s="2756"/>
      <c r="C69" s="2756"/>
      <c r="D69" s="2756"/>
      <c r="E69" s="2756"/>
      <c r="F69" s="2756"/>
      <c r="G69" s="2756"/>
      <c r="H69" s="2756"/>
      <c r="I69" s="2756"/>
      <c r="J69" s="1858"/>
    </row>
    <row r="70" spans="1:10" ht="15" customHeight="1" x14ac:dyDescent="0.25">
      <c r="A70" s="1858"/>
      <c r="B70" s="2796" t="str">
        <f>"* O fabricante pode estabelecer valores de exatidão diferentes da IN "&amp;VLOOKUP("Tomografia computadorizada",IN_ANVISA[],2)&amp;"/"&amp;VLOOKUP("Tomografia computadorizada",IN_ANVISA[],3)</f>
        <v>* O fabricante pode estabelecer valores de exatidão diferentes da IN 93/2021</v>
      </c>
      <c r="C70" s="2796"/>
      <c r="D70" s="2796"/>
      <c r="E70" s="2796"/>
      <c r="F70" s="2796"/>
      <c r="G70" s="2796"/>
      <c r="H70" s="2796"/>
      <c r="I70" s="2796"/>
      <c r="J70" s="1858"/>
    </row>
    <row r="71" spans="1:10" ht="15" customHeight="1" x14ac:dyDescent="0.25">
      <c r="A71" s="1848"/>
      <c r="B71" s="1848"/>
      <c r="C71" s="1848"/>
      <c r="D71" s="1848"/>
      <c r="E71" s="1848"/>
      <c r="F71" s="1848"/>
      <c r="G71" s="1848"/>
      <c r="H71" s="1848"/>
      <c r="I71" s="1848"/>
      <c r="J71" s="1848"/>
    </row>
    <row r="72" spans="1:10" ht="15" customHeight="1" x14ac:dyDescent="0.25">
      <c r="A72" s="1849" t="s">
        <v>1943</v>
      </c>
      <c r="B72" s="1848"/>
      <c r="C72" s="1848"/>
      <c r="D72" s="1848"/>
      <c r="E72" s="1848"/>
      <c r="F72" s="1848"/>
      <c r="G72" s="1848"/>
      <c r="H72" s="1848"/>
      <c r="I72" s="1848"/>
      <c r="J72" s="1848"/>
    </row>
    <row r="73" spans="1:10" ht="15" customHeight="1" x14ac:dyDescent="0.25">
      <c r="A73" s="1848"/>
      <c r="B73" s="1848"/>
      <c r="C73" s="1848"/>
      <c r="D73" s="1848"/>
      <c r="E73" s="1848"/>
      <c r="F73" s="1848"/>
      <c r="G73" s="1848"/>
      <c r="H73" s="1848"/>
      <c r="I73" s="1848"/>
      <c r="J73" s="1848"/>
    </row>
    <row r="74" spans="1:10" ht="15" customHeight="1" x14ac:dyDescent="0.25">
      <c r="A74" s="2792" t="s">
        <v>146</v>
      </c>
      <c r="B74" s="2792"/>
      <c r="C74" s="1861" t="s">
        <v>1942</v>
      </c>
      <c r="D74" s="2792" t="s">
        <v>1950</v>
      </c>
      <c r="E74" s="2792"/>
      <c r="F74" s="2792"/>
      <c r="G74" s="2792" t="s">
        <v>1948</v>
      </c>
      <c r="H74" s="2792"/>
      <c r="I74" s="2792" t="s">
        <v>1949</v>
      </c>
      <c r="J74" s="2792"/>
    </row>
    <row r="75" spans="1:10" ht="15" customHeight="1" x14ac:dyDescent="0.25">
      <c r="A75" s="2793" t="s">
        <v>2310</v>
      </c>
      <c r="B75" s="2793"/>
      <c r="C75" s="1862" t="s">
        <v>783</v>
      </c>
      <c r="D75" s="2756" t="str">
        <f>LOOKUP('N° CT'!$A$2,'N° CT'!$B$4:$BA$4,'N° CT'!B10:BA10)</f>
        <v>NI</v>
      </c>
      <c r="E75" s="2756"/>
      <c r="F75" s="2756"/>
      <c r="G75" s="2795" t="str">
        <f>IF(D75="NI","NA","≤ "&amp;D75*1.15)</f>
        <v>NA</v>
      </c>
      <c r="H75" s="2795"/>
      <c r="I75" s="2795" t="str">
        <f>IF(D75="NI","NA","&gt; "&amp;D75*1.2)</f>
        <v>NA</v>
      </c>
      <c r="J75" s="2795"/>
    </row>
    <row r="76" spans="1:10" ht="15" customHeight="1" x14ac:dyDescent="0.25">
      <c r="A76" s="2793"/>
      <c r="B76" s="2793"/>
      <c r="C76" s="1860" t="s">
        <v>1261</v>
      </c>
      <c r="D76" s="2756" t="str">
        <f>LOOKUP('N° CT'!$A$2,'N° CT'!$B$4:$BA$4,'N° CT'!B11:BA11)</f>
        <v>NI</v>
      </c>
      <c r="E76" s="2756"/>
      <c r="F76" s="2756"/>
      <c r="G76" s="2795" t="str">
        <f>IF(D76="NI","NA","≤ "&amp;D76*1.15)</f>
        <v>NA</v>
      </c>
      <c r="H76" s="2795"/>
      <c r="I76" s="2795" t="str">
        <f>IF(D76="NI","NA","&gt; "&amp;D76*1.2)</f>
        <v>NA</v>
      </c>
      <c r="J76" s="2795"/>
    </row>
    <row r="77" spans="1:10" ht="15" customHeight="1" x14ac:dyDescent="0.25">
      <c r="A77" s="2793" t="s">
        <v>2311</v>
      </c>
      <c r="B77" s="2793"/>
      <c r="C77" s="2037" t="s">
        <v>783</v>
      </c>
      <c r="D77" s="2756" t="str">
        <f>LOOKUP('N° CT'!$A$2,'N° CT'!$B$4:$BA$4,'N° CT'!B12:BA12)</f>
        <v>NI</v>
      </c>
      <c r="E77" s="2756"/>
      <c r="F77" s="2756"/>
      <c r="G77" s="2795" t="str">
        <f>IF(D77="NI","NA","≤ "&amp;D77*1.15)</f>
        <v>NA</v>
      </c>
      <c r="H77" s="2795"/>
      <c r="I77" s="2795" t="str">
        <f>IF(D77="NI","NA","&gt; "&amp;D77*1.2)</f>
        <v>NA</v>
      </c>
      <c r="J77" s="2795"/>
    </row>
    <row r="78" spans="1:10" ht="15" customHeight="1" x14ac:dyDescent="0.25">
      <c r="A78" s="2793"/>
      <c r="B78" s="2793"/>
      <c r="C78" s="2036" t="s">
        <v>1261</v>
      </c>
      <c r="D78" s="2756" t="str">
        <f>LOOKUP('N° CT'!$A$2,'N° CT'!$B$4:$BA$4,'N° CT'!B13:BA13)</f>
        <v>NI</v>
      </c>
      <c r="E78" s="2756"/>
      <c r="F78" s="2756"/>
      <c r="G78" s="2795" t="str">
        <f>IF(D78="NI","NA","≤ "&amp;D78*1.15)</f>
        <v>NA</v>
      </c>
      <c r="H78" s="2795"/>
      <c r="I78" s="2795" t="str">
        <f>IF(D78="NI","NA","&gt; "&amp;D78*1.2)</f>
        <v>NA</v>
      </c>
      <c r="J78" s="2795"/>
    </row>
    <row r="79" spans="1:10" ht="15" customHeight="1" x14ac:dyDescent="0.25">
      <c r="A79" s="2794" t="s">
        <v>1951</v>
      </c>
      <c r="B79" s="2794"/>
      <c r="C79" s="2794"/>
      <c r="D79" s="2794"/>
      <c r="E79" s="2794"/>
      <c r="F79" s="2794"/>
      <c r="G79" s="2794"/>
      <c r="H79" s="2794"/>
      <c r="I79" s="2794"/>
      <c r="J79" s="2794"/>
    </row>
    <row r="80" spans="1:10" ht="15" customHeight="1" x14ac:dyDescent="0.25">
      <c r="A80" s="1848"/>
      <c r="B80" s="1857"/>
      <c r="C80" s="1857"/>
      <c r="D80" s="1848"/>
      <c r="E80" s="1848"/>
      <c r="F80" s="1848"/>
      <c r="G80" s="1848"/>
      <c r="H80" s="1848"/>
      <c r="I80" s="1848"/>
      <c r="J80" s="1848"/>
    </row>
    <row r="81" spans="1:11" ht="15" customHeight="1" x14ac:dyDescent="0.25">
      <c r="A81" s="1848"/>
      <c r="B81" s="1848"/>
      <c r="C81" s="1848"/>
      <c r="D81" s="1848"/>
      <c r="E81" s="1848"/>
      <c r="F81" s="1848"/>
      <c r="G81" s="1848"/>
      <c r="H81" s="1848"/>
      <c r="I81" s="1848"/>
      <c r="J81" s="1848"/>
    </row>
    <row r="82" spans="1:11" ht="15" customHeight="1" x14ac:dyDescent="0.25">
      <c r="A82" s="1849" t="s">
        <v>730</v>
      </c>
      <c r="B82" s="1847"/>
      <c r="C82" s="1847"/>
      <c r="J82" s="1847"/>
    </row>
    <row r="83" spans="1:11" ht="15" customHeight="1" x14ac:dyDescent="0.25">
      <c r="C83" s="1850"/>
      <c r="D83" s="1850"/>
      <c r="E83" s="1850"/>
      <c r="G83" s="1847"/>
      <c r="J83" s="1847"/>
    </row>
    <row r="84" spans="1:11" ht="15" customHeight="1" x14ac:dyDescent="0.25">
      <c r="A84" s="2769" t="s">
        <v>1997</v>
      </c>
      <c r="B84" s="2770"/>
      <c r="C84" s="2771"/>
      <c r="D84" s="2772" t="s">
        <v>1946</v>
      </c>
      <c r="E84" s="2773"/>
      <c r="F84" s="1899" t="str">
        <f>"IN "&amp;VLOOKUP("Tomografia computadorizada",IN_ANVISA[],2)</f>
        <v>IN 93</v>
      </c>
      <c r="G84" s="1847"/>
      <c r="J84" s="1847"/>
      <c r="K84" s="1089" t="str">
        <f>IF(LOOKUP('N° CT'!$A$2,'N° CT'!$B$4:$Z$4,'N° CT'!B21:Z21)&lt;&gt;"","","x")</f>
        <v>x</v>
      </c>
    </row>
    <row r="85" spans="1:11" ht="15" customHeight="1" x14ac:dyDescent="0.25">
      <c r="A85" s="2774" t="s">
        <v>1945</v>
      </c>
      <c r="B85" s="2775"/>
      <c r="C85" s="2776"/>
      <c r="D85" s="2777" t="str">
        <f>LOOKUP('N° CT'!$A$2,'N° CT'!$B$4:$BA$4,'N° CT'!B35:BA35)</f>
        <v>NPA</v>
      </c>
      <c r="E85" s="2778"/>
      <c r="F85" s="1851" t="str">
        <f>LOOKUP('N° CT'!$A$2,'N° CT'!$B$4:$BA$4,'N° CT'!B36:BA36)</f>
        <v>NPA</v>
      </c>
      <c r="J85" s="1847"/>
      <c r="K85" s="1089" t="str">
        <f>K84</f>
        <v>x</v>
      </c>
    </row>
    <row r="86" spans="1:11" s="1844" customFormat="1" ht="15" customHeight="1" x14ac:dyDescent="0.25">
      <c r="A86" s="2774" t="s">
        <v>1944</v>
      </c>
      <c r="B86" s="2775"/>
      <c r="C86" s="2776"/>
      <c r="D86" s="2777" t="str">
        <f>LOOKUP('N° CT'!$A$2,'N° CT'!$B$4:$BA$4,'N° CT'!B37:BA37)</f>
        <v>NPA</v>
      </c>
      <c r="E86" s="2778"/>
      <c r="F86" s="1851" t="str">
        <f>LOOKUP('N° CT'!$A$2,'N° CT'!$B$4:$BA$4,'N° CT'!B38:BA38)</f>
        <v>NPA</v>
      </c>
      <c r="H86" s="1089"/>
      <c r="I86" s="1089"/>
      <c r="J86" s="1847"/>
      <c r="K86" s="1089" t="str">
        <f t="shared" ref="K86:K91" si="0">K85</f>
        <v>x</v>
      </c>
    </row>
    <row r="87" spans="1:11" ht="15" customHeight="1" x14ac:dyDescent="0.25">
      <c r="A87" s="2780" t="s">
        <v>62</v>
      </c>
      <c r="B87" s="2780"/>
      <c r="C87" s="2780"/>
      <c r="D87" s="2777" t="str">
        <f>LOOKUP('N° CT'!$A$2,'N° CT'!$B$4:$BA$4,'N° CT'!B39:BA39)</f>
        <v>NPA</v>
      </c>
      <c r="E87" s="2778"/>
      <c r="F87" s="1851" t="str">
        <f>LOOKUP('N° CT'!$A$2,'N° CT'!$B$4:$BA$4,'N° CT'!B40:BA40)</f>
        <v>NPA</v>
      </c>
      <c r="J87" s="1847"/>
      <c r="K87" s="1089" t="str">
        <f t="shared" si="0"/>
        <v>x</v>
      </c>
    </row>
    <row r="88" spans="1:11" ht="15" customHeight="1" x14ac:dyDescent="0.25">
      <c r="A88" s="2780" t="s">
        <v>1964</v>
      </c>
      <c r="B88" s="2780"/>
      <c r="C88" s="2780"/>
      <c r="D88" s="2777" t="str">
        <f>LOOKUP('N° CT'!$A$2,'N° CT'!$B$4:$BA$4,'N° CT'!B41:BA41)</f>
        <v>NPA</v>
      </c>
      <c r="E88" s="2778"/>
      <c r="F88" s="1851" t="str">
        <f>LOOKUP('N° CT'!$A$2,'N° CT'!$B$4:$BA$4,'N° CT'!B42:BA42)</f>
        <v>NPA</v>
      </c>
      <c r="J88" s="1847"/>
      <c r="K88" s="1089" t="str">
        <f t="shared" si="0"/>
        <v>x</v>
      </c>
    </row>
    <row r="89" spans="1:11" ht="15" customHeight="1" x14ac:dyDescent="0.25">
      <c r="A89" s="2780" t="s">
        <v>1963</v>
      </c>
      <c r="B89" s="2780"/>
      <c r="C89" s="2780"/>
      <c r="D89" s="2777" t="str">
        <f>LOOKUP('N° CT'!$A$2,'N° CT'!$B$4:$BA$4,'N° CT'!B43:BA43)</f>
        <v>NPA</v>
      </c>
      <c r="E89" s="2778"/>
      <c r="F89" s="1851" t="str">
        <f>LOOKUP('N° CT'!$A$2,'N° CT'!$B$4:$BA$4,'N° CT'!B44:BA44)</f>
        <v>NPA</v>
      </c>
      <c r="J89" s="1847"/>
      <c r="K89" s="1089" t="str">
        <f t="shared" si="0"/>
        <v>x</v>
      </c>
    </row>
    <row r="90" spans="1:11" ht="15.75" customHeight="1" x14ac:dyDescent="0.25">
      <c r="A90" s="1852" t="s">
        <v>1937</v>
      </c>
      <c r="B90" s="1853"/>
      <c r="C90" s="1853"/>
      <c r="D90" s="1854"/>
      <c r="E90" s="1854"/>
      <c r="F90" s="1854"/>
      <c r="G90" s="1854"/>
      <c r="J90" s="1847"/>
      <c r="K90" s="1089" t="str">
        <f t="shared" si="0"/>
        <v>x</v>
      </c>
    </row>
    <row r="91" spans="1:11" ht="15" customHeight="1" x14ac:dyDescent="0.25">
      <c r="C91" s="1850"/>
      <c r="D91" s="1850"/>
      <c r="E91" s="1850"/>
      <c r="G91" s="1847"/>
      <c r="J91" s="1847"/>
      <c r="K91" s="1089" t="str">
        <f t="shared" si="0"/>
        <v>x</v>
      </c>
    </row>
    <row r="92" spans="1:11" ht="15" customHeight="1" x14ac:dyDescent="0.25">
      <c r="A92" s="2769" t="s">
        <v>1998</v>
      </c>
      <c r="B92" s="2770"/>
      <c r="C92" s="2771"/>
      <c r="D92" s="2772" t="s">
        <v>1946</v>
      </c>
      <c r="E92" s="2773"/>
      <c r="F92" s="1899" t="str">
        <f>F84</f>
        <v>IN 93</v>
      </c>
      <c r="G92" s="1847"/>
      <c r="J92" s="1847"/>
      <c r="K92" s="1089" t="str">
        <f>IF(LOOKUP('N° CT'!$A$2,'N° CT'!$B$4:$Z$4,'N° CT'!B47:Z47)&lt;&gt;"","","x")</f>
        <v>x</v>
      </c>
    </row>
    <row r="93" spans="1:11" ht="15" customHeight="1" x14ac:dyDescent="0.25">
      <c r="A93" s="2774" t="s">
        <v>1945</v>
      </c>
      <c r="B93" s="2775"/>
      <c r="C93" s="2776"/>
      <c r="D93" s="2777" t="str">
        <f>LOOKUP('N° CT'!$A$2,'N° CT'!$B$4:$BA$4,'N° CT'!B61:BA61)</f>
        <v>NPA</v>
      </c>
      <c r="E93" s="2778"/>
      <c r="F93" s="1851" t="str">
        <f>LOOKUP('N° CT'!$A$2,'N° CT'!$B$4:$BA$4,'N° CT'!B62:BA62)</f>
        <v>NPA</v>
      </c>
      <c r="J93" s="1847"/>
      <c r="K93" s="1089" t="str">
        <f>K92</f>
        <v>x</v>
      </c>
    </row>
    <row r="94" spans="1:11" s="1844" customFormat="1" ht="15" customHeight="1" x14ac:dyDescent="0.25">
      <c r="A94" s="2774" t="s">
        <v>1944</v>
      </c>
      <c r="B94" s="2775"/>
      <c r="C94" s="2776"/>
      <c r="D94" s="2777" t="str">
        <f>LOOKUP('N° CT'!$A$2,'N° CT'!$B$4:$BA$4,'N° CT'!B63:BA63)</f>
        <v>NPA</v>
      </c>
      <c r="E94" s="2778"/>
      <c r="F94" s="1851" t="str">
        <f>LOOKUP('N° CT'!$A$2,'N° CT'!$B$4:$BA$4,'N° CT'!B64:BA64)</f>
        <v>NPA</v>
      </c>
      <c r="H94" s="1089"/>
      <c r="I94" s="1089"/>
      <c r="J94" s="1847"/>
      <c r="K94" s="1089" t="str">
        <f t="shared" ref="K94:K99" si="1">K93</f>
        <v>x</v>
      </c>
    </row>
    <row r="95" spans="1:11" ht="15" customHeight="1" x14ac:dyDescent="0.25">
      <c r="A95" s="2780" t="s">
        <v>62</v>
      </c>
      <c r="B95" s="2780"/>
      <c r="C95" s="2780"/>
      <c r="D95" s="2777" t="str">
        <f>LOOKUP('N° CT'!$A$2,'N° CT'!$B$4:$BA$4,'N° CT'!B65:BA65)</f>
        <v>NPA</v>
      </c>
      <c r="E95" s="2778"/>
      <c r="F95" s="1851" t="str">
        <f>LOOKUP('N° CT'!$A$2,'N° CT'!$B$4:$BA$4,'N° CT'!B66:BA66)</f>
        <v>NPA</v>
      </c>
      <c r="K95" s="1089" t="str">
        <f t="shared" si="1"/>
        <v>x</v>
      </c>
    </row>
    <row r="96" spans="1:11" ht="15" customHeight="1" x14ac:dyDescent="0.25">
      <c r="A96" s="2780" t="s">
        <v>1964</v>
      </c>
      <c r="B96" s="2780"/>
      <c r="C96" s="2780"/>
      <c r="D96" s="2777" t="str">
        <f>LOOKUP('N° CT'!$A$2,'N° CT'!$B$4:$BA$4,'N° CT'!B67:BA67)</f>
        <v>NPA</v>
      </c>
      <c r="E96" s="2778"/>
      <c r="F96" s="1851" t="str">
        <f>LOOKUP('N° CT'!$A$2,'N° CT'!$B$4:$BA$4,'N° CT'!B68:BA68)</f>
        <v>NPA</v>
      </c>
      <c r="K96" s="1089" t="str">
        <f t="shared" si="1"/>
        <v>x</v>
      </c>
    </row>
    <row r="97" spans="1:11" ht="15" customHeight="1" x14ac:dyDescent="0.25">
      <c r="A97" s="2780" t="s">
        <v>1963</v>
      </c>
      <c r="B97" s="2780"/>
      <c r="C97" s="2780"/>
      <c r="D97" s="2777" t="str">
        <f>LOOKUP('N° CT'!$A$2,'N° CT'!$B$4:$BA$4,'N° CT'!B69:BA69)</f>
        <v>NPA</v>
      </c>
      <c r="E97" s="2778"/>
      <c r="F97" s="1851" t="str">
        <f>LOOKUP('N° CT'!$A$2,'N° CT'!$B$4:$BA$4,'N° CT'!B70:BA70)</f>
        <v>NPA</v>
      </c>
      <c r="K97" s="1089" t="str">
        <f t="shared" si="1"/>
        <v>x</v>
      </c>
    </row>
    <row r="98" spans="1:11" ht="15.75" customHeight="1" x14ac:dyDescent="0.25">
      <c r="A98" s="1852" t="s">
        <v>1937</v>
      </c>
      <c r="B98" s="1853"/>
      <c r="C98" s="1853"/>
      <c r="D98" s="1854"/>
      <c r="E98" s="1854"/>
      <c r="F98" s="1854"/>
      <c r="G98" s="1854"/>
      <c r="H98" s="1854"/>
      <c r="I98" s="1855"/>
      <c r="K98" s="1089" t="str">
        <f t="shared" si="1"/>
        <v>x</v>
      </c>
    </row>
    <row r="99" spans="1:11" ht="15.75" customHeight="1" x14ac:dyDescent="0.25">
      <c r="A99" s="1852"/>
      <c r="B99" s="1853"/>
      <c r="C99" s="1853"/>
      <c r="D99" s="1854"/>
      <c r="E99" s="1854"/>
      <c r="F99" s="1854"/>
      <c r="G99" s="1854"/>
      <c r="H99" s="1854"/>
      <c r="I99" s="1855"/>
      <c r="K99" s="1089" t="str">
        <f t="shared" si="1"/>
        <v>x</v>
      </c>
    </row>
    <row r="100" spans="1:11" x14ac:dyDescent="0.25">
      <c r="A100" s="2751" t="e">
        <f>$A$1</f>
        <v>#N/A</v>
      </c>
      <c r="B100" s="2751"/>
      <c r="C100" s="2751"/>
      <c r="D100" s="2751"/>
      <c r="E100" s="2751"/>
      <c r="F100" s="2751"/>
      <c r="G100" s="2752" t="str">
        <f>$G$1</f>
        <v/>
      </c>
      <c r="H100" s="2752"/>
      <c r="I100" s="2753">
        <f>$I$1</f>
        <v>0</v>
      </c>
      <c r="J100" s="2753"/>
    </row>
    <row r="101" spans="1:11" x14ac:dyDescent="0.25">
      <c r="A101" s="1844" t="s">
        <v>735</v>
      </c>
      <c r="B101" s="1856"/>
      <c r="C101" s="1856"/>
      <c r="D101" s="1856"/>
      <c r="E101" s="1856"/>
      <c r="F101" s="1856"/>
      <c r="G101" s="1856"/>
      <c r="H101" s="1856"/>
      <c r="I101" s="1856"/>
    </row>
    <row r="102" spans="1:11" x14ac:dyDescent="0.25">
      <c r="A102" s="2779" t="s">
        <v>734</v>
      </c>
      <c r="B102" s="2779"/>
      <c r="C102" s="2779"/>
      <c r="D102" s="2779"/>
      <c r="E102" s="2779"/>
      <c r="F102" s="2779"/>
      <c r="G102" s="2779"/>
      <c r="H102" s="2779"/>
      <c r="I102" s="2779"/>
      <c r="J102" s="2779"/>
    </row>
    <row r="103" spans="1:11" x14ac:dyDescent="0.25">
      <c r="A103" s="2779"/>
      <c r="B103" s="2779"/>
      <c r="C103" s="2779"/>
      <c r="D103" s="2779"/>
      <c r="E103" s="2779"/>
      <c r="F103" s="2779"/>
      <c r="G103" s="2779"/>
      <c r="H103" s="2779"/>
      <c r="I103" s="2779"/>
      <c r="J103" s="2779"/>
    </row>
    <row r="104" spans="1:11" x14ac:dyDescent="0.25">
      <c r="A104" s="2768" t="s">
        <v>1957</v>
      </c>
      <c r="B104" s="2768"/>
      <c r="C104" s="2768"/>
      <c r="D104" s="2768"/>
      <c r="E104" s="2768"/>
      <c r="F104" s="2768"/>
      <c r="G104" s="2768"/>
      <c r="H104" s="2768"/>
      <c r="I104" s="2768"/>
      <c r="J104" s="2768"/>
      <c r="K104" s="1089" t="str">
        <f>IF(OR(D75="NI",D76="NI"),"","x")</f>
        <v/>
      </c>
    </row>
    <row r="105" spans="1:11" x14ac:dyDescent="0.25">
      <c r="A105" s="2768"/>
      <c r="B105" s="2768"/>
      <c r="C105" s="2768"/>
      <c r="D105" s="2768"/>
      <c r="E105" s="2768"/>
      <c r="F105" s="2768"/>
      <c r="G105" s="2768"/>
      <c r="H105" s="2768"/>
      <c r="I105" s="2768"/>
      <c r="J105" s="2768"/>
      <c r="K105" s="1089" t="str">
        <f>K104</f>
        <v/>
      </c>
    </row>
    <row r="106" spans="1:11" x14ac:dyDescent="0.25">
      <c r="A106" s="2768" t="s">
        <v>1952</v>
      </c>
      <c r="B106" s="2768"/>
      <c r="C106" s="2768"/>
      <c r="D106" s="2768"/>
      <c r="E106" s="2768"/>
      <c r="F106" s="2768"/>
      <c r="G106" s="2768"/>
      <c r="H106" s="2768"/>
      <c r="I106" s="2768"/>
      <c r="J106" s="2768"/>
      <c r="K106" s="1089" t="str">
        <f>IF(Cabeçalho!G3="Toshiba","","x")</f>
        <v>x</v>
      </c>
    </row>
    <row r="107" spans="1:11" x14ac:dyDescent="0.25">
      <c r="A107" s="2768"/>
      <c r="B107" s="2768"/>
      <c r="C107" s="2768"/>
      <c r="D107" s="2768"/>
      <c r="E107" s="2768"/>
      <c r="F107" s="2768"/>
      <c r="G107" s="2768"/>
      <c r="H107" s="2768"/>
      <c r="I107" s="2768"/>
      <c r="J107" s="2768"/>
      <c r="K107" s="1089" t="str">
        <f>K106</f>
        <v>x</v>
      </c>
    </row>
    <row r="108" spans="1:11" x14ac:dyDescent="0.25">
      <c r="A108" s="2768" t="s">
        <v>1955</v>
      </c>
      <c r="B108" s="2768"/>
      <c r="C108" s="2768"/>
      <c r="D108" s="2768"/>
      <c r="E108" s="2768"/>
      <c r="F108" s="2768"/>
      <c r="G108" s="2768"/>
      <c r="H108" s="2768"/>
      <c r="I108" s="2768"/>
      <c r="J108" s="2768"/>
      <c r="K108" s="1089" t="str">
        <f>K115</f>
        <v>x</v>
      </c>
    </row>
    <row r="109" spans="1:11" x14ac:dyDescent="0.25">
      <c r="A109" s="2768"/>
      <c r="B109" s="2768"/>
      <c r="C109" s="2768"/>
      <c r="D109" s="2768"/>
      <c r="E109" s="2768"/>
      <c r="F109" s="2768"/>
      <c r="G109" s="2768"/>
      <c r="H109" s="2768"/>
      <c r="I109" s="2768"/>
      <c r="J109" s="2768"/>
      <c r="K109" s="1089" t="str">
        <f>K108</f>
        <v>x</v>
      </c>
    </row>
    <row r="110" spans="1:11" x14ac:dyDescent="0.25">
      <c r="A110" s="1865"/>
      <c r="B110" s="1865"/>
      <c r="C110" s="1865"/>
      <c r="D110" s="1865"/>
      <c r="E110" s="1865"/>
      <c r="F110" s="1865"/>
      <c r="G110" s="1865"/>
      <c r="H110" s="1865"/>
      <c r="I110" s="1865"/>
      <c r="J110" s="1865"/>
    </row>
    <row r="111" spans="1:11" x14ac:dyDescent="0.25">
      <c r="A111" s="1872"/>
      <c r="B111" s="1872"/>
      <c r="C111" s="1872"/>
      <c r="D111" s="1872"/>
      <c r="E111" s="1873"/>
      <c r="F111" s="1873"/>
      <c r="G111" s="1873"/>
      <c r="H111" s="1873"/>
      <c r="I111" s="1874"/>
      <c r="J111" s="1875"/>
    </row>
    <row r="112" spans="1:11" x14ac:dyDescent="0.25">
      <c r="A112" s="1844" t="s">
        <v>732</v>
      </c>
    </row>
    <row r="113" spans="1:11" ht="15.75" customHeight="1" x14ac:dyDescent="0.25">
      <c r="A113" s="2767" t="str">
        <f>"               Os testes de exatidão e uniformidade dos números de CT e de ruído da imagem tomográfica atendem aos parâmetros exigidos pela IN "&amp;VLOOKUP("Tomografia computadorizada",IN_ANVISA[],2)&amp;"/"&amp;VLOOKUP("Tomografia computadorizada",IN_ANVISA[],3)&amp;" da ANVISA."</f>
        <v xml:space="preserve">               Os testes de exatidão e uniformidade dos números de CT e de ruído da imagem tomográfica atendem aos parâmetros exigidos pela IN 93/2021 da ANVISA.</v>
      </c>
      <c r="B113" s="2767"/>
      <c r="C113" s="2767"/>
      <c r="D113" s="2767"/>
      <c r="E113" s="2767"/>
      <c r="F113" s="2767"/>
      <c r="G113" s="2767"/>
      <c r="H113" s="2767"/>
      <c r="I113" s="2767"/>
      <c r="J113" s="2767"/>
      <c r="K113" s="1089" t="str">
        <f>IF(OR(COUNTIF($F$84:$F$97,"Não")&gt;0,COUNTIF($F$84:$F$97,"Restrição")&gt;0),"x","")</f>
        <v/>
      </c>
    </row>
    <row r="114" spans="1:11" x14ac:dyDescent="0.25">
      <c r="A114" s="2767"/>
      <c r="B114" s="2767"/>
      <c r="C114" s="2767"/>
      <c r="D114" s="2767"/>
      <c r="E114" s="2767"/>
      <c r="F114" s="2767"/>
      <c r="G114" s="2767"/>
      <c r="H114" s="2767"/>
      <c r="I114" s="2767"/>
      <c r="J114" s="2767"/>
      <c r="K114" s="1089" t="str">
        <f>K113</f>
        <v/>
      </c>
    </row>
    <row r="115" spans="1:11" x14ac:dyDescent="0.25">
      <c r="A115" s="2767" t="str">
        <f>"               A exatidão dos números de CT está fora de tolerância (±"&amp;IF(K106="",15,5)&amp;" HU). Os números de CT devem ser calibrados. Persistindo o problema, contatar a assistência técnica do fabricante."</f>
        <v xml:space="preserve">               A exatidão dos números de CT está fora de tolerância (±5 HU). Os números de CT devem ser calibrados. Persistindo o problema, contatar a assistência técnica do fabricante.</v>
      </c>
      <c r="B115" s="2767"/>
      <c r="C115" s="2767"/>
      <c r="D115" s="2767"/>
      <c r="E115" s="2767"/>
      <c r="F115" s="2767"/>
      <c r="G115" s="2767"/>
      <c r="H115" s="2767"/>
      <c r="I115" s="2767"/>
      <c r="J115" s="2767"/>
      <c r="K115" s="1089" t="str">
        <f>IF(OR(F85="Não",F85="Restrição",F86="Não",F86="Restrição",F93="Não",F93="Restrição",F94="Não",F94="Restrição"),"","x")</f>
        <v>x</v>
      </c>
    </row>
    <row r="116" spans="1:11" x14ac:dyDescent="0.25">
      <c r="A116" s="2767"/>
      <c r="B116" s="2767"/>
      <c r="C116" s="2767"/>
      <c r="D116" s="2767"/>
      <c r="E116" s="2767"/>
      <c r="F116" s="2767"/>
      <c r="G116" s="2767"/>
      <c r="H116" s="2767"/>
      <c r="I116" s="2767"/>
      <c r="J116" s="2767"/>
      <c r="K116" s="1089" t="str">
        <f>K115</f>
        <v>x</v>
      </c>
    </row>
    <row r="117" spans="1:11" x14ac:dyDescent="0.25">
      <c r="A117" s="2767" t="s">
        <v>1954</v>
      </c>
      <c r="B117" s="2767"/>
      <c r="C117" s="2767"/>
      <c r="D117" s="2767"/>
      <c r="E117" s="2767"/>
      <c r="F117" s="2767"/>
      <c r="G117" s="2767"/>
      <c r="H117" s="2767"/>
      <c r="I117" s="2767"/>
      <c r="J117" s="2767"/>
      <c r="K117" s="1089" t="str">
        <f>IF(OR(F87="Não",F87="Restrição",F95="Não",F95="Restrição",),"","x")</f>
        <v>x</v>
      </c>
    </row>
    <row r="118" spans="1:11" x14ac:dyDescent="0.25">
      <c r="A118" s="2767"/>
      <c r="B118" s="2767"/>
      <c r="C118" s="2767"/>
      <c r="D118" s="2767"/>
      <c r="E118" s="2767"/>
      <c r="F118" s="2767"/>
      <c r="G118" s="2767"/>
      <c r="H118" s="2767"/>
      <c r="I118" s="2767"/>
      <c r="J118" s="2767"/>
      <c r="K118" s="1089" t="str">
        <f>K117</f>
        <v>x</v>
      </c>
    </row>
    <row r="119" spans="1:11" x14ac:dyDescent="0.25">
      <c r="A119" s="2767"/>
      <c r="B119" s="2767"/>
      <c r="C119" s="2767"/>
      <c r="D119" s="2767"/>
      <c r="E119" s="2767"/>
      <c r="F119" s="2767"/>
      <c r="G119" s="2767"/>
      <c r="H119" s="2767"/>
      <c r="I119" s="2767"/>
      <c r="J119" s="2767"/>
      <c r="K119" s="1089" t="str">
        <f>K117</f>
        <v>x</v>
      </c>
    </row>
    <row r="120" spans="1:11" x14ac:dyDescent="0.25">
      <c r="A120" s="2767" t="s">
        <v>1956</v>
      </c>
      <c r="B120" s="2767"/>
      <c r="C120" s="2767"/>
      <c r="D120" s="2767"/>
      <c r="E120" s="2767"/>
      <c r="F120" s="2767"/>
      <c r="G120" s="2767"/>
      <c r="H120" s="2767"/>
      <c r="I120" s="2767"/>
      <c r="J120" s="2767"/>
      <c r="K120" s="1089" t="str">
        <f>IF(OR(F88="Não",F88="Restrição",F89="Não",F89="Restrição",F96="Não",F96="Restrição",F97="Não",F97="Restrição"),"","x")</f>
        <v>x</v>
      </c>
    </row>
    <row r="121" spans="1:11" x14ac:dyDescent="0.25">
      <c r="A121" s="2767"/>
      <c r="B121" s="2767"/>
      <c r="C121" s="2767"/>
      <c r="D121" s="2767"/>
      <c r="E121" s="2767"/>
      <c r="F121" s="2767"/>
      <c r="G121" s="2767"/>
      <c r="H121" s="2767"/>
      <c r="I121" s="2767"/>
      <c r="J121" s="2767"/>
      <c r="K121" s="1089" t="str">
        <f>K120</f>
        <v>x</v>
      </c>
    </row>
    <row r="122" spans="1:11" x14ac:dyDescent="0.25">
      <c r="A122" s="2766" t="str">
        <f>"               Para os demais itens avaliados o equipamento atende os requisitos da IN "&amp;VLOOKUP("Tomografia computadorizada",IN_ANVISA[],2)&amp;"/"&amp;VLOOKUP("Tomografia computadorizada",IN_ANVISA[],3)&amp;" da ANVISA."</f>
        <v xml:space="preserve">               Para os demais itens avaliados o equipamento atende os requisitos da IN 93/2021 da ANVISA.</v>
      </c>
      <c r="B122" s="2766"/>
      <c r="C122" s="2766"/>
      <c r="D122" s="2766"/>
      <c r="E122" s="2766"/>
      <c r="F122" s="2766"/>
      <c r="G122" s="2766"/>
      <c r="H122" s="2766"/>
      <c r="I122" s="2766"/>
      <c r="J122" s="2766"/>
      <c r="K122" s="1089" t="str">
        <f>IF(AND(K115="",K117="",K120=""),"x",IF(K113="","x",""))</f>
        <v>x</v>
      </c>
    </row>
    <row r="123" spans="1:11" x14ac:dyDescent="0.25">
      <c r="A123" s="2766"/>
      <c r="B123" s="2766"/>
      <c r="C123" s="2766"/>
      <c r="D123" s="2766"/>
      <c r="E123" s="2766"/>
      <c r="F123" s="2766"/>
      <c r="G123" s="2766"/>
      <c r="H123" s="2766"/>
      <c r="I123" s="2766"/>
      <c r="J123" s="2766"/>
      <c r="K123" s="1089" t="str">
        <f>K122</f>
        <v>x</v>
      </c>
    </row>
    <row r="124" spans="1:11" x14ac:dyDescent="0.25">
      <c r="A124" s="2766" t="str">
        <f>Tabelas!G18</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124" s="2766"/>
      <c r="C124" s="2766"/>
      <c r="D124" s="2766"/>
      <c r="E124" s="2766"/>
      <c r="F124" s="2766"/>
      <c r="G124" s="2766"/>
      <c r="H124" s="2766"/>
      <c r="I124" s="2766"/>
      <c r="J124" s="2766"/>
      <c r="K124" s="1089" t="str">
        <f>IF(COUNTIF($F$85:$F$97,"Restrição")&gt;0,"","x")</f>
        <v>x</v>
      </c>
    </row>
    <row r="125" spans="1:11" x14ac:dyDescent="0.25">
      <c r="A125" s="2766"/>
      <c r="B125" s="2766"/>
      <c r="C125" s="2766"/>
      <c r="D125" s="2766"/>
      <c r="E125" s="2766"/>
      <c r="F125" s="2766"/>
      <c r="G125" s="2766"/>
      <c r="H125" s="2766"/>
      <c r="I125" s="2766"/>
      <c r="J125" s="2766"/>
      <c r="K125" s="1089" t="str">
        <f>K124</f>
        <v>x</v>
      </c>
    </row>
    <row r="126" spans="1:11" x14ac:dyDescent="0.25">
      <c r="A126" s="2766"/>
      <c r="B126" s="2766"/>
      <c r="C126" s="2766"/>
      <c r="D126" s="2766"/>
      <c r="E126" s="2766"/>
      <c r="F126" s="2766"/>
      <c r="G126" s="2766"/>
      <c r="H126" s="2766"/>
      <c r="I126" s="2766"/>
      <c r="J126" s="2766"/>
      <c r="K126" s="1089" t="str">
        <f t="shared" ref="K126:K128" si="2">K125</f>
        <v>x</v>
      </c>
    </row>
    <row r="127" spans="1:11" x14ac:dyDescent="0.25">
      <c r="A127" s="2766"/>
      <c r="B127" s="2766"/>
      <c r="C127" s="2766"/>
      <c r="D127" s="2766"/>
      <c r="E127" s="2766"/>
      <c r="F127" s="2766"/>
      <c r="G127" s="2766"/>
      <c r="H127" s="2766"/>
      <c r="I127" s="2766"/>
      <c r="J127" s="2766"/>
      <c r="K127" s="1089" t="str">
        <f t="shared" si="2"/>
        <v>x</v>
      </c>
    </row>
    <row r="128" spans="1:11" x14ac:dyDescent="0.25">
      <c r="A128" s="2766"/>
      <c r="B128" s="2766"/>
      <c r="C128" s="2766"/>
      <c r="D128" s="2766"/>
      <c r="E128" s="2766"/>
      <c r="F128" s="2766"/>
      <c r="G128" s="2766"/>
      <c r="H128" s="2766"/>
      <c r="I128" s="2766"/>
      <c r="J128" s="2766"/>
      <c r="K128" s="1089" t="str">
        <f t="shared" si="2"/>
        <v>x</v>
      </c>
    </row>
    <row r="129" spans="1:11" x14ac:dyDescent="0.25">
      <c r="A129" s="2751" t="e">
        <f>$A$1</f>
        <v>#N/A</v>
      </c>
      <c r="B129" s="2751"/>
      <c r="C129" s="2751"/>
      <c r="D129" s="2751"/>
      <c r="E129" s="2751"/>
      <c r="F129" s="2751"/>
      <c r="G129" s="2752" t="str">
        <f>$G$1</f>
        <v/>
      </c>
      <c r="H129" s="2752"/>
      <c r="I129" s="2753">
        <f>$I$1</f>
        <v>0</v>
      </c>
      <c r="J129" s="2753"/>
    </row>
    <row r="130" spans="1:11" x14ac:dyDescent="0.25">
      <c r="A130" s="1863"/>
      <c r="B130" s="1863"/>
      <c r="C130" s="1863"/>
      <c r="D130" s="1863"/>
      <c r="E130" s="1863"/>
      <c r="F130" s="1863"/>
      <c r="G130" s="1863"/>
      <c r="H130" s="1863"/>
      <c r="I130" s="1863"/>
      <c r="J130" s="1863"/>
    </row>
    <row r="131" spans="1:11" x14ac:dyDescent="0.25">
      <c r="A131" s="1844" t="s">
        <v>1974</v>
      </c>
    </row>
    <row r="133" spans="1:11" x14ac:dyDescent="0.25">
      <c r="K133" s="1089" t="str">
        <f>K84</f>
        <v>x</v>
      </c>
    </row>
    <row r="134" spans="1:11" x14ac:dyDescent="0.25">
      <c r="K134" s="1089" t="str">
        <f>$K$133</f>
        <v>x</v>
      </c>
    </row>
    <row r="135" spans="1:11" x14ac:dyDescent="0.25">
      <c r="K135" s="1089" t="str">
        <f t="shared" ref="K135:K145" si="3">$K$133</f>
        <v>x</v>
      </c>
    </row>
    <row r="136" spans="1:11" x14ac:dyDescent="0.25">
      <c r="K136" s="1089" t="str">
        <f t="shared" si="3"/>
        <v>x</v>
      </c>
    </row>
    <row r="137" spans="1:11" x14ac:dyDescent="0.25">
      <c r="K137" s="1089" t="str">
        <f t="shared" si="3"/>
        <v>x</v>
      </c>
    </row>
    <row r="138" spans="1:11" x14ac:dyDescent="0.25">
      <c r="K138" s="1089" t="str">
        <f t="shared" si="3"/>
        <v>x</v>
      </c>
    </row>
    <row r="139" spans="1:11" x14ac:dyDescent="0.25">
      <c r="K139" s="1089" t="str">
        <f t="shared" si="3"/>
        <v>x</v>
      </c>
    </row>
    <row r="140" spans="1:11" x14ac:dyDescent="0.25">
      <c r="K140" s="1089" t="str">
        <f t="shared" si="3"/>
        <v>x</v>
      </c>
    </row>
    <row r="141" spans="1:11" x14ac:dyDescent="0.25">
      <c r="K141" s="1089" t="str">
        <f t="shared" si="3"/>
        <v>x</v>
      </c>
    </row>
    <row r="142" spans="1:11" x14ac:dyDescent="0.25">
      <c r="K142" s="1089" t="str">
        <f t="shared" si="3"/>
        <v>x</v>
      </c>
    </row>
    <row r="143" spans="1:11" x14ac:dyDescent="0.25">
      <c r="K143" s="1089" t="str">
        <f t="shared" si="3"/>
        <v>x</v>
      </c>
    </row>
    <row r="144" spans="1:11" x14ac:dyDescent="0.25">
      <c r="K144" s="1089" t="str">
        <f t="shared" si="3"/>
        <v>x</v>
      </c>
    </row>
    <row r="145" spans="11:11" x14ac:dyDescent="0.25">
      <c r="K145" s="1089" t="str">
        <f t="shared" si="3"/>
        <v>x</v>
      </c>
    </row>
    <row r="147" spans="11:11" x14ac:dyDescent="0.25">
      <c r="K147" s="1089" t="str">
        <f>K92</f>
        <v>x</v>
      </c>
    </row>
    <row r="148" spans="11:11" x14ac:dyDescent="0.25">
      <c r="K148" s="1089" t="str">
        <f>$K$147</f>
        <v>x</v>
      </c>
    </row>
    <row r="149" spans="11:11" x14ac:dyDescent="0.25">
      <c r="K149" s="1089" t="str">
        <f t="shared" ref="K149:K158" si="4">$K$147</f>
        <v>x</v>
      </c>
    </row>
    <row r="150" spans="11:11" x14ac:dyDescent="0.25">
      <c r="K150" s="1089" t="str">
        <f t="shared" si="4"/>
        <v>x</v>
      </c>
    </row>
    <row r="151" spans="11:11" x14ac:dyDescent="0.25">
      <c r="K151" s="1089" t="str">
        <f t="shared" si="4"/>
        <v>x</v>
      </c>
    </row>
    <row r="152" spans="11:11" x14ac:dyDescent="0.25">
      <c r="K152" s="1089" t="str">
        <f t="shared" si="4"/>
        <v>x</v>
      </c>
    </row>
    <row r="153" spans="11:11" x14ac:dyDescent="0.25">
      <c r="K153" s="1089" t="str">
        <f t="shared" si="4"/>
        <v>x</v>
      </c>
    </row>
    <row r="154" spans="11:11" x14ac:dyDescent="0.25">
      <c r="K154" s="1089" t="str">
        <f t="shared" si="4"/>
        <v>x</v>
      </c>
    </row>
    <row r="155" spans="11:11" x14ac:dyDescent="0.25">
      <c r="K155" s="1089" t="str">
        <f t="shared" si="4"/>
        <v>x</v>
      </c>
    </row>
    <row r="156" spans="11:11" x14ac:dyDescent="0.25">
      <c r="K156" s="1089" t="str">
        <f t="shared" si="4"/>
        <v>x</v>
      </c>
    </row>
    <row r="157" spans="11:11" x14ac:dyDescent="0.25">
      <c r="K157" s="1089" t="str">
        <f t="shared" si="4"/>
        <v>x</v>
      </c>
    </row>
    <row r="158" spans="11:11" x14ac:dyDescent="0.25">
      <c r="K158" s="1089" t="str">
        <f t="shared" si="4"/>
        <v>x</v>
      </c>
    </row>
  </sheetData>
  <sheetProtection sheet="1" objects="1" scenarios="1" selectLockedCells="1" autoFilter="0" selectUnlockedCells="1"/>
  <autoFilter ref="K1:K158"/>
  <mergeCells count="100">
    <mergeCell ref="B70:I70"/>
    <mergeCell ref="I74:J74"/>
    <mergeCell ref="G75:H75"/>
    <mergeCell ref="G76:H76"/>
    <mergeCell ref="I75:J75"/>
    <mergeCell ref="I76:J76"/>
    <mergeCell ref="D89:E89"/>
    <mergeCell ref="G74:H74"/>
    <mergeCell ref="A74:B74"/>
    <mergeCell ref="A75:B76"/>
    <mergeCell ref="D74:F74"/>
    <mergeCell ref="D75:F75"/>
    <mergeCell ref="D76:F76"/>
    <mergeCell ref="A79:J79"/>
    <mergeCell ref="A77:B78"/>
    <mergeCell ref="D77:F77"/>
    <mergeCell ref="G77:H77"/>
    <mergeCell ref="I77:J77"/>
    <mergeCell ref="D78:F78"/>
    <mergeCell ref="G78:H78"/>
    <mergeCell ref="I78:J78"/>
    <mergeCell ref="A1:F1"/>
    <mergeCell ref="G1:H1"/>
    <mergeCell ref="I1:J1"/>
    <mergeCell ref="A3:J3"/>
    <mergeCell ref="C9:J10"/>
    <mergeCell ref="A5:J6"/>
    <mergeCell ref="C12:J13"/>
    <mergeCell ref="C17:J17"/>
    <mergeCell ref="A27:J28"/>
    <mergeCell ref="A32:J33"/>
    <mergeCell ref="A43:D43"/>
    <mergeCell ref="E43:J43"/>
    <mergeCell ref="A36:J38"/>
    <mergeCell ref="A34:J35"/>
    <mergeCell ref="A50:F50"/>
    <mergeCell ref="G50:H50"/>
    <mergeCell ref="I50:J50"/>
    <mergeCell ref="A44:C44"/>
    <mergeCell ref="D44:F44"/>
    <mergeCell ref="G44:H44"/>
    <mergeCell ref="I44:J44"/>
    <mergeCell ref="A45:C46"/>
    <mergeCell ref="D45:F46"/>
    <mergeCell ref="G45:H46"/>
    <mergeCell ref="I45:J46"/>
    <mergeCell ref="B63:C63"/>
    <mergeCell ref="A102:J103"/>
    <mergeCell ref="A104:J105"/>
    <mergeCell ref="A94:C94"/>
    <mergeCell ref="D94:E94"/>
    <mergeCell ref="A95:C95"/>
    <mergeCell ref="D95:E95"/>
    <mergeCell ref="A97:C97"/>
    <mergeCell ref="D97:E97"/>
    <mergeCell ref="A88:C88"/>
    <mergeCell ref="A96:C96"/>
    <mergeCell ref="D88:E88"/>
    <mergeCell ref="D96:E96"/>
    <mergeCell ref="A87:C87"/>
    <mergeCell ref="D87:E87"/>
    <mergeCell ref="A89:C89"/>
    <mergeCell ref="A53:J59"/>
    <mergeCell ref="A92:C92"/>
    <mergeCell ref="D92:E92"/>
    <mergeCell ref="A93:C93"/>
    <mergeCell ref="D93:E93"/>
    <mergeCell ref="B64:C65"/>
    <mergeCell ref="G64:I65"/>
    <mergeCell ref="G66:I67"/>
    <mergeCell ref="G68:I69"/>
    <mergeCell ref="B66:C67"/>
    <mergeCell ref="A84:C84"/>
    <mergeCell ref="D84:E84"/>
    <mergeCell ref="A85:C85"/>
    <mergeCell ref="D85:E85"/>
    <mergeCell ref="A86:C86"/>
    <mergeCell ref="D86:E86"/>
    <mergeCell ref="A113:J114"/>
    <mergeCell ref="A106:J107"/>
    <mergeCell ref="A117:J119"/>
    <mergeCell ref="A120:J121"/>
    <mergeCell ref="A122:J123"/>
    <mergeCell ref="A108:J109"/>
    <mergeCell ref="A129:F129"/>
    <mergeCell ref="G129:H129"/>
    <mergeCell ref="I129:J129"/>
    <mergeCell ref="A60:J61"/>
    <mergeCell ref="A22:J26"/>
    <mergeCell ref="B68:C69"/>
    <mergeCell ref="D63:F63"/>
    <mergeCell ref="D64:F65"/>
    <mergeCell ref="D66:F67"/>
    <mergeCell ref="D68:F69"/>
    <mergeCell ref="G63:I63"/>
    <mergeCell ref="A124:J128"/>
    <mergeCell ref="A100:F100"/>
    <mergeCell ref="G100:H100"/>
    <mergeCell ref="I100:J100"/>
    <mergeCell ref="A115:J116"/>
  </mergeCells>
  <conditionalFormatting sqref="F98:F99">
    <cfRule type="cellIs" dxfId="797" priority="13" stopIfTrue="1" operator="equal">
      <formula>"""Não satisfaz à Portaria."""</formula>
    </cfRule>
  </conditionalFormatting>
  <conditionalFormatting sqref="F93 I98:I99">
    <cfRule type="cellIs" dxfId="796" priority="15" operator="equal">
      <formula>"Restrição"</formula>
    </cfRule>
  </conditionalFormatting>
  <conditionalFormatting sqref="F90">
    <cfRule type="cellIs" dxfId="795" priority="3" stopIfTrue="1" operator="equal">
      <formula>"""Não satisfaz à Portaria."""</formula>
    </cfRule>
  </conditionalFormatting>
  <conditionalFormatting sqref="F85:F88">
    <cfRule type="cellIs" dxfId="794" priority="4" operator="equal">
      <formula>"Restrição"</formula>
    </cfRule>
  </conditionalFormatting>
  <conditionalFormatting sqref="F89">
    <cfRule type="cellIs" dxfId="793" priority="2" operator="equal">
      <formula>"Restrição"</formula>
    </cfRule>
  </conditionalFormatting>
  <conditionalFormatting sqref="F94:F97">
    <cfRule type="cellIs" dxfId="792" priority="1" operator="equal">
      <formula>"Restrição"</formula>
    </cfRule>
  </conditionalFormatting>
  <pageMargins left="0.511811024" right="0.511811024" top="0.78740157499999996" bottom="0.78740157499999996" header="0.31496062000000002" footer="0.31496062000000002"/>
  <pageSetup paperSize="9" scale="99" orientation="portrait" r:id="rId1"/>
  <rowBreaks count="3" manualBreakCount="3">
    <brk id="49" max="9" man="1"/>
    <brk id="99" max="9" man="1"/>
    <brk id="128" max="9"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Q136"/>
  <sheetViews>
    <sheetView zoomScaleNormal="100" workbookViewId="0">
      <selection activeCell="C12" sqref="C12:J13"/>
    </sheetView>
  </sheetViews>
  <sheetFormatPr defaultRowHeight="15" x14ac:dyDescent="0.25"/>
  <cols>
    <col min="1" max="1" width="17.140625" customWidth="1"/>
    <col min="2" max="2" width="11.5703125" bestFit="1" customWidth="1"/>
    <col min="3" max="3" width="14.42578125" bestFit="1" customWidth="1"/>
    <col min="4" max="5" width="14.140625" bestFit="1" customWidth="1"/>
    <col min="6" max="6" width="15.42578125" customWidth="1"/>
    <col min="7" max="7" width="11.85546875" customWidth="1"/>
    <col min="9" max="9" width="13.85546875" bestFit="1" customWidth="1"/>
  </cols>
  <sheetData>
    <row r="1" spans="1:11" s="620" customFormat="1" ht="15.75" thickBot="1" x14ac:dyDescent="0.3">
      <c r="A1" s="1350" t="s">
        <v>1890</v>
      </c>
      <c r="B1" s="1350" t="str">
        <f>"IN "&amp;VLOOKUP("Tomografia computadorizada",IN_ANVISA[],2)</f>
        <v>IN 93</v>
      </c>
    </row>
    <row r="2" spans="1:11" ht="15.75" thickBot="1" x14ac:dyDescent="0.3">
      <c r="A2" s="2496" t="s">
        <v>1277</v>
      </c>
      <c r="B2" s="2497"/>
      <c r="C2" s="2497"/>
      <c r="D2" s="2497"/>
      <c r="E2" s="2497"/>
      <c r="F2" s="2498"/>
    </row>
    <row r="3" spans="1:11" x14ac:dyDescent="0.25">
      <c r="A3" s="2808" t="s">
        <v>133</v>
      </c>
      <c r="B3" s="2809"/>
      <c r="C3" s="2809"/>
      <c r="D3" s="2809"/>
      <c r="E3" s="2809"/>
      <c r="F3" s="175" t="s">
        <v>272</v>
      </c>
    </row>
    <row r="4" spans="1:11" x14ac:dyDescent="0.25">
      <c r="A4" s="2808" t="s">
        <v>132</v>
      </c>
      <c r="B4" s="2809"/>
      <c r="C4" s="2809"/>
      <c r="D4" s="2809"/>
      <c r="E4" s="2809"/>
      <c r="F4" s="176" t="s">
        <v>272</v>
      </c>
    </row>
    <row r="5" spans="1:11" s="620" customFormat="1" x14ac:dyDescent="0.25"/>
    <row r="6" spans="1:11" s="620" customFormat="1" ht="15.75" thickBot="1" x14ac:dyDescent="0.3"/>
    <row r="7" spans="1:11" s="620" customFormat="1" ht="15.75" thickBot="1" x14ac:dyDescent="0.3">
      <c r="A7" s="2496" t="s">
        <v>1331</v>
      </c>
      <c r="B7" s="2497"/>
      <c r="C7" s="2497"/>
      <c r="D7" s="2497"/>
      <c r="E7" s="2497"/>
      <c r="F7" s="2498"/>
    </row>
    <row r="8" spans="1:11" s="173" customFormat="1" x14ac:dyDescent="0.25">
      <c r="A8" s="228" t="s">
        <v>1332</v>
      </c>
      <c r="F8" s="176"/>
    </row>
    <row r="9" spans="1:11" s="173" customFormat="1" x14ac:dyDescent="0.25">
      <c r="A9" s="228" t="s">
        <v>1333</v>
      </c>
      <c r="F9" s="1058"/>
    </row>
    <row r="10" spans="1:11" x14ac:dyDescent="0.25">
      <c r="A10" s="228" t="s">
        <v>1334</v>
      </c>
      <c r="F10" s="1058"/>
    </row>
    <row r="11" spans="1:11" s="620" customFormat="1" x14ac:dyDescent="0.25">
      <c r="A11" s="228" t="s">
        <v>706</v>
      </c>
      <c r="B11" s="218"/>
      <c r="C11" s="218"/>
      <c r="D11" s="218"/>
      <c r="E11" s="218"/>
      <c r="F11" s="176" t="s">
        <v>671</v>
      </c>
    </row>
    <row r="12" spans="1:11" s="620" customFormat="1" x14ac:dyDescent="0.25">
      <c r="A12" s="228" t="s">
        <v>1336</v>
      </c>
      <c r="B12" s="218"/>
      <c r="C12" s="218"/>
      <c r="D12" s="218"/>
      <c r="E12" s="218"/>
      <c r="F12" s="176" t="s">
        <v>313</v>
      </c>
      <c r="G12" s="685" t="str">
        <f>IF(F12="Outro (adicionar)"," Procurar a tabela de resolução espacial no manual e solicitar ao Martin que a adicione na planilha TABELAS.","")</f>
        <v/>
      </c>
    </row>
    <row r="13" spans="1:11" s="620" customFormat="1" x14ac:dyDescent="0.25"/>
    <row r="14" spans="1:11" s="620" customFormat="1" ht="22.5" customHeight="1" thickBot="1" x14ac:dyDescent="0.3"/>
    <row r="15" spans="1:11" s="620" customFormat="1" ht="15.75" thickBot="1" x14ac:dyDescent="0.3">
      <c r="A15" s="2496" t="s">
        <v>1257</v>
      </c>
      <c r="B15" s="2497"/>
      <c r="C15" s="2497"/>
      <c r="D15" s="2497"/>
      <c r="E15" s="2497"/>
      <c r="F15" s="2497"/>
      <c r="G15" s="2497"/>
      <c r="H15" s="2497"/>
      <c r="I15" s="2497"/>
      <c r="J15" s="2497"/>
      <c r="K15" s="2498"/>
    </row>
    <row r="16" spans="1:11" s="620" customFormat="1" x14ac:dyDescent="0.25">
      <c r="A16" s="1077" t="s">
        <v>17</v>
      </c>
      <c r="B16" s="1077" t="s">
        <v>5</v>
      </c>
      <c r="C16" s="2797" t="s">
        <v>50</v>
      </c>
      <c r="D16" s="2797"/>
      <c r="E16" s="1077" t="s">
        <v>1258</v>
      </c>
      <c r="F16" s="1078" t="str">
        <f>B1</f>
        <v>IN 93</v>
      </c>
      <c r="G16" s="1079" t="s">
        <v>1259</v>
      </c>
    </row>
    <row r="17" spans="1:11" s="620" customFormat="1" x14ac:dyDescent="0.25">
      <c r="A17" s="898"/>
      <c r="B17" s="898"/>
      <c r="C17" s="527" t="str">
        <f ca="1">IFERROR(IF(Cabeçalho!$G$28="Unfors",INDIRECT(ADDRESS(B17,1,1,1,"medidas Unfors"),1),INDIRECT(ADDRESS(B17,1,1,1,"medidas Fluke"),1)),"")</f>
        <v/>
      </c>
      <c r="D17" s="527" t="str">
        <f ca="1">IFERROR(IF(Cabeçalho!$G$28="Unfors",INDIRECT(ADDRESS(B17,2,1,1,"medidas Unfors"),1),"kVp médio"),"")</f>
        <v/>
      </c>
      <c r="E17" s="528" t="str">
        <f ca="1">IFERROR((ROUND(ABS(C17/A17-1)*100,2)),"")</f>
        <v/>
      </c>
      <c r="F17" s="897" t="str">
        <f>IF(OR(B17="",G17="Não"),"NA",IF(E17&gt;10,"Restrição",IF(E17&gt;5,"Não","Sim")))</f>
        <v>NA</v>
      </c>
      <c r="G17" s="898" t="s">
        <v>273</v>
      </c>
      <c r="H17" s="685" t="str">
        <f>IF(G17="Não"," Não aparece no laudo.","")</f>
        <v xml:space="preserve"> Não aparece no laudo.</v>
      </c>
    </row>
    <row r="18" spans="1:11" s="620" customFormat="1" x14ac:dyDescent="0.25">
      <c r="E18" s="916"/>
    </row>
    <row r="19" spans="1:11" s="620" customFormat="1" ht="38.25" customHeight="1" thickBot="1" x14ac:dyDescent="0.3"/>
    <row r="20" spans="1:11" ht="15.75" thickBot="1" x14ac:dyDescent="0.3">
      <c r="A20" s="2496" t="s">
        <v>1902</v>
      </c>
      <c r="B20" s="2497"/>
      <c r="C20" s="2497"/>
      <c r="D20" s="2497"/>
      <c r="E20" s="2497"/>
      <c r="F20" s="2497"/>
      <c r="G20" s="2497"/>
      <c r="H20" s="2497"/>
      <c r="I20" s="2497"/>
      <c r="J20" s="2497"/>
      <c r="K20" s="2498"/>
    </row>
    <row r="22" spans="1:11" s="620" customFormat="1" x14ac:dyDescent="0.25">
      <c r="A22" s="898" t="s">
        <v>273</v>
      </c>
      <c r="B22" s="620" t="str">
        <f>" Limites do fabricante são diferentes da "&amp;B1&amp;"?"</f>
        <v xml:space="preserve"> Limites do fabricante são diferentes da IN 93?</v>
      </c>
      <c r="F22" s="2798" t="str">
        <f>IF(A22="Sim","  Digite os limites estabelecidos pelo Fabricante","")</f>
        <v/>
      </c>
      <c r="G22" s="2798"/>
      <c r="H22" s="2798"/>
      <c r="I22" s="2798"/>
    </row>
    <row r="23" spans="1:11" x14ac:dyDescent="0.25">
      <c r="A23" s="176" t="s">
        <v>334</v>
      </c>
      <c r="B23" s="13" t="s">
        <v>1717</v>
      </c>
      <c r="F23" s="899" t="s">
        <v>182</v>
      </c>
      <c r="G23" s="899" t="s">
        <v>1263</v>
      </c>
      <c r="H23" s="899" t="s">
        <v>1262</v>
      </c>
    </row>
    <row r="24" spans="1:11" s="173" customFormat="1" x14ac:dyDescent="0.25">
      <c r="A24" s="1058" t="s">
        <v>334</v>
      </c>
      <c r="B24" s="13" t="s">
        <v>1718</v>
      </c>
      <c r="F24" s="899" t="s">
        <v>783</v>
      </c>
      <c r="G24" s="898">
        <f>IF($A$22="sim","Digite",5)</f>
        <v>5</v>
      </c>
      <c r="H24" s="898">
        <f>IF($A$22="sim","Digite",10)</f>
        <v>10</v>
      </c>
    </row>
    <row r="25" spans="1:11" x14ac:dyDescent="0.25">
      <c r="A25" s="2806" t="s">
        <v>1086</v>
      </c>
      <c r="B25" s="2807"/>
      <c r="C25" s="2807"/>
      <c r="D25" s="2807"/>
      <c r="F25" s="899" t="s">
        <v>1261</v>
      </c>
      <c r="G25" s="898">
        <f>IF($A$22="sim","Digite",10)</f>
        <v>10</v>
      </c>
      <c r="H25" s="898">
        <f>IF($A$22="sim","Digite",20)</f>
        <v>20</v>
      </c>
    </row>
    <row r="26" spans="1:11" x14ac:dyDescent="0.25">
      <c r="A26" s="2818" t="s">
        <v>1720</v>
      </c>
      <c r="B26" s="2818"/>
      <c r="F26" s="685" t="str">
        <f>IF(A22="Sim","  Fazer tabela com: Marca, Modelo e níves de Tolerância e Restrição estabelecidos pelo fabricante.","")</f>
        <v/>
      </c>
    </row>
    <row r="27" spans="1:11" x14ac:dyDescent="0.25">
      <c r="A27" s="629" t="s">
        <v>56</v>
      </c>
      <c r="B27" s="176">
        <v>5</v>
      </c>
      <c r="C27" s="217" t="str">
        <f>IF(ABS(B27)&gt;H24,"Restrição",IF(ABS(B27)&gt;G24,"Não","Sim"))</f>
        <v>Sim</v>
      </c>
      <c r="D27" s="8" t="s">
        <v>510</v>
      </c>
    </row>
    <row r="28" spans="1:11" x14ac:dyDescent="0.25">
      <c r="A28" s="629" t="s">
        <v>57</v>
      </c>
      <c r="B28" s="176">
        <v>4</v>
      </c>
      <c r="D28" s="217" t="str">
        <f>IF(A23=" ","*",IF(ABS((B28/A23-1))&gt;0.2,"Restrição",IF(ABS((B28/A23-1))&gt;0.15,"Não","Sim")))</f>
        <v>*</v>
      </c>
      <c r="E28" s="8" t="s">
        <v>1090</v>
      </c>
    </row>
    <row r="29" spans="1:11" x14ac:dyDescent="0.25">
      <c r="A29" s="629" t="s">
        <v>58</v>
      </c>
      <c r="B29" s="176">
        <v>6</v>
      </c>
    </row>
    <row r="30" spans="1:11" x14ac:dyDescent="0.25">
      <c r="A30" s="629" t="s">
        <v>59</v>
      </c>
      <c r="B30" s="176">
        <v>8</v>
      </c>
      <c r="C30" s="144">
        <f>ABS(LARGE(B29:B32,1))</f>
        <v>8</v>
      </c>
      <c r="F30" s="2799" t="s">
        <v>1903</v>
      </c>
      <c r="G30" s="2800"/>
      <c r="H30" s="2801"/>
      <c r="I30" s="1786" t="s">
        <v>1904</v>
      </c>
    </row>
    <row r="31" spans="1:11" x14ac:dyDescent="0.25">
      <c r="A31" s="629" t="s">
        <v>60</v>
      </c>
      <c r="B31" s="176">
        <v>7</v>
      </c>
      <c r="C31" s="144">
        <f>ABS(SMALL(B29:B32,1))</f>
        <v>2</v>
      </c>
      <c r="D31" s="145" t="s">
        <v>62</v>
      </c>
      <c r="F31" s="115" t="s">
        <v>0</v>
      </c>
      <c r="G31" s="175"/>
      <c r="H31" s="1810"/>
      <c r="I31" s="1786">
        <v>120</v>
      </c>
    </row>
    <row r="32" spans="1:11" x14ac:dyDescent="0.25">
      <c r="A32" s="629" t="s">
        <v>61</v>
      </c>
      <c r="B32" s="176">
        <v>2</v>
      </c>
      <c r="C32" s="144">
        <f>ROUND(LARGE(C30:C31,1)-ABS(B27),1)</f>
        <v>3</v>
      </c>
      <c r="D32" s="217" t="str">
        <f>IFERROR(IF(C32&gt;10,"Restrição",IF(C32&gt;5,"Não","Sim")),"Sim")</f>
        <v>Sim</v>
      </c>
      <c r="F32" s="115" t="s">
        <v>13</v>
      </c>
      <c r="G32" s="1058"/>
      <c r="H32" s="1810"/>
      <c r="I32" s="1786">
        <v>300</v>
      </c>
    </row>
    <row r="33" spans="1:9" s="620" customFormat="1" x14ac:dyDescent="0.25">
      <c r="A33" s="621"/>
      <c r="B33" s="751"/>
      <c r="C33" s="751"/>
      <c r="D33" s="751"/>
      <c r="F33" s="115" t="s">
        <v>199</v>
      </c>
      <c r="G33" s="1058"/>
      <c r="H33" s="1810"/>
      <c r="I33" s="1786">
        <v>300</v>
      </c>
    </row>
    <row r="34" spans="1:9" x14ac:dyDescent="0.25">
      <c r="A34" s="2815" t="s">
        <v>1719</v>
      </c>
      <c r="B34" s="2816"/>
      <c r="C34" s="2817"/>
      <c r="F34" s="115" t="s">
        <v>110</v>
      </c>
      <c r="G34" s="1058"/>
      <c r="H34" s="1810" t="s">
        <v>32</v>
      </c>
    </row>
    <row r="35" spans="1:9" x14ac:dyDescent="0.25">
      <c r="A35" s="2813" t="s">
        <v>1087</v>
      </c>
      <c r="B35" s="2814"/>
      <c r="C35" s="1812">
        <f>IF(C39="",C40,C39)</f>
        <v>0</v>
      </c>
      <c r="D35" s="217" t="str">
        <f>IF(C35=0,"Sim",IF(ABS(C35+1000)&gt;H25,"Restrição",IF(ABS(C35+1000)&gt;G25,"Não","Sim")))</f>
        <v>Sim</v>
      </c>
      <c r="E35" s="8" t="s">
        <v>510</v>
      </c>
      <c r="F35" s="117" t="s">
        <v>77</v>
      </c>
      <c r="G35" s="1058"/>
      <c r="H35" s="1811" t="s">
        <v>32</v>
      </c>
    </row>
    <row r="36" spans="1:9" x14ac:dyDescent="0.25">
      <c r="A36" s="2813" t="s">
        <v>1088</v>
      </c>
      <c r="B36" s="2814"/>
      <c r="C36" s="1812">
        <f>IF(C39="",D40,D39)</f>
        <v>0</v>
      </c>
      <c r="D36" s="751" t="str">
        <f>IF(A24=" ","*",IF(ABS((C36/A24-1))&gt;0.2,"Restrição",IF(ABS((C36/A24-1))&gt;0.15,"Não","Sim")))</f>
        <v>*</v>
      </c>
      <c r="E36" s="8" t="s">
        <v>1091</v>
      </c>
    </row>
    <row r="38" spans="1:9" s="620" customFormat="1" x14ac:dyDescent="0.25">
      <c r="C38" s="1787" t="s">
        <v>1907</v>
      </c>
      <c r="D38" s="1787" t="s">
        <v>1901</v>
      </c>
    </row>
    <row r="39" spans="1:9" s="620" customFormat="1" x14ac:dyDescent="0.25">
      <c r="A39" s="2802" t="s">
        <v>1905</v>
      </c>
      <c r="B39" s="2802"/>
      <c r="C39" s="1058"/>
      <c r="D39" s="801"/>
    </row>
    <row r="40" spans="1:9" s="620" customFormat="1" x14ac:dyDescent="0.25">
      <c r="A40" s="2802" t="s">
        <v>1906</v>
      </c>
      <c r="B40" s="2802"/>
      <c r="C40" s="1058"/>
      <c r="D40" s="801"/>
    </row>
    <row r="41" spans="1:9" s="620" customFormat="1" ht="15.75" thickBot="1" x14ac:dyDescent="0.3"/>
    <row r="42" spans="1:9" ht="15.75" thickBot="1" x14ac:dyDescent="0.3">
      <c r="A42" s="2496" t="s">
        <v>109</v>
      </c>
      <c r="B42" s="2497"/>
      <c r="C42" s="2497"/>
      <c r="D42" s="2497"/>
      <c r="E42" s="2497"/>
      <c r="F42" s="2497"/>
      <c r="G42" s="2498"/>
    </row>
    <row r="43" spans="1:9" x14ac:dyDescent="0.25">
      <c r="A43" t="s">
        <v>298</v>
      </c>
      <c r="B43" s="152" t="str">
        <f>F12</f>
        <v>Pro-Rad</v>
      </c>
      <c r="C43" s="121" t="s">
        <v>299</v>
      </c>
    </row>
    <row r="44" spans="1:9" x14ac:dyDescent="0.25">
      <c r="A44" s="2805" t="s">
        <v>1338</v>
      </c>
      <c r="B44" s="2805"/>
      <c r="C44" s="2805"/>
      <c r="D44" s="2805" t="s">
        <v>99</v>
      </c>
      <c r="E44" s="2805"/>
      <c r="F44" s="1542" t="str">
        <f>B1</f>
        <v>IN 93</v>
      </c>
    </row>
    <row r="45" spans="1:9" x14ac:dyDescent="0.25">
      <c r="A45" s="2527" t="s">
        <v>1721</v>
      </c>
      <c r="B45" s="2527"/>
      <c r="C45" s="583">
        <v>1</v>
      </c>
      <c r="D45" s="763">
        <f>IF($F$12="Fluke",Tabelas!B76,IF($F$12="GE",Tabelas!E76,IF($F$12="Philips",Tabelas!H76,IF($F$12="Pro-Rad",Tabelas!K76,"erro"))))</f>
        <v>2.5</v>
      </c>
      <c r="E45" s="629" t="s">
        <v>184</v>
      </c>
      <c r="F45" s="1542" t="str">
        <f>IFERROR(IF(D45&lt;3,"Restrição",IF(D45&lt;6,"Não","Sim")),"NPA")</f>
        <v>Restrição</v>
      </c>
    </row>
    <row r="46" spans="1:9" x14ac:dyDescent="0.25">
      <c r="A46" s="2527" t="s">
        <v>1722</v>
      </c>
      <c r="B46" s="2527"/>
      <c r="C46" s="583">
        <v>2</v>
      </c>
      <c r="D46" s="763">
        <f>IF($F$12="Fluke",Tabelas!B77,IF($F$12="GE",Tabelas!E77,IF($F$12="Philips",Tabelas!H77,IF($F$12="Pro-Rad",Tabelas!K77,"erro"))))</f>
        <v>3</v>
      </c>
      <c r="E46" s="629" t="s">
        <v>184</v>
      </c>
      <c r="F46" s="1542" t="str">
        <f>IFERROR(IF(D46&lt;3,"Restrição",IF(D46&lt;6,"Não","Sim")),"NPA")</f>
        <v>Não</v>
      </c>
    </row>
    <row r="47" spans="1:9" s="620" customFormat="1" x14ac:dyDescent="0.25">
      <c r="A47" s="2527" t="s">
        <v>1337</v>
      </c>
      <c r="B47" s="2527"/>
      <c r="C47" s="583">
        <v>3</v>
      </c>
      <c r="D47" s="763">
        <f>IF($F$12="Fluke",Tabelas!B78,IF($F$12="GE",Tabelas!E78,IF($F$12="Philips",Tabelas!H78,IF($F$12="Pro-Rad",Tabelas!K78,"erro"))))</f>
        <v>5</v>
      </c>
      <c r="E47" s="629" t="s">
        <v>184</v>
      </c>
      <c r="F47" s="1542" t="str">
        <f>IFERROR(IF(D47&lt;5,"Restrição",IF(D47&lt;10,"Não","Sim")),"NPA")</f>
        <v>Não</v>
      </c>
    </row>
    <row r="49" spans="1:7" ht="15.75" thickBot="1" x14ac:dyDescent="0.3"/>
    <row r="50" spans="1:7" ht="15.75" thickBot="1" x14ac:dyDescent="0.3">
      <c r="A50" s="2496" t="s">
        <v>1908</v>
      </c>
      <c r="B50" s="2497"/>
      <c r="C50" s="2497"/>
      <c r="D50" s="2497"/>
      <c r="E50" s="2497"/>
      <c r="F50" s="2498"/>
    </row>
    <row r="51" spans="1:7" s="620" customFormat="1" ht="15.75" thickBot="1" x14ac:dyDescent="0.3"/>
    <row r="52" spans="1:7" x14ac:dyDescent="0.25">
      <c r="A52" s="112" t="s">
        <v>185</v>
      </c>
      <c r="B52" s="112" t="s">
        <v>186</v>
      </c>
      <c r="F52" s="1357" t="str">
        <f>$B$1</f>
        <v>IN 93</v>
      </c>
    </row>
    <row r="53" spans="1:7" x14ac:dyDescent="0.25">
      <c r="A53" s="584"/>
      <c r="B53" s="584"/>
      <c r="C53" t="s">
        <v>32</v>
      </c>
      <c r="D53" s="144" t="e">
        <f>IF(A53&gt;2,ABS(A53-B53),ABS(B53/A53-1)*100)</f>
        <v>#DIV/0!</v>
      </c>
      <c r="E53" t="str">
        <f>IF(A53&gt;2,"mm","%")</f>
        <v>%</v>
      </c>
      <c r="F53" s="1083" t="str">
        <f>IFERROR(IF(E53="mm",IF(D53&gt;2,"Restrição",IF(D53&gt;1,"Não","Sim")),IF(ABS(B53-A53)&gt;2,"Restrição",IF(D53&gt;50,"Não","Sim"))),"")</f>
        <v/>
      </c>
    </row>
    <row r="54" spans="1:7" x14ac:dyDescent="0.25">
      <c r="A54" s="584"/>
      <c r="B54" s="584"/>
      <c r="C54" t="s">
        <v>32</v>
      </c>
      <c r="D54" s="144" t="e">
        <f>IF(A54&gt;2,ABS(A54-B54),ABS(B54/A54-1)*100)</f>
        <v>#DIV/0!</v>
      </c>
      <c r="E54" t="str">
        <f>IF(A54&gt;2,"mm","%")</f>
        <v>%</v>
      </c>
      <c r="F54" s="1083" t="str">
        <f>IFERROR(IF(E54="mm",IF(D54&gt;2,"Restrição",IF(D54&gt;1,"Não","Sim")),IF(ABS(B54-A54)&gt;2,"Restrição",IF(D54&gt;50,"Não","Sim"))),"")</f>
        <v/>
      </c>
    </row>
    <row r="55" spans="1:7" x14ac:dyDescent="0.25">
      <c r="A55" s="584"/>
      <c r="B55" s="584"/>
      <c r="C55" t="s">
        <v>32</v>
      </c>
      <c r="D55" s="144" t="e">
        <f>IF(A55&gt;2,ABS(A55-B55),ABS(B55/A55-1)*100)</f>
        <v>#DIV/0!</v>
      </c>
      <c r="E55" t="str">
        <f>IF(A55&gt;2,"mm","%")</f>
        <v>%</v>
      </c>
      <c r="F55" s="1083" t="str">
        <f>IFERROR(IF(E55="mm",IF(D55&gt;2,"Restrição",IF(D55&gt;1,"Não","Sim")),IF(ABS(B55-A55)&gt;2,"Restrição",IF(D55&gt;50,"Não","Sim"))),"")</f>
        <v/>
      </c>
    </row>
    <row r="56" spans="1:7" ht="15.75" thickBot="1" x14ac:dyDescent="0.3">
      <c r="A56" s="584"/>
      <c r="B56" s="584"/>
      <c r="C56" t="s">
        <v>32</v>
      </c>
      <c r="D56" s="144" t="e">
        <f>IF(A56&gt;2,ABS(A56-B56),ABS(B56/A56-1)*100)</f>
        <v>#DIV/0!</v>
      </c>
      <c r="E56" t="str">
        <f>IF(A56&gt;2,"mm","%")</f>
        <v>%</v>
      </c>
      <c r="F56" s="1084" t="str">
        <f>IFERROR(IF(E56="mm",IF(D56&gt;2,"Restrição",IF(D56&gt;1,"Não","Sim")),IF(ABS(B56-A56)&gt;2,"Restrição",IF(D56&gt;50,"Não","Sim"))),"")</f>
        <v/>
      </c>
    </row>
    <row r="58" spans="1:7" s="620" customFormat="1" ht="15.75" thickBot="1" x14ac:dyDescent="0.3"/>
    <row r="59" spans="1:7" ht="15.75" thickBot="1" x14ac:dyDescent="0.3">
      <c r="A59" s="2496" t="s">
        <v>1264</v>
      </c>
      <c r="B59" s="2497"/>
      <c r="C59" s="2497"/>
      <c r="D59" s="2497"/>
      <c r="E59" s="2497"/>
      <c r="F59" s="2497"/>
      <c r="G59" s="2498"/>
    </row>
    <row r="60" spans="1:7" ht="15.75" thickBot="1" x14ac:dyDescent="0.3">
      <c r="B60" s="1080"/>
      <c r="D60" s="1081" t="s">
        <v>1339</v>
      </c>
      <c r="E60" s="1076"/>
      <c r="F60" t="s">
        <v>12</v>
      </c>
    </row>
    <row r="61" spans="1:7" x14ac:dyDescent="0.25">
      <c r="B61" s="13"/>
      <c r="D61" s="1060" t="s">
        <v>1340</v>
      </c>
      <c r="E61" s="584"/>
      <c r="F61" t="s">
        <v>12</v>
      </c>
      <c r="G61" s="1357" t="str">
        <f>$B$1</f>
        <v>IN 93</v>
      </c>
    </row>
    <row r="62" spans="1:7" ht="15.75" thickBot="1" x14ac:dyDescent="0.3">
      <c r="E62" s="799">
        <f>ROUNDDOWN(ABS(E60-E61)*10,0)</f>
        <v>0</v>
      </c>
      <c r="F62" t="s">
        <v>32</v>
      </c>
      <c r="G62" s="1082" t="str">
        <f>IF(E62&gt;2,"Restrição",IF(E62&gt;1,"Não","Sim"))</f>
        <v>Sim</v>
      </c>
    </row>
    <row r="64" spans="1:7" ht="15.75" thickBot="1" x14ac:dyDescent="0.3"/>
    <row r="65" spans="1:10" ht="15.75" thickBot="1" x14ac:dyDescent="0.3">
      <c r="A65" s="2496" t="s">
        <v>1265</v>
      </c>
      <c r="B65" s="2497"/>
      <c r="C65" s="2497"/>
      <c r="D65" s="2497"/>
      <c r="E65" s="2498"/>
    </row>
    <row r="66" spans="1:10" x14ac:dyDescent="0.25">
      <c r="B66" s="2804" t="s">
        <v>102</v>
      </c>
      <c r="C66" s="2804"/>
      <c r="I66" s="27"/>
      <c r="J66" s="27"/>
    </row>
    <row r="67" spans="1:10" x14ac:dyDescent="0.25">
      <c r="B67" s="800" t="s">
        <v>100</v>
      </c>
      <c r="C67" s="800" t="s">
        <v>101</v>
      </c>
      <c r="I67" s="26"/>
      <c r="J67" s="2"/>
    </row>
    <row r="68" spans="1:10" ht="15.75" thickBot="1" x14ac:dyDescent="0.3">
      <c r="A68" s="8" t="s">
        <v>1131</v>
      </c>
      <c r="B68" s="799">
        <v>30</v>
      </c>
      <c r="C68" s="584"/>
      <c r="D68" s="3">
        <f>ABS(C68-B68)</f>
        <v>30</v>
      </c>
      <c r="I68" s="26"/>
      <c r="J68" s="2"/>
    </row>
    <row r="69" spans="1:10" x14ac:dyDescent="0.25">
      <c r="A69" s="8" t="s">
        <v>1132</v>
      </c>
      <c r="B69" s="799">
        <v>0</v>
      </c>
      <c r="C69" s="584"/>
      <c r="D69" s="3">
        <f>ABS(C69-B69)</f>
        <v>0</v>
      </c>
      <c r="E69" s="1357" t="str">
        <f>$B$1</f>
        <v>IN 93</v>
      </c>
      <c r="I69" s="26"/>
      <c r="J69" s="2"/>
    </row>
    <row r="70" spans="1:10" ht="15.75" thickBot="1" x14ac:dyDescent="0.3">
      <c r="C70" s="3">
        <f>ROUNDDOWN(LARGE(D68:D69,1)*10,1)</f>
        <v>300</v>
      </c>
      <c r="D70" t="s">
        <v>32</v>
      </c>
      <c r="E70" s="1084" t="str">
        <f>IFERROR(IF(C70&gt;2,"Restrição",IF(C70&gt;1,"Não","Sim")),"NPA")</f>
        <v>Restrição</v>
      </c>
    </row>
    <row r="72" spans="1:10" ht="15.75" thickBot="1" x14ac:dyDescent="0.3"/>
    <row r="73" spans="1:10" ht="15.75" thickBot="1" x14ac:dyDescent="0.3">
      <c r="A73" s="2496" t="s">
        <v>831</v>
      </c>
      <c r="B73" s="2497"/>
      <c r="C73" s="2497"/>
      <c r="D73" s="2497"/>
      <c r="E73" s="2497"/>
      <c r="F73" s="2498"/>
    </row>
    <row r="74" spans="1:10" x14ac:dyDescent="0.25">
      <c r="A74" s="2803" t="s">
        <v>187</v>
      </c>
      <c r="B74" s="2803"/>
      <c r="C74" s="175" t="s">
        <v>272</v>
      </c>
      <c r="D74" s="2"/>
    </row>
    <row r="75" spans="1:10" x14ac:dyDescent="0.25">
      <c r="A75" s="2803" t="s">
        <v>188</v>
      </c>
      <c r="B75" s="2803"/>
      <c r="C75" s="176" t="s">
        <v>272</v>
      </c>
      <c r="D75" s="2"/>
    </row>
    <row r="76" spans="1:10" x14ac:dyDescent="0.25">
      <c r="A76" s="2803" t="s">
        <v>189</v>
      </c>
      <c r="B76" s="2803"/>
      <c r="C76" s="583"/>
      <c r="D76" s="31" t="s">
        <v>32</v>
      </c>
      <c r="E76" s="148" t="str">
        <f>IF(OR(C75="Não",C74="Não",C76=""),"NA",IF(C76&gt;4,"Restrição",IF(C76&gt;=2,"Não","Sim")))</f>
        <v>NA</v>
      </c>
      <c r="F76" s="620" t="s">
        <v>515</v>
      </c>
    </row>
    <row r="77" spans="1:10" x14ac:dyDescent="0.25">
      <c r="A77" s="2803" t="s">
        <v>190</v>
      </c>
      <c r="B77" s="2803"/>
      <c r="C77" s="584" t="str">
        <f>IF(A79="","",ROUND(ABS(A79/2-A80),0))</f>
        <v/>
      </c>
      <c r="D77" s="31" t="s">
        <v>32</v>
      </c>
      <c r="E77" s="148" t="str">
        <f>IF(C74="Não","NA",IF(C77="","NPA",IF(C77&gt;4,"Restrição",IF(C77&gt;=2,"Não","Sim"))))</f>
        <v>NPA</v>
      </c>
      <c r="F77" s="620" t="s">
        <v>516</v>
      </c>
    </row>
    <row r="78" spans="1:10" s="620" customFormat="1" x14ac:dyDescent="0.25">
      <c r="A78" s="1057"/>
      <c r="B78" s="1057"/>
      <c r="C78" s="584"/>
      <c r="D78" s="1057"/>
      <c r="E78" s="219"/>
    </row>
    <row r="79" spans="1:10" x14ac:dyDescent="0.25">
      <c r="A79" s="583"/>
      <c r="B79" t="s">
        <v>1226</v>
      </c>
    </row>
    <row r="80" spans="1:10" s="620" customFormat="1" x14ac:dyDescent="0.25">
      <c r="A80" s="583"/>
      <c r="B80" s="620" t="s">
        <v>1225</v>
      </c>
    </row>
    <row r="81" spans="1:8" ht="15.75" thickBot="1" x14ac:dyDescent="0.3"/>
    <row r="82" spans="1:8" ht="15.75" thickBot="1" x14ac:dyDescent="0.3">
      <c r="A82" s="2496" t="s">
        <v>1909</v>
      </c>
      <c r="B82" s="2497"/>
      <c r="C82" s="2497"/>
      <c r="D82" s="2497"/>
      <c r="E82" s="2497"/>
      <c r="F82" s="2497"/>
      <c r="G82" s="2498"/>
    </row>
    <row r="83" spans="1:8" x14ac:dyDescent="0.25">
      <c r="A83" s="2803" t="s">
        <v>526</v>
      </c>
      <c r="B83" s="2803"/>
      <c r="C83" s="175" t="s">
        <v>272</v>
      </c>
      <c r="D83" s="152" t="s">
        <v>240</v>
      </c>
      <c r="E83" s="1549" t="str">
        <f>$B$1</f>
        <v>IN 93</v>
      </c>
    </row>
    <row r="84" spans="1:8" x14ac:dyDescent="0.25">
      <c r="B84" s="1525"/>
      <c r="C84" s="1825" t="s">
        <v>1916</v>
      </c>
      <c r="D84" s="1547">
        <f ca="1">IF(COUNT(A86:G114)&gt;0,IF(C84="Fantoma Fatiado",MAX(C91,C93,E91,E93,E97,G91,G93,G97),MAX(C105,C107,C108,C110,E105,E107,E108,E110,E115,G105,G107,G108,G110,G115)),"NPA")</f>
        <v>0</v>
      </c>
      <c r="E84" s="1548" t="str">
        <f ca="1">IF(OR(C83="Não",D84="NPA"),"NA",IF(D84&gt;0.4,"Restrição",IF(D84&gt;0.2,"Não","Sim")))</f>
        <v>Sim</v>
      </c>
    </row>
    <row r="86" spans="1:8" s="620" customFormat="1" hidden="1" x14ac:dyDescent="0.25">
      <c r="A86" s="620" t="s">
        <v>1725</v>
      </c>
    </row>
    <row r="87" spans="1:8" s="620" customFormat="1" hidden="1" x14ac:dyDescent="0.25">
      <c r="A87"/>
      <c r="B87"/>
      <c r="C87"/>
      <c r="D87"/>
      <c r="E87"/>
      <c r="F87"/>
      <c r="G87"/>
      <c r="H87"/>
    </row>
    <row r="88" spans="1:8" s="620" customFormat="1" hidden="1" x14ac:dyDescent="0.25">
      <c r="A88"/>
      <c r="B88"/>
      <c r="C88"/>
      <c r="D88"/>
      <c r="E88"/>
      <c r="F88"/>
      <c r="G88"/>
      <c r="H88"/>
    </row>
    <row r="89" spans="1:8" s="620" customFormat="1" hidden="1" x14ac:dyDescent="0.25"/>
    <row r="90" spans="1:8" s="138" customFormat="1" hidden="1" x14ac:dyDescent="0.25">
      <c r="A90"/>
      <c r="B90"/>
      <c r="C90"/>
      <c r="D90"/>
      <c r="E90"/>
      <c r="F90"/>
      <c r="G90"/>
      <c r="H90"/>
    </row>
    <row r="91" spans="1:8" s="138" customFormat="1" hidden="1" x14ac:dyDescent="0.25">
      <c r="A91" s="1526" t="s">
        <v>199</v>
      </c>
      <c r="B91" s="1546"/>
      <c r="C91" s="1087" t="str">
        <f>IFERROR(ROUNDDOWN(ABS(B94-B91)/B91,3),"")</f>
        <v/>
      </c>
      <c r="D91" s="1546"/>
      <c r="E91" s="1087" t="str">
        <f>IFERROR(ROUNDDOWN(ABS(D94-D91)/D91,3),"")</f>
        <v/>
      </c>
      <c r="F91" s="1546"/>
      <c r="G91" s="1087" t="str">
        <f>IFERROR(ROUNDDOWN(ABS(F94-F91)/F91,3),"")</f>
        <v/>
      </c>
      <c r="H91"/>
    </row>
    <row r="92" spans="1:8" s="138" customFormat="1" hidden="1" x14ac:dyDescent="0.25">
      <c r="A92" s="1787" t="s">
        <v>1910</v>
      </c>
      <c r="B92" s="1546"/>
      <c r="C92" s="1087"/>
      <c r="D92" s="1546"/>
      <c r="E92" s="1087"/>
      <c r="F92" s="1546"/>
      <c r="G92" s="1087"/>
      <c r="H92" s="620"/>
    </row>
    <row r="93" spans="1:8" s="138" customFormat="1" hidden="1" x14ac:dyDescent="0.25">
      <c r="A93" s="1526" t="s">
        <v>1911</v>
      </c>
      <c r="B93" s="1546"/>
      <c r="C93" s="1087" t="str">
        <f>IFERROR(ROUNDDOWN(ABS(B96-B93)/B93,3),"")</f>
        <v/>
      </c>
      <c r="D93" s="1546"/>
      <c r="E93" s="1087" t="str">
        <f>IFERROR(ROUNDDOWN(ABS(D96-D93)/D93,3),"")</f>
        <v/>
      </c>
      <c r="F93" s="1546"/>
      <c r="G93" s="1087" t="str">
        <f>IFERROR(ROUNDDOWN(ABS(F96-F93)/F93,3),"")</f>
        <v/>
      </c>
      <c r="H93"/>
    </row>
    <row r="94" spans="1:8" s="138" customFormat="1" hidden="1" x14ac:dyDescent="0.25">
      <c r="A94" s="1526" t="s">
        <v>199</v>
      </c>
      <c r="B94" s="1546"/>
      <c r="C94" s="1526"/>
      <c r="D94" s="1546"/>
      <c r="E94" s="1526"/>
      <c r="F94" s="1546"/>
      <c r="G94" s="1526"/>
      <c r="H94" s="620"/>
    </row>
    <row r="95" spans="1:8" s="138" customFormat="1" hidden="1" x14ac:dyDescent="0.25">
      <c r="A95" s="1787" t="s">
        <v>1910</v>
      </c>
      <c r="B95" s="1546"/>
      <c r="C95" s="1787"/>
      <c r="D95" s="1546"/>
      <c r="E95" s="1787"/>
      <c r="F95" s="1546"/>
      <c r="G95" s="1787"/>
      <c r="H95" s="620"/>
    </row>
    <row r="96" spans="1:8" s="138" customFormat="1" hidden="1" x14ac:dyDescent="0.25">
      <c r="A96" s="1787" t="s">
        <v>1911</v>
      </c>
      <c r="B96" s="1546"/>
      <c r="C96" s="1526"/>
      <c r="D96" s="1546"/>
      <c r="E96" s="1526"/>
      <c r="F96" s="1546"/>
      <c r="G96" s="1526"/>
      <c r="H96" s="620"/>
    </row>
    <row r="97" spans="1:11" s="138" customFormat="1" hidden="1" x14ac:dyDescent="0.25">
      <c r="A97" s="1543" t="s">
        <v>1015</v>
      </c>
      <c r="B97" s="538" t="s">
        <v>240</v>
      </c>
      <c r="C97" s="1526"/>
      <c r="D97" s="538" t="str">
        <f ca="1">IFERROR(IF(Cabeçalho!$G$28="Unfors",INDIRECT(ADDRESS(D98,3,1,1,"medidas Unfors"),1),INDIRECT(ADDRESS(D98,4,1,1,"medidas Fluke"),1)/1000),"")</f>
        <v/>
      </c>
      <c r="E97" s="1087" t="str">
        <f ca="1">IFERROR(ROUNDDOWN(ABS(F97-D97)/D97,3),"")</f>
        <v/>
      </c>
      <c r="F97" s="538" t="str">
        <f ca="1">IFERROR(IF(Cabeçalho!$G$28="Unfors",INDIRECT(ADDRESS(F98,3,1,1,"medidas Unfors"),1),INDIRECT(ADDRESS(F98,4,1,1,"medidas Fluke"),1)/1000),"")</f>
        <v/>
      </c>
      <c r="G97" s="1087" t="str">
        <f ca="1">IFERROR(ROUNDDOWN(ABS(D97-F97)/F97,3),"")</f>
        <v/>
      </c>
      <c r="H97" s="620"/>
    </row>
    <row r="98" spans="1:11" s="138" customFormat="1" hidden="1" x14ac:dyDescent="0.25">
      <c r="A98" s="1543" t="s">
        <v>521</v>
      </c>
      <c r="B98" s="1072" t="s">
        <v>240</v>
      </c>
      <c r="C98" s="1526"/>
      <c r="D98" s="1214"/>
      <c r="E98" s="1526"/>
      <c r="F98" s="1214"/>
      <c r="G98" s="1526"/>
      <c r="H98" s="620"/>
      <c r="I98" s="156"/>
      <c r="J98" s="1544"/>
      <c r="K98" s="156"/>
    </row>
    <row r="99" spans="1:11" s="138" customFormat="1" hidden="1" x14ac:dyDescent="0.25">
      <c r="A99" s="1543"/>
      <c r="B99" s="1543"/>
      <c r="C99" s="156"/>
      <c r="D99" s="1544"/>
      <c r="E99" s="156"/>
      <c r="F99" s="1544"/>
      <c r="G99" s="156"/>
      <c r="I99" s="156"/>
      <c r="J99" s="1544"/>
      <c r="K99" s="156"/>
    </row>
    <row r="100" spans="1:11" s="138" customFormat="1" x14ac:dyDescent="0.25">
      <c r="A100" s="1543" t="s">
        <v>1726</v>
      </c>
      <c r="B100" s="1543"/>
      <c r="C100" s="156"/>
      <c r="D100" s="1544"/>
      <c r="E100" s="156"/>
      <c r="F100" s="1544"/>
      <c r="G100" s="156"/>
      <c r="I100" s="156"/>
      <c r="J100" s="1544"/>
      <c r="K100" s="156"/>
    </row>
    <row r="101" spans="1:11" s="138" customFormat="1" x14ac:dyDescent="0.25">
      <c r="A101" s="1543"/>
      <c r="B101" s="1543"/>
      <c r="C101" s="156"/>
      <c r="D101" s="1544"/>
      <c r="E101" s="156"/>
      <c r="F101" s="1544"/>
      <c r="G101" s="156"/>
      <c r="I101" s="156"/>
      <c r="J101" s="1544"/>
      <c r="K101" s="156"/>
    </row>
    <row r="102" spans="1:11" s="138" customFormat="1" x14ac:dyDescent="0.25">
      <c r="A102" s="1543"/>
      <c r="B102" s="1543"/>
      <c r="C102" s="156"/>
      <c r="D102" s="1544"/>
      <c r="E102" s="156"/>
      <c r="F102" s="1544"/>
      <c r="G102" s="156"/>
      <c r="I102" s="156"/>
      <c r="J102" s="1544"/>
      <c r="K102" s="156"/>
    </row>
    <row r="103" spans="1:11" s="138" customFormat="1" x14ac:dyDescent="0.25">
      <c r="A103" s="1543"/>
      <c r="B103" s="1543"/>
      <c r="C103" s="156"/>
      <c r="D103" s="1544"/>
      <c r="E103" s="156"/>
      <c r="F103" s="1544"/>
      <c r="G103" s="156"/>
      <c r="I103" s="156"/>
      <c r="J103" s="1544"/>
      <c r="K103" s="156"/>
    </row>
    <row r="104" spans="1:11" s="138" customFormat="1" x14ac:dyDescent="0.25">
      <c r="A104" s="1543"/>
      <c r="B104" s="1543" t="s">
        <v>83</v>
      </c>
      <c r="C104" s="156"/>
      <c r="D104" s="1544" t="s">
        <v>82</v>
      </c>
      <c r="E104" s="156"/>
      <c r="F104" s="1544" t="s">
        <v>1261</v>
      </c>
      <c r="G104" s="156"/>
      <c r="I104" s="156"/>
      <c r="J104" s="1544"/>
      <c r="K104" s="156"/>
    </row>
    <row r="105" spans="1:11" s="138" customFormat="1" x14ac:dyDescent="0.25">
      <c r="A105" s="1526" t="s">
        <v>199</v>
      </c>
      <c r="B105" s="1546"/>
      <c r="C105" s="1545" t="str">
        <f>IFERROR(ROUNDDOWN(ABS(B108-B105)/B105,3),"")</f>
        <v/>
      </c>
      <c r="D105" s="1546"/>
      <c r="E105" s="1545" t="str">
        <f>IFERROR(ROUNDDOWN(ABS(D108-D105)/D105,3),"")</f>
        <v/>
      </c>
      <c r="F105" s="1546"/>
      <c r="G105" s="1545" t="str">
        <f>IFERROR(ROUNDDOWN(ABS(F108-F105)/F105,3),"")</f>
        <v/>
      </c>
      <c r="H105" s="1544"/>
      <c r="I105" s="156"/>
      <c r="J105" s="1544"/>
      <c r="K105" s="156"/>
    </row>
    <row r="106" spans="1:11" s="138" customFormat="1" x14ac:dyDescent="0.25">
      <c r="A106" s="1787" t="s">
        <v>1910</v>
      </c>
      <c r="B106" s="1546"/>
      <c r="C106" s="1545"/>
      <c r="D106" s="1546"/>
      <c r="E106" s="1545"/>
      <c r="F106" s="1546"/>
      <c r="G106" s="1545"/>
      <c r="H106" s="1544"/>
      <c r="I106" s="156"/>
      <c r="J106" s="1544"/>
      <c r="K106" s="156"/>
    </row>
    <row r="107" spans="1:11" s="138" customFormat="1" x14ac:dyDescent="0.25">
      <c r="A107" s="1787" t="s">
        <v>1911</v>
      </c>
      <c r="B107" s="1546"/>
      <c r="C107" s="1545" t="str">
        <f>IFERROR(ROUNDDOWN(ABS(B110-B107)/B107,3),"")</f>
        <v/>
      </c>
      <c r="D107" s="1546"/>
      <c r="E107" s="1545" t="str">
        <f>IFERROR(ROUNDDOWN(ABS(D110-D107)/D107,3),"")</f>
        <v/>
      </c>
      <c r="F107" s="1546"/>
      <c r="G107" s="1545" t="str">
        <f>IFERROR(ROUNDDOWN(ABS(F110-F107)/F107,3),"")</f>
        <v/>
      </c>
      <c r="H107" s="1544"/>
      <c r="I107" s="156"/>
      <c r="J107" s="1544"/>
      <c r="K107" s="156"/>
    </row>
    <row r="108" spans="1:11" s="138" customFormat="1" x14ac:dyDescent="0.25">
      <c r="A108" s="1526" t="s">
        <v>199</v>
      </c>
      <c r="B108" s="1546"/>
      <c r="C108" s="1545" t="str">
        <f>IFERROR(ROUNDDOWN(ABS(B111-B108)/B108,3),"")</f>
        <v/>
      </c>
      <c r="D108" s="1546"/>
      <c r="E108" s="1545" t="str">
        <f>IFERROR(ROUNDDOWN(ABS(D111-D108)/D108,3),"")</f>
        <v/>
      </c>
      <c r="F108" s="1546"/>
      <c r="G108" s="1545" t="str">
        <f>IFERROR(ROUNDDOWN(ABS(F111-F108)/F108,3),"")</f>
        <v/>
      </c>
      <c r="H108" s="1544"/>
      <c r="I108" s="156"/>
      <c r="J108" s="1544"/>
      <c r="K108" s="156"/>
    </row>
    <row r="109" spans="1:11" s="138" customFormat="1" x14ac:dyDescent="0.25">
      <c r="A109" s="1787" t="s">
        <v>1910</v>
      </c>
      <c r="B109" s="1546"/>
      <c r="C109" s="1545"/>
      <c r="D109" s="1546"/>
      <c r="E109" s="1545"/>
      <c r="F109" s="1546"/>
      <c r="G109" s="1545"/>
      <c r="H109" s="1544"/>
      <c r="I109" s="156"/>
      <c r="J109" s="1544"/>
      <c r="K109" s="156"/>
    </row>
    <row r="110" spans="1:11" s="138" customFormat="1" x14ac:dyDescent="0.25">
      <c r="A110" s="1787" t="s">
        <v>1911</v>
      </c>
      <c r="B110" s="1546"/>
      <c r="C110" s="1545" t="str">
        <f>IFERROR(ROUNDDOWN(ABS(B113-B110)/B110,3),"")</f>
        <v/>
      </c>
      <c r="D110" s="1546"/>
      <c r="E110" s="1545" t="str">
        <f>IFERROR(ROUNDDOWN(ABS(D113-D110)/D110,3),"")</f>
        <v/>
      </c>
      <c r="F110" s="1546"/>
      <c r="G110" s="1545" t="str">
        <f>IFERROR(ROUNDDOWN(ABS(F113-F110)/F110,3),"")</f>
        <v/>
      </c>
      <c r="H110" s="1544"/>
      <c r="I110" s="156"/>
      <c r="J110" s="1544"/>
      <c r="K110" s="156"/>
    </row>
    <row r="111" spans="1:11" s="138" customFormat="1" x14ac:dyDescent="0.25">
      <c r="A111" s="1526" t="s">
        <v>199</v>
      </c>
      <c r="B111" s="1546"/>
      <c r="D111" s="1546"/>
      <c r="E111" s="1543"/>
      <c r="F111" s="1546"/>
      <c r="G111" s="156"/>
      <c r="H111" s="1544"/>
      <c r="I111" s="156"/>
      <c r="J111" s="1544"/>
      <c r="K111" s="156"/>
    </row>
    <row r="112" spans="1:11" s="138" customFormat="1" x14ac:dyDescent="0.25">
      <c r="A112" s="1787" t="s">
        <v>1910</v>
      </c>
      <c r="B112" s="1546"/>
      <c r="D112" s="1546"/>
      <c r="E112" s="1543"/>
      <c r="F112" s="1546"/>
      <c r="G112" s="156"/>
      <c r="H112" s="1544"/>
      <c r="I112" s="156"/>
      <c r="J112" s="1544"/>
      <c r="K112" s="156"/>
    </row>
    <row r="113" spans="1:17" s="138" customFormat="1" x14ac:dyDescent="0.25">
      <c r="A113" s="1787" t="s">
        <v>1911</v>
      </c>
      <c r="B113" s="1546"/>
      <c r="D113" s="1546"/>
      <c r="E113" s="1543"/>
      <c r="F113" s="1546"/>
      <c r="G113" s="156"/>
      <c r="H113" s="1544"/>
      <c r="I113" s="156"/>
      <c r="J113" s="1544"/>
      <c r="K113" s="156"/>
    </row>
    <row r="114" spans="1:17" s="138" customFormat="1" x14ac:dyDescent="0.25">
      <c r="A114" s="1543" t="s">
        <v>521</v>
      </c>
      <c r="B114" s="1214">
        <v>1</v>
      </c>
      <c r="D114" s="1214">
        <v>2</v>
      </c>
      <c r="E114" s="1543"/>
      <c r="F114" s="1214">
        <v>3</v>
      </c>
      <c r="G114" s="156"/>
      <c r="H114" s="1544"/>
      <c r="I114" s="156"/>
      <c r="J114" s="1544"/>
      <c r="K114" s="156"/>
    </row>
    <row r="115" spans="1:17" s="138" customFormat="1" x14ac:dyDescent="0.25">
      <c r="A115" s="1543" t="s">
        <v>1015</v>
      </c>
      <c r="B115" s="538">
        <f ca="1">IFERROR(IF(Cabeçalho!$G$28="Unfors",INDIRECT(ADDRESS(B114,1,1,1,"medidas Unfors"),1),INDIRECT(ADDRESS(B114,4,1,1,"medidas Fluke"),1)/1000),"")</f>
        <v>0</v>
      </c>
      <c r="D115" s="538">
        <f ca="1">IFERROR(IF(Cabeçalho!$G$28="Unfors",INDIRECT(ADDRESS(D114,1,1,1,"medidas Unfors"),1),INDIRECT(ADDRESS(D114,4,1,1,"medidas Fluke"),1)/1000),"")</f>
        <v>0</v>
      </c>
      <c r="E115" s="1087" t="str">
        <f ca="1">IFERROR(ROUNDDOWN(ABS(F115-D115)/D115,3),"")</f>
        <v/>
      </c>
      <c r="F115" s="538">
        <f ca="1">IFERROR(IF(Cabeçalho!$G$28="Unfors",INDIRECT(ADDRESS(F114,1,1,1,"medidas Unfors"),1),INDIRECT(ADDRESS(F114,4,1,1,"medidas Fluke"),1)/1000),"")</f>
        <v>0</v>
      </c>
      <c r="G115" s="1087" t="str">
        <f ca="1">IFERROR(ROUNDDOWN(ABS(D115-F115)/F115,3),"")</f>
        <v/>
      </c>
      <c r="H115" s="1544"/>
      <c r="I115" s="156"/>
      <c r="J115" s="1544"/>
      <c r="K115" s="156"/>
    </row>
    <row r="116" spans="1:17" ht="15.75" thickBot="1" x14ac:dyDescent="0.3"/>
    <row r="117" spans="1:17" ht="15.75" thickBot="1" x14ac:dyDescent="0.3">
      <c r="A117" s="2496" t="s">
        <v>1912</v>
      </c>
      <c r="B117" s="2497"/>
      <c r="C117" s="2497"/>
      <c r="D117" s="2497"/>
      <c r="E117" s="2497"/>
      <c r="F117" s="2497"/>
      <c r="G117" s="2497"/>
      <c r="H117" s="2497"/>
      <c r="I117" s="2497"/>
      <c r="J117" s="2497"/>
      <c r="K117" s="2497"/>
      <c r="L117" s="2497"/>
      <c r="M117" s="2498"/>
    </row>
    <row r="118" spans="1:17" x14ac:dyDescent="0.25">
      <c r="A118" s="2820" t="s">
        <v>519</v>
      </c>
      <c r="B118" s="2820"/>
      <c r="C118" s="62" t="s">
        <v>272</v>
      </c>
      <c r="D118" s="685" t="str">
        <f>IF(C118="sim"," Digitar doses na planilha DOSES","")</f>
        <v xml:space="preserve"> Digitar doses na planilha DOSES</v>
      </c>
    </row>
    <row r="119" spans="1:17" s="684" customFormat="1" ht="30" customHeight="1" thickBot="1" x14ac:dyDescent="0.3">
      <c r="A119" s="2819" t="s">
        <v>33</v>
      </c>
      <c r="B119" s="2819"/>
      <c r="C119" s="683">
        <f>IF(Cabeçalho!G29="Unfors",3,23)</f>
        <v>23</v>
      </c>
    </row>
    <row r="120" spans="1:17" x14ac:dyDescent="0.25">
      <c r="A120" s="1813" t="s">
        <v>16</v>
      </c>
      <c r="B120" s="754">
        <f>H134</f>
        <v>0</v>
      </c>
      <c r="C120" s="755"/>
      <c r="D120" s="754">
        <f>H135</f>
        <v>0</v>
      </c>
      <c r="E120" s="755"/>
      <c r="F120" s="754">
        <f>H136</f>
        <v>0</v>
      </c>
      <c r="G120" s="755"/>
      <c r="H120" s="756"/>
      <c r="J120" s="802"/>
      <c r="K120" s="7"/>
      <c r="L120" s="802"/>
      <c r="M120" s="7"/>
      <c r="N120" s="802"/>
    </row>
    <row r="121" spans="1:17" hidden="1" x14ac:dyDescent="0.25">
      <c r="A121" s="1814" t="s">
        <v>199</v>
      </c>
      <c r="B121" s="758">
        <v>100</v>
      </c>
      <c r="C121" s="759"/>
      <c r="D121" s="758"/>
      <c r="E121" s="759"/>
      <c r="F121" s="758"/>
      <c r="G121" s="759"/>
      <c r="H121" s="760"/>
      <c r="J121" s="802"/>
      <c r="K121" s="7"/>
      <c r="L121" s="802"/>
      <c r="M121" s="7"/>
      <c r="N121" s="802"/>
    </row>
    <row r="122" spans="1:17" x14ac:dyDescent="0.25">
      <c r="A122" s="1815" t="s">
        <v>111</v>
      </c>
      <c r="B122" s="758">
        <f>G134</f>
        <v>0</v>
      </c>
      <c r="C122" s="759" t="s">
        <v>32</v>
      </c>
      <c r="D122" s="758">
        <f>G135</f>
        <v>0</v>
      </c>
      <c r="E122" s="759" t="s">
        <v>32</v>
      </c>
      <c r="F122" s="758">
        <f>G136</f>
        <v>0</v>
      </c>
      <c r="G122" s="759" t="s">
        <v>32</v>
      </c>
      <c r="H122" s="760"/>
      <c r="J122" s="802"/>
      <c r="K122" s="7" t="s">
        <v>32</v>
      </c>
      <c r="L122" s="802"/>
      <c r="M122" s="7" t="s">
        <v>32</v>
      </c>
      <c r="N122" s="802"/>
      <c r="O122" t="s">
        <v>32</v>
      </c>
      <c r="Q122" s="24" t="str">
        <f ca="1">C128</f>
        <v/>
      </c>
    </row>
    <row r="123" spans="1:17" x14ac:dyDescent="0.25">
      <c r="A123" s="1815" t="s">
        <v>520</v>
      </c>
      <c r="B123" s="758">
        <f>E134</f>
        <v>0</v>
      </c>
      <c r="C123" s="759" t="s">
        <v>1</v>
      </c>
      <c r="D123" s="758">
        <f>E135</f>
        <v>0</v>
      </c>
      <c r="E123" s="759" t="s">
        <v>1</v>
      </c>
      <c r="F123" s="758">
        <f>E136</f>
        <v>0</v>
      </c>
      <c r="G123" s="759" t="s">
        <v>1</v>
      </c>
      <c r="H123" s="760"/>
      <c r="J123" s="802"/>
      <c r="K123" s="7" t="s">
        <v>1</v>
      </c>
      <c r="L123" s="802"/>
      <c r="M123" s="7" t="s">
        <v>1</v>
      </c>
      <c r="N123" s="802"/>
      <c r="O123" t="s">
        <v>1</v>
      </c>
      <c r="Q123" s="24" t="str">
        <f ca="1">E128</f>
        <v/>
      </c>
    </row>
    <row r="124" spans="1:17" hidden="1" x14ac:dyDescent="0.25">
      <c r="A124" s="761" t="s">
        <v>521</v>
      </c>
      <c r="B124" s="762">
        <v>1</v>
      </c>
      <c r="C124" s="554"/>
      <c r="D124" s="762"/>
      <c r="E124" s="554"/>
      <c r="F124" s="762"/>
      <c r="G124" s="554"/>
      <c r="H124" s="760"/>
      <c r="J124" s="104"/>
      <c r="L124" s="104"/>
      <c r="N124" s="104"/>
      <c r="Q124" s="24"/>
    </row>
    <row r="125" spans="1:17" ht="18" hidden="1" x14ac:dyDescent="0.35">
      <c r="A125" s="757" t="s">
        <v>956</v>
      </c>
      <c r="B125" s="762">
        <f ca="1">IF(Cabeçalho!$G$28="Unfors",INDIRECT(ADDRESS(B124,$C$119,1,1,"medidas Unfors"),1),INDIRECT(ADDRESS(B124,4,1,1,"medidas Fluke"),1)/1000)</f>
        <v>0</v>
      </c>
      <c r="C125" s="554" t="s">
        <v>1</v>
      </c>
      <c r="D125" s="762" t="e">
        <f ca="1">IF(Cabeçalho!$G$28="Unfors",INDIRECT(ADDRESS(D124,$C$119,1,1,"medidas Unfors"),1),INDIRECT(ADDRESS(D124,4,1,1,"medidas Fluke"),1)/1000)</f>
        <v>#VALUE!</v>
      </c>
      <c r="E125" s="554" t="s">
        <v>1</v>
      </c>
      <c r="F125" s="762" t="e">
        <f ca="1">IF(Cabeçalho!$G$28="Unfors",INDIRECT(ADDRESS(F124,$C$119,1,1,"medidas Unfors"),1),INDIRECT(ADDRESS(F124,4,1,1,"medidas Fluke"),1)/1000)</f>
        <v>#VALUE!</v>
      </c>
      <c r="G125" s="554" t="s">
        <v>1</v>
      </c>
      <c r="H125" s="760"/>
      <c r="J125" s="149" t="e">
        <f ca="1">IF(Cabeçalho!$G$28="Unfors",INDIRECT(ADDRESS(J124,$C$119,1,1,"medidas Unfors"),1),INDIRECT(ADDRESS(J124,4,1,1,"medidas Fluke"),1)/1000)</f>
        <v>#VALUE!</v>
      </c>
      <c r="K125" t="s">
        <v>1</v>
      </c>
      <c r="L125" s="149" t="e">
        <f ca="1">IF(Cabeçalho!$G$28="Unfors",INDIRECT(ADDRESS(L124,$C$119,1,1,"medidas Unfors"),1),INDIRECT(ADDRESS(L124,4,1,1,"medidas Fluke"),1)/1000)</f>
        <v>#VALUE!</v>
      </c>
      <c r="M125" t="s">
        <v>1</v>
      </c>
      <c r="N125" s="149" t="e">
        <f ca="1">IF(Cabeçalho!$G$28="Unfors",INDIRECT(ADDRESS(N124,$C$119,1,1,"medidas Unfors"),1),INDIRECT(ADDRESS(N124,4,1,1,"medidas Fluke"),1)/1000)</f>
        <v>#VALUE!</v>
      </c>
      <c r="O125" t="s">
        <v>1</v>
      </c>
      <c r="Q125" s="24"/>
    </row>
    <row r="126" spans="1:17" s="620" customFormat="1" ht="18" hidden="1" x14ac:dyDescent="0.35">
      <c r="A126" s="757" t="s">
        <v>970</v>
      </c>
      <c r="B126" s="553" t="e">
        <f ca="1">B125*100/B122</f>
        <v>#DIV/0!</v>
      </c>
      <c r="C126" s="554" t="s">
        <v>1</v>
      </c>
      <c r="D126" s="553" t="e">
        <f ca="1">D125*100/D122</f>
        <v>#VALUE!</v>
      </c>
      <c r="E126" s="554" t="s">
        <v>1</v>
      </c>
      <c r="F126" s="553" t="e">
        <f ca="1">F125*100/F122</f>
        <v>#VALUE!</v>
      </c>
      <c r="G126" s="554" t="s">
        <v>1</v>
      </c>
      <c r="H126" s="760"/>
      <c r="J126" s="751" t="e">
        <f ca="1">J125*100/J122</f>
        <v>#VALUE!</v>
      </c>
      <c r="K126" s="620" t="s">
        <v>1</v>
      </c>
      <c r="L126" s="751" t="e">
        <f ca="1">L125*100/L122</f>
        <v>#VALUE!</v>
      </c>
      <c r="M126" s="620" t="s">
        <v>1</v>
      </c>
      <c r="N126" s="751" t="e">
        <f ca="1">N125*100/N122</f>
        <v>#VALUE!</v>
      </c>
      <c r="O126" s="620" t="s">
        <v>1</v>
      </c>
      <c r="Q126" s="24"/>
    </row>
    <row r="127" spans="1:17" ht="18" x14ac:dyDescent="0.35">
      <c r="A127" s="1815" t="s">
        <v>1085</v>
      </c>
      <c r="B127" s="572" t="e">
        <f ca="1">D134</f>
        <v>#VALUE!</v>
      </c>
      <c r="C127" s="554" t="s">
        <v>1</v>
      </c>
      <c r="D127" s="572" t="e">
        <f ca="1">D135</f>
        <v>#VALUE!</v>
      </c>
      <c r="E127" s="554" t="s">
        <v>1</v>
      </c>
      <c r="F127" s="572" t="e">
        <f ca="1">D136</f>
        <v>#VALUE!</v>
      </c>
      <c r="G127" s="554" t="s">
        <v>1</v>
      </c>
      <c r="H127" s="760"/>
      <c r="J127" s="147" t="e">
        <f ca="1">J125*100/J122</f>
        <v>#VALUE!</v>
      </c>
      <c r="K127" t="s">
        <v>1</v>
      </c>
      <c r="L127" s="147" t="e">
        <f ca="1">L125*100/L122</f>
        <v>#VALUE!</v>
      </c>
      <c r="M127" t="s">
        <v>1</v>
      </c>
      <c r="N127" s="147" t="e">
        <f ca="1">N125*100/N122</f>
        <v>#VALUE!</v>
      </c>
      <c r="O127" t="s">
        <v>1</v>
      </c>
      <c r="Q127" s="24" t="str">
        <f ca="1">G128</f>
        <v/>
      </c>
    </row>
    <row r="128" spans="1:17" x14ac:dyDescent="0.25">
      <c r="A128" s="60"/>
      <c r="B128" s="750" t="e">
        <f ca="1">ROUND(ABS(B127/B123-1),1)</f>
        <v>#VALUE!</v>
      </c>
      <c r="C128" s="120" t="str">
        <f ca="1">IFERROR(IF(B128&gt;0.4,"Restrição",IF(B128&gt;=0.2,"Não","Sim")),"")</f>
        <v/>
      </c>
      <c r="D128" s="750" t="e">
        <f ca="1">ROUND(ABS(D127/D123-1),1)</f>
        <v>#VALUE!</v>
      </c>
      <c r="E128" s="120" t="str">
        <f ca="1">IFERROR(IF(D128&gt;0.4,"Restrição",IF(D128&gt;=0.2,"Não","Sim")),"")</f>
        <v/>
      </c>
      <c r="F128" s="750" t="e">
        <f ca="1">ROUND(ABS(F127/F123-1),1)</f>
        <v>#VALUE!</v>
      </c>
      <c r="G128" s="120" t="str">
        <f ca="1">IFERROR(IF(F130&lt;=16,IF(F128&gt;0.4,"Restrição",IF(F128&gt;=0.2,"Não","Sim")),"NPA"),"")</f>
        <v/>
      </c>
      <c r="H128" s="80"/>
      <c r="J128" s="147" t="e">
        <f ca="1">ROUND(ABS(J127/J123-1),1)</f>
        <v>#VALUE!</v>
      </c>
      <c r="K128" s="219" t="str">
        <f ca="1">IFERROR(IF(J128&gt;0.4,"Restrição",IF(J128&gt;=0.2,"Não","Sim")),"")</f>
        <v/>
      </c>
      <c r="L128" s="147" t="e">
        <f ca="1">ROUND(ABS(L127/L123-1),1)</f>
        <v>#VALUE!</v>
      </c>
      <c r="M128" s="219" t="str">
        <f ca="1">IFERROR(IF(L128&gt;0.4,"Restrição",IF(L128&gt;=0.2,"Não","Sim")),"")</f>
        <v/>
      </c>
      <c r="N128" s="147" t="e">
        <f ca="1">ROUND(ABS(N127/N123-1),1)</f>
        <v>#VALUE!</v>
      </c>
      <c r="O128" s="148" t="str">
        <f ca="1">IFERROR(IF(N128&gt;0.4,"Restrição",IF(N128&gt;=0.2,"Não","Sim")),"")</f>
        <v/>
      </c>
    </row>
    <row r="129" spans="1:17" s="138" customFormat="1" x14ac:dyDescent="0.25">
      <c r="B129" s="1543" t="str">
        <f>A134</f>
        <v>Adulto típico (Abdome)</v>
      </c>
      <c r="C129" s="1543"/>
      <c r="D129" s="1543" t="str">
        <f>A135</f>
        <v>Adulto típico (Cabeça)</v>
      </c>
      <c r="E129" s="1543"/>
      <c r="F129" s="1543" t="str">
        <f>A136</f>
        <v>Pediátrico (Abdome)</v>
      </c>
      <c r="G129" s="1543"/>
      <c r="H129" s="1552"/>
      <c r="J129" s="156"/>
      <c r="K129" s="156"/>
      <c r="L129" s="156"/>
      <c r="M129" s="156"/>
      <c r="N129" s="156"/>
      <c r="O129" s="156"/>
      <c r="Q129" s="138" t="str">
        <f ca="1">IF(COUNTIF(Q122:Q127,""&lt;&gt;0),"","x")</f>
        <v>x</v>
      </c>
    </row>
    <row r="130" spans="1:17" s="138" customFormat="1" x14ac:dyDescent="0.25">
      <c r="A130" s="1551" t="s">
        <v>1728</v>
      </c>
      <c r="B130" s="1543">
        <f>doses!B73</f>
        <v>0</v>
      </c>
      <c r="D130" s="1543">
        <f>doses!C73</f>
        <v>0</v>
      </c>
      <c r="F130" s="1543">
        <f>doses!D73</f>
        <v>0</v>
      </c>
      <c r="G130" s="1553" t="s">
        <v>1729</v>
      </c>
      <c r="H130" s="1552"/>
      <c r="J130" s="156"/>
      <c r="K130" s="156"/>
      <c r="L130" s="156"/>
      <c r="M130" s="156"/>
      <c r="N130" s="156"/>
      <c r="O130" s="156"/>
    </row>
    <row r="131" spans="1:17" x14ac:dyDescent="0.25">
      <c r="A131" s="60"/>
      <c r="B131" s="621"/>
      <c r="C131" s="621"/>
      <c r="D131" s="621"/>
      <c r="E131" s="621"/>
      <c r="F131" s="621"/>
      <c r="G131" s="621"/>
      <c r="H131" s="80"/>
    </row>
    <row r="132" spans="1:17" x14ac:dyDescent="0.25">
      <c r="A132" s="2810" t="s">
        <v>1082</v>
      </c>
      <c r="B132" s="2811"/>
      <c r="C132" s="2811"/>
      <c r="D132" s="2811"/>
      <c r="E132" s="2811"/>
      <c r="F132" s="2811"/>
      <c r="G132" s="2811"/>
      <c r="H132" s="2812"/>
    </row>
    <row r="133" spans="1:17" x14ac:dyDescent="0.25">
      <c r="A133" s="740" t="s">
        <v>76</v>
      </c>
      <c r="B133" s="335" t="str">
        <f>B1</f>
        <v>IN 93</v>
      </c>
      <c r="C133" s="575" t="str">
        <f>"Ref. máx "&amp;B1</f>
        <v>Ref. máx IN 93</v>
      </c>
      <c r="D133" s="588" t="s">
        <v>965</v>
      </c>
      <c r="E133" s="588" t="s">
        <v>1019</v>
      </c>
      <c r="F133" s="345" t="s">
        <v>182</v>
      </c>
      <c r="G133" s="752" t="s">
        <v>111</v>
      </c>
      <c r="H133" s="753" t="s">
        <v>16</v>
      </c>
    </row>
    <row r="134" spans="1:17" x14ac:dyDescent="0.25">
      <c r="A134" s="741" t="s">
        <v>709</v>
      </c>
      <c r="B134" s="335" t="str">
        <f>IF(E134=0,"NPA",IF(D134&gt;C134,"Não","Sim"))</f>
        <v>NPA</v>
      </c>
      <c r="C134" s="575">
        <v>25</v>
      </c>
      <c r="D134" s="739" t="e">
        <f ca="1">doses!D65</f>
        <v>#VALUE!</v>
      </c>
      <c r="E134" s="739">
        <f>doses!E65</f>
        <v>0</v>
      </c>
      <c r="F134" s="739" t="e">
        <f ca="1">doses!F65</f>
        <v>#VALUE!</v>
      </c>
      <c r="G134" s="739">
        <f>doses!G65</f>
        <v>0</v>
      </c>
      <c r="H134" s="742">
        <f>doses!H65</f>
        <v>0</v>
      </c>
    </row>
    <row r="135" spans="1:17" x14ac:dyDescent="0.25">
      <c r="A135" s="741" t="s">
        <v>708</v>
      </c>
      <c r="B135" s="335" t="str">
        <f>IF(E135=0,"NPA",IF(D135&gt;C135,"Não","Sim"))</f>
        <v>NPA</v>
      </c>
      <c r="C135" s="575">
        <v>70</v>
      </c>
      <c r="D135" s="739" t="e">
        <f ca="1">doses!D66</f>
        <v>#VALUE!</v>
      </c>
      <c r="E135" s="739">
        <f>doses!E66</f>
        <v>0</v>
      </c>
      <c r="F135" s="739" t="e">
        <f ca="1">doses!F66</f>
        <v>#VALUE!</v>
      </c>
      <c r="G135" s="739">
        <f>doses!G66</f>
        <v>0</v>
      </c>
      <c r="H135" s="742">
        <f>doses!H66</f>
        <v>0</v>
      </c>
    </row>
    <row r="136" spans="1:17" ht="15.75" thickBot="1" x14ac:dyDescent="0.3">
      <c r="A136" s="743" t="s">
        <v>710</v>
      </c>
      <c r="B136" s="335" t="str">
        <f>IF(E136=0,"NPA",IF(D136&gt;C136,"Não","Sim"))</f>
        <v>NPA</v>
      </c>
      <c r="C136" s="744">
        <v>20</v>
      </c>
      <c r="D136" s="745" t="e">
        <f ca="1">doses!D67</f>
        <v>#VALUE!</v>
      </c>
      <c r="E136" s="745">
        <f>doses!E67</f>
        <v>0</v>
      </c>
      <c r="F136" s="745" t="e">
        <f ca="1">doses!F67</f>
        <v>#VALUE!</v>
      </c>
      <c r="G136" s="745">
        <f>doses!G67</f>
        <v>0</v>
      </c>
      <c r="H136" s="746">
        <f>doses!H67</f>
        <v>0</v>
      </c>
    </row>
  </sheetData>
  <sheetProtection selectLockedCells="1"/>
  <mergeCells count="37">
    <mergeCell ref="A132:H132"/>
    <mergeCell ref="A35:B35"/>
    <mergeCell ref="A36:B36"/>
    <mergeCell ref="A34:C34"/>
    <mergeCell ref="A26:B26"/>
    <mergeCell ref="A73:F73"/>
    <mergeCell ref="D44:E44"/>
    <mergeCell ref="A119:B119"/>
    <mergeCell ref="A59:G59"/>
    <mergeCell ref="A118:B118"/>
    <mergeCell ref="A117:M117"/>
    <mergeCell ref="A77:B77"/>
    <mergeCell ref="A83:B83"/>
    <mergeCell ref="A2:F2"/>
    <mergeCell ref="A76:B76"/>
    <mergeCell ref="B66:C66"/>
    <mergeCell ref="A45:B45"/>
    <mergeCell ref="A46:B46"/>
    <mergeCell ref="A44:C44"/>
    <mergeCell ref="A42:G42"/>
    <mergeCell ref="A65:E65"/>
    <mergeCell ref="A74:B74"/>
    <mergeCell ref="A75:B75"/>
    <mergeCell ref="A25:D25"/>
    <mergeCell ref="A50:F50"/>
    <mergeCell ref="A3:E3"/>
    <mergeCell ref="A4:E4"/>
    <mergeCell ref="A7:F7"/>
    <mergeCell ref="A20:K20"/>
    <mergeCell ref="A15:K15"/>
    <mergeCell ref="C16:D16"/>
    <mergeCell ref="F22:I22"/>
    <mergeCell ref="A47:B47"/>
    <mergeCell ref="A82:G82"/>
    <mergeCell ref="F30:H30"/>
    <mergeCell ref="A39:B39"/>
    <mergeCell ref="A40:B40"/>
  </mergeCells>
  <dataValidations count="4">
    <dataValidation type="list" allowBlank="1" showInputMessage="1" showErrorMessage="1" sqref="G17 A22">
      <formula1>"Sim,Não"</formula1>
    </dataValidation>
    <dataValidation type="list" allowBlank="1" showInputMessage="1" showErrorMessage="1" sqref="F11 F8">
      <formula1>"Ok,Com artefatos"</formula1>
    </dataValidation>
    <dataValidation type="list" allowBlank="1" showInputMessage="1" showErrorMessage="1" sqref="C78">
      <formula1>"para dentro,para fora"</formula1>
    </dataValidation>
    <dataValidation type="list" allowBlank="1" showInputMessage="1" showErrorMessage="1" sqref="C84">
      <formula1>"Fantoma Fatiado,Fantoma Colado"</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Tabelas2!$D$5:$D$6</xm:f>
          </x14:formula1>
          <xm:sqref>C74:C75 C83 C118 F3:F4 F9:F10</xm:sqref>
        </x14:dataValidation>
        <x14:dataValidation type="list" allowBlank="1" showInputMessage="1" showErrorMessage="1">
          <x14:formula1>
            <xm:f>Tabelas2!$J$2:$J$6</xm:f>
          </x14:formula1>
          <xm:sqref>F12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L237"/>
  <sheetViews>
    <sheetView view="pageBreakPreview" zoomScale="160" zoomScaleNormal="100" zoomScaleSheetLayoutView="160" zoomScalePageLayoutView="145" workbookViewId="0">
      <pane ySplit="1" topLeftCell="A177" activePane="bottomLeft" state="frozen"/>
      <selection activeCell="C12" sqref="C12:J13"/>
      <selection pane="bottomLeft" activeCell="I165" sqref="I165:J165"/>
    </sheetView>
  </sheetViews>
  <sheetFormatPr defaultColWidth="9.140625" defaultRowHeight="15" customHeight="1" x14ac:dyDescent="0.25"/>
  <cols>
    <col min="1" max="1" width="10.5703125" style="2137" bestFit="1" customWidth="1"/>
    <col min="2" max="8" width="9.140625" style="2137"/>
    <col min="9" max="9" width="9.42578125" style="2137" customWidth="1"/>
    <col min="10" max="16384" width="9.140625" style="2137"/>
  </cols>
  <sheetData>
    <row r="1" spans="1:11" s="2147" customFormat="1" ht="15" customHeight="1" x14ac:dyDescent="0.25">
      <c r="A1" s="2745" t="e">
        <f>IF(Cabeçalho!B6="","",Cabeçalho!B6)</f>
        <v>#N/A</v>
      </c>
      <c r="B1" s="2745"/>
      <c r="C1" s="2745"/>
      <c r="D1" s="2745"/>
      <c r="E1" s="2745" t="e">
        <f>IF(Cabeçalho!$B$15="",CONCATENATE(LOOKUP(Cabeçalho!$B$14,Tabelas2!$A$23:$A$32,Tabelas2!$B$23:$B$32),IF(Cabeçalho!$B$16&lt;&gt;0," - ",""),UPPER(Cabeçalho!$B$16)),CONCATENATE(LOOKUP(Cabeçalho!$B$14,Tabelas2!$A$23:$A$32,Tabelas2!$B$23:$B$32)," - ",Cabeçalho!$B$15," - ",UPPER(Cabeçalho!$B$16)))</f>
        <v>#N/A</v>
      </c>
      <c r="F1" s="2745"/>
      <c r="G1" s="2745"/>
      <c r="H1" s="2745"/>
      <c r="I1" s="2146" t="s">
        <v>112</v>
      </c>
      <c r="J1" s="2170" t="e">
        <f>Cabeçalho!B12</f>
        <v>#N/A</v>
      </c>
      <c r="K1" s="279" t="s">
        <v>702</v>
      </c>
    </row>
    <row r="3" spans="1:11" ht="15" customHeight="1" x14ac:dyDescent="0.25">
      <c r="A3" s="2483" t="s">
        <v>113</v>
      </c>
      <c r="B3" s="2483"/>
      <c r="C3" s="2483"/>
      <c r="D3" s="2483"/>
      <c r="E3" s="2483"/>
      <c r="F3" s="2483"/>
      <c r="G3" s="2483"/>
      <c r="H3" s="2483"/>
      <c r="I3" s="2483"/>
    </row>
    <row r="5" spans="1:11" ht="15" customHeight="1" x14ac:dyDescent="0.25">
      <c r="A5" s="2483" t="s">
        <v>114</v>
      </c>
      <c r="B5" s="2483"/>
      <c r="C5" s="2483"/>
      <c r="D5" s="2483"/>
      <c r="E5" s="2483"/>
      <c r="F5" s="2483"/>
      <c r="G5" s="2483"/>
      <c r="H5" s="2483"/>
      <c r="I5" s="2483"/>
    </row>
    <row r="9" spans="1:11" ht="15" customHeight="1" x14ac:dyDescent="0.25">
      <c r="C9" s="2484" t="e">
        <f>Cabeçalho!B6</f>
        <v>#N/A</v>
      </c>
      <c r="D9" s="2484"/>
      <c r="E9" s="2484"/>
      <c r="F9" s="2484"/>
      <c r="G9" s="2484"/>
      <c r="H9" s="2484"/>
      <c r="I9" s="2484"/>
      <c r="J9" s="2484"/>
    </row>
    <row r="10" spans="1:11" ht="15" customHeight="1" x14ac:dyDescent="0.25">
      <c r="C10" s="2484"/>
      <c r="D10" s="2484"/>
      <c r="E10" s="2484"/>
      <c r="F10" s="2484"/>
      <c r="G10" s="2484"/>
      <c r="H10" s="2484"/>
      <c r="I10" s="2484"/>
      <c r="J10" s="2484"/>
    </row>
    <row r="11" spans="1:11" ht="15" customHeight="1" x14ac:dyDescent="0.25">
      <c r="B11" s="281"/>
      <c r="C11" s="281"/>
      <c r="D11" s="281"/>
      <c r="E11" s="281"/>
      <c r="F11" s="281"/>
      <c r="G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row>
    <row r="15" spans="1:11" ht="15" customHeight="1" x14ac:dyDescent="0.25">
      <c r="C15" s="280" t="e">
        <f>Cabeçalho!B8</f>
        <v>#N/A</v>
      </c>
      <c r="E15" s="281" t="e">
        <f>CONCATENATE(Cabeçalho!B9,", ",Cabeçalho!B10)</f>
        <v>#N/A</v>
      </c>
      <c r="F15" s="281"/>
      <c r="G15" s="281"/>
    </row>
    <row r="17" spans="1:10" ht="30" customHeight="1" x14ac:dyDescent="0.25">
      <c r="A17" s="2137" t="s">
        <v>115</v>
      </c>
      <c r="C17" s="2486" t="e">
        <f>Cabeçalho!B4</f>
        <v>#N/A</v>
      </c>
      <c r="D17" s="2486"/>
      <c r="E17" s="2486"/>
      <c r="F17" s="2486"/>
      <c r="G17" s="2486"/>
      <c r="H17" s="2486"/>
      <c r="I17" s="2486"/>
      <c r="J17" s="2486"/>
    </row>
    <row r="18" spans="1:10" ht="15" customHeight="1" x14ac:dyDescent="0.25">
      <c r="C18" s="281" t="e">
        <f>Cabeçalho!B5</f>
        <v>#N/A</v>
      </c>
    </row>
    <row r="19" spans="1:10" ht="15" customHeight="1" x14ac:dyDescent="0.25">
      <c r="C19" s="282"/>
    </row>
    <row r="20" spans="1:10" s="2272" customFormat="1" ht="15" customHeight="1" x14ac:dyDescent="0.25">
      <c r="A20" s="2272" t="s">
        <v>2337</v>
      </c>
      <c r="C20" s="282"/>
    </row>
    <row r="21" spans="1:10" s="2272" customFormat="1" ht="15" customHeight="1" x14ac:dyDescent="0.25">
      <c r="C21" s="282"/>
    </row>
    <row r="22" spans="1:10" s="2272" customFormat="1" ht="15" customHeight="1" x14ac:dyDescent="0.25">
      <c r="C22" s="282"/>
    </row>
    <row r="23" spans="1:10" s="2272" customFormat="1" ht="15" customHeight="1" x14ac:dyDescent="0.25">
      <c r="A23" s="2467" t="s">
        <v>2338</v>
      </c>
      <c r="B23" s="2467"/>
      <c r="C23" s="2467"/>
      <c r="D23" s="2467" t="s">
        <v>2339</v>
      </c>
      <c r="E23" s="2467"/>
      <c r="F23" s="2467"/>
      <c r="G23" s="2467" t="s">
        <v>2340</v>
      </c>
      <c r="H23" s="2467"/>
      <c r="I23" s="2467"/>
      <c r="J23" s="2467"/>
    </row>
    <row r="25" spans="1:10" ht="15" customHeight="1" x14ac:dyDescent="0.25">
      <c r="A25" s="281" t="s">
        <v>116</v>
      </c>
    </row>
    <row r="26" spans="1:10" ht="15" customHeight="1" x14ac:dyDescent="0.25">
      <c r="A26" s="2469" t="str">
        <f>IntroRDC</f>
        <v xml:space="preserve">               Este Laudo Técnico é parte do Programa de Garantia da Qualidade, conforme Resolução da Diretoria Colegiada - RDC 611/2022 da ANVISA.</v>
      </c>
      <c r="B26" s="2469"/>
      <c r="C26" s="2469"/>
      <c r="D26" s="2469"/>
      <c r="E26" s="2469"/>
      <c r="F26" s="2469"/>
      <c r="G26" s="2469"/>
      <c r="H26" s="2469"/>
      <c r="I26" s="2469"/>
      <c r="J26" s="2469"/>
    </row>
    <row r="27" spans="1:10" ht="15" customHeight="1" x14ac:dyDescent="0.25">
      <c r="A27" s="2469"/>
      <c r="B27" s="2469"/>
      <c r="C27" s="2469"/>
      <c r="D27" s="2469"/>
      <c r="E27" s="2469"/>
      <c r="F27" s="2469"/>
      <c r="G27" s="2469"/>
      <c r="H27" s="2469"/>
      <c r="I27" s="2469"/>
      <c r="J27" s="2469"/>
    </row>
    <row r="28" spans="1:10" ht="15" customHeight="1" x14ac:dyDescent="0.25">
      <c r="A28" s="2469" t="str">
        <f>IntroProtocolo</f>
        <v xml:space="preserve">               A metodologia utilizada atende aos "Protocolos para Execução de Testes em Sistemas de Radiologia Diagnóstica e Intervencionista" do CONFEA.</v>
      </c>
      <c r="B28" s="2469"/>
      <c r="C28" s="2469"/>
      <c r="D28" s="2469"/>
      <c r="E28" s="2469"/>
      <c r="F28" s="2469"/>
      <c r="G28" s="2469"/>
      <c r="H28" s="2469"/>
      <c r="I28" s="2469"/>
      <c r="J28" s="2469"/>
    </row>
    <row r="29" spans="1:10" ht="15" customHeight="1" x14ac:dyDescent="0.25">
      <c r="A29" s="2469"/>
      <c r="B29" s="2469"/>
      <c r="C29" s="2469"/>
      <c r="D29" s="2469"/>
      <c r="E29" s="2469"/>
      <c r="F29" s="2469"/>
      <c r="G29" s="2469"/>
      <c r="H29" s="2469"/>
      <c r="I29" s="2469"/>
      <c r="J29" s="2469"/>
    </row>
    <row r="30" spans="1:10" ht="15" customHeight="1" x14ac:dyDescent="0.25">
      <c r="A30" s="2469" t="str">
        <f>IntroNR32</f>
        <v xml:space="preserve">               Serve para comprovação e/ou como subsídio para atendimento da Norma Regulamentadora NR-32 do MTb.</v>
      </c>
      <c r="B30" s="2469"/>
      <c r="C30" s="2469"/>
      <c r="D30" s="2469"/>
      <c r="E30" s="2469"/>
      <c r="F30" s="2469"/>
      <c r="G30" s="2469"/>
      <c r="H30" s="2469"/>
      <c r="I30" s="2469"/>
      <c r="J30" s="2469"/>
    </row>
    <row r="31" spans="1:10" ht="15" customHeight="1" x14ac:dyDescent="0.25">
      <c r="A31" s="2469"/>
      <c r="B31" s="2469"/>
      <c r="C31" s="2469"/>
      <c r="D31" s="2469"/>
      <c r="E31" s="2469"/>
      <c r="F31" s="2469"/>
      <c r="G31" s="2469"/>
      <c r="H31" s="2469"/>
      <c r="I31" s="2469"/>
      <c r="J31" s="2469"/>
    </row>
    <row r="33" spans="1:11" ht="15" customHeight="1" x14ac:dyDescent="0.25">
      <c r="A33" s="281" t="s">
        <v>117</v>
      </c>
    </row>
    <row r="34" spans="1:11" ht="15" customHeight="1" x14ac:dyDescent="0.25">
      <c r="A34" s="2469" t="str">
        <f>"                 Verificar parâmetros técnicos e condições de desempenho do equipamento de raios X e a conformidade do mesmo com a Instrução Normativa "&amp;VLOOKUP("Tomografia computadorizada",IN_ANVISA[],2)&amp;"/"&amp;VLOOKUP("Tomografia computadorizada",IN_ANVISA[],3)&amp;" da ANVISA e a Norma Regulamentadora NR-32 do MTb."</f>
        <v xml:space="preserve">                 Verificar parâmetros técnicos e condições de desempenho do equipamento de raios X e a conformidade do mesmo com a Instrução Normativa 93/2021 da ANVISA e a Norma Regulamentadora NR-32 do MTb.</v>
      </c>
      <c r="B34" s="2469"/>
      <c r="C34" s="2469"/>
      <c r="D34" s="2469"/>
      <c r="E34" s="2469"/>
      <c r="F34" s="2469"/>
      <c r="G34" s="2469"/>
      <c r="H34" s="2469"/>
      <c r="I34" s="2469"/>
      <c r="J34" s="2469"/>
    </row>
    <row r="35" spans="1:11" ht="15" customHeight="1" x14ac:dyDescent="0.25">
      <c r="A35" s="2469"/>
      <c r="B35" s="2469"/>
      <c r="C35" s="2469"/>
      <c r="D35" s="2469"/>
      <c r="E35" s="2469"/>
      <c r="F35" s="2469"/>
      <c r="G35" s="2469"/>
      <c r="H35" s="2469"/>
      <c r="I35" s="2469"/>
      <c r="J35" s="2469"/>
    </row>
    <row r="36" spans="1:11" ht="15" customHeight="1" x14ac:dyDescent="0.25">
      <c r="A36" s="2469"/>
      <c r="B36" s="2469"/>
      <c r="C36" s="2469"/>
      <c r="D36" s="2469"/>
      <c r="E36" s="2469"/>
      <c r="F36" s="2469"/>
      <c r="G36" s="2469"/>
      <c r="H36" s="2469"/>
      <c r="I36" s="2469"/>
      <c r="J36" s="2469"/>
    </row>
    <row r="37" spans="1:11" ht="15" customHeight="1" x14ac:dyDescent="0.25">
      <c r="A37" s="2469" t="str">
        <f>OBJETIVO</f>
        <v xml:space="preserve">                Fornecer elementos para aceitação ou rejeição do equipamento, bem como para corrigir eventuais desvios, falhas e anomalias.</v>
      </c>
      <c r="B37" s="2469"/>
      <c r="C37" s="2469"/>
      <c r="D37" s="2469"/>
      <c r="E37" s="2469"/>
      <c r="F37" s="2469"/>
      <c r="G37" s="2469"/>
      <c r="H37" s="2469"/>
      <c r="I37" s="2469"/>
      <c r="J37" s="2469"/>
    </row>
    <row r="38" spans="1:11" ht="15" customHeight="1" x14ac:dyDescent="0.25">
      <c r="A38" s="2469"/>
      <c r="B38" s="2469"/>
      <c r="C38" s="2469"/>
      <c r="D38" s="2469"/>
      <c r="E38" s="2469"/>
      <c r="F38" s="2469"/>
      <c r="G38" s="2469"/>
      <c r="H38" s="2469"/>
      <c r="I38" s="2469"/>
      <c r="J38" s="2469"/>
    </row>
    <row r="39" spans="1:11" ht="15" customHeight="1" x14ac:dyDescent="0.25">
      <c r="A39" s="2469" t="str">
        <f>ObjetivoCorreções</f>
        <v xml:space="preserve">               Verificar possíveis correções realizadas após o laudo de 00/01/00 deste mesmo equipamento.</v>
      </c>
      <c r="B39" s="2469"/>
      <c r="C39" s="2469"/>
      <c r="D39" s="2469"/>
      <c r="E39" s="2469"/>
      <c r="F39" s="2469"/>
      <c r="G39" s="2469"/>
      <c r="H39" s="2469"/>
      <c r="I39" s="2469"/>
      <c r="J39" s="2469"/>
      <c r="K39" s="2137" t="str">
        <f>IF(Cabeçalho!$B$17="","x","")</f>
        <v>x</v>
      </c>
    </row>
    <row r="40" spans="1:11" ht="15" customHeight="1" x14ac:dyDescent="0.25">
      <c r="A40" s="2469"/>
      <c r="B40" s="2469"/>
      <c r="C40" s="2469"/>
      <c r="D40" s="2469"/>
      <c r="E40" s="2469"/>
      <c r="F40" s="2469"/>
      <c r="G40" s="2469"/>
      <c r="H40" s="2469"/>
      <c r="I40" s="2469"/>
      <c r="J40" s="2469"/>
      <c r="K40" s="2137" t="str">
        <f>K39</f>
        <v>x</v>
      </c>
    </row>
    <row r="41" spans="1:11" ht="15" customHeight="1" x14ac:dyDescent="0.25">
      <c r="A41" s="2135"/>
      <c r="B41" s="2135"/>
      <c r="C41" s="2135"/>
      <c r="D41" s="2135"/>
      <c r="E41" s="2135"/>
      <c r="F41" s="2135"/>
      <c r="G41" s="2135"/>
      <c r="H41" s="2135"/>
      <c r="I41" s="2135"/>
      <c r="J41" s="2135"/>
    </row>
    <row r="42" spans="1:11" ht="15" customHeight="1" x14ac:dyDescent="0.25">
      <c r="A42" s="281" t="s">
        <v>118</v>
      </c>
    </row>
    <row r="43" spans="1:11" ht="15" customHeight="1" x14ac:dyDescent="0.25">
      <c r="A43" s="2465" t="s">
        <v>119</v>
      </c>
      <c r="B43" s="2465"/>
      <c r="C43" s="2465"/>
      <c r="D43" s="2465" t="s">
        <v>120</v>
      </c>
      <c r="E43" s="2465"/>
      <c r="F43" s="2465"/>
      <c r="G43" s="2465" t="s">
        <v>121</v>
      </c>
      <c r="H43" s="2465"/>
      <c r="I43" s="2465" t="s">
        <v>475</v>
      </c>
      <c r="J43" s="2465"/>
    </row>
    <row r="44" spans="1:11" ht="15" customHeight="1" x14ac:dyDescent="0.25">
      <c r="A44" s="2482" t="str">
        <f>IF(Cabeçalho!G3="","*",Cabeçalho!G3)</f>
        <v>*</v>
      </c>
      <c r="B44" s="2482"/>
      <c r="C44" s="2482"/>
      <c r="D44" s="2472" t="str">
        <f>IF(Cabeçalho!G4="","*",Cabeçalho!G4)</f>
        <v>*</v>
      </c>
      <c r="E44" s="2472"/>
      <c r="F44" s="2472"/>
      <c r="G44" s="2472" t="str">
        <f>IF(Cabeçalho!G5="","*",Cabeçalho!G5)</f>
        <v>*</v>
      </c>
      <c r="H44" s="2472"/>
      <c r="I44" s="2472" t="str">
        <f>IF(Cabeçalho!G6="","*",Cabeçalho!G6)</f>
        <v>*</v>
      </c>
      <c r="J44" s="2472"/>
    </row>
    <row r="45" spans="1:11" ht="15" customHeight="1" x14ac:dyDescent="0.25">
      <c r="A45" s="2482"/>
      <c r="B45" s="2482"/>
      <c r="C45" s="2482"/>
      <c r="D45" s="2472"/>
      <c r="E45" s="2472"/>
      <c r="F45" s="2472"/>
      <c r="G45" s="2472"/>
      <c r="H45" s="2472"/>
      <c r="I45" s="2472"/>
      <c r="J45" s="2472"/>
    </row>
    <row r="46" spans="1:11" ht="15" customHeight="1" x14ac:dyDescent="0.25">
      <c r="A46" s="284" t="s">
        <v>835</v>
      </c>
    </row>
    <row r="48" spans="1:11" ht="15" customHeight="1" x14ac:dyDescent="0.25">
      <c r="A48" s="2475" t="s">
        <v>124</v>
      </c>
      <c r="B48" s="2475"/>
      <c r="C48" s="2475"/>
      <c r="D48" s="2475"/>
      <c r="E48" s="2473" t="s">
        <v>507</v>
      </c>
      <c r="F48" s="2473"/>
      <c r="G48" s="2473"/>
      <c r="H48" s="2473"/>
      <c r="I48" s="2473"/>
      <c r="J48" s="2473"/>
    </row>
    <row r="50" spans="1:11" ht="15" customHeight="1" x14ac:dyDescent="0.25">
      <c r="A50" s="2473" t="s">
        <v>367</v>
      </c>
      <c r="B50" s="2473"/>
      <c r="C50" s="2473"/>
      <c r="D50" s="2473"/>
      <c r="E50" s="2473" t="str">
        <f>IF(Cabeçalho!G25=60,"Retificado em meia onda",IF(Cabeçalho!G25=120,"Retificado em onda completa",IF(Cabeçalho!G25="---","Retificado em alta frequência","Descarga capacitiva")))</f>
        <v>Descarga capacitiva</v>
      </c>
      <c r="F50" s="2473"/>
      <c r="G50" s="2473"/>
      <c r="H50" s="2473"/>
      <c r="I50" s="2473"/>
      <c r="J50" s="2473"/>
      <c r="K50" s="2137" t="s">
        <v>649</v>
      </c>
    </row>
    <row r="51" spans="1:11" ht="15" customHeight="1" x14ac:dyDescent="0.25">
      <c r="A51" s="2138" t="s">
        <v>1856</v>
      </c>
      <c r="B51" s="2138"/>
      <c r="C51" s="2138"/>
      <c r="D51" s="2138"/>
      <c r="E51" s="2256" t="str">
        <f>IF(Cabeçalho!G20&lt;&gt;"",Cabeçalho!G20,"NI")</f>
        <v>NI</v>
      </c>
      <c r="F51" s="2138"/>
      <c r="G51" s="2138"/>
      <c r="H51" s="2138"/>
      <c r="I51" s="2138"/>
      <c r="J51" s="2138"/>
    </row>
    <row r="52" spans="1:11" ht="15" customHeight="1" x14ac:dyDescent="0.25">
      <c r="A52" s="2473" t="s">
        <v>2349</v>
      </c>
      <c r="B52" s="2473"/>
      <c r="C52" s="2473"/>
      <c r="D52" s="2473"/>
      <c r="E52" s="2138" t="str">
        <f>IF(Cabeçalho!E24&lt;&gt;"",Cabeçalho!E24,"NI")</f>
        <v>NI</v>
      </c>
      <c r="F52" s="2138"/>
      <c r="G52" s="2138"/>
      <c r="H52" s="2138"/>
      <c r="I52" s="2138"/>
      <c r="J52" s="2138"/>
    </row>
    <row r="53" spans="1:11" ht="15" customHeight="1" x14ac:dyDescent="0.25">
      <c r="A53" s="2473" t="s">
        <v>2350</v>
      </c>
      <c r="B53" s="2473"/>
      <c r="C53" s="2473"/>
      <c r="D53" s="2473"/>
      <c r="E53" s="2138" t="str">
        <f>IF(Cabeçalho!G22&lt;&gt;"",Cabeçalho!G22,"NI")</f>
        <v>NI</v>
      </c>
      <c r="F53" s="2138"/>
      <c r="G53" s="2138"/>
      <c r="H53" s="2138"/>
      <c r="I53" s="2138"/>
      <c r="J53" s="2138"/>
    </row>
    <row r="54" spans="1:11" ht="15" customHeight="1" x14ac:dyDescent="0.25">
      <c r="A54" s="2473" t="s">
        <v>2351</v>
      </c>
      <c r="B54" s="2473"/>
      <c r="C54" s="2473"/>
      <c r="D54" s="2473"/>
      <c r="E54" s="2138" t="str">
        <f>IF(Cabeçalho!G23&lt;&gt;"",Cabeçalho!G23,"NI")</f>
        <v>NI</v>
      </c>
      <c r="F54" s="2138"/>
      <c r="G54" s="2138"/>
      <c r="H54" s="2138"/>
      <c r="I54" s="2138"/>
      <c r="J54" s="2138"/>
    </row>
    <row r="55" spans="1:11" ht="15" customHeight="1" x14ac:dyDescent="0.25">
      <c r="A55" s="2137" t="s">
        <v>2352</v>
      </c>
      <c r="E55" s="2138" t="str">
        <f>IF(Cabeçalho!E25&lt;&gt;"",Cabeçalho!E25,"NI")</f>
        <v>NI</v>
      </c>
      <c r="F55" s="2138"/>
      <c r="G55" s="2138"/>
      <c r="H55" s="2138"/>
      <c r="I55" s="2138"/>
      <c r="J55" s="2138"/>
    </row>
    <row r="56" spans="1:11" ht="15" customHeight="1" x14ac:dyDescent="0.25">
      <c r="A56" s="2473" t="s">
        <v>2353</v>
      </c>
      <c r="B56" s="2473"/>
      <c r="C56" s="2473"/>
      <c r="D56" s="2473"/>
      <c r="E56" s="2138" t="str">
        <f>IF(Cabeçalho!E22&lt;&gt;"",Cabeçalho!E22,"NI")</f>
        <v>NI</v>
      </c>
      <c r="F56" s="2138"/>
      <c r="G56" s="2138"/>
      <c r="H56" s="2138"/>
      <c r="I56" s="2138"/>
      <c r="J56" s="2138"/>
    </row>
    <row r="57" spans="1:11" ht="15" customHeight="1" x14ac:dyDescent="0.25">
      <c r="A57" s="2473" t="s">
        <v>2354</v>
      </c>
      <c r="B57" s="2473"/>
      <c r="C57" s="2473"/>
      <c r="D57" s="2473"/>
      <c r="E57" s="2138" t="str">
        <f>IF(Cabeçalho!E23&lt;&gt;"",Cabeçalho!E23,"NI")</f>
        <v>NI</v>
      </c>
      <c r="F57" s="2138"/>
      <c r="G57" s="2138"/>
      <c r="H57" s="2138"/>
      <c r="I57" s="2138"/>
    </row>
    <row r="58" spans="1:11" ht="15" customHeight="1" x14ac:dyDescent="0.25">
      <c r="A58" s="2473" t="s">
        <v>2355</v>
      </c>
      <c r="B58" s="2473"/>
      <c r="C58" s="2473"/>
      <c r="D58" s="2473"/>
      <c r="E58" s="2256" t="str">
        <f>IF(Cabeçalho!B15&lt;&gt;"",Cabeçalho!B15,"NI")</f>
        <v>NI</v>
      </c>
      <c r="F58" s="2138"/>
      <c r="G58" s="2138"/>
      <c r="H58" s="2138"/>
      <c r="I58" s="2138"/>
    </row>
    <row r="59" spans="1:11" ht="15" customHeight="1" x14ac:dyDescent="0.25">
      <c r="A59" s="2473" t="s">
        <v>2328</v>
      </c>
      <c r="B59" s="2473"/>
      <c r="C59" s="2473"/>
      <c r="D59" s="2473"/>
      <c r="E59" s="2273" t="str">
        <f>IF(Cabeçalho!E26&lt;&gt;"",Cabeçalho!E26,"NI")</f>
        <v>NI</v>
      </c>
      <c r="F59" s="2138"/>
      <c r="G59" s="2138"/>
      <c r="H59" s="2138"/>
      <c r="I59" s="2138"/>
    </row>
    <row r="60" spans="1:11" ht="15" customHeight="1" x14ac:dyDescent="0.25">
      <c r="E60" s="2138"/>
      <c r="F60" s="2138"/>
      <c r="G60" s="2138"/>
      <c r="H60" s="2138"/>
      <c r="I60" s="2138"/>
    </row>
    <row r="61" spans="1:11" ht="15" customHeight="1" x14ac:dyDescent="0.25">
      <c r="A61" s="281" t="s">
        <v>125</v>
      </c>
    </row>
    <row r="62" spans="1:11" ht="15" customHeight="1" x14ac:dyDescent="0.25">
      <c r="A62" s="2465" t="s">
        <v>129</v>
      </c>
      <c r="B62" s="2465"/>
      <c r="C62" s="2465"/>
      <c r="D62" s="2465"/>
      <c r="E62" s="2465"/>
      <c r="F62" s="2139" t="s">
        <v>368</v>
      </c>
      <c r="G62" s="2465" t="s">
        <v>369</v>
      </c>
      <c r="H62" s="2465"/>
      <c r="I62" s="2465"/>
    </row>
    <row r="63" spans="1:11" ht="15" customHeight="1" x14ac:dyDescent="0.25">
      <c r="A63" s="2471" t="s">
        <v>127</v>
      </c>
      <c r="B63" s="2471"/>
      <c r="C63" s="2471"/>
      <c r="D63" s="2471"/>
      <c r="E63" s="2471"/>
      <c r="F63" s="1137" t="str">
        <f>tomografia!B1</f>
        <v>IN 93</v>
      </c>
      <c r="G63" s="2472" t="str">
        <f>tomografia!F3</f>
        <v>Sim</v>
      </c>
      <c r="H63" s="2472"/>
      <c r="I63" s="2472"/>
    </row>
    <row r="64" spans="1:11" ht="15" customHeight="1" x14ac:dyDescent="0.25">
      <c r="A64" s="2471" t="s">
        <v>128</v>
      </c>
      <c r="B64" s="2471"/>
      <c r="C64" s="2471"/>
      <c r="D64" s="2471"/>
      <c r="E64" s="2471"/>
      <c r="F64" s="1137" t="str">
        <f>tomografia!B1</f>
        <v>IN 93</v>
      </c>
      <c r="G64" s="2470" t="str">
        <f>tomografia!F4</f>
        <v>Sim</v>
      </c>
      <c r="H64" s="2470"/>
      <c r="I64" s="2470"/>
    </row>
    <row r="65" spans="1:12" ht="15" customHeight="1" x14ac:dyDescent="0.25">
      <c r="A65" s="2481" t="s">
        <v>2718</v>
      </c>
      <c r="B65" s="2481"/>
      <c r="C65" s="2481"/>
      <c r="D65" s="2481"/>
      <c r="E65" s="2481"/>
      <c r="F65" s="2481"/>
      <c r="G65" s="2481"/>
      <c r="H65" s="2481"/>
      <c r="I65" s="2481"/>
    </row>
    <row r="67" spans="1:12" ht="15" customHeight="1" x14ac:dyDescent="0.25">
      <c r="A67" s="281" t="s">
        <v>138</v>
      </c>
    </row>
    <row r="68" spans="1:12" ht="15" customHeight="1" x14ac:dyDescent="0.25">
      <c r="A68" s="281" t="s">
        <v>181</v>
      </c>
    </row>
    <row r="69" spans="1:12" ht="30" customHeight="1" x14ac:dyDescent="0.25">
      <c r="A69" s="2137" t="s">
        <v>2356</v>
      </c>
      <c r="C69" s="2468" t="s">
        <v>2502</v>
      </c>
      <c r="D69" s="2468"/>
      <c r="E69" s="2468"/>
      <c r="F69" s="2468"/>
      <c r="G69" s="2468"/>
      <c r="H69" s="2468"/>
      <c r="I69" s="2468"/>
      <c r="J69" s="2468"/>
    </row>
    <row r="70" spans="1:12" ht="15" customHeight="1" x14ac:dyDescent="0.25">
      <c r="A70" s="2137" t="s">
        <v>2358</v>
      </c>
      <c r="C70" s="2137" t="s">
        <v>2501</v>
      </c>
    </row>
    <row r="71" spans="1:12" ht="15" customHeight="1" x14ac:dyDescent="0.25">
      <c r="A71" s="2597" t="s">
        <v>1089</v>
      </c>
      <c r="B71" s="2598"/>
      <c r="C71" s="2598"/>
      <c r="D71" s="2598"/>
      <c r="E71" s="2598"/>
      <c r="F71" s="2599"/>
      <c r="G71" s="2139" t="str">
        <f>tomografia!B1</f>
        <v>IN 93</v>
      </c>
    </row>
    <row r="72" spans="1:12" ht="15" customHeight="1" x14ac:dyDescent="0.25">
      <c r="A72" s="2821" t="s">
        <v>1723</v>
      </c>
      <c r="B72" s="2821"/>
      <c r="C72" s="2821"/>
      <c r="D72" s="2821"/>
      <c r="E72" s="2472" t="str">
        <f>IF(tomografia!C35=0,"NPA",CONCATENATE(tomografia!C35," HU"))</f>
        <v>NPA</v>
      </c>
      <c r="F72" s="2472"/>
      <c r="G72" s="2141" t="str">
        <f>tomografia!D35</f>
        <v>Sim</v>
      </c>
      <c r="L72" s="2137" t="str">
        <f>IF(OR(G72="Não",G72="Restrição"),"Não conforme","Conforme")</f>
        <v>Conforme</v>
      </c>
    </row>
    <row r="73" spans="1:12" ht="15" customHeight="1" x14ac:dyDescent="0.25">
      <c r="A73" s="2821" t="s">
        <v>511</v>
      </c>
      <c r="B73" s="2821"/>
      <c r="C73" s="2821"/>
      <c r="D73" s="2821"/>
      <c r="E73" s="2472" t="str">
        <f>IF(tomografia!B27=0,"NPA",CONCATENATE(tomografia!B27," HU"))</f>
        <v>5 HU</v>
      </c>
      <c r="F73" s="2472"/>
      <c r="G73" s="2141" t="str">
        <f>tomografia!C27</f>
        <v>Sim</v>
      </c>
      <c r="L73" s="2137" t="str">
        <f>IF(OR(G73="Não",G73="Restrição"),"Não conforme","Conforme")</f>
        <v>Conforme</v>
      </c>
    </row>
    <row r="74" spans="1:12" ht="15" customHeight="1" x14ac:dyDescent="0.25">
      <c r="A74" s="2821" t="s">
        <v>512</v>
      </c>
      <c r="B74" s="2821"/>
      <c r="C74" s="2821"/>
      <c r="D74" s="2821"/>
      <c r="E74" s="2472" t="str">
        <f>IFERROR(CONCATENATE(tomografia!C32," HU"),"NPA")</f>
        <v>3 HU</v>
      </c>
      <c r="F74" s="2472"/>
      <c r="G74" s="2141" t="str">
        <f>tomografia!D32</f>
        <v>Sim</v>
      </c>
      <c r="L74" s="2137" t="str">
        <f>IF(OR(G74="Não",G74="Restrição"),"Não conforme","Conforme")</f>
        <v>Conforme</v>
      </c>
    </row>
    <row r="75" spans="1:12" ht="15" customHeight="1" x14ac:dyDescent="0.25">
      <c r="A75" s="2821" t="str">
        <f>"Ruído da imagem ("&amp;IF(ISNUMBER(tomografia!A23),"ref. "&amp;tomografia!A23&amp;" HU**)","sem referência)")&amp;" - Água"</f>
        <v>Ruído da imagem (sem referência) - Água</v>
      </c>
      <c r="B75" s="2821"/>
      <c r="C75" s="2821"/>
      <c r="D75" s="2821"/>
      <c r="E75" s="2472" t="str">
        <f>IF(tomografia!B28=0,"NPA",CONCATENATE(tomografia!B28," HU"))</f>
        <v>4 HU</v>
      </c>
      <c r="F75" s="2472"/>
      <c r="G75" s="2141" t="str">
        <f>IF(tomografia!D28="*","*",CONCATENATE(tomografia!D28,"**"))</f>
        <v>*</v>
      </c>
      <c r="L75" s="2137" t="str">
        <f>IF(OR(G75="Não",G75="Restrição"),"Não conforme",IF(G75="*","","Conforme"))</f>
        <v/>
      </c>
    </row>
    <row r="76" spans="1:12" ht="15" customHeight="1" x14ac:dyDescent="0.25">
      <c r="A76" s="2821" t="str">
        <f>"Ruído da imagem ("&amp;IF(ISNUMBER(tomografia!A24),"ref. "&amp;tomografia!A24&amp;" HU**)","sem referência)")&amp;" - Ar"</f>
        <v>Ruído da imagem (sem referência) - Ar</v>
      </c>
      <c r="B76" s="2821"/>
      <c r="C76" s="2821"/>
      <c r="D76" s="2821"/>
      <c r="E76" s="2472" t="str">
        <f>IF(tomografia!C36=0,"NPA",CONCATENATE(tomografia!C36," HU"))</f>
        <v>NPA</v>
      </c>
      <c r="F76" s="2472"/>
      <c r="G76" s="2141" t="str">
        <f>IF(tomografia!D36="*","*",CONCATENATE(tomografia!D36,"**"))</f>
        <v>*</v>
      </c>
      <c r="L76" s="2137" t="str">
        <f>IF(OR(G76="Não",G76="Restrição"),"Não conforme",IF(G76="*","","Conforme"))</f>
        <v/>
      </c>
    </row>
    <row r="77" spans="1:12" ht="15" customHeight="1" x14ac:dyDescent="0.25">
      <c r="A77" s="284" t="s">
        <v>2738</v>
      </c>
    </row>
    <row r="78" spans="1:12" ht="15" customHeight="1" x14ac:dyDescent="0.25">
      <c r="A78" s="2488" t="s">
        <v>2739</v>
      </c>
      <c r="B78" s="2488"/>
      <c r="C78" s="2488"/>
      <c r="D78" s="2488"/>
      <c r="E78" s="2488"/>
      <c r="F78" s="2488"/>
      <c r="G78" s="2488"/>
      <c r="H78" s="2488"/>
      <c r="I78" s="2488"/>
      <c r="J78" s="2488"/>
    </row>
    <row r="79" spans="1:12" ht="15" customHeight="1" x14ac:dyDescent="0.25">
      <c r="A79" s="2488" t="s">
        <v>2740</v>
      </c>
      <c r="B79" s="2488"/>
      <c r="C79" s="2488"/>
      <c r="D79" s="2488"/>
      <c r="E79" s="2488"/>
      <c r="F79" s="2488"/>
      <c r="G79" s="2488"/>
      <c r="H79" s="2488"/>
      <c r="I79" s="2488"/>
      <c r="J79" s="2488"/>
    </row>
    <row r="80" spans="1:12" ht="15" customHeight="1" x14ac:dyDescent="0.25">
      <c r="A80" s="2488" t="s">
        <v>2741</v>
      </c>
      <c r="B80" s="2488"/>
      <c r="C80" s="2488"/>
      <c r="D80" s="2488"/>
      <c r="E80" s="2488"/>
      <c r="F80" s="2488"/>
      <c r="G80" s="2488"/>
      <c r="H80" s="2488"/>
      <c r="I80" s="2488"/>
      <c r="J80" s="2488"/>
    </row>
    <row r="81" spans="1:12" ht="15" customHeight="1" x14ac:dyDescent="0.25">
      <c r="A81" s="284"/>
    </row>
    <row r="82" spans="1:12" ht="15" customHeight="1" x14ac:dyDescent="0.25">
      <c r="A82" s="1601" t="s">
        <v>1724</v>
      </c>
      <c r="B82" s="1601"/>
      <c r="C82" s="1601"/>
    </row>
    <row r="83" spans="1:12" ht="30.75" customHeight="1" x14ac:dyDescent="0.25">
      <c r="A83" s="2137" t="s">
        <v>2356</v>
      </c>
      <c r="B83" s="1601"/>
      <c r="C83" s="2395" t="s">
        <v>2504</v>
      </c>
      <c r="D83" s="2395"/>
      <c r="E83" s="2395"/>
      <c r="F83" s="2395"/>
      <c r="G83" s="2395"/>
      <c r="H83" s="2395"/>
      <c r="I83" s="2395"/>
      <c r="J83" s="2395"/>
    </row>
    <row r="84" spans="1:12" ht="15" customHeight="1" x14ac:dyDescent="0.25">
      <c r="A84" s="2137" t="s">
        <v>2358</v>
      </c>
      <c r="B84" s="1601"/>
      <c r="C84" s="285" t="s">
        <v>2359</v>
      </c>
    </row>
    <row r="85" spans="1:12" ht="15" customHeight="1" x14ac:dyDescent="0.25">
      <c r="A85" s="2821" t="s">
        <v>513</v>
      </c>
      <c r="B85" s="2821"/>
      <c r="C85" s="2821"/>
      <c r="D85" s="2083" t="str">
        <f>IF(tomografia!A53="","",tomografia!A53)</f>
        <v/>
      </c>
      <c r="E85" s="2083" t="str">
        <f>IF(tomografia!A54="","",tomografia!A54)</f>
        <v/>
      </c>
      <c r="F85" s="2083" t="str">
        <f>IF(tomografia!A55="","",tomografia!A55)</f>
        <v/>
      </c>
      <c r="G85" s="2083" t="str">
        <f>IF(tomografia!A56="","",tomografia!A56)</f>
        <v/>
      </c>
      <c r="H85" s="2083"/>
      <c r="I85" s="2083"/>
      <c r="J85" s="2083"/>
      <c r="K85" s="2137" t="str">
        <f>IF(D87="","x","")</f>
        <v>x</v>
      </c>
    </row>
    <row r="86" spans="1:12" ht="15" customHeight="1" x14ac:dyDescent="0.25">
      <c r="A86" s="2821" t="s">
        <v>514</v>
      </c>
      <c r="B86" s="2821"/>
      <c r="C86" s="2821"/>
      <c r="D86" s="2086" t="str">
        <f>IF(tomografia!A53="","",tomografia!B53)</f>
        <v/>
      </c>
      <c r="E86" s="2086" t="str">
        <f>IF(tomografia!A54="","",tomografia!B54)</f>
        <v/>
      </c>
      <c r="F86" s="2086" t="str">
        <f>IF(tomografia!A55="","",tomografia!B55)</f>
        <v/>
      </c>
      <c r="G86" s="2086" t="str">
        <f>IF(tomografia!A56="","",tomografia!B56)</f>
        <v/>
      </c>
      <c r="H86" s="2086"/>
      <c r="I86" s="2086"/>
      <c r="J86" s="2086"/>
      <c r="K86" s="2137" t="str">
        <f>K85</f>
        <v>x</v>
      </c>
    </row>
    <row r="87" spans="1:12" ht="15" customHeight="1" x14ac:dyDescent="0.25">
      <c r="A87" s="2821" t="str">
        <f>F63</f>
        <v>IN 93</v>
      </c>
      <c r="B87" s="2821"/>
      <c r="C87" s="2821"/>
      <c r="D87" s="1496" t="str">
        <f>tomografia!F53</f>
        <v/>
      </c>
      <c r="E87" s="1496" t="str">
        <f>tomografia!F54</f>
        <v/>
      </c>
      <c r="F87" s="1496" t="str">
        <f>tomografia!F55</f>
        <v/>
      </c>
      <c r="G87" s="1496" t="str">
        <f>tomografia!F56</f>
        <v/>
      </c>
      <c r="H87" s="285"/>
      <c r="I87" s="285"/>
      <c r="K87" s="2137" t="str">
        <f>K86</f>
        <v>x</v>
      </c>
      <c r="L87" s="2137" t="str">
        <f>IF(COUNTIF(D87:J87,"Não")&lt;&gt;0,"Não conforme",IF(COUNTIF(D87:J87,"Restrição")&lt;&gt;0,"Não conforme","Conforme"))</f>
        <v>Conforme</v>
      </c>
    </row>
    <row r="88" spans="1:12" ht="15" customHeight="1" x14ac:dyDescent="0.25">
      <c r="A88" s="2481" t="s">
        <v>2461</v>
      </c>
      <c r="B88" s="2481"/>
      <c r="C88" s="2481"/>
      <c r="D88" s="2481"/>
      <c r="E88" s="2481"/>
      <c r="F88" s="2481"/>
      <c r="G88" s="2481"/>
      <c r="H88" s="2481"/>
      <c r="I88" s="2481"/>
      <c r="K88" s="2137" t="str">
        <f>K87</f>
        <v>x</v>
      </c>
    </row>
    <row r="89" spans="1:12" ht="30.75" customHeight="1" x14ac:dyDescent="0.25">
      <c r="A89" s="2488" t="s">
        <v>2742</v>
      </c>
      <c r="B89" s="2488"/>
      <c r="C89" s="2488"/>
      <c r="D89" s="2488"/>
      <c r="E89" s="2488"/>
      <c r="F89" s="2488"/>
      <c r="G89" s="2488"/>
      <c r="H89" s="2488"/>
      <c r="I89" s="2488"/>
      <c r="J89" s="2488"/>
      <c r="K89" s="2137" t="str">
        <f>IF(K85="","x","")</f>
        <v/>
      </c>
    </row>
    <row r="90" spans="1:12" ht="15" customHeight="1" x14ac:dyDescent="0.25">
      <c r="A90" s="2476"/>
      <c r="B90" s="2476"/>
      <c r="C90" s="2476"/>
      <c r="D90" s="2476"/>
      <c r="E90" s="2476"/>
      <c r="F90" s="2476"/>
      <c r="G90" s="2476"/>
      <c r="H90" s="2476"/>
      <c r="I90" s="2476"/>
    </row>
    <row r="91" spans="1:12" ht="15" customHeight="1" x14ac:dyDescent="0.25">
      <c r="A91" s="2134"/>
      <c r="B91" s="2134"/>
      <c r="C91" s="2134"/>
      <c r="D91" s="2134"/>
      <c r="E91" s="2134"/>
      <c r="F91" s="2134"/>
      <c r="G91" s="2134"/>
      <c r="H91" s="2134"/>
      <c r="I91" s="2134"/>
    </row>
    <row r="92" spans="1:12" ht="30" customHeight="1" x14ac:dyDescent="0.25">
      <c r="A92" s="280" t="s">
        <v>522</v>
      </c>
      <c r="B92" s="280"/>
      <c r="C92" s="280"/>
      <c r="D92" s="2144"/>
      <c r="E92" s="2144"/>
      <c r="F92" s="2144"/>
      <c r="G92" s="2134"/>
      <c r="H92" s="2134"/>
      <c r="I92" s="2134"/>
    </row>
    <row r="93" spans="1:12" ht="15" customHeight="1" x14ac:dyDescent="0.25">
      <c r="A93" s="2137" t="s">
        <v>2356</v>
      </c>
      <c r="B93" s="280"/>
      <c r="C93" s="2468" t="s">
        <v>2503</v>
      </c>
      <c r="D93" s="2468"/>
      <c r="E93" s="2468"/>
      <c r="F93" s="2468"/>
      <c r="G93" s="2468"/>
      <c r="H93" s="2468"/>
      <c r="I93" s="2468"/>
      <c r="J93" s="2468"/>
    </row>
    <row r="94" spans="1:12" ht="15" customHeight="1" x14ac:dyDescent="0.25">
      <c r="A94" s="2137" t="s">
        <v>2358</v>
      </c>
      <c r="B94" s="280"/>
      <c r="C94" s="285" t="s">
        <v>2359</v>
      </c>
      <c r="D94" s="2144"/>
      <c r="E94" s="2144"/>
      <c r="F94" s="2144"/>
      <c r="G94" s="2134"/>
      <c r="H94" s="2134"/>
      <c r="I94" s="2134"/>
      <c r="K94" s="2137" t="str">
        <f ca="1">IF(D99="","x","")</f>
        <v>x</v>
      </c>
    </row>
    <row r="95" spans="1:12" ht="15" customHeight="1" x14ac:dyDescent="0.25">
      <c r="A95" s="2489" t="s">
        <v>525</v>
      </c>
      <c r="B95" s="2489"/>
      <c r="C95" s="2142" t="s">
        <v>16</v>
      </c>
      <c r="D95" s="2199" t="str">
        <f ca="1">IF(D99="","",tomografia!B120)</f>
        <v/>
      </c>
      <c r="E95" s="2199" t="str">
        <f ca="1">IF(E99="","",tomografia!D120)</f>
        <v/>
      </c>
      <c r="F95" s="2199" t="str">
        <f ca="1">IF(F99="","",tomografia!F120)</f>
        <v/>
      </c>
      <c r="G95" s="2199" t="str">
        <f ca="1">IF(G99="","",tomografia!J120)</f>
        <v/>
      </c>
      <c r="H95" s="2199" t="str">
        <f ca="1">IF(H99="","",tomografia!L120)</f>
        <v/>
      </c>
      <c r="I95" s="2199" t="str">
        <f ca="1">IF(I99="","",tomografia!N120)</f>
        <v/>
      </c>
      <c r="J95" s="2199"/>
      <c r="K95" s="2137" t="str">
        <f ca="1">K94</f>
        <v>x</v>
      </c>
    </row>
    <row r="96" spans="1:12" ht="15" customHeight="1" x14ac:dyDescent="0.25">
      <c r="A96" s="2489"/>
      <c r="B96" s="2489"/>
      <c r="C96" s="2142" t="s">
        <v>32</v>
      </c>
      <c r="D96" s="2086" t="str">
        <f ca="1">IF(D99="","",tomografia!B122)</f>
        <v/>
      </c>
      <c r="E96" s="2086" t="str">
        <f ca="1">IF(E99="","",tomografia!D122)</f>
        <v/>
      </c>
      <c r="F96" s="2086" t="str">
        <f ca="1">IF(F99="","",tomografia!F122)</f>
        <v/>
      </c>
      <c r="G96" s="2086" t="str">
        <f ca="1">IF(G99="","",tomografia!J122)</f>
        <v/>
      </c>
      <c r="H96" s="2086" t="str">
        <f ca="1">IF(H99="","",tomografia!L122)</f>
        <v/>
      </c>
      <c r="I96" s="2086" t="str">
        <f ca="1">IF(I99="","",tomografia!N122)</f>
        <v/>
      </c>
      <c r="J96" s="2086"/>
      <c r="K96" s="2137" t="str">
        <f ca="1">K95</f>
        <v>x</v>
      </c>
    </row>
    <row r="97" spans="1:12" ht="15" customHeight="1" x14ac:dyDescent="0.25">
      <c r="A97" s="2821" t="s">
        <v>523</v>
      </c>
      <c r="B97" s="2821"/>
      <c r="C97" s="2456"/>
      <c r="D97" s="2200" t="str">
        <f ca="1">IF(D99="","",tomografia!B123)</f>
        <v/>
      </c>
      <c r="E97" s="2200" t="str">
        <f ca="1">IF(E99="","",tomografia!D123)</f>
        <v/>
      </c>
      <c r="F97" s="2200" t="str">
        <f ca="1">IF(F99="","",tomografia!F123)</f>
        <v/>
      </c>
      <c r="G97" s="2200" t="str">
        <f ca="1">IF(G99="","",tomografia!J123)</f>
        <v/>
      </c>
      <c r="H97" s="2200" t="str">
        <f ca="1">IF(H99="","",tomografia!L123)</f>
        <v/>
      </c>
      <c r="I97" s="2200" t="str">
        <f ca="1">IF(I99="","",tomografia!N123)</f>
        <v/>
      </c>
      <c r="J97" s="2086"/>
      <c r="K97" s="2137" t="str">
        <f ca="1">K96</f>
        <v>x</v>
      </c>
    </row>
    <row r="98" spans="1:12" ht="15" customHeight="1" x14ac:dyDescent="0.25">
      <c r="A98" s="2821" t="s">
        <v>524</v>
      </c>
      <c r="B98" s="2821"/>
      <c r="C98" s="2456"/>
      <c r="D98" s="2200" t="str">
        <f ca="1">IF(D99="","",tomografia!B127)</f>
        <v/>
      </c>
      <c r="E98" s="2200" t="str">
        <f ca="1">IF(E99="","",tomografia!D127)</f>
        <v/>
      </c>
      <c r="F98" s="2200" t="str">
        <f ca="1">IF(F99="","",tomografia!F127)</f>
        <v/>
      </c>
      <c r="G98" s="2200" t="str">
        <f ca="1">IF(G99="","",tomografia!J127)</f>
        <v/>
      </c>
      <c r="H98" s="2200" t="str">
        <f ca="1">IF(H99="","",tomografia!L127)</f>
        <v/>
      </c>
      <c r="I98" s="2200" t="str">
        <f ca="1">IF(I99="","",tomografia!N127)</f>
        <v/>
      </c>
      <c r="J98" s="2086"/>
      <c r="K98" s="2137" t="str">
        <f ca="1">K97</f>
        <v>x</v>
      </c>
    </row>
    <row r="99" spans="1:12" ht="15" customHeight="1" x14ac:dyDescent="0.25">
      <c r="A99" s="2821" t="str">
        <f>A87</f>
        <v>IN 93</v>
      </c>
      <c r="B99" s="2821"/>
      <c r="C99" s="2821"/>
      <c r="D99" s="1496" t="str">
        <f ca="1">tomografia!C128</f>
        <v/>
      </c>
      <c r="E99" s="1496" t="str">
        <f ca="1">tomografia!E128</f>
        <v/>
      </c>
      <c r="F99" s="1496" t="str">
        <f ca="1">tomografia!G128</f>
        <v/>
      </c>
      <c r="G99" s="1496" t="str">
        <f ca="1">tomografia!K128</f>
        <v/>
      </c>
      <c r="H99" s="1496" t="str">
        <f ca="1">tomografia!M128</f>
        <v/>
      </c>
      <c r="I99" s="1496" t="str">
        <f ca="1">tomografia!O128</f>
        <v/>
      </c>
      <c r="J99" s="1496"/>
      <c r="K99" s="2137" t="str">
        <f ca="1">K98</f>
        <v>x</v>
      </c>
      <c r="L99" s="2137" t="str">
        <f ca="1">IF(COUNTIF(D99:J99,"Não")&lt;&gt;0,"Não conforme",IF(COUNTIF(D99:J99,"Restrição")&lt;&gt;0,"Não conforme",IF(COUNTIF(D99:J99,"Sim")&lt;&gt;0,"Conforme","NA")))</f>
        <v>NA</v>
      </c>
    </row>
    <row r="100" spans="1:12" s="281" customFormat="1" ht="15" customHeight="1" x14ac:dyDescent="0.25">
      <c r="A100" s="2481" t="s">
        <v>2461</v>
      </c>
      <c r="B100" s="2481"/>
      <c r="C100" s="2481"/>
      <c r="D100" s="2481"/>
      <c r="E100" s="2481"/>
      <c r="F100" s="2481"/>
      <c r="G100" s="2481"/>
      <c r="H100" s="2481"/>
      <c r="I100" s="2481"/>
      <c r="J100" s="2137"/>
      <c r="K100" s="2272" t="str">
        <f t="shared" ref="K100:K101" ca="1" si="0">K99</f>
        <v>x</v>
      </c>
    </row>
    <row r="101" spans="1:12" ht="15" customHeight="1" x14ac:dyDescent="0.25">
      <c r="A101" s="2488" t="s">
        <v>2698</v>
      </c>
      <c r="B101" s="2488"/>
      <c r="C101" s="2488"/>
      <c r="D101" s="2488"/>
      <c r="E101" s="2488"/>
      <c r="F101" s="2488"/>
      <c r="G101" s="2488"/>
      <c r="H101" s="2488"/>
      <c r="I101" s="2488"/>
      <c r="J101" s="2488"/>
      <c r="K101" s="2272" t="str">
        <f t="shared" ca="1" si="0"/>
        <v>x</v>
      </c>
    </row>
    <row r="102" spans="1:12" ht="15" customHeight="1" x14ac:dyDescent="0.25">
      <c r="A102" s="2476" t="str">
        <f>IF(tomografia!C118="Sim","Não foi possível avaliar.","Facilidade não disponível.")</f>
        <v>Não foi possível avaliar.</v>
      </c>
      <c r="B102" s="2476"/>
      <c r="C102" s="2476"/>
      <c r="D102" s="2476"/>
      <c r="E102" s="2476"/>
      <c r="F102" s="2476"/>
      <c r="G102" s="2476"/>
      <c r="H102" s="2476"/>
      <c r="I102" s="2476"/>
      <c r="K102" s="2272" t="str">
        <f ca="1">tomografia!Q129</f>
        <v>x</v>
      </c>
    </row>
    <row r="103" spans="1:12" ht="15" customHeight="1" x14ac:dyDescent="0.25">
      <c r="A103" s="284"/>
    </row>
    <row r="104" spans="1:12" ht="15" customHeight="1" x14ac:dyDescent="0.25">
      <c r="A104" s="281" t="s">
        <v>144</v>
      </c>
    </row>
    <row r="105" spans="1:12" ht="15.75" x14ac:dyDescent="0.25">
      <c r="A105" s="2465" t="s">
        <v>146</v>
      </c>
      <c r="B105" s="2465"/>
      <c r="C105" s="2465"/>
      <c r="D105" s="2465"/>
      <c r="E105" s="2465" t="s">
        <v>2066</v>
      </c>
      <c r="F105" s="2465"/>
      <c r="G105" s="2321" t="s">
        <v>2362</v>
      </c>
      <c r="H105" s="2465" t="s">
        <v>369</v>
      </c>
      <c r="I105" s="2465"/>
      <c r="J105" s="2321" t="str">
        <f>tomografia!B1</f>
        <v>IN 93</v>
      </c>
    </row>
    <row r="106" spans="1:12" ht="30.75" customHeight="1" x14ac:dyDescent="0.25">
      <c r="A106" s="2455" t="s">
        <v>1257</v>
      </c>
      <c r="B106" s="2455"/>
      <c r="C106" s="2455"/>
      <c r="D106" s="2455"/>
      <c r="E106" s="2822" t="s">
        <v>2505</v>
      </c>
      <c r="F106" s="2822"/>
      <c r="G106" s="2201" t="s">
        <v>2518</v>
      </c>
      <c r="H106" s="2824" t="str">
        <f>IF(J106="NA","NA",tomografia!E17&amp;" %")</f>
        <v>NA</v>
      </c>
      <c r="I106" s="2824"/>
      <c r="J106" s="2307" t="str">
        <f>tomografia!F17</f>
        <v>NA</v>
      </c>
      <c r="K106" s="2137" t="str">
        <f>IFERROR(IF(tomografia!D45="erro","x",""),"")</f>
        <v/>
      </c>
      <c r="L106" s="2332" t="str">
        <f t="shared" ref="L106:L115" si="1">IF(OR(J106="Não",J106="Restrição"),"Não conforme",IF(J106="Sim","Conforme",IF(J106="NPA","NPA","NA")))</f>
        <v>NA</v>
      </c>
    </row>
    <row r="107" spans="1:12" ht="20.25" customHeight="1" x14ac:dyDescent="0.25">
      <c r="A107" s="2455" t="s">
        <v>1476</v>
      </c>
      <c r="B107" s="2455"/>
      <c r="C107" s="2455"/>
      <c r="D107" s="2455"/>
      <c r="E107" s="2822" t="s">
        <v>2506</v>
      </c>
      <c r="F107" s="2822"/>
      <c r="G107" s="2201" t="s">
        <v>2519</v>
      </c>
      <c r="H107" s="2824" t="str">
        <f>IFERROR(CONCATENATE(tomografia!D45," pl/cm"),"NPA")</f>
        <v>2,5 pl/cm</v>
      </c>
      <c r="I107" s="2824"/>
      <c r="J107" s="2307" t="str">
        <f>tomografia!F45</f>
        <v>Restrição</v>
      </c>
      <c r="K107" s="2137" t="str">
        <f>IFERROR(IF(tomografia!D46="erro","x",""),"")</f>
        <v/>
      </c>
      <c r="L107" s="2137" t="str">
        <f t="shared" si="1"/>
        <v>Não conforme</v>
      </c>
    </row>
    <row r="108" spans="1:12" ht="24" customHeight="1" x14ac:dyDescent="0.25">
      <c r="A108" s="2455" t="s">
        <v>1477</v>
      </c>
      <c r="B108" s="2455"/>
      <c r="C108" s="2455"/>
      <c r="D108" s="2455"/>
      <c r="E108" s="2822"/>
      <c r="F108" s="2822"/>
      <c r="G108" s="2201" t="s">
        <v>2519</v>
      </c>
      <c r="H108" s="2824" t="str">
        <f>IFERROR(CONCATENATE(tomografia!D46," pl/cm"),"NPA")</f>
        <v>3 pl/cm</v>
      </c>
      <c r="I108" s="2824"/>
      <c r="J108" s="2307" t="str">
        <f>tomografia!F46</f>
        <v>Não</v>
      </c>
      <c r="K108" s="2137" t="str">
        <f>IFERROR(IF(tomografia!D47="erro","x",""),"")</f>
        <v/>
      </c>
      <c r="L108" s="2137" t="str">
        <f t="shared" si="1"/>
        <v>Não conforme</v>
      </c>
    </row>
    <row r="109" spans="1:12" ht="18.75" customHeight="1" x14ac:dyDescent="0.25">
      <c r="A109" s="2455" t="s">
        <v>1478</v>
      </c>
      <c r="B109" s="2455"/>
      <c r="C109" s="2455"/>
      <c r="D109" s="2455"/>
      <c r="E109" s="2822"/>
      <c r="F109" s="2822"/>
      <c r="G109" s="2201" t="s">
        <v>2520</v>
      </c>
      <c r="H109" s="2824" t="str">
        <f>IFERROR(CONCATENATE(tomografia!D47," pl/cm"),"NPA")</f>
        <v>5 pl/cm</v>
      </c>
      <c r="I109" s="2824"/>
      <c r="J109" s="2307" t="str">
        <f>tomografia!F47</f>
        <v>Não</v>
      </c>
      <c r="L109" s="2137" t="str">
        <f t="shared" si="1"/>
        <v>Não conforme</v>
      </c>
    </row>
    <row r="110" spans="1:12" ht="36.75" customHeight="1" x14ac:dyDescent="0.25">
      <c r="A110" s="2455" t="s">
        <v>1264</v>
      </c>
      <c r="B110" s="2455"/>
      <c r="C110" s="2455"/>
      <c r="D110" s="2455"/>
      <c r="E110" s="2822" t="s">
        <v>2507</v>
      </c>
      <c r="F110" s="2822"/>
      <c r="G110" s="2201" t="s">
        <v>2521</v>
      </c>
      <c r="H110" s="2824" t="str">
        <f>IF(tomografia!E62=0,"&lt; 1 mm",CONCATENATE(ROUND(tomografia!E62,1)," mm"))</f>
        <v>&lt; 1 mm</v>
      </c>
      <c r="I110" s="2824"/>
      <c r="J110" s="2307" t="str">
        <f>tomografia!G62</f>
        <v>Sim</v>
      </c>
      <c r="L110" s="2137" t="str">
        <f t="shared" si="1"/>
        <v>Conforme</v>
      </c>
    </row>
    <row r="111" spans="1:12" ht="29.25" customHeight="1" x14ac:dyDescent="0.25">
      <c r="A111" s="2455" t="s">
        <v>1265</v>
      </c>
      <c r="B111" s="2455"/>
      <c r="C111" s="2455"/>
      <c r="D111" s="2455"/>
      <c r="E111" s="2822" t="s">
        <v>2508</v>
      </c>
      <c r="F111" s="2822"/>
      <c r="G111" s="2201" t="s">
        <v>2521</v>
      </c>
      <c r="H111" s="2824" t="str">
        <f>IF(tomografia!C70=0,"&lt; 1 mm",CONCATENATE(ROUND(tomografia!C70,1)," mm"))</f>
        <v>300 mm</v>
      </c>
      <c r="I111" s="2824"/>
      <c r="J111" s="2307" t="str">
        <f>tomografia!E70</f>
        <v>Restrição</v>
      </c>
      <c r="L111" s="2137" t="str">
        <f t="shared" si="1"/>
        <v>Não conforme</v>
      </c>
    </row>
    <row r="112" spans="1:12" ht="41.25" customHeight="1" x14ac:dyDescent="0.25">
      <c r="A112" s="2455" t="s">
        <v>515</v>
      </c>
      <c r="B112" s="2455"/>
      <c r="C112" s="2455"/>
      <c r="D112" s="2455"/>
      <c r="E112" s="2822" t="s">
        <v>2509</v>
      </c>
      <c r="F112" s="2822"/>
      <c r="G112" s="2201" t="s">
        <v>2522</v>
      </c>
      <c r="H112" s="2824" t="str">
        <f>IF(OR(tomografia!C74="não",tomografia!C75="não"),"NA",IF(tomografia!C76&lt;1,"&lt; 1 mm",CONCATENATE("~ ",ROUND(tomografia!C76,1)," mm")))</f>
        <v>&lt; 1 mm</v>
      </c>
      <c r="I112" s="2824"/>
      <c r="J112" s="2307" t="str">
        <f>tomografia!E76</f>
        <v>NA</v>
      </c>
      <c r="L112" s="2137" t="str">
        <f t="shared" si="1"/>
        <v>NA</v>
      </c>
    </row>
    <row r="113" spans="1:12" ht="39.75" customHeight="1" x14ac:dyDescent="0.25">
      <c r="A113" s="2455" t="s">
        <v>516</v>
      </c>
      <c r="B113" s="2455"/>
      <c r="C113" s="2455"/>
      <c r="D113" s="2455"/>
      <c r="E113" s="2822" t="s">
        <v>2510</v>
      </c>
      <c r="F113" s="2822"/>
      <c r="G113" s="2201" t="s">
        <v>2522</v>
      </c>
      <c r="H113" s="2824" t="str">
        <f>IF(tomografia!C74="não","NA",IF(tomografia!E77="NPA","NPA",IF(tomografia!C77&lt;1,"&lt; 1 mm",CONCATENATE("~ ",ROUND(tomografia!C77,1)," mm"))))</f>
        <v>NPA</v>
      </c>
      <c r="I113" s="2824"/>
      <c r="J113" s="2307" t="str">
        <f>tomografia!E77</f>
        <v>NPA</v>
      </c>
      <c r="L113" s="2137" t="str">
        <f t="shared" si="1"/>
        <v>NPA</v>
      </c>
    </row>
    <row r="114" spans="1:12" ht="51.75" customHeight="1" x14ac:dyDescent="0.25">
      <c r="A114" s="2455" t="s">
        <v>517</v>
      </c>
      <c r="B114" s="2455"/>
      <c r="C114" s="2455"/>
      <c r="D114" s="2455"/>
      <c r="E114" s="2822" t="s">
        <v>2511</v>
      </c>
      <c r="F114" s="2822"/>
      <c r="G114" s="2201" t="s">
        <v>2523</v>
      </c>
      <c r="H114" s="2824" t="str">
        <f ca="1">IFERROR(CONCATENATE(ROUND(tomografia!D84*100,1)," %"),"NA")</f>
        <v>0 %</v>
      </c>
      <c r="I114" s="2824"/>
      <c r="J114" s="2307" t="str">
        <f ca="1">IFERROR(tomografia!E84,"NA")</f>
        <v>Sim</v>
      </c>
      <c r="L114" s="2137" t="str">
        <f t="shared" ca="1" si="1"/>
        <v>Conforme</v>
      </c>
    </row>
    <row r="115" spans="1:12" ht="30.75" customHeight="1" x14ac:dyDescent="0.25">
      <c r="A115" s="2455" t="s">
        <v>704</v>
      </c>
      <c r="B115" s="2455"/>
      <c r="C115" s="2455"/>
      <c r="D115" s="2455"/>
      <c r="E115" s="2822" t="s">
        <v>2512</v>
      </c>
      <c r="F115" s="2822"/>
      <c r="G115" s="2201" t="s">
        <v>2524</v>
      </c>
      <c r="H115" s="2824" t="str">
        <f>IF(tomografia!F11="Ok","Sem artefatos","Com artefatos")</f>
        <v>Sem artefatos</v>
      </c>
      <c r="I115" s="2824"/>
      <c r="J115" s="2307" t="str">
        <f>IF(tomografia!F11="Ok","Sim","Não")</f>
        <v>Sim</v>
      </c>
      <c r="L115" s="2137" t="str">
        <f t="shared" si="1"/>
        <v>Conforme</v>
      </c>
    </row>
    <row r="116" spans="1:12" ht="30.75" customHeight="1" x14ac:dyDescent="0.25">
      <c r="A116" s="2455" t="s">
        <v>707</v>
      </c>
      <c r="B116" s="2455"/>
      <c r="C116" s="2455"/>
      <c r="D116" s="2455"/>
      <c r="E116" s="2822" t="s">
        <v>2513</v>
      </c>
      <c r="F116" s="2822"/>
      <c r="G116" s="2201" t="s">
        <v>2525</v>
      </c>
      <c r="H116" s="2824" t="e">
        <f ca="1">IF(doses!D66=0,"NPA",CONCATENATE(ROUND(doses!D66,1)," mGy"))</f>
        <v>#VALUE!</v>
      </c>
      <c r="I116" s="2824"/>
      <c r="J116" s="2307" t="e">
        <f ca="1">doses!B66</f>
        <v>#VALUE!</v>
      </c>
      <c r="K116" s="2137" t="s">
        <v>649</v>
      </c>
    </row>
    <row r="117" spans="1:12" ht="30.75" customHeight="1" x14ac:dyDescent="0.25">
      <c r="A117" s="2455" t="s">
        <v>711</v>
      </c>
      <c r="B117" s="2455"/>
      <c r="C117" s="2455"/>
      <c r="D117" s="2455"/>
      <c r="E117" s="2822"/>
      <c r="F117" s="2822"/>
      <c r="G117" s="2201" t="s">
        <v>2526</v>
      </c>
      <c r="H117" s="2824" t="e">
        <f ca="1">IF(doses!D65=0,"NPA",CONCATENATE(ROUND(doses!D65,1)," mGy"))</f>
        <v>#VALUE!</v>
      </c>
      <c r="I117" s="2824"/>
      <c r="J117" s="2307" t="e">
        <f ca="1">doses!B65</f>
        <v>#VALUE!</v>
      </c>
      <c r="K117" s="2137" t="s">
        <v>649</v>
      </c>
    </row>
    <row r="118" spans="1:12" ht="28.5" customHeight="1" x14ac:dyDescent="0.25">
      <c r="A118" s="2455" t="s">
        <v>712</v>
      </c>
      <c r="B118" s="2455"/>
      <c r="C118" s="2455"/>
      <c r="D118" s="2455"/>
      <c r="E118" s="2822"/>
      <c r="F118" s="2822"/>
      <c r="G118" s="2201" t="s">
        <v>2527</v>
      </c>
      <c r="H118" s="2824" t="e">
        <f ca="1">IF(doses!D67=0,"NPA",CONCATENATE(ROUND(doses!D67,1)," mGy"))</f>
        <v>#VALUE!</v>
      </c>
      <c r="I118" s="2824"/>
      <c r="J118" s="2307" t="e">
        <f ca="1">doses!B67</f>
        <v>#VALUE!</v>
      </c>
      <c r="K118" s="2137" t="s">
        <v>649</v>
      </c>
    </row>
    <row r="119" spans="1:12" ht="15" customHeight="1" x14ac:dyDescent="0.25">
      <c r="A119" s="2488" t="s">
        <v>2294</v>
      </c>
      <c r="B119" s="2488"/>
      <c r="C119" s="2488"/>
      <c r="D119" s="2488"/>
      <c r="E119" s="2488"/>
      <c r="F119" s="2488"/>
      <c r="G119" s="2488"/>
      <c r="H119" s="2488"/>
      <c r="I119" s="2488"/>
      <c r="J119" s="2488"/>
    </row>
    <row r="120" spans="1:12" ht="15" customHeight="1" x14ac:dyDescent="0.25">
      <c r="A120" s="2823" t="s">
        <v>2813</v>
      </c>
      <c r="B120" s="2823"/>
      <c r="C120" s="2823"/>
      <c r="D120" s="2823"/>
      <c r="E120" s="2823"/>
      <c r="F120" s="2823"/>
      <c r="G120" s="2823"/>
      <c r="H120" s="2823"/>
      <c r="I120" s="2823"/>
      <c r="J120" s="2823"/>
    </row>
    <row r="122" spans="1:12" ht="15" customHeight="1" x14ac:dyDescent="0.25">
      <c r="A122" s="281" t="s">
        <v>191</v>
      </c>
    </row>
    <row r="123" spans="1:12" ht="15" hidden="1" customHeight="1" x14ac:dyDescent="0.25">
      <c r="A123" s="2825" t="str">
        <f>CONCATENATE("                 ",Tabelas2!S4)</f>
        <v xml:space="preserve">                 Medidor de tensão, tempo, dose e camada semirredutora marca RaySafe, modelo X2 8251010-6, série 257741, sensor modelo 8252010-6, série 260722, certificado de calibração em anexo.</v>
      </c>
      <c r="B123" s="2825"/>
      <c r="C123" s="2825"/>
      <c r="D123" s="2825"/>
      <c r="E123" s="2825"/>
      <c r="F123" s="2825"/>
      <c r="G123" s="2825"/>
      <c r="H123" s="2825"/>
      <c r="I123" s="2825"/>
      <c r="J123" s="2825"/>
      <c r="K123" s="2137" t="s">
        <v>649</v>
      </c>
    </row>
    <row r="124" spans="1:12" s="2018" customFormat="1" ht="15" hidden="1" customHeight="1" x14ac:dyDescent="0.25">
      <c r="A124" s="2825"/>
      <c r="B124" s="2825"/>
      <c r="C124" s="2825"/>
      <c r="D124" s="2825"/>
      <c r="E124" s="2825"/>
      <c r="F124" s="2825"/>
      <c r="G124" s="2825"/>
      <c r="H124" s="2825"/>
      <c r="I124" s="2825"/>
      <c r="J124" s="2825"/>
      <c r="K124" s="2018" t="str">
        <f ca="1">IF(OR(K94="",K115="",K116="",K117=""),"","x")</f>
        <v/>
      </c>
    </row>
    <row r="125" spans="1:12" s="2018" customFormat="1" ht="15" customHeight="1" x14ac:dyDescent="0.25">
      <c r="A125" s="2609" t="str">
        <f>CONCATENATE("                 ",Tabelas2!U4)</f>
        <v xml:space="preserve">                 Medidor de tensão, tempo, dose e camada semirredutora marca RaySafe, modelo X2 8252030-3, série 257015, certificados de calibração em anexo.</v>
      </c>
      <c r="B125" s="2609"/>
      <c r="C125" s="2609"/>
      <c r="D125" s="2609"/>
      <c r="E125" s="2609"/>
      <c r="F125" s="2609"/>
      <c r="G125" s="2609"/>
      <c r="H125" s="2609"/>
      <c r="I125" s="2609"/>
      <c r="J125" s="2609"/>
      <c r="K125" s="2018" t="str">
        <f ca="1">K124</f>
        <v/>
      </c>
    </row>
    <row r="126" spans="1:12" ht="15" customHeight="1" x14ac:dyDescent="0.25">
      <c r="A126" s="2609"/>
      <c r="B126" s="2609"/>
      <c r="C126" s="2609"/>
      <c r="D126" s="2609"/>
      <c r="E126" s="2609"/>
      <c r="F126" s="2609"/>
      <c r="G126" s="2609"/>
      <c r="H126" s="2609"/>
      <c r="I126" s="2609"/>
      <c r="J126" s="2609"/>
    </row>
    <row r="127" spans="1:12" ht="15" customHeight="1" x14ac:dyDescent="0.25">
      <c r="A127" s="2476" t="s">
        <v>527</v>
      </c>
      <c r="B127" s="2476"/>
      <c r="C127" s="2476"/>
      <c r="D127" s="2476"/>
      <c r="E127" s="2476"/>
      <c r="F127" s="2476"/>
      <c r="G127" s="2476"/>
      <c r="H127" s="2476"/>
      <c r="I127" s="2476"/>
      <c r="J127" s="2476"/>
    </row>
    <row r="128" spans="1:12" ht="15" customHeight="1" x14ac:dyDescent="0.25">
      <c r="K128" s="2137" t="str">
        <f>IF(COUNTIF(K131:K146,"")=0,"x","")</f>
        <v/>
      </c>
    </row>
    <row r="129" spans="1:11" ht="15" customHeight="1" x14ac:dyDescent="0.25">
      <c r="A129" s="281" t="s">
        <v>192</v>
      </c>
    </row>
    <row r="130" spans="1:11" ht="15" customHeight="1" x14ac:dyDescent="0.25">
      <c r="A130" s="2469" t="str">
        <f>IntroPrazoArmazenamento</f>
        <v xml:space="preserve">               Este documento deve ser arquivado e mantido à disposição da autoridade sanitária local, garantindo sua rastreabilidade pelo prazo mínimo de 5 anos. </v>
      </c>
      <c r="B130" s="2469"/>
      <c r="C130" s="2469"/>
      <c r="D130" s="2469"/>
      <c r="E130" s="2469"/>
      <c r="F130" s="2469"/>
      <c r="G130" s="2469"/>
      <c r="H130" s="2469"/>
      <c r="I130" s="2469"/>
      <c r="J130" s="2469"/>
    </row>
    <row r="131" spans="1:11" ht="15" customHeight="1" x14ac:dyDescent="0.25">
      <c r="A131" s="2469"/>
      <c r="B131" s="2469"/>
      <c r="C131" s="2469"/>
      <c r="D131" s="2469"/>
      <c r="E131" s="2469"/>
      <c r="F131" s="2469"/>
      <c r="G131" s="2469"/>
      <c r="H131" s="2469"/>
      <c r="I131" s="2469"/>
      <c r="J131" s="2469"/>
      <c r="K131" s="2137" t="s">
        <v>649</v>
      </c>
    </row>
    <row r="132" spans="1:11" ht="15" customHeight="1" x14ac:dyDescent="0.25">
      <c r="A132" s="2476" t="s">
        <v>530</v>
      </c>
      <c r="B132" s="2476"/>
      <c r="C132" s="2476"/>
      <c r="D132" s="2476"/>
      <c r="E132" s="2476"/>
      <c r="F132" s="2476"/>
      <c r="G132" s="2476"/>
      <c r="H132" s="2476"/>
      <c r="I132" s="2476"/>
      <c r="J132" s="2476"/>
      <c r="K132" s="2137" t="str">
        <f>K131</f>
        <v>x</v>
      </c>
    </row>
    <row r="133" spans="1:11" ht="15" customHeight="1" x14ac:dyDescent="0.25">
      <c r="A133" s="2476"/>
      <c r="B133" s="2476"/>
      <c r="C133" s="2476"/>
      <c r="D133" s="2476"/>
      <c r="E133" s="2476"/>
      <c r="F133" s="2476"/>
      <c r="G133" s="2476"/>
      <c r="H133" s="2476"/>
      <c r="I133" s="2476"/>
      <c r="J133" s="2476"/>
      <c r="K133" s="2137" t="str">
        <f>K132</f>
        <v>x</v>
      </c>
    </row>
    <row r="134" spans="1:11" ht="15" customHeight="1" x14ac:dyDescent="0.25">
      <c r="A134" s="2476"/>
      <c r="B134" s="2476"/>
      <c r="C134" s="2476"/>
      <c r="D134" s="2476"/>
      <c r="E134" s="2476"/>
      <c r="F134" s="2476"/>
      <c r="G134" s="2476"/>
      <c r="H134" s="2476"/>
      <c r="I134" s="2476"/>
      <c r="J134" s="2476"/>
      <c r="K134" s="2137" t="str">
        <f>K133</f>
        <v>x</v>
      </c>
    </row>
    <row r="135" spans="1:11" ht="15" customHeight="1" x14ac:dyDescent="0.25">
      <c r="A135" s="2476"/>
      <c r="B135" s="2476"/>
      <c r="C135" s="2476"/>
      <c r="D135" s="2476"/>
      <c r="E135" s="2476"/>
      <c r="F135" s="2476"/>
      <c r="G135" s="2476"/>
      <c r="H135" s="2476"/>
      <c r="I135" s="2476"/>
      <c r="J135" s="2476"/>
      <c r="K135" s="2137" t="str">
        <f>K134</f>
        <v>x</v>
      </c>
    </row>
    <row r="136" spans="1:11" ht="15" customHeight="1" x14ac:dyDescent="0.25">
      <c r="A136" s="2476"/>
      <c r="B136" s="2476"/>
      <c r="C136" s="2476"/>
      <c r="D136" s="2476"/>
      <c r="E136" s="2476"/>
      <c r="F136" s="2476"/>
      <c r="G136" s="2476"/>
      <c r="H136" s="2476"/>
      <c r="I136" s="2476"/>
      <c r="J136" s="2476"/>
      <c r="K136" s="2137" t="str">
        <f>IF(G75&lt;&gt;"Sim**","","x")</f>
        <v/>
      </c>
    </row>
    <row r="137" spans="1:11" ht="15" customHeight="1" x14ac:dyDescent="0.25">
      <c r="A137" s="2476" t="str">
        <f>"                 A tolerância para o Ruído da imagem é, no máximo, 15 % acima do Valor de Referência ("&amp;IF(ISNUMBER(tomografia!A23),tomografia!A23&amp;" HU","não informado")&amp;"). Caso esteja 20 % ou mais acima do Valor de Referência, o equipamento deve ser considerado em Nível de Restrição."&amp;" Sugere-se utilizar o Valor de Referência indicado nas especificações do fabricante do tomógrafo ou o valor obtido no Teste de Aceitação ou no primeiro teste após reparos."</f>
        <v xml:space="preserve">                 A tolerância para o Ruído da imagem é, no máximo, 15 % acima do Valor de Referência (não informado). Caso esteja 20 % ou mais acima do Valor de Referência, o equipamento deve ser considerado em Nível de Restrição. Sugere-se utilizar o Valor de Referência indicado nas especificações do fabricante do tomógrafo ou o valor obtido no Teste de Aceitação ou no primeiro teste após reparos.</v>
      </c>
      <c r="B137" s="2476"/>
      <c r="C137" s="2476"/>
      <c r="D137" s="2476"/>
      <c r="E137" s="2476"/>
      <c r="F137" s="2476"/>
      <c r="G137" s="2476"/>
      <c r="H137" s="2476"/>
      <c r="I137" s="2476"/>
      <c r="J137" s="2476"/>
      <c r="K137" s="2137" t="str">
        <f>K136</f>
        <v/>
      </c>
    </row>
    <row r="138" spans="1:11" ht="15" customHeight="1" x14ac:dyDescent="0.25">
      <c r="A138" s="2476"/>
      <c r="B138" s="2476"/>
      <c r="C138" s="2476"/>
      <c r="D138" s="2476"/>
      <c r="E138" s="2476"/>
      <c r="F138" s="2476"/>
      <c r="G138" s="2476"/>
      <c r="H138" s="2476"/>
      <c r="I138" s="2476"/>
      <c r="J138" s="2476"/>
      <c r="K138" s="2137" t="str">
        <f>K137</f>
        <v/>
      </c>
    </row>
    <row r="139" spans="1:11" ht="15" customHeight="1" x14ac:dyDescent="0.25">
      <c r="A139" s="2476"/>
      <c r="B139" s="2476"/>
      <c r="C139" s="2476"/>
      <c r="D139" s="2476"/>
      <c r="E139" s="2476"/>
      <c r="F139" s="2476"/>
      <c r="G139" s="2476"/>
      <c r="H139" s="2476"/>
      <c r="I139" s="2476"/>
      <c r="J139" s="2476"/>
      <c r="K139" s="2137" t="str">
        <f>K138</f>
        <v/>
      </c>
    </row>
    <row r="140" spans="1:11" ht="15" customHeight="1" x14ac:dyDescent="0.25">
      <c r="A140" s="2476"/>
      <c r="B140" s="2476"/>
      <c r="C140" s="2476"/>
      <c r="D140" s="2476"/>
      <c r="E140" s="2476"/>
      <c r="F140" s="2476"/>
      <c r="G140" s="2476"/>
      <c r="H140" s="2476"/>
      <c r="I140" s="2476"/>
      <c r="J140" s="2476"/>
      <c r="K140" s="2137" t="str">
        <f>K139</f>
        <v/>
      </c>
    </row>
    <row r="141" spans="1:11" ht="15" customHeight="1" x14ac:dyDescent="0.25">
      <c r="A141" s="2476"/>
      <c r="B141" s="2476"/>
      <c r="C141" s="2476"/>
      <c r="D141" s="2476"/>
      <c r="E141" s="2476"/>
      <c r="F141" s="2476"/>
      <c r="G141" s="2476"/>
      <c r="H141" s="2476"/>
      <c r="I141" s="2476"/>
      <c r="J141" s="2476"/>
      <c r="K141" s="2020" t="str">
        <f>IF(Cabeçalho!$B$20="Indisponível","","x")</f>
        <v/>
      </c>
    </row>
    <row r="142" spans="1:11" ht="15" customHeight="1" x14ac:dyDescent="0.25">
      <c r="A142" s="2476" t="s">
        <v>1706</v>
      </c>
      <c r="B142" s="2476"/>
      <c r="C142" s="2476"/>
      <c r="D142" s="2476"/>
      <c r="E142" s="2476"/>
      <c r="F142" s="2476"/>
      <c r="G142" s="2476"/>
      <c r="H142" s="2476"/>
      <c r="I142" s="2476"/>
      <c r="J142" s="2476"/>
      <c r="K142" s="2020" t="str">
        <f>K141</f>
        <v/>
      </c>
    </row>
    <row r="143" spans="1:11" ht="15" customHeight="1" x14ac:dyDescent="0.25">
      <c r="A143" s="2476"/>
      <c r="B143" s="2476"/>
      <c r="C143" s="2476"/>
      <c r="D143" s="2476"/>
      <c r="E143" s="2476"/>
      <c r="F143" s="2476"/>
      <c r="G143" s="2476"/>
      <c r="H143" s="2476"/>
      <c r="I143" s="2476"/>
      <c r="J143" s="2476"/>
      <c r="K143" s="2020" t="str">
        <f>K142</f>
        <v/>
      </c>
    </row>
    <row r="144" spans="1:11" ht="15" customHeight="1" x14ac:dyDescent="0.25">
      <c r="A144" s="2476"/>
      <c r="B144" s="2476"/>
      <c r="C144" s="2476"/>
      <c r="D144" s="2476"/>
      <c r="E144" s="2476"/>
      <c r="F144" s="2476"/>
      <c r="G144" s="2476"/>
      <c r="H144" s="2476"/>
      <c r="I144" s="2476"/>
      <c r="J144" s="2476"/>
      <c r="K144" s="2137" t="str">
        <f>IF((COUNTIF(G72:G74,"Não")+COUNTIF(G72:G74,"Restrição"))&gt;0,"","x")</f>
        <v>x</v>
      </c>
    </row>
    <row r="145" spans="1:11" ht="15" customHeight="1" x14ac:dyDescent="0.25">
      <c r="A145" s="2476" t="s">
        <v>531</v>
      </c>
      <c r="B145" s="2476"/>
      <c r="C145" s="2476"/>
      <c r="D145" s="2476"/>
      <c r="E145" s="2476"/>
      <c r="F145" s="2476"/>
      <c r="G145" s="2476"/>
      <c r="H145" s="2476"/>
      <c r="I145" s="2476"/>
      <c r="J145" s="2476"/>
      <c r="K145" s="2137" t="str">
        <f>IF(tomografia!F8="Ok","x","")</f>
        <v/>
      </c>
    </row>
    <row r="146" spans="1:11" ht="15" customHeight="1" x14ac:dyDescent="0.25">
      <c r="A146" s="2476" t="s">
        <v>532</v>
      </c>
      <c r="B146" s="2476"/>
      <c r="C146" s="2476"/>
      <c r="D146" s="2476"/>
      <c r="E146" s="2476"/>
      <c r="F146" s="2476"/>
      <c r="G146" s="2476"/>
      <c r="H146" s="2476"/>
      <c r="I146" s="2476"/>
      <c r="J146" s="2476"/>
      <c r="K146" s="2137" t="str">
        <f>K145</f>
        <v/>
      </c>
    </row>
    <row r="147" spans="1:11" ht="15" customHeight="1" x14ac:dyDescent="0.25">
      <c r="A147" s="2476"/>
      <c r="B147" s="2476"/>
      <c r="C147" s="2476"/>
      <c r="D147" s="2476"/>
      <c r="E147" s="2476"/>
      <c r="F147" s="2476"/>
      <c r="G147" s="2476"/>
      <c r="H147" s="2476"/>
      <c r="I147" s="2476"/>
      <c r="J147" s="2476"/>
      <c r="K147" s="2020" t="str">
        <f ca="1">IF(F99="NPA","","x")</f>
        <v>x</v>
      </c>
    </row>
    <row r="148" spans="1:11" ht="15" customHeight="1" x14ac:dyDescent="0.25">
      <c r="A148" s="2476" t="s">
        <v>1727</v>
      </c>
      <c r="B148" s="2476"/>
      <c r="C148" s="2476"/>
      <c r="D148" s="2476"/>
      <c r="E148" s="2476"/>
      <c r="F148" s="2476"/>
      <c r="G148" s="2476"/>
      <c r="H148" s="2476"/>
      <c r="I148" s="2476"/>
      <c r="J148" s="2476"/>
      <c r="K148" s="2020" t="str">
        <f ca="1">K147</f>
        <v>x</v>
      </c>
    </row>
    <row r="149" spans="1:11" ht="15" customHeight="1" x14ac:dyDescent="0.25">
      <c r="A149" s="2476"/>
      <c r="B149" s="2476"/>
      <c r="C149" s="2476"/>
      <c r="D149" s="2476"/>
      <c r="E149" s="2476"/>
      <c r="F149" s="2476"/>
      <c r="G149" s="2476"/>
      <c r="H149" s="2476"/>
      <c r="I149" s="2476"/>
      <c r="J149" s="2476"/>
      <c r="K149" s="2020" t="str">
        <f ca="1">K148</f>
        <v>x</v>
      </c>
    </row>
    <row r="150" spans="1:11" ht="15" customHeight="1" x14ac:dyDescent="0.25">
      <c r="A150" s="2476"/>
      <c r="B150" s="2476"/>
      <c r="C150" s="2476"/>
      <c r="D150" s="2476"/>
      <c r="E150" s="2476"/>
      <c r="F150" s="2476"/>
      <c r="G150" s="2476"/>
      <c r="H150" s="2476"/>
      <c r="I150" s="2476"/>
      <c r="J150" s="2476"/>
      <c r="K150" s="2020" t="str">
        <f ca="1">K149</f>
        <v>x</v>
      </c>
    </row>
    <row r="151" spans="1:11" ht="15" customHeight="1" x14ac:dyDescent="0.25">
      <c r="A151" s="2476"/>
      <c r="B151" s="2476"/>
      <c r="C151" s="2476"/>
      <c r="D151" s="2476"/>
      <c r="E151" s="2476"/>
      <c r="F151" s="2476"/>
      <c r="G151" s="2476"/>
      <c r="H151" s="2476"/>
      <c r="I151" s="2476"/>
      <c r="J151" s="2476"/>
    </row>
    <row r="153" spans="1:11" ht="15" customHeight="1" x14ac:dyDescent="0.25">
      <c r="A153" s="281" t="s">
        <v>1083</v>
      </c>
    </row>
    <row r="154" spans="1:11" ht="15" customHeight="1" x14ac:dyDescent="0.25">
      <c r="A154" s="2469"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54" s="2469"/>
      <c r="C154" s="2469"/>
      <c r="D154" s="2469"/>
      <c r="E154" s="2469"/>
      <c r="F154" s="2469"/>
      <c r="G154" s="2469"/>
      <c r="H154" s="2469"/>
      <c r="I154" s="2469"/>
      <c r="J154" s="2469"/>
    </row>
    <row r="155" spans="1:11" ht="15" customHeight="1" x14ac:dyDescent="0.25">
      <c r="A155" s="2469"/>
      <c r="B155" s="2469"/>
      <c r="C155" s="2469"/>
      <c r="D155" s="2469"/>
      <c r="E155" s="2469"/>
      <c r="F155" s="2469"/>
      <c r="G155" s="2469"/>
      <c r="H155" s="2469"/>
      <c r="I155" s="2469"/>
      <c r="J155" s="2469"/>
    </row>
    <row r="156" spans="1:11" ht="15" customHeight="1" x14ac:dyDescent="0.25">
      <c r="A156" s="2469"/>
      <c r="B156" s="2469"/>
      <c r="C156" s="2469"/>
      <c r="D156" s="2469"/>
      <c r="E156" s="2469"/>
      <c r="F156" s="2469"/>
      <c r="G156" s="2469"/>
      <c r="H156" s="2469"/>
      <c r="I156" s="2469"/>
      <c r="J156" s="2469"/>
    </row>
    <row r="157" spans="1:11" ht="15" customHeight="1" x14ac:dyDescent="0.25">
      <c r="A157" s="2469"/>
      <c r="B157" s="2469"/>
      <c r="C157" s="2469"/>
      <c r="D157" s="2469"/>
      <c r="E157" s="2469"/>
      <c r="F157" s="2469"/>
      <c r="G157" s="2469"/>
      <c r="H157" s="2469"/>
      <c r="I157" s="2469"/>
      <c r="J157" s="2469"/>
    </row>
    <row r="158" spans="1:11" ht="15" customHeight="1" x14ac:dyDescent="0.25">
      <c r="A158" s="2469"/>
      <c r="B158" s="2469"/>
      <c r="C158" s="2469"/>
      <c r="D158" s="2469"/>
      <c r="E158" s="2469"/>
      <c r="F158" s="2469"/>
      <c r="G158" s="2469"/>
      <c r="H158" s="2469"/>
      <c r="I158" s="2469"/>
      <c r="J158" s="2469"/>
    </row>
    <row r="159" spans="1:11" ht="15" customHeight="1" x14ac:dyDescent="0.25">
      <c r="A159" s="2469"/>
      <c r="B159" s="2469"/>
      <c r="C159" s="2469"/>
      <c r="D159" s="2469"/>
      <c r="E159" s="2469"/>
      <c r="F159" s="2469"/>
      <c r="G159" s="2469"/>
      <c r="H159" s="2469"/>
      <c r="I159" s="2469"/>
      <c r="J159" s="2469"/>
    </row>
    <row r="160" spans="1:11" ht="15" customHeight="1" x14ac:dyDescent="0.25">
      <c r="A160" s="2135"/>
      <c r="B160" s="2135"/>
      <c r="C160" s="2135"/>
      <c r="D160" s="2135"/>
      <c r="E160" s="2135"/>
      <c r="F160" s="2135"/>
      <c r="G160" s="2135"/>
      <c r="H160" s="2135"/>
      <c r="I160" s="2135"/>
      <c r="J160" s="2135"/>
    </row>
    <row r="161" spans="1:10" ht="15" customHeight="1" x14ac:dyDescent="0.25">
      <c r="A161" s="281" t="s">
        <v>2514</v>
      </c>
      <c r="B161" s="2135"/>
      <c r="C161" s="2135"/>
      <c r="D161" s="2135"/>
      <c r="E161" s="2135"/>
      <c r="F161" s="2135"/>
      <c r="G161" s="2135"/>
      <c r="H161" s="2135"/>
      <c r="I161" s="2135"/>
      <c r="J161" s="2135"/>
    </row>
    <row r="162" spans="1:10" ht="15" customHeight="1" x14ac:dyDescent="0.25">
      <c r="A162" s="2135"/>
      <c r="B162" s="2135"/>
      <c r="C162" s="2135"/>
      <c r="D162" s="2135"/>
      <c r="E162" s="2135"/>
      <c r="F162" s="2135"/>
      <c r="G162" s="2135"/>
      <c r="H162" s="2135"/>
      <c r="I162" s="2135"/>
      <c r="J162" s="2135"/>
    </row>
    <row r="163" spans="1:10" ht="15" customHeight="1" x14ac:dyDescent="0.25">
      <c r="A163" s="2487" t="s">
        <v>146</v>
      </c>
      <c r="B163" s="2487"/>
      <c r="C163" s="2487"/>
      <c r="D163" s="2487"/>
      <c r="E163" s="2487"/>
      <c r="F163" s="2618" t="s">
        <v>2457</v>
      </c>
      <c r="G163" s="2618"/>
      <c r="H163" s="2097" t="s">
        <v>2458</v>
      </c>
      <c r="I163" s="2487" t="s">
        <v>2423</v>
      </c>
      <c r="J163" s="2487"/>
    </row>
    <row r="164" spans="1:10" s="2332" customFormat="1" ht="15" customHeight="1" x14ac:dyDescent="0.25">
      <c r="A164" s="2459" t="s">
        <v>2816</v>
      </c>
      <c r="B164" s="2459"/>
      <c r="C164" s="2459"/>
      <c r="D164" s="2459"/>
      <c r="E164" s="2459"/>
      <c r="F164" s="2460" t="s">
        <v>2817</v>
      </c>
      <c r="G164" s="2460"/>
      <c r="H164" s="2333" t="s">
        <v>240</v>
      </c>
      <c r="I164" s="2454" t="str">
        <f>IF(COUNTIF(L106,"Não conforme")&lt;&gt;0,"Não conforme",IF(COUNTIF(L106,"Conforme")&lt;&gt;0,"Conforme","NA"))</f>
        <v>NA</v>
      </c>
      <c r="J164" s="2454"/>
    </row>
    <row r="165" spans="1:10" ht="15" customHeight="1" x14ac:dyDescent="0.25">
      <c r="A165" s="2459" t="s">
        <v>2515</v>
      </c>
      <c r="B165" s="2459"/>
      <c r="C165" s="2459"/>
      <c r="D165" s="2459"/>
      <c r="E165" s="2459"/>
      <c r="F165" s="2460" t="s">
        <v>2359</v>
      </c>
      <c r="G165" s="2460"/>
      <c r="H165" s="2098" t="e">
        <f>IF(F165="-","NA",IF(OR(I165="NA",I165="NPA"),"NA",IF(F165="Quadrienal",$J$1+1461,IF(F165="Bienal",$J$1+730,IF(F165="Anual",$J$1+365,IF(F165="Semestral",$J$1+182,IF(F165="Mensal",$J$1+30,IF(F165="Semanal",$J$1+7))))))))</f>
        <v>#N/A</v>
      </c>
      <c r="I165" s="2454" t="str">
        <f>IF(COUNTIF(L72:L74,"Não conforme")&lt;&gt;0,"Não conforme",IF(COUNTIF(L72:L74,"Conforme")&lt;&gt;0,"Conforme","NA"))</f>
        <v>Conforme</v>
      </c>
      <c r="J165" s="2454"/>
    </row>
    <row r="166" spans="1:10" ht="15" customHeight="1" x14ac:dyDescent="0.25">
      <c r="A166" s="2459" t="s">
        <v>2516</v>
      </c>
      <c r="B166" s="2459"/>
      <c r="C166" s="2459"/>
      <c r="D166" s="2459"/>
      <c r="E166" s="2459"/>
      <c r="F166" s="2460" t="s">
        <v>2359</v>
      </c>
      <c r="G166" s="2460"/>
      <c r="H166" s="2331" t="e">
        <f t="shared" ref="H166:H180" si="2">IF(F166="-","NA",IF(OR(I166="NA",I166="NPA"),"NA",IF(F166="Quadrienal",$J$1+1461,IF(F166="Bienal",$J$1+730,IF(F166="Anual",$J$1+365,IF(F166="Semestral",$J$1+182,IF(F166="Mensal",$J$1+30,IF(F166="Semanal",$J$1+7))))))))</f>
        <v>#N/A</v>
      </c>
      <c r="I166" s="2454" t="str">
        <f>L87</f>
        <v>Conforme</v>
      </c>
      <c r="J166" s="2454" t="s">
        <v>857</v>
      </c>
    </row>
    <row r="167" spans="1:10" ht="15" customHeight="1" x14ac:dyDescent="0.25">
      <c r="A167" s="2459" t="s">
        <v>2517</v>
      </c>
      <c r="B167" s="2459"/>
      <c r="C167" s="2459"/>
      <c r="D167" s="2459"/>
      <c r="E167" s="2459"/>
      <c r="F167" s="2460" t="s">
        <v>2359</v>
      </c>
      <c r="G167" s="2460"/>
      <c r="H167" s="2331" t="str">
        <f t="shared" ca="1" si="2"/>
        <v>NA</v>
      </c>
      <c r="I167" s="2454" t="str">
        <f ca="1">L99</f>
        <v>NA</v>
      </c>
      <c r="J167" s="2454" t="s">
        <v>857</v>
      </c>
    </row>
    <row r="168" spans="1:10" ht="15" customHeight="1" x14ac:dyDescent="0.25">
      <c r="A168" s="2459" t="s">
        <v>1257</v>
      </c>
      <c r="B168" s="2459"/>
      <c r="C168" s="2459"/>
      <c r="D168" s="2459"/>
      <c r="E168" s="2459"/>
      <c r="F168" s="2460" t="s">
        <v>240</v>
      </c>
      <c r="G168" s="2460"/>
      <c r="H168" s="2331" t="str">
        <f t="shared" si="2"/>
        <v>NA</v>
      </c>
      <c r="I168" s="2454" t="str">
        <f>J106</f>
        <v>NA</v>
      </c>
      <c r="J168" s="2454" t="s">
        <v>857</v>
      </c>
    </row>
    <row r="169" spans="1:10" ht="15" customHeight="1" x14ac:dyDescent="0.25">
      <c r="A169" s="2459" t="s">
        <v>1476</v>
      </c>
      <c r="B169" s="2459"/>
      <c r="C169" s="2459"/>
      <c r="D169" s="2459"/>
      <c r="E169" s="2459"/>
      <c r="F169" s="2460" t="s">
        <v>2359</v>
      </c>
      <c r="G169" s="2460"/>
      <c r="H169" s="2331" t="e">
        <f t="shared" si="2"/>
        <v>#N/A</v>
      </c>
      <c r="I169" s="2454" t="str">
        <f t="shared" ref="I169:I177" si="3">L107</f>
        <v>Não conforme</v>
      </c>
      <c r="J169" s="2454" t="s">
        <v>857</v>
      </c>
    </row>
    <row r="170" spans="1:10" ht="15" customHeight="1" x14ac:dyDescent="0.25">
      <c r="A170" s="2459" t="s">
        <v>1477</v>
      </c>
      <c r="B170" s="2459"/>
      <c r="C170" s="2459"/>
      <c r="D170" s="2459"/>
      <c r="E170" s="2459"/>
      <c r="F170" s="2460" t="s">
        <v>2359</v>
      </c>
      <c r="G170" s="2460"/>
      <c r="H170" s="2331" t="e">
        <f t="shared" si="2"/>
        <v>#N/A</v>
      </c>
      <c r="I170" s="2454" t="str">
        <f t="shared" si="3"/>
        <v>Não conforme</v>
      </c>
      <c r="J170" s="2454" t="s">
        <v>857</v>
      </c>
    </row>
    <row r="171" spans="1:10" ht="15" customHeight="1" x14ac:dyDescent="0.25">
      <c r="A171" s="2459" t="s">
        <v>1478</v>
      </c>
      <c r="B171" s="2459"/>
      <c r="C171" s="2459"/>
      <c r="D171" s="2459"/>
      <c r="E171" s="2459"/>
      <c r="F171" s="2460" t="s">
        <v>2359</v>
      </c>
      <c r="G171" s="2460"/>
      <c r="H171" s="2331" t="e">
        <f t="shared" si="2"/>
        <v>#N/A</v>
      </c>
      <c r="I171" s="2454" t="str">
        <f t="shared" si="3"/>
        <v>Não conforme</v>
      </c>
      <c r="J171" s="2454" t="s">
        <v>857</v>
      </c>
    </row>
    <row r="172" spans="1:10" ht="15" customHeight="1" x14ac:dyDescent="0.25">
      <c r="A172" s="2459" t="s">
        <v>1264</v>
      </c>
      <c r="B172" s="2459"/>
      <c r="C172" s="2459"/>
      <c r="D172" s="2459"/>
      <c r="E172" s="2459"/>
      <c r="F172" s="2460" t="s">
        <v>2359</v>
      </c>
      <c r="G172" s="2460"/>
      <c r="H172" s="2331" t="e">
        <f t="shared" si="2"/>
        <v>#N/A</v>
      </c>
      <c r="I172" s="2454" t="str">
        <f t="shared" si="3"/>
        <v>Conforme</v>
      </c>
      <c r="J172" s="2454" t="s">
        <v>857</v>
      </c>
    </row>
    <row r="173" spans="1:10" ht="15" customHeight="1" x14ac:dyDescent="0.25">
      <c r="A173" s="2459" t="s">
        <v>1265</v>
      </c>
      <c r="B173" s="2459"/>
      <c r="C173" s="2459"/>
      <c r="D173" s="2459"/>
      <c r="E173" s="2459"/>
      <c r="F173" s="2460" t="s">
        <v>2359</v>
      </c>
      <c r="G173" s="2460"/>
      <c r="H173" s="2331" t="e">
        <f t="shared" si="2"/>
        <v>#N/A</v>
      </c>
      <c r="I173" s="2454" t="str">
        <f t="shared" si="3"/>
        <v>Não conforme</v>
      </c>
      <c r="J173" s="2454" t="s">
        <v>857</v>
      </c>
    </row>
    <row r="174" spans="1:10" ht="15" customHeight="1" x14ac:dyDescent="0.25">
      <c r="A174" s="2459" t="s">
        <v>515</v>
      </c>
      <c r="B174" s="2459"/>
      <c r="C174" s="2459"/>
      <c r="D174" s="2459"/>
      <c r="E174" s="2459"/>
      <c r="F174" s="2460" t="s">
        <v>2359</v>
      </c>
      <c r="G174" s="2460"/>
      <c r="H174" s="2331" t="str">
        <f t="shared" si="2"/>
        <v>NA</v>
      </c>
      <c r="I174" s="2454" t="str">
        <f t="shared" si="3"/>
        <v>NA</v>
      </c>
      <c r="J174" s="2454" t="s">
        <v>857</v>
      </c>
    </row>
    <row r="175" spans="1:10" ht="15" customHeight="1" x14ac:dyDescent="0.25">
      <c r="A175" s="2459" t="s">
        <v>516</v>
      </c>
      <c r="B175" s="2459"/>
      <c r="C175" s="2459"/>
      <c r="D175" s="2459"/>
      <c r="E175" s="2459"/>
      <c r="F175" s="2460" t="s">
        <v>2359</v>
      </c>
      <c r="G175" s="2460"/>
      <c r="H175" s="2331" t="str">
        <f t="shared" si="2"/>
        <v>NA</v>
      </c>
      <c r="I175" s="2454" t="str">
        <f t="shared" si="3"/>
        <v>NPA</v>
      </c>
      <c r="J175" s="2454" t="s">
        <v>857</v>
      </c>
    </row>
    <row r="176" spans="1:10" ht="15" customHeight="1" x14ac:dyDescent="0.25">
      <c r="A176" s="2459" t="s">
        <v>517</v>
      </c>
      <c r="B176" s="2459"/>
      <c r="C176" s="2459"/>
      <c r="D176" s="2459"/>
      <c r="E176" s="2459"/>
      <c r="F176" s="2460" t="s">
        <v>2359</v>
      </c>
      <c r="G176" s="2460"/>
      <c r="H176" s="2331" t="e">
        <f t="shared" ca="1" si="2"/>
        <v>#N/A</v>
      </c>
      <c r="I176" s="2454" t="str">
        <f t="shared" ca="1" si="3"/>
        <v>Conforme</v>
      </c>
      <c r="J176" s="2454" t="s">
        <v>857</v>
      </c>
    </row>
    <row r="177" spans="1:11" ht="15" customHeight="1" x14ac:dyDescent="0.25">
      <c r="A177" s="2459" t="s">
        <v>704</v>
      </c>
      <c r="B177" s="2459"/>
      <c r="C177" s="2459"/>
      <c r="D177" s="2459"/>
      <c r="E177" s="2459"/>
      <c r="F177" s="2460" t="s">
        <v>2359</v>
      </c>
      <c r="G177" s="2460"/>
      <c r="H177" s="2331" t="e">
        <f t="shared" si="2"/>
        <v>#N/A</v>
      </c>
      <c r="I177" s="2454" t="str">
        <f t="shared" si="3"/>
        <v>Conforme</v>
      </c>
      <c r="J177" s="2454" t="s">
        <v>857</v>
      </c>
    </row>
    <row r="178" spans="1:11" ht="15" customHeight="1" x14ac:dyDescent="0.25">
      <c r="A178" s="2459" t="s">
        <v>707</v>
      </c>
      <c r="B178" s="2459"/>
      <c r="C178" s="2459"/>
      <c r="D178" s="2459"/>
      <c r="E178" s="2459"/>
      <c r="F178" s="2460" t="s">
        <v>2359</v>
      </c>
      <c r="G178" s="2460"/>
      <c r="H178" s="2331" t="e">
        <f t="shared" si="2"/>
        <v>#N/A</v>
      </c>
      <c r="I178" s="2454"/>
      <c r="J178" s="2454" t="s">
        <v>857</v>
      </c>
      <c r="K178" s="2137" t="s">
        <v>649</v>
      </c>
    </row>
    <row r="179" spans="1:11" ht="15" customHeight="1" x14ac:dyDescent="0.25">
      <c r="A179" s="2459" t="s">
        <v>711</v>
      </c>
      <c r="B179" s="2459"/>
      <c r="C179" s="2459"/>
      <c r="D179" s="2459"/>
      <c r="E179" s="2459"/>
      <c r="F179" s="2460" t="s">
        <v>2359</v>
      </c>
      <c r="G179" s="2460"/>
      <c r="H179" s="2331" t="e">
        <f t="shared" si="2"/>
        <v>#N/A</v>
      </c>
      <c r="I179" s="2454"/>
      <c r="J179" s="2454" t="s">
        <v>857</v>
      </c>
      <c r="K179" s="2137" t="s">
        <v>649</v>
      </c>
    </row>
    <row r="180" spans="1:11" ht="15" customHeight="1" x14ac:dyDescent="0.25">
      <c r="A180" s="2459" t="s">
        <v>712</v>
      </c>
      <c r="B180" s="2459"/>
      <c r="C180" s="2459"/>
      <c r="D180" s="2459"/>
      <c r="E180" s="2459"/>
      <c r="F180" s="2460" t="s">
        <v>2359</v>
      </c>
      <c r="G180" s="2460"/>
      <c r="H180" s="2331" t="e">
        <f t="shared" si="2"/>
        <v>#N/A</v>
      </c>
      <c r="I180" s="2454"/>
      <c r="J180" s="2454" t="s">
        <v>857</v>
      </c>
      <c r="K180" s="2137" t="s">
        <v>649</v>
      </c>
    </row>
    <row r="181" spans="1:11" ht="15" customHeight="1" x14ac:dyDescent="0.25">
      <c r="A181" s="284" t="s">
        <v>2772</v>
      </c>
      <c r="B181" s="2064"/>
      <c r="C181" s="287"/>
      <c r="D181" s="287"/>
      <c r="E181" s="287"/>
      <c r="F181" s="287"/>
      <c r="G181" s="2134"/>
      <c r="H181" s="2134"/>
      <c r="I181" s="2134"/>
      <c r="J181" s="2134"/>
    </row>
    <row r="182" spans="1:11" ht="15" customHeight="1" x14ac:dyDescent="0.25">
      <c r="A182" s="2135"/>
      <c r="B182" s="2135"/>
      <c r="C182" s="2135"/>
      <c r="D182" s="2135"/>
      <c r="E182" s="2135"/>
      <c r="F182" s="2135"/>
      <c r="G182" s="2135"/>
      <c r="H182" s="2135"/>
      <c r="I182" s="2135"/>
      <c r="J182" s="2135"/>
    </row>
    <row r="183" spans="1:11" ht="15" customHeight="1" x14ac:dyDescent="0.25">
      <c r="A183" s="2135"/>
      <c r="B183" s="2135"/>
      <c r="C183" s="2135"/>
      <c r="D183" s="2135"/>
      <c r="E183" s="2135"/>
      <c r="F183" s="2135"/>
      <c r="G183" s="2135"/>
      <c r="H183" s="2135"/>
      <c r="I183" s="2135"/>
      <c r="J183" s="2135"/>
    </row>
    <row r="184" spans="1:11" ht="15" customHeight="1" x14ac:dyDescent="0.25">
      <c r="A184" s="281" t="s">
        <v>2072</v>
      </c>
      <c r="K184" s="2137" t="str">
        <f>IF(OR(J106="NPA",J106="Sim"),"x","")</f>
        <v/>
      </c>
    </row>
    <row r="185" spans="1:11" ht="15" customHeight="1" x14ac:dyDescent="0.25">
      <c r="A185" s="2469" t="s">
        <v>1260</v>
      </c>
      <c r="B185" s="2469"/>
      <c r="C185" s="2469"/>
      <c r="D185" s="2469"/>
      <c r="E185" s="2469"/>
      <c r="F185" s="2469"/>
      <c r="G185" s="2469"/>
      <c r="H185" s="2469"/>
      <c r="I185" s="2469"/>
      <c r="J185" s="2469"/>
      <c r="K185" s="2137" t="str">
        <f>K184</f>
        <v/>
      </c>
    </row>
    <row r="186" spans="1:11" ht="15" customHeight="1" x14ac:dyDescent="0.25">
      <c r="A186" s="2469"/>
      <c r="B186" s="2469"/>
      <c r="C186" s="2469"/>
      <c r="D186" s="2469"/>
      <c r="E186" s="2469"/>
      <c r="F186" s="2469"/>
      <c r="G186" s="2469"/>
      <c r="H186" s="2469"/>
      <c r="I186" s="2469"/>
      <c r="J186" s="2469"/>
      <c r="K186" s="2137" t="str">
        <f>IF(G63&lt;&gt;"Sim","","x")</f>
        <v>x</v>
      </c>
    </row>
    <row r="187" spans="1:11" ht="15" customHeight="1" x14ac:dyDescent="0.25">
      <c r="A187" s="2476" t="s">
        <v>528</v>
      </c>
      <c r="B187" s="2476"/>
      <c r="C187" s="2476"/>
      <c r="D187" s="2476"/>
      <c r="E187" s="2476"/>
      <c r="F187" s="2476"/>
      <c r="G187" s="2476"/>
      <c r="H187" s="2476"/>
      <c r="I187" s="2476"/>
      <c r="J187" s="2476"/>
      <c r="K187" s="2137" t="str">
        <f>K186</f>
        <v>x</v>
      </c>
    </row>
    <row r="188" spans="1:11" ht="15" customHeight="1" x14ac:dyDescent="0.25">
      <c r="A188" s="2476"/>
      <c r="B188" s="2476"/>
      <c r="C188" s="2476"/>
      <c r="D188" s="2476"/>
      <c r="E188" s="2476"/>
      <c r="F188" s="2476"/>
      <c r="G188" s="2476"/>
      <c r="H188" s="2476"/>
      <c r="I188" s="2476"/>
      <c r="J188" s="2476"/>
      <c r="K188" s="2137" t="str">
        <f>IF(G64&lt;&gt;"Sim","","x")</f>
        <v>x</v>
      </c>
    </row>
    <row r="189" spans="1:11" ht="15" customHeight="1" x14ac:dyDescent="0.25">
      <c r="A189" s="2476" t="s">
        <v>529</v>
      </c>
      <c r="B189" s="2476"/>
      <c r="C189" s="2476"/>
      <c r="D189" s="2476"/>
      <c r="E189" s="2476"/>
      <c r="F189" s="2476"/>
      <c r="G189" s="2476"/>
      <c r="H189" s="2476"/>
      <c r="I189" s="2476"/>
      <c r="J189" s="2476"/>
      <c r="K189" s="2137" t="str">
        <f>K188</f>
        <v>x</v>
      </c>
    </row>
    <row r="190" spans="1:11" ht="15" customHeight="1" x14ac:dyDescent="0.25">
      <c r="A190" s="2476"/>
      <c r="B190" s="2476"/>
      <c r="C190" s="2476"/>
      <c r="D190" s="2476"/>
      <c r="E190" s="2476"/>
      <c r="F190" s="2476"/>
      <c r="G190" s="2476"/>
      <c r="H190" s="2476"/>
      <c r="I190" s="2476"/>
      <c r="J190" s="2476"/>
      <c r="K190" s="2137" t="str">
        <f>IF(G72&lt;&gt;"Sim","","x")</f>
        <v>x</v>
      </c>
    </row>
    <row r="191" spans="1:11" ht="15" customHeight="1" x14ac:dyDescent="0.25">
      <c r="A191" s="2476" t="str">
        <f>"                A exatidão dos números de CT está fora de tolerância para o ar (-1000 ± "&amp;tomografia!G25&amp;" HU). Os números de CT devem ser ajustados."</f>
        <v xml:space="preserve">                A exatidão dos números de CT está fora de tolerância para o ar (-1000 ± 10 HU). Os números de CT devem ser ajustados.</v>
      </c>
      <c r="B191" s="2476"/>
      <c r="C191" s="2476"/>
      <c r="D191" s="2476"/>
      <c r="E191" s="2476"/>
      <c r="F191" s="2476"/>
      <c r="G191" s="2476"/>
      <c r="H191" s="2476"/>
      <c r="I191" s="2476"/>
      <c r="J191" s="2476"/>
      <c r="K191" s="2137" t="str">
        <f>K190</f>
        <v>x</v>
      </c>
    </row>
    <row r="192" spans="1:11" ht="15" customHeight="1" x14ac:dyDescent="0.25">
      <c r="A192" s="2476"/>
      <c r="B192" s="2476"/>
      <c r="C192" s="2476"/>
      <c r="D192" s="2476"/>
      <c r="E192" s="2476"/>
      <c r="F192" s="2476"/>
      <c r="G192" s="2476"/>
      <c r="H192" s="2476"/>
      <c r="I192" s="2476"/>
      <c r="J192" s="2476"/>
      <c r="K192" s="2137" t="str">
        <f>IF(G73&lt;&gt;"Sim","","x")</f>
        <v>x</v>
      </c>
    </row>
    <row r="193" spans="1:11" ht="15" customHeight="1" x14ac:dyDescent="0.25">
      <c r="A193" s="2476" t="str">
        <f>"                A exatidão dos números de CT está fora de tolerância para a água (0 ± "&amp;tomografia!G24&amp;" HU). Os números de CT devem ser ajustados."</f>
        <v xml:space="preserve">                A exatidão dos números de CT está fora de tolerância para a água (0 ± 5 HU). Os números de CT devem ser ajustados.</v>
      </c>
      <c r="B193" s="2476"/>
      <c r="C193" s="2476"/>
      <c r="D193" s="2476"/>
      <c r="E193" s="2476"/>
      <c r="F193" s="2476"/>
      <c r="G193" s="2476"/>
      <c r="H193" s="2476"/>
      <c r="I193" s="2476"/>
      <c r="J193" s="2476"/>
      <c r="K193" s="2137" t="str">
        <f>K192</f>
        <v>x</v>
      </c>
    </row>
    <row r="194" spans="1:11" ht="15" customHeight="1" x14ac:dyDescent="0.25">
      <c r="A194" s="2476"/>
      <c r="B194" s="2476"/>
      <c r="C194" s="2476"/>
      <c r="D194" s="2476"/>
      <c r="E194" s="2476"/>
      <c r="F194" s="2476"/>
      <c r="G194" s="2476"/>
      <c r="H194" s="2476"/>
      <c r="I194" s="2476"/>
      <c r="J194" s="2476"/>
      <c r="K194" s="2137" t="str">
        <f>IF(COUNTIF(K190:K193,"")&gt;0,"","x")</f>
        <v>x</v>
      </c>
    </row>
    <row r="195" spans="1:11" ht="15" customHeight="1" x14ac:dyDescent="0.25">
      <c r="A195" s="2476" t="str">
        <f>"                "&amp;IF(tomografia!A22="Sim","Conforme estabelecido pelo fabricante, os níveis de tolerância para a exatidão dos números de CT são de 0 ± "&amp;tomografia!G24&amp;" HU para a água e de -1000 ± "&amp;tomografia!G25&amp;" HU para o ar.","Recomenda-se verificar com o fabricante se o mesmo estabelece níveis de tolerância e/ou restrição diferentes dos definidos na IN "&amp;VLOOKUP("Tomografia computadorizada",IN_ANVISA[],2)&amp;"/"&amp;VLOOKUP("Tomografia computadorizada",IN_ANVISA[],3)&amp;" da ANVISA.")</f>
        <v xml:space="preserve">                Recomenda-se verificar com o fabricante se o mesmo estabelece níveis de tolerância e/ou restrição diferentes dos definidos na IN 93/2021 da ANVISA.</v>
      </c>
      <c r="B195" s="2476"/>
      <c r="C195" s="2476"/>
      <c r="D195" s="2476"/>
      <c r="E195" s="2476"/>
      <c r="F195" s="2476"/>
      <c r="G195" s="2476"/>
      <c r="H195" s="2476"/>
      <c r="I195" s="2476"/>
      <c r="J195" s="2476"/>
      <c r="K195" s="2137" t="str">
        <f>K194</f>
        <v>x</v>
      </c>
    </row>
    <row r="196" spans="1:11" ht="15" customHeight="1" x14ac:dyDescent="0.25">
      <c r="A196" s="2476"/>
      <c r="B196" s="2476"/>
      <c r="C196" s="2476"/>
      <c r="D196" s="2476"/>
      <c r="E196" s="2476"/>
      <c r="F196" s="2476"/>
      <c r="G196" s="2476"/>
      <c r="H196" s="2476"/>
      <c r="I196" s="2476"/>
      <c r="J196" s="2476"/>
      <c r="K196" s="2137" t="str">
        <f>IF(G74&lt;&gt;"Sim","","x")</f>
        <v>x</v>
      </c>
    </row>
    <row r="197" spans="1:11" ht="15" customHeight="1" x14ac:dyDescent="0.25">
      <c r="A197" s="2476" t="s">
        <v>533</v>
      </c>
      <c r="B197" s="2476"/>
      <c r="C197" s="2476"/>
      <c r="D197" s="2476"/>
      <c r="E197" s="2476"/>
      <c r="F197" s="2476"/>
      <c r="G197" s="2476"/>
      <c r="H197" s="2476"/>
      <c r="I197" s="2476"/>
      <c r="J197" s="2476"/>
      <c r="K197" s="2137" t="str">
        <f>K196</f>
        <v>x</v>
      </c>
    </row>
    <row r="198" spans="1:11" ht="15" customHeight="1" x14ac:dyDescent="0.25">
      <c r="A198" s="2476"/>
      <c r="B198" s="2476"/>
      <c r="C198" s="2476"/>
      <c r="D198" s="2476"/>
      <c r="E198" s="2476"/>
      <c r="F198" s="2476"/>
      <c r="G198" s="2476"/>
      <c r="H198" s="2476"/>
      <c r="I198" s="2476"/>
      <c r="J198" s="2476"/>
      <c r="K198" s="2137" t="str">
        <f>K197</f>
        <v>x</v>
      </c>
    </row>
    <row r="199" spans="1:11" ht="15" customHeight="1" x14ac:dyDescent="0.25">
      <c r="A199" s="2476"/>
      <c r="B199" s="2476"/>
      <c r="C199" s="2476"/>
      <c r="D199" s="2476"/>
      <c r="E199" s="2476"/>
      <c r="F199" s="2476"/>
      <c r="G199" s="2476"/>
      <c r="H199" s="2476"/>
      <c r="I199" s="2476"/>
      <c r="J199" s="2476"/>
      <c r="K199" s="2137" t="str">
        <f>IF(G75&lt;&gt;"Sim**","","x")</f>
        <v/>
      </c>
    </row>
    <row r="200" spans="1:11" ht="15" customHeight="1" x14ac:dyDescent="0.25">
      <c r="A200" s="2476" t="str">
        <f>"                "&amp;IF(tomografia!A23=" ","O serviço de radiologia deve estabelecer padrões de referência para o teste de ruído da imagem.","O ruído da imagem está fora de tolerância (15 % acima do valor de referência). As causas podem ser diversas. Deve ser feita uma manutenção corretiva no equipamento.")</f>
        <v xml:space="preserve">                O serviço de radiologia deve estabelecer padrões de referência para o teste de ruído da imagem.</v>
      </c>
      <c r="B200" s="2476"/>
      <c r="C200" s="2476"/>
      <c r="D200" s="2476"/>
      <c r="E200" s="2476"/>
      <c r="F200" s="2476"/>
      <c r="G200" s="2476"/>
      <c r="H200" s="2476"/>
      <c r="I200" s="2476"/>
      <c r="J200" s="2476"/>
      <c r="K200" s="2137" t="str">
        <f>K199</f>
        <v/>
      </c>
    </row>
    <row r="201" spans="1:11" ht="15" customHeight="1" x14ac:dyDescent="0.25">
      <c r="A201" s="2476"/>
      <c r="B201" s="2476"/>
      <c r="C201" s="2476"/>
      <c r="D201" s="2476"/>
      <c r="E201" s="2476"/>
      <c r="F201" s="2476"/>
      <c r="G201" s="2476"/>
      <c r="H201" s="2476"/>
      <c r="I201" s="2476"/>
      <c r="J201" s="2476"/>
      <c r="K201" s="2137" t="str">
        <f>IF(AND(K89="x",(COUNTIF(D87:G87,"Não")+COUNTIF(D87:G87,"Restrição"))&gt;0),"","x")</f>
        <v>x</v>
      </c>
    </row>
    <row r="202" spans="1:11" ht="15" customHeight="1" x14ac:dyDescent="0.25">
      <c r="A202" s="2476" t="s">
        <v>534</v>
      </c>
      <c r="B202" s="2476"/>
      <c r="C202" s="2476"/>
      <c r="D202" s="2476"/>
      <c r="E202" s="2476"/>
      <c r="F202" s="2476"/>
      <c r="G202" s="2476"/>
      <c r="H202" s="2476"/>
      <c r="I202" s="2476"/>
      <c r="J202" s="2476"/>
      <c r="K202" s="2137" t="str">
        <f>K201</f>
        <v>x</v>
      </c>
    </row>
    <row r="203" spans="1:11" ht="15" customHeight="1" x14ac:dyDescent="0.25">
      <c r="A203" s="2476"/>
      <c r="B203" s="2476"/>
      <c r="C203" s="2476"/>
      <c r="D203" s="2476"/>
      <c r="E203" s="2476"/>
      <c r="F203" s="2476"/>
      <c r="G203" s="2476"/>
      <c r="H203" s="2476"/>
      <c r="I203" s="2476"/>
      <c r="J203" s="2476"/>
      <c r="K203" s="2137" t="str">
        <f>K202</f>
        <v>x</v>
      </c>
    </row>
    <row r="204" spans="1:11" ht="15" customHeight="1" x14ac:dyDescent="0.25">
      <c r="A204" s="2476"/>
      <c r="B204" s="2476"/>
      <c r="C204" s="2476"/>
      <c r="D204" s="2476"/>
      <c r="E204" s="2476"/>
      <c r="F204" s="2476"/>
      <c r="G204" s="2476"/>
      <c r="H204" s="2476"/>
      <c r="I204" s="2476"/>
      <c r="J204" s="2476"/>
      <c r="K204" s="2137" t="str">
        <f ca="1">IF((COUNTIF(D99:J99,"Não")+COUNTIF(D99:J99,"Restrição"))&gt;0,"","x")</f>
        <v>x</v>
      </c>
    </row>
    <row r="205" spans="1:11" ht="15" customHeight="1" x14ac:dyDescent="0.25">
      <c r="A205" s="2476" t="s">
        <v>536</v>
      </c>
      <c r="B205" s="2476"/>
      <c r="C205" s="2476"/>
      <c r="D205" s="2476"/>
      <c r="E205" s="2476"/>
      <c r="F205" s="2476"/>
      <c r="G205" s="2476"/>
      <c r="H205" s="2476"/>
      <c r="I205" s="2476"/>
      <c r="J205" s="2476"/>
      <c r="K205" s="2137" t="str">
        <f ca="1">K204</f>
        <v>x</v>
      </c>
    </row>
    <row r="206" spans="1:11" ht="15" customHeight="1" x14ac:dyDescent="0.25">
      <c r="A206" s="2476"/>
      <c r="B206" s="2476"/>
      <c r="C206" s="2476"/>
      <c r="D206" s="2476"/>
      <c r="E206" s="2476"/>
      <c r="F206" s="2476"/>
      <c r="G206" s="2476"/>
      <c r="H206" s="2476"/>
      <c r="I206" s="2476"/>
      <c r="J206" s="2476"/>
      <c r="K206" s="2137" t="str">
        <f>IF((COUNTIF(J107:J109,"Não")+COUNTIF(J107:J109,"Restrição"))&gt;0,"","x")</f>
        <v/>
      </c>
    </row>
    <row r="207" spans="1:11" ht="15" customHeight="1" x14ac:dyDescent="0.25">
      <c r="A207" s="2476" t="str">
        <f>IF(tomografia!F12="Philips","                A resolução espacial está fora de tolerância (≥ 6 pl/mm em resolução normal e ≥ 10 pl/mm em alta resolução). "&amp;"As causas podem ser diversas. Recomenda-se a manutenção corretiva do equipamento e a verificação do fantoma quanto às exigências da ANVISA.","                A resolução espacial está fora de tolerância (≥ 6 pl/mm em resolução normal e ≥ 10 pl/mm em alta resolução). As causas podem ser diversas. Deve ser feita a manutenção corretiva do equipamento.")</f>
        <v xml:space="preserve">                A resolução espacial está fora de tolerância (≥ 6 pl/mm em resolução normal e ≥ 10 pl/mm em alta resolução). As causas podem ser diversas. Deve ser feita a manutenção corretiva do equipamento.</v>
      </c>
      <c r="B207" s="2476"/>
      <c r="C207" s="2476"/>
      <c r="D207" s="2476"/>
      <c r="E207" s="2476"/>
      <c r="F207" s="2476"/>
      <c r="G207" s="2476"/>
      <c r="H207" s="2476"/>
      <c r="I207" s="2476"/>
      <c r="J207" s="2476"/>
      <c r="K207" s="2137" t="str">
        <f>K206</f>
        <v/>
      </c>
    </row>
    <row r="208" spans="1:11" ht="15" customHeight="1" x14ac:dyDescent="0.25">
      <c r="A208" s="2476"/>
      <c r="B208" s="2476"/>
      <c r="C208" s="2476"/>
      <c r="D208" s="2476"/>
      <c r="E208" s="2476"/>
      <c r="F208" s="2476"/>
      <c r="G208" s="2476"/>
      <c r="H208" s="2476"/>
      <c r="I208" s="2476"/>
      <c r="J208" s="2476"/>
      <c r="K208" s="2137" t="str">
        <f>K207</f>
        <v/>
      </c>
    </row>
    <row r="209" spans="1:11" ht="15" customHeight="1" x14ac:dyDescent="0.25">
      <c r="A209" s="2476"/>
      <c r="B209" s="2476"/>
      <c r="C209" s="2476"/>
      <c r="D209" s="2476"/>
      <c r="E209" s="2476"/>
      <c r="F209" s="2476"/>
      <c r="G209" s="2476"/>
      <c r="H209" s="2476"/>
      <c r="I209" s="2476"/>
      <c r="J209" s="2476"/>
      <c r="K209" s="2137" t="str">
        <f>IF(J110&lt;&gt;"Sim","","x")</f>
        <v>x</v>
      </c>
    </row>
    <row r="210" spans="1:11" ht="15" customHeight="1" x14ac:dyDescent="0.25">
      <c r="A210" s="2476" t="s">
        <v>535</v>
      </c>
      <c r="B210" s="2476"/>
      <c r="C210" s="2476"/>
      <c r="D210" s="2476"/>
      <c r="E210" s="2476"/>
      <c r="F210" s="2476"/>
      <c r="G210" s="2476"/>
      <c r="H210" s="2476"/>
      <c r="I210" s="2476"/>
      <c r="J210" s="2476"/>
      <c r="K210" s="2137" t="str">
        <f>K209</f>
        <v>x</v>
      </c>
    </row>
    <row r="211" spans="1:11" ht="15" customHeight="1" x14ac:dyDescent="0.25">
      <c r="A211" s="2476"/>
      <c r="B211" s="2476"/>
      <c r="C211" s="2476"/>
      <c r="D211" s="2476"/>
      <c r="E211" s="2476"/>
      <c r="F211" s="2476"/>
      <c r="G211" s="2476"/>
      <c r="H211" s="2476"/>
      <c r="I211" s="2476"/>
      <c r="J211" s="2476"/>
      <c r="K211" s="2137" t="str">
        <f>IF(J111&lt;&gt;"Sim","","x")</f>
        <v/>
      </c>
    </row>
    <row r="212" spans="1:11" ht="15" customHeight="1" x14ac:dyDescent="0.25">
      <c r="A212" s="2476" t="s">
        <v>537</v>
      </c>
      <c r="B212" s="2476"/>
      <c r="C212" s="2476"/>
      <c r="D212" s="2476"/>
      <c r="E212" s="2476"/>
      <c r="F212" s="2476"/>
      <c r="G212" s="2476"/>
      <c r="H212" s="2476"/>
      <c r="I212" s="2476"/>
      <c r="J212" s="2476"/>
      <c r="K212" s="2137" t="str">
        <f>K211</f>
        <v/>
      </c>
    </row>
    <row r="213" spans="1:11" ht="15" customHeight="1" x14ac:dyDescent="0.25">
      <c r="A213" s="2476"/>
      <c r="B213" s="2476"/>
      <c r="C213" s="2476"/>
      <c r="D213" s="2476"/>
      <c r="E213" s="2476"/>
      <c r="F213" s="2476"/>
      <c r="G213" s="2476"/>
      <c r="H213" s="2476"/>
      <c r="I213" s="2476"/>
      <c r="J213" s="2476"/>
      <c r="K213" s="2137" t="str">
        <f>IF(OR(J112="Não",J112="Restrição"),"","x")</f>
        <v>x</v>
      </c>
    </row>
    <row r="214" spans="1:11" ht="15" customHeight="1" x14ac:dyDescent="0.25">
      <c r="A214" s="2476" t="s">
        <v>538</v>
      </c>
      <c r="B214" s="2476"/>
      <c r="C214" s="2476"/>
      <c r="D214" s="2476"/>
      <c r="E214" s="2476"/>
      <c r="F214" s="2476"/>
      <c r="G214" s="2476"/>
      <c r="H214" s="2476"/>
      <c r="I214" s="2476"/>
      <c r="J214" s="2476"/>
      <c r="K214" s="2137" t="str">
        <f>K213</f>
        <v>x</v>
      </c>
    </row>
    <row r="215" spans="1:11" ht="15" customHeight="1" x14ac:dyDescent="0.25">
      <c r="A215" s="2476"/>
      <c r="B215" s="2476"/>
      <c r="C215" s="2476"/>
      <c r="D215" s="2476"/>
      <c r="E215" s="2476"/>
      <c r="F215" s="2476"/>
      <c r="G215" s="2476"/>
      <c r="H215" s="2476"/>
      <c r="I215" s="2476"/>
      <c r="J215" s="2476"/>
      <c r="K215" s="2137" t="str">
        <f>IF(OR(J113="Não",J113="Restrição"),"","x")</f>
        <v>x</v>
      </c>
    </row>
    <row r="216" spans="1:11" ht="15" customHeight="1" x14ac:dyDescent="0.25">
      <c r="A216" s="2476" t="s">
        <v>539</v>
      </c>
      <c r="B216" s="2476"/>
      <c r="C216" s="2476"/>
      <c r="D216" s="2476"/>
      <c r="E216" s="2476"/>
      <c r="F216" s="2476"/>
      <c r="G216" s="2476"/>
      <c r="H216" s="2476"/>
      <c r="I216" s="2476"/>
      <c r="J216" s="2476"/>
      <c r="K216" s="2137" t="str">
        <f>K215</f>
        <v>x</v>
      </c>
    </row>
    <row r="217" spans="1:11" ht="15" customHeight="1" x14ac:dyDescent="0.25">
      <c r="A217" s="2476"/>
      <c r="B217" s="2476"/>
      <c r="C217" s="2476"/>
      <c r="D217" s="2476"/>
      <c r="E217" s="2476"/>
      <c r="F217" s="2476"/>
      <c r="G217" s="2476"/>
      <c r="H217" s="2476"/>
      <c r="I217" s="2476"/>
      <c r="J217" s="2476"/>
      <c r="K217" s="2137" t="str">
        <f>K216</f>
        <v>x</v>
      </c>
    </row>
    <row r="218" spans="1:11" ht="15" customHeight="1" x14ac:dyDescent="0.25">
      <c r="A218" s="2476"/>
      <c r="B218" s="2476"/>
      <c r="C218" s="2476"/>
      <c r="D218" s="2476"/>
      <c r="E218" s="2476"/>
      <c r="F218" s="2476"/>
      <c r="G218" s="2476"/>
      <c r="H218" s="2476"/>
      <c r="I218" s="2476"/>
      <c r="J218" s="2476"/>
      <c r="K218" s="2137" t="str">
        <f ca="1">IF(OR(J114="Não",J114="Restrição"),"","x")</f>
        <v>x</v>
      </c>
    </row>
    <row r="219" spans="1:11" ht="15" customHeight="1" x14ac:dyDescent="0.25">
      <c r="A219" s="2476" t="s">
        <v>540</v>
      </c>
      <c r="B219" s="2476"/>
      <c r="C219" s="2476"/>
      <c r="D219" s="2476"/>
      <c r="E219" s="2476"/>
      <c r="F219" s="2476"/>
      <c r="G219" s="2476"/>
      <c r="H219" s="2476"/>
      <c r="I219" s="2476"/>
      <c r="J219" s="2476"/>
      <c r="K219" s="2137" t="str">
        <f ca="1">K218</f>
        <v>x</v>
      </c>
    </row>
    <row r="220" spans="1:11" ht="15" customHeight="1" x14ac:dyDescent="0.25">
      <c r="A220" s="2476"/>
      <c r="B220" s="2476"/>
      <c r="C220" s="2476"/>
      <c r="D220" s="2476"/>
      <c r="E220" s="2476"/>
      <c r="F220" s="2476"/>
      <c r="G220" s="2476"/>
      <c r="H220" s="2476"/>
      <c r="I220" s="2476"/>
      <c r="J220" s="2476"/>
      <c r="K220" s="2137" t="str">
        <f>IF(J115&lt;&gt;"Sim","","x")</f>
        <v>x</v>
      </c>
    </row>
    <row r="221" spans="1:11" ht="15" customHeight="1" x14ac:dyDescent="0.25">
      <c r="A221" s="2476" t="s">
        <v>705</v>
      </c>
      <c r="B221" s="2476"/>
      <c r="C221" s="2476"/>
      <c r="D221" s="2476"/>
      <c r="E221" s="2476"/>
      <c r="F221" s="2476"/>
      <c r="G221" s="2476"/>
      <c r="H221" s="2476"/>
      <c r="I221" s="2476"/>
      <c r="J221" s="2476"/>
      <c r="K221" s="2137" t="str">
        <f>K220</f>
        <v>x</v>
      </c>
    </row>
    <row r="222" spans="1:11" ht="15" customHeight="1" x14ac:dyDescent="0.25">
      <c r="A222" s="2476"/>
      <c r="B222" s="2476"/>
      <c r="C222" s="2476"/>
      <c r="D222" s="2476"/>
      <c r="E222" s="2476"/>
      <c r="F222" s="2476"/>
      <c r="G222" s="2476"/>
      <c r="H222" s="2476"/>
      <c r="I222" s="2476"/>
      <c r="J222" s="2476"/>
      <c r="K222" s="2137" t="str">
        <f ca="1">IF(AND(K115="",COUNTIF(J116:J118,"Não")&gt;0),"","x")</f>
        <v>x</v>
      </c>
    </row>
    <row r="223" spans="1:11" ht="15" customHeight="1" x14ac:dyDescent="0.25">
      <c r="A223" s="2476" t="s">
        <v>713</v>
      </c>
      <c r="B223" s="2476"/>
      <c r="C223" s="2476"/>
      <c r="D223" s="2476"/>
      <c r="E223" s="2476"/>
      <c r="F223" s="2476"/>
      <c r="G223" s="2476"/>
      <c r="H223" s="2476"/>
      <c r="I223" s="2476"/>
      <c r="J223" s="2476"/>
      <c r="K223" s="2137" t="str">
        <f ca="1">K222</f>
        <v>x</v>
      </c>
    </row>
    <row r="224" spans="1:11" ht="15" customHeight="1" x14ac:dyDescent="0.25">
      <c r="A224" s="2476"/>
      <c r="B224" s="2476"/>
      <c r="C224" s="2476"/>
      <c r="D224" s="2476"/>
      <c r="E224" s="2476"/>
      <c r="F224" s="2476"/>
      <c r="G224" s="2476"/>
      <c r="H224" s="2476"/>
      <c r="I224" s="2476"/>
      <c r="J224" s="2476"/>
      <c r="K224" s="2137" t="str">
        <f ca="1">K223</f>
        <v>x</v>
      </c>
    </row>
    <row r="225" spans="1:11" ht="15" customHeight="1" x14ac:dyDescent="0.25">
      <c r="A225" s="2476"/>
      <c r="B225" s="2476"/>
      <c r="C225" s="2476"/>
      <c r="D225" s="2476"/>
      <c r="E225" s="2476"/>
      <c r="F225" s="2476"/>
      <c r="G225" s="2476"/>
      <c r="H225" s="2476"/>
      <c r="I225" s="2476"/>
      <c r="J225" s="2476"/>
      <c r="K225" s="2137" t="s">
        <v>649</v>
      </c>
    </row>
    <row r="226" spans="1:11" ht="15" customHeight="1" x14ac:dyDescent="0.25">
      <c r="A226" s="2134"/>
      <c r="B226" s="2134"/>
      <c r="C226" s="2134"/>
      <c r="D226" s="2134"/>
      <c r="E226" s="2134"/>
      <c r="F226" s="2134"/>
      <c r="G226" s="2134"/>
      <c r="H226" s="2134"/>
      <c r="I226" s="2134"/>
      <c r="J226" s="2134"/>
      <c r="K226" s="2137" t="str">
        <f ca="1">IF(COUNTIF(K186:K225,"")&gt;0,"","x")</f>
        <v/>
      </c>
    </row>
    <row r="227" spans="1:11" ht="15" customHeight="1" x14ac:dyDescent="0.25">
      <c r="A227" s="2476" t="str">
        <f>"                Para os demais itens avaliados o equipamento atende os requisitos da Instrução Normativa "&amp;VLOOKUP("Tomografia computadorizada",IN_ANVISA[],2)&amp;"/"&amp;VLOOKUP("Tomografia computadorizada",IN_ANVISA[],3)&amp;" da ANVISA."</f>
        <v xml:space="preserve">                Para os demais itens avaliados o equipamento atende os requisitos da Instrução Normativa 93/2021 da ANVISA.</v>
      </c>
      <c r="B227" s="2476"/>
      <c r="C227" s="2476"/>
      <c r="D227" s="2476"/>
      <c r="E227" s="2476"/>
      <c r="F227" s="2476"/>
      <c r="G227" s="2476"/>
      <c r="H227" s="2476"/>
      <c r="I227" s="2476"/>
      <c r="J227" s="2476"/>
      <c r="K227" s="2137" t="str">
        <f ca="1">K226</f>
        <v/>
      </c>
    </row>
    <row r="228" spans="1:11" ht="15" customHeight="1" x14ac:dyDescent="0.25">
      <c r="A228" s="2476"/>
      <c r="B228" s="2476"/>
      <c r="C228" s="2476"/>
      <c r="D228" s="2476"/>
      <c r="E228" s="2476"/>
      <c r="F228" s="2476"/>
      <c r="G228" s="2476"/>
      <c r="H228" s="2476"/>
      <c r="I228" s="2476"/>
      <c r="J228" s="2476"/>
      <c r="K228" s="2137" t="str">
        <f ca="1">IF(K226="x","","x")</f>
        <v>x</v>
      </c>
    </row>
    <row r="229" spans="1:11" ht="15" customHeight="1" x14ac:dyDescent="0.25">
      <c r="A229" s="2476" t="str">
        <f>"                 O equipamento atende os requisitos da Instrução Normativa "&amp;VLOOKUP("Tomografia computadorizada",IN_ANVISA[],2)&amp;"/"&amp;VLOOKUP("Tomografia computadorizada",IN_ANVISA[],3)&amp;" da ANVISA."</f>
        <v xml:space="preserve">                 O equipamento atende os requisitos da Instrução Normativa 93/2021 da ANVISA.</v>
      </c>
      <c r="B229" s="2476"/>
      <c r="C229" s="2476"/>
      <c r="D229" s="2476"/>
      <c r="E229" s="2476"/>
      <c r="F229" s="2476"/>
      <c r="G229" s="2476"/>
      <c r="H229" s="2476"/>
      <c r="I229" s="2476"/>
      <c r="J229" s="2476"/>
      <c r="K229" s="2137" t="str">
        <f ca="1">K230</f>
        <v/>
      </c>
    </row>
    <row r="230" spans="1:11" ht="15" customHeight="1" x14ac:dyDescent="0.25">
      <c r="A230" s="2476"/>
      <c r="B230" s="2476"/>
      <c r="C230" s="2476"/>
      <c r="D230" s="2476"/>
      <c r="E230" s="2476"/>
      <c r="F230" s="2476"/>
      <c r="G230" s="2476"/>
      <c r="H230" s="2476"/>
      <c r="I230" s="2476"/>
      <c r="J230" s="2476"/>
      <c r="K230" s="2137" t="str">
        <f ca="1">IF(K228="x","","x")</f>
        <v/>
      </c>
    </row>
    <row r="231" spans="1:11" ht="15" customHeight="1" x14ac:dyDescent="0.25">
      <c r="K231" s="2137" t="str">
        <f ca="1">IF((COUNTIF(J106:J114,"Restrição")+COUNTIF(A63:J100,"Restrição")+COUNTIF(G75,"Restrição**"))&gt;0,"","x")</f>
        <v/>
      </c>
    </row>
    <row r="232" spans="1:11" ht="15" customHeight="1" x14ac:dyDescent="0.25">
      <c r="A232" s="2476"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232" s="2476"/>
      <c r="C232" s="2476"/>
      <c r="D232" s="2476"/>
      <c r="E232" s="2476"/>
      <c r="F232" s="2476"/>
      <c r="G232" s="2476"/>
      <c r="H232" s="2476"/>
      <c r="I232" s="2476"/>
      <c r="J232" s="2476"/>
      <c r="K232" s="2137" t="str">
        <f t="shared" ref="K232:K237" ca="1" si="4">K231</f>
        <v/>
      </c>
    </row>
    <row r="233" spans="1:11" ht="15" customHeight="1" x14ac:dyDescent="0.25">
      <c r="A233" s="2476"/>
      <c r="B233" s="2476"/>
      <c r="C233" s="2476"/>
      <c r="D233" s="2476"/>
      <c r="E233" s="2476"/>
      <c r="F233" s="2476"/>
      <c r="G233" s="2476"/>
      <c r="H233" s="2476"/>
      <c r="I233" s="2476"/>
      <c r="J233" s="2476"/>
      <c r="K233" s="2137" t="str">
        <f t="shared" ca="1" si="4"/>
        <v/>
      </c>
    </row>
    <row r="234" spans="1:11" ht="15" customHeight="1" x14ac:dyDescent="0.25">
      <c r="A234" s="2476"/>
      <c r="B234" s="2476"/>
      <c r="C234" s="2476"/>
      <c r="D234" s="2476"/>
      <c r="E234" s="2476"/>
      <c r="F234" s="2476"/>
      <c r="G234" s="2476"/>
      <c r="H234" s="2476"/>
      <c r="I234" s="2476"/>
      <c r="J234" s="2476"/>
      <c r="K234" s="2137" t="str">
        <f t="shared" ca="1" si="4"/>
        <v/>
      </c>
    </row>
    <row r="235" spans="1:11" ht="15" customHeight="1" x14ac:dyDescent="0.25">
      <c r="A235" s="2476"/>
      <c r="B235" s="2476"/>
      <c r="C235" s="2476"/>
      <c r="D235" s="2476"/>
      <c r="E235" s="2476"/>
      <c r="F235" s="2476"/>
      <c r="G235" s="2476"/>
      <c r="H235" s="2476"/>
      <c r="I235" s="2476"/>
      <c r="J235" s="2476"/>
      <c r="K235" s="2137" t="str">
        <f t="shared" ca="1" si="4"/>
        <v/>
      </c>
    </row>
    <row r="236" spans="1:11" ht="15" customHeight="1" x14ac:dyDescent="0.25">
      <c r="A236" s="2476"/>
      <c r="B236" s="2476"/>
      <c r="C236" s="2476"/>
      <c r="D236" s="2476"/>
      <c r="E236" s="2476"/>
      <c r="F236" s="2476"/>
      <c r="G236" s="2476"/>
      <c r="H236" s="2476"/>
      <c r="I236" s="2476"/>
      <c r="J236" s="2476"/>
      <c r="K236" s="2137" t="str">
        <f t="shared" ca="1" si="4"/>
        <v/>
      </c>
    </row>
    <row r="237" spans="1:11" ht="15" customHeight="1" x14ac:dyDescent="0.25">
      <c r="A237" s="2476"/>
      <c r="B237" s="2476"/>
      <c r="C237" s="2476"/>
      <c r="D237" s="2476"/>
      <c r="E237" s="2476"/>
      <c r="F237" s="2476"/>
      <c r="G237" s="2476"/>
      <c r="H237" s="2476"/>
      <c r="I237" s="2476"/>
      <c r="J237" s="2476"/>
      <c r="K237" s="2310" t="str">
        <f t="shared" ca="1" si="4"/>
        <v/>
      </c>
    </row>
  </sheetData>
  <sheetProtection selectLockedCells="1" autoFilter="0"/>
  <autoFilter ref="K1:K237"/>
  <mergeCells count="198">
    <mergeCell ref="A59:D59"/>
    <mergeCell ref="A23:C23"/>
    <mergeCell ref="D23:F23"/>
    <mergeCell ref="G23:J23"/>
    <mergeCell ref="A176:E176"/>
    <mergeCell ref="F176:G176"/>
    <mergeCell ref="I176:J176"/>
    <mergeCell ref="A177:E177"/>
    <mergeCell ref="F177:G177"/>
    <mergeCell ref="I177:J177"/>
    <mergeCell ref="A173:E173"/>
    <mergeCell ref="F173:G173"/>
    <mergeCell ref="I173:J173"/>
    <mergeCell ref="A174:E174"/>
    <mergeCell ref="F174:G174"/>
    <mergeCell ref="I174:J174"/>
    <mergeCell ref="A175:E175"/>
    <mergeCell ref="F175:G175"/>
    <mergeCell ref="I175:J175"/>
    <mergeCell ref="A170:E170"/>
    <mergeCell ref="F170:G170"/>
    <mergeCell ref="I170:J170"/>
    <mergeCell ref="A171:E171"/>
    <mergeCell ref="F171:G171"/>
    <mergeCell ref="F178:G178"/>
    <mergeCell ref="F179:G179"/>
    <mergeCell ref="F180:G180"/>
    <mergeCell ref="A178:E178"/>
    <mergeCell ref="A179:E179"/>
    <mergeCell ref="A180:E180"/>
    <mergeCell ref="I178:J178"/>
    <mergeCell ref="I179:J179"/>
    <mergeCell ref="I180:J180"/>
    <mergeCell ref="I171:J171"/>
    <mergeCell ref="A172:E172"/>
    <mergeCell ref="F172:G172"/>
    <mergeCell ref="I172:J172"/>
    <mergeCell ref="A167:E167"/>
    <mergeCell ref="F167:G167"/>
    <mergeCell ref="I167:J167"/>
    <mergeCell ref="A168:E168"/>
    <mergeCell ref="F168:G168"/>
    <mergeCell ref="I168:J168"/>
    <mergeCell ref="A169:E169"/>
    <mergeCell ref="F169:G169"/>
    <mergeCell ref="I169:J169"/>
    <mergeCell ref="A165:E165"/>
    <mergeCell ref="F165:G165"/>
    <mergeCell ref="I165:J165"/>
    <mergeCell ref="A166:E166"/>
    <mergeCell ref="F166:G166"/>
    <mergeCell ref="I166:J166"/>
    <mergeCell ref="A130:J131"/>
    <mergeCell ref="A154:J159"/>
    <mergeCell ref="A125:J126"/>
    <mergeCell ref="A148:J151"/>
    <mergeCell ref="A163:E163"/>
    <mergeCell ref="F163:G163"/>
    <mergeCell ref="I163:J163"/>
    <mergeCell ref="A127:J127"/>
    <mergeCell ref="A132:J136"/>
    <mergeCell ref="A142:J144"/>
    <mergeCell ref="A145:J145"/>
    <mergeCell ref="A164:E164"/>
    <mergeCell ref="F164:G164"/>
    <mergeCell ref="I164:J164"/>
    <mergeCell ref="C69:J69"/>
    <mergeCell ref="C83:J83"/>
    <mergeCell ref="C93:J93"/>
    <mergeCell ref="A106:D106"/>
    <mergeCell ref="A107:D107"/>
    <mergeCell ref="A108:D108"/>
    <mergeCell ref="A109:D109"/>
    <mergeCell ref="A110:D110"/>
    <mergeCell ref="A111:D111"/>
    <mergeCell ref="H105:I105"/>
    <mergeCell ref="H106:I106"/>
    <mergeCell ref="H107:I107"/>
    <mergeCell ref="H108:I108"/>
    <mergeCell ref="H109:I109"/>
    <mergeCell ref="H110:I110"/>
    <mergeCell ref="H111:I111"/>
    <mergeCell ref="A101:J101"/>
    <mergeCell ref="A78:J78"/>
    <mergeCell ref="A89:J89"/>
    <mergeCell ref="A79:J79"/>
    <mergeCell ref="A80:J80"/>
    <mergeCell ref="A99:C99"/>
    <mergeCell ref="A105:D105"/>
    <mergeCell ref="E105:F105"/>
    <mergeCell ref="A76:D76"/>
    <mergeCell ref="E76:F76"/>
    <mergeCell ref="A187:J188"/>
    <mergeCell ref="A189:J190"/>
    <mergeCell ref="A95:B96"/>
    <mergeCell ref="A85:C85"/>
    <mergeCell ref="A90:I90"/>
    <mergeCell ref="A88:I88"/>
    <mergeCell ref="A87:C87"/>
    <mergeCell ref="E106:F106"/>
    <mergeCell ref="E110:F110"/>
    <mergeCell ref="E111:F111"/>
    <mergeCell ref="E112:F112"/>
    <mergeCell ref="E113:F113"/>
    <mergeCell ref="E114:F114"/>
    <mergeCell ref="E115:F115"/>
    <mergeCell ref="E107:F109"/>
    <mergeCell ref="H112:I112"/>
    <mergeCell ref="H113:I113"/>
    <mergeCell ref="H114:I114"/>
    <mergeCell ref="H115:I115"/>
    <mergeCell ref="A119:J119"/>
    <mergeCell ref="A102:I102"/>
    <mergeCell ref="A123:J124"/>
    <mergeCell ref="A112:D112"/>
    <mergeCell ref="A113:D113"/>
    <mergeCell ref="A114:D114"/>
    <mergeCell ref="A115:D115"/>
    <mergeCell ref="A116:D116"/>
    <mergeCell ref="A117:D117"/>
    <mergeCell ref="A118:D118"/>
    <mergeCell ref="E116:F118"/>
    <mergeCell ref="A120:J120"/>
    <mergeCell ref="H116:I116"/>
    <mergeCell ref="H117:I117"/>
    <mergeCell ref="H118:I118"/>
    <mergeCell ref="G63:I63"/>
    <mergeCell ref="A44:C45"/>
    <mergeCell ref="D44:F45"/>
    <mergeCell ref="A26:J27"/>
    <mergeCell ref="A30:J31"/>
    <mergeCell ref="A28:J29"/>
    <mergeCell ref="A229:J230"/>
    <mergeCell ref="A232:J237"/>
    <mergeCell ref="A200:J201"/>
    <mergeCell ref="A202:J204"/>
    <mergeCell ref="A205:J206"/>
    <mergeCell ref="A212:J213"/>
    <mergeCell ref="A210:J211"/>
    <mergeCell ref="A214:J215"/>
    <mergeCell ref="A219:J220"/>
    <mergeCell ref="A207:J209"/>
    <mergeCell ref="A223:J225"/>
    <mergeCell ref="A216:J218"/>
    <mergeCell ref="A221:J222"/>
    <mergeCell ref="A197:J199"/>
    <mergeCell ref="A227:J228"/>
    <mergeCell ref="A146:J147"/>
    <mergeCell ref="A97:C97"/>
    <mergeCell ref="A98:C98"/>
    <mergeCell ref="E75:F75"/>
    <mergeCell ref="A71:F71"/>
    <mergeCell ref="A86:C86"/>
    <mergeCell ref="A100:I100"/>
    <mergeCell ref="A191:J192"/>
    <mergeCell ref="A193:J194"/>
    <mergeCell ref="A1:D1"/>
    <mergeCell ref="E1:H1"/>
    <mergeCell ref="A137:J141"/>
    <mergeCell ref="A3:I3"/>
    <mergeCell ref="A5:I5"/>
    <mergeCell ref="A34:J36"/>
    <mergeCell ref="A37:J38"/>
    <mergeCell ref="A43:C43"/>
    <mergeCell ref="D43:F43"/>
    <mergeCell ref="G43:H43"/>
    <mergeCell ref="I43:J43"/>
    <mergeCell ref="C12:J13"/>
    <mergeCell ref="C17:J17"/>
    <mergeCell ref="A50:D50"/>
    <mergeCell ref="E50:J50"/>
    <mergeCell ref="A62:E62"/>
    <mergeCell ref="G62:I62"/>
    <mergeCell ref="A63:E63"/>
    <mergeCell ref="A52:D52"/>
    <mergeCell ref="A53:D53"/>
    <mergeCell ref="A54:D54"/>
    <mergeCell ref="A56:D56"/>
    <mergeCell ref="A57:D57"/>
    <mergeCell ref="A58:D58"/>
    <mergeCell ref="A185:J186"/>
    <mergeCell ref="A195:J196"/>
    <mergeCell ref="C9:J10"/>
    <mergeCell ref="A39:J40"/>
    <mergeCell ref="G44:H45"/>
    <mergeCell ref="I44:J45"/>
    <mergeCell ref="A48:D48"/>
    <mergeCell ref="E48:J48"/>
    <mergeCell ref="A65:I65"/>
    <mergeCell ref="A72:D72"/>
    <mergeCell ref="A73:D73"/>
    <mergeCell ref="A74:D74"/>
    <mergeCell ref="A64:E64"/>
    <mergeCell ref="G64:I64"/>
    <mergeCell ref="A75:D75"/>
    <mergeCell ref="E72:F72"/>
    <mergeCell ref="E73:F73"/>
    <mergeCell ref="E74:F74"/>
  </mergeCells>
  <conditionalFormatting sqref="D85:J86">
    <cfRule type="notContainsBlanks" dxfId="791" priority="92">
      <formula>LEN(TRIM(D85))&gt;0</formula>
    </cfRule>
  </conditionalFormatting>
  <conditionalFormatting sqref="G63">
    <cfRule type="cellIs" dxfId="790" priority="90" operator="equal">
      <formula>"não"</formula>
    </cfRule>
  </conditionalFormatting>
  <conditionalFormatting sqref="G63">
    <cfRule type="containsText" dxfId="789" priority="89" operator="containsText" text="não">
      <formula>NOT(ISERROR(SEARCH("não",G63)))</formula>
    </cfRule>
  </conditionalFormatting>
  <conditionalFormatting sqref="G64">
    <cfRule type="cellIs" dxfId="788" priority="88" operator="equal">
      <formula>"não"</formula>
    </cfRule>
  </conditionalFormatting>
  <conditionalFormatting sqref="G72:G75">
    <cfRule type="cellIs" dxfId="787" priority="50" operator="equal">
      <formula>"Restrição"</formula>
    </cfRule>
    <cfRule type="cellIs" dxfId="786" priority="84" operator="equal">
      <formula>"não"</formula>
    </cfRule>
  </conditionalFormatting>
  <conditionalFormatting sqref="G72:G75">
    <cfRule type="containsText" dxfId="785" priority="83" operator="containsText" text="não">
      <formula>NOT(ISERROR(SEARCH("não",G72)))</formula>
    </cfRule>
  </conditionalFormatting>
  <conditionalFormatting sqref="D87:G87">
    <cfRule type="cellIs" dxfId="784" priority="49" operator="equal">
      <formula>"Restrição"</formula>
    </cfRule>
    <cfRule type="cellIs" dxfId="783" priority="76" operator="equal">
      <formula>"não"</formula>
    </cfRule>
  </conditionalFormatting>
  <conditionalFormatting sqref="D87:G87">
    <cfRule type="containsText" dxfId="782" priority="75" operator="containsText" text="não">
      <formula>NOT(ISERROR(SEARCH("não",D87)))</formula>
    </cfRule>
  </conditionalFormatting>
  <conditionalFormatting sqref="D95:D98 J95 J97:J98">
    <cfRule type="cellIs" dxfId="781" priority="73" operator="equal">
      <formula>"não"</formula>
    </cfRule>
    <cfRule type="notContainsBlanks" dxfId="780" priority="74">
      <formula>LEN(TRIM(D95))&gt;0</formula>
    </cfRule>
  </conditionalFormatting>
  <conditionalFormatting sqref="G95 G97:G98">
    <cfRule type="cellIs" dxfId="779" priority="61" operator="equal">
      <formula>"não"</formula>
    </cfRule>
    <cfRule type="notContainsBlanks" dxfId="778" priority="62">
      <formula>LEN(TRIM(G95))&gt;0</formula>
    </cfRule>
  </conditionalFormatting>
  <conditionalFormatting sqref="E95 E97:E98">
    <cfRule type="cellIs" dxfId="777" priority="69" operator="equal">
      <formula>"não"</formula>
    </cfRule>
    <cfRule type="notContainsBlanks" dxfId="776" priority="70">
      <formula>LEN(TRIM(E95))&gt;0</formula>
    </cfRule>
  </conditionalFormatting>
  <conditionalFormatting sqref="F95 F97:F98">
    <cfRule type="cellIs" dxfId="775" priority="65" operator="equal">
      <formula>"não"</formula>
    </cfRule>
    <cfRule type="notContainsBlanks" dxfId="774" priority="66">
      <formula>LEN(TRIM(F95))&gt;0</formula>
    </cfRule>
  </conditionalFormatting>
  <conditionalFormatting sqref="H95 H97:H98">
    <cfRule type="cellIs" dxfId="773" priority="57" operator="equal">
      <formula>"não"</formula>
    </cfRule>
    <cfRule type="notContainsBlanks" dxfId="772" priority="58">
      <formula>LEN(TRIM(H95))&gt;0</formula>
    </cfRule>
  </conditionalFormatting>
  <conditionalFormatting sqref="I95 I97:I98">
    <cfRule type="cellIs" dxfId="771" priority="53" operator="equal">
      <formula>"não"</formula>
    </cfRule>
    <cfRule type="notContainsBlanks" dxfId="770" priority="54">
      <formula>LEN(TRIM(I95))&gt;0</formula>
    </cfRule>
  </conditionalFormatting>
  <conditionalFormatting sqref="D99:G99">
    <cfRule type="notContainsBlanks" dxfId="769" priority="41">
      <formula>LEN(TRIM(D99))&gt;0</formula>
    </cfRule>
    <cfRule type="cellIs" dxfId="768" priority="46" operator="equal">
      <formula>"Restrição"</formula>
    </cfRule>
    <cfRule type="cellIs" dxfId="767" priority="48" operator="equal">
      <formula>"não"</formula>
    </cfRule>
  </conditionalFormatting>
  <conditionalFormatting sqref="D99:G99">
    <cfRule type="containsText" dxfId="766" priority="47" operator="containsText" text="não">
      <formula>NOT(ISERROR(SEARCH("não",D99)))</formula>
    </cfRule>
  </conditionalFormatting>
  <conditionalFormatting sqref="J107 J109:J114">
    <cfRule type="cellIs" dxfId="765" priority="43" operator="equal">
      <formula>"Restrição"</formula>
    </cfRule>
    <cfRule type="cellIs" dxfId="764" priority="45" operator="equal">
      <formula>"não"</formula>
    </cfRule>
  </conditionalFormatting>
  <conditionalFormatting sqref="J107 J109:J114">
    <cfRule type="containsText" dxfId="763" priority="44" operator="containsText" text="não">
      <formula>NOT(ISERROR(SEARCH("não",J107)))</formula>
    </cfRule>
  </conditionalFormatting>
  <conditionalFormatting sqref="D85:G87 D85:J86">
    <cfRule type="notContainsBlanks" dxfId="762" priority="42">
      <formula>LEN(TRIM(D85))&gt;0</formula>
    </cfRule>
  </conditionalFormatting>
  <conditionalFormatting sqref="H99:J99">
    <cfRule type="notContainsBlanks" dxfId="761" priority="37">
      <formula>LEN(TRIM(H99))&gt;0</formula>
    </cfRule>
    <cfRule type="cellIs" dxfId="760" priority="38" operator="equal">
      <formula>"Restrição"</formula>
    </cfRule>
    <cfRule type="cellIs" dxfId="759" priority="40" operator="equal">
      <formula>"não"</formula>
    </cfRule>
  </conditionalFormatting>
  <conditionalFormatting sqref="H99:J99">
    <cfRule type="containsText" dxfId="758" priority="39" operator="containsText" text="não">
      <formula>NOT(ISERROR(SEARCH("não",H99)))</formula>
    </cfRule>
  </conditionalFormatting>
  <conditionalFormatting sqref="J115">
    <cfRule type="cellIs" dxfId="757" priority="34" operator="equal">
      <formula>"Restrição"</formula>
    </cfRule>
    <cfRule type="cellIs" dxfId="756" priority="36" operator="equal">
      <formula>"não"</formula>
    </cfRule>
  </conditionalFormatting>
  <conditionalFormatting sqref="J115">
    <cfRule type="containsText" dxfId="755" priority="35" operator="containsText" text="não">
      <formula>NOT(ISERROR(SEARCH("não",J115)))</formula>
    </cfRule>
  </conditionalFormatting>
  <conditionalFormatting sqref="J116">
    <cfRule type="cellIs" dxfId="754" priority="31" operator="equal">
      <formula>"Restrição"</formula>
    </cfRule>
    <cfRule type="cellIs" dxfId="753" priority="33" operator="equal">
      <formula>"não"</formula>
    </cfRule>
  </conditionalFormatting>
  <conditionalFormatting sqref="J116">
    <cfRule type="containsText" dxfId="752" priority="32" operator="containsText" text="não">
      <formula>NOT(ISERROR(SEARCH("não",J116)))</formula>
    </cfRule>
  </conditionalFormatting>
  <conditionalFormatting sqref="J117">
    <cfRule type="cellIs" dxfId="751" priority="28" operator="equal">
      <formula>"Restrição"</formula>
    </cfRule>
    <cfRule type="cellIs" dxfId="750" priority="30" operator="equal">
      <formula>"não"</formula>
    </cfRule>
  </conditionalFormatting>
  <conditionalFormatting sqref="J117">
    <cfRule type="containsText" dxfId="749" priority="29" operator="containsText" text="não">
      <formula>NOT(ISERROR(SEARCH("não",J117)))</formula>
    </cfRule>
  </conditionalFormatting>
  <conditionalFormatting sqref="J118">
    <cfRule type="cellIs" dxfId="748" priority="25" operator="equal">
      <formula>"Restrição"</formula>
    </cfRule>
    <cfRule type="cellIs" dxfId="747" priority="27" operator="equal">
      <formula>"não"</formula>
    </cfRule>
  </conditionalFormatting>
  <conditionalFormatting sqref="J118">
    <cfRule type="containsText" dxfId="746" priority="26" operator="containsText" text="não">
      <formula>NOT(ISERROR(SEARCH("não",J118)))</formula>
    </cfRule>
  </conditionalFormatting>
  <conditionalFormatting sqref="G75">
    <cfRule type="cellIs" dxfId="745" priority="23" operator="equal">
      <formula>"Restrição**"</formula>
    </cfRule>
    <cfRule type="cellIs" dxfId="744" priority="24" operator="equal">
      <formula>"Não**"</formula>
    </cfRule>
  </conditionalFormatting>
  <conditionalFormatting sqref="E96:J96">
    <cfRule type="cellIs" dxfId="743" priority="21" operator="equal">
      <formula>"não"</formula>
    </cfRule>
    <cfRule type="notContainsBlanks" dxfId="742" priority="22">
      <formula>LEN(TRIM(E96))&gt;0</formula>
    </cfRule>
  </conditionalFormatting>
  <conditionalFormatting sqref="J106">
    <cfRule type="cellIs" dxfId="741" priority="18" operator="equal">
      <formula>"Restrição"</formula>
    </cfRule>
    <cfRule type="cellIs" dxfId="740" priority="20" operator="equal">
      <formula>"não"</formula>
    </cfRule>
  </conditionalFormatting>
  <conditionalFormatting sqref="J106">
    <cfRule type="containsText" dxfId="739" priority="19" operator="containsText" text="não">
      <formula>NOT(ISERROR(SEARCH("não",J106)))</formula>
    </cfRule>
  </conditionalFormatting>
  <conditionalFormatting sqref="J108">
    <cfRule type="cellIs" dxfId="738" priority="15" operator="equal">
      <formula>"Restrição"</formula>
    </cfRule>
    <cfRule type="cellIs" dxfId="737" priority="17" operator="equal">
      <formula>"não"</formula>
    </cfRule>
  </conditionalFormatting>
  <conditionalFormatting sqref="J108">
    <cfRule type="containsText" dxfId="736" priority="16" operator="containsText" text="não">
      <formula>NOT(ISERROR(SEARCH("não",J108)))</formula>
    </cfRule>
  </conditionalFormatting>
  <conditionalFormatting sqref="G76">
    <cfRule type="cellIs" dxfId="735" priority="7" operator="equal">
      <formula>"Restrição"</formula>
    </cfRule>
    <cfRule type="cellIs" dxfId="734" priority="9" operator="equal">
      <formula>"não"</formula>
    </cfRule>
  </conditionalFormatting>
  <conditionalFormatting sqref="G76">
    <cfRule type="containsText" dxfId="733" priority="8" operator="containsText" text="não">
      <formula>NOT(ISERROR(SEARCH("não",G76)))</formula>
    </cfRule>
  </conditionalFormatting>
  <conditionalFormatting sqref="G76">
    <cfRule type="cellIs" dxfId="732" priority="5" operator="equal">
      <formula>"Restrição**"</formula>
    </cfRule>
    <cfRule type="cellIs" dxfId="731" priority="6" operator="equal">
      <formula>"Não**"</formula>
    </cfRule>
  </conditionalFormatting>
  <conditionalFormatting sqref="I165:J180">
    <cfRule type="cellIs" dxfId="730" priority="3" operator="equal">
      <formula>"RESTRIÇÃO"</formula>
    </cfRule>
    <cfRule type="cellIs" dxfId="729" priority="4" operator="equal">
      <formula>"Não Conforme"</formula>
    </cfRule>
  </conditionalFormatting>
  <conditionalFormatting sqref="I164:J164">
    <cfRule type="cellIs" dxfId="728" priority="1" operator="equal">
      <formula>"RESTRIÇÃO"</formula>
    </cfRule>
    <cfRule type="cellIs" dxfId="727" priority="2" operator="equal">
      <formula>"Não Conforme"</formula>
    </cfRule>
  </conditionalFormatting>
  <pageMargins left="0.78740157480314965" right="0.19685039370078741" top="1.3779527559055118" bottom="1.1811023622047245" header="0.31496062992125984" footer="0.51181102362204722"/>
  <pageSetup paperSize="9" scale="99" orientation="portrait" r:id="rId1"/>
  <headerFooter>
    <oddFooter>&amp;L&amp;F&amp;R&amp;P de &amp;N</oddFooter>
  </headerFooter>
  <rowBreaks count="1" manualBreakCount="1">
    <brk id="151" max="9"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AJ170"/>
  <sheetViews>
    <sheetView topLeftCell="A7" workbookViewId="0">
      <selection activeCell="C12" sqref="C12:J13"/>
    </sheetView>
  </sheetViews>
  <sheetFormatPr defaultColWidth="9.140625" defaultRowHeight="15" x14ac:dyDescent="0.25"/>
  <cols>
    <col min="1" max="1" width="24" style="228" customWidth="1"/>
    <col min="2" max="2" width="8.5703125" style="228" bestFit="1" customWidth="1"/>
    <col min="3" max="3" width="8.42578125" style="228" bestFit="1" customWidth="1"/>
    <col min="4" max="4" width="19" style="228" bestFit="1" customWidth="1"/>
    <col min="5" max="5" width="15.5703125" style="228" bestFit="1" customWidth="1"/>
    <col min="6" max="6" width="18.85546875" style="228" bestFit="1" customWidth="1"/>
    <col min="7" max="7" width="18.28515625" style="228" customWidth="1"/>
    <col min="8" max="10" width="9.140625" style="228"/>
    <col min="11" max="12" width="8.5703125" style="228" bestFit="1" customWidth="1"/>
    <col min="13" max="13" width="11.42578125" style="228" bestFit="1" customWidth="1"/>
    <col min="14" max="16384" width="9.140625" style="228"/>
  </cols>
  <sheetData>
    <row r="1" spans="1:35" ht="15.75" thickBot="1" x14ac:dyDescent="0.3">
      <c r="A1" s="1350" t="s">
        <v>1306</v>
      </c>
      <c r="B1" s="1350" t="str">
        <f>"IN "&amp;VLOOKUP("Extraoral",IN_ANVISA[],2)</f>
        <v>IN 94</v>
      </c>
    </row>
    <row r="2" spans="1:35" ht="15.75" thickBot="1" x14ac:dyDescent="0.3">
      <c r="A2" s="228" t="s">
        <v>551</v>
      </c>
      <c r="B2" s="1634"/>
    </row>
    <row r="4" spans="1:35" x14ac:dyDescent="0.25">
      <c r="A4" s="2840" t="s">
        <v>1277</v>
      </c>
      <c r="B4" s="2840"/>
      <c r="C4" s="2840"/>
      <c r="D4" s="2840"/>
      <c r="E4" s="2840"/>
      <c r="F4" s="2840"/>
      <c r="G4" s="2840"/>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row>
    <row r="5" spans="1:35" x14ac:dyDescent="0.25">
      <c r="A5" s="2530" t="s">
        <v>1092</v>
      </c>
      <c r="B5" s="2530"/>
      <c r="C5" s="2530"/>
      <c r="D5" s="2530"/>
      <c r="E5" s="2530"/>
      <c r="F5" s="2530"/>
      <c r="G5" s="1424"/>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row>
    <row r="6" spans="1:35" x14ac:dyDescent="0.25">
      <c r="A6" s="2530" t="s">
        <v>133</v>
      </c>
      <c r="B6" s="2530"/>
      <c r="C6" s="2530"/>
      <c r="D6" s="2530"/>
      <c r="E6" s="2530"/>
      <c r="F6" s="2530"/>
      <c r="G6" s="1424"/>
      <c r="H6" s="215"/>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row>
    <row r="7" spans="1:35" x14ac:dyDescent="0.25">
      <c r="A7" s="2530" t="s">
        <v>132</v>
      </c>
      <c r="B7" s="2530"/>
      <c r="C7" s="2530"/>
      <c r="D7" s="2530"/>
      <c r="E7" s="2530"/>
      <c r="F7" s="2530"/>
      <c r="G7" s="1424"/>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row>
    <row r="8" spans="1:35" x14ac:dyDescent="0.25">
      <c r="L8" s="215"/>
      <c r="M8" s="215"/>
      <c r="N8" s="215"/>
      <c r="O8" s="1407"/>
      <c r="P8" s="1407"/>
      <c r="Q8" s="1407"/>
      <c r="R8" s="1407"/>
      <c r="S8" s="215"/>
      <c r="T8" s="215"/>
      <c r="U8" s="215"/>
      <c r="V8" s="215"/>
      <c r="W8" s="215"/>
      <c r="X8" s="215"/>
      <c r="Y8" s="215"/>
      <c r="Z8" s="215"/>
      <c r="AA8" s="215"/>
      <c r="AB8" s="215"/>
      <c r="AC8" s="215"/>
      <c r="AD8" s="215"/>
      <c r="AE8" s="215"/>
      <c r="AF8" s="215"/>
      <c r="AG8" s="215"/>
      <c r="AH8" s="215"/>
      <c r="AI8" s="215"/>
    </row>
    <row r="9" spans="1:35" x14ac:dyDescent="0.25">
      <c r="A9" s="2840" t="s">
        <v>550</v>
      </c>
      <c r="B9" s="2840"/>
      <c r="C9" s="2840"/>
      <c r="D9" s="2840"/>
      <c r="E9" s="2840"/>
      <c r="I9" s="215"/>
      <c r="J9" s="215"/>
      <c r="K9" s="215"/>
      <c r="L9" s="215"/>
      <c r="M9" s="215"/>
      <c r="N9" s="215"/>
      <c r="O9" s="215"/>
      <c r="P9" s="215"/>
      <c r="Q9" s="215"/>
      <c r="R9" s="215"/>
      <c r="S9" s="215"/>
      <c r="T9" s="215"/>
      <c r="U9" s="215"/>
      <c r="V9" s="215"/>
      <c r="W9" s="215"/>
      <c r="X9" s="215"/>
      <c r="Y9" s="215"/>
      <c r="Z9" s="215"/>
      <c r="AA9" s="215"/>
      <c r="AB9" s="215"/>
      <c r="AC9" s="215"/>
      <c r="AD9" s="215"/>
      <c r="AE9" s="215"/>
      <c r="AF9" s="215"/>
      <c r="AG9" s="215"/>
      <c r="AH9" s="215"/>
      <c r="AI9" s="215"/>
    </row>
    <row r="10" spans="1:35" x14ac:dyDescent="0.25">
      <c r="A10" s="1412" t="s">
        <v>1094</v>
      </c>
      <c r="B10" s="2715" t="s">
        <v>168</v>
      </c>
      <c r="C10" s="2715"/>
      <c r="D10" s="2715"/>
      <c r="E10" s="1424"/>
      <c r="I10" s="215"/>
      <c r="J10" s="215"/>
      <c r="K10" s="95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row>
    <row r="11" spans="1:35" x14ac:dyDescent="0.25">
      <c r="A11" s="1405" t="s">
        <v>1095</v>
      </c>
      <c r="B11" s="2715" t="s">
        <v>168</v>
      </c>
      <c r="C11" s="2715"/>
      <c r="D11" s="2715"/>
      <c r="E11" s="1424"/>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row>
    <row r="12" spans="1:35" x14ac:dyDescent="0.2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row>
    <row r="13" spans="1:35" ht="15.75" thickBot="1" x14ac:dyDescent="0.3">
      <c r="A13" s="215"/>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row>
    <row r="14" spans="1:35" ht="15.75" thickBot="1" x14ac:dyDescent="0.3">
      <c r="A14" s="2828" t="s">
        <v>548</v>
      </c>
      <c r="B14" s="2829"/>
      <c r="C14" s="2829"/>
      <c r="D14" s="2830"/>
      <c r="E14" s="215"/>
      <c r="F14" s="215"/>
      <c r="G14" s="215"/>
      <c r="M14" s="215"/>
      <c r="N14" s="215"/>
      <c r="S14" s="215"/>
      <c r="T14" s="215"/>
      <c r="U14" s="215"/>
      <c r="V14" s="215"/>
      <c r="W14" s="215"/>
      <c r="X14" s="215"/>
      <c r="Y14" s="215"/>
      <c r="Z14" s="215"/>
      <c r="AA14" s="215"/>
      <c r="AB14" s="215"/>
      <c r="AC14" s="215"/>
      <c r="AD14" s="215"/>
      <c r="AE14" s="215"/>
      <c r="AF14" s="215"/>
      <c r="AG14" s="215"/>
      <c r="AH14" s="215"/>
      <c r="AI14" s="215"/>
    </row>
    <row r="15" spans="1:35" ht="15.75" thickBot="1" x14ac:dyDescent="0.3">
      <c r="A15" s="1425" t="s">
        <v>17</v>
      </c>
      <c r="B15" s="1426" t="s">
        <v>5</v>
      </c>
      <c r="C15" s="2850" t="s">
        <v>0</v>
      </c>
      <c r="D15" s="2851"/>
      <c r="E15" s="1427" t="s">
        <v>8</v>
      </c>
      <c r="F15" s="1428" t="s">
        <v>549</v>
      </c>
      <c r="G15" s="1429" t="s">
        <v>378</v>
      </c>
      <c r="H15" s="847" t="s">
        <v>10</v>
      </c>
      <c r="J15" s="2399" t="s">
        <v>1017</v>
      </c>
      <c r="K15" s="2826"/>
      <c r="L15" s="2826"/>
      <c r="M15" s="2827"/>
      <c r="N15" s="215"/>
      <c r="S15" s="215"/>
      <c r="T15" s="215"/>
      <c r="U15" s="215"/>
      <c r="V15" s="215"/>
      <c r="W15" s="215"/>
      <c r="X15" s="215"/>
      <c r="Y15" s="215"/>
      <c r="Z15" s="215"/>
      <c r="AA15" s="215"/>
      <c r="AB15" s="215"/>
      <c r="AC15" s="215"/>
      <c r="AD15" s="215"/>
      <c r="AE15" s="215"/>
      <c r="AF15" s="215"/>
      <c r="AG15" s="215"/>
      <c r="AH15" s="215"/>
      <c r="AI15" s="215"/>
    </row>
    <row r="16" spans="1:35" x14ac:dyDescent="0.25">
      <c r="A16" s="1430"/>
      <c r="B16" s="1431"/>
      <c r="C16" s="1015" t="str">
        <f ca="1">IFERROR(IF(Cabeçalho!$G$28="Unfors",INDIRECT(ADDRESS(B16,1,1,1,"medidas Unfors"),1),INDIRECT(ADDRESS(B16,1,1,1,"medidas Fluke"),1)),"")</f>
        <v/>
      </c>
      <c r="D16" s="1036" t="str">
        <f ca="1">IFERROR(IF(Cabeçalho!$G$28="Unfors",INDIRECT(ADDRESS(B16,2,1,1,"medidas Unfors"),1),"kVp médio"),"")</f>
        <v/>
      </c>
      <c r="E16" s="1432" t="str">
        <f ca="1">IFERROR(ROUNDUP(IF(Cabeçalho!$G$28="Unfors",INDIRECT(ADDRESS(B16,17,1,1,"medidas Unfors"),1),INDIRECT(ADDRESS(B16,8,1,1,"medidas Fluke"),1)),1),"")</f>
        <v/>
      </c>
      <c r="F16" s="1427" t="str">
        <f>IF(COUNTBLANK(A16),"",IF(Cabeçalho!$G$25=60,"NA",ROUND(IF(Cabeçalho!$G$25=120,(0.024*A16+0.3511),(0.0357*A16+0.0233)),1)))</f>
        <v/>
      </c>
      <c r="G16" s="1433" t="str">
        <f ca="1">IFERROR(IF(E16/F16&lt;0.2,"Restrição",IF(E16/F16&lt;1,"Não","Sim")),"")</f>
        <v/>
      </c>
      <c r="H16" s="845" t="e">
        <f ca="1">ABS(C16-A16)/A16</f>
        <v>#VALUE!</v>
      </c>
      <c r="J16" s="260" t="s">
        <v>0</v>
      </c>
      <c r="K16" s="628" t="s">
        <v>207</v>
      </c>
      <c r="L16" s="628" t="s">
        <v>208</v>
      </c>
      <c r="M16" s="261" t="s">
        <v>379</v>
      </c>
      <c r="N16" s="215"/>
      <c r="O16" s="228" t="e">
        <f>VLOOKUP(A24,J17:M25,2,TRUE)</f>
        <v>#N/A</v>
      </c>
      <c r="S16" s="215"/>
      <c r="T16" s="215"/>
      <c r="U16" s="215"/>
      <c r="V16" s="215"/>
      <c r="W16" s="215"/>
      <c r="X16" s="215"/>
      <c r="Y16" s="215"/>
      <c r="Z16" s="215"/>
      <c r="AA16" s="215"/>
      <c r="AB16" s="215"/>
      <c r="AC16" s="215"/>
      <c r="AD16" s="215"/>
      <c r="AE16" s="215"/>
      <c r="AF16" s="215"/>
      <c r="AG16" s="215"/>
      <c r="AH16" s="215"/>
      <c r="AI16" s="215"/>
    </row>
    <row r="17" spans="1:35" x14ac:dyDescent="0.25">
      <c r="A17" s="1434"/>
      <c r="B17" s="1435"/>
      <c r="C17" s="1018" t="str">
        <f ca="1">IFERROR(IF(Cabeçalho!$G$28="Unfors",INDIRECT(ADDRESS(B17,1,1,1,"medidas Unfors"),1),INDIRECT(ADDRESS(B17,1,1,1,"medidas Fluke"),1)),"")</f>
        <v/>
      </c>
      <c r="D17" s="958" t="str">
        <f ca="1">IFERROR(IF(Cabeçalho!$G$28="Unfors",INDIRECT(ADDRESS(B17,2,1,1,"medidas Unfors"),1),"kVp médio"),"")</f>
        <v/>
      </c>
      <c r="E17" s="960" t="str">
        <f ca="1">IFERROR(ROUNDUP(IF(Cabeçalho!$G$28="Unfors",INDIRECT(ADDRESS(B17,17,1,1,"medidas Unfors"),1),INDIRECT(ADDRESS(B17,8,1,1,"medidas Fluke"),1)),1),"")</f>
        <v/>
      </c>
      <c r="F17" s="1406" t="str">
        <f>IF(COUNTBLANK(A17),"",IF(Cabeçalho!$G$25=60,"NA",ROUND(IF(Cabeçalho!$G$25=120,(0.024*A17+0.3511),(0.0357*A17+0.0233)),1)))</f>
        <v/>
      </c>
      <c r="G17" s="1436" t="str">
        <f t="shared" ref="G17:G22" ca="1" si="0">IFERROR(IF(E17/F17&lt;0.2,"Restrição",IF(E17/F17&lt;1,"Não","Sim")),"")</f>
        <v/>
      </c>
      <c r="H17" s="845" t="e">
        <f t="shared" ref="H17:H22" ca="1" si="1">ABS(C17-A17)/A17</f>
        <v>#VALUE!</v>
      </c>
      <c r="J17" s="260">
        <v>50</v>
      </c>
      <c r="K17" s="628">
        <v>1.5</v>
      </c>
      <c r="L17" s="628">
        <v>1.6</v>
      </c>
      <c r="M17" s="647">
        <v>1.8</v>
      </c>
      <c r="N17" s="215"/>
      <c r="S17" s="215"/>
      <c r="T17" s="215"/>
      <c r="U17" s="215"/>
      <c r="V17" s="215"/>
      <c r="W17" s="215"/>
      <c r="X17" s="215"/>
      <c r="Y17" s="215"/>
      <c r="Z17" s="215"/>
      <c r="AA17" s="215"/>
      <c r="AB17" s="215"/>
      <c r="AC17" s="215"/>
      <c r="AD17" s="215"/>
      <c r="AE17" s="215"/>
      <c r="AF17" s="215"/>
      <c r="AG17" s="215"/>
      <c r="AH17" s="215"/>
      <c r="AI17" s="215"/>
    </row>
    <row r="18" spans="1:35" x14ac:dyDescent="0.25">
      <c r="A18" s="1434"/>
      <c r="B18" s="1435"/>
      <c r="C18" s="1018" t="str">
        <f ca="1">IFERROR(IF(Cabeçalho!$G$28="Unfors",INDIRECT(ADDRESS(B18,1,1,1,"medidas Unfors"),1),INDIRECT(ADDRESS(B18,1,1,1,"medidas Fluke"),1)),"")</f>
        <v/>
      </c>
      <c r="D18" s="958" t="str">
        <f ca="1">IFERROR(IF(Cabeçalho!$G$28="Unfors",INDIRECT(ADDRESS(B18,2,1,1,"medidas Unfors"),1),"kVp médio"),"")</f>
        <v/>
      </c>
      <c r="E18" s="960" t="str">
        <f ca="1">IFERROR(ROUNDUP(IF(Cabeçalho!$G$28="Unfors",INDIRECT(ADDRESS(B18,17,1,1,"medidas Unfors"),1),INDIRECT(ADDRESS(B18,8,1,1,"medidas Fluke"),1)),1),"")</f>
        <v/>
      </c>
      <c r="F18" s="1406" t="str">
        <f>IF(COUNTBLANK(A18),"",IF(Cabeçalho!$G$25=60,"NA",ROUND(IF(Cabeçalho!$G$25=120,(0.024*A18+0.3511),(0.0357*A18+0.0233)),1)))</f>
        <v/>
      </c>
      <c r="G18" s="1436" t="str">
        <f t="shared" ca="1" si="0"/>
        <v/>
      </c>
      <c r="H18" s="845" t="e">
        <f t="shared" ca="1" si="1"/>
        <v>#VALUE!</v>
      </c>
      <c r="J18" s="260">
        <v>60</v>
      </c>
      <c r="K18" s="628">
        <v>1.8</v>
      </c>
      <c r="L18" s="628">
        <v>2</v>
      </c>
      <c r="M18" s="647">
        <v>2.2000000000000002</v>
      </c>
      <c r="N18" s="215"/>
      <c r="S18" s="215"/>
      <c r="T18" s="215"/>
      <c r="U18" s="215"/>
      <c r="V18" s="215"/>
      <c r="W18" s="215"/>
      <c r="X18" s="215"/>
      <c r="Y18" s="215"/>
      <c r="Z18" s="215"/>
      <c r="AA18" s="215"/>
      <c r="AB18" s="215"/>
      <c r="AC18" s="215"/>
      <c r="AD18" s="215"/>
      <c r="AE18" s="215"/>
      <c r="AF18" s="215"/>
      <c r="AG18" s="215"/>
      <c r="AH18" s="215"/>
      <c r="AI18" s="215"/>
    </row>
    <row r="19" spans="1:35" x14ac:dyDescent="0.25">
      <c r="A19" s="1434"/>
      <c r="B19" s="1435"/>
      <c r="C19" s="1018" t="str">
        <f ca="1">IFERROR(IF(Cabeçalho!$G$28="Unfors",INDIRECT(ADDRESS(B19,1,1,1,"medidas Unfors"),1),INDIRECT(ADDRESS(B19,1,1,1,"medidas Fluke"),1)),"")</f>
        <v/>
      </c>
      <c r="D19" s="958" t="str">
        <f ca="1">IFERROR(IF(Cabeçalho!$G$28="Unfors",INDIRECT(ADDRESS(B19,2,1,1,"medidas Unfors"),1),"kVp médio"),"")</f>
        <v/>
      </c>
      <c r="E19" s="960" t="str">
        <f ca="1">IFERROR(ROUNDUP(IF(Cabeçalho!$G$28="Unfors",INDIRECT(ADDRESS(B19,17,1,1,"medidas Unfors"),1),INDIRECT(ADDRESS(B19,8,1,1,"medidas Fluke"),1)),1),"")</f>
        <v/>
      </c>
      <c r="F19" s="1406" t="str">
        <f>IF(COUNTBLANK(A19),"",IF(Cabeçalho!$G$25=60,"NA",ROUND(IF(Cabeçalho!$G$25=120,(0.024*A19+0.3511),(0.0357*A19+0.0233)),1)))</f>
        <v/>
      </c>
      <c r="G19" s="1436" t="str">
        <f t="shared" ca="1" si="0"/>
        <v/>
      </c>
      <c r="H19" s="845" t="e">
        <f t="shared" ca="1" si="1"/>
        <v>#VALUE!</v>
      </c>
      <c r="J19" s="260">
        <v>70</v>
      </c>
      <c r="K19" s="628">
        <v>2.1</v>
      </c>
      <c r="L19" s="628">
        <v>2.2999999999999998</v>
      </c>
      <c r="M19" s="647">
        <v>2.5</v>
      </c>
      <c r="N19" s="215"/>
      <c r="S19" s="215"/>
      <c r="T19" s="215"/>
      <c r="U19" s="215"/>
      <c r="V19" s="215"/>
      <c r="W19" s="215"/>
      <c r="X19" s="215"/>
      <c r="Y19" s="215"/>
      <c r="Z19" s="215"/>
      <c r="AA19" s="215"/>
      <c r="AB19" s="215"/>
      <c r="AC19" s="215"/>
      <c r="AD19" s="215"/>
      <c r="AE19" s="215"/>
      <c r="AF19" s="215"/>
      <c r="AG19" s="215"/>
      <c r="AH19" s="215"/>
      <c r="AI19" s="215"/>
    </row>
    <row r="20" spans="1:35" x14ac:dyDescent="0.25">
      <c r="A20" s="1434"/>
      <c r="B20" s="1435"/>
      <c r="C20" s="1018" t="str">
        <f ca="1">IFERROR(IF(Cabeçalho!$G$28="Unfors",INDIRECT(ADDRESS(B20,1,1,1,"medidas Unfors"),1),INDIRECT(ADDRESS(B20,1,1,1,"medidas Fluke"),1)),"")</f>
        <v/>
      </c>
      <c r="D20" s="958" t="str">
        <f ca="1">IFERROR(IF(Cabeçalho!$G$28="Unfors",INDIRECT(ADDRESS(B20,2,1,1,"medidas Unfors"),1),"kVp médio"),"")</f>
        <v/>
      </c>
      <c r="E20" s="960" t="str">
        <f ca="1">IFERROR(ROUNDUP(IF(Cabeçalho!$G$28="Unfors",INDIRECT(ADDRESS(B20,17,1,1,"medidas Unfors"),1),INDIRECT(ADDRESS(B20,8,1,1,"medidas Fluke"),1)),1),"")</f>
        <v/>
      </c>
      <c r="F20" s="1406" t="str">
        <f>IF(COUNTBLANK(A20),"",IF(Cabeçalho!$G$25=60,"NA",ROUND(IF(Cabeçalho!$G$25=120,(0.024*A20+0.3511),(0.0357*A20+0.0233)),1)))</f>
        <v/>
      </c>
      <c r="G20" s="1436" t="str">
        <f t="shared" ca="1" si="0"/>
        <v/>
      </c>
      <c r="H20" s="845" t="e">
        <f t="shared" ca="1" si="1"/>
        <v>#VALUE!</v>
      </c>
      <c r="J20" s="260">
        <v>80</v>
      </c>
      <c r="K20" s="628">
        <v>2.2999999999999998</v>
      </c>
      <c r="L20" s="628">
        <v>2.6</v>
      </c>
      <c r="M20" s="647">
        <v>2.9</v>
      </c>
      <c r="N20" s="215"/>
      <c r="S20" s="215"/>
      <c r="T20" s="215"/>
      <c r="U20" s="215"/>
      <c r="V20" s="215"/>
      <c r="W20" s="215"/>
      <c r="X20" s="215"/>
      <c r="Y20" s="215"/>
      <c r="Z20" s="215"/>
      <c r="AA20" s="215"/>
      <c r="AB20" s="215"/>
      <c r="AC20" s="215"/>
      <c r="AD20" s="215"/>
      <c r="AE20" s="215"/>
      <c r="AF20" s="215"/>
      <c r="AG20" s="215"/>
      <c r="AH20" s="215"/>
      <c r="AI20" s="215"/>
    </row>
    <row r="21" spans="1:35" x14ac:dyDescent="0.25">
      <c r="A21" s="1434"/>
      <c r="B21" s="1435"/>
      <c r="C21" s="1018" t="str">
        <f ca="1">IFERROR(IF(Cabeçalho!$G$28="Unfors",INDIRECT(ADDRESS(B21,1,1,1,"medidas Unfors"),1),INDIRECT(ADDRESS(B21,1,1,1,"medidas Fluke"),1)),"")</f>
        <v/>
      </c>
      <c r="D21" s="958" t="str">
        <f ca="1">IFERROR(IF(Cabeçalho!$G$28="Unfors",INDIRECT(ADDRESS(B21,2,1,1,"medidas Unfors"),1),"kVp médio"),"")</f>
        <v/>
      </c>
      <c r="E21" s="960" t="str">
        <f ca="1">IFERROR(ROUNDUP(IF(Cabeçalho!$G$28="Unfors",INDIRECT(ADDRESS(B21,17,1,1,"medidas Unfors"),1),INDIRECT(ADDRESS(B21,8,1,1,"medidas Fluke"),1)),1),"")</f>
        <v/>
      </c>
      <c r="F21" s="1406" t="str">
        <f>IF(COUNTBLANK(A21),"",IF(Cabeçalho!$G$25=60,"NA",ROUND(IF(Cabeçalho!$G$25=120,(0.024*A21+0.3511),(0.0357*A21+0.0233)),1)))</f>
        <v/>
      </c>
      <c r="G21" s="1436" t="str">
        <f t="shared" ca="1" si="0"/>
        <v/>
      </c>
      <c r="H21" s="845" t="e">
        <f t="shared" ca="1" si="1"/>
        <v>#VALUE!</v>
      </c>
      <c r="J21" s="260">
        <v>90</v>
      </c>
      <c r="K21" s="628">
        <v>2.5</v>
      </c>
      <c r="L21" s="628">
        <v>3</v>
      </c>
      <c r="M21" s="647">
        <v>3.2</v>
      </c>
      <c r="N21" s="215"/>
      <c r="S21" s="215"/>
      <c r="T21" s="215"/>
      <c r="U21" s="215"/>
      <c r="V21" s="215"/>
      <c r="W21" s="215"/>
      <c r="X21" s="215"/>
      <c r="Y21" s="215"/>
      <c r="Z21" s="215"/>
      <c r="AA21" s="215"/>
      <c r="AB21" s="215"/>
      <c r="AC21" s="215"/>
      <c r="AD21" s="215"/>
      <c r="AE21" s="215"/>
      <c r="AF21" s="215"/>
      <c r="AG21" s="215"/>
      <c r="AH21" s="215"/>
      <c r="AI21" s="215"/>
    </row>
    <row r="22" spans="1:35" ht="15.75" thickBot="1" x14ac:dyDescent="0.3">
      <c r="A22" s="1437"/>
      <c r="B22" s="1438"/>
      <c r="C22" s="1022" t="str">
        <f ca="1">IFERROR(IF(Cabeçalho!$G$28="Unfors",INDIRECT(ADDRESS(B22,1,1,1,"medidas Unfors"),1),INDIRECT(ADDRESS(B22,1,1,1,"medidas Fluke"),1)),"")</f>
        <v/>
      </c>
      <c r="D22" s="966" t="str">
        <f ca="1">IFERROR(IF(Cabeçalho!$G$28="Unfors",INDIRECT(ADDRESS(B22,2,1,1,"medidas Unfors"),1),"kVp médio"),"")</f>
        <v/>
      </c>
      <c r="E22" s="1439" t="str">
        <f ca="1">IFERROR(ROUNDUP(IF(Cabeçalho!$G$28="Unfors",INDIRECT(ADDRESS(B22,17,1,1,"medidas Unfors"),1),INDIRECT(ADDRESS(B22,8,1,1,"medidas Fluke"),1)),1),"")</f>
        <v/>
      </c>
      <c r="F22" s="1440" t="str">
        <f>IF(COUNTBLANK(A22),"",IF(Cabeçalho!$G$25=60,"NA",ROUND(IF(Cabeçalho!$G$25=120,(0.024*A22+0.3511),(0.0357*A22+0.0233)),1)))</f>
        <v/>
      </c>
      <c r="G22" s="1441" t="str">
        <f t="shared" ca="1" si="0"/>
        <v/>
      </c>
      <c r="H22" s="846" t="e">
        <f t="shared" ca="1" si="1"/>
        <v>#VALUE!</v>
      </c>
      <c r="J22" s="260">
        <v>100</v>
      </c>
      <c r="K22" s="628">
        <v>2.7</v>
      </c>
      <c r="L22" s="628">
        <v>3.2</v>
      </c>
      <c r="M22" s="647">
        <v>3.6</v>
      </c>
      <c r="N22" s="215"/>
      <c r="S22" s="215"/>
      <c r="T22" s="215"/>
      <c r="U22" s="215"/>
      <c r="V22" s="215"/>
      <c r="W22" s="215"/>
      <c r="X22" s="215"/>
      <c r="Y22" s="215"/>
      <c r="Z22" s="215"/>
      <c r="AA22" s="215"/>
      <c r="AB22" s="215"/>
      <c r="AC22" s="215"/>
      <c r="AD22" s="215"/>
      <c r="AE22" s="215"/>
      <c r="AF22" s="215"/>
      <c r="AG22" s="215"/>
      <c r="AH22" s="215"/>
      <c r="AI22" s="215"/>
    </row>
    <row r="23" spans="1:35" ht="15.75" thickBot="1" x14ac:dyDescent="0.3">
      <c r="A23" s="215"/>
      <c r="B23" s="215"/>
      <c r="C23" s="215"/>
      <c r="D23" s="215"/>
      <c r="E23" s="215"/>
      <c r="F23" s="215"/>
      <c r="G23" s="215"/>
      <c r="J23" s="648">
        <v>110</v>
      </c>
      <c r="K23" s="649">
        <v>3</v>
      </c>
      <c r="L23" s="649">
        <v>3.5</v>
      </c>
      <c r="M23" s="647">
        <v>3.9</v>
      </c>
      <c r="N23" s="215"/>
      <c r="S23" s="215"/>
      <c r="T23" s="215"/>
      <c r="U23" s="215"/>
      <c r="V23" s="215"/>
      <c r="W23" s="215"/>
      <c r="X23" s="215"/>
      <c r="Y23" s="215"/>
      <c r="Z23" s="215"/>
      <c r="AA23" s="215"/>
      <c r="AB23" s="215"/>
      <c r="AC23" s="215"/>
      <c r="AD23" s="215"/>
      <c r="AE23" s="215"/>
      <c r="AF23" s="215"/>
      <c r="AG23" s="215"/>
      <c r="AH23" s="215"/>
      <c r="AI23" s="215"/>
    </row>
    <row r="24" spans="1:35" ht="15.75" thickBot="1" x14ac:dyDescent="0.3">
      <c r="A24" s="1442"/>
      <c r="B24" s="2693" t="s">
        <v>553</v>
      </c>
      <c r="C24" s="2693"/>
      <c r="D24" s="2693"/>
      <c r="E24" s="1443" t="e">
        <f>VLOOKUP($A$24,$A$16:$G$22,5)</f>
        <v>#N/A</v>
      </c>
      <c r="F24" s="1443" t="e">
        <f>VLOOKUP($A$24,$J$17:$M$25,IF(Cabeçalho!H25="AF",4,IF(Cabeçalho!H25="Tri",3,2)))</f>
        <v>#N/A</v>
      </c>
      <c r="G24" s="1444" t="e">
        <f>VLOOKUP($A$24,$A$16:$G$22,7)</f>
        <v>#N/A</v>
      </c>
      <c r="J24" s="648">
        <v>120</v>
      </c>
      <c r="K24" s="649">
        <v>3.2</v>
      </c>
      <c r="L24" s="649">
        <v>3.9</v>
      </c>
      <c r="M24" s="647">
        <v>4.3</v>
      </c>
      <c r="N24" s="215"/>
      <c r="S24" s="215"/>
      <c r="T24" s="215"/>
      <c r="U24" s="215"/>
      <c r="V24" s="215"/>
      <c r="W24" s="215"/>
      <c r="X24" s="215"/>
      <c r="Y24" s="215"/>
      <c r="Z24" s="215"/>
      <c r="AA24" s="215"/>
      <c r="AB24" s="215"/>
      <c r="AC24" s="215"/>
      <c r="AD24" s="215"/>
      <c r="AE24" s="215"/>
      <c r="AF24" s="215"/>
      <c r="AG24" s="215"/>
      <c r="AH24" s="215"/>
      <c r="AI24" s="215"/>
    </row>
    <row r="25" spans="1:35" ht="15.75" thickBot="1" x14ac:dyDescent="0.3">
      <c r="J25" s="262">
        <v>130</v>
      </c>
      <c r="K25" s="263">
        <v>3.5</v>
      </c>
      <c r="L25" s="263">
        <v>4.0999999999999996</v>
      </c>
      <c r="M25" s="650">
        <v>4.7</v>
      </c>
      <c r="N25" s="215"/>
      <c r="S25" s="215"/>
      <c r="T25" s="215"/>
      <c r="U25" s="215"/>
      <c r="V25" s="215"/>
      <c r="W25" s="215"/>
      <c r="X25" s="215"/>
      <c r="Y25" s="215"/>
      <c r="Z25" s="215"/>
      <c r="AA25" s="215"/>
      <c r="AB25" s="215"/>
      <c r="AC25" s="215"/>
      <c r="AD25" s="215"/>
      <c r="AE25" s="215"/>
      <c r="AF25" s="215"/>
      <c r="AG25" s="215"/>
      <c r="AH25" s="215"/>
      <c r="AI25" s="215"/>
    </row>
    <row r="26" spans="1:35" ht="15.75" thickBot="1" x14ac:dyDescent="0.3">
      <c r="AD26" s="215"/>
      <c r="AE26" s="215"/>
      <c r="AF26" s="215"/>
      <c r="AG26" s="215"/>
      <c r="AH26" s="215"/>
      <c r="AI26" s="215"/>
    </row>
    <row r="27" spans="1:35" ht="15.75" thickBot="1" x14ac:dyDescent="0.3">
      <c r="A27" s="2828" t="s">
        <v>11</v>
      </c>
      <c r="B27" s="2829"/>
      <c r="C27" s="2829"/>
      <c r="D27" s="2830"/>
      <c r="AD27" s="215"/>
      <c r="AE27" s="215"/>
      <c r="AF27" s="215"/>
      <c r="AG27" s="215"/>
      <c r="AH27" s="215"/>
      <c r="AI27" s="215"/>
    </row>
    <row r="28" spans="1:35" ht="15.75" thickBot="1" x14ac:dyDescent="0.3">
      <c r="A28" s="1625" t="s">
        <v>18</v>
      </c>
      <c r="B28" s="1445"/>
      <c r="C28" s="2835" t="s">
        <v>19</v>
      </c>
      <c r="D28" s="2836"/>
      <c r="AD28" s="215"/>
      <c r="AE28" s="215"/>
      <c r="AF28" s="215"/>
      <c r="AG28" s="215"/>
      <c r="AH28" s="215"/>
      <c r="AI28" s="215"/>
    </row>
    <row r="29" spans="1:35" ht="15.75" thickBot="1" x14ac:dyDescent="0.3">
      <c r="A29" s="1624" t="s">
        <v>762</v>
      </c>
      <c r="B29" s="1053"/>
      <c r="C29" s="944" t="s">
        <v>13</v>
      </c>
      <c r="D29" s="975"/>
      <c r="AD29" s="215"/>
      <c r="AE29" s="215"/>
      <c r="AF29" s="215"/>
      <c r="AG29" s="215"/>
      <c r="AH29" s="215"/>
      <c r="AI29" s="215"/>
    </row>
    <row r="30" spans="1:35" x14ac:dyDescent="0.25">
      <c r="A30" s="1624" t="s">
        <v>5</v>
      </c>
      <c r="B30" s="1053"/>
      <c r="C30" s="1019"/>
      <c r="D30" s="975"/>
      <c r="AD30" s="215"/>
      <c r="AE30" s="215"/>
      <c r="AF30" s="215"/>
      <c r="AG30" s="215"/>
      <c r="AH30" s="215"/>
      <c r="AI30" s="215"/>
    </row>
    <row r="31" spans="1:35" ht="15.75" thickBot="1" x14ac:dyDescent="0.3">
      <c r="A31" s="1094" t="s">
        <v>53</v>
      </c>
      <c r="B31" s="1446"/>
      <c r="C31" s="1052" t="s">
        <v>12</v>
      </c>
      <c r="D31" s="975"/>
      <c r="AD31" s="215"/>
      <c r="AE31" s="215"/>
      <c r="AF31" s="215"/>
      <c r="AG31" s="215"/>
      <c r="AH31" s="215"/>
      <c r="AI31" s="215"/>
    </row>
    <row r="32" spans="1:35" x14ac:dyDescent="0.25">
      <c r="A32" s="1623"/>
      <c r="B32" s="958" t="e">
        <f ca="1">IF(Cabeçalho!$G$28="Unfors",INDIRECT(ADDRESS(B30,1,1,1,"medidas Unfors"),1),INDIRECT(ADDRESS(B30,1,1,1,"medidas Fluke"),1))</f>
        <v>#VALUE!</v>
      </c>
      <c r="C32" s="1447" t="s">
        <v>0</v>
      </c>
      <c r="D32" s="975"/>
      <c r="AD32" s="215"/>
      <c r="AE32" s="215"/>
      <c r="AF32" s="215"/>
      <c r="AG32" s="215"/>
      <c r="AH32" s="215"/>
      <c r="AI32" s="215"/>
    </row>
    <row r="33" spans="1:35" x14ac:dyDescent="0.25">
      <c r="A33" s="1623"/>
      <c r="B33" s="958" t="e">
        <f ca="1">IF(Cabeçalho!$G$28="Unfors",INDIRECT(ADDRESS(B30,5,1,1,"medidas Unfors"),1),INDIRECT(ADDRESS(B30,5,1,1,"medidas Fluke"),1)/1000)</f>
        <v>#VALUE!</v>
      </c>
      <c r="C33" s="1448" t="s">
        <v>2</v>
      </c>
      <c r="D33" s="975"/>
      <c r="AD33" s="215"/>
      <c r="AE33" s="215"/>
      <c r="AF33" s="215"/>
      <c r="AG33" s="215"/>
      <c r="AH33" s="215"/>
      <c r="AI33" s="215"/>
    </row>
    <row r="34" spans="1:35" x14ac:dyDescent="0.25">
      <c r="A34" s="1623"/>
      <c r="B34" s="1410" t="e">
        <f ca="1">IF(Cabeçalho!$G$28="Unfors",INDIRECT(ADDRESS(B30,7,1,1,"medidas Unfors"),1),INDIRECT(ADDRESS(B30,6,1,1,"medidas Fluke"),1)/1000)</f>
        <v>#VALUE!</v>
      </c>
      <c r="C34" s="1447" t="s">
        <v>3</v>
      </c>
      <c r="D34" s="975"/>
      <c r="AD34" s="215"/>
      <c r="AE34" s="215"/>
      <c r="AF34" s="215"/>
      <c r="AG34" s="215"/>
      <c r="AH34" s="215"/>
      <c r="AI34" s="215"/>
    </row>
    <row r="35" spans="1:35" x14ac:dyDescent="0.25">
      <c r="A35" s="1623"/>
      <c r="B35" s="958" t="e">
        <f ca="1">IF(Cabeçalho!$G$28="Unfors",INDIRECT(ADDRESS(B30,17,1,1,"medidas Unfors"),1),INDIRECT(ADDRESS(B30,8,1,1,"medidas Fluke"),1))</f>
        <v>#VALUE!</v>
      </c>
      <c r="C35" s="1447" t="s">
        <v>8</v>
      </c>
      <c r="D35" s="975"/>
      <c r="AD35" s="215"/>
      <c r="AE35" s="215"/>
      <c r="AF35" s="215"/>
      <c r="AG35" s="215"/>
      <c r="AH35" s="215"/>
      <c r="AI35" s="215"/>
    </row>
    <row r="36" spans="1:35" ht="18" thickBot="1" x14ac:dyDescent="0.3">
      <c r="A36" s="1632" t="s">
        <v>29</v>
      </c>
      <c r="B36" s="1633" t="e">
        <f ca="1">ROUND(B33*1000/IF(C29="mAs",B29/B34,B29)*(B28/B32)^2*(B31/100)^2,1)</f>
        <v>#VALUE!</v>
      </c>
      <c r="C36" s="2837" t="s">
        <v>376</v>
      </c>
      <c r="D36" s="2838"/>
      <c r="AD36" s="215"/>
      <c r="AE36" s="215"/>
      <c r="AF36" s="215"/>
      <c r="AG36" s="215"/>
      <c r="AH36" s="215"/>
      <c r="AI36" s="215"/>
    </row>
    <row r="37" spans="1:35" x14ac:dyDescent="0.25">
      <c r="AD37" s="215"/>
      <c r="AE37" s="215"/>
      <c r="AF37" s="215"/>
      <c r="AG37" s="215"/>
      <c r="AH37" s="215"/>
      <c r="AI37" s="215"/>
    </row>
    <row r="38" spans="1:35" ht="15.75" thickBot="1" x14ac:dyDescent="0.3">
      <c r="AD38" s="215"/>
      <c r="AE38" s="215"/>
      <c r="AF38" s="215"/>
      <c r="AG38" s="215"/>
      <c r="AH38" s="215"/>
      <c r="AI38" s="215"/>
    </row>
    <row r="39" spans="1:35" x14ac:dyDescent="0.25">
      <c r="A39" s="2828" t="s">
        <v>1823</v>
      </c>
      <c r="B39" s="2829"/>
      <c r="C39" s="2829"/>
      <c r="D39" s="2829"/>
      <c r="E39" s="2830"/>
      <c r="G39" s="2828" t="s">
        <v>1824</v>
      </c>
      <c r="H39" s="2829"/>
      <c r="I39" s="2829"/>
      <c r="J39" s="2829"/>
      <c r="K39" s="2830"/>
      <c r="AD39" s="215"/>
      <c r="AE39" s="215"/>
      <c r="AF39" s="215"/>
      <c r="AG39" s="215"/>
      <c r="AH39" s="215"/>
      <c r="AI39" s="215"/>
    </row>
    <row r="40" spans="1:35" ht="15.75" thickBot="1" x14ac:dyDescent="0.3">
      <c r="A40" s="1408" t="s">
        <v>5</v>
      </c>
      <c r="B40" s="628" t="s">
        <v>0</v>
      </c>
      <c r="C40" s="628" t="s">
        <v>2</v>
      </c>
      <c r="D40" s="628" t="s">
        <v>3</v>
      </c>
      <c r="E40" s="261"/>
      <c r="G40" s="1671" t="s">
        <v>5</v>
      </c>
      <c r="H40" s="628" t="s">
        <v>0</v>
      </c>
      <c r="I40" s="628" t="s">
        <v>2</v>
      </c>
      <c r="J40" s="628" t="s">
        <v>3</v>
      </c>
      <c r="K40" s="261"/>
      <c r="AD40" s="215"/>
      <c r="AE40" s="215"/>
      <c r="AF40" s="215"/>
      <c r="AG40" s="215"/>
      <c r="AH40" s="215"/>
      <c r="AI40" s="215"/>
    </row>
    <row r="41" spans="1:35" x14ac:dyDescent="0.25">
      <c r="A41" s="1449"/>
      <c r="B41" s="958" t="str">
        <f ca="1">IFERROR(IF(Cabeçalho!$G$28="Unfors",INDIRECT(ADDRESS(A41,1,1,1,"medidas Unfors"),1),INDIRECT(ADDRESS(A41,1,1,1,"medidas Fluke"),1)),"")</f>
        <v/>
      </c>
      <c r="C41" s="1019" t="str">
        <f ca="1">IFERROR(IF(Cabeçalho!$G$28="Unfors",INDIRECT(ADDRESS(A41,5,1,1,"medidas Unfors"),1),INDIRECT(ADDRESS(A41,5,1,1,"medidas Fluke"),1)/1000),"")</f>
        <v/>
      </c>
      <c r="D41" s="1019" t="str">
        <f ca="1">IFERROR(IF(Cabeçalho!$G$28="Unfors",INDIRECT(ADDRESS(A41,7,1,1,"medidas Unfors"),1),INDIRECT(ADDRESS(A41,6,1,1,"medidas Fluke"),1)/1000),"")</f>
        <v/>
      </c>
      <c r="E41" s="1450"/>
      <c r="G41" s="1449"/>
      <c r="H41" s="958" t="str">
        <f ca="1">IFERROR(IF(Cabeçalho!$G$28="Unfors",INDIRECT(ADDRESS(G41,1,1,1,"medidas Unfors"),1),INDIRECT(ADDRESS(G41,1,1,1,"medidas Fluke"),1)),"")</f>
        <v/>
      </c>
      <c r="I41" s="1019" t="str">
        <f ca="1">IFERROR(IF(Cabeçalho!$G$28="Unfors",INDIRECT(ADDRESS(G41,5,1,1,"medidas Unfors"),1),INDIRECT(ADDRESS(G41,5,1,1,"medidas Fluke"),1)/1000),"")</f>
        <v/>
      </c>
      <c r="J41" s="1019" t="str">
        <f ca="1">IFERROR(IF(Cabeçalho!$G$28="Unfors",INDIRECT(ADDRESS(G41,7,1,1,"medidas Unfors"),1),INDIRECT(ADDRESS(G41,6,1,1,"medidas Fluke"),1)/1000),"")</f>
        <v/>
      </c>
      <c r="K41" s="1450"/>
      <c r="AD41" s="215"/>
      <c r="AE41" s="215"/>
      <c r="AF41" s="215"/>
      <c r="AG41" s="215"/>
      <c r="AH41" s="215"/>
      <c r="AI41" s="215"/>
    </row>
    <row r="42" spans="1:35" x14ac:dyDescent="0.25">
      <c r="A42" s="976"/>
      <c r="B42" s="958" t="str">
        <f ca="1">IFERROR(IF(Cabeçalho!$G$28="Unfors",INDIRECT(ADDRESS(A42,1,1,1,"medidas Unfors"),1),INDIRECT(ADDRESS(A42,1,1,1,"medidas Fluke"),1)),"")</f>
        <v/>
      </c>
      <c r="C42" s="1019" t="str">
        <f ca="1">IFERROR(IF(Cabeçalho!$G$28="Unfors",INDIRECT(ADDRESS(A42,5,1,1,"medidas Unfors"),1),INDIRECT(ADDRESS(A42,5,1,1,"medidas Fluke"),1)/1000),"")</f>
        <v/>
      </c>
      <c r="D42" s="1019" t="str">
        <f ca="1">IFERROR(IF(Cabeçalho!$G$28="Unfors",INDIRECT(ADDRESS(A42,7,1,1,"medidas Unfors"),1),INDIRECT(ADDRESS(A42,6,1,1,"medidas Fluke"),1)/1000),"")</f>
        <v/>
      </c>
      <c r="E42" s="1450"/>
      <c r="G42" s="976"/>
      <c r="H42" s="958" t="str">
        <f ca="1">IFERROR(IF(Cabeçalho!$G$28="Unfors",INDIRECT(ADDRESS(G42,1,1,1,"medidas Unfors"),1),INDIRECT(ADDRESS(G42,1,1,1,"medidas Fluke"),1)),"")</f>
        <v/>
      </c>
      <c r="I42" s="1019" t="str">
        <f ca="1">IFERROR(IF(Cabeçalho!$G$28="Unfors",INDIRECT(ADDRESS(G42,5,1,1,"medidas Unfors"),1),INDIRECT(ADDRESS(G42,5,1,1,"medidas Fluke"),1)/1000),"")</f>
        <v/>
      </c>
      <c r="J42" s="1019" t="str">
        <f ca="1">IFERROR(IF(Cabeçalho!$G$28="Unfors",INDIRECT(ADDRESS(G42,7,1,1,"medidas Unfors"),1),INDIRECT(ADDRESS(G42,6,1,1,"medidas Fluke"),1)/1000),"")</f>
        <v/>
      </c>
      <c r="K42" s="1450"/>
      <c r="AD42" s="215"/>
      <c r="AE42" s="215"/>
      <c r="AF42" s="215"/>
      <c r="AG42" s="215"/>
      <c r="AH42" s="215"/>
      <c r="AI42" s="215"/>
    </row>
    <row r="43" spans="1:35" x14ac:dyDescent="0.25">
      <c r="A43" s="976"/>
      <c r="B43" s="958" t="str">
        <f ca="1">IFERROR(IF(Cabeçalho!$G$28="Unfors",INDIRECT(ADDRESS(A43,1,1,1,"medidas Unfors"),1),INDIRECT(ADDRESS(A43,1,1,1,"medidas Fluke"),1)),"")</f>
        <v/>
      </c>
      <c r="C43" s="1019" t="str">
        <f ca="1">IFERROR(IF(Cabeçalho!$G$28="Unfors",INDIRECT(ADDRESS(A43,5,1,1,"medidas Unfors"),1),INDIRECT(ADDRESS(A43,5,1,1,"medidas Fluke"),1)/1000),"")</f>
        <v/>
      </c>
      <c r="D43" s="1019" t="str">
        <f ca="1">IFERROR(IF(Cabeçalho!$G$28="Unfors",INDIRECT(ADDRESS(A43,7,1,1,"medidas Unfors"),1),INDIRECT(ADDRESS(A43,6,1,1,"medidas Fluke"),1)/1000),"")</f>
        <v/>
      </c>
      <c r="E43" s="1450"/>
      <c r="G43" s="976"/>
      <c r="H43" s="958" t="str">
        <f ca="1">IFERROR(IF(Cabeçalho!$G$28="Unfors",INDIRECT(ADDRESS(G43,1,1,1,"medidas Unfors"),1),INDIRECT(ADDRESS(G43,1,1,1,"medidas Fluke"),1)),"")</f>
        <v/>
      </c>
      <c r="I43" s="1019" t="str">
        <f ca="1">IFERROR(IF(Cabeçalho!$G$28="Unfors",INDIRECT(ADDRESS(G43,5,1,1,"medidas Unfors"),1),INDIRECT(ADDRESS(G43,5,1,1,"medidas Fluke"),1)/1000),"")</f>
        <v/>
      </c>
      <c r="J43" s="1019" t="str">
        <f ca="1">IFERROR(IF(Cabeçalho!$G$28="Unfors",INDIRECT(ADDRESS(G43,7,1,1,"medidas Unfors"),1),INDIRECT(ADDRESS(G43,6,1,1,"medidas Fluke"),1)/1000),"")</f>
        <v/>
      </c>
      <c r="K43" s="1450"/>
      <c r="AD43" s="215"/>
      <c r="AE43" s="215"/>
      <c r="AF43" s="215"/>
      <c r="AG43" s="215"/>
      <c r="AH43" s="215"/>
      <c r="AI43" s="215"/>
    </row>
    <row r="44" spans="1:35" x14ac:dyDescent="0.25">
      <c r="A44" s="976"/>
      <c r="B44" s="958" t="str">
        <f ca="1">IFERROR(IF(Cabeçalho!$G$28="Unfors",INDIRECT(ADDRESS(A44,1,1,1,"medidas Unfors"),1),INDIRECT(ADDRESS(A44,1,1,1,"medidas Fluke"),1)),"")</f>
        <v/>
      </c>
      <c r="C44" s="1019" t="str">
        <f ca="1">IFERROR(IF(Cabeçalho!$G$28="Unfors",INDIRECT(ADDRESS(A44,5,1,1,"medidas Unfors"),1),INDIRECT(ADDRESS(A44,5,1,1,"medidas Fluke"),1)/1000),"")</f>
        <v/>
      </c>
      <c r="D44" s="1019" t="str">
        <f ca="1">IFERROR(IF(Cabeçalho!$G$28="Unfors",INDIRECT(ADDRESS(A44,7,1,1,"medidas Unfors"),1),INDIRECT(ADDRESS(A44,6,1,1,"medidas Fluke"),1)/1000),"")</f>
        <v/>
      </c>
      <c r="E44" s="1450"/>
      <c r="G44" s="976"/>
      <c r="H44" s="958" t="str">
        <f ca="1">IFERROR(IF(Cabeçalho!$G$28="Unfors",INDIRECT(ADDRESS(G44,1,1,1,"medidas Unfors"),1),INDIRECT(ADDRESS(G44,1,1,1,"medidas Fluke"),1)),"")</f>
        <v/>
      </c>
      <c r="I44" s="1019" t="str">
        <f ca="1">IFERROR(IF(Cabeçalho!$G$28="Unfors",INDIRECT(ADDRESS(G44,5,1,1,"medidas Unfors"),1),INDIRECT(ADDRESS(G44,5,1,1,"medidas Fluke"),1)/1000),"")</f>
        <v/>
      </c>
      <c r="J44" s="1019" t="str">
        <f ca="1">IFERROR(IF(Cabeçalho!$G$28="Unfors",INDIRECT(ADDRESS(G44,7,1,1,"medidas Unfors"),1),INDIRECT(ADDRESS(G44,6,1,1,"medidas Fluke"),1)/1000),"")</f>
        <v/>
      </c>
      <c r="K44" s="1450"/>
      <c r="AD44" s="215"/>
      <c r="AE44" s="215"/>
      <c r="AF44" s="215"/>
      <c r="AG44" s="215"/>
      <c r="AH44" s="215"/>
      <c r="AI44" s="215"/>
    </row>
    <row r="45" spans="1:35" ht="15.75" thickBot="1" x14ac:dyDescent="0.3">
      <c r="A45" s="1451"/>
      <c r="B45" s="958" t="str">
        <f ca="1">IFERROR(IF(Cabeçalho!$G$28="Unfors",INDIRECT(ADDRESS(A45,1,1,1,"medidas Unfors"),1),INDIRECT(ADDRESS(A45,1,1,1,"medidas Fluke"),1)),"")</f>
        <v/>
      </c>
      <c r="C45" s="1019" t="str">
        <f ca="1">IFERROR(IF(Cabeçalho!$G$28="Unfors",INDIRECT(ADDRESS(A45,5,1,1,"medidas Unfors"),1),INDIRECT(ADDRESS(A45,5,1,1,"medidas Fluke"),1)/1000),"")</f>
        <v/>
      </c>
      <c r="D45" s="1019" t="str">
        <f ca="1">IFERROR(IF(Cabeçalho!$G$28="Unfors",INDIRECT(ADDRESS(A45,7,1,1,"medidas Unfors"),1),INDIRECT(ADDRESS(A45,6,1,1,"medidas Fluke"),1)/1000),"")</f>
        <v/>
      </c>
      <c r="E45" s="1452"/>
      <c r="G45" s="1451"/>
      <c r="H45" s="958" t="str">
        <f ca="1">IFERROR(IF(Cabeçalho!$G$28="Unfors",INDIRECT(ADDRESS(G45,1,1,1,"medidas Unfors"),1),INDIRECT(ADDRESS(G45,1,1,1,"medidas Fluke"),1)),"")</f>
        <v/>
      </c>
      <c r="I45" s="1019" t="str">
        <f ca="1">IFERROR(IF(Cabeçalho!$G$28="Unfors",INDIRECT(ADDRESS(G45,5,1,1,"medidas Unfors"),1),INDIRECT(ADDRESS(G45,5,1,1,"medidas Fluke"),1)/1000),"")</f>
        <v/>
      </c>
      <c r="J45" s="1019" t="str">
        <f ca="1">IFERROR(IF(Cabeçalho!$G$28="Unfors",INDIRECT(ADDRESS(G45,7,1,1,"medidas Unfors"),1),INDIRECT(ADDRESS(G45,6,1,1,"medidas Fluke"),1)/1000),"")</f>
        <v/>
      </c>
      <c r="K45" s="1452"/>
      <c r="AD45" s="215"/>
      <c r="AE45" s="215"/>
      <c r="AF45" s="215"/>
      <c r="AG45" s="215"/>
      <c r="AH45" s="215"/>
      <c r="AI45" s="215"/>
    </row>
    <row r="46" spans="1:35" s="299" customFormat="1" ht="15.75" thickBot="1" x14ac:dyDescent="0.3">
      <c r="A46" s="1672" t="s">
        <v>6</v>
      </c>
      <c r="B46" s="1673" t="e">
        <f ca="1">ROUND((LARGE(B41:B45,1)-SMALL(B41:B45,1))/AVERAGE(B41:B45)*100,1)</f>
        <v>#NUM!</v>
      </c>
      <c r="C46" s="1674" t="e">
        <f ca="1">ROUND((LARGE(C41:C45,1)-SMALL(C41:C45,1))/AVERAGE(C41:C45)*100,1)</f>
        <v>#NUM!</v>
      </c>
      <c r="D46" s="1674" t="e">
        <f ca="1">ROUND((LARGE(D41:D45,1)-SMALL(D41:D45,1))/AVERAGE(D41:D45)*100,1)</f>
        <v>#NUM!</v>
      </c>
      <c r="E46" s="1675" t="s">
        <v>10</v>
      </c>
      <c r="G46" s="1672" t="s">
        <v>6</v>
      </c>
      <c r="H46" s="1673" t="e">
        <f ca="1">ROUND((LARGE(H41:H45,1)-SMALL(H41:H45,1))/AVERAGE(H41:H45)*100,1)</f>
        <v>#NUM!</v>
      </c>
      <c r="I46" s="1674" t="e">
        <f ca="1">ROUND((LARGE(I41:I45,1)-SMALL(I41:I45,1))/AVERAGE(I41:I45)*100,1)</f>
        <v>#NUM!</v>
      </c>
      <c r="J46" s="1674" t="e">
        <f ca="1">ROUND((LARGE(J41:J45,1)-SMALL(J41:J45,1))/AVERAGE(J41:J45)*100,1)</f>
        <v>#NUM!</v>
      </c>
      <c r="K46" s="1675" t="s">
        <v>10</v>
      </c>
      <c r="AD46" s="565"/>
      <c r="AE46" s="565"/>
      <c r="AF46" s="565"/>
      <c r="AG46" s="565"/>
      <c r="AH46" s="565"/>
      <c r="AI46" s="565"/>
    </row>
    <row r="47" spans="1:35" x14ac:dyDescent="0.25">
      <c r="AD47" s="215"/>
      <c r="AE47" s="215"/>
      <c r="AF47" s="215"/>
      <c r="AG47" s="215"/>
      <c r="AH47" s="215"/>
      <c r="AI47" s="215"/>
    </row>
    <row r="48" spans="1:35" x14ac:dyDescent="0.25">
      <c r="H48" s="1407"/>
      <c r="I48" s="1407"/>
      <c r="J48" s="1407"/>
      <c r="K48" s="1407"/>
      <c r="L48" s="1407"/>
      <c r="M48" s="1407"/>
      <c r="N48" s="1407"/>
      <c r="O48" s="1407"/>
      <c r="P48" s="1407"/>
      <c r="U48" s="215"/>
      <c r="V48" s="215"/>
      <c r="W48" s="215"/>
      <c r="X48" s="215"/>
      <c r="Y48" s="215"/>
      <c r="Z48" s="215"/>
      <c r="AA48" s="215"/>
      <c r="AB48" s="215"/>
      <c r="AC48" s="215"/>
      <c r="AD48" s="215"/>
      <c r="AE48" s="215"/>
      <c r="AF48" s="215"/>
      <c r="AG48" s="215"/>
      <c r="AH48" s="215"/>
      <c r="AI48" s="215"/>
    </row>
    <row r="49" spans="1:35" x14ac:dyDescent="0.25">
      <c r="A49" s="2840" t="s">
        <v>1093</v>
      </c>
      <c r="B49" s="2840"/>
      <c r="C49" s="2840"/>
      <c r="D49" s="2840"/>
      <c r="E49" s="2840"/>
      <c r="F49" s="2840"/>
      <c r="G49" s="2840"/>
      <c r="H49" s="2840"/>
      <c r="I49" s="2840"/>
      <c r="J49" s="1407"/>
      <c r="K49" s="1407"/>
      <c r="L49" s="1407"/>
      <c r="M49" s="1407"/>
      <c r="N49" s="1407"/>
      <c r="O49" s="1407"/>
      <c r="P49" s="1407"/>
      <c r="U49" s="215"/>
      <c r="V49" s="215"/>
      <c r="W49" s="215"/>
      <c r="X49" s="215"/>
      <c r="Y49" s="215"/>
      <c r="Z49" s="215"/>
      <c r="AA49" s="215"/>
      <c r="AB49" s="215"/>
      <c r="AC49" s="215"/>
      <c r="AD49" s="215"/>
      <c r="AE49" s="215"/>
      <c r="AF49" s="215"/>
      <c r="AG49" s="215"/>
      <c r="AH49" s="215"/>
      <c r="AI49" s="215"/>
    </row>
    <row r="50" spans="1:35" x14ac:dyDescent="0.25">
      <c r="A50" s="2841" t="s">
        <v>1094</v>
      </c>
      <c r="B50" s="2842"/>
      <c r="C50" s="2842"/>
      <c r="D50" s="2842"/>
      <c r="E50" s="2842"/>
      <c r="F50" s="2842"/>
      <c r="G50" s="2842"/>
      <c r="H50" s="2842"/>
      <c r="J50" s="1407"/>
      <c r="K50" s="1407"/>
      <c r="L50" s="1407"/>
      <c r="M50" s="1407"/>
      <c r="N50" s="1407"/>
      <c r="O50" s="1407"/>
      <c r="P50" s="1407"/>
      <c r="U50" s="215"/>
      <c r="V50" s="215"/>
      <c r="W50" s="215"/>
      <c r="X50" s="215"/>
      <c r="Y50" s="215"/>
      <c r="Z50" s="215"/>
      <c r="AA50" s="215"/>
      <c r="AB50" s="215"/>
      <c r="AC50" s="215"/>
      <c r="AD50" s="215"/>
      <c r="AE50" s="215"/>
      <c r="AF50" s="215"/>
      <c r="AG50" s="215"/>
      <c r="AH50" s="215"/>
      <c r="AI50" s="215"/>
    </row>
    <row r="51" spans="1:35" x14ac:dyDescent="0.25">
      <c r="A51" s="1412" t="s">
        <v>48</v>
      </c>
      <c r="B51" s="400"/>
      <c r="C51" s="400"/>
      <c r="D51" s="400"/>
      <c r="E51" s="400"/>
      <c r="F51" s="400"/>
      <c r="G51" s="400"/>
      <c r="H51" s="400"/>
      <c r="L51" s="1407"/>
      <c r="M51" s="1407"/>
      <c r="N51" s="1407"/>
      <c r="O51" s="1407"/>
      <c r="P51" s="1407"/>
      <c r="U51" s="215"/>
      <c r="V51" s="215"/>
      <c r="W51" s="215"/>
      <c r="X51" s="215"/>
      <c r="Y51" s="215"/>
      <c r="Z51" s="215"/>
      <c r="AA51" s="215"/>
      <c r="AB51" s="215"/>
      <c r="AC51" s="215"/>
      <c r="AD51" s="215"/>
      <c r="AE51" s="215"/>
      <c r="AF51" s="215"/>
      <c r="AG51" s="215"/>
      <c r="AH51" s="215"/>
      <c r="AI51" s="215"/>
    </row>
    <row r="52" spans="1:35" x14ac:dyDescent="0.25">
      <c r="A52" s="1412" t="s">
        <v>5</v>
      </c>
      <c r="B52" s="400"/>
      <c r="C52" s="400"/>
      <c r="D52" s="400"/>
      <c r="E52" s="400"/>
      <c r="F52" s="400"/>
      <c r="G52" s="400"/>
      <c r="H52" s="400"/>
      <c r="J52" s="1407"/>
      <c r="K52" s="1407"/>
      <c r="L52" s="1407"/>
      <c r="M52" s="1407"/>
      <c r="N52" s="1407"/>
      <c r="O52" s="1407"/>
      <c r="P52" s="1407"/>
      <c r="U52" s="215"/>
      <c r="V52" s="215"/>
      <c r="W52" s="215"/>
      <c r="X52" s="215"/>
      <c r="Y52" s="215"/>
      <c r="Z52" s="215"/>
      <c r="AA52" s="215"/>
      <c r="AB52" s="215"/>
      <c r="AC52" s="215"/>
      <c r="AD52" s="215"/>
      <c r="AE52" s="215"/>
      <c r="AF52" s="215"/>
      <c r="AG52" s="215"/>
      <c r="AH52" s="215"/>
      <c r="AI52" s="215"/>
    </row>
    <row r="53" spans="1:35" x14ac:dyDescent="0.25">
      <c r="A53" s="1404" t="s">
        <v>3</v>
      </c>
      <c r="B53" s="849" t="str">
        <f ca="1">IFERROR(IF(Cabeçalho!$G$28="Unfors",INDIRECT(ADDRESS(B52,7,1,1,"medidas Unfors"),1),INDIRECT(ADDRESS(B52,6,1,1,"medidas Fluke"),1)/1000),"")</f>
        <v/>
      </c>
      <c r="C53" s="849" t="str">
        <f ca="1">IFERROR(IF(Cabeçalho!$G$28="Unfors",INDIRECT(ADDRESS(C52,7,1,1,"medidas Unfors"),1),INDIRECT(ADDRESS(C52,6,1,1,"medidas Fluke"),1)/1000),"")</f>
        <v/>
      </c>
      <c r="D53" s="849" t="str">
        <f ca="1">IFERROR(IF(Cabeçalho!$G$28="Unfors",INDIRECT(ADDRESS(D52,7,1,1,"medidas Unfors"),1),INDIRECT(ADDRESS(D52,6,1,1,"medidas Fluke"),1)/1000),"")</f>
        <v/>
      </c>
      <c r="E53" s="849" t="str">
        <f ca="1">IFERROR(IF(Cabeçalho!$G$28="Unfors",INDIRECT(ADDRESS(E52,7,1,1,"medidas Unfors"),1),INDIRECT(ADDRESS(E52,6,1,1,"medidas Fluke"),1)/1000),"")</f>
        <v/>
      </c>
      <c r="F53" s="849" t="str">
        <f ca="1">IFERROR(IF(Cabeçalho!$G$28="Unfors",INDIRECT(ADDRESS(F52,7,1,1,"medidas Unfors"),1),INDIRECT(ADDRESS(F52,6,1,1,"medidas Fluke"),1)/1000),"")</f>
        <v/>
      </c>
      <c r="G53" s="849" t="str">
        <f ca="1">IFERROR(IF(Cabeçalho!$G$28="Unfors",INDIRECT(ADDRESS(G52,7,1,1,"medidas Unfors"),1),INDIRECT(ADDRESS(G52,6,1,1,"medidas Fluke"),1)/1000),"")</f>
        <v/>
      </c>
      <c r="H53" s="849" t="str">
        <f ca="1">IFERROR(IF(Cabeçalho!$G$28="Unfors",INDIRECT(ADDRESS(H52,7,1,1,"medidas Unfors"),1),INDIRECT(ADDRESS(H52,6,1,1,"medidas Fluke"),1)/1000),"")</f>
        <v/>
      </c>
      <c r="J53" s="1407"/>
      <c r="K53" s="1407"/>
      <c r="L53" s="1407"/>
      <c r="M53" s="1407"/>
      <c r="N53" s="1407"/>
      <c r="O53" s="1407"/>
      <c r="P53" s="1407"/>
      <c r="U53" s="215"/>
      <c r="V53" s="215"/>
      <c r="W53" s="215"/>
      <c r="X53" s="215"/>
      <c r="Y53" s="215"/>
      <c r="Z53" s="215"/>
      <c r="AA53" s="215"/>
      <c r="AB53" s="215"/>
      <c r="AC53" s="215"/>
      <c r="AD53" s="215"/>
      <c r="AE53" s="215"/>
      <c r="AF53" s="215"/>
      <c r="AG53" s="215"/>
      <c r="AH53" s="215"/>
      <c r="AI53" s="215"/>
    </row>
    <row r="54" spans="1:35" x14ac:dyDescent="0.25">
      <c r="A54" s="892" t="s">
        <v>22</v>
      </c>
      <c r="B54" s="911" t="e">
        <f t="shared" ref="B54:H54" ca="1" si="2">CONCATENATE(ROUND((B53/B51-1)*100,1)," %")</f>
        <v>#VALUE!</v>
      </c>
      <c r="C54" s="911" t="e">
        <f t="shared" ca="1" si="2"/>
        <v>#VALUE!</v>
      </c>
      <c r="D54" s="911" t="e">
        <f t="shared" ca="1" si="2"/>
        <v>#VALUE!</v>
      </c>
      <c r="E54" s="911" t="e">
        <f t="shared" ca="1" si="2"/>
        <v>#VALUE!</v>
      </c>
      <c r="F54" s="911" t="e">
        <f t="shared" ca="1" si="2"/>
        <v>#VALUE!</v>
      </c>
      <c r="G54" s="911" t="e">
        <f t="shared" ca="1" si="2"/>
        <v>#VALUE!</v>
      </c>
      <c r="H54" s="911" t="e">
        <f t="shared" ca="1" si="2"/>
        <v>#VALUE!</v>
      </c>
      <c r="J54" s="1407"/>
      <c r="K54" s="1407"/>
      <c r="L54" s="1407"/>
      <c r="M54" s="1407"/>
      <c r="N54" s="1407"/>
      <c r="O54" s="1407"/>
      <c r="P54" s="1407"/>
      <c r="Q54" s="1407"/>
      <c r="R54" s="1407"/>
      <c r="S54" s="215"/>
      <c r="T54" s="215"/>
      <c r="U54" s="215"/>
      <c r="V54" s="215"/>
      <c r="W54" s="215"/>
      <c r="X54" s="215"/>
      <c r="Y54" s="215"/>
      <c r="Z54" s="215"/>
      <c r="AA54" s="215"/>
      <c r="AB54" s="215"/>
      <c r="AC54" s="215"/>
      <c r="AD54" s="215"/>
      <c r="AE54" s="215"/>
      <c r="AF54" s="215"/>
      <c r="AG54" s="215"/>
      <c r="AH54" s="215"/>
      <c r="AI54" s="215"/>
    </row>
    <row r="55" spans="1:35" x14ac:dyDescent="0.25">
      <c r="J55" s="1407"/>
      <c r="K55" s="1407"/>
      <c r="L55" s="1407"/>
      <c r="M55" s="1407"/>
      <c r="N55" s="1407"/>
      <c r="O55" s="1407"/>
      <c r="P55" s="1407"/>
      <c r="Q55" s="1407"/>
      <c r="R55" s="1407"/>
      <c r="S55" s="215"/>
      <c r="T55" s="215"/>
      <c r="U55" s="215"/>
      <c r="V55" s="215"/>
      <c r="W55" s="215"/>
      <c r="X55" s="215"/>
      <c r="Y55" s="215"/>
      <c r="Z55" s="215"/>
      <c r="AA55" s="215"/>
      <c r="AB55" s="215"/>
      <c r="AC55" s="215"/>
      <c r="AD55" s="215"/>
      <c r="AE55" s="215"/>
      <c r="AF55" s="215"/>
      <c r="AG55" s="215"/>
      <c r="AH55" s="215"/>
      <c r="AI55" s="215"/>
    </row>
    <row r="56" spans="1:35" x14ac:dyDescent="0.25">
      <c r="A56" s="2841" t="s">
        <v>1095</v>
      </c>
      <c r="B56" s="2842"/>
      <c r="C56" s="2842"/>
      <c r="D56" s="2842"/>
      <c r="E56" s="2842"/>
      <c r="F56" s="2842"/>
      <c r="G56" s="2842"/>
      <c r="H56" s="2842"/>
      <c r="J56" s="1407"/>
      <c r="K56" s="1407"/>
      <c r="L56" s="1407"/>
      <c r="M56" s="1407"/>
      <c r="N56" s="1407"/>
      <c r="O56" s="1407"/>
      <c r="P56" s="1407"/>
      <c r="Q56" s="1407"/>
      <c r="R56" s="1407"/>
      <c r="S56" s="215"/>
      <c r="T56" s="215"/>
      <c r="U56" s="215"/>
      <c r="V56" s="215"/>
      <c r="W56" s="215"/>
      <c r="X56" s="215"/>
      <c r="Y56" s="215"/>
      <c r="Z56" s="215"/>
      <c r="AA56" s="215"/>
      <c r="AB56" s="215"/>
      <c r="AC56" s="215"/>
      <c r="AD56" s="215"/>
      <c r="AE56" s="215"/>
      <c r="AF56" s="215"/>
      <c r="AG56" s="215"/>
      <c r="AH56" s="215"/>
      <c r="AI56" s="215"/>
    </row>
    <row r="57" spans="1:35" x14ac:dyDescent="0.25">
      <c r="A57" s="1412" t="s">
        <v>48</v>
      </c>
      <c r="B57" s="400"/>
      <c r="C57" s="400"/>
      <c r="D57" s="400"/>
      <c r="E57" s="400"/>
      <c r="F57" s="400"/>
      <c r="G57" s="400"/>
      <c r="H57" s="400"/>
      <c r="J57" s="1407"/>
      <c r="K57" s="1407"/>
      <c r="L57" s="1407"/>
      <c r="M57" s="1407"/>
      <c r="N57" s="1407"/>
      <c r="O57" s="1407"/>
      <c r="P57" s="1407"/>
      <c r="Q57" s="1407"/>
      <c r="R57" s="1407"/>
      <c r="S57" s="215"/>
      <c r="T57" s="215"/>
      <c r="U57" s="215"/>
      <c r="V57" s="215"/>
      <c r="W57" s="215"/>
      <c r="X57" s="215"/>
      <c r="Y57" s="215"/>
      <c r="Z57" s="215"/>
      <c r="AA57" s="215"/>
      <c r="AB57" s="215"/>
      <c r="AC57" s="215"/>
      <c r="AD57" s="215"/>
      <c r="AE57" s="215"/>
      <c r="AF57" s="215"/>
      <c r="AG57" s="215"/>
      <c r="AH57" s="215"/>
      <c r="AI57" s="215"/>
    </row>
    <row r="58" spans="1:35" x14ac:dyDescent="0.25">
      <c r="A58" s="1412" t="s">
        <v>5</v>
      </c>
      <c r="B58" s="400"/>
      <c r="C58" s="400"/>
      <c r="D58" s="400"/>
      <c r="E58" s="400"/>
      <c r="F58" s="400"/>
      <c r="G58" s="400"/>
      <c r="H58" s="400"/>
      <c r="J58" s="1407"/>
      <c r="K58" s="1407"/>
      <c r="L58" s="1407"/>
      <c r="M58" s="1407"/>
      <c r="N58" s="1407"/>
      <c r="O58" s="1407"/>
      <c r="P58" s="1407"/>
      <c r="Q58" s="1407"/>
      <c r="R58" s="1407"/>
      <c r="S58" s="215"/>
      <c r="T58" s="215"/>
      <c r="U58" s="215"/>
      <c r="V58" s="215"/>
      <c r="W58" s="215"/>
      <c r="X58" s="215"/>
      <c r="Y58" s="215"/>
      <c r="Z58" s="215"/>
      <c r="AA58" s="215"/>
      <c r="AB58" s="215"/>
      <c r="AC58" s="215"/>
      <c r="AD58" s="215"/>
      <c r="AE58" s="215"/>
      <c r="AF58" s="215"/>
      <c r="AG58" s="215"/>
      <c r="AH58" s="215"/>
      <c r="AI58" s="215"/>
    </row>
    <row r="59" spans="1:35" x14ac:dyDescent="0.25">
      <c r="A59" s="1404" t="s">
        <v>3</v>
      </c>
      <c r="B59" s="849" t="str">
        <f ca="1">IFERROR(IF(Cabeçalho!$G$28="Unfors",INDIRECT(ADDRESS(B58,7,1,1,"medidas Unfors"),1),INDIRECT(ADDRESS(B58,6,1,1,"medidas Fluke"),1)/1000),"")</f>
        <v/>
      </c>
      <c r="C59" s="849" t="str">
        <f ca="1">IFERROR(IF(Cabeçalho!$G$28="Unfors",INDIRECT(ADDRESS(C58,7,1,1,"medidas Unfors"),1),INDIRECT(ADDRESS(C58,6,1,1,"medidas Fluke"),1)/1000),"")</f>
        <v/>
      </c>
      <c r="D59" s="849" t="str">
        <f ca="1">IFERROR(IF(Cabeçalho!$G$28="Unfors",INDIRECT(ADDRESS(D58,7,1,1,"medidas Unfors"),1),INDIRECT(ADDRESS(D58,6,1,1,"medidas Fluke"),1)/1000),"")</f>
        <v/>
      </c>
      <c r="E59" s="849" t="str">
        <f ca="1">IFERROR(IF(Cabeçalho!$G$28="Unfors",INDIRECT(ADDRESS(E58,7,1,1,"medidas Unfors"),1),INDIRECT(ADDRESS(E58,6,1,1,"medidas Fluke"),1)/1000),"")</f>
        <v/>
      </c>
      <c r="F59" s="849" t="str">
        <f ca="1">IFERROR(IF(Cabeçalho!$G$28="Unfors",INDIRECT(ADDRESS(F58,7,1,1,"medidas Unfors"),1),INDIRECT(ADDRESS(F58,6,1,1,"medidas Fluke"),1)/1000),"")</f>
        <v/>
      </c>
      <c r="G59" s="849" t="str">
        <f ca="1">IFERROR(IF(Cabeçalho!$G$28="Unfors",INDIRECT(ADDRESS(G58,7,1,1,"medidas Unfors"),1),INDIRECT(ADDRESS(G58,6,1,1,"medidas Fluke"),1)/1000),"")</f>
        <v/>
      </c>
      <c r="H59" s="849" t="str">
        <f ca="1">IFERROR(IF(Cabeçalho!$G$28="Unfors",INDIRECT(ADDRESS(H58,7,1,1,"medidas Unfors"),1),INDIRECT(ADDRESS(H58,6,1,1,"medidas Fluke"),1)/1000),"")</f>
        <v/>
      </c>
      <c r="I59" s="1407"/>
      <c r="J59" s="1407"/>
      <c r="K59" s="1407"/>
      <c r="L59" s="1407"/>
      <c r="M59" s="1407"/>
      <c r="N59" s="1407"/>
      <c r="O59" s="1407"/>
      <c r="P59" s="1407"/>
      <c r="Q59" s="1407"/>
      <c r="R59" s="1407"/>
      <c r="S59" s="215"/>
      <c r="T59" s="215"/>
      <c r="U59" s="215"/>
      <c r="V59" s="215"/>
      <c r="W59" s="215"/>
      <c r="X59" s="215"/>
      <c r="Y59" s="215"/>
      <c r="Z59" s="215"/>
      <c r="AA59" s="215"/>
      <c r="AB59" s="215"/>
      <c r="AC59" s="215"/>
      <c r="AD59" s="215"/>
      <c r="AE59" s="215"/>
      <c r="AF59" s="215"/>
      <c r="AG59" s="215"/>
      <c r="AH59" s="215"/>
      <c r="AI59" s="215"/>
    </row>
    <row r="60" spans="1:35" x14ac:dyDescent="0.25">
      <c r="A60" s="892" t="s">
        <v>22</v>
      </c>
      <c r="B60" s="911" t="e">
        <f t="shared" ref="B60:H60" ca="1" si="3">CONCATENATE(ROUND((B59/B57-1)*100,1)," %")</f>
        <v>#VALUE!</v>
      </c>
      <c r="C60" s="911" t="e">
        <f t="shared" ca="1" si="3"/>
        <v>#VALUE!</v>
      </c>
      <c r="D60" s="911" t="e">
        <f t="shared" ca="1" si="3"/>
        <v>#VALUE!</v>
      </c>
      <c r="E60" s="911" t="e">
        <f t="shared" ca="1" si="3"/>
        <v>#VALUE!</v>
      </c>
      <c r="F60" s="911" t="e">
        <f t="shared" ca="1" si="3"/>
        <v>#VALUE!</v>
      </c>
      <c r="G60" s="911" t="e">
        <f t="shared" ca="1" si="3"/>
        <v>#VALUE!</v>
      </c>
      <c r="H60" s="911" t="e">
        <f t="shared" ca="1" si="3"/>
        <v>#VALUE!</v>
      </c>
      <c r="L60" s="215"/>
      <c r="M60" s="215"/>
      <c r="N60" s="215"/>
      <c r="O60" s="1407"/>
      <c r="P60" s="1407"/>
      <c r="Q60" s="1407"/>
      <c r="R60" s="1407"/>
      <c r="S60" s="215"/>
      <c r="T60" s="215"/>
      <c r="U60" s="215"/>
      <c r="V60" s="215"/>
      <c r="W60" s="215"/>
      <c r="X60" s="215"/>
      <c r="Y60" s="215"/>
      <c r="Z60" s="215"/>
      <c r="AA60" s="215"/>
      <c r="AB60" s="215"/>
      <c r="AC60" s="215"/>
      <c r="AD60" s="215"/>
      <c r="AE60" s="215"/>
      <c r="AF60" s="215"/>
      <c r="AG60" s="215"/>
      <c r="AH60" s="215"/>
      <c r="AI60" s="215"/>
    </row>
    <row r="61" spans="1:35" x14ac:dyDescent="0.25">
      <c r="A61" s="848"/>
      <c r="B61" s="958"/>
      <c r="C61" s="958"/>
      <c r="D61" s="958"/>
      <c r="E61" s="958"/>
      <c r="F61" s="958"/>
      <c r="G61" s="958"/>
      <c r="H61" s="958"/>
      <c r="L61" s="215"/>
      <c r="M61" s="215"/>
      <c r="N61" s="215"/>
      <c r="O61" s="1407"/>
      <c r="P61" s="1407"/>
      <c r="Q61" s="1407"/>
      <c r="R61" s="1407"/>
      <c r="S61" s="215"/>
      <c r="T61" s="215"/>
      <c r="U61" s="215"/>
      <c r="V61" s="215"/>
      <c r="W61" s="215"/>
      <c r="X61" s="215"/>
      <c r="Y61" s="215"/>
      <c r="Z61" s="215"/>
      <c r="AA61" s="215"/>
      <c r="AB61" s="215"/>
      <c r="AC61" s="215"/>
      <c r="AD61" s="215"/>
      <c r="AE61" s="215"/>
      <c r="AF61" s="215"/>
      <c r="AG61" s="215"/>
      <c r="AH61" s="215"/>
      <c r="AI61" s="215"/>
    </row>
    <row r="62" spans="1:35" ht="15.75" thickBot="1" x14ac:dyDescent="0.3">
      <c r="L62" s="215"/>
      <c r="M62" s="215"/>
      <c r="N62" s="215"/>
      <c r="O62" s="1407"/>
      <c r="P62" s="1407"/>
      <c r="Q62" s="1407"/>
      <c r="R62" s="1407"/>
      <c r="S62" s="215"/>
      <c r="T62" s="215"/>
      <c r="U62" s="215"/>
      <c r="V62" s="215"/>
      <c r="W62" s="215"/>
      <c r="X62" s="215"/>
      <c r="Y62" s="215"/>
      <c r="Z62" s="215"/>
      <c r="AA62" s="215"/>
      <c r="AB62" s="215"/>
      <c r="AC62" s="215"/>
      <c r="AD62" s="215"/>
      <c r="AE62" s="215"/>
      <c r="AF62" s="215"/>
      <c r="AG62" s="215"/>
      <c r="AH62" s="215"/>
      <c r="AI62" s="215"/>
    </row>
    <row r="63" spans="1:35" x14ac:dyDescent="0.25">
      <c r="A63" s="2828" t="s">
        <v>298</v>
      </c>
      <c r="B63" s="2829"/>
      <c r="C63" s="2829"/>
      <c r="D63" s="2830"/>
      <c r="E63" s="1453" t="s">
        <v>1380</v>
      </c>
      <c r="I63" s="215"/>
      <c r="J63" s="215"/>
      <c r="K63" s="215"/>
      <c r="L63" s="215"/>
      <c r="M63" s="215"/>
      <c r="N63" s="215"/>
      <c r="O63" s="215"/>
      <c r="P63" s="215"/>
      <c r="Q63" s="215"/>
      <c r="R63" s="215"/>
      <c r="S63" s="215"/>
      <c r="T63" s="215"/>
      <c r="U63" s="215"/>
      <c r="V63" s="215"/>
      <c r="W63" s="215"/>
      <c r="X63" s="215"/>
      <c r="Y63" s="215"/>
      <c r="Z63" s="215"/>
      <c r="AA63" s="215"/>
      <c r="AB63" s="215"/>
      <c r="AC63" s="215"/>
      <c r="AD63" s="215"/>
      <c r="AE63" s="215"/>
      <c r="AF63" s="215"/>
      <c r="AG63" s="215"/>
      <c r="AH63" s="215"/>
      <c r="AI63" s="215"/>
    </row>
    <row r="64" spans="1:35" x14ac:dyDescent="0.25">
      <c r="A64" s="2715" t="s">
        <v>694</v>
      </c>
      <c r="B64" s="2715"/>
      <c r="C64" s="2715"/>
      <c r="D64" s="1641" t="s">
        <v>142</v>
      </c>
      <c r="I64" s="215"/>
      <c r="J64" s="215"/>
      <c r="K64" s="215"/>
      <c r="L64" s="215"/>
      <c r="M64" s="215"/>
      <c r="N64" s="215"/>
      <c r="O64" s="215"/>
      <c r="P64" s="215"/>
      <c r="Q64" s="215"/>
      <c r="R64" s="215"/>
      <c r="S64" s="215"/>
      <c r="T64" s="215"/>
      <c r="U64" s="215"/>
      <c r="V64" s="215"/>
      <c r="W64" s="215"/>
      <c r="X64" s="215"/>
      <c r="Y64" s="215"/>
      <c r="Z64" s="215"/>
      <c r="AA64" s="215"/>
      <c r="AB64" s="215"/>
      <c r="AC64" s="215"/>
      <c r="AD64" s="215"/>
      <c r="AE64" s="215"/>
      <c r="AF64" s="215"/>
      <c r="AG64" s="215"/>
      <c r="AH64" s="215"/>
      <c r="AI64" s="215"/>
    </row>
    <row r="65" spans="1:35" ht="15.75" thickBot="1" x14ac:dyDescent="0.3"/>
    <row r="66" spans="1:35" ht="15.75" thickBot="1" x14ac:dyDescent="0.3">
      <c r="A66" s="2687" t="s">
        <v>1038</v>
      </c>
      <c r="B66" s="2688"/>
      <c r="C66" s="2688"/>
      <c r="D66" s="2688"/>
      <c r="E66" s="2688"/>
      <c r="F66" s="1454"/>
      <c r="G66" s="1455"/>
    </row>
    <row r="67" spans="1:35" x14ac:dyDescent="0.25">
      <c r="A67" s="2846" t="s">
        <v>1094</v>
      </c>
      <c r="B67" s="2846"/>
      <c r="C67" s="2846"/>
      <c r="E67" s="2847" t="s">
        <v>1095</v>
      </c>
      <c r="F67" s="2847"/>
      <c r="G67" s="2847"/>
    </row>
    <row r="68" spans="1:35" x14ac:dyDescent="0.25">
      <c r="A68" s="1456" t="s">
        <v>541</v>
      </c>
      <c r="B68" s="400"/>
      <c r="C68" s="1457" t="s">
        <v>546</v>
      </c>
      <c r="D68" s="215"/>
      <c r="E68" s="1456" t="s">
        <v>541</v>
      </c>
      <c r="F68" s="400"/>
      <c r="G68" s="1457" t="s">
        <v>546</v>
      </c>
      <c r="H68" s="215"/>
    </row>
    <row r="69" spans="1:35" x14ac:dyDescent="0.25">
      <c r="A69" s="1456" t="s">
        <v>542</v>
      </c>
      <c r="B69" s="400"/>
      <c r="C69" s="1177" t="e">
        <f>ABS(B69/B68-1)</f>
        <v>#DIV/0!</v>
      </c>
      <c r="D69" s="215"/>
      <c r="E69" s="1456" t="s">
        <v>542</v>
      </c>
      <c r="F69" s="400"/>
      <c r="G69" s="1177" t="e">
        <f>ABS(F69/F68-1)</f>
        <v>#DIV/0!</v>
      </c>
      <c r="H69" s="215"/>
    </row>
    <row r="70" spans="1:35" x14ac:dyDescent="0.25">
      <c r="A70" s="1456" t="s">
        <v>543</v>
      </c>
      <c r="B70" s="400"/>
      <c r="C70" s="1177" t="e">
        <f>ABS(B70/B68-1)</f>
        <v>#DIV/0!</v>
      </c>
      <c r="D70" s="215"/>
      <c r="E70" s="1456" t="s">
        <v>543</v>
      </c>
      <c r="F70" s="400"/>
      <c r="G70" s="1177" t="e">
        <f>ABS(F70/F68-1)</f>
        <v>#DIV/0!</v>
      </c>
      <c r="H70" s="215"/>
    </row>
    <row r="71" spans="1:35" x14ac:dyDescent="0.25">
      <c r="A71" s="1456" t="s">
        <v>544</v>
      </c>
      <c r="B71" s="400"/>
      <c r="C71" s="1177" t="e">
        <f>ABS(B71/B68-1)</f>
        <v>#DIV/0!</v>
      </c>
      <c r="D71" s="215"/>
      <c r="E71" s="1456" t="s">
        <v>544</v>
      </c>
      <c r="F71" s="400"/>
      <c r="G71" s="1177" t="e">
        <f>ABS(F71/F68-1)</f>
        <v>#DIV/0!</v>
      </c>
      <c r="H71" s="215"/>
    </row>
    <row r="72" spans="1:35" x14ac:dyDescent="0.25">
      <c r="A72" s="1456" t="s">
        <v>545</v>
      </c>
      <c r="B72" s="400"/>
      <c r="C72" s="1177" t="e">
        <f>ABS(B72/B68-1)</f>
        <v>#DIV/0!</v>
      </c>
      <c r="D72" s="215"/>
      <c r="E72" s="1456" t="s">
        <v>545</v>
      </c>
      <c r="F72" s="400"/>
      <c r="G72" s="1177" t="e">
        <f>ABS(F72/F68-1)</f>
        <v>#DIV/0!</v>
      </c>
      <c r="H72" s="215"/>
    </row>
    <row r="73" spans="1:35" x14ac:dyDescent="0.25">
      <c r="A73" s="705"/>
      <c r="D73" s="955"/>
      <c r="E73" s="705"/>
      <c r="H73" s="955"/>
    </row>
    <row r="74" spans="1:35" ht="15.75" x14ac:dyDescent="0.25">
      <c r="B74" s="1458" t="str">
        <f>IF(Cabeçalho!G20="DR",ROUND(LARGE(C69:C72,1),3),"NA")</f>
        <v>NA</v>
      </c>
      <c r="C74" s="1459" t="str">
        <f>IF(Cabeçalho!G20="DR",IFERROR(IF(B74&gt;0.2,"Restrição",IF(B74&gt;0.1,"Não","Sim")),"NPA"),"NA")</f>
        <v>NA</v>
      </c>
      <c r="F74" s="1458" t="str">
        <f>IF(Cabeçalho!G20="DR",ROUND(LARGE(G69:G72,1),3),"NA")</f>
        <v>NA</v>
      </c>
      <c r="G74" s="1459" t="str">
        <f>IF(Cabeçalho!G20="DR",IFERROR(IF(F74&gt;0.2,"Restrição",IF(F74&gt;0.1,"Não","Sim")),"NPA"),"NA")</f>
        <v>NA</v>
      </c>
    </row>
    <row r="75" spans="1:35" x14ac:dyDescent="0.25">
      <c r="A75" s="225"/>
      <c r="B75" s="225"/>
      <c r="C75" s="225"/>
      <c r="D75" s="225"/>
      <c r="E75" s="225"/>
      <c r="F75" s="225"/>
      <c r="G75" s="225"/>
      <c r="H75" s="215"/>
      <c r="I75" s="215"/>
      <c r="J75" s="215"/>
      <c r="K75" s="215"/>
      <c r="L75" s="215"/>
      <c r="M75" s="215"/>
      <c r="N75" s="215"/>
      <c r="O75" s="215"/>
      <c r="P75" s="215"/>
      <c r="Q75" s="215"/>
      <c r="R75" s="215"/>
      <c r="S75" s="215"/>
      <c r="T75" s="215"/>
      <c r="U75" s="215"/>
      <c r="V75" s="215"/>
      <c r="W75" s="215"/>
      <c r="X75" s="215"/>
      <c r="Y75" s="215"/>
      <c r="Z75" s="215"/>
      <c r="AA75" s="215"/>
      <c r="AB75" s="215"/>
      <c r="AC75" s="215"/>
      <c r="AD75" s="215"/>
      <c r="AE75" s="215"/>
      <c r="AF75" s="215"/>
      <c r="AG75" s="215"/>
      <c r="AH75" s="215"/>
      <c r="AI75" s="215"/>
    </row>
    <row r="76" spans="1:35" ht="15.75" thickBot="1" x14ac:dyDescent="0.3">
      <c r="A76" s="225"/>
      <c r="B76" s="225"/>
      <c r="C76" s="225"/>
      <c r="D76" s="225"/>
      <c r="E76" s="225"/>
      <c r="F76" s="225"/>
      <c r="G76" s="225"/>
      <c r="H76" s="215"/>
      <c r="I76" s="215"/>
      <c r="J76" s="215"/>
      <c r="K76" s="215"/>
      <c r="L76" s="215"/>
      <c r="M76" s="215"/>
      <c r="N76" s="215"/>
      <c r="O76" s="215"/>
      <c r="P76" s="215"/>
      <c r="Q76" s="215"/>
      <c r="R76" s="215"/>
      <c r="S76" s="215"/>
      <c r="T76" s="215"/>
      <c r="U76" s="215"/>
      <c r="V76" s="215"/>
      <c r="W76" s="215"/>
      <c r="X76" s="215"/>
      <c r="Y76" s="215"/>
      <c r="Z76" s="215"/>
      <c r="AA76" s="215"/>
      <c r="AB76" s="215"/>
      <c r="AC76" s="215"/>
      <c r="AD76" s="215"/>
      <c r="AE76" s="215"/>
      <c r="AF76" s="215"/>
      <c r="AG76" s="215"/>
      <c r="AH76" s="215"/>
      <c r="AI76" s="215"/>
    </row>
    <row r="77" spans="1:35" ht="15.75" thickBot="1" x14ac:dyDescent="0.3">
      <c r="A77" s="2687" t="s">
        <v>1096</v>
      </c>
      <c r="B77" s="2688"/>
      <c r="C77" s="2688"/>
      <c r="D77" s="2688"/>
      <c r="E77" s="2688"/>
      <c r="F77" s="2689"/>
    </row>
    <row r="78" spans="1:35" ht="28.5" customHeight="1" x14ac:dyDescent="0.25">
      <c r="A78" s="2843" t="s">
        <v>1097</v>
      </c>
      <c r="B78" s="2844"/>
      <c r="C78" s="1460"/>
      <c r="D78" s="1460"/>
    </row>
    <row r="79" spans="1:35" x14ac:dyDescent="0.25">
      <c r="A79" s="1461" t="s">
        <v>0</v>
      </c>
      <c r="B79" s="1462"/>
      <c r="C79" s="1463"/>
      <c r="D79" s="1463"/>
    </row>
    <row r="80" spans="1:35" x14ac:dyDescent="0.25">
      <c r="A80" s="1461" t="s">
        <v>13</v>
      </c>
      <c r="B80" s="1462"/>
      <c r="C80" s="1463"/>
      <c r="D80" s="1463"/>
    </row>
    <row r="81" spans="1:35" ht="15.75" thickBot="1" x14ac:dyDescent="0.3">
      <c r="A81" s="1464" t="s">
        <v>3</v>
      </c>
      <c r="B81" s="1465"/>
      <c r="C81" s="1463"/>
      <c r="D81" s="1463"/>
    </row>
    <row r="82" spans="1:35" s="1466" customFormat="1" x14ac:dyDescent="0.25"/>
    <row r="83" spans="1:35" s="1466" customFormat="1" x14ac:dyDescent="0.25">
      <c r="A83" s="1467" t="s">
        <v>1269</v>
      </c>
    </row>
    <row r="84" spans="1:35" s="1466" customFormat="1" x14ac:dyDescent="0.25">
      <c r="A84" s="2839" t="s">
        <v>1268</v>
      </c>
      <c r="B84" s="2839"/>
      <c r="C84" s="2839"/>
      <c r="D84" s="2839"/>
      <c r="F84" s="1031"/>
      <c r="G84" s="1031"/>
      <c r="H84" s="1031"/>
    </row>
    <row r="85" spans="1:35" s="1466" customFormat="1" x14ac:dyDescent="0.25">
      <c r="A85" s="1031"/>
      <c r="B85" s="1031"/>
      <c r="F85" s="1031"/>
      <c r="G85" s="1031"/>
      <c r="H85" s="1031"/>
    </row>
    <row r="86" spans="1:35" s="1466" customFormat="1" x14ac:dyDescent="0.25">
      <c r="A86" s="2832" t="s">
        <v>1636</v>
      </c>
      <c r="B86" s="2832"/>
      <c r="C86" s="2833"/>
      <c r="D86" s="400" t="s">
        <v>1637</v>
      </c>
      <c r="E86" s="400" t="s">
        <v>1266</v>
      </c>
      <c r="F86" s="1031"/>
      <c r="G86" s="1031"/>
      <c r="H86" s="1031"/>
    </row>
    <row r="87" spans="1:35" s="1466" customFormat="1" x14ac:dyDescent="0.25">
      <c r="A87" s="2832" t="s">
        <v>1636</v>
      </c>
      <c r="B87" s="2832"/>
      <c r="C87" s="2833"/>
      <c r="D87" s="400" t="s">
        <v>1261</v>
      </c>
      <c r="E87" s="400" t="s">
        <v>1266</v>
      </c>
      <c r="F87" s="1031"/>
      <c r="G87" s="1031"/>
      <c r="H87" s="1031"/>
    </row>
    <row r="88" spans="1:35" s="1466" customFormat="1" x14ac:dyDescent="0.25">
      <c r="A88" s="2831" t="s">
        <v>1271</v>
      </c>
      <c r="B88" s="2831"/>
      <c r="C88" s="2831"/>
      <c r="D88" s="701"/>
      <c r="E88" s="400" t="s">
        <v>1266</v>
      </c>
      <c r="F88" s="1031"/>
      <c r="G88" s="1031"/>
      <c r="H88" s="1031"/>
    </row>
    <row r="89" spans="1:35" s="1466" customFormat="1" x14ac:dyDescent="0.25">
      <c r="A89" s="1617"/>
      <c r="B89" s="1618"/>
      <c r="C89" s="1615" t="s">
        <v>1270</v>
      </c>
      <c r="D89" s="1468"/>
      <c r="E89" s="400"/>
      <c r="F89" s="1466" t="s">
        <v>1267</v>
      </c>
      <c r="G89" s="1031"/>
      <c r="H89" s="1031"/>
    </row>
    <row r="90" spans="1:35" x14ac:dyDescent="0.25">
      <c r="A90" s="1469"/>
      <c r="B90" s="1463"/>
      <c r="C90" s="1463"/>
      <c r="D90" s="1463"/>
    </row>
    <row r="91" spans="1:35" x14ac:dyDescent="0.25">
      <c r="A91" s="2845" t="str">
        <f>D87</f>
        <v>Ar</v>
      </c>
      <c r="B91" s="2845"/>
      <c r="C91" s="1409"/>
      <c r="O91" s="215"/>
      <c r="P91" s="215"/>
      <c r="Q91" s="215"/>
      <c r="R91" s="215"/>
      <c r="S91" s="215"/>
      <c r="T91" s="215"/>
      <c r="U91" s="215"/>
      <c r="V91" s="215"/>
      <c r="W91" s="215"/>
      <c r="X91" s="215"/>
      <c r="Y91" s="215"/>
      <c r="Z91" s="215"/>
      <c r="AA91" s="215"/>
      <c r="AB91" s="215"/>
      <c r="AC91" s="215"/>
      <c r="AD91" s="215"/>
      <c r="AE91" s="215"/>
      <c r="AF91" s="215"/>
      <c r="AG91" s="215"/>
      <c r="AH91" s="215"/>
      <c r="AI91" s="215"/>
    </row>
    <row r="92" spans="1:35" x14ac:dyDescent="0.25">
      <c r="A92" s="1470" t="s">
        <v>56</v>
      </c>
      <c r="B92" s="400"/>
      <c r="C92" s="1471" t="str">
        <f>IF(D64="Não possui","NA",IFERROR(IF(ABS(B92/E87-1)&gt;0.2,"Restrição",IF(ABS(B92/E87-1)&gt;0.1,"Não","Sim")),"NPA"))</f>
        <v>NPA</v>
      </c>
      <c r="D92" s="700" t="s">
        <v>510</v>
      </c>
    </row>
    <row r="93" spans="1:35" x14ac:dyDescent="0.25">
      <c r="A93" s="1470" t="s">
        <v>57</v>
      </c>
      <c r="B93" s="400"/>
      <c r="C93" s="152"/>
    </row>
    <row r="94" spans="1:35" x14ac:dyDescent="0.25">
      <c r="C94" s="152"/>
    </row>
    <row r="95" spans="1:35" x14ac:dyDescent="0.25">
      <c r="A95" s="2845" t="str">
        <f>D86</f>
        <v>PMMA</v>
      </c>
      <c r="B95" s="2845"/>
      <c r="C95" s="152"/>
    </row>
    <row r="96" spans="1:35" x14ac:dyDescent="0.25">
      <c r="A96" s="1470" t="s">
        <v>56</v>
      </c>
      <c r="B96" s="400"/>
      <c r="C96" s="1471" t="str">
        <f>IF(D64="Não possui","NA",IFERROR(IF(ABS(B96/E86-1)&gt;0.2,"Restrição",IF(ABS(B96/E86-1)&gt;0.1,"Não","Sim")),"NPA"))</f>
        <v>NPA</v>
      </c>
      <c r="D96" s="700" t="s">
        <v>510</v>
      </c>
    </row>
    <row r="97" spans="1:36" x14ac:dyDescent="0.25">
      <c r="A97" s="1470" t="s">
        <v>57</v>
      </c>
      <c r="B97" s="400"/>
      <c r="C97" s="1471" t="str">
        <f>IF(D64="Não possui","NA",IFERROR(IF(ABS((B97/E89-1))&gt;0.2,"Restrição",IF(ABS((B97/E89-1))&gt;0.15,"Não","Sim")),"NPA"))</f>
        <v>NPA</v>
      </c>
      <c r="D97" s="700" t="s">
        <v>509</v>
      </c>
    </row>
    <row r="98" spans="1:36" x14ac:dyDescent="0.25">
      <c r="A98" s="1470" t="s">
        <v>58</v>
      </c>
      <c r="B98" s="400"/>
      <c r="C98" s="1409"/>
    </row>
    <row r="99" spans="1:36" x14ac:dyDescent="0.25">
      <c r="A99" s="1470" t="s">
        <v>59</v>
      </c>
      <c r="B99" s="400"/>
      <c r="F99" s="152" t="e">
        <f>ABS(LARGE(B98:B101,1))</f>
        <v>#NUM!</v>
      </c>
    </row>
    <row r="100" spans="1:36" x14ac:dyDescent="0.25">
      <c r="A100" s="1470" t="s">
        <v>60</v>
      </c>
      <c r="B100" s="400"/>
      <c r="D100" s="1413" t="s">
        <v>62</v>
      </c>
      <c r="F100" s="152" t="e">
        <f>ABS(SMALL(B98:B101,1))</f>
        <v>#NUM!</v>
      </c>
    </row>
    <row r="101" spans="1:36" x14ac:dyDescent="0.25">
      <c r="A101" s="1470" t="s">
        <v>61</v>
      </c>
      <c r="B101" s="400"/>
      <c r="D101" s="1471" t="str">
        <f>IF(D64="Não possui","NA",IFERROR(IF(ABS((F101/E88-1))&gt;0.2,"Restrição",IF(ABS((F101/E88-1))&gt;0.1,"Não","Sim")),"NPA"))</f>
        <v>NPA</v>
      </c>
      <c r="F101" s="152" t="e">
        <f>LARGE(F99:F100,1)-B96</f>
        <v>#NUM!</v>
      </c>
    </row>
    <row r="103" spans="1:36" ht="15.75" thickBot="1" x14ac:dyDescent="0.3"/>
    <row r="104" spans="1:36" ht="15.75" thickBot="1" x14ac:dyDescent="0.3">
      <c r="A104" s="2687" t="s">
        <v>1702</v>
      </c>
      <c r="B104" s="2688"/>
      <c r="C104" s="2688"/>
      <c r="D104" s="2688"/>
      <c r="E104" s="2688"/>
      <c r="F104" s="2688"/>
      <c r="G104" s="2689"/>
    </row>
    <row r="106" spans="1:36" x14ac:dyDescent="0.25">
      <c r="A106" s="2848" t="s">
        <v>1795</v>
      </c>
      <c r="B106" s="2849"/>
      <c r="C106" s="400" t="s">
        <v>142</v>
      </c>
      <c r="H106" s="1466"/>
      <c r="I106" s="1466"/>
      <c r="J106" s="1466"/>
      <c r="K106" s="1466"/>
      <c r="L106" s="1466"/>
      <c r="M106" s="1466"/>
      <c r="N106" s="1466"/>
      <c r="O106" s="1466"/>
      <c r="P106" s="1466"/>
      <c r="Q106" s="1466"/>
      <c r="R106" s="1466"/>
      <c r="S106" s="1466"/>
      <c r="T106" s="1466"/>
      <c r="U106" s="1466"/>
      <c r="V106" s="1466"/>
      <c r="W106" s="1466"/>
      <c r="X106" s="1466"/>
      <c r="Y106" s="1466"/>
      <c r="Z106" s="1466"/>
      <c r="AA106" s="1466"/>
      <c r="AB106" s="1466"/>
      <c r="AC106" s="1466"/>
      <c r="AD106" s="1466"/>
      <c r="AE106" s="1466"/>
      <c r="AF106" s="1466"/>
      <c r="AG106" s="1466"/>
      <c r="AH106" s="1466"/>
      <c r="AI106" s="1466"/>
      <c r="AJ106" s="1466"/>
    </row>
    <row r="107" spans="1:36" x14ac:dyDescent="0.25">
      <c r="A107" s="2834" t="s">
        <v>1484</v>
      </c>
      <c r="B107" s="2834"/>
      <c r="C107" s="2834"/>
      <c r="D107" s="2834"/>
      <c r="E107" s="1640" t="s">
        <v>272</v>
      </c>
      <c r="H107" s="1466"/>
      <c r="I107" s="1466"/>
      <c r="J107" s="1466"/>
      <c r="K107" s="1466"/>
      <c r="L107" s="1466"/>
      <c r="M107" s="1466"/>
      <c r="N107" s="1466"/>
      <c r="O107" s="1466"/>
      <c r="P107" s="1466"/>
      <c r="Q107" s="1466"/>
      <c r="R107" s="1466"/>
      <c r="S107" s="1466"/>
      <c r="T107" s="1466"/>
      <c r="U107" s="1466"/>
      <c r="V107" s="1466"/>
      <c r="W107" s="1466"/>
      <c r="X107" s="1466"/>
      <c r="Y107" s="1466"/>
      <c r="Z107" s="1466"/>
      <c r="AA107" s="1466"/>
      <c r="AB107" s="1466"/>
      <c r="AC107" s="1466"/>
      <c r="AD107" s="1466"/>
      <c r="AE107" s="1466"/>
      <c r="AF107" s="1466"/>
      <c r="AG107" s="1466"/>
      <c r="AH107" s="1466"/>
      <c r="AI107" s="1466"/>
      <c r="AJ107" s="1466"/>
    </row>
    <row r="108" spans="1:36" ht="15.75" thickBot="1" x14ac:dyDescent="0.3">
      <c r="H108" s="1466"/>
      <c r="I108" s="1466"/>
      <c r="J108" s="1466"/>
      <c r="K108" s="1466"/>
      <c r="L108" s="1466"/>
      <c r="M108" s="1466"/>
      <c r="N108" s="1466"/>
      <c r="O108" s="1466"/>
      <c r="P108" s="1466"/>
      <c r="Q108" s="1466"/>
      <c r="R108" s="1466"/>
      <c r="S108" s="1466"/>
      <c r="T108" s="1466"/>
      <c r="U108" s="1466"/>
      <c r="V108" s="1466"/>
      <c r="W108" s="1466"/>
      <c r="X108" s="1466"/>
      <c r="Y108" s="1466"/>
      <c r="Z108" s="1466"/>
      <c r="AA108" s="1466"/>
      <c r="AB108" s="1466"/>
      <c r="AC108" s="1466"/>
      <c r="AD108" s="1466"/>
      <c r="AE108" s="1466"/>
      <c r="AF108" s="1466"/>
      <c r="AG108" s="1466"/>
      <c r="AH108" s="1466"/>
      <c r="AI108" s="1466"/>
      <c r="AJ108" s="1466"/>
    </row>
    <row r="109" spans="1:36" ht="15.75" thickBot="1" x14ac:dyDescent="0.3">
      <c r="A109" s="2687" t="s">
        <v>2024</v>
      </c>
      <c r="B109" s="2829"/>
      <c r="C109" s="2688"/>
      <c r="D109" s="2688"/>
      <c r="E109" s="2688"/>
      <c r="F109" s="2688"/>
      <c r="G109" s="2689"/>
      <c r="H109" s="1466"/>
      <c r="I109" s="1466"/>
      <c r="J109" s="1466"/>
      <c r="K109" s="1466"/>
      <c r="L109" s="1466"/>
      <c r="M109" s="1466"/>
      <c r="N109" s="1466"/>
      <c r="O109" s="1930"/>
      <c r="P109" s="1930"/>
      <c r="Q109" s="1466"/>
      <c r="R109" s="1466"/>
      <c r="S109" s="1466"/>
      <c r="T109" s="1466"/>
      <c r="U109" s="1466"/>
      <c r="V109" s="1466"/>
      <c r="W109" s="1466"/>
      <c r="X109" s="1466"/>
      <c r="Y109" s="1466"/>
      <c r="Z109" s="1466"/>
      <c r="AA109" s="1466"/>
      <c r="AB109" s="1466"/>
      <c r="AC109" s="1466"/>
      <c r="AD109" s="1466"/>
      <c r="AE109" s="1466"/>
      <c r="AF109" s="1466"/>
      <c r="AG109" s="1466"/>
      <c r="AH109" s="1466"/>
      <c r="AI109" s="1466"/>
      <c r="AJ109" s="1466"/>
    </row>
    <row r="110" spans="1:36" x14ac:dyDescent="0.25">
      <c r="A110" s="228" t="s">
        <v>2027</v>
      </c>
      <c r="B110" s="400" t="s">
        <v>272</v>
      </c>
      <c r="H110" s="1466"/>
      <c r="I110" s="1466"/>
      <c r="J110" s="1466"/>
      <c r="K110" s="1466"/>
      <c r="L110" s="1466"/>
      <c r="M110" s="1466"/>
      <c r="N110" s="1466"/>
      <c r="O110" s="1930"/>
      <c r="P110" s="1930"/>
      <c r="Q110" s="1466"/>
      <c r="R110" s="1466"/>
      <c r="S110" s="1466"/>
      <c r="T110" s="1466"/>
      <c r="U110" s="1466"/>
      <c r="V110" s="1466"/>
      <c r="W110" s="1466"/>
      <c r="X110" s="1466"/>
      <c r="Y110" s="1466"/>
      <c r="Z110" s="1466"/>
      <c r="AA110" s="1466"/>
      <c r="AB110" s="1466"/>
      <c r="AC110" s="1466"/>
      <c r="AD110" s="1466"/>
      <c r="AE110" s="1466"/>
      <c r="AF110" s="1466"/>
      <c r="AG110" s="1466"/>
      <c r="AH110" s="1466"/>
      <c r="AI110" s="1466"/>
      <c r="AJ110" s="1466"/>
    </row>
    <row r="111" spans="1:36" x14ac:dyDescent="0.25">
      <c r="A111" s="1908" t="s">
        <v>76</v>
      </c>
      <c r="B111" s="400"/>
      <c r="C111" s="400"/>
      <c r="D111" s="400"/>
      <c r="E111" s="400"/>
      <c r="F111" s="400"/>
      <c r="H111" s="1466"/>
      <c r="I111" s="1466"/>
      <c r="J111" s="1466"/>
      <c r="K111" s="1466"/>
      <c r="L111" s="1466"/>
      <c r="M111" s="1466"/>
      <c r="N111" s="1466"/>
      <c r="O111" s="1930"/>
      <c r="P111" s="1930"/>
      <c r="Q111" s="1466"/>
      <c r="R111" s="1466"/>
      <c r="S111" s="1466"/>
      <c r="T111" s="1466"/>
      <c r="U111" s="1466"/>
      <c r="V111" s="1466"/>
      <c r="W111" s="1466"/>
      <c r="X111" s="1466"/>
      <c r="Y111" s="1466"/>
      <c r="Z111" s="1466"/>
      <c r="AA111" s="1466"/>
      <c r="AB111" s="1466"/>
      <c r="AC111" s="1466"/>
      <c r="AD111" s="1466"/>
      <c r="AE111" s="1466"/>
      <c r="AF111" s="1466"/>
      <c r="AG111" s="1466"/>
      <c r="AH111" s="1466"/>
      <c r="AI111" s="1466"/>
      <c r="AJ111" s="1466"/>
    </row>
    <row r="112" spans="1:36" x14ac:dyDescent="0.25">
      <c r="A112" s="1472" t="s">
        <v>1099</v>
      </c>
      <c r="B112" s="400"/>
      <c r="C112" s="400"/>
      <c r="D112" s="400"/>
      <c r="E112" s="400"/>
      <c r="F112" s="400"/>
      <c r="H112" s="1466"/>
      <c r="I112" s="1466"/>
      <c r="J112" s="1466"/>
      <c r="K112" s="1466"/>
      <c r="L112" s="1466"/>
      <c r="M112" s="1466"/>
      <c r="N112" s="1466"/>
      <c r="O112" s="1930"/>
      <c r="P112" s="1930"/>
      <c r="Q112" s="1466"/>
      <c r="R112" s="1466"/>
      <c r="S112" s="1466"/>
      <c r="T112" s="1466"/>
      <c r="U112" s="1466"/>
      <c r="V112" s="1466"/>
      <c r="W112" s="1466"/>
      <c r="X112" s="1466"/>
      <c r="Y112" s="1466"/>
      <c r="Z112" s="1466"/>
      <c r="AA112" s="1466"/>
      <c r="AB112" s="1466"/>
      <c r="AC112" s="1466"/>
      <c r="AD112" s="1466"/>
      <c r="AE112" s="1466"/>
      <c r="AF112" s="1466"/>
      <c r="AG112" s="1466"/>
      <c r="AH112" s="1466"/>
      <c r="AI112" s="1466"/>
      <c r="AJ112" s="1466"/>
    </row>
    <row r="113" spans="1:36" x14ac:dyDescent="0.25">
      <c r="A113" s="1905" t="s">
        <v>0</v>
      </c>
      <c r="B113" s="400"/>
      <c r="C113" s="400"/>
      <c r="D113" s="400"/>
      <c r="E113" s="400"/>
      <c r="F113" s="400"/>
      <c r="H113" s="1466"/>
      <c r="I113" s="1466"/>
      <c r="J113" s="1466"/>
      <c r="K113" s="1466"/>
      <c r="L113" s="1466"/>
      <c r="M113" s="1466"/>
      <c r="N113" s="1466"/>
      <c r="O113" s="1930"/>
      <c r="P113" s="1930"/>
      <c r="Q113" s="1466"/>
      <c r="R113" s="1466"/>
      <c r="S113" s="1466"/>
      <c r="T113" s="1466"/>
      <c r="U113" s="1466"/>
      <c r="V113" s="1466"/>
      <c r="W113" s="1466"/>
      <c r="X113" s="1466"/>
      <c r="Y113" s="1466"/>
      <c r="Z113" s="1466"/>
      <c r="AA113" s="1466"/>
      <c r="AB113" s="1466"/>
      <c r="AC113" s="1466"/>
      <c r="AD113" s="1466"/>
      <c r="AE113" s="1466"/>
      <c r="AF113" s="1466"/>
      <c r="AG113" s="1466"/>
      <c r="AH113" s="1466"/>
      <c r="AI113" s="1466"/>
      <c r="AJ113" s="1466"/>
    </row>
    <row r="114" spans="1:36" x14ac:dyDescent="0.25">
      <c r="A114" s="1472" t="s">
        <v>13</v>
      </c>
      <c r="B114" s="400"/>
      <c r="C114" s="400"/>
      <c r="D114" s="400"/>
      <c r="E114" s="400"/>
      <c r="F114" s="400"/>
      <c r="H114" s="1466"/>
      <c r="I114" s="1466"/>
      <c r="J114" s="1466"/>
      <c r="K114" s="1466"/>
      <c r="L114" s="1466"/>
      <c r="M114" s="1466"/>
      <c r="N114" s="1466"/>
      <c r="O114" s="1930"/>
      <c r="P114" s="1930"/>
      <c r="Q114" s="1466"/>
      <c r="R114" s="1466"/>
      <c r="S114" s="1466"/>
      <c r="T114" s="1466"/>
      <c r="U114" s="1466"/>
      <c r="V114" s="1466"/>
      <c r="W114" s="1466"/>
      <c r="X114" s="1466"/>
      <c r="Y114" s="1466"/>
      <c r="Z114" s="1466"/>
      <c r="AA114" s="1466"/>
      <c r="AB114" s="1466"/>
      <c r="AC114" s="1466"/>
      <c r="AD114" s="1466"/>
      <c r="AE114" s="1466"/>
      <c r="AF114" s="1466"/>
      <c r="AG114" s="1466"/>
      <c r="AH114" s="1466"/>
      <c r="AI114" s="1466"/>
      <c r="AJ114" s="1466"/>
    </row>
    <row r="115" spans="1:36" x14ac:dyDescent="0.25">
      <c r="A115" s="1905" t="s">
        <v>2015</v>
      </c>
      <c r="B115" s="400"/>
      <c r="C115" s="400"/>
      <c r="D115" s="400"/>
      <c r="E115" s="400"/>
      <c r="F115" s="400"/>
      <c r="H115" s="1466"/>
      <c r="I115" s="1466"/>
      <c r="J115" s="1466"/>
      <c r="K115" s="1466"/>
      <c r="L115" s="1466"/>
      <c r="M115" s="1466"/>
      <c r="N115" s="1466"/>
      <c r="O115" s="1930"/>
      <c r="P115" s="1930"/>
      <c r="Q115" s="1466"/>
      <c r="R115" s="1466"/>
      <c r="S115" s="1466"/>
      <c r="T115" s="1466"/>
      <c r="U115" s="1466"/>
      <c r="V115" s="1466"/>
      <c r="W115" s="1466"/>
      <c r="X115" s="1466"/>
      <c r="Y115" s="1466"/>
      <c r="Z115" s="1466"/>
      <c r="AA115" s="1466"/>
      <c r="AB115" s="1466"/>
      <c r="AC115" s="1466"/>
      <c r="AD115" s="1466"/>
      <c r="AE115" s="1466"/>
      <c r="AF115" s="1466"/>
      <c r="AG115" s="1466"/>
      <c r="AH115" s="1466"/>
      <c r="AI115" s="1466"/>
      <c r="AJ115" s="1466"/>
    </row>
    <row r="116" spans="1:36" x14ac:dyDescent="0.25">
      <c r="A116" s="1905" t="s">
        <v>2025</v>
      </c>
      <c r="B116" s="400"/>
      <c r="C116" s="400"/>
      <c r="D116" s="400"/>
      <c r="E116" s="400"/>
      <c r="F116" s="400"/>
      <c r="H116" s="1466"/>
      <c r="I116" s="1466"/>
      <c r="J116" s="1466"/>
      <c r="K116" s="1466"/>
      <c r="L116" s="1466"/>
      <c r="M116" s="1466"/>
      <c r="N116" s="1466"/>
      <c r="O116" s="1930"/>
      <c r="P116" s="1930"/>
      <c r="Q116" s="1466"/>
      <c r="R116" s="1466"/>
      <c r="S116" s="1466"/>
      <c r="T116" s="1466"/>
      <c r="U116" s="1466"/>
      <c r="V116" s="1466"/>
      <c r="W116" s="1466"/>
      <c r="X116" s="1466"/>
      <c r="Y116" s="1466"/>
      <c r="Z116" s="1466"/>
      <c r="AA116" s="1466"/>
      <c r="AB116" s="1466"/>
      <c r="AC116" s="1466"/>
      <c r="AD116" s="1466"/>
      <c r="AE116" s="1466"/>
      <c r="AF116" s="1466"/>
      <c r="AG116" s="1466"/>
      <c r="AH116" s="1466"/>
      <c r="AI116" s="1466"/>
      <c r="AJ116" s="1466"/>
    </row>
    <row r="117" spans="1:36" x14ac:dyDescent="0.25">
      <c r="A117" s="1473" t="s">
        <v>1107</v>
      </c>
      <c r="B117" s="400"/>
      <c r="C117" s="400"/>
      <c r="D117" s="400"/>
      <c r="E117" s="400"/>
      <c r="F117" s="400"/>
      <c r="H117" s="1466"/>
      <c r="I117" s="1466"/>
      <c r="J117" s="1466"/>
      <c r="K117" s="1466"/>
      <c r="L117" s="1466"/>
      <c r="M117" s="1466"/>
      <c r="N117" s="1466"/>
      <c r="O117" s="1930"/>
      <c r="P117" s="1930"/>
      <c r="Q117" s="1466"/>
      <c r="R117" s="1466"/>
      <c r="S117" s="1466"/>
      <c r="T117" s="1466"/>
      <c r="U117" s="1466"/>
      <c r="V117" s="1466"/>
      <c r="W117" s="1466"/>
      <c r="X117" s="1466"/>
      <c r="Y117" s="1466"/>
      <c r="Z117" s="1466"/>
      <c r="AA117" s="1466"/>
      <c r="AB117" s="1466"/>
      <c r="AC117" s="1466"/>
      <c r="AD117" s="1466"/>
      <c r="AE117" s="1466"/>
      <c r="AF117" s="1466"/>
      <c r="AG117" s="1466"/>
      <c r="AH117" s="1466"/>
      <c r="AI117" s="1466"/>
      <c r="AJ117" s="1466"/>
    </row>
    <row r="118" spans="1:36" x14ac:dyDescent="0.25">
      <c r="A118" s="1473" t="s">
        <v>1108</v>
      </c>
      <c r="B118" s="400"/>
      <c r="C118" s="400"/>
      <c r="D118" s="400"/>
      <c r="E118" s="400"/>
      <c r="F118" s="400"/>
      <c r="H118" s="1466"/>
      <c r="I118" s="1466"/>
      <c r="J118" s="1466"/>
      <c r="K118" s="1466"/>
      <c r="L118" s="1466"/>
      <c r="M118" s="1466"/>
      <c r="N118" s="1466"/>
      <c r="O118" s="1930"/>
      <c r="P118" s="1930"/>
      <c r="Q118" s="1466"/>
      <c r="R118" s="1466"/>
      <c r="S118" s="1466"/>
      <c r="T118" s="1466"/>
      <c r="U118" s="1466"/>
      <c r="V118" s="1466"/>
      <c r="W118" s="1466"/>
      <c r="X118" s="1466"/>
      <c r="Y118" s="1466"/>
      <c r="Z118" s="1466"/>
      <c r="AA118" s="1466"/>
      <c r="AB118" s="1466"/>
      <c r="AC118" s="1466"/>
      <c r="AD118" s="1466"/>
      <c r="AE118" s="1466"/>
      <c r="AF118" s="1466"/>
      <c r="AG118" s="1466"/>
      <c r="AH118" s="1466"/>
      <c r="AI118" s="1466"/>
      <c r="AJ118" s="1466"/>
    </row>
    <row r="119" spans="1:36" x14ac:dyDescent="0.25">
      <c r="A119" s="1473" t="s">
        <v>2017</v>
      </c>
      <c r="B119" s="400"/>
      <c r="C119" s="400"/>
      <c r="D119" s="400"/>
      <c r="E119" s="400"/>
      <c r="F119" s="400"/>
      <c r="H119" s="1466"/>
      <c r="I119" s="1466"/>
      <c r="J119" s="1466"/>
      <c r="K119" s="1466"/>
      <c r="L119" s="1466"/>
      <c r="M119" s="1466"/>
      <c r="N119" s="1466"/>
      <c r="O119" s="1930"/>
      <c r="P119" s="1930"/>
      <c r="Q119" s="1466"/>
      <c r="R119" s="1466"/>
      <c r="S119" s="1466"/>
      <c r="T119" s="1466"/>
      <c r="U119" s="1466"/>
      <c r="V119" s="1466"/>
      <c r="W119" s="1466"/>
      <c r="X119" s="1466"/>
      <c r="Y119" s="1466"/>
      <c r="Z119" s="1466"/>
      <c r="AA119" s="1466"/>
      <c r="AB119" s="1466"/>
      <c r="AC119" s="1466"/>
      <c r="AD119" s="1466"/>
      <c r="AE119" s="1466"/>
      <c r="AF119" s="1466"/>
      <c r="AG119" s="1466"/>
      <c r="AH119" s="1466"/>
      <c r="AI119" s="1466"/>
      <c r="AJ119" s="1466"/>
    </row>
    <row r="120" spans="1:36" ht="30" x14ac:dyDescent="0.25">
      <c r="A120" s="928" t="s">
        <v>2018</v>
      </c>
      <c r="B120" s="1473"/>
      <c r="C120" s="1473"/>
      <c r="D120" s="1473"/>
      <c r="E120" s="1473"/>
      <c r="F120" s="1473"/>
      <c r="H120" s="1466"/>
      <c r="I120" s="1466"/>
      <c r="J120" s="1466"/>
      <c r="K120" s="1466"/>
      <c r="L120" s="1466"/>
      <c r="M120" s="1466"/>
      <c r="N120" s="1466"/>
      <c r="O120" s="1930"/>
      <c r="P120" s="1930"/>
      <c r="Q120" s="1466"/>
      <c r="R120" s="1466"/>
      <c r="S120" s="1466"/>
      <c r="T120" s="1466"/>
      <c r="U120" s="1466"/>
      <c r="V120" s="1466"/>
      <c r="W120" s="1466"/>
      <c r="X120" s="1466"/>
      <c r="Y120" s="1466"/>
      <c r="Z120" s="1466"/>
      <c r="AA120" s="1466"/>
      <c r="AB120" s="1466"/>
      <c r="AC120" s="1466"/>
      <c r="AD120" s="1466"/>
      <c r="AE120" s="1466"/>
      <c r="AF120" s="1466"/>
      <c r="AG120" s="1466"/>
      <c r="AH120" s="1466"/>
      <c r="AI120" s="1466"/>
      <c r="AJ120" s="1466"/>
    </row>
    <row r="121" spans="1:36" x14ac:dyDescent="0.25">
      <c r="A121" s="1473" t="s">
        <v>2019</v>
      </c>
      <c r="B121" s="400">
        <v>1</v>
      </c>
      <c r="C121" s="400">
        <f>B121</f>
        <v>1</v>
      </c>
      <c r="D121" s="400">
        <f t="shared" ref="D121:F121" si="4">C121</f>
        <v>1</v>
      </c>
      <c r="E121" s="400">
        <f t="shared" si="4"/>
        <v>1</v>
      </c>
      <c r="F121" s="400">
        <f t="shared" si="4"/>
        <v>1</v>
      </c>
      <c r="H121" s="1466"/>
      <c r="I121" s="1466"/>
      <c r="J121" s="1466"/>
      <c r="K121" s="1466"/>
      <c r="L121" s="1466"/>
      <c r="M121" s="1466"/>
      <c r="N121" s="1466"/>
      <c r="O121" s="1930"/>
      <c r="P121" s="1930"/>
      <c r="Q121" s="1466"/>
      <c r="R121" s="1466"/>
      <c r="S121" s="1466"/>
      <c r="T121" s="1466"/>
      <c r="U121" s="1466"/>
      <c r="V121" s="1466"/>
      <c r="W121" s="1466"/>
      <c r="X121" s="1466"/>
      <c r="Y121" s="1466"/>
      <c r="Z121" s="1466"/>
      <c r="AA121" s="1466"/>
      <c r="AB121" s="1466"/>
      <c r="AC121" s="1466"/>
      <c r="AD121" s="1466"/>
      <c r="AE121" s="1466"/>
      <c r="AF121" s="1466"/>
      <c r="AG121" s="1466"/>
      <c r="AH121" s="1466"/>
      <c r="AI121" s="1466"/>
      <c r="AJ121" s="1466"/>
    </row>
    <row r="122" spans="1:36" x14ac:dyDescent="0.25">
      <c r="A122" s="1905" t="s">
        <v>521</v>
      </c>
      <c r="B122" s="400"/>
      <c r="C122" s="400"/>
      <c r="D122" s="400"/>
      <c r="E122" s="400"/>
      <c r="F122" s="400"/>
      <c r="H122" s="1466"/>
      <c r="I122" s="1466"/>
      <c r="J122" s="1466"/>
      <c r="K122" s="1466"/>
      <c r="L122" s="1466"/>
      <c r="M122" s="1466"/>
      <c r="N122" s="1466"/>
      <c r="O122" s="1930"/>
      <c r="P122" s="1930"/>
      <c r="Q122" s="1466"/>
      <c r="R122" s="1466"/>
      <c r="S122" s="1466"/>
      <c r="T122" s="1466"/>
      <c r="U122" s="1466"/>
      <c r="V122" s="1466"/>
      <c r="W122" s="1466"/>
      <c r="X122" s="1466"/>
      <c r="Y122" s="1466"/>
      <c r="Z122" s="1466"/>
      <c r="AA122" s="1466"/>
      <c r="AB122" s="1466"/>
      <c r="AC122" s="1466"/>
      <c r="AD122" s="1466"/>
      <c r="AE122" s="1466"/>
      <c r="AF122" s="1466"/>
      <c r="AG122" s="1466"/>
      <c r="AH122" s="1466"/>
      <c r="AI122" s="1466"/>
      <c r="AJ122" s="1466"/>
    </row>
    <row r="123" spans="1:36" ht="30" x14ac:dyDescent="0.25">
      <c r="A123" s="928" t="s">
        <v>2026</v>
      </c>
      <c r="B123" s="359" t="str">
        <f ca="1">IFERROR(IF(Cabeçalho!$G$28="Unfors",INDIRECT(ADDRESS(B122,3,1,1,"medidas Unfors"),1),INDIRECT(ADDRESS(B122,5,1,1,"medidas Fluke"),1)/1000),"")</f>
        <v/>
      </c>
      <c r="C123" s="359" t="str">
        <f ca="1">IFERROR(IF(Cabeçalho!$G$28="Unfors",INDIRECT(ADDRESS(C122,3,1,1,"medidas Unfors"),1),INDIRECT(ADDRESS(C122,5,1,1,"medidas Fluke"),1)/1000),"")</f>
        <v/>
      </c>
      <c r="D123" s="359" t="str">
        <f ca="1">IFERROR(IF(Cabeçalho!$G$28="Unfors",INDIRECT(ADDRESS(D122,3,1,1,"medidas Unfors"),1),INDIRECT(ADDRESS(D122,5,1,1,"medidas Fluke"),1)/1000),"")</f>
        <v/>
      </c>
      <c r="E123" s="359" t="str">
        <f ca="1">IFERROR(IF(Cabeçalho!$G$28="Unfors",INDIRECT(ADDRESS(E122,3,1,1,"medidas Unfors"),1),INDIRECT(ADDRESS(E122,5,1,1,"medidas Fluke"),1)/1000),"")</f>
        <v/>
      </c>
      <c r="F123" s="359" t="str">
        <f ca="1">IFERROR(IF(Cabeçalho!$G$28="Unfors",INDIRECT(ADDRESS(F122,3,1,1,"medidas Unfors"),1),INDIRECT(ADDRESS(F122,5,1,1,"medidas Fluke"),1)/1000),"")</f>
        <v/>
      </c>
      <c r="H123" s="1931" t="s">
        <v>2020</v>
      </c>
      <c r="I123" s="1466"/>
      <c r="J123" s="1466"/>
      <c r="K123" s="1466"/>
      <c r="L123" s="1466"/>
      <c r="M123" s="1466"/>
      <c r="N123" s="1466"/>
      <c r="O123" s="1930"/>
      <c r="P123" s="1930"/>
      <c r="Q123" s="1466"/>
      <c r="R123" s="1466"/>
      <c r="S123" s="1466"/>
      <c r="T123" s="1466"/>
      <c r="U123" s="1466"/>
      <c r="V123" s="1466"/>
      <c r="W123" s="1466"/>
      <c r="X123" s="1466"/>
      <c r="Y123" s="1466"/>
      <c r="Z123" s="1466"/>
      <c r="AA123" s="1466"/>
      <c r="AB123" s="1466"/>
      <c r="AC123" s="1466"/>
      <c r="AD123" s="1466"/>
      <c r="AE123" s="1466"/>
      <c r="AF123" s="1466"/>
      <c r="AG123" s="1466"/>
      <c r="AH123" s="1466"/>
      <c r="AI123" s="1466"/>
      <c r="AJ123" s="1466"/>
    </row>
    <row r="124" spans="1:36" ht="30" x14ac:dyDescent="0.25">
      <c r="A124" s="928" t="s">
        <v>2022</v>
      </c>
      <c r="B124" s="359" t="str">
        <f ca="1">IFERROR(B123*(B118/B117)^2,"")</f>
        <v/>
      </c>
      <c r="C124" s="359" t="str">
        <f t="shared" ref="C124:F124" ca="1" si="5">IFERROR(C123*(C118/C117)^2,"")</f>
        <v/>
      </c>
      <c r="D124" s="359" t="str">
        <f t="shared" ca="1" si="5"/>
        <v/>
      </c>
      <c r="E124" s="359" t="str">
        <f t="shared" ca="1" si="5"/>
        <v/>
      </c>
      <c r="F124" s="359" t="str">
        <f t="shared" ca="1" si="5"/>
        <v/>
      </c>
      <c r="H124" s="138"/>
      <c r="I124" s="1466"/>
      <c r="J124" s="1466"/>
      <c r="K124" s="1466"/>
      <c r="L124" s="1466"/>
      <c r="M124" s="1466"/>
      <c r="N124" s="1466"/>
      <c r="O124" s="1930"/>
      <c r="P124" s="1930"/>
      <c r="Q124" s="1466"/>
      <c r="R124" s="1466"/>
      <c r="S124" s="1466"/>
      <c r="T124" s="1466"/>
      <c r="U124" s="1466"/>
      <c r="V124" s="1466"/>
      <c r="W124" s="1466"/>
      <c r="X124" s="1466"/>
      <c r="Y124" s="1466"/>
      <c r="Z124" s="1466"/>
      <c r="AA124" s="1466"/>
      <c r="AB124" s="1466"/>
      <c r="AC124" s="1466"/>
      <c r="AD124" s="1466"/>
      <c r="AE124" s="1466"/>
      <c r="AF124" s="1466"/>
      <c r="AG124" s="1466"/>
      <c r="AH124" s="1466"/>
      <c r="AI124" s="1466"/>
      <c r="AJ124" s="1466"/>
    </row>
    <row r="125" spans="1:36" ht="15.75" thickBot="1" x14ac:dyDescent="0.3">
      <c r="A125" s="928" t="s">
        <v>2023</v>
      </c>
      <c r="B125" s="359" t="str">
        <f ca="1">IFERROR(B124*B119,"")</f>
        <v/>
      </c>
      <c r="C125" s="359" t="str">
        <f t="shared" ref="C125:F125" ca="1" si="6">IFERROR(C124*C119,"")</f>
        <v/>
      </c>
      <c r="D125" s="359" t="str">
        <f t="shared" ca="1" si="6"/>
        <v/>
      </c>
      <c r="E125" s="359" t="str">
        <f t="shared" ca="1" si="6"/>
        <v/>
      </c>
      <c r="F125" s="359" t="str">
        <f t="shared" ca="1" si="6"/>
        <v/>
      </c>
      <c r="H125" s="138"/>
      <c r="I125" s="1466"/>
      <c r="J125" s="1466"/>
      <c r="K125" s="1466"/>
      <c r="L125" s="1466"/>
      <c r="M125" s="1466"/>
      <c r="N125" s="1466"/>
      <c r="O125" s="1930"/>
      <c r="P125" s="1930"/>
      <c r="Q125" s="1466"/>
      <c r="R125" s="1466"/>
      <c r="S125" s="1466"/>
      <c r="T125" s="1466"/>
      <c r="U125" s="1466"/>
      <c r="V125" s="1466"/>
      <c r="W125" s="1466"/>
      <c r="X125" s="1466"/>
      <c r="Y125" s="1466"/>
      <c r="Z125" s="1466"/>
      <c r="AA125" s="1466"/>
      <c r="AB125" s="1466"/>
      <c r="AC125" s="1466"/>
      <c r="AD125" s="1466"/>
      <c r="AE125" s="1466"/>
      <c r="AF125" s="1466"/>
      <c r="AG125" s="1466"/>
      <c r="AH125" s="1466"/>
      <c r="AI125" s="1466"/>
      <c r="AJ125" s="1466"/>
    </row>
    <row r="126" spans="1:36" x14ac:dyDescent="0.25">
      <c r="A126" s="1473" t="s">
        <v>1109</v>
      </c>
      <c r="B126" s="359" t="str">
        <f ca="1">IFERROR(B125*B121,"NPA")</f>
        <v>NPA</v>
      </c>
      <c r="C126" s="359" t="str">
        <f t="shared" ref="C126:F126" ca="1" si="7">IFERROR(C125*C121,"NPA")</f>
        <v>NPA</v>
      </c>
      <c r="D126" s="359" t="str">
        <f t="shared" ca="1" si="7"/>
        <v>NPA</v>
      </c>
      <c r="E126" s="359" t="str">
        <f t="shared" ca="1" si="7"/>
        <v>NPA</v>
      </c>
      <c r="F126" s="359" t="str">
        <f t="shared" ca="1" si="7"/>
        <v>NPA</v>
      </c>
      <c r="G126" s="1358" t="str">
        <f>B1</f>
        <v>IN 94</v>
      </c>
      <c r="H126" s="1932" t="s">
        <v>2016</v>
      </c>
      <c r="I126" s="1466"/>
      <c r="J126" s="1466"/>
      <c r="K126" s="1466"/>
      <c r="L126" s="1466"/>
      <c r="M126" s="1466"/>
      <c r="N126" s="1466"/>
      <c r="O126" s="1930"/>
      <c r="P126" s="1930"/>
      <c r="Q126" s="1466"/>
      <c r="R126" s="1466"/>
      <c r="S126" s="1466"/>
      <c r="T126" s="1466"/>
      <c r="U126" s="1466"/>
      <c r="V126" s="1466"/>
      <c r="W126" s="1466"/>
      <c r="X126" s="1466"/>
      <c r="Y126" s="1466"/>
      <c r="Z126" s="1466"/>
      <c r="AA126" s="1466"/>
      <c r="AB126" s="1466"/>
      <c r="AC126" s="1466"/>
      <c r="AD126" s="1466"/>
      <c r="AE126" s="1466"/>
      <c r="AF126" s="1466"/>
      <c r="AG126" s="1466"/>
      <c r="AH126" s="1466"/>
      <c r="AI126" s="1466"/>
      <c r="AJ126" s="1466"/>
    </row>
    <row r="127" spans="1:36" ht="15.75" thickBot="1" x14ac:dyDescent="0.3">
      <c r="A127" s="1908" t="s">
        <v>1098</v>
      </c>
      <c r="B127" s="1474" t="str">
        <f ca="1">IFERROR(ABS(ROUND((B126/B116-1)*100,1)),"NA")</f>
        <v>NA</v>
      </c>
      <c r="C127" s="1474" t="str">
        <f ca="1">IFERROR(ABS(ROUND((C126/C116-1)*100,1)),"NA")</f>
        <v>NA</v>
      </c>
      <c r="D127" s="1474" t="str">
        <f ca="1">IFERROR(ABS(ROUND((D126/D116-1)*100,1)),"NA")</f>
        <v>NA</v>
      </c>
      <c r="E127" s="1474" t="str">
        <f ca="1">IFERROR(ABS(ROUND((E126/E116-1)*100,1)),"NA")</f>
        <v>NA</v>
      </c>
      <c r="F127" s="1474" t="str">
        <f ca="1">IFERROR(ABS(ROUND((F126/F116-1)*100,1)),"NA")</f>
        <v>NA</v>
      </c>
      <c r="G127" s="931" t="str">
        <f ca="1">IFERROR(IF(B110="Não","NA",LARGE(B127:F127,1)),"NA")</f>
        <v>NA</v>
      </c>
      <c r="H127" s="1466"/>
      <c r="I127" s="1466"/>
      <c r="J127" s="1466"/>
      <c r="K127" s="1466"/>
      <c r="L127" s="1466"/>
      <c r="M127" s="1466"/>
      <c r="N127" s="1466"/>
      <c r="O127" s="1930"/>
      <c r="P127" s="1930"/>
      <c r="Q127" s="1930"/>
      <c r="R127" s="1930"/>
      <c r="S127" s="1466"/>
      <c r="T127" s="1466"/>
      <c r="U127" s="1466"/>
      <c r="V127" s="1466"/>
      <c r="W127" s="1466"/>
      <c r="X127" s="1466"/>
      <c r="Y127" s="1466"/>
      <c r="Z127" s="1466"/>
      <c r="AA127" s="1466"/>
      <c r="AB127" s="1466"/>
      <c r="AC127" s="1466"/>
      <c r="AD127" s="1466"/>
      <c r="AE127" s="1466"/>
      <c r="AF127" s="1466"/>
      <c r="AG127" s="1466"/>
      <c r="AH127" s="1466"/>
      <c r="AI127" s="1466"/>
      <c r="AJ127" s="1466"/>
    </row>
    <row r="128" spans="1:36" x14ac:dyDescent="0.25">
      <c r="H128" s="1466"/>
      <c r="I128" s="1466"/>
      <c r="J128" s="1466"/>
      <c r="K128" s="1466"/>
      <c r="L128" s="1466"/>
      <c r="M128" s="1466"/>
      <c r="N128" s="1466"/>
      <c r="O128" s="1466"/>
      <c r="P128" s="1466"/>
      <c r="Q128" s="1466"/>
      <c r="R128" s="1466"/>
      <c r="S128" s="1466"/>
      <c r="T128" s="1466"/>
      <c r="U128" s="1466"/>
      <c r="V128" s="1466"/>
      <c r="W128" s="1466"/>
      <c r="X128" s="1466"/>
      <c r="Y128" s="1466"/>
      <c r="Z128" s="1466"/>
      <c r="AA128" s="1466"/>
      <c r="AB128" s="1466"/>
      <c r="AC128" s="1466"/>
      <c r="AD128" s="1466"/>
      <c r="AE128" s="1466"/>
      <c r="AF128" s="1466"/>
      <c r="AG128" s="1466"/>
      <c r="AH128" s="1466"/>
      <c r="AI128" s="1466"/>
      <c r="AJ128" s="1466"/>
    </row>
    <row r="129" spans="1:36" x14ac:dyDescent="0.25">
      <c r="H129" s="1466"/>
      <c r="I129" s="1466"/>
      <c r="J129" s="1466"/>
      <c r="K129" s="1466"/>
      <c r="L129" s="1466"/>
      <c r="M129" s="1466"/>
      <c r="N129" s="1466"/>
      <c r="O129" s="1466"/>
      <c r="P129" s="1466"/>
      <c r="Q129" s="1466"/>
      <c r="R129" s="1466"/>
      <c r="S129" s="1466"/>
      <c r="T129" s="1466"/>
      <c r="U129" s="1466"/>
      <c r="V129" s="1466"/>
      <c r="W129" s="1466"/>
      <c r="X129" s="1466"/>
      <c r="Y129" s="1466"/>
      <c r="Z129" s="1466"/>
      <c r="AA129" s="1466"/>
      <c r="AB129" s="1466"/>
      <c r="AC129" s="1466"/>
      <c r="AD129" s="1466"/>
      <c r="AE129" s="1466"/>
      <c r="AF129" s="1466"/>
      <c r="AG129" s="1466"/>
      <c r="AH129" s="1466"/>
      <c r="AI129" s="1466"/>
      <c r="AJ129" s="1466"/>
    </row>
    <row r="130" spans="1:36" x14ac:dyDescent="0.25">
      <c r="H130" s="1466"/>
      <c r="I130" s="1466"/>
      <c r="J130" s="1466"/>
      <c r="K130" s="1466"/>
      <c r="L130" s="1466"/>
      <c r="M130" s="1466"/>
      <c r="N130" s="1466"/>
      <c r="O130" s="1466"/>
      <c r="P130" s="1466"/>
      <c r="Q130" s="1466"/>
      <c r="R130" s="1466"/>
      <c r="S130" s="1466"/>
      <c r="T130" s="1466"/>
      <c r="U130" s="1466"/>
      <c r="V130" s="1466"/>
      <c r="W130" s="1466"/>
      <c r="X130" s="1466"/>
      <c r="Y130" s="1466"/>
      <c r="Z130" s="1466"/>
      <c r="AA130" s="1466"/>
      <c r="AB130" s="1466"/>
      <c r="AC130" s="1466"/>
      <c r="AD130" s="1466"/>
      <c r="AE130" s="1466"/>
      <c r="AF130" s="1466"/>
      <c r="AG130" s="1466"/>
      <c r="AH130" s="1466"/>
      <c r="AI130" s="1466"/>
      <c r="AJ130" s="1466"/>
    </row>
    <row r="131" spans="1:36" x14ac:dyDescent="0.25">
      <c r="H131" s="1466"/>
      <c r="I131" s="1466"/>
      <c r="J131" s="1466"/>
      <c r="K131" s="1466"/>
      <c r="L131" s="1466"/>
      <c r="M131" s="1466"/>
      <c r="N131" s="1466"/>
      <c r="O131" s="1466"/>
      <c r="P131" s="1466"/>
      <c r="Q131" s="1466"/>
      <c r="R131" s="1466"/>
      <c r="S131" s="1466"/>
      <c r="T131" s="1466"/>
      <c r="U131" s="1466"/>
      <c r="V131" s="1466"/>
      <c r="W131" s="1466"/>
      <c r="X131" s="1466"/>
      <c r="Y131" s="1466"/>
      <c r="Z131" s="1466"/>
      <c r="AA131" s="1466"/>
      <c r="AB131" s="1466"/>
      <c r="AC131" s="1466"/>
      <c r="AD131" s="1466"/>
      <c r="AE131" s="1466"/>
      <c r="AF131" s="1466"/>
      <c r="AG131" s="1466"/>
      <c r="AH131" s="1466"/>
      <c r="AI131" s="1466"/>
      <c r="AJ131" s="1466"/>
    </row>
    <row r="136" spans="1:36" x14ac:dyDescent="0.25">
      <c r="E136" s="226"/>
      <c r="F136" s="225"/>
      <c r="J136" s="215"/>
      <c r="K136" s="215"/>
      <c r="L136" s="215"/>
      <c r="M136" s="215"/>
      <c r="N136" s="215"/>
      <c r="O136" s="215"/>
      <c r="P136" s="215"/>
      <c r="Q136" s="215"/>
      <c r="R136" s="215"/>
      <c r="S136" s="215"/>
      <c r="T136" s="215"/>
      <c r="U136" s="215"/>
      <c r="V136" s="215"/>
      <c r="W136" s="215"/>
      <c r="X136" s="215"/>
      <c r="Y136" s="215"/>
      <c r="Z136" s="215"/>
      <c r="AA136" s="215"/>
      <c r="AB136" s="215"/>
      <c r="AC136" s="215"/>
      <c r="AD136" s="215"/>
      <c r="AE136" s="215"/>
      <c r="AF136" s="215"/>
      <c r="AG136" s="215"/>
      <c r="AH136" s="215"/>
      <c r="AI136" s="215"/>
    </row>
    <row r="137" spans="1:36" x14ac:dyDescent="0.25">
      <c r="E137" s="226"/>
      <c r="F137" s="225"/>
      <c r="J137" s="215"/>
      <c r="K137" s="215"/>
      <c r="L137" s="215"/>
      <c r="M137" s="215"/>
      <c r="N137" s="215"/>
      <c r="O137" s="215"/>
      <c r="P137" s="215"/>
      <c r="Q137" s="215"/>
      <c r="R137" s="215"/>
      <c r="S137" s="215"/>
      <c r="T137" s="215"/>
      <c r="U137" s="215"/>
      <c r="V137" s="215"/>
      <c r="W137" s="215"/>
      <c r="X137" s="215"/>
      <c r="Y137" s="215"/>
      <c r="Z137" s="215"/>
      <c r="AA137" s="215"/>
      <c r="AB137" s="215"/>
      <c r="AC137" s="215"/>
      <c r="AD137" s="215"/>
      <c r="AE137" s="215"/>
      <c r="AF137" s="215"/>
      <c r="AG137" s="215"/>
      <c r="AH137" s="215"/>
      <c r="AI137" s="215"/>
    </row>
    <row r="138" spans="1:36" x14ac:dyDescent="0.25">
      <c r="E138" s="226"/>
      <c r="F138" s="225"/>
      <c r="J138" s="215"/>
      <c r="K138" s="215"/>
      <c r="L138" s="215"/>
      <c r="M138" s="215"/>
      <c r="N138" s="215"/>
      <c r="O138" s="215"/>
      <c r="P138" s="215"/>
      <c r="Q138" s="215"/>
      <c r="R138" s="215"/>
      <c r="S138" s="215"/>
      <c r="T138" s="215"/>
      <c r="U138" s="215"/>
      <c r="V138" s="215"/>
      <c r="W138" s="215"/>
      <c r="X138" s="215"/>
      <c r="Y138" s="215"/>
      <c r="Z138" s="215"/>
      <c r="AA138" s="215"/>
      <c r="AB138" s="215"/>
      <c r="AC138" s="215"/>
      <c r="AD138" s="215"/>
      <c r="AE138" s="215"/>
      <c r="AF138" s="215"/>
      <c r="AG138" s="215"/>
      <c r="AH138" s="215"/>
      <c r="AI138" s="215"/>
    </row>
    <row r="139" spans="1:36" x14ac:dyDescent="0.25">
      <c r="E139" s="226"/>
      <c r="F139" s="225"/>
      <c r="J139" s="215"/>
      <c r="K139" s="215"/>
      <c r="L139" s="215"/>
      <c r="M139" s="215"/>
      <c r="N139" s="215"/>
      <c r="O139" s="215"/>
      <c r="P139" s="215"/>
      <c r="Q139" s="215"/>
      <c r="R139" s="215"/>
      <c r="S139" s="215"/>
      <c r="T139" s="215"/>
      <c r="U139" s="215"/>
      <c r="V139" s="215"/>
      <c r="W139" s="215"/>
      <c r="X139" s="215"/>
      <c r="Y139" s="215"/>
      <c r="Z139" s="215"/>
      <c r="AA139" s="215"/>
      <c r="AB139" s="215"/>
      <c r="AC139" s="215"/>
      <c r="AD139" s="215"/>
      <c r="AE139" s="215"/>
      <c r="AF139" s="215"/>
      <c r="AG139" s="215"/>
      <c r="AH139" s="215"/>
      <c r="AI139" s="215"/>
    </row>
    <row r="140" spans="1:36" x14ac:dyDescent="0.25">
      <c r="E140" s="226"/>
      <c r="F140" s="225"/>
      <c r="J140" s="215"/>
      <c r="K140" s="215"/>
      <c r="L140" s="215"/>
      <c r="M140" s="215"/>
      <c r="N140" s="215"/>
      <c r="O140" s="215"/>
      <c r="P140" s="215"/>
      <c r="Q140" s="215"/>
      <c r="R140" s="215"/>
      <c r="S140" s="215"/>
      <c r="T140" s="215"/>
      <c r="U140" s="215"/>
      <c r="V140" s="215"/>
      <c r="W140" s="215"/>
      <c r="X140" s="215"/>
      <c r="Y140" s="215"/>
      <c r="Z140" s="215"/>
      <c r="AA140" s="215"/>
      <c r="AB140" s="215"/>
      <c r="AC140" s="215"/>
      <c r="AD140" s="215"/>
      <c r="AE140" s="215"/>
      <c r="AF140" s="215"/>
      <c r="AG140" s="215"/>
      <c r="AH140" s="215"/>
      <c r="AI140" s="215"/>
    </row>
    <row r="141" spans="1:36" x14ac:dyDescent="0.25">
      <c r="E141" s="226"/>
      <c r="F141" s="225"/>
      <c r="J141" s="215"/>
      <c r="K141" s="215"/>
      <c r="L141" s="215"/>
      <c r="M141" s="215"/>
      <c r="N141" s="215"/>
      <c r="O141" s="215"/>
      <c r="P141" s="215"/>
      <c r="Q141" s="215"/>
      <c r="R141" s="215"/>
      <c r="S141" s="215"/>
      <c r="T141" s="215"/>
      <c r="U141" s="215"/>
      <c r="V141" s="215"/>
      <c r="W141" s="215"/>
      <c r="X141" s="215"/>
      <c r="Y141" s="215"/>
      <c r="Z141" s="215"/>
      <c r="AA141" s="215"/>
      <c r="AB141" s="215"/>
      <c r="AC141" s="215"/>
      <c r="AD141" s="215"/>
      <c r="AE141" s="215"/>
      <c r="AF141" s="215"/>
      <c r="AG141" s="215"/>
      <c r="AH141" s="215"/>
      <c r="AI141" s="215"/>
    </row>
    <row r="142" spans="1:36" x14ac:dyDescent="0.25">
      <c r="E142" s="226"/>
      <c r="F142" s="225"/>
      <c r="G142" s="225"/>
      <c r="H142" s="215"/>
      <c r="I142" s="215"/>
      <c r="J142" s="215"/>
      <c r="K142" s="215"/>
      <c r="L142" s="215"/>
      <c r="M142" s="215"/>
      <c r="N142" s="215"/>
      <c r="O142" s="215"/>
      <c r="P142" s="215"/>
      <c r="Q142" s="215"/>
      <c r="R142" s="215"/>
      <c r="S142" s="215"/>
      <c r="T142" s="215"/>
      <c r="U142" s="215"/>
      <c r="V142" s="215"/>
      <c r="W142" s="215"/>
      <c r="X142" s="215"/>
      <c r="Y142" s="215"/>
      <c r="Z142" s="215"/>
      <c r="AA142" s="215"/>
      <c r="AB142" s="215"/>
      <c r="AC142" s="215"/>
      <c r="AD142" s="215"/>
      <c r="AE142" s="215"/>
      <c r="AF142" s="215"/>
      <c r="AG142" s="215"/>
      <c r="AH142" s="215"/>
      <c r="AI142" s="215"/>
    </row>
    <row r="143" spans="1:36" x14ac:dyDescent="0.25">
      <c r="E143" s="215"/>
      <c r="F143" s="215"/>
      <c r="G143" s="215"/>
      <c r="H143" s="215"/>
      <c r="I143" s="215"/>
      <c r="J143" s="215"/>
      <c r="K143" s="215"/>
      <c r="L143" s="215"/>
      <c r="M143" s="215"/>
      <c r="N143" s="215"/>
      <c r="O143" s="215"/>
      <c r="P143" s="215"/>
      <c r="Q143" s="215"/>
      <c r="R143" s="215"/>
      <c r="S143" s="215"/>
      <c r="T143" s="215"/>
      <c r="U143" s="215"/>
      <c r="V143" s="215"/>
      <c r="W143" s="215"/>
      <c r="X143" s="215"/>
      <c r="Y143" s="215"/>
      <c r="Z143" s="215"/>
      <c r="AA143" s="215"/>
      <c r="AB143" s="215"/>
      <c r="AC143" s="215"/>
      <c r="AD143" s="215"/>
      <c r="AE143" s="215"/>
      <c r="AF143" s="215"/>
      <c r="AG143" s="215"/>
      <c r="AH143" s="215"/>
      <c r="AI143" s="215"/>
      <c r="AJ143" s="215"/>
    </row>
    <row r="144" spans="1:36" x14ac:dyDescent="0.25">
      <c r="A144" s="215"/>
      <c r="B144" s="215"/>
      <c r="C144" s="215"/>
      <c r="D144" s="215"/>
      <c r="E144" s="215"/>
      <c r="F144" s="215"/>
      <c r="G144" s="215"/>
      <c r="H144" s="215"/>
      <c r="I144" s="215"/>
      <c r="J144" s="215"/>
      <c r="K144" s="215"/>
      <c r="L144" s="215"/>
      <c r="M144" s="215"/>
      <c r="N144" s="215"/>
      <c r="O144" s="215"/>
      <c r="P144" s="215"/>
      <c r="Q144" s="215"/>
      <c r="R144" s="215"/>
      <c r="S144" s="215"/>
      <c r="T144" s="215"/>
      <c r="U144" s="215"/>
      <c r="V144" s="215"/>
      <c r="W144" s="215"/>
      <c r="X144" s="215"/>
      <c r="Y144" s="215"/>
      <c r="Z144" s="215"/>
      <c r="AA144" s="215"/>
      <c r="AB144" s="215"/>
      <c r="AC144" s="215"/>
      <c r="AD144" s="215"/>
      <c r="AE144" s="215"/>
      <c r="AF144" s="215"/>
      <c r="AG144" s="215"/>
      <c r="AH144" s="215"/>
      <c r="AI144" s="215"/>
      <c r="AJ144" s="215"/>
    </row>
    <row r="145" spans="1:36" x14ac:dyDescent="0.25">
      <c r="A145" s="215"/>
      <c r="B145" s="215"/>
      <c r="C145" s="215"/>
      <c r="D145" s="215"/>
      <c r="E145" s="215"/>
      <c r="F145" s="215"/>
      <c r="G145" s="215"/>
      <c r="H145" s="215"/>
      <c r="I145" s="215"/>
      <c r="J145" s="215"/>
      <c r="K145" s="215"/>
      <c r="L145" s="215"/>
      <c r="M145" s="215"/>
      <c r="N145" s="215"/>
      <c r="O145" s="215"/>
      <c r="P145" s="215"/>
      <c r="Q145" s="215"/>
      <c r="R145" s="215"/>
      <c r="S145" s="215"/>
      <c r="T145" s="215"/>
      <c r="U145" s="215"/>
      <c r="V145" s="215"/>
      <c r="W145" s="215"/>
      <c r="X145" s="215"/>
      <c r="Y145" s="215"/>
      <c r="Z145" s="215"/>
      <c r="AA145" s="215"/>
      <c r="AB145" s="215"/>
      <c r="AC145" s="215"/>
      <c r="AD145" s="215"/>
      <c r="AE145" s="215"/>
      <c r="AF145" s="215"/>
      <c r="AG145" s="215"/>
      <c r="AH145" s="215"/>
      <c r="AI145" s="215"/>
      <c r="AJ145" s="215"/>
    </row>
    <row r="146" spans="1:36" x14ac:dyDescent="0.25">
      <c r="A146" s="215"/>
      <c r="B146" s="215"/>
      <c r="C146" s="215"/>
      <c r="D146" s="215"/>
      <c r="E146" s="215"/>
      <c r="F146" s="215"/>
      <c r="G146" s="215"/>
      <c r="H146" s="215"/>
      <c r="I146" s="215"/>
      <c r="J146" s="215"/>
      <c r="K146" s="215"/>
      <c r="L146" s="215"/>
      <c r="M146" s="215"/>
      <c r="N146" s="215"/>
      <c r="O146" s="215"/>
      <c r="P146" s="215"/>
      <c r="Q146" s="215"/>
      <c r="R146" s="215"/>
      <c r="S146" s="215"/>
      <c r="T146" s="215"/>
      <c r="U146" s="215"/>
      <c r="V146" s="215"/>
      <c r="W146" s="215"/>
      <c r="X146" s="215"/>
      <c r="Y146" s="215"/>
      <c r="Z146" s="215"/>
      <c r="AA146" s="215"/>
      <c r="AB146" s="215"/>
      <c r="AC146" s="215"/>
      <c r="AD146" s="215"/>
      <c r="AE146" s="215"/>
      <c r="AF146" s="215"/>
      <c r="AG146" s="215"/>
      <c r="AH146" s="215"/>
      <c r="AI146" s="215"/>
      <c r="AJ146" s="215"/>
    </row>
    <row r="147" spans="1:36" x14ac:dyDescent="0.25">
      <c r="A147" s="215"/>
      <c r="B147" s="215"/>
      <c r="C147" s="215"/>
      <c r="D147" s="215"/>
      <c r="E147" s="215"/>
      <c r="F147" s="215"/>
      <c r="G147" s="215"/>
      <c r="H147" s="215"/>
      <c r="I147" s="215"/>
      <c r="J147" s="215"/>
      <c r="K147" s="215"/>
      <c r="L147" s="215"/>
      <c r="M147" s="215"/>
      <c r="N147" s="215"/>
      <c r="O147" s="215"/>
      <c r="P147" s="215"/>
      <c r="Q147" s="215"/>
      <c r="R147" s="215"/>
      <c r="S147" s="215"/>
      <c r="T147" s="215"/>
      <c r="U147" s="215"/>
      <c r="V147" s="215"/>
      <c r="W147" s="215"/>
      <c r="X147" s="215"/>
      <c r="Y147" s="215"/>
      <c r="Z147" s="215"/>
      <c r="AA147" s="215"/>
      <c r="AB147" s="215"/>
      <c r="AC147" s="215"/>
      <c r="AD147" s="215"/>
      <c r="AE147" s="215"/>
      <c r="AF147" s="215"/>
      <c r="AG147" s="215"/>
      <c r="AH147" s="215"/>
      <c r="AI147" s="215"/>
      <c r="AJ147" s="215"/>
    </row>
    <row r="148" spans="1:36" x14ac:dyDescent="0.25">
      <c r="A148" s="215"/>
      <c r="B148" s="215"/>
      <c r="C148" s="215"/>
      <c r="D148" s="215"/>
      <c r="E148" s="215"/>
      <c r="F148" s="215"/>
      <c r="G148" s="215"/>
      <c r="H148" s="215"/>
      <c r="I148" s="215"/>
      <c r="J148" s="215"/>
      <c r="K148" s="215"/>
      <c r="L148" s="215"/>
      <c r="M148" s="215"/>
      <c r="N148" s="215"/>
      <c r="O148" s="215"/>
      <c r="P148" s="215"/>
      <c r="Q148" s="215"/>
      <c r="R148" s="215"/>
      <c r="S148" s="215"/>
      <c r="T148" s="215"/>
      <c r="U148" s="215"/>
      <c r="V148" s="215"/>
      <c r="W148" s="215"/>
      <c r="X148" s="215"/>
      <c r="Y148" s="215"/>
      <c r="Z148" s="215"/>
      <c r="AA148" s="215"/>
      <c r="AB148" s="215"/>
      <c r="AC148" s="215"/>
      <c r="AD148" s="215"/>
      <c r="AE148" s="215"/>
      <c r="AF148" s="215"/>
      <c r="AG148" s="215"/>
      <c r="AH148" s="215"/>
      <c r="AI148" s="215"/>
      <c r="AJ148" s="215"/>
    </row>
    <row r="149" spans="1:36" x14ac:dyDescent="0.25">
      <c r="A149" s="215"/>
      <c r="B149" s="215"/>
      <c r="C149" s="215"/>
      <c r="D149" s="215"/>
      <c r="E149" s="215"/>
      <c r="F149" s="215"/>
      <c r="G149" s="215"/>
      <c r="H149" s="215"/>
      <c r="I149" s="215"/>
      <c r="J149" s="215"/>
      <c r="K149" s="215"/>
      <c r="L149" s="215"/>
      <c r="M149" s="215"/>
      <c r="N149" s="215"/>
      <c r="O149" s="215"/>
      <c r="P149" s="215"/>
      <c r="Q149" s="215"/>
      <c r="R149" s="215"/>
      <c r="S149" s="215"/>
      <c r="T149" s="215"/>
      <c r="U149" s="215"/>
      <c r="V149" s="215"/>
      <c r="W149" s="215"/>
      <c r="X149" s="215"/>
      <c r="Y149" s="215"/>
      <c r="Z149" s="215"/>
      <c r="AA149" s="215"/>
      <c r="AB149" s="215"/>
      <c r="AC149" s="215"/>
      <c r="AD149" s="215"/>
      <c r="AE149" s="215"/>
      <c r="AF149" s="215"/>
      <c r="AG149" s="215"/>
      <c r="AH149" s="215"/>
      <c r="AI149" s="215"/>
      <c r="AJ149" s="215"/>
    </row>
    <row r="150" spans="1:36" x14ac:dyDescent="0.25">
      <c r="A150" s="215"/>
      <c r="B150" s="215"/>
      <c r="C150" s="215"/>
      <c r="D150" s="215"/>
      <c r="E150" s="215"/>
      <c r="F150" s="215"/>
      <c r="G150" s="215"/>
      <c r="H150" s="215"/>
      <c r="I150" s="215"/>
      <c r="J150" s="215"/>
      <c r="K150" s="215"/>
      <c r="L150" s="215"/>
      <c r="M150" s="215"/>
      <c r="N150" s="215"/>
      <c r="O150" s="215"/>
      <c r="P150" s="215"/>
      <c r="Q150" s="215"/>
      <c r="R150" s="215"/>
      <c r="S150" s="215"/>
      <c r="T150" s="215"/>
      <c r="U150" s="215"/>
      <c r="V150" s="215"/>
      <c r="W150" s="215"/>
      <c r="X150" s="215"/>
      <c r="Y150" s="215"/>
      <c r="Z150" s="215"/>
      <c r="AA150" s="215"/>
      <c r="AB150" s="215"/>
      <c r="AC150" s="215"/>
      <c r="AD150" s="215"/>
      <c r="AE150" s="215"/>
      <c r="AF150" s="215"/>
      <c r="AG150" s="215"/>
      <c r="AH150" s="215"/>
      <c r="AI150" s="215"/>
      <c r="AJ150" s="215"/>
    </row>
    <row r="151" spans="1:36" x14ac:dyDescent="0.25">
      <c r="A151" s="215"/>
      <c r="B151" s="215"/>
      <c r="C151" s="215"/>
      <c r="D151" s="215"/>
      <c r="E151" s="215"/>
      <c r="F151" s="215"/>
      <c r="G151" s="215"/>
      <c r="H151" s="215"/>
      <c r="I151" s="215"/>
      <c r="J151" s="215"/>
      <c r="K151" s="215"/>
      <c r="L151" s="215"/>
      <c r="M151" s="215"/>
      <c r="N151" s="215"/>
      <c r="O151" s="215"/>
      <c r="P151" s="215"/>
      <c r="Q151" s="215"/>
      <c r="R151" s="215"/>
      <c r="S151" s="215"/>
      <c r="T151" s="215"/>
      <c r="U151" s="215"/>
      <c r="V151" s="215"/>
      <c r="W151" s="215"/>
      <c r="X151" s="215"/>
      <c r="Y151" s="215"/>
      <c r="Z151" s="215"/>
      <c r="AA151" s="215"/>
      <c r="AB151" s="215"/>
      <c r="AC151" s="215"/>
      <c r="AD151" s="215"/>
      <c r="AE151" s="215"/>
      <c r="AF151" s="215"/>
      <c r="AG151" s="215"/>
      <c r="AH151" s="215"/>
      <c r="AI151" s="215"/>
      <c r="AJ151" s="215"/>
    </row>
    <row r="152" spans="1:36" x14ac:dyDescent="0.25">
      <c r="A152" s="215"/>
      <c r="B152" s="215"/>
      <c r="C152" s="215"/>
      <c r="D152" s="215"/>
      <c r="E152" s="215"/>
      <c r="F152" s="215"/>
      <c r="G152" s="215"/>
      <c r="H152" s="215"/>
      <c r="I152" s="215"/>
      <c r="J152" s="215"/>
      <c r="K152" s="215"/>
      <c r="L152" s="215"/>
      <c r="M152" s="215"/>
      <c r="N152" s="215"/>
      <c r="O152" s="215"/>
      <c r="P152" s="215"/>
      <c r="Q152" s="215"/>
      <c r="R152" s="215"/>
      <c r="S152" s="215"/>
      <c r="T152" s="215"/>
      <c r="U152" s="215"/>
      <c r="V152" s="215"/>
      <c r="W152" s="215"/>
      <c r="X152" s="215"/>
      <c r="Y152" s="215"/>
      <c r="Z152" s="215"/>
      <c r="AA152" s="215"/>
      <c r="AB152" s="215"/>
      <c r="AC152" s="215"/>
      <c r="AD152" s="215"/>
      <c r="AE152" s="215"/>
      <c r="AF152" s="215"/>
      <c r="AG152" s="215"/>
      <c r="AH152" s="215"/>
      <c r="AI152" s="215"/>
      <c r="AJ152" s="215"/>
    </row>
    <row r="153" spans="1:36" x14ac:dyDescent="0.25">
      <c r="A153" s="215"/>
      <c r="B153" s="215"/>
      <c r="C153" s="215"/>
      <c r="D153" s="215"/>
      <c r="E153" s="215"/>
      <c r="F153" s="215"/>
      <c r="G153" s="215"/>
      <c r="H153" s="215"/>
      <c r="I153" s="215"/>
      <c r="J153" s="215"/>
      <c r="K153" s="215"/>
      <c r="L153" s="215"/>
      <c r="M153" s="215"/>
      <c r="N153" s="215"/>
      <c r="O153" s="215"/>
      <c r="P153" s="215"/>
      <c r="Q153" s="215"/>
      <c r="R153" s="215"/>
      <c r="S153" s="215"/>
      <c r="T153" s="215"/>
      <c r="U153" s="215"/>
      <c r="V153" s="215"/>
      <c r="W153" s="215"/>
      <c r="X153" s="215"/>
      <c r="Y153" s="215"/>
      <c r="Z153" s="215"/>
      <c r="AA153" s="215"/>
      <c r="AB153" s="215"/>
      <c r="AC153" s="215"/>
      <c r="AD153" s="215"/>
      <c r="AE153" s="215"/>
      <c r="AF153" s="215"/>
      <c r="AG153" s="215"/>
      <c r="AH153" s="215"/>
      <c r="AI153" s="215"/>
      <c r="AJ153" s="215"/>
    </row>
    <row r="154" spans="1:36" x14ac:dyDescent="0.25">
      <c r="A154" s="215"/>
      <c r="B154" s="215"/>
      <c r="C154" s="215"/>
      <c r="D154" s="215"/>
      <c r="E154" s="215"/>
      <c r="F154" s="215"/>
      <c r="G154" s="215"/>
      <c r="H154" s="215"/>
      <c r="I154" s="215"/>
      <c r="J154" s="215"/>
      <c r="K154" s="215"/>
      <c r="L154" s="215"/>
      <c r="M154" s="215"/>
      <c r="N154" s="215"/>
      <c r="O154" s="215"/>
      <c r="P154" s="215"/>
      <c r="Q154" s="215"/>
      <c r="R154" s="215"/>
      <c r="S154" s="215"/>
      <c r="T154" s="215"/>
      <c r="U154" s="215"/>
      <c r="V154" s="215"/>
      <c r="W154" s="215"/>
      <c r="X154" s="215"/>
      <c r="Y154" s="215"/>
      <c r="Z154" s="215"/>
      <c r="AA154" s="215"/>
      <c r="AB154" s="215"/>
      <c r="AC154" s="215"/>
      <c r="AD154" s="215"/>
      <c r="AE154" s="215"/>
      <c r="AF154" s="215"/>
      <c r="AG154" s="215"/>
      <c r="AH154" s="215"/>
      <c r="AI154" s="215"/>
      <c r="AJ154" s="215"/>
    </row>
    <row r="155" spans="1:36" x14ac:dyDescent="0.25">
      <c r="A155" s="215"/>
      <c r="B155" s="215"/>
      <c r="C155" s="215"/>
      <c r="D155" s="215"/>
      <c r="E155" s="215"/>
      <c r="F155" s="215"/>
      <c r="G155" s="215"/>
      <c r="H155" s="215"/>
      <c r="I155" s="215"/>
      <c r="J155" s="215"/>
      <c r="K155" s="215"/>
      <c r="L155" s="215"/>
      <c r="M155" s="215"/>
      <c r="N155" s="215"/>
      <c r="O155" s="215"/>
      <c r="P155" s="215"/>
      <c r="Q155" s="215"/>
      <c r="R155" s="215"/>
      <c r="S155" s="215"/>
      <c r="T155" s="215"/>
      <c r="U155" s="215"/>
      <c r="V155" s="215"/>
      <c r="W155" s="215"/>
      <c r="X155" s="215"/>
      <c r="Y155" s="215"/>
      <c r="Z155" s="215"/>
      <c r="AA155" s="215"/>
      <c r="AB155" s="215"/>
      <c r="AC155" s="215"/>
      <c r="AD155" s="215"/>
      <c r="AE155" s="215"/>
      <c r="AF155" s="215"/>
      <c r="AG155" s="215"/>
      <c r="AH155" s="215"/>
      <c r="AI155" s="215"/>
      <c r="AJ155" s="215"/>
    </row>
    <row r="156" spans="1:36" x14ac:dyDescent="0.25">
      <c r="A156" s="215"/>
      <c r="B156" s="215"/>
      <c r="C156" s="215"/>
      <c r="D156" s="215"/>
    </row>
    <row r="157" spans="1:36" x14ac:dyDescent="0.25">
      <c r="A157" s="215"/>
      <c r="B157" s="215"/>
      <c r="C157" s="215"/>
      <c r="D157" s="215"/>
    </row>
    <row r="158" spans="1:36" x14ac:dyDescent="0.25">
      <c r="A158" s="215"/>
      <c r="B158" s="215"/>
      <c r="C158" s="215"/>
      <c r="D158" s="215"/>
    </row>
    <row r="159" spans="1:36" x14ac:dyDescent="0.25">
      <c r="A159" s="215"/>
      <c r="B159" s="215"/>
      <c r="C159" s="215"/>
      <c r="D159" s="215"/>
    </row>
    <row r="160" spans="1:36" x14ac:dyDescent="0.25">
      <c r="A160" s="215"/>
      <c r="B160" s="215"/>
      <c r="C160" s="215"/>
      <c r="D160" s="215"/>
    </row>
    <row r="161" spans="1:4" x14ac:dyDescent="0.25">
      <c r="A161" s="215"/>
      <c r="B161" s="215"/>
      <c r="C161" s="215"/>
      <c r="D161" s="215"/>
    </row>
    <row r="162" spans="1:4" x14ac:dyDescent="0.25">
      <c r="A162" s="215"/>
      <c r="B162" s="215"/>
      <c r="C162" s="215"/>
      <c r="D162" s="215"/>
    </row>
    <row r="163" spans="1:4" x14ac:dyDescent="0.25">
      <c r="A163" s="215"/>
      <c r="B163" s="215"/>
      <c r="C163" s="215"/>
      <c r="D163" s="215"/>
    </row>
    <row r="164" spans="1:4" x14ac:dyDescent="0.25">
      <c r="A164" s="215"/>
      <c r="B164" s="215"/>
      <c r="C164" s="215"/>
      <c r="D164" s="215"/>
    </row>
    <row r="165" spans="1:4" x14ac:dyDescent="0.25">
      <c r="A165" s="215"/>
      <c r="B165" s="215"/>
      <c r="C165" s="215"/>
      <c r="D165" s="215"/>
    </row>
    <row r="166" spans="1:4" x14ac:dyDescent="0.25">
      <c r="A166" s="215"/>
      <c r="B166" s="215"/>
      <c r="C166" s="215"/>
      <c r="D166" s="215"/>
    </row>
    <row r="167" spans="1:4" x14ac:dyDescent="0.25">
      <c r="A167" s="215"/>
      <c r="B167" s="215"/>
      <c r="C167" s="215"/>
      <c r="D167" s="215"/>
    </row>
    <row r="168" spans="1:4" x14ac:dyDescent="0.25">
      <c r="A168" s="215"/>
      <c r="B168" s="215"/>
      <c r="C168" s="215"/>
      <c r="D168" s="215"/>
    </row>
    <row r="169" spans="1:4" x14ac:dyDescent="0.25">
      <c r="A169" s="215"/>
      <c r="B169" s="215"/>
      <c r="C169" s="215"/>
      <c r="D169" s="215"/>
    </row>
    <row r="170" spans="1:4" x14ac:dyDescent="0.25">
      <c r="A170" s="215"/>
      <c r="B170" s="215"/>
      <c r="C170" s="215"/>
      <c r="D170" s="215"/>
    </row>
  </sheetData>
  <sheetProtection selectLockedCells="1"/>
  <mergeCells count="36">
    <mergeCell ref="A4:G4"/>
    <mergeCell ref="B24:D24"/>
    <mergeCell ref="A39:E39"/>
    <mergeCell ref="A5:F5"/>
    <mergeCell ref="A6:F6"/>
    <mergeCell ref="A7:F7"/>
    <mergeCell ref="B11:D11"/>
    <mergeCell ref="A9:E9"/>
    <mergeCell ref="A27:D27"/>
    <mergeCell ref="C15:D15"/>
    <mergeCell ref="A14:D14"/>
    <mergeCell ref="B10:D10"/>
    <mergeCell ref="A109:G109"/>
    <mergeCell ref="A86:C86"/>
    <mergeCell ref="A50:H50"/>
    <mergeCell ref="A56:H56"/>
    <mergeCell ref="A78:B78"/>
    <mergeCell ref="A95:B95"/>
    <mergeCell ref="A91:B91"/>
    <mergeCell ref="A66:E66"/>
    <mergeCell ref="A63:D63"/>
    <mergeCell ref="A64:C64"/>
    <mergeCell ref="A67:C67"/>
    <mergeCell ref="E67:G67"/>
    <mergeCell ref="A104:G104"/>
    <mergeCell ref="A106:B106"/>
    <mergeCell ref="J15:M15"/>
    <mergeCell ref="G39:K39"/>
    <mergeCell ref="A88:C88"/>
    <mergeCell ref="A87:C87"/>
    <mergeCell ref="A107:D107"/>
    <mergeCell ref="C28:D28"/>
    <mergeCell ref="C36:D36"/>
    <mergeCell ref="A77:F77"/>
    <mergeCell ref="A84:D84"/>
    <mergeCell ref="A49:I49"/>
  </mergeCells>
  <conditionalFormatting sqref="H16:H22">
    <cfRule type="cellIs" dxfId="726" priority="1" operator="greaterThanOrEqual">
      <formula>0.1</formula>
    </cfRule>
  </conditionalFormatting>
  <dataValidations count="6">
    <dataValidation type="list" allowBlank="1" showInputMessage="1" showErrorMessage="1" sqref="A24">
      <formula1>$A$16:$A$22</formula1>
    </dataValidation>
    <dataValidation type="list" allowBlank="1" showInputMessage="1" showErrorMessage="1" sqref="B2">
      <formula1>"Panorâmico,Tomografia Odontológica,Cefalométrico one-shot,Cefalométrico de varredura"</formula1>
    </dataValidation>
    <dataValidation type="list" allowBlank="1" showInputMessage="1" showErrorMessage="1" sqref="D64">
      <formula1>"Ok,Com artefatos,Não possui,NA"</formula1>
    </dataValidation>
    <dataValidation type="list" allowBlank="1" showInputMessage="1" showErrorMessage="1" sqref="C29">
      <formula1>"mA,mAs"</formula1>
    </dataValidation>
    <dataValidation type="list" allowBlank="1" showInputMessage="1" showErrorMessage="1" sqref="C106">
      <formula1>"Sim,Não,NA"</formula1>
    </dataValidation>
    <dataValidation type="list" allowBlank="1" showInputMessage="1" showErrorMessage="1" sqref="E107 B110">
      <formula1>"Sim,Não"</formula1>
    </dataValidation>
  </dataValidations>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Tabelas2!$D$5:$D$6</xm:f>
          </x14:formula1>
          <xm:sqref>E10:E11 G5:G7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L231"/>
  <sheetViews>
    <sheetView view="pageBreakPreview" zoomScale="115" zoomScaleNormal="100" zoomScaleSheetLayoutView="115" zoomScalePageLayoutView="130" workbookViewId="0">
      <pane ySplit="1" topLeftCell="A150" activePane="bottomLeft" state="frozen"/>
      <selection activeCell="C12" sqref="C12:J13"/>
      <selection pane="bottomLeft" activeCell="C12" sqref="C12:J13"/>
    </sheetView>
  </sheetViews>
  <sheetFormatPr defaultColWidth="9.140625" defaultRowHeight="15" customHeight="1" x14ac:dyDescent="0.25"/>
  <cols>
    <col min="1" max="1" width="9.140625" style="2137"/>
    <col min="2" max="2" width="9.140625" style="2137" customWidth="1"/>
    <col min="3" max="8" width="9.140625" style="2137"/>
    <col min="9" max="9" width="9.140625" style="2137" customWidth="1"/>
    <col min="10" max="10" width="9" style="2137" customWidth="1"/>
    <col min="11" max="16384" width="9.140625" style="2137"/>
  </cols>
  <sheetData>
    <row r="1" spans="1:11" s="2147" customFormat="1" ht="15" customHeight="1" x14ac:dyDescent="0.25">
      <c r="A1" s="2856" t="e">
        <f>Cabeçalho!B6</f>
        <v>#N/A</v>
      </c>
      <c r="B1" s="2856"/>
      <c r="C1" s="2856"/>
      <c r="D1" s="2856"/>
      <c r="E1" s="2857" t="e">
        <f>IF(Cabeçalho!$B$15="",CONCATENATE(LOOKUP(Cabeçalho!$B$14,Tabelas2!$A$23:$A$32,Tabelas2!$B$23:$B$32),IF(Cabeçalho!$B$16&lt;&gt;0," - ",""),UPPER(Cabeçalho!$B$16)),CONCATENATE(LOOKUP(Cabeçalho!$B$14,Tabelas2!$A$23:$A$32,Tabelas2!$B$23:$B$32)," - ",Cabeçalho!$B$15," - ",UPPER(Cabeçalho!$B$16)))</f>
        <v>#N/A</v>
      </c>
      <c r="F1" s="2857"/>
      <c r="G1" s="2857"/>
      <c r="H1" s="2857"/>
      <c r="I1" s="2146" t="s">
        <v>112</v>
      </c>
      <c r="J1" s="2170" t="e">
        <f>Cabeçalho!B12</f>
        <v>#N/A</v>
      </c>
      <c r="K1" s="279" t="s">
        <v>702</v>
      </c>
    </row>
    <row r="3" spans="1:11" ht="15" customHeight="1" x14ac:dyDescent="0.25">
      <c r="A3" s="2483" t="s">
        <v>113</v>
      </c>
      <c r="B3" s="2483"/>
      <c r="C3" s="2483"/>
      <c r="D3" s="2483"/>
      <c r="E3" s="2483"/>
      <c r="F3" s="2483"/>
      <c r="G3" s="2483"/>
      <c r="H3" s="2483"/>
      <c r="I3" s="2483"/>
    </row>
    <row r="5" spans="1:11" ht="15" customHeight="1" x14ac:dyDescent="0.25">
      <c r="A5" s="2483" t="s">
        <v>114</v>
      </c>
      <c r="B5" s="2483"/>
      <c r="C5" s="2483"/>
      <c r="D5" s="2483"/>
      <c r="E5" s="2483"/>
      <c r="F5" s="2483"/>
      <c r="G5" s="2483"/>
      <c r="H5" s="2483"/>
      <c r="I5" s="2483"/>
    </row>
    <row r="9" spans="1:11" ht="15" customHeight="1" x14ac:dyDescent="0.25">
      <c r="C9" s="2484" t="e">
        <f>Cabeçalho!B6</f>
        <v>#N/A</v>
      </c>
      <c r="D9" s="2484"/>
      <c r="E9" s="2484"/>
      <c r="F9" s="2484"/>
      <c r="G9" s="2484"/>
      <c r="H9" s="2484"/>
      <c r="I9" s="2484"/>
      <c r="J9" s="2484"/>
    </row>
    <row r="10" spans="1:11" ht="15" customHeight="1" x14ac:dyDescent="0.25">
      <c r="C10" s="2484"/>
      <c r="D10" s="2484"/>
      <c r="E10" s="2484"/>
      <c r="F10" s="2484"/>
      <c r="G10" s="2484"/>
      <c r="H10" s="2484"/>
      <c r="I10" s="2484"/>
      <c r="J10" s="2484"/>
    </row>
    <row r="11" spans="1:11" ht="15" customHeight="1" x14ac:dyDescent="0.25">
      <c r="B11" s="281"/>
      <c r="C11" s="281"/>
      <c r="D11" s="281"/>
      <c r="E11" s="281"/>
      <c r="F11" s="281"/>
      <c r="G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row>
    <row r="15" spans="1:11" ht="15" customHeight="1" x14ac:dyDescent="0.25">
      <c r="C15" s="280" t="e">
        <f>Cabeçalho!B8</f>
        <v>#N/A</v>
      </c>
      <c r="E15" s="281" t="e">
        <f>CONCATENATE(Cabeçalho!B9,", ",Cabeçalho!B10)</f>
        <v>#N/A</v>
      </c>
      <c r="F15" s="281"/>
      <c r="G15" s="281"/>
    </row>
    <row r="17" spans="1:10" ht="30" customHeight="1" x14ac:dyDescent="0.25">
      <c r="A17" s="2137" t="s">
        <v>115</v>
      </c>
      <c r="C17" s="2486" t="e">
        <f>Cabeçalho!B4</f>
        <v>#N/A</v>
      </c>
      <c r="D17" s="2486"/>
      <c r="E17" s="2486"/>
      <c r="F17" s="2486"/>
      <c r="G17" s="2486"/>
      <c r="H17" s="2486"/>
      <c r="I17" s="2486"/>
      <c r="J17" s="2486"/>
    </row>
    <row r="18" spans="1:10" ht="15" customHeight="1" x14ac:dyDescent="0.25">
      <c r="C18" s="280" t="e">
        <f>Cabeçalho!B5</f>
        <v>#N/A</v>
      </c>
    </row>
    <row r="19" spans="1:10" ht="15" customHeight="1" x14ac:dyDescent="0.25">
      <c r="C19" s="282"/>
    </row>
    <row r="21" spans="1:10" ht="15" customHeight="1" x14ac:dyDescent="0.25">
      <c r="A21" s="281" t="s">
        <v>116</v>
      </c>
    </row>
    <row r="22" spans="1:10" ht="15" customHeight="1" x14ac:dyDescent="0.25">
      <c r="A22" s="2469" t="str">
        <f>IntroRDC</f>
        <v xml:space="preserve">               Este Laudo Técnico é parte do Programa de Garantia da Qualidade, conforme Resolução da Diretoria Colegiada - RDC 611/2022 da ANVISA.</v>
      </c>
      <c r="B22" s="2469"/>
      <c r="C22" s="2469"/>
      <c r="D22" s="2469"/>
      <c r="E22" s="2469"/>
      <c r="F22" s="2469"/>
      <c r="G22" s="2469"/>
      <c r="H22" s="2469"/>
      <c r="I22" s="2469"/>
      <c r="J22" s="2469"/>
    </row>
    <row r="23" spans="1:10" ht="15" customHeight="1" x14ac:dyDescent="0.25">
      <c r="A23" s="2469"/>
      <c r="B23" s="2469"/>
      <c r="C23" s="2469"/>
      <c r="D23" s="2469"/>
      <c r="E23" s="2469"/>
      <c r="F23" s="2469"/>
      <c r="G23" s="2469"/>
      <c r="H23" s="2469"/>
      <c r="I23" s="2469"/>
      <c r="J23" s="2469"/>
    </row>
    <row r="24" spans="1:10" ht="15" customHeight="1" x14ac:dyDescent="0.25">
      <c r="A24" s="2469" t="str">
        <f>IntroProtocolo</f>
        <v xml:space="preserve">               A metodologia utilizada atende aos "Protocolos para Execução de Testes em Sistemas de Radiologia Diagnóstica e Intervencionista" do CONFEA.</v>
      </c>
      <c r="B24" s="2469"/>
      <c r="C24" s="2469"/>
      <c r="D24" s="2469"/>
      <c r="E24" s="2469"/>
      <c r="F24" s="2469"/>
      <c r="G24" s="2469"/>
      <c r="H24" s="2469"/>
      <c r="I24" s="2469"/>
      <c r="J24" s="2469"/>
    </row>
    <row r="25" spans="1:10" ht="15" customHeight="1" x14ac:dyDescent="0.25">
      <c r="A25" s="2469"/>
      <c r="B25" s="2469"/>
      <c r="C25" s="2469"/>
      <c r="D25" s="2469"/>
      <c r="E25" s="2469"/>
      <c r="F25" s="2469"/>
      <c r="G25" s="2469"/>
      <c r="H25" s="2469"/>
      <c r="I25" s="2469"/>
      <c r="J25" s="2469"/>
    </row>
    <row r="26" spans="1:10" ht="15" customHeight="1" x14ac:dyDescent="0.25">
      <c r="A26" s="2469" t="str">
        <f>IntroNR32</f>
        <v xml:space="preserve">               Serve para comprovação e/ou como subsídio para atendimento da Norma Regulamentadora NR-32 do MTb.</v>
      </c>
      <c r="B26" s="2469"/>
      <c r="C26" s="2469"/>
      <c r="D26" s="2469"/>
      <c r="E26" s="2469"/>
      <c r="F26" s="2469"/>
      <c r="G26" s="2469"/>
      <c r="H26" s="2469"/>
      <c r="I26" s="2469"/>
      <c r="J26" s="2469"/>
    </row>
    <row r="27" spans="1:10" ht="15" customHeight="1" x14ac:dyDescent="0.25">
      <c r="A27" s="2469"/>
      <c r="B27" s="2469"/>
      <c r="C27" s="2469"/>
      <c r="D27" s="2469"/>
      <c r="E27" s="2469"/>
      <c r="F27" s="2469"/>
      <c r="G27" s="2469"/>
      <c r="H27" s="2469"/>
      <c r="I27" s="2469"/>
      <c r="J27" s="2469"/>
    </row>
    <row r="29" spans="1:10" ht="15" customHeight="1" x14ac:dyDescent="0.25">
      <c r="A29" s="281" t="s">
        <v>117</v>
      </c>
    </row>
    <row r="30" spans="1:10" ht="15" customHeight="1" x14ac:dyDescent="0.25">
      <c r="A30" s="2469" t="str">
        <f>"                 Verificar parâmetros técnicos e condições de desempenho do equipamento de raios X e a conformidade do mesmo com a Instrução Normativa "&amp;VLOOKUP("Extraoral",IN_ANVISA[],2)&amp;"/"&amp;VLOOKUP("Extraoral",IN_ANVISA[],3)&amp;" da ANVISA e a Norma Regulamentadora NR-32 do MTb."</f>
        <v xml:space="preserve">                 Verificar parâmetros técnicos e condições de desempenho do equipamento de raios X e a conformidade do mesmo com a Instrução Normativa 94/2021 da ANVISA e a Norma Regulamentadora NR-32 do MTb.</v>
      </c>
      <c r="B30" s="2469"/>
      <c r="C30" s="2469"/>
      <c r="D30" s="2469"/>
      <c r="E30" s="2469"/>
      <c r="F30" s="2469"/>
      <c r="G30" s="2469"/>
      <c r="H30" s="2469"/>
      <c r="I30" s="2469"/>
      <c r="J30" s="2469"/>
    </row>
    <row r="31" spans="1:10" ht="15" customHeight="1" x14ac:dyDescent="0.25">
      <c r="A31" s="2469"/>
      <c r="B31" s="2469"/>
      <c r="C31" s="2469"/>
      <c r="D31" s="2469"/>
      <c r="E31" s="2469"/>
      <c r="F31" s="2469"/>
      <c r="G31" s="2469"/>
      <c r="H31" s="2469"/>
      <c r="I31" s="2469"/>
      <c r="J31" s="2469"/>
    </row>
    <row r="32" spans="1:10" ht="15" customHeight="1" x14ac:dyDescent="0.25">
      <c r="A32" s="2469"/>
      <c r="B32" s="2469"/>
      <c r="C32" s="2469"/>
      <c r="D32" s="2469"/>
      <c r="E32" s="2469"/>
      <c r="F32" s="2469"/>
      <c r="G32" s="2469"/>
      <c r="H32" s="2469"/>
      <c r="I32" s="2469"/>
      <c r="J32" s="2469"/>
    </row>
    <row r="33" spans="1:11" ht="15" customHeight="1" x14ac:dyDescent="0.25">
      <c r="A33" s="2469" t="str">
        <f>OBJETIVO</f>
        <v xml:space="preserve">                Fornecer elementos para aceitação ou rejeição do equipamento, bem como para corrigir eventuais desvios, falhas e anomalias.</v>
      </c>
      <c r="B33" s="2469"/>
      <c r="C33" s="2469"/>
      <c r="D33" s="2469"/>
      <c r="E33" s="2469"/>
      <c r="F33" s="2469"/>
      <c r="G33" s="2469"/>
      <c r="H33" s="2469"/>
      <c r="I33" s="2469"/>
      <c r="J33" s="2469"/>
    </row>
    <row r="34" spans="1:11" ht="15" customHeight="1" x14ac:dyDescent="0.25">
      <c r="A34" s="2469"/>
      <c r="B34" s="2469"/>
      <c r="C34" s="2469"/>
      <c r="D34" s="2469"/>
      <c r="E34" s="2469"/>
      <c r="F34" s="2469"/>
      <c r="G34" s="2469"/>
      <c r="H34" s="2469"/>
      <c r="I34" s="2469"/>
      <c r="J34" s="2469"/>
    </row>
    <row r="35" spans="1:11" ht="15" customHeight="1" x14ac:dyDescent="0.25">
      <c r="A35" s="2469" t="str">
        <f>ObjetivoCorreções</f>
        <v xml:space="preserve">               Verificar possíveis correções realizadas após o laudo de 00/01/00 deste mesmo equipamento.</v>
      </c>
      <c r="B35" s="2469"/>
      <c r="C35" s="2469"/>
      <c r="D35" s="2469"/>
      <c r="E35" s="2469"/>
      <c r="F35" s="2469"/>
      <c r="G35" s="2469"/>
      <c r="H35" s="2469"/>
      <c r="I35" s="2469"/>
      <c r="J35" s="2469"/>
      <c r="K35" s="2137" t="str">
        <f>IF(Cabeçalho!$B$17="","x","")</f>
        <v>x</v>
      </c>
    </row>
    <row r="36" spans="1:11" ht="15" customHeight="1" x14ac:dyDescent="0.25">
      <c r="A36" s="2469"/>
      <c r="B36" s="2469"/>
      <c r="C36" s="2469"/>
      <c r="D36" s="2469"/>
      <c r="E36" s="2469"/>
      <c r="F36" s="2469"/>
      <c r="G36" s="2469"/>
      <c r="H36" s="2469"/>
      <c r="I36" s="2469"/>
      <c r="J36" s="2469"/>
      <c r="K36" s="2137" t="str">
        <f>K35</f>
        <v>x</v>
      </c>
    </row>
    <row r="38" spans="1:11" ht="15" customHeight="1" x14ac:dyDescent="0.25">
      <c r="A38" s="281" t="s">
        <v>118</v>
      </c>
    </row>
    <row r="39" spans="1:11" ht="15" customHeight="1" x14ac:dyDescent="0.25">
      <c r="A39" s="2465" t="s">
        <v>119</v>
      </c>
      <c r="B39" s="2465"/>
      <c r="C39" s="2465"/>
      <c r="D39" s="2465" t="s">
        <v>120</v>
      </c>
      <c r="E39" s="2465"/>
      <c r="F39" s="2465"/>
      <c r="G39" s="2465" t="s">
        <v>121</v>
      </c>
      <c r="H39" s="2465"/>
      <c r="I39" s="2465" t="s">
        <v>475</v>
      </c>
      <c r="J39" s="2465"/>
    </row>
    <row r="40" spans="1:11" ht="15" customHeight="1" x14ac:dyDescent="0.25">
      <c r="A40" s="2482" t="str">
        <f>IF(Cabeçalho!G3="","*",Cabeçalho!G3)</f>
        <v>*</v>
      </c>
      <c r="B40" s="2482"/>
      <c r="C40" s="2482"/>
      <c r="D40" s="2858" t="str">
        <f>IF(Cabeçalho!G4="","*",Cabeçalho!G4)</f>
        <v>*</v>
      </c>
      <c r="E40" s="2859"/>
      <c r="F40" s="2860"/>
      <c r="G40" s="2472" t="str">
        <f>IF(Cabeçalho!G5="","*",Cabeçalho!G5)</f>
        <v>*</v>
      </c>
      <c r="H40" s="2472"/>
      <c r="I40" s="2472" t="str">
        <f>IF(Cabeçalho!G6="","*",Cabeçalho!G6)</f>
        <v>*</v>
      </c>
      <c r="J40" s="2472"/>
    </row>
    <row r="41" spans="1:11" ht="15" customHeight="1" x14ac:dyDescent="0.25">
      <c r="A41" s="2482"/>
      <c r="B41" s="2482"/>
      <c r="C41" s="2482"/>
      <c r="D41" s="2861"/>
      <c r="E41" s="2862"/>
      <c r="F41" s="2863"/>
      <c r="G41" s="2472"/>
      <c r="H41" s="2472"/>
      <c r="I41" s="2472"/>
      <c r="J41" s="2472"/>
    </row>
    <row r="42" spans="1:11" ht="15" customHeight="1" x14ac:dyDescent="0.25">
      <c r="A42" s="284" t="s">
        <v>835</v>
      </c>
    </row>
    <row r="43" spans="1:11" ht="15" customHeight="1" x14ac:dyDescent="0.25">
      <c r="A43" s="2475" t="s">
        <v>124</v>
      </c>
      <c r="B43" s="2475"/>
      <c r="C43" s="2475"/>
      <c r="D43" s="2475"/>
      <c r="E43" s="2473" t="s">
        <v>277</v>
      </c>
      <c r="F43" s="2473"/>
      <c r="G43" s="2473"/>
      <c r="H43" s="2473"/>
      <c r="I43" s="2473"/>
      <c r="J43" s="2473"/>
    </row>
    <row r="44" spans="1:11" ht="15" customHeight="1" x14ac:dyDescent="0.25">
      <c r="E44" s="2138"/>
      <c r="F44" s="2138"/>
      <c r="G44" s="2138"/>
      <c r="H44" s="2138"/>
      <c r="I44" s="2138"/>
      <c r="J44" s="2138"/>
    </row>
    <row r="45" spans="1:11" ht="15" customHeight="1" x14ac:dyDescent="0.25">
      <c r="A45" s="2473" t="s">
        <v>367</v>
      </c>
      <c r="B45" s="2473"/>
      <c r="C45" s="2473"/>
      <c r="D45" s="2473"/>
      <c r="E45" s="2473" t="str">
        <f>IF(Cabeçalho!G25=60,"Retificado em meia onda",IF(Cabeçalho!G25=120,"Retificado em onda completa",IF(Cabeçalho!G25="---","Retificado em alta frequência","Descarga capacitiva")))</f>
        <v>Descarga capacitiva</v>
      </c>
      <c r="F45" s="2473"/>
      <c r="G45" s="2473"/>
      <c r="H45" s="2473"/>
      <c r="I45" s="2473"/>
      <c r="J45" s="2473"/>
    </row>
    <row r="46" spans="1:11" ht="15" customHeight="1" x14ac:dyDescent="0.25">
      <c r="A46" s="2138" t="s">
        <v>1856</v>
      </c>
      <c r="B46" s="2138"/>
      <c r="C46" s="2138"/>
      <c r="D46" s="2138"/>
      <c r="E46" s="2256" t="str">
        <f>IF(Cabeçalho!G20&lt;&gt;"",Cabeçalho!G20,"NI")</f>
        <v>NI</v>
      </c>
      <c r="F46" s="2138"/>
      <c r="G46" s="2138"/>
      <c r="H46" s="2138"/>
      <c r="I46" s="2138"/>
      <c r="J46" s="2138"/>
    </row>
    <row r="47" spans="1:11" ht="15" customHeight="1" x14ac:dyDescent="0.25">
      <c r="A47" s="2473" t="s">
        <v>2349</v>
      </c>
      <c r="B47" s="2473"/>
      <c r="C47" s="2473"/>
      <c r="D47" s="2473"/>
      <c r="E47" s="2138" t="str">
        <f>IF(Cabeçalho!E24&lt;&gt;"",Cabeçalho!E24,"NI")</f>
        <v>NI</v>
      </c>
      <c r="F47" s="2138"/>
      <c r="G47" s="2138"/>
      <c r="H47" s="2138"/>
      <c r="I47" s="2138"/>
      <c r="J47" s="2138"/>
    </row>
    <row r="48" spans="1:11" ht="15" customHeight="1" x14ac:dyDescent="0.25">
      <c r="A48" s="2473" t="s">
        <v>2350</v>
      </c>
      <c r="B48" s="2473"/>
      <c r="C48" s="2473"/>
      <c r="D48" s="2473"/>
      <c r="E48" s="2138" t="str">
        <f>IF(Cabeçalho!G22&lt;&gt;"",Cabeçalho!G22,"NI")</f>
        <v>NI</v>
      </c>
      <c r="F48" s="2138"/>
      <c r="G48" s="2138"/>
      <c r="H48" s="2138"/>
      <c r="I48" s="2138"/>
      <c r="J48" s="2138"/>
    </row>
    <row r="49" spans="1:10" ht="15" customHeight="1" x14ac:dyDescent="0.25">
      <c r="A49" s="2473" t="s">
        <v>2351</v>
      </c>
      <c r="B49" s="2473"/>
      <c r="C49" s="2473"/>
      <c r="D49" s="2473"/>
      <c r="E49" s="2138" t="str">
        <f>IF(Cabeçalho!G23&lt;&gt;"",Cabeçalho!G23,"NI")</f>
        <v>NI</v>
      </c>
      <c r="F49" s="2138"/>
      <c r="G49" s="2138"/>
      <c r="H49" s="2138"/>
      <c r="I49" s="2138"/>
      <c r="J49" s="2138"/>
    </row>
    <row r="50" spans="1:10" ht="15" customHeight="1" x14ac:dyDescent="0.25">
      <c r="A50" s="2137" t="s">
        <v>2352</v>
      </c>
      <c r="E50" s="2138" t="str">
        <f>IF(Cabeçalho!E25&lt;&gt;"",Cabeçalho!E25,"NI")</f>
        <v>NI</v>
      </c>
      <c r="F50" s="2138"/>
      <c r="G50" s="2138"/>
      <c r="H50" s="2138"/>
      <c r="I50" s="2138"/>
      <c r="J50" s="2138"/>
    </row>
    <row r="51" spans="1:10" ht="15" customHeight="1" x14ac:dyDescent="0.25">
      <c r="A51" s="2473" t="s">
        <v>2353</v>
      </c>
      <c r="B51" s="2473"/>
      <c r="C51" s="2473"/>
      <c r="D51" s="2473"/>
      <c r="E51" s="2265" t="str">
        <f>IF(Cabeçalho!E22&lt;&gt;"",Cabeçalho!E22,"NI")</f>
        <v>NI</v>
      </c>
      <c r="F51" s="2138"/>
      <c r="G51" s="2138"/>
      <c r="H51" s="2138"/>
      <c r="I51" s="2138"/>
      <c r="J51" s="2138"/>
    </row>
    <row r="52" spans="1:10" ht="15" customHeight="1" x14ac:dyDescent="0.25">
      <c r="A52" s="2473" t="s">
        <v>2354</v>
      </c>
      <c r="B52" s="2473"/>
      <c r="C52" s="2473"/>
      <c r="D52" s="2473"/>
      <c r="E52" s="2138" t="str">
        <f>IF(Cabeçalho!E23&lt;&gt;"",Cabeçalho!E23,"NI")</f>
        <v>NI</v>
      </c>
      <c r="F52" s="2138"/>
      <c r="G52" s="2138"/>
      <c r="H52" s="2138"/>
      <c r="I52" s="2138"/>
      <c r="J52" s="2138"/>
    </row>
    <row r="53" spans="1:10" ht="15" customHeight="1" x14ac:dyDescent="0.25">
      <c r="A53" s="2473" t="s">
        <v>2355</v>
      </c>
      <c r="B53" s="2473"/>
      <c r="C53" s="2473"/>
      <c r="D53" s="2473"/>
      <c r="E53" s="2256" t="str">
        <f>IF(Cabeçalho!B15&lt;&gt;"",Cabeçalho!B15,"NI")</f>
        <v>NI</v>
      </c>
      <c r="F53" s="2138"/>
      <c r="G53" s="2138"/>
      <c r="H53" s="2138"/>
      <c r="I53" s="2138"/>
    </row>
    <row r="54" spans="1:10" ht="15" customHeight="1" x14ac:dyDescent="0.25">
      <c r="A54" s="2162" t="s">
        <v>2678</v>
      </c>
      <c r="E54" s="2138"/>
      <c r="F54" s="2138"/>
      <c r="G54" s="2138"/>
      <c r="H54" s="2138"/>
      <c r="I54" s="2138"/>
    </row>
    <row r="55" spans="1:10" ht="15" customHeight="1" x14ac:dyDescent="0.25">
      <c r="E55" s="2138"/>
      <c r="F55" s="2138"/>
      <c r="G55" s="2138"/>
      <c r="H55" s="2138"/>
      <c r="I55" s="2138"/>
    </row>
    <row r="56" spans="1:10" ht="15" customHeight="1" x14ac:dyDescent="0.25">
      <c r="E56" s="2138"/>
      <c r="F56" s="2138"/>
      <c r="G56" s="2138"/>
      <c r="H56" s="2138"/>
      <c r="I56" s="2138"/>
    </row>
    <row r="57" spans="1:10" ht="15" customHeight="1" x14ac:dyDescent="0.25">
      <c r="A57" s="281" t="s">
        <v>125</v>
      </c>
    </row>
    <row r="58" spans="1:10" ht="15" customHeight="1" x14ac:dyDescent="0.25">
      <c r="A58" s="2465" t="s">
        <v>129</v>
      </c>
      <c r="B58" s="2465"/>
      <c r="C58" s="2465"/>
      <c r="D58" s="2465"/>
      <c r="E58" s="2465"/>
      <c r="F58" s="2139" t="s">
        <v>368</v>
      </c>
      <c r="G58" s="2465" t="s">
        <v>369</v>
      </c>
      <c r="H58" s="2465"/>
      <c r="I58" s="2465"/>
    </row>
    <row r="59" spans="1:10" ht="15" customHeight="1" x14ac:dyDescent="0.25">
      <c r="A59" s="2471" t="s">
        <v>127</v>
      </c>
      <c r="B59" s="2471"/>
      <c r="C59" s="2471"/>
      <c r="D59" s="2471"/>
      <c r="E59" s="2471"/>
      <c r="F59" s="2015" t="str">
        <f>extraoral!B1</f>
        <v>IN 94</v>
      </c>
      <c r="G59" s="2472">
        <f>extraoral!G6</f>
        <v>0</v>
      </c>
      <c r="H59" s="2472"/>
      <c r="I59" s="2472"/>
    </row>
    <row r="60" spans="1:10" ht="15" customHeight="1" x14ac:dyDescent="0.25">
      <c r="A60" s="2852" t="s">
        <v>128</v>
      </c>
      <c r="B60" s="2853"/>
      <c r="C60" s="2853"/>
      <c r="D60" s="2853"/>
      <c r="E60" s="2854"/>
      <c r="F60" s="2015" t="str">
        <f>extraoral!B1</f>
        <v>IN 94</v>
      </c>
      <c r="G60" s="2472">
        <f>extraoral!G7</f>
        <v>0</v>
      </c>
      <c r="H60" s="2472"/>
      <c r="I60" s="2472"/>
    </row>
    <row r="61" spans="1:10" ht="15" customHeight="1" x14ac:dyDescent="0.25">
      <c r="A61" s="2471" t="s">
        <v>239</v>
      </c>
      <c r="B61" s="2471"/>
      <c r="C61" s="2471"/>
      <c r="D61" s="2471"/>
      <c r="E61" s="2471"/>
      <c r="F61" s="2015" t="str">
        <f>F60&amp;" / NR-32"</f>
        <v>IN 94 / NR-32</v>
      </c>
      <c r="G61" s="2855" t="s">
        <v>441</v>
      </c>
      <c r="H61" s="2855"/>
      <c r="I61" s="2855"/>
    </row>
    <row r="62" spans="1:10" ht="15" customHeight="1" x14ac:dyDescent="0.25">
      <c r="A62" s="2481" t="s">
        <v>2718</v>
      </c>
      <c r="B62" s="2481"/>
      <c r="C62" s="2481"/>
      <c r="D62" s="2481"/>
      <c r="E62" s="2481"/>
      <c r="F62" s="2481"/>
      <c r="G62" s="2481"/>
      <c r="H62" s="2481"/>
      <c r="I62" s="2481"/>
    </row>
    <row r="63" spans="1:10" ht="15" customHeight="1" x14ac:dyDescent="0.25">
      <c r="A63" s="281"/>
    </row>
    <row r="64" spans="1:10" ht="15" customHeight="1" x14ac:dyDescent="0.25">
      <c r="A64" s="281" t="s">
        <v>138</v>
      </c>
    </row>
    <row r="65" spans="1:12" ht="15" customHeight="1" x14ac:dyDescent="0.25">
      <c r="A65" s="281" t="s">
        <v>164</v>
      </c>
    </row>
    <row r="66" spans="1:12" ht="31.5" customHeight="1" x14ac:dyDescent="0.25">
      <c r="A66" s="2137" t="s">
        <v>2356</v>
      </c>
      <c r="C66" s="2468" t="s">
        <v>2357</v>
      </c>
      <c r="D66" s="2468"/>
      <c r="E66" s="2468"/>
      <c r="F66" s="2468"/>
      <c r="G66" s="2468"/>
      <c r="H66" s="2468"/>
      <c r="I66" s="2468"/>
      <c r="J66" s="2468"/>
    </row>
    <row r="67" spans="1:12" ht="15" customHeight="1" x14ac:dyDescent="0.25">
      <c r="A67" s="2137" t="s">
        <v>2358</v>
      </c>
      <c r="C67" s="2137" t="s">
        <v>2359</v>
      </c>
    </row>
    <row r="69" spans="1:12" ht="15" customHeight="1" x14ac:dyDescent="0.25">
      <c r="A69" s="2077" t="s">
        <v>201</v>
      </c>
      <c r="B69" s="2078" t="str">
        <f>IF(extraoral!A16&lt;&gt;0,extraoral!A16,"")</f>
        <v/>
      </c>
      <c r="C69" s="2078" t="str">
        <f>IF(extraoral!A17&lt;&gt;0,extraoral!A17,"")</f>
        <v/>
      </c>
      <c r="D69" s="2078" t="str">
        <f>IF(extraoral!A18&lt;&gt;0,extraoral!A18,"")</f>
        <v/>
      </c>
      <c r="E69" s="2078" t="str">
        <f>IF(extraoral!A19&lt;&gt;0,extraoral!A19,"")</f>
        <v/>
      </c>
      <c r="F69" s="2078" t="str">
        <f>IF(extraoral!A20&lt;&gt;0,extraoral!A20,"")</f>
        <v/>
      </c>
      <c r="G69" s="2078" t="str">
        <f>IF(extraoral!A21&lt;&gt;0,extraoral!A21,"")</f>
        <v/>
      </c>
      <c r="H69" s="2078" t="str">
        <f>IF(extraoral!A22&lt;&gt;0,extraoral!A22,"")</f>
        <v/>
      </c>
      <c r="I69" s="2078"/>
    </row>
    <row r="70" spans="1:12" ht="15" customHeight="1" x14ac:dyDescent="0.25">
      <c r="A70" s="2077" t="s">
        <v>202</v>
      </c>
      <c r="B70" s="1133" t="str">
        <f>IF(extraoral!A16&lt;&gt;0,extraoral!C16,"")</f>
        <v/>
      </c>
      <c r="C70" s="1133" t="str">
        <f>IF(extraoral!A17&lt;&gt;0,extraoral!C17,"")</f>
        <v/>
      </c>
      <c r="D70" s="1133" t="str">
        <f>IF(extraoral!A18&lt;&gt;0,extraoral!C18,"")</f>
        <v/>
      </c>
      <c r="E70" s="1133" t="str">
        <f>IF(extraoral!A19&lt;&gt;0,extraoral!C19,"")</f>
        <v/>
      </c>
      <c r="F70" s="1133" t="str">
        <f>IF(extraoral!A20&lt;&gt;0,extraoral!C20,"")</f>
        <v/>
      </c>
      <c r="G70" s="1133" t="str">
        <f>IF(extraoral!A21&lt;&gt;0,extraoral!C21,"")</f>
        <v/>
      </c>
      <c r="H70" s="1133" t="str">
        <f>IF(extraoral!A22&lt;&gt;0,extraoral!C22,"")</f>
        <v/>
      </c>
      <c r="I70" s="1133"/>
    </row>
    <row r="71" spans="1:12" s="2228" customFormat="1" ht="15" customHeight="1" x14ac:dyDescent="0.25">
      <c r="A71" s="2077" t="s">
        <v>2779</v>
      </c>
      <c r="B71" s="2312" t="str">
        <f>IF(extraoral!B16&lt;&gt;0,extraoral!$H16,"")</f>
        <v/>
      </c>
      <c r="C71" s="2312" t="str">
        <f>IF(extraoral!B17&lt;&gt;0,extraoral!H17,"")</f>
        <v/>
      </c>
      <c r="D71" s="2312" t="str">
        <f>IF(extraoral!B18&lt;&gt;0,extraoral!H18,"")</f>
        <v/>
      </c>
      <c r="E71" s="2312" t="str">
        <f>IF(extraoral!B19&lt;&gt;0,extraoral!H19,"")</f>
        <v/>
      </c>
      <c r="F71" s="2312" t="str">
        <f>IF(extraoral!B20&lt;&gt;0,extraoral!H20,"")</f>
        <v/>
      </c>
      <c r="G71" s="2312" t="str">
        <f>IF(extraoral!B21&lt;&gt;0,extraoral!H21,"")</f>
        <v/>
      </c>
      <c r="H71" s="2312" t="str">
        <f>IF(extraoral!B22&lt;&gt;0,extraoral!H22,"")</f>
        <v/>
      </c>
      <c r="I71" s="1133"/>
    </row>
    <row r="72" spans="1:12" ht="15" customHeight="1" x14ac:dyDescent="0.25">
      <c r="A72" s="2077" t="str">
        <f>F59</f>
        <v>IN 94</v>
      </c>
      <c r="B72" s="1514" t="str">
        <f>IFERROR(IF(ABS(B70/B69-1)&lt;=0.1,"Sim",IF(ABS(B70/B69-1)&lt;0.2,"Não","Restrição")),"")</f>
        <v/>
      </c>
      <c r="C72" s="1514" t="str">
        <f t="shared" ref="C72:H72" si="0">IFERROR(IF(ABS(C70/C69-1)&lt;=0.1,"Sim",IF(ABS(C70/C69-1)&lt;0.2,"Não","Restrição")),"")</f>
        <v/>
      </c>
      <c r="D72" s="1514" t="str">
        <f t="shared" si="0"/>
        <v/>
      </c>
      <c r="E72" s="1514" t="str">
        <f t="shared" si="0"/>
        <v/>
      </c>
      <c r="F72" s="1514" t="str">
        <f t="shared" si="0"/>
        <v/>
      </c>
      <c r="G72" s="1514" t="str">
        <f t="shared" si="0"/>
        <v/>
      </c>
      <c r="H72" s="1514" t="str">
        <f t="shared" si="0"/>
        <v/>
      </c>
      <c r="I72" s="1514"/>
      <c r="J72" s="163"/>
      <c r="L72" s="2137" t="str">
        <f>IF(OR(COUNTIF(B72:H72,"Restrição")&gt;0,COUNTIF(B72:H72,"Não")&gt;0),"Não Conforme","Conforme")</f>
        <v>Conforme</v>
      </c>
    </row>
    <row r="73" spans="1:12" ht="15" customHeight="1" x14ac:dyDescent="0.25">
      <c r="A73" s="2481" t="s">
        <v>2459</v>
      </c>
      <c r="B73" s="2481"/>
      <c r="C73" s="2481"/>
      <c r="D73" s="2481"/>
      <c r="E73" s="2481"/>
      <c r="F73" s="2481"/>
      <c r="G73" s="2481"/>
      <c r="H73" s="2481"/>
      <c r="I73" s="2481"/>
    </row>
    <row r="74" spans="1:12" ht="15" customHeight="1" x14ac:dyDescent="0.25">
      <c r="A74" s="2140"/>
      <c r="B74" s="2140"/>
      <c r="C74" s="2140"/>
      <c r="D74" s="2140"/>
      <c r="E74" s="2140"/>
      <c r="F74" s="2140"/>
      <c r="G74" s="2140"/>
      <c r="H74" s="2140"/>
      <c r="I74" s="2140"/>
    </row>
    <row r="75" spans="1:12" ht="15" customHeight="1" x14ac:dyDescent="0.25">
      <c r="A75" s="2140"/>
      <c r="B75" s="2140"/>
      <c r="C75" s="2140"/>
      <c r="D75" s="2140"/>
      <c r="E75" s="2140"/>
      <c r="F75" s="2140"/>
      <c r="G75" s="2140"/>
      <c r="H75" s="2140"/>
      <c r="I75" s="2140"/>
    </row>
    <row r="77" spans="1:12" ht="15" customHeight="1" x14ac:dyDescent="0.25">
      <c r="A77" s="281" t="s">
        <v>145</v>
      </c>
    </row>
    <row r="78" spans="1:12" ht="29.25" customHeight="1" x14ac:dyDescent="0.25">
      <c r="A78" s="2137" t="s">
        <v>2356</v>
      </c>
      <c r="C78" s="2468" t="s">
        <v>2360</v>
      </c>
      <c r="D78" s="2468"/>
      <c r="E78" s="2468"/>
      <c r="F78" s="2468"/>
      <c r="G78" s="2468"/>
      <c r="H78" s="2468"/>
      <c r="I78" s="2468"/>
      <c r="J78" s="2468"/>
    </row>
    <row r="79" spans="1:12" ht="15" customHeight="1" x14ac:dyDescent="0.25">
      <c r="A79" s="2137" t="s">
        <v>2358</v>
      </c>
      <c r="C79" s="2137" t="s">
        <v>2359</v>
      </c>
      <c r="D79" s="2140"/>
      <c r="E79" s="2140"/>
      <c r="F79" s="2140"/>
      <c r="G79" s="2140"/>
      <c r="H79" s="2140"/>
      <c r="I79" s="2140"/>
    </row>
    <row r="80" spans="1:12" ht="15" customHeight="1" x14ac:dyDescent="0.25">
      <c r="A80" s="281"/>
    </row>
    <row r="81" spans="1:12" ht="15" customHeight="1" x14ac:dyDescent="0.25">
      <c r="A81" s="2821" t="s">
        <v>140</v>
      </c>
      <c r="B81" s="2821"/>
      <c r="C81" s="2078" t="str">
        <f>IF(extraoral!B51&lt;&gt;0,extraoral!B51,"")</f>
        <v/>
      </c>
      <c r="D81" s="2078" t="str">
        <f>IF(extraoral!C51&lt;&gt;0,extraoral!C51,"")</f>
        <v/>
      </c>
      <c r="E81" s="2078" t="str">
        <f>IF(extraoral!D51&lt;&gt;0,extraoral!D51,"")</f>
        <v/>
      </c>
      <c r="F81" s="2078" t="str">
        <f>IF(extraoral!E51&lt;&gt;0,extraoral!E51,"")</f>
        <v/>
      </c>
      <c r="G81" s="2078" t="str">
        <f>IF(extraoral!F51&lt;&gt;0,extraoral!F51,"")</f>
        <v/>
      </c>
      <c r="H81" s="2078" t="str">
        <f>IF(extraoral!G51&lt;&gt;0,extraoral!G51,"")</f>
        <v/>
      </c>
      <c r="I81" s="2078" t="str">
        <f>IF(extraoral!H51&lt;&gt;0,extraoral!H51,"")</f>
        <v/>
      </c>
      <c r="K81" s="2137" t="str">
        <f>K82</f>
        <v>x</v>
      </c>
    </row>
    <row r="82" spans="1:12" ht="15" customHeight="1" x14ac:dyDescent="0.25">
      <c r="A82" s="2821" t="s">
        <v>141</v>
      </c>
      <c r="B82" s="2821"/>
      <c r="C82" s="1133" t="str">
        <f>IF(extraoral!B51&lt;&gt;0,extraoral!B53,"")</f>
        <v/>
      </c>
      <c r="D82" s="1133" t="str">
        <f>IF(extraoral!C51&lt;&gt;0,extraoral!C53,"")</f>
        <v/>
      </c>
      <c r="E82" s="1133" t="str">
        <f>IF(extraoral!D51&lt;&gt;0,extraoral!D53,"")</f>
        <v/>
      </c>
      <c r="F82" s="1133" t="str">
        <f>IF(extraoral!E51&lt;&gt;0,extraoral!E53,"")</f>
        <v/>
      </c>
      <c r="G82" s="1133" t="str">
        <f>IF(extraoral!F51&lt;&gt;0,extraoral!F53,"")</f>
        <v/>
      </c>
      <c r="H82" s="1133" t="str">
        <f>IF(extraoral!G51&lt;&gt;0,extraoral!G53,"")</f>
        <v/>
      </c>
      <c r="I82" s="1133" t="str">
        <f>IF(extraoral!H51&lt;&gt;0,extraoral!H53,"")</f>
        <v/>
      </c>
      <c r="K82" s="2137" t="str">
        <f>IF(C83="","x","")</f>
        <v>x</v>
      </c>
    </row>
    <row r="83" spans="1:12" ht="15" customHeight="1" x14ac:dyDescent="0.25">
      <c r="A83" s="2821" t="str">
        <f>A72</f>
        <v>IN 94</v>
      </c>
      <c r="B83" s="2821"/>
      <c r="C83" s="1514" t="str">
        <f>IFERROR(IF(ABS(C82/C81-1)&lt;=0.1,"Sim",IF(ABS(C82/C81-1)&lt;0.2,"Não","Restrição")),"")</f>
        <v/>
      </c>
      <c r="D83" s="1514" t="str">
        <f t="shared" ref="D83:I83" si="1">IFERROR(IF(ABS(D82/D81-1)&lt;=0.1,"Sim",IF(ABS(D82/D81-1)&lt;0.2,"Não","Restrição")),"")</f>
        <v/>
      </c>
      <c r="E83" s="1514" t="str">
        <f t="shared" si="1"/>
        <v/>
      </c>
      <c r="F83" s="1514" t="str">
        <f t="shared" si="1"/>
        <v/>
      </c>
      <c r="G83" s="1514" t="str">
        <f t="shared" si="1"/>
        <v/>
      </c>
      <c r="H83" s="1514" t="str">
        <f t="shared" si="1"/>
        <v/>
      </c>
      <c r="I83" s="1514" t="str">
        <f t="shared" si="1"/>
        <v/>
      </c>
      <c r="J83" s="1514"/>
      <c r="K83" s="2137" t="str">
        <f>K82</f>
        <v>x</v>
      </c>
      <c r="L83" s="2137" t="str">
        <f>IF(OR(COUNTIF(B83:H83,"Restrição")&gt;0,COUNTIF(B83:H83,"Não")&gt;0),"Não Conforme","Conforme")</f>
        <v>Conforme</v>
      </c>
    </row>
    <row r="84" spans="1:12" ht="15" customHeight="1" x14ac:dyDescent="0.25">
      <c r="A84" s="2085"/>
      <c r="B84" s="2085"/>
      <c r="C84" s="1514"/>
      <c r="D84" s="1514"/>
      <c r="E84" s="1514"/>
      <c r="F84" s="1514"/>
      <c r="G84" s="1514"/>
      <c r="H84" s="1514"/>
      <c r="I84" s="1514"/>
      <c r="J84" s="1514"/>
      <c r="K84" s="2137" t="str">
        <f>K85</f>
        <v>x</v>
      </c>
    </row>
    <row r="85" spans="1:12" ht="15" customHeight="1" x14ac:dyDescent="0.25">
      <c r="A85" s="2085" t="s">
        <v>1095</v>
      </c>
      <c r="B85" s="2085"/>
      <c r="C85" s="1514"/>
      <c r="D85" s="1514"/>
      <c r="E85" s="1514"/>
      <c r="F85" s="1514"/>
      <c r="G85" s="1514"/>
      <c r="H85" s="1514"/>
      <c r="I85" s="1514"/>
      <c r="J85" s="1514"/>
      <c r="K85" s="2137" t="str">
        <f>K86</f>
        <v>x</v>
      </c>
    </row>
    <row r="86" spans="1:12" ht="15" customHeight="1" x14ac:dyDescent="0.25">
      <c r="A86" s="2821" t="s">
        <v>140</v>
      </c>
      <c r="B86" s="2821"/>
      <c r="C86" s="2078" t="str">
        <f>IF(extraoral!B57&lt;&gt;0,extraoral!B57,"")</f>
        <v/>
      </c>
      <c r="D86" s="2078" t="str">
        <f>IF(extraoral!C57&lt;&gt;0,extraoral!C57,"")</f>
        <v/>
      </c>
      <c r="E86" s="2078" t="str">
        <f>IF(extraoral!D57&lt;&gt;0,extraoral!D57,"")</f>
        <v/>
      </c>
      <c r="F86" s="2078" t="str">
        <f>IF(extraoral!E57&lt;&gt;0,extraoral!E57,"")</f>
        <v/>
      </c>
      <c r="G86" s="2078" t="str">
        <f>IF(extraoral!F57&lt;&gt;0,extraoral!F57,"")</f>
        <v/>
      </c>
      <c r="H86" s="2078" t="str">
        <f>IF(extraoral!G57&lt;&gt;0,extraoral!G57,"")</f>
        <v/>
      </c>
      <c r="I86" s="2078" t="str">
        <f>IF(extraoral!H57&lt;&gt;0,extraoral!H57,"")</f>
        <v/>
      </c>
      <c r="J86" s="1514"/>
      <c r="K86" s="2137" t="str">
        <f>K87</f>
        <v>x</v>
      </c>
    </row>
    <row r="87" spans="1:12" ht="15" customHeight="1" x14ac:dyDescent="0.25">
      <c r="A87" s="2821" t="s">
        <v>141</v>
      </c>
      <c r="B87" s="2821"/>
      <c r="C87" s="1133" t="str">
        <f>IF(extraoral!B57&lt;&gt;0,extraoral!B59,"")</f>
        <v/>
      </c>
      <c r="D87" s="1133" t="str">
        <f>IF(extraoral!C57&lt;&gt;0,extraoral!C59,"")</f>
        <v/>
      </c>
      <c r="E87" s="1133" t="str">
        <f>IF(extraoral!D57&lt;&gt;0,extraoral!D59,"")</f>
        <v/>
      </c>
      <c r="F87" s="1133" t="str">
        <f>IF(extraoral!E57&lt;&gt;0,extraoral!E59,"")</f>
        <v/>
      </c>
      <c r="G87" s="1133" t="str">
        <f>IF(extraoral!F57&lt;&gt;0,extraoral!F59,"")</f>
        <v/>
      </c>
      <c r="H87" s="1133" t="str">
        <f>IF(extraoral!G57&lt;&gt;0,extraoral!G59,"")</f>
        <v/>
      </c>
      <c r="I87" s="1133" t="str">
        <f>IF(extraoral!H57&lt;&gt;0,extraoral!H59,"")</f>
        <v/>
      </c>
      <c r="J87" s="1514"/>
      <c r="K87" s="2137" t="str">
        <f>IF(C88="","x","")</f>
        <v>x</v>
      </c>
    </row>
    <row r="88" spans="1:12" ht="15" customHeight="1" x14ac:dyDescent="0.25">
      <c r="A88" s="2821" t="str">
        <f>A72</f>
        <v>IN 94</v>
      </c>
      <c r="B88" s="2821"/>
      <c r="C88" s="1514" t="str">
        <f>IFERROR(IF(ABS(C87/C86-1)&lt;=0.1,"Sim",IF(ABS(C87/C86-1)&lt;0.2,"Não","Restrição")),"")</f>
        <v/>
      </c>
      <c r="D88" s="1514" t="str">
        <f t="shared" ref="D88:I88" si="2">IFERROR(IF(ABS(D87/D86-1)&lt;=0.1,"Sim",IF(ABS(D87/D86-1)&lt;0.2,"Não","Restrição")),"")</f>
        <v/>
      </c>
      <c r="E88" s="1514" t="str">
        <f t="shared" si="2"/>
        <v/>
      </c>
      <c r="F88" s="1514" t="str">
        <f t="shared" si="2"/>
        <v/>
      </c>
      <c r="G88" s="1514" t="str">
        <f t="shared" si="2"/>
        <v/>
      </c>
      <c r="H88" s="1514" t="str">
        <f t="shared" si="2"/>
        <v/>
      </c>
      <c r="I88" s="1514" t="str">
        <f t="shared" si="2"/>
        <v/>
      </c>
      <c r="J88" s="1514"/>
      <c r="K88" s="2137" t="str">
        <f>K87</f>
        <v>x</v>
      </c>
      <c r="L88" s="2137" t="str">
        <f>IF(OR(COUNTIF(B88:H88,"Restrição")&gt;0,COUNTIF(B88:H88,"Não")&gt;0),"Não Conforme","Conforme")</f>
        <v>Conforme</v>
      </c>
    </row>
    <row r="89" spans="1:12" ht="15" customHeight="1" x14ac:dyDescent="0.25">
      <c r="A89" s="2481" t="s">
        <v>2461</v>
      </c>
      <c r="B89" s="2481"/>
      <c r="C89" s="2481"/>
      <c r="D89" s="2481"/>
      <c r="E89" s="2481"/>
      <c r="F89" s="2481"/>
      <c r="G89" s="2481"/>
      <c r="H89" s="2481"/>
      <c r="I89" s="2481"/>
      <c r="K89" s="2137" t="str">
        <f>IF(K90="x","","x")</f>
        <v>x</v>
      </c>
    </row>
    <row r="90" spans="1:12" ht="15" customHeight="1" x14ac:dyDescent="0.25">
      <c r="A90" s="2476" t="s">
        <v>287</v>
      </c>
      <c r="B90" s="2476"/>
      <c r="C90" s="2476"/>
      <c r="D90" s="2476"/>
      <c r="E90" s="2476"/>
      <c r="F90" s="2476"/>
      <c r="G90" s="2476"/>
      <c r="H90" s="2476"/>
      <c r="I90" s="2476"/>
      <c r="K90" s="2137" t="str">
        <f>IF(K81="","x","")</f>
        <v/>
      </c>
    </row>
    <row r="91" spans="1:12" ht="15" customHeight="1" x14ac:dyDescent="0.25">
      <c r="A91" s="2134"/>
      <c r="B91" s="2134"/>
      <c r="C91" s="2134"/>
      <c r="D91" s="2134"/>
      <c r="E91" s="2134"/>
      <c r="F91" s="2134"/>
      <c r="G91" s="2134"/>
      <c r="H91" s="2134"/>
      <c r="I91" s="2134"/>
    </row>
    <row r="92" spans="1:12" ht="15" customHeight="1" x14ac:dyDescent="0.25">
      <c r="A92" s="281" t="s">
        <v>144</v>
      </c>
    </row>
    <row r="93" spans="1:12" ht="15" customHeight="1" x14ac:dyDescent="0.25">
      <c r="A93" s="2465" t="s">
        <v>146</v>
      </c>
      <c r="B93" s="2465"/>
      <c r="C93" s="2465"/>
      <c r="D93" s="2465" t="s">
        <v>2066</v>
      </c>
      <c r="E93" s="2465"/>
      <c r="F93" s="2465" t="s">
        <v>2362</v>
      </c>
      <c r="G93" s="2465"/>
      <c r="H93" s="2465" t="s">
        <v>369</v>
      </c>
      <c r="I93" s="2465"/>
      <c r="J93" s="2321" t="str">
        <f>extraoral!B1</f>
        <v>IN 94</v>
      </c>
    </row>
    <row r="94" spans="1:12" ht="51" customHeight="1" x14ac:dyDescent="0.25">
      <c r="A94" s="2462" t="str">
        <f>CONCATENATE("Camada semirredutora @ ",ROUND(extraoral!A24,0)," kV")</f>
        <v>Camada semirredutora @ 0 kV</v>
      </c>
      <c r="B94" s="2462"/>
      <c r="C94" s="2462"/>
      <c r="D94" s="2822" t="s">
        <v>2528</v>
      </c>
      <c r="E94" s="2822"/>
      <c r="F94" s="2462" t="s">
        <v>2734</v>
      </c>
      <c r="G94" s="2462"/>
      <c r="H94" s="2492" t="e">
        <f>CONCATENATE(ROUND(extraoral!E24,1)," mm Al")</f>
        <v>#N/A</v>
      </c>
      <c r="I94" s="2492"/>
      <c r="J94" s="2320" t="e">
        <f>extraoral!G24</f>
        <v>#N/A</v>
      </c>
      <c r="L94" s="2137" t="e">
        <f ca="1">IF(OR(J94="Restrição",J95="Não"),"Não conforme","Conforme")</f>
        <v>#N/A</v>
      </c>
    </row>
    <row r="95" spans="1:12" ht="27.75" customHeight="1" x14ac:dyDescent="0.25">
      <c r="A95" s="2462" t="s">
        <v>210</v>
      </c>
      <c r="B95" s="2462"/>
      <c r="C95" s="2462"/>
      <c r="D95" s="2822" t="s">
        <v>2529</v>
      </c>
      <c r="E95" s="2822"/>
      <c r="F95" s="2462" t="s">
        <v>2735</v>
      </c>
      <c r="G95" s="2462"/>
      <c r="H95" s="2492" t="e">
        <f ca="1">CONCATENATE(extraoral!B46," %")</f>
        <v>#NUM!</v>
      </c>
      <c r="I95" s="2492"/>
      <c r="J95" s="2320" t="e">
        <f ca="1">IF(extraoral!B46&gt;10,"Restrição",IF(extraoral!B46&gt;5,"Não","Sim"))</f>
        <v>#NUM!</v>
      </c>
      <c r="L95" s="2137" t="e">
        <f ca="1">IF(OR(J95="Restrição",J98="Não"),"Não conforme","Conforme")</f>
        <v>#NUM!</v>
      </c>
    </row>
    <row r="96" spans="1:12" ht="25.5" customHeight="1" x14ac:dyDescent="0.25">
      <c r="A96" s="2462" t="s">
        <v>1825</v>
      </c>
      <c r="B96" s="2462"/>
      <c r="C96" s="2462"/>
      <c r="D96" s="2822" t="s">
        <v>2529</v>
      </c>
      <c r="E96" s="2822"/>
      <c r="F96" s="2462" t="s">
        <v>2735</v>
      </c>
      <c r="G96" s="2462"/>
      <c r="H96" s="2492" t="e">
        <f ca="1">CONCATENATE(extraoral!H46," %")</f>
        <v>#NUM!</v>
      </c>
      <c r="I96" s="2492"/>
      <c r="J96" s="2320" t="e">
        <f ca="1">IF(extraoral!H46&gt;10,"Restrição",IF(extraoral!H46&gt;5,"Não","Sim"))</f>
        <v>#NUM!</v>
      </c>
      <c r="K96" s="2137" t="str">
        <f ca="1">IFERROR(H96,"x")</f>
        <v>x</v>
      </c>
      <c r="L96" s="2137" t="e">
        <f ca="1">IF(OR(J96="Restrição",J94="Não"),"Não conforme","Conforme")</f>
        <v>#NUM!</v>
      </c>
    </row>
    <row r="97" spans="1:12" ht="22.5" customHeight="1" x14ac:dyDescent="0.25">
      <c r="A97" s="2462" t="s">
        <v>1826</v>
      </c>
      <c r="B97" s="2462"/>
      <c r="C97" s="2462"/>
      <c r="D97" s="2822" t="s">
        <v>2530</v>
      </c>
      <c r="E97" s="2822"/>
      <c r="F97" s="2462" t="s">
        <v>2736</v>
      </c>
      <c r="G97" s="2462"/>
      <c r="H97" s="2492" t="e">
        <f ca="1">CONCATENATE(extraoral!I46," %")</f>
        <v>#NUM!</v>
      </c>
      <c r="I97" s="2492"/>
      <c r="J97" s="2320" t="e">
        <f ca="1">IF(extraoral!I46&gt;20,"Restrição",IF(extraoral!I46&gt;10,"Não","Sim"))</f>
        <v>#NUM!</v>
      </c>
      <c r="K97" s="2137" t="str">
        <f ca="1">IFERROR(H97,"x")</f>
        <v>x</v>
      </c>
      <c r="L97" s="2137" t="e">
        <f ca="1">IF(OR(J97="Restrição",J95="Não"),"Não conforme","Conforme")</f>
        <v>#NUM!</v>
      </c>
    </row>
    <row r="98" spans="1:12" ht="30" customHeight="1" x14ac:dyDescent="0.25">
      <c r="A98" s="2462" t="s">
        <v>147</v>
      </c>
      <c r="B98" s="2462"/>
      <c r="C98" s="2462"/>
      <c r="D98" s="2822" t="s">
        <v>2530</v>
      </c>
      <c r="E98" s="2822"/>
      <c r="F98" s="2462" t="s">
        <v>2736</v>
      </c>
      <c r="G98" s="2462"/>
      <c r="H98" s="2492" t="e">
        <f ca="1">CONCATENATE(extraoral!C46," %")</f>
        <v>#NUM!</v>
      </c>
      <c r="I98" s="2492"/>
      <c r="J98" s="2320" t="e">
        <f ca="1">IF(extraoral!C46&gt;20,"Restrição",IF(extraoral!C46&gt;10,"Não","Sim"))</f>
        <v>#NUM!</v>
      </c>
      <c r="L98" s="2137" t="e">
        <f ca="1">IF(OR(J98="Restrição",J96="Não"),"Não conforme","Conforme")</f>
        <v>#NUM!</v>
      </c>
    </row>
    <row r="99" spans="1:12" ht="26.25" customHeight="1" x14ac:dyDescent="0.25">
      <c r="A99" s="2462" t="s">
        <v>1100</v>
      </c>
      <c r="B99" s="2462"/>
      <c r="C99" s="2462"/>
      <c r="D99" s="2822" t="s">
        <v>2531</v>
      </c>
      <c r="E99" s="2822"/>
      <c r="F99" s="2462" t="s">
        <v>2542</v>
      </c>
      <c r="G99" s="2462"/>
      <c r="H99" s="2492" t="str">
        <f>IF(extraoral!E10="Sim","Excedente","Restrito")</f>
        <v>Restrito</v>
      </c>
      <c r="I99" s="2492"/>
      <c r="J99" s="2320" t="str">
        <f>IF(extraoral!E10="Sim","Não","Sim")</f>
        <v>Sim</v>
      </c>
      <c r="L99" s="2137" t="str">
        <f>IF(J100="Não","Não conforme","Conforme")</f>
        <v>Conforme</v>
      </c>
    </row>
    <row r="100" spans="1:12" ht="29.25" customHeight="1" x14ac:dyDescent="0.25">
      <c r="A100" s="2462" t="s">
        <v>1101</v>
      </c>
      <c r="B100" s="2462"/>
      <c r="C100" s="2462"/>
      <c r="D100" s="2822" t="s">
        <v>2531</v>
      </c>
      <c r="E100" s="2822"/>
      <c r="F100" s="2462" t="s">
        <v>2542</v>
      </c>
      <c r="G100" s="2462"/>
      <c r="H100" s="2492" t="str">
        <f>IF(extraoral!E11="Sim","Excedente","Restrito")</f>
        <v>Restrito</v>
      </c>
      <c r="I100" s="2492"/>
      <c r="J100" s="2320" t="str">
        <f>IF(extraoral!E11="Sim","Não","Sim")</f>
        <v>Sim</v>
      </c>
      <c r="K100" s="2137" t="str">
        <f>IF(extraoral!E11=0,"x","")</f>
        <v>x</v>
      </c>
      <c r="L100" s="2137" t="e">
        <f ca="1">IF(J101="Não","Não conforme","Conforme")</f>
        <v>#NUM!</v>
      </c>
    </row>
    <row r="101" spans="1:12" ht="26.25" customHeight="1" x14ac:dyDescent="0.25">
      <c r="A101" s="2462" t="s">
        <v>448</v>
      </c>
      <c r="B101" s="2462"/>
      <c r="C101" s="2462"/>
      <c r="D101" s="2822" t="s">
        <v>2532</v>
      </c>
      <c r="E101" s="2822"/>
      <c r="F101" s="2462" t="s">
        <v>2736</v>
      </c>
      <c r="G101" s="2462"/>
      <c r="H101" s="2492" t="e">
        <f ca="1">CONCATENATE(extraoral!D46," %")</f>
        <v>#NUM!</v>
      </c>
      <c r="I101" s="2492"/>
      <c r="J101" s="2320" t="e">
        <f ca="1">IF(extraoral!D46&gt;20,"Restrição",IF(extraoral!D46&gt;10,"Não","Sim"))</f>
        <v>#NUM!</v>
      </c>
      <c r="L101" s="2137" t="e">
        <f ca="1">IF(OR(J101="Restrição",J102="Não"),"Não conforme","Conforme")</f>
        <v>#NUM!</v>
      </c>
    </row>
    <row r="102" spans="1:12" ht="25.5" customHeight="1" x14ac:dyDescent="0.25">
      <c r="A102" s="2462" t="s">
        <v>1038</v>
      </c>
      <c r="B102" s="2462"/>
      <c r="C102" s="2462"/>
      <c r="D102" s="2822" t="s">
        <v>2533</v>
      </c>
      <c r="E102" s="2822"/>
      <c r="F102" s="2462" t="s">
        <v>2736</v>
      </c>
      <c r="G102" s="2462"/>
      <c r="H102" s="2492" t="str">
        <f>IFERROR(CONCATENATE(extraoral!B74*100," %"),"NPA")</f>
        <v>NPA</v>
      </c>
      <c r="I102" s="2492"/>
      <c r="J102" s="2320" t="str">
        <f>extraoral!C74</f>
        <v>NA</v>
      </c>
      <c r="L102" s="2137" t="str">
        <f>IF(OR(J102="Restrição",J103="Não"),"Não conforme","Conforme")</f>
        <v>Conforme</v>
      </c>
    </row>
    <row r="103" spans="1:12" ht="27.75" customHeight="1" x14ac:dyDescent="0.25">
      <c r="A103" s="2462" t="s">
        <v>1382</v>
      </c>
      <c r="B103" s="2462"/>
      <c r="C103" s="2462"/>
      <c r="D103" s="2822" t="s">
        <v>2533</v>
      </c>
      <c r="E103" s="2822"/>
      <c r="F103" s="2462" t="s">
        <v>2736</v>
      </c>
      <c r="G103" s="2462"/>
      <c r="H103" s="2492" t="str">
        <f>IFERROR(CONCATENATE(extraoral!F74*100," %"),"NPA")</f>
        <v>NPA</v>
      </c>
      <c r="I103" s="2492"/>
      <c r="J103" s="2320" t="str">
        <f>extraoral!G74</f>
        <v>NA</v>
      </c>
      <c r="K103" s="2137" t="str">
        <f>IF(H103="NPA","x","")</f>
        <v>x</v>
      </c>
      <c r="L103" s="2137" t="str">
        <f>IF(OR(J103="Restrição",J104="Não"),"Não conforme","Conforme")</f>
        <v>Conforme</v>
      </c>
    </row>
    <row r="104" spans="1:12" ht="24" customHeight="1" x14ac:dyDescent="0.25">
      <c r="A104" s="2462" t="str">
        <f>"Exatidão do número de CT - "&amp;extraoral!A91&amp;" (ref.: "&amp;IF(extraoral!E87="Digite","NI",extraoral!E87)&amp;")**"</f>
        <v>Exatidão do número de CT - Ar (ref.: NI)**</v>
      </c>
      <c r="B104" s="2462"/>
      <c r="C104" s="2462"/>
      <c r="D104" s="2822" t="s">
        <v>2534</v>
      </c>
      <c r="E104" s="2822"/>
      <c r="F104" s="2462" t="s">
        <v>2736</v>
      </c>
      <c r="G104" s="2462"/>
      <c r="H104" s="2492" t="str">
        <f>IF(extraoral!B92=0,"NPA",CONCATENATE(extraoral!B92," HU"))</f>
        <v>NPA</v>
      </c>
      <c r="I104" s="2492"/>
      <c r="J104" s="2320" t="str">
        <f>extraoral!C92</f>
        <v>NPA</v>
      </c>
      <c r="K104" s="2137" t="str">
        <f>IF(extraoral!$B$2="Panorâmico","x","")</f>
        <v/>
      </c>
      <c r="L104" s="2137" t="str">
        <f>IF(OR(J104="Restrição",J104="Não"),"Não conforme",IF(J104="Conforme","Conforme",IF(J104="NPA","NPA","NA")))</f>
        <v>NPA</v>
      </c>
    </row>
    <row r="105" spans="1:12" ht="27.75" customHeight="1" x14ac:dyDescent="0.25">
      <c r="A105" s="2462" t="str">
        <f>"Exatidão do número de CT - "&amp;extraoral!A95&amp;" (ref.: "&amp;IF(extraoral!E86="Digite","NI",extraoral!E86)&amp;")**"</f>
        <v>Exatidão do número de CT - PMMA (ref.: NI)**</v>
      </c>
      <c r="B105" s="2462"/>
      <c r="C105" s="2462"/>
      <c r="D105" s="2822" t="s">
        <v>2535</v>
      </c>
      <c r="E105" s="2822"/>
      <c r="F105" s="2462" t="s">
        <v>2736</v>
      </c>
      <c r="G105" s="2462"/>
      <c r="H105" s="2492" t="str">
        <f>IF(extraoral!B96=0,"NPA",CONCATENATE(extraoral!B96," HU"))</f>
        <v>NPA</v>
      </c>
      <c r="I105" s="2492"/>
      <c r="J105" s="2320" t="str">
        <f>extraoral!C96</f>
        <v>NPA</v>
      </c>
      <c r="K105" s="2137" t="str">
        <f>IF(extraoral!$B$2="Panorâmico","x","")</f>
        <v/>
      </c>
      <c r="L105" s="2257" t="str">
        <f>IF(OR(J105="Restrição",J105="Não"),"Não conforme",IF(J105="Conforme","Conforme",IF(J105="NPA","NPA","NA")))</f>
        <v>NPA</v>
      </c>
    </row>
    <row r="106" spans="1:12" ht="27" customHeight="1" x14ac:dyDescent="0.25">
      <c r="A106" s="2462" t="str">
        <f>"Uniformidade dos números de CT (ref.: "&amp;IF(extraoral!E88="Digite","NI",extraoral!E88)&amp;")**"</f>
        <v>Uniformidade dos números de CT (ref.: NI)**</v>
      </c>
      <c r="B106" s="2462"/>
      <c r="C106" s="2462"/>
      <c r="D106" s="2822" t="s">
        <v>2536</v>
      </c>
      <c r="E106" s="2822"/>
      <c r="F106" s="2462" t="s">
        <v>2736</v>
      </c>
      <c r="G106" s="2462"/>
      <c r="H106" s="2492" t="str">
        <f>IFERROR(CONCATENATE(extraoral!F101," HU"),"NPA")</f>
        <v>NPA</v>
      </c>
      <c r="I106" s="2492"/>
      <c r="J106" s="2320" t="str">
        <f>extraoral!D101</f>
        <v>NPA</v>
      </c>
      <c r="K106" s="2137" t="str">
        <f>IF(extraoral!$B$2="Panorâmico","x","")</f>
        <v/>
      </c>
      <c r="L106" s="2257" t="str">
        <f>IF(OR(J106="Restrição",J106="Não"),"Não conforme",IF(J106="Conforme","Conforme",IF(J106="NPA","NPA","NA")))</f>
        <v>NPA</v>
      </c>
    </row>
    <row r="107" spans="1:12" ht="57.75" customHeight="1" x14ac:dyDescent="0.25">
      <c r="A107" s="2462" t="str">
        <f>"Ruído da imagem em CT (ref.: "&amp;IF(extraoral!E89="","NI",extraoral!E89)&amp;")**"</f>
        <v>Ruído da imagem em CT (ref.: NI)**</v>
      </c>
      <c r="B107" s="2462"/>
      <c r="C107" s="2462"/>
      <c r="D107" s="2822" t="s">
        <v>2537</v>
      </c>
      <c r="E107" s="2822"/>
      <c r="F107" s="2462" t="s">
        <v>2543</v>
      </c>
      <c r="G107" s="2462"/>
      <c r="H107" s="2492" t="str">
        <f>IF(extraoral!B97=0,"NPA",CONCATENATE(extraoral!B97," HU"))</f>
        <v>NPA</v>
      </c>
      <c r="I107" s="2492"/>
      <c r="J107" s="2320" t="str">
        <f>extraoral!C97</f>
        <v>NPA</v>
      </c>
      <c r="K107" s="2137" t="str">
        <f>IF(extraoral!$B$2="Panorâmico","x","")</f>
        <v/>
      </c>
      <c r="L107" s="2257" t="str">
        <f>IF(OR(J107="Restrição",J107="Não"),"Não conforme",IF(J107="Conforme","Conforme",IF(J107="NPA","NPA","NA")))</f>
        <v>NPA</v>
      </c>
    </row>
    <row r="108" spans="1:12" s="2018" customFormat="1" ht="23.25" customHeight="1" x14ac:dyDescent="0.25">
      <c r="A108" s="2462" t="s">
        <v>1383</v>
      </c>
      <c r="B108" s="2462"/>
      <c r="C108" s="2462"/>
      <c r="D108" s="2822" t="s">
        <v>2538</v>
      </c>
      <c r="E108" s="2822"/>
      <c r="F108" s="2462" t="s">
        <v>2737</v>
      </c>
      <c r="G108" s="2462"/>
      <c r="H108" s="2492" t="str">
        <f ca="1">IF(extraoral!G127="NA","NA",CONCATENATE(ROUND(extraoral!G127,1)," %"))</f>
        <v>NA</v>
      </c>
      <c r="I108" s="2492"/>
      <c r="J108" s="2320" t="str">
        <f ca="1">IF(extraoral!G127="NA","NA",IF(extraoral!G127&gt;40,"Restrição",IF(extraoral!G127&gt;20,"Não","Sim")))</f>
        <v>NA</v>
      </c>
      <c r="L108" s="2137" t="str">
        <f t="shared" ref="L108" ca="1" si="3">IF(OR(J108="Restrição",J109="Não"),"Não conforme","Conforme")</f>
        <v>Conforme</v>
      </c>
    </row>
    <row r="109" spans="1:12" s="2018" customFormat="1" ht="24.75" customHeight="1" x14ac:dyDescent="0.25">
      <c r="A109" s="2462" t="str">
        <f>CONCATENATE("Rendimento do tubo @ ",extraoral!B28," kVp à 1 metro")</f>
        <v>Rendimento do tubo @  kVp à 1 metro</v>
      </c>
      <c r="B109" s="2462"/>
      <c r="C109" s="2462"/>
      <c r="D109" s="2822" t="s">
        <v>2539</v>
      </c>
      <c r="E109" s="2822"/>
      <c r="F109" s="2462" t="s">
        <v>2544</v>
      </c>
      <c r="G109" s="2462"/>
      <c r="H109" s="2492" t="e">
        <f ca="1">CONCATENATE(extraoral!B36," µGy/mAs")</f>
        <v>#VALUE!</v>
      </c>
      <c r="I109" s="2492"/>
      <c r="J109" s="2320" t="s">
        <v>142</v>
      </c>
    </row>
    <row r="110" spans="1:12" s="2018" customFormat="1" ht="24.75" customHeight="1" x14ac:dyDescent="0.25">
      <c r="A110" s="2462" t="s">
        <v>1773</v>
      </c>
      <c r="B110" s="2462"/>
      <c r="C110" s="2462"/>
      <c r="D110" s="2822" t="s">
        <v>2540</v>
      </c>
      <c r="E110" s="2822"/>
      <c r="F110" s="2462" t="s">
        <v>2381</v>
      </c>
      <c r="G110" s="2462"/>
      <c r="H110" s="2492" t="str">
        <f>IF(Cabeçalho!G20="DR",IF(extraoral!E107="Não","Sem imagem residual","Há imagem residual"),"NA")</f>
        <v>NA</v>
      </c>
      <c r="I110" s="2492"/>
      <c r="J110" s="2320" t="str">
        <f>IF(Cabeçalho!G20="DR",IF(extraoral!E107="Não","Sim","Não"),"NA")</f>
        <v>NA</v>
      </c>
      <c r="L110" s="2137" t="str">
        <f>IF(J111="Não","Não conforme","Conforme")</f>
        <v>Conforme</v>
      </c>
    </row>
    <row r="111" spans="1:12" s="2018" customFormat="1" ht="27.75" customHeight="1" x14ac:dyDescent="0.25">
      <c r="A111" s="2462" t="s">
        <v>1702</v>
      </c>
      <c r="B111" s="2462"/>
      <c r="C111" s="2462"/>
      <c r="D111" s="2822" t="s">
        <v>2541</v>
      </c>
      <c r="E111" s="2822"/>
      <c r="F111" s="2462" t="s">
        <v>2545</v>
      </c>
      <c r="G111" s="2462"/>
      <c r="H111" s="2492" t="str">
        <f>IF(extraoral!C106="NA","-",IF(extraoral!C106="Sim","Existentes","Sem artefatos"))</f>
        <v>-</v>
      </c>
      <c r="I111" s="2492"/>
      <c r="J111" s="2320" t="str">
        <f>IF(extraoral!C106="NA","NA",IF(extraoral!C106="Sim","Não","Sim"))</f>
        <v>NA</v>
      </c>
      <c r="L111" s="2137" t="str">
        <f>IF(J112="Não","Não conforme","Conforme")</f>
        <v>Conforme</v>
      </c>
    </row>
    <row r="112" spans="1:12" ht="15" customHeight="1" x14ac:dyDescent="0.25">
      <c r="A112" s="2481" t="s">
        <v>2733</v>
      </c>
      <c r="B112" s="2481"/>
      <c r="C112" s="2481"/>
      <c r="D112" s="2481"/>
      <c r="E112" s="2481"/>
      <c r="F112" s="2481"/>
      <c r="G112" s="2481"/>
      <c r="H112" s="2481"/>
      <c r="I112" s="2481"/>
      <c r="J112" s="2094"/>
    </row>
    <row r="113" spans="1:11" ht="15" customHeight="1" x14ac:dyDescent="0.25">
      <c r="A113" s="2481"/>
      <c r="B113" s="2481"/>
      <c r="C113" s="2481"/>
      <c r="D113" s="2481"/>
      <c r="E113" s="2481"/>
      <c r="F113" s="2481"/>
      <c r="G113" s="2481"/>
      <c r="H113" s="2481"/>
      <c r="I113" s="2481"/>
    </row>
    <row r="114" spans="1:11" ht="15" customHeight="1" x14ac:dyDescent="0.25">
      <c r="A114" s="2134"/>
      <c r="B114" s="2134"/>
      <c r="C114" s="2134"/>
      <c r="D114" s="2134"/>
      <c r="E114" s="2134"/>
      <c r="F114" s="2134"/>
      <c r="G114" s="2134"/>
      <c r="H114" s="2134"/>
      <c r="I114" s="2134"/>
    </row>
    <row r="115" spans="1:11" ht="15" customHeight="1" x14ac:dyDescent="0.25">
      <c r="A115" s="281" t="s">
        <v>191</v>
      </c>
    </row>
    <row r="116" spans="1:11" ht="15" customHeight="1" x14ac:dyDescent="0.25">
      <c r="A116" s="2476" t="str">
        <f>CONCATENATE("                 ",Tabelas2!S4)</f>
        <v xml:space="preserve">                 Medidor de tensão, tempo, dose e camada semirredutora marca RaySafe, modelo X2 8251010-6, série 257741, sensor modelo 8252010-6, série 260722, certificado de calibração em anexo.</v>
      </c>
      <c r="B116" s="2476"/>
      <c r="C116" s="2476"/>
      <c r="D116" s="2476"/>
      <c r="E116" s="2476"/>
      <c r="F116" s="2476"/>
      <c r="G116" s="2476"/>
      <c r="H116" s="2476"/>
      <c r="I116" s="2476"/>
      <c r="J116" s="2476"/>
    </row>
    <row r="117" spans="1:11" ht="15" customHeight="1" x14ac:dyDescent="0.25">
      <c r="A117" s="2476"/>
      <c r="B117" s="2476"/>
      <c r="C117" s="2476"/>
      <c r="D117" s="2476"/>
      <c r="E117" s="2476"/>
      <c r="F117" s="2476"/>
      <c r="G117" s="2476"/>
      <c r="H117" s="2476"/>
      <c r="I117" s="2476"/>
      <c r="J117" s="2476"/>
    </row>
    <row r="118" spans="1:11" ht="15" customHeight="1" x14ac:dyDescent="0.25">
      <c r="A118" s="2468" t="s">
        <v>1698</v>
      </c>
      <c r="B118" s="2468"/>
      <c r="C118" s="2468"/>
      <c r="D118" s="2468"/>
      <c r="E118" s="2468"/>
      <c r="F118" s="2468"/>
      <c r="G118" s="2468"/>
      <c r="H118" s="2468"/>
      <c r="I118" s="2468"/>
      <c r="J118" s="2468"/>
      <c r="K118" s="2137" t="str">
        <f>IF(extraoral!D64="Não possui","x","")</f>
        <v/>
      </c>
    </row>
    <row r="119" spans="1:11" ht="15" customHeight="1" x14ac:dyDescent="0.25">
      <c r="A119" s="2468" t="s">
        <v>231</v>
      </c>
      <c r="B119" s="2468"/>
      <c r="C119" s="2468"/>
      <c r="D119" s="2468"/>
      <c r="E119" s="2468"/>
      <c r="F119" s="2468"/>
      <c r="G119" s="2468"/>
      <c r="H119" s="2468"/>
      <c r="I119" s="2468"/>
      <c r="J119" s="2468"/>
    </row>
    <row r="120" spans="1:11" ht="15" customHeight="1" x14ac:dyDescent="0.25">
      <c r="A120" s="2134"/>
      <c r="B120" s="2134"/>
      <c r="C120" s="2134"/>
      <c r="D120" s="2134"/>
      <c r="E120" s="2134"/>
      <c r="F120" s="2134"/>
      <c r="G120" s="2134"/>
      <c r="H120" s="2134"/>
      <c r="I120" s="2134"/>
    </row>
    <row r="121" spans="1:11" ht="15" customHeight="1" x14ac:dyDescent="0.25">
      <c r="A121" s="281" t="s">
        <v>192</v>
      </c>
      <c r="B121" s="2134"/>
      <c r="C121" s="2134"/>
      <c r="D121" s="2134"/>
      <c r="E121" s="2134"/>
      <c r="F121" s="2134"/>
      <c r="G121" s="2134"/>
      <c r="H121" s="2134"/>
      <c r="I121" s="2134"/>
      <c r="K121" s="2137" t="str">
        <f>IF(COUNTIF(K124:K147,"")=0,"x","")</f>
        <v/>
      </c>
    </row>
    <row r="122" spans="1:11" ht="15" customHeight="1" x14ac:dyDescent="0.25">
      <c r="A122" s="2469" t="str">
        <f>IntroPrazoArmazenamento</f>
        <v xml:space="preserve">               Este documento deve ser arquivado e mantido à disposição da autoridade sanitária local, garantindo sua rastreabilidade pelo prazo mínimo de 5 anos. </v>
      </c>
      <c r="B122" s="2469"/>
      <c r="C122" s="2469"/>
      <c r="D122" s="2469"/>
      <c r="E122" s="2469"/>
      <c r="F122" s="2469"/>
      <c r="G122" s="2469"/>
      <c r="H122" s="2469"/>
      <c r="I122" s="2469"/>
      <c r="J122" s="2469"/>
    </row>
    <row r="123" spans="1:11" ht="15" customHeight="1" x14ac:dyDescent="0.25">
      <c r="A123" s="2469"/>
      <c r="B123" s="2469"/>
      <c r="C123" s="2469"/>
      <c r="D123" s="2469"/>
      <c r="E123" s="2469"/>
      <c r="F123" s="2469"/>
      <c r="G123" s="2469"/>
      <c r="H123" s="2469"/>
      <c r="I123" s="2469"/>
      <c r="J123" s="2469"/>
    </row>
    <row r="124" spans="1:11" ht="15" customHeight="1" x14ac:dyDescent="0.25">
      <c r="A124" s="2476" t="s">
        <v>692</v>
      </c>
      <c r="B124" s="2476"/>
      <c r="C124" s="2476"/>
      <c r="D124" s="2476"/>
      <c r="E124" s="2476"/>
      <c r="F124" s="2476"/>
      <c r="G124" s="2476"/>
      <c r="H124" s="2476"/>
      <c r="I124" s="2476"/>
      <c r="J124" s="2476"/>
      <c r="K124" s="2137" t="str">
        <f>IF(AND(K106="",OR(J106="Não",J106="Restrição")),"","x")</f>
        <v>x</v>
      </c>
    </row>
    <row r="125" spans="1:11" ht="15" customHeight="1" x14ac:dyDescent="0.25">
      <c r="A125" s="2476"/>
      <c r="B125" s="2476"/>
      <c r="C125" s="2476"/>
      <c r="D125" s="2476"/>
      <c r="E125" s="2476"/>
      <c r="F125" s="2476"/>
      <c r="G125" s="2476"/>
      <c r="H125" s="2476"/>
      <c r="I125" s="2476"/>
      <c r="J125" s="2476"/>
      <c r="K125" s="2137" t="str">
        <f>K124</f>
        <v>x</v>
      </c>
    </row>
    <row r="126" spans="1:11" ht="15" customHeight="1" x14ac:dyDescent="0.25">
      <c r="A126" s="2476"/>
      <c r="B126" s="2476"/>
      <c r="C126" s="2476"/>
      <c r="D126" s="2476"/>
      <c r="E126" s="2476"/>
      <c r="F126" s="2476"/>
      <c r="G126" s="2476"/>
      <c r="H126" s="2476"/>
      <c r="I126" s="2476"/>
      <c r="J126" s="2476"/>
      <c r="K126" s="2137" t="str">
        <f>K125</f>
        <v>x</v>
      </c>
    </row>
    <row r="127" spans="1:11" ht="15" customHeight="1" x14ac:dyDescent="0.25">
      <c r="A127" s="2476"/>
      <c r="B127" s="2476"/>
      <c r="C127" s="2476"/>
      <c r="D127" s="2476"/>
      <c r="E127" s="2476"/>
      <c r="F127" s="2476"/>
      <c r="G127" s="2476"/>
      <c r="H127" s="2476"/>
      <c r="I127" s="2476"/>
      <c r="J127" s="2476"/>
      <c r="K127" s="2137" t="str">
        <f>K126</f>
        <v>x</v>
      </c>
    </row>
    <row r="128" spans="1:11" ht="15" customHeight="1" x14ac:dyDescent="0.25">
      <c r="A128" s="2476"/>
      <c r="B128" s="2476"/>
      <c r="C128" s="2476"/>
      <c r="D128" s="2476"/>
      <c r="E128" s="2476"/>
      <c r="F128" s="2476"/>
      <c r="G128" s="2476"/>
      <c r="H128" s="2476"/>
      <c r="I128" s="2476"/>
      <c r="J128" s="2476"/>
      <c r="K128" s="2137" t="str">
        <f>K127</f>
        <v>x</v>
      </c>
    </row>
    <row r="129" spans="1:11" ht="15" customHeight="1" x14ac:dyDescent="0.25">
      <c r="A129" s="2476" t="s">
        <v>693</v>
      </c>
      <c r="B129" s="2476"/>
      <c r="C129" s="2476"/>
      <c r="D129" s="2476"/>
      <c r="E129" s="2476"/>
      <c r="F129" s="2476"/>
      <c r="G129" s="2476"/>
      <c r="H129" s="2476"/>
      <c r="I129" s="2476"/>
      <c r="J129" s="2476"/>
      <c r="K129" s="2137" t="str">
        <f>IF(AND(K107="",OR(J107="Não",J107="Restrição")),"","x")</f>
        <v>x</v>
      </c>
    </row>
    <row r="130" spans="1:11" ht="15" customHeight="1" x14ac:dyDescent="0.25">
      <c r="A130" s="2476"/>
      <c r="B130" s="2476"/>
      <c r="C130" s="2476"/>
      <c r="D130" s="2476"/>
      <c r="E130" s="2476"/>
      <c r="F130" s="2476"/>
      <c r="G130" s="2476"/>
      <c r="H130" s="2476"/>
      <c r="I130" s="2476"/>
      <c r="J130" s="2476"/>
      <c r="K130" s="2137" t="str">
        <f>K129</f>
        <v>x</v>
      </c>
    </row>
    <row r="131" spans="1:11" ht="15" customHeight="1" x14ac:dyDescent="0.25">
      <c r="A131" s="2476"/>
      <c r="B131" s="2476"/>
      <c r="C131" s="2476"/>
      <c r="D131" s="2476"/>
      <c r="E131" s="2476"/>
      <c r="F131" s="2476"/>
      <c r="G131" s="2476"/>
      <c r="H131" s="2476"/>
      <c r="I131" s="2476"/>
      <c r="J131" s="2476"/>
      <c r="K131" s="2137" t="str">
        <f>K130</f>
        <v>x</v>
      </c>
    </row>
    <row r="132" spans="1:11" ht="15" customHeight="1" x14ac:dyDescent="0.25">
      <c r="A132" s="2476"/>
      <c r="B132" s="2476"/>
      <c r="C132" s="2476"/>
      <c r="D132" s="2476"/>
      <c r="E132" s="2476"/>
      <c r="F132" s="2476"/>
      <c r="G132" s="2476"/>
      <c r="H132" s="2476"/>
      <c r="I132" s="2476"/>
      <c r="J132" s="2476"/>
      <c r="K132" s="2137" t="str">
        <f>K131</f>
        <v>x</v>
      </c>
    </row>
    <row r="133" spans="1:11" ht="15" customHeight="1" x14ac:dyDescent="0.25">
      <c r="A133" s="2476"/>
      <c r="B133" s="2476"/>
      <c r="C133" s="2476"/>
      <c r="D133" s="2476"/>
      <c r="E133" s="2476"/>
      <c r="F133" s="2476"/>
      <c r="G133" s="2476"/>
      <c r="H133" s="2476"/>
      <c r="I133" s="2476"/>
      <c r="J133" s="2476"/>
      <c r="K133" s="2137" t="str">
        <f>K132</f>
        <v>x</v>
      </c>
    </row>
    <row r="134" spans="1:11" ht="15" customHeight="1" x14ac:dyDescent="0.25">
      <c r="A134" s="2476" t="s">
        <v>1706</v>
      </c>
      <c r="B134" s="2476"/>
      <c r="C134" s="2476"/>
      <c r="D134" s="2476"/>
      <c r="E134" s="2476"/>
      <c r="F134" s="2476"/>
      <c r="G134" s="2476"/>
      <c r="H134" s="2476"/>
      <c r="I134" s="2476"/>
      <c r="J134" s="2476"/>
      <c r="K134" s="2020" t="str">
        <f>IF(Cabeçalho!$B$20="Indisponível","","x")</f>
        <v/>
      </c>
    </row>
    <row r="135" spans="1:11" ht="15" customHeight="1" x14ac:dyDescent="0.25">
      <c r="A135" s="2476"/>
      <c r="B135" s="2476"/>
      <c r="C135" s="2476"/>
      <c r="D135" s="2476"/>
      <c r="E135" s="2476"/>
      <c r="F135" s="2476"/>
      <c r="G135" s="2476"/>
      <c r="H135" s="2476"/>
      <c r="I135" s="2476"/>
      <c r="J135" s="2476"/>
      <c r="K135" s="2020" t="str">
        <f>K134</f>
        <v/>
      </c>
    </row>
    <row r="136" spans="1:11" ht="15" customHeight="1" x14ac:dyDescent="0.25">
      <c r="A136" s="2476"/>
      <c r="B136" s="2476"/>
      <c r="C136" s="2476"/>
      <c r="D136" s="2476"/>
      <c r="E136" s="2476"/>
      <c r="F136" s="2476"/>
      <c r="G136" s="2476"/>
      <c r="H136" s="2476"/>
      <c r="I136" s="2476"/>
      <c r="J136" s="2476"/>
      <c r="K136" s="2020" t="str">
        <f>K135</f>
        <v/>
      </c>
    </row>
    <row r="137" spans="1:11" ht="15" customHeight="1" x14ac:dyDescent="0.25">
      <c r="A137" s="2476" t="s">
        <v>555</v>
      </c>
      <c r="B137" s="2476"/>
      <c r="C137" s="2476"/>
      <c r="D137" s="2476"/>
      <c r="E137" s="2476"/>
      <c r="F137" s="2476"/>
      <c r="G137" s="2476"/>
      <c r="H137" s="2476"/>
      <c r="I137" s="2476"/>
      <c r="J137" s="2476"/>
      <c r="K137" s="2137" t="str">
        <f>IF(G61&lt;&gt;"Em condições de funcionamento","","x")</f>
        <v>x</v>
      </c>
    </row>
    <row r="138" spans="1:11" ht="15" customHeight="1" x14ac:dyDescent="0.25">
      <c r="A138" s="2476"/>
      <c r="B138" s="2476"/>
      <c r="C138" s="2476"/>
      <c r="D138" s="2476"/>
      <c r="E138" s="2476"/>
      <c r="F138" s="2476"/>
      <c r="G138" s="2476"/>
      <c r="H138" s="2476"/>
      <c r="I138" s="2476"/>
      <c r="J138" s="2476"/>
      <c r="K138" s="2137" t="str">
        <f>K137</f>
        <v>x</v>
      </c>
    </row>
    <row r="139" spans="1:11" ht="15" customHeight="1" x14ac:dyDescent="0.25">
      <c r="A139" s="2476" t="s">
        <v>1102</v>
      </c>
      <c r="B139" s="2476"/>
      <c r="C139" s="2476"/>
      <c r="D139" s="2476"/>
      <c r="E139" s="2476"/>
      <c r="F139" s="2476"/>
      <c r="G139" s="2476"/>
      <c r="H139" s="2476"/>
      <c r="I139" s="2476"/>
      <c r="J139" s="2476"/>
      <c r="K139" s="2137" t="s">
        <v>649</v>
      </c>
    </row>
    <row r="140" spans="1:11" ht="15" customHeight="1" x14ac:dyDescent="0.25">
      <c r="A140" s="2476"/>
      <c r="B140" s="2476"/>
      <c r="C140" s="2476"/>
      <c r="D140" s="2476"/>
      <c r="E140" s="2476"/>
      <c r="F140" s="2476"/>
      <c r="G140" s="2476"/>
      <c r="H140" s="2476"/>
      <c r="I140" s="2476"/>
      <c r="J140" s="2476"/>
      <c r="K140" s="2137" t="str">
        <f>K139</f>
        <v>x</v>
      </c>
    </row>
    <row r="141" spans="1:11" ht="15" customHeight="1" x14ac:dyDescent="0.25">
      <c r="A141" s="2476" t="s">
        <v>556</v>
      </c>
      <c r="B141" s="2476"/>
      <c r="C141" s="2476"/>
      <c r="D141" s="2476"/>
      <c r="E141" s="2476"/>
      <c r="F141" s="2476"/>
      <c r="G141" s="2476"/>
      <c r="H141" s="2476"/>
      <c r="I141" s="2476"/>
      <c r="J141" s="2476"/>
      <c r="K141" s="2137" t="str">
        <f>IF(AND(COUNTIF(K104:K106,"")&gt;0,(COUNTIF(J104:J106,"Não")+COUNTIF(J104:J106,"Restrição"))&gt;0),"","x")</f>
        <v>x</v>
      </c>
    </row>
    <row r="142" spans="1:11" ht="15" customHeight="1" x14ac:dyDescent="0.25">
      <c r="A142" s="2476" t="s">
        <v>557</v>
      </c>
      <c r="B142" s="2476"/>
      <c r="C142" s="2476"/>
      <c r="D142" s="2476"/>
      <c r="E142" s="2476"/>
      <c r="F142" s="2476"/>
      <c r="G142" s="2476"/>
      <c r="H142" s="2476"/>
      <c r="I142" s="2476"/>
      <c r="J142" s="2476"/>
      <c r="K142" s="2137" t="str">
        <f>IF(extraoral!D64="Com artefatos","","x")</f>
        <v>x</v>
      </c>
    </row>
    <row r="143" spans="1:11" ht="15" customHeight="1" x14ac:dyDescent="0.25">
      <c r="A143" s="2476"/>
      <c r="B143" s="2476"/>
      <c r="C143" s="2476"/>
      <c r="D143" s="2476"/>
      <c r="E143" s="2476"/>
      <c r="F143" s="2476"/>
      <c r="G143" s="2476"/>
      <c r="H143" s="2476"/>
      <c r="I143" s="2476"/>
      <c r="J143" s="2476"/>
      <c r="K143" s="2137" t="str">
        <f>K142</f>
        <v>x</v>
      </c>
    </row>
    <row r="144" spans="1:11" ht="15" customHeight="1" x14ac:dyDescent="0.25">
      <c r="A144" s="2476" t="s">
        <v>1796</v>
      </c>
      <c r="B144" s="2476"/>
      <c r="C144" s="2476"/>
      <c r="D144" s="2476"/>
      <c r="E144" s="2476"/>
      <c r="F144" s="2476"/>
      <c r="G144" s="2476"/>
      <c r="H144" s="2476"/>
      <c r="I144" s="2476"/>
      <c r="J144" s="2476"/>
      <c r="K144" s="2137" t="str">
        <f>IF(J111="Não","","x")</f>
        <v>x</v>
      </c>
    </row>
    <row r="145" spans="1:11" ht="15" customHeight="1" x14ac:dyDescent="0.25">
      <c r="A145" s="2476"/>
      <c r="B145" s="2476"/>
      <c r="C145" s="2476"/>
      <c r="D145" s="2476"/>
      <c r="E145" s="2476"/>
      <c r="F145" s="2476"/>
      <c r="G145" s="2476"/>
      <c r="H145" s="2476"/>
      <c r="I145" s="2476"/>
      <c r="J145" s="2476"/>
      <c r="K145" s="2137" t="str">
        <f>K144</f>
        <v>x</v>
      </c>
    </row>
    <row r="146" spans="1:11" ht="15" customHeight="1" x14ac:dyDescent="0.25">
      <c r="A146" s="2476" t="s">
        <v>1381</v>
      </c>
      <c r="B146" s="2476"/>
      <c r="C146" s="2476"/>
      <c r="D146" s="2476"/>
      <c r="E146" s="2476"/>
      <c r="F146" s="2476"/>
      <c r="G146" s="2476"/>
      <c r="H146" s="2476"/>
      <c r="I146" s="2476"/>
      <c r="J146" s="2476"/>
      <c r="K146" s="2137" t="str">
        <f>IF(extraoral!D64="Não possui","","x")</f>
        <v>x</v>
      </c>
    </row>
    <row r="147" spans="1:11" ht="15" customHeight="1" x14ac:dyDescent="0.25">
      <c r="A147" s="2476"/>
      <c r="B147" s="2476"/>
      <c r="C147" s="2476"/>
      <c r="D147" s="2476"/>
      <c r="E147" s="2476"/>
      <c r="F147" s="2476"/>
      <c r="G147" s="2476"/>
      <c r="H147" s="2476"/>
      <c r="I147" s="2476"/>
      <c r="J147" s="2476"/>
      <c r="K147" s="2137" t="str">
        <f>K146</f>
        <v>x</v>
      </c>
    </row>
    <row r="148" spans="1:11" ht="15" customHeight="1" x14ac:dyDescent="0.25">
      <c r="A148" s="2134"/>
      <c r="B148" s="2134"/>
      <c r="C148" s="2134"/>
      <c r="D148" s="2134"/>
      <c r="E148" s="2134"/>
      <c r="F148" s="2134"/>
      <c r="G148" s="2134"/>
      <c r="H148" s="2134"/>
      <c r="I148" s="2134"/>
      <c r="J148" s="2134"/>
    </row>
    <row r="149" spans="1:11" ht="15" customHeight="1" x14ac:dyDescent="0.25">
      <c r="A149" s="281" t="s">
        <v>1083</v>
      </c>
      <c r="B149" s="2134"/>
      <c r="C149" s="2134"/>
      <c r="D149" s="2134"/>
      <c r="E149" s="2134"/>
      <c r="F149" s="2134"/>
      <c r="G149" s="2134"/>
      <c r="H149" s="2134"/>
      <c r="I149" s="2134"/>
      <c r="J149" s="2134"/>
    </row>
    <row r="150" spans="1:11" ht="15" customHeight="1" x14ac:dyDescent="0.25">
      <c r="A150" s="2476"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50" s="2476"/>
      <c r="C150" s="2476"/>
      <c r="D150" s="2476"/>
      <c r="E150" s="2476"/>
      <c r="F150" s="2476"/>
      <c r="G150" s="2476"/>
      <c r="H150" s="2476"/>
      <c r="I150" s="2476"/>
      <c r="J150" s="2476"/>
    </row>
    <row r="151" spans="1:11" ht="15" customHeight="1" x14ac:dyDescent="0.25">
      <c r="A151" s="2476"/>
      <c r="B151" s="2476"/>
      <c r="C151" s="2476"/>
      <c r="D151" s="2476"/>
      <c r="E151" s="2476"/>
      <c r="F151" s="2476"/>
      <c r="G151" s="2476"/>
      <c r="H151" s="2476"/>
      <c r="I151" s="2476"/>
      <c r="J151" s="2476"/>
    </row>
    <row r="152" spans="1:11" ht="15" customHeight="1" x14ac:dyDescent="0.25">
      <c r="A152" s="2476"/>
      <c r="B152" s="2476"/>
      <c r="C152" s="2476"/>
      <c r="D152" s="2476"/>
      <c r="E152" s="2476"/>
      <c r="F152" s="2476"/>
      <c r="G152" s="2476"/>
      <c r="H152" s="2476"/>
      <c r="I152" s="2476"/>
      <c r="J152" s="2476"/>
    </row>
    <row r="153" spans="1:11" ht="15" customHeight="1" x14ac:dyDescent="0.25">
      <c r="A153" s="2476"/>
      <c r="B153" s="2476"/>
      <c r="C153" s="2476"/>
      <c r="D153" s="2476"/>
      <c r="E153" s="2476"/>
      <c r="F153" s="2476"/>
      <c r="G153" s="2476"/>
      <c r="H153" s="2476"/>
      <c r="I153" s="2476"/>
      <c r="J153" s="2476"/>
    </row>
    <row r="154" spans="1:11" ht="15" customHeight="1" x14ac:dyDescent="0.25">
      <c r="A154" s="2476"/>
      <c r="B154" s="2476"/>
      <c r="C154" s="2476"/>
      <c r="D154" s="2476"/>
      <c r="E154" s="2476"/>
      <c r="F154" s="2476"/>
      <c r="G154" s="2476"/>
      <c r="H154" s="2476"/>
      <c r="I154" s="2476"/>
      <c r="J154" s="2476"/>
    </row>
    <row r="155" spans="1:11" ht="15" customHeight="1" x14ac:dyDescent="0.25">
      <c r="A155" s="2134"/>
      <c r="B155" s="2134"/>
      <c r="C155" s="2134"/>
      <c r="D155" s="2134"/>
      <c r="E155" s="2134"/>
      <c r="F155" s="2134"/>
      <c r="G155" s="2134"/>
      <c r="H155" s="2134"/>
      <c r="I155" s="2134"/>
      <c r="J155" s="2134"/>
    </row>
    <row r="156" spans="1:11" ht="15" customHeight="1" x14ac:dyDescent="0.25">
      <c r="A156" s="281" t="s">
        <v>2514</v>
      </c>
      <c r="B156" s="2134"/>
      <c r="C156" s="2134"/>
      <c r="D156" s="2134"/>
      <c r="E156" s="2134"/>
      <c r="F156" s="2134"/>
      <c r="G156" s="2134"/>
      <c r="H156" s="2134"/>
      <c r="I156" s="2134"/>
      <c r="J156" s="2134"/>
    </row>
    <row r="157" spans="1:11" ht="15" customHeight="1" x14ac:dyDescent="0.25">
      <c r="A157" s="2134"/>
      <c r="B157" s="2134"/>
      <c r="C157" s="2134"/>
      <c r="D157" s="2134"/>
      <c r="E157" s="2134"/>
      <c r="F157" s="2134"/>
      <c r="G157" s="2134"/>
      <c r="H157" s="2134"/>
      <c r="I157" s="2134"/>
      <c r="J157" s="2134"/>
    </row>
    <row r="158" spans="1:11" ht="15" customHeight="1" x14ac:dyDescent="0.25">
      <c r="A158" s="2487" t="s">
        <v>146</v>
      </c>
      <c r="B158" s="2487"/>
      <c r="C158" s="2487"/>
      <c r="D158" s="2487"/>
      <c r="E158" s="2487"/>
      <c r="F158" s="2618" t="s">
        <v>2457</v>
      </c>
      <c r="G158" s="2618"/>
      <c r="H158" s="2097" t="s">
        <v>2458</v>
      </c>
      <c r="I158" s="2487" t="s">
        <v>2423</v>
      </c>
      <c r="J158" s="2487"/>
    </row>
    <row r="159" spans="1:11" ht="15" customHeight="1" x14ac:dyDescent="0.25">
      <c r="A159" s="2864" t="s">
        <v>2546</v>
      </c>
      <c r="B159" s="2864"/>
      <c r="C159" s="2864"/>
      <c r="D159" s="2864"/>
      <c r="E159" s="2864"/>
      <c r="F159" s="2460" t="s">
        <v>2359</v>
      </c>
      <c r="G159" s="2460"/>
      <c r="H159" s="2098" t="e">
        <f>IF(F159="-","NA",IF(OR(I159="NA",I159="NPA"),"NA",IF(F159="Quadrienal",$J$1+1461,IF(F159="Bienal",$J$1+730,IF(F159="Anual",$J$1+365,IF(F159="Semestral",$J$1+182,IF(F159="Mensal",$J$1+30,IF(F159="Semanal",$J$1+7))))))))</f>
        <v>#N/A</v>
      </c>
      <c r="I159" s="2454" t="str">
        <f>IF(L72="Conforme","Conforme","Não conforme")</f>
        <v>Conforme</v>
      </c>
      <c r="J159" s="2454" t="s">
        <v>857</v>
      </c>
    </row>
    <row r="160" spans="1:11" ht="15" customHeight="1" x14ac:dyDescent="0.25">
      <c r="A160" s="2864" t="s">
        <v>2547</v>
      </c>
      <c r="B160" s="2864"/>
      <c r="C160" s="2864"/>
      <c r="D160" s="2864"/>
      <c r="E160" s="2864"/>
      <c r="F160" s="2460" t="s">
        <v>2359</v>
      </c>
      <c r="G160" s="2460"/>
      <c r="H160" s="2331" t="e">
        <f t="shared" ref="H160:H173" si="4">IF(F160="-","NA",IF(OR(I160="NA",I160="NPA"),"NA",IF(F160="Quadrienal",$J$1+1461,IF(F160="Bienal",$J$1+730,IF(F160="Anual",$J$1+365,IF(F160="Semestral",$J$1+182,IF(F160="Mensal",$J$1+30,IF(F160="Semanal",$J$1+7))))))))</f>
        <v>#N/A</v>
      </c>
      <c r="I160" s="2454" t="str">
        <f>IF(COUNTIF(L81:L88,"Conforme")&lt;&gt;0,"Conforme","Não conforme")</f>
        <v>Conforme</v>
      </c>
      <c r="J160" s="2454" t="s">
        <v>857</v>
      </c>
    </row>
    <row r="161" spans="1:10" ht="15" customHeight="1" x14ac:dyDescent="0.25">
      <c r="A161" s="2594" t="str">
        <f>A94</f>
        <v>Camada semirredutora @ 0 kV</v>
      </c>
      <c r="B161" s="2595"/>
      <c r="C161" s="2595"/>
      <c r="D161" s="2595"/>
      <c r="E161" s="2596"/>
      <c r="F161" s="2460" t="s">
        <v>2359</v>
      </c>
      <c r="G161" s="2460"/>
      <c r="H161" s="2331" t="e">
        <f t="shared" ca="1" si="4"/>
        <v>#N/A</v>
      </c>
      <c r="I161" s="2454" t="e">
        <f ca="1">IF(L94="Conforme","Conforme","Não conforme")</f>
        <v>#N/A</v>
      </c>
      <c r="J161" s="2454" t="s">
        <v>857</v>
      </c>
    </row>
    <row r="162" spans="1:10" ht="15" customHeight="1" x14ac:dyDescent="0.25">
      <c r="A162" s="2594" t="s">
        <v>210</v>
      </c>
      <c r="B162" s="2595"/>
      <c r="C162" s="2595"/>
      <c r="D162" s="2595"/>
      <c r="E162" s="2596"/>
      <c r="F162" s="2460" t="s">
        <v>2359</v>
      </c>
      <c r="G162" s="2460"/>
      <c r="H162" s="2331" t="e">
        <f t="shared" ca="1" si="4"/>
        <v>#N/A</v>
      </c>
      <c r="I162" s="2454" t="str">
        <f ca="1">IF(COUNTIF(L95:L96,"Não conforme")&lt;&gt;0,"Não Conforme","Conforme")</f>
        <v>Conforme</v>
      </c>
      <c r="J162" s="2454" t="s">
        <v>857</v>
      </c>
    </row>
    <row r="163" spans="1:10" ht="15" customHeight="1" x14ac:dyDescent="0.25">
      <c r="A163" s="2594" t="s">
        <v>147</v>
      </c>
      <c r="B163" s="2595"/>
      <c r="C163" s="2595"/>
      <c r="D163" s="2595"/>
      <c r="E163" s="2596"/>
      <c r="F163" s="2460" t="s">
        <v>2359</v>
      </c>
      <c r="G163" s="2460"/>
      <c r="H163" s="2331" t="e">
        <f t="shared" ca="1" si="4"/>
        <v>#N/A</v>
      </c>
      <c r="I163" s="2454" t="str">
        <f ca="1">IF(COUNTIF(L97:L98,"Não conforme")&lt;&gt;0,"Não Conforme","Conforme")</f>
        <v>Conforme</v>
      </c>
      <c r="J163" s="2454" t="s">
        <v>857</v>
      </c>
    </row>
    <row r="164" spans="1:10" ht="15" customHeight="1" x14ac:dyDescent="0.25">
      <c r="A164" s="2594" t="s">
        <v>1100</v>
      </c>
      <c r="B164" s="2595"/>
      <c r="C164" s="2595"/>
      <c r="D164" s="2595"/>
      <c r="E164" s="2596"/>
      <c r="F164" s="2460" t="s">
        <v>2359</v>
      </c>
      <c r="G164" s="2460"/>
      <c r="H164" s="2331" t="e">
        <f t="shared" ca="1" si="4"/>
        <v>#N/A</v>
      </c>
      <c r="I164" s="2454" t="str">
        <f ca="1">IF(COUNTIF(L99:L100,"Não conforme")&lt;&gt;0,"Não Conforme","Conforme")</f>
        <v>Conforme</v>
      </c>
      <c r="J164" s="2454" t="s">
        <v>857</v>
      </c>
    </row>
    <row r="165" spans="1:10" ht="15" customHeight="1" x14ac:dyDescent="0.25">
      <c r="A165" s="2594" t="s">
        <v>448</v>
      </c>
      <c r="B165" s="2595"/>
      <c r="C165" s="2595"/>
      <c r="D165" s="2595"/>
      <c r="E165" s="2596"/>
      <c r="F165" s="2460" t="s">
        <v>2359</v>
      </c>
      <c r="G165" s="2460"/>
      <c r="H165" s="2331" t="e">
        <f t="shared" ca="1" si="4"/>
        <v>#NUM!</v>
      </c>
      <c r="I165" s="2454" t="e">
        <f ca="1">IF(L101="Conforme","Conforme","Não conforme")</f>
        <v>#NUM!</v>
      </c>
      <c r="J165" s="2454" t="s">
        <v>857</v>
      </c>
    </row>
    <row r="166" spans="1:10" ht="15" customHeight="1" x14ac:dyDescent="0.25">
      <c r="A166" s="2594" t="s">
        <v>1038</v>
      </c>
      <c r="B166" s="2595"/>
      <c r="C166" s="2595"/>
      <c r="D166" s="2595"/>
      <c r="E166" s="2596"/>
      <c r="F166" s="2460" t="s">
        <v>2359</v>
      </c>
      <c r="G166" s="2460"/>
      <c r="H166" s="2331" t="e">
        <f t="shared" si="4"/>
        <v>#N/A</v>
      </c>
      <c r="I166" s="2454" t="str">
        <f>IF(COUNTIF(L102:L103,"Não conforme")&lt;&gt;0,"Não Conforme","Conforme")</f>
        <v>Conforme</v>
      </c>
      <c r="J166" s="2454" t="s">
        <v>857</v>
      </c>
    </row>
    <row r="167" spans="1:10" ht="15" customHeight="1" x14ac:dyDescent="0.25">
      <c r="A167" s="2594" t="str">
        <f>A104</f>
        <v>Exatidão do número de CT - Ar (ref.: NI)**</v>
      </c>
      <c r="B167" s="2595"/>
      <c r="C167" s="2595"/>
      <c r="D167" s="2595"/>
      <c r="E167" s="2596"/>
      <c r="F167" s="2460" t="s">
        <v>2359</v>
      </c>
      <c r="G167" s="2460"/>
      <c r="H167" s="2331" t="str">
        <f t="shared" si="4"/>
        <v>NA</v>
      </c>
      <c r="I167" s="2454" t="str">
        <f>IF(L104="Conforme","Conforme",IF(L104="Não conforme","Não conforme",IF(L104="NPA","NPA","NA")))</f>
        <v>NPA</v>
      </c>
      <c r="J167" s="2454" t="s">
        <v>857</v>
      </c>
    </row>
    <row r="168" spans="1:10" ht="15" customHeight="1" x14ac:dyDescent="0.25">
      <c r="A168" s="2594" t="str">
        <f>A105</f>
        <v>Exatidão do número de CT - PMMA (ref.: NI)**</v>
      </c>
      <c r="B168" s="2595"/>
      <c r="C168" s="2595"/>
      <c r="D168" s="2595"/>
      <c r="E168" s="2596"/>
      <c r="F168" s="2460" t="s">
        <v>2359</v>
      </c>
      <c r="G168" s="2460"/>
      <c r="H168" s="2331" t="str">
        <f t="shared" si="4"/>
        <v>NA</v>
      </c>
      <c r="I168" s="2454" t="str">
        <f t="shared" ref="I168:I169" si="5">IF(L105="Conforme","Conforme",IF(L105="Não conforme","Não conforme",IF(L105="NPA","NPA","NA")))</f>
        <v>NPA</v>
      </c>
      <c r="J168" s="2454" t="s">
        <v>857</v>
      </c>
    </row>
    <row r="169" spans="1:10" ht="15" customHeight="1" x14ac:dyDescent="0.25">
      <c r="A169" s="2594" t="str">
        <f>A106</f>
        <v>Uniformidade dos números de CT (ref.: NI)**</v>
      </c>
      <c r="B169" s="2595"/>
      <c r="C169" s="2595"/>
      <c r="D169" s="2595"/>
      <c r="E169" s="2596"/>
      <c r="F169" s="2460" t="s">
        <v>2359</v>
      </c>
      <c r="G169" s="2460"/>
      <c r="H169" s="2331" t="str">
        <f t="shared" si="4"/>
        <v>NA</v>
      </c>
      <c r="I169" s="2454" t="str">
        <f t="shared" si="5"/>
        <v>NPA</v>
      </c>
      <c r="J169" s="2454" t="s">
        <v>857</v>
      </c>
    </row>
    <row r="170" spans="1:10" ht="15" customHeight="1" x14ac:dyDescent="0.25">
      <c r="A170" s="2594" t="str">
        <f>A107</f>
        <v>Ruído da imagem em CT (ref.: NI)**</v>
      </c>
      <c r="B170" s="2595"/>
      <c r="C170" s="2595"/>
      <c r="D170" s="2595"/>
      <c r="E170" s="2596"/>
      <c r="F170" s="2460" t="s">
        <v>2359</v>
      </c>
      <c r="G170" s="2460"/>
      <c r="H170" s="2331" t="str">
        <f t="shared" si="4"/>
        <v>NA</v>
      </c>
      <c r="I170" s="2454" t="str">
        <f>IF(L107="Conforme","Conforme",IF(L107="Não conforme","Não conforme",IF(L107="NPA","NPA","NA")))</f>
        <v>NPA</v>
      </c>
      <c r="J170" s="2454" t="s">
        <v>857</v>
      </c>
    </row>
    <row r="171" spans="1:10" ht="15" customHeight="1" x14ac:dyDescent="0.25">
      <c r="A171" s="2594" t="s">
        <v>1383</v>
      </c>
      <c r="B171" s="2595"/>
      <c r="C171" s="2595"/>
      <c r="D171" s="2595"/>
      <c r="E171" s="2596"/>
      <c r="F171" s="2460" t="s">
        <v>2359</v>
      </c>
      <c r="G171" s="2460"/>
      <c r="H171" s="2331" t="e">
        <f t="shared" ca="1" si="4"/>
        <v>#N/A</v>
      </c>
      <c r="I171" s="2491" t="str">
        <f ca="1">IF(L108="Conforme","Conforme",IF(L108="Não conforme","Não conforme","NA"))</f>
        <v>Conforme</v>
      </c>
      <c r="J171" s="2461" t="s">
        <v>857</v>
      </c>
    </row>
    <row r="172" spans="1:10" ht="15" customHeight="1" x14ac:dyDescent="0.25">
      <c r="A172" s="2594" t="s">
        <v>1773</v>
      </c>
      <c r="B172" s="2595"/>
      <c r="C172" s="2595"/>
      <c r="D172" s="2595"/>
      <c r="E172" s="2596"/>
      <c r="F172" s="2460" t="s">
        <v>2359</v>
      </c>
      <c r="G172" s="2460"/>
      <c r="H172" s="2331" t="e">
        <f t="shared" si="4"/>
        <v>#N/A</v>
      </c>
      <c r="I172" s="2454" t="str">
        <f>IF(L110="Conforme","Conforme","Não conforme")</f>
        <v>Conforme</v>
      </c>
      <c r="J172" s="2454" t="s">
        <v>857</v>
      </c>
    </row>
    <row r="173" spans="1:10" ht="15" customHeight="1" x14ac:dyDescent="0.25">
      <c r="A173" s="2594" t="s">
        <v>1702</v>
      </c>
      <c r="B173" s="2595"/>
      <c r="C173" s="2595"/>
      <c r="D173" s="2595"/>
      <c r="E173" s="2596"/>
      <c r="F173" s="2460" t="s">
        <v>2359</v>
      </c>
      <c r="G173" s="2460"/>
      <c r="H173" s="2331" t="e">
        <f t="shared" si="4"/>
        <v>#N/A</v>
      </c>
      <c r="I173" s="2454" t="str">
        <f>IF(L111="Conforme","Conforme","Não conforme")</f>
        <v>Conforme</v>
      </c>
      <c r="J173" s="2454" t="s">
        <v>857</v>
      </c>
    </row>
    <row r="174" spans="1:10" ht="14.25" customHeight="1" x14ac:dyDescent="0.25">
      <c r="A174" s="284" t="s">
        <v>2772</v>
      </c>
      <c r="B174" s="2134"/>
      <c r="C174" s="2134"/>
      <c r="D174" s="2134"/>
      <c r="E174" s="2134"/>
      <c r="F174" s="2134"/>
      <c r="G174" s="2134"/>
      <c r="H174" s="2134"/>
      <c r="I174" s="2134"/>
      <c r="J174" s="2134"/>
    </row>
    <row r="175" spans="1:10" ht="14.25" customHeight="1" x14ac:dyDescent="0.25">
      <c r="A175" s="2134"/>
      <c r="B175" s="2134"/>
      <c r="C175" s="2134"/>
      <c r="D175" s="2134"/>
      <c r="E175" s="2134"/>
      <c r="F175" s="2134"/>
      <c r="G175" s="2134"/>
      <c r="H175" s="2134"/>
      <c r="I175" s="2134"/>
      <c r="J175" s="2134"/>
    </row>
    <row r="176" spans="1:10" ht="15" customHeight="1" x14ac:dyDescent="0.25">
      <c r="A176" s="281" t="s">
        <v>2072</v>
      </c>
    </row>
    <row r="177" spans="1:11" ht="15" customHeight="1" x14ac:dyDescent="0.25">
      <c r="A177" s="281" t="s">
        <v>237</v>
      </c>
    </row>
    <row r="178" spans="1:11" ht="15" customHeight="1" x14ac:dyDescent="0.25">
      <c r="A178" s="2476" t="s">
        <v>388</v>
      </c>
      <c r="B178" s="2476"/>
      <c r="C178" s="2476"/>
      <c r="D178" s="2476"/>
      <c r="E178" s="2476"/>
      <c r="F178" s="2476"/>
      <c r="G178" s="2476"/>
      <c r="H178" s="2476"/>
      <c r="I178" s="2476"/>
      <c r="J178" s="2476"/>
      <c r="K178" s="2137" t="str">
        <f>K137</f>
        <v>x</v>
      </c>
    </row>
    <row r="179" spans="1:11" ht="15" customHeight="1" x14ac:dyDescent="0.25">
      <c r="A179" s="2468" t="s">
        <v>2083</v>
      </c>
      <c r="B179" s="2468"/>
      <c r="C179" s="2468"/>
      <c r="D179" s="2468"/>
      <c r="E179" s="2468"/>
      <c r="F179" s="2468"/>
      <c r="G179" s="2468"/>
      <c r="H179" s="2468"/>
      <c r="I179" s="2468"/>
      <c r="J179" s="2468"/>
      <c r="K179" s="2137" t="str">
        <f>IF(K178="x","","x")</f>
        <v/>
      </c>
    </row>
    <row r="180" spans="1:11" ht="15" customHeight="1" x14ac:dyDescent="0.25">
      <c r="A180" s="281"/>
    </row>
    <row r="181" spans="1:11" ht="15" customHeight="1" x14ac:dyDescent="0.25">
      <c r="A181" s="281" t="s">
        <v>238</v>
      </c>
    </row>
    <row r="182" spans="1:11" ht="15" customHeight="1" x14ac:dyDescent="0.25">
      <c r="A182" s="2476" t="s">
        <v>383</v>
      </c>
      <c r="B182" s="2476"/>
      <c r="C182" s="2476"/>
      <c r="D182" s="2476"/>
      <c r="E182" s="2476"/>
      <c r="F182" s="2476"/>
      <c r="G182" s="2476"/>
      <c r="H182" s="2476"/>
      <c r="I182" s="2476"/>
      <c r="J182" s="2476"/>
      <c r="K182" s="2137" t="str">
        <f>IF(G59&lt;&gt;"Sim","","x")</f>
        <v/>
      </c>
    </row>
    <row r="183" spans="1:11" ht="15" customHeight="1" x14ac:dyDescent="0.25">
      <c r="A183" s="2476"/>
      <c r="B183" s="2476"/>
      <c r="C183" s="2476"/>
      <c r="D183" s="2476"/>
      <c r="E183" s="2476"/>
      <c r="F183" s="2476"/>
      <c r="G183" s="2476"/>
      <c r="H183" s="2476"/>
      <c r="I183" s="2476"/>
      <c r="J183" s="2476"/>
      <c r="K183" s="2137" t="str">
        <f>K182</f>
        <v/>
      </c>
    </row>
    <row r="184" spans="1:11" ht="15" customHeight="1" x14ac:dyDescent="0.25">
      <c r="A184" s="2476"/>
      <c r="B184" s="2476"/>
      <c r="C184" s="2476"/>
      <c r="D184" s="2476"/>
      <c r="E184" s="2476"/>
      <c r="F184" s="2476"/>
      <c r="G184" s="2476"/>
      <c r="H184" s="2476"/>
      <c r="I184" s="2476"/>
      <c r="J184" s="2476"/>
      <c r="K184" s="2137" t="str">
        <f>K183</f>
        <v/>
      </c>
    </row>
    <row r="185" spans="1:11" ht="15" customHeight="1" x14ac:dyDescent="0.25">
      <c r="A185" s="2476" t="s">
        <v>384</v>
      </c>
      <c r="B185" s="2476"/>
      <c r="C185" s="2476"/>
      <c r="D185" s="2476"/>
      <c r="E185" s="2476"/>
      <c r="F185" s="2476"/>
      <c r="G185" s="2476"/>
      <c r="H185" s="2476"/>
      <c r="I185" s="2476"/>
      <c r="J185" s="2476"/>
      <c r="K185" s="2137" t="str">
        <f>IF(G60&lt;&gt;"Sim","","x")</f>
        <v/>
      </c>
    </row>
    <row r="186" spans="1:11" ht="15" customHeight="1" x14ac:dyDescent="0.25">
      <c r="A186" s="2476"/>
      <c r="B186" s="2476"/>
      <c r="C186" s="2476"/>
      <c r="D186" s="2476"/>
      <c r="E186" s="2476"/>
      <c r="F186" s="2476"/>
      <c r="G186" s="2476"/>
      <c r="H186" s="2476"/>
      <c r="I186" s="2476"/>
      <c r="J186" s="2476"/>
      <c r="K186" s="2137" t="str">
        <f>K185</f>
        <v/>
      </c>
    </row>
    <row r="187" spans="1:11" ht="15" customHeight="1" x14ac:dyDescent="0.25">
      <c r="A187" s="2476"/>
      <c r="B187" s="2476"/>
      <c r="C187" s="2476"/>
      <c r="D187" s="2476"/>
      <c r="E187" s="2476"/>
      <c r="F187" s="2476"/>
      <c r="G187" s="2476"/>
      <c r="H187" s="2476"/>
      <c r="I187" s="2476"/>
      <c r="J187" s="2476"/>
      <c r="K187" s="2137" t="str">
        <f>K186</f>
        <v/>
      </c>
    </row>
    <row r="188" spans="1:11" ht="15" customHeight="1" x14ac:dyDescent="0.25">
      <c r="A188" s="2476" t="s">
        <v>695</v>
      </c>
      <c r="B188" s="2476"/>
      <c r="C188" s="2476"/>
      <c r="D188" s="2476"/>
      <c r="E188" s="2476"/>
      <c r="F188" s="2476"/>
      <c r="G188" s="2476"/>
      <c r="H188" s="2476"/>
      <c r="I188" s="2476"/>
      <c r="J188" s="2476"/>
      <c r="K188" s="2137" t="str">
        <f>IF((COUNTIF(B72:J72,"Não")+COUNTIF(B72:J72,"Restrição"))&gt;0,"","x")</f>
        <v>x</v>
      </c>
    </row>
    <row r="189" spans="1:11" ht="15" customHeight="1" x14ac:dyDescent="0.25">
      <c r="A189" s="2476"/>
      <c r="B189" s="2476"/>
      <c r="C189" s="2476"/>
      <c r="D189" s="2476"/>
      <c r="E189" s="2476"/>
      <c r="F189" s="2476"/>
      <c r="G189" s="2476"/>
      <c r="H189" s="2476"/>
      <c r="I189" s="2476"/>
      <c r="J189" s="2476"/>
      <c r="K189" s="2137" t="str">
        <f>K188</f>
        <v>x</v>
      </c>
    </row>
    <row r="190" spans="1:11" ht="15" customHeight="1" x14ac:dyDescent="0.25">
      <c r="A190" s="2476" t="s">
        <v>696</v>
      </c>
      <c r="B190" s="2476"/>
      <c r="C190" s="2476"/>
      <c r="D190" s="2476"/>
      <c r="E190" s="2476"/>
      <c r="F190" s="2476"/>
      <c r="G190" s="2476"/>
      <c r="H190" s="2476"/>
      <c r="I190" s="2476"/>
      <c r="J190" s="2476"/>
      <c r="K190" s="2137" t="str">
        <f>IF(AND((COUNTIF(C83:J83,"Não")+COUNTIF(C83:J83,"Restrição")+COUNTIF(C88:J88,"Não")+COUNTIF(C88:J88,"Restrição"))&gt;0,K90="x"),"","x")</f>
        <v>x</v>
      </c>
    </row>
    <row r="191" spans="1:11" ht="15" customHeight="1" x14ac:dyDescent="0.25">
      <c r="A191" s="2476"/>
      <c r="B191" s="2476"/>
      <c r="C191" s="2476"/>
      <c r="D191" s="2476"/>
      <c r="E191" s="2476"/>
      <c r="F191" s="2476"/>
      <c r="G191" s="2476"/>
      <c r="H191" s="2476"/>
      <c r="I191" s="2476"/>
      <c r="J191" s="2476"/>
      <c r="K191" s="2137" t="str">
        <f>K190</f>
        <v>x</v>
      </c>
    </row>
    <row r="192" spans="1:11" ht="15" customHeight="1" x14ac:dyDescent="0.25">
      <c r="A192" s="2476" t="e">
        <f>CONCATENATE("                A camada semirredutora está abaixo do permitido (",extraoral!F24," mm Al @ ",extraoral!A24," kVp). Deve ser acrescentada filtração ao feixe primário.")</f>
        <v>#N/A</v>
      </c>
      <c r="B192" s="2476"/>
      <c r="C192" s="2476"/>
      <c r="D192" s="2476"/>
      <c r="E192" s="2476"/>
      <c r="F192" s="2476"/>
      <c r="G192" s="2476"/>
      <c r="H192" s="2476"/>
      <c r="I192" s="2476"/>
      <c r="J192" s="2476"/>
      <c r="K192" s="2137" t="str">
        <f>IFERROR(IF(J94&lt;&gt;"Sim","","x"),"x")</f>
        <v>x</v>
      </c>
    </row>
    <row r="193" spans="1:11" ht="15" customHeight="1" x14ac:dyDescent="0.25">
      <c r="A193" s="2476"/>
      <c r="B193" s="2476"/>
      <c r="C193" s="2476"/>
      <c r="D193" s="2476"/>
      <c r="E193" s="2476"/>
      <c r="F193" s="2476"/>
      <c r="G193" s="2476"/>
      <c r="H193" s="2476"/>
      <c r="I193" s="2476"/>
      <c r="J193" s="2476"/>
      <c r="K193" s="2137" t="str">
        <f>K192</f>
        <v>x</v>
      </c>
    </row>
    <row r="194" spans="1:11" ht="15" customHeight="1" x14ac:dyDescent="0.25">
      <c r="A194" s="2476" t="s">
        <v>697</v>
      </c>
      <c r="B194" s="2476"/>
      <c r="C194" s="2476"/>
      <c r="D194" s="2476"/>
      <c r="E194" s="2476"/>
      <c r="F194" s="2476"/>
      <c r="G194" s="2476"/>
      <c r="H194" s="2476"/>
      <c r="I194" s="2476"/>
      <c r="J194" s="2476"/>
      <c r="K194" s="2137" t="str">
        <f ca="1">IFERROR(IF(OR(J95&lt;&gt;"Sim",J96&lt;&gt;"Sim"),"","x"),"x")</f>
        <v>x</v>
      </c>
    </row>
    <row r="195" spans="1:11" ht="15" customHeight="1" x14ac:dyDescent="0.25">
      <c r="A195" s="2476"/>
      <c r="B195" s="2476"/>
      <c r="C195" s="2476"/>
      <c r="D195" s="2476"/>
      <c r="E195" s="2476"/>
      <c r="F195" s="2476"/>
      <c r="G195" s="2476"/>
      <c r="H195" s="2476"/>
      <c r="I195" s="2476"/>
      <c r="J195" s="2476"/>
      <c r="K195" s="2137" t="str">
        <f ca="1">K194</f>
        <v>x</v>
      </c>
    </row>
    <row r="196" spans="1:11" ht="15" customHeight="1" x14ac:dyDescent="0.25">
      <c r="A196" s="2476" t="s">
        <v>698</v>
      </c>
      <c r="B196" s="2476"/>
      <c r="C196" s="2476"/>
      <c r="D196" s="2476"/>
      <c r="E196" s="2476"/>
      <c r="F196" s="2476"/>
      <c r="G196" s="2476"/>
      <c r="H196" s="2476"/>
      <c r="I196" s="2476"/>
      <c r="J196" s="2476"/>
      <c r="K196" s="2137" t="str">
        <f ca="1">IFERROR(IF(OR(J98&lt;&gt;"Sim",J97&lt;&gt;"Sim"),"","x"),"x")</f>
        <v>x</v>
      </c>
    </row>
    <row r="197" spans="1:11" ht="15" customHeight="1" x14ac:dyDescent="0.25">
      <c r="A197" s="2476"/>
      <c r="B197" s="2476"/>
      <c r="C197" s="2476"/>
      <c r="D197" s="2476"/>
      <c r="E197" s="2476"/>
      <c r="F197" s="2476"/>
      <c r="G197" s="2476"/>
      <c r="H197" s="2476"/>
      <c r="I197" s="2476"/>
      <c r="J197" s="2476"/>
      <c r="K197" s="2137" t="str">
        <f ca="1">K196</f>
        <v>x</v>
      </c>
    </row>
    <row r="198" spans="1:11" ht="15" customHeight="1" x14ac:dyDescent="0.25">
      <c r="A198" s="2476" t="s">
        <v>558</v>
      </c>
      <c r="B198" s="2476"/>
      <c r="C198" s="2476"/>
      <c r="D198" s="2476"/>
      <c r="E198" s="2476"/>
      <c r="F198" s="2476"/>
      <c r="G198" s="2476"/>
      <c r="H198" s="2476"/>
      <c r="I198" s="2476"/>
      <c r="J198" s="2476"/>
      <c r="K198" s="2137" t="str">
        <f>IF(OR(J99&lt;&gt;"Sim",J100&lt;&gt;"Sim"),"","x")</f>
        <v>x</v>
      </c>
    </row>
    <row r="199" spans="1:11" ht="15" customHeight="1" x14ac:dyDescent="0.25">
      <c r="A199" s="2476"/>
      <c r="B199" s="2476"/>
      <c r="C199" s="2476"/>
      <c r="D199" s="2476"/>
      <c r="E199" s="2476"/>
      <c r="F199" s="2476"/>
      <c r="G199" s="2476"/>
      <c r="H199" s="2476"/>
      <c r="I199" s="2476"/>
      <c r="J199" s="2476"/>
      <c r="K199" s="2137" t="str">
        <f>K198</f>
        <v>x</v>
      </c>
    </row>
    <row r="200" spans="1:11" ht="15" customHeight="1" x14ac:dyDescent="0.25">
      <c r="A200" s="2476" t="s">
        <v>699</v>
      </c>
      <c r="B200" s="2476"/>
      <c r="C200" s="2476"/>
      <c r="D200" s="2476"/>
      <c r="E200" s="2476"/>
      <c r="F200" s="2476"/>
      <c r="G200" s="2476"/>
      <c r="H200" s="2476"/>
      <c r="I200" s="2476"/>
      <c r="J200" s="2476"/>
      <c r="K200" s="2137" t="str">
        <f ca="1">IFERROR(IF(J101&lt;&gt;"Sim","","x"),"x")</f>
        <v>x</v>
      </c>
    </row>
    <row r="201" spans="1:11" ht="15" customHeight="1" x14ac:dyDescent="0.25">
      <c r="A201" s="2476"/>
      <c r="B201" s="2476"/>
      <c r="C201" s="2476"/>
      <c r="D201" s="2476"/>
      <c r="E201" s="2476"/>
      <c r="F201" s="2476"/>
      <c r="G201" s="2476"/>
      <c r="H201" s="2476"/>
      <c r="I201" s="2476"/>
      <c r="J201" s="2476"/>
      <c r="K201" s="2137" t="str">
        <f ca="1">K200</f>
        <v>x</v>
      </c>
    </row>
    <row r="202" spans="1:11" ht="15" customHeight="1" x14ac:dyDescent="0.25">
      <c r="A202" s="2476" t="s">
        <v>1227</v>
      </c>
      <c r="B202" s="2476"/>
      <c r="C202" s="2476"/>
      <c r="D202" s="2476"/>
      <c r="E202" s="2476"/>
      <c r="F202" s="2476"/>
      <c r="G202" s="2476"/>
      <c r="H202" s="2476"/>
      <c r="I202" s="2476"/>
      <c r="J202" s="2476"/>
      <c r="K202" s="2137" t="str">
        <f>IF(J102="NPA","x",IF(J102&lt;&gt;"Sim","","x"))</f>
        <v/>
      </c>
    </row>
    <row r="203" spans="1:11" ht="15" customHeight="1" x14ac:dyDescent="0.25">
      <c r="A203" s="2476"/>
      <c r="B203" s="2476"/>
      <c r="C203" s="2476"/>
      <c r="D203" s="2476"/>
      <c r="E203" s="2476"/>
      <c r="F203" s="2476"/>
      <c r="G203" s="2476"/>
      <c r="H203" s="2476"/>
      <c r="I203" s="2476"/>
      <c r="J203" s="2476"/>
      <c r="K203" s="2137" t="str">
        <f>K202</f>
        <v/>
      </c>
    </row>
    <row r="204" spans="1:11" ht="15" customHeight="1" x14ac:dyDescent="0.25">
      <c r="A204" s="2476"/>
      <c r="B204" s="2476"/>
      <c r="C204" s="2476"/>
      <c r="D204" s="2476"/>
      <c r="E204" s="2476"/>
      <c r="F204" s="2476"/>
      <c r="G204" s="2476"/>
      <c r="H204" s="2476"/>
      <c r="I204" s="2476"/>
      <c r="J204" s="2476"/>
      <c r="K204" s="2137" t="str">
        <f>K203</f>
        <v/>
      </c>
    </row>
    <row r="205" spans="1:11" ht="15" customHeight="1" x14ac:dyDescent="0.25">
      <c r="A205" s="2476" t="str">
        <f>"                A exatidão dos números de CT está fora da tolerância especificada pelo fabricante para o "&amp;extraoral!A91&amp;" ("&amp;extraoral!E87&amp;" HU ± 10%). Os números de CT devem ser ajustados."</f>
        <v xml:space="preserve">                A exatidão dos números de CT está fora da tolerância especificada pelo fabricante para o Ar (Digite HU ± 10%). Os números de CT devem ser ajustados.</v>
      </c>
      <c r="B205" s="2476"/>
      <c r="C205" s="2476"/>
      <c r="D205" s="2476"/>
      <c r="E205" s="2476"/>
      <c r="F205" s="2476"/>
      <c r="G205" s="2476"/>
      <c r="H205" s="2476"/>
      <c r="I205" s="2476"/>
      <c r="J205" s="2476"/>
      <c r="K205" s="2137" t="str">
        <f>IF(AND(K104="",OR(J104="Não",J104="Restrição")),"","x")</f>
        <v>x</v>
      </c>
    </row>
    <row r="206" spans="1:11" ht="15" customHeight="1" x14ac:dyDescent="0.25">
      <c r="A206" s="2476"/>
      <c r="B206" s="2476"/>
      <c r="C206" s="2476"/>
      <c r="D206" s="2476"/>
      <c r="E206" s="2476"/>
      <c r="F206" s="2476"/>
      <c r="G206" s="2476"/>
      <c r="H206" s="2476"/>
      <c r="I206" s="2476"/>
      <c r="J206" s="2476"/>
      <c r="K206" s="2137" t="str">
        <f>K205</f>
        <v>x</v>
      </c>
    </row>
    <row r="207" spans="1:11" ht="15" customHeight="1" x14ac:dyDescent="0.25">
      <c r="A207" s="2476" t="str">
        <f>"                A exatidão dos números de CT está fora da tolerância especificada pelo fabricante para "&amp;extraoral!A95&amp;" ("&amp;extraoral!E86&amp;" HU ± 10%). Os números de CT devem ser ajustados."</f>
        <v xml:space="preserve">                A exatidão dos números de CT está fora da tolerância especificada pelo fabricante para PMMA (Digite HU ± 10%). Os números de CT devem ser ajustados.</v>
      </c>
      <c r="B207" s="2476"/>
      <c r="C207" s="2476"/>
      <c r="D207" s="2476"/>
      <c r="E207" s="2476"/>
      <c r="F207" s="2476"/>
      <c r="G207" s="2476"/>
      <c r="H207" s="2476"/>
      <c r="I207" s="2476"/>
      <c r="J207" s="2476"/>
      <c r="K207" s="2137" t="str">
        <f>IF(AND(K105="",OR(J105="Não",J105="Restrição")),"","x")</f>
        <v>x</v>
      </c>
    </row>
    <row r="208" spans="1:11" ht="15" customHeight="1" x14ac:dyDescent="0.25">
      <c r="A208" s="2476"/>
      <c r="B208" s="2476"/>
      <c r="C208" s="2476"/>
      <c r="D208" s="2476"/>
      <c r="E208" s="2476"/>
      <c r="F208" s="2476"/>
      <c r="G208" s="2476"/>
      <c r="H208" s="2476"/>
      <c r="I208" s="2476"/>
      <c r="J208" s="2476"/>
      <c r="K208" s="2137" t="str">
        <f>K207</f>
        <v>x</v>
      </c>
    </row>
    <row r="209" spans="1:11" ht="15" customHeight="1" x14ac:dyDescent="0.25">
      <c r="A209" s="2476" t="str">
        <f>"                A uniformidade dos números de CT está fora da tolerância especificada pelo fabricante ("&amp;extraoral!E88&amp;" HU ± 10%). A presença de artefatos no fantoma ou na imagem é uma das possíveis causas. Deve ser feita uma manutenção corretiva no equipamento."</f>
        <v xml:space="preserve">                A uniformidade dos números de CT está fora da tolerância especificada pelo fabricante (Digite HU ± 10%). A presença de artefatos no fantoma ou na imagem é uma das possíveis causas. Deve ser feita uma manutenção corretiva no equipamento.</v>
      </c>
      <c r="B209" s="2476"/>
      <c r="C209" s="2476"/>
      <c r="D209" s="2476"/>
      <c r="E209" s="2476"/>
      <c r="F209" s="2476"/>
      <c r="G209" s="2476"/>
      <c r="H209" s="2476"/>
      <c r="I209" s="2476"/>
      <c r="J209" s="2476"/>
      <c r="K209" s="2137" t="str">
        <f>IF(AND(K106="",OR(J106="Não",J106="Restrição")),"","x")</f>
        <v>x</v>
      </c>
    </row>
    <row r="210" spans="1:11" ht="15" customHeight="1" x14ac:dyDescent="0.25">
      <c r="A210" s="2476"/>
      <c r="B210" s="2476"/>
      <c r="C210" s="2476"/>
      <c r="D210" s="2476"/>
      <c r="E210" s="2476"/>
      <c r="F210" s="2476"/>
      <c r="G210" s="2476"/>
      <c r="H210" s="2476"/>
      <c r="I210" s="2476"/>
      <c r="J210" s="2476"/>
      <c r="K210" s="2137" t="str">
        <f>K209</f>
        <v>x</v>
      </c>
    </row>
    <row r="211" spans="1:11" ht="15" customHeight="1" x14ac:dyDescent="0.25">
      <c r="A211" s="2476"/>
      <c r="B211" s="2476"/>
      <c r="C211" s="2476"/>
      <c r="D211" s="2476"/>
      <c r="E211" s="2476"/>
      <c r="F211" s="2476"/>
      <c r="G211" s="2476"/>
      <c r="H211" s="2476"/>
      <c r="I211" s="2476"/>
      <c r="J211" s="2476"/>
      <c r="K211" s="2137" t="str">
        <f>K210</f>
        <v>x</v>
      </c>
    </row>
    <row r="212" spans="1:11" ht="15" customHeight="1" x14ac:dyDescent="0.25">
      <c r="A212" s="2476" t="s">
        <v>700</v>
      </c>
      <c r="B212" s="2476"/>
      <c r="C212" s="2476"/>
      <c r="D212" s="2476"/>
      <c r="E212" s="2476"/>
      <c r="F212" s="2476"/>
      <c r="G212" s="2476"/>
      <c r="H212" s="2476"/>
      <c r="I212" s="2476"/>
      <c r="J212" s="2476"/>
      <c r="K212" s="2137" t="str">
        <f>IF(AND(K107="",OR(J107="Não",J107="Restrição")),"","x")</f>
        <v>x</v>
      </c>
    </row>
    <row r="213" spans="1:11" ht="15" customHeight="1" x14ac:dyDescent="0.25">
      <c r="A213" s="2476"/>
      <c r="B213" s="2476"/>
      <c r="C213" s="2476"/>
      <c r="D213" s="2476"/>
      <c r="E213" s="2476"/>
      <c r="F213" s="2476"/>
      <c r="G213" s="2476"/>
      <c r="H213" s="2476"/>
      <c r="I213" s="2476"/>
      <c r="J213" s="2476"/>
      <c r="K213" s="2137" t="str">
        <f>K212</f>
        <v>x</v>
      </c>
    </row>
    <row r="214" spans="1:11" ht="15" customHeight="1" x14ac:dyDescent="0.25">
      <c r="A214" s="2476" t="s">
        <v>1486</v>
      </c>
      <c r="B214" s="2476"/>
      <c r="C214" s="2476"/>
      <c r="D214" s="2476"/>
      <c r="E214" s="2476"/>
      <c r="F214" s="2476"/>
      <c r="G214" s="2476"/>
      <c r="H214" s="2476"/>
      <c r="I214" s="2476"/>
      <c r="J214" s="2476"/>
      <c r="K214" s="2137" t="str">
        <f>IF(J110="Não","","x")</f>
        <v>x</v>
      </c>
    </row>
    <row r="215" spans="1:11" ht="15" customHeight="1" x14ac:dyDescent="0.25">
      <c r="A215" s="2476"/>
      <c r="B215" s="2476"/>
      <c r="C215" s="2476"/>
      <c r="D215" s="2476"/>
      <c r="E215" s="2476"/>
      <c r="F215" s="2476"/>
      <c r="G215" s="2476"/>
      <c r="H215" s="2476"/>
      <c r="I215" s="2476"/>
      <c r="J215" s="2476"/>
      <c r="K215" s="2137" t="str">
        <f>K214</f>
        <v>x</v>
      </c>
    </row>
    <row r="216" spans="1:11" ht="15" customHeight="1" x14ac:dyDescent="0.25">
      <c r="A216" s="2476" t="s">
        <v>701</v>
      </c>
      <c r="B216" s="2476"/>
      <c r="C216" s="2476"/>
      <c r="D216" s="2476"/>
      <c r="E216" s="2476"/>
      <c r="F216" s="2476"/>
      <c r="G216" s="2476"/>
      <c r="H216" s="2476"/>
      <c r="I216" s="2476"/>
      <c r="J216" s="2476"/>
      <c r="K216" s="2137" t="str">
        <f ca="1">IF(OR(J108="Não",J108="Restrição"),"","x")</f>
        <v>x</v>
      </c>
    </row>
    <row r="217" spans="1:11" ht="15" customHeight="1" x14ac:dyDescent="0.25">
      <c r="A217" s="2476"/>
      <c r="B217" s="2476"/>
      <c r="C217" s="2476"/>
      <c r="D217" s="2476"/>
      <c r="E217" s="2476"/>
      <c r="F217" s="2476"/>
      <c r="G217" s="2476"/>
      <c r="H217" s="2476"/>
      <c r="I217" s="2476"/>
      <c r="J217" s="2476"/>
      <c r="K217" s="2137" t="str">
        <f ca="1">K216</f>
        <v>x</v>
      </c>
    </row>
    <row r="218" spans="1:11" ht="15" customHeight="1" x14ac:dyDescent="0.25">
      <c r="A218" s="2476" t="str">
        <f>"                Para os demais itens avaliados o equipamento atende os requisitos da Instrução Normativa "&amp;VLOOKUP("Extraoral",IN_ANVISA[],2)&amp;"/"&amp;VLOOKUP("Extraoral",IN_ANVISA[],3)&amp;" da ANVISA."</f>
        <v xml:space="preserve">                Para os demais itens avaliados o equipamento atende os requisitos da Instrução Normativa 94/2021 da ANVISA.</v>
      </c>
      <c r="B218" s="2476"/>
      <c r="C218" s="2476"/>
      <c r="D218" s="2476"/>
      <c r="E218" s="2476"/>
      <c r="F218" s="2476"/>
      <c r="G218" s="2476"/>
      <c r="H218" s="2476"/>
      <c r="I218" s="2476"/>
      <c r="J218" s="2476"/>
      <c r="K218" s="2137" t="str">
        <f ca="1">IF(COUNTIF(K182:K217,"")&gt;0,"","x")</f>
        <v/>
      </c>
    </row>
    <row r="219" spans="1:11" ht="15" customHeight="1" x14ac:dyDescent="0.25">
      <c r="A219" s="2476"/>
      <c r="B219" s="2476"/>
      <c r="C219" s="2476"/>
      <c r="D219" s="2476"/>
      <c r="E219" s="2476"/>
      <c r="F219" s="2476"/>
      <c r="G219" s="2476"/>
      <c r="H219" s="2476"/>
      <c r="I219" s="2476"/>
      <c r="J219" s="2476"/>
      <c r="K219" s="2137" t="str">
        <f ca="1">K218</f>
        <v/>
      </c>
    </row>
    <row r="220" spans="1:11" ht="15" customHeight="1" x14ac:dyDescent="0.25">
      <c r="A220" s="2476" t="str">
        <f>"                Para os itens testados o equipamento atende os requisitos da Instrução Normativa "&amp;VLOOKUP("Extraoral",IN_ANVISA[],2)&amp;"/"&amp;VLOOKUP("Extraoral",IN_ANVISA[],3)&amp;" da ANVISA."</f>
        <v xml:space="preserve">                Para os itens testados o equipamento atende os requisitos da Instrução Normativa 94/2021 da ANVISA.</v>
      </c>
      <c r="B220" s="2476"/>
      <c r="C220" s="2476"/>
      <c r="D220" s="2476"/>
      <c r="E220" s="2476"/>
      <c r="F220" s="2476"/>
      <c r="G220" s="2476"/>
      <c r="H220" s="2476"/>
      <c r="I220" s="2476"/>
      <c r="J220" s="2476"/>
      <c r="K220" s="2137" t="str">
        <f ca="1">IF(K218="","x","")</f>
        <v>x</v>
      </c>
    </row>
    <row r="221" spans="1:11" ht="15" customHeight="1" x14ac:dyDescent="0.25">
      <c r="A221" s="2476"/>
      <c r="B221" s="2476"/>
      <c r="C221" s="2476"/>
      <c r="D221" s="2476"/>
      <c r="E221" s="2476"/>
      <c r="F221" s="2476"/>
      <c r="G221" s="2476"/>
      <c r="H221" s="2476"/>
      <c r="I221" s="2476"/>
      <c r="J221" s="2476"/>
      <c r="K221" s="2137" t="str">
        <f ca="1">K220</f>
        <v>x</v>
      </c>
    </row>
    <row r="222" spans="1:11" ht="15" customHeight="1" x14ac:dyDescent="0.25">
      <c r="A222" s="2476" t="str">
        <f>"                 O equipamento atende os requisitos da Instrução Normativa "&amp;VLOOKUP("Extraoral",IN_ANVISA[],2)&amp;"/"&amp;VLOOKUP("Extraoral",IN_ANVISA[],3)&amp;" da ANVISA."</f>
        <v xml:space="preserve">                 O equipamento atende os requisitos da Instrução Normativa 94/2021 da ANVISA.</v>
      </c>
      <c r="B222" s="2476"/>
      <c r="C222" s="2476"/>
      <c r="D222" s="2476"/>
      <c r="E222" s="2476"/>
      <c r="F222" s="2476"/>
      <c r="G222" s="2476"/>
      <c r="H222" s="2476"/>
      <c r="I222" s="2476"/>
      <c r="J222" s="2476"/>
      <c r="K222" s="2137" t="s">
        <v>649</v>
      </c>
    </row>
    <row r="223" spans="1:11" ht="15" customHeight="1" x14ac:dyDescent="0.25">
      <c r="A223" s="2476"/>
      <c r="B223" s="2476"/>
      <c r="C223" s="2476"/>
      <c r="D223" s="2476"/>
      <c r="E223" s="2476"/>
      <c r="F223" s="2476"/>
      <c r="G223" s="2476"/>
      <c r="H223" s="2476"/>
      <c r="I223" s="2476"/>
      <c r="J223" s="2476"/>
      <c r="K223" s="2137" t="s">
        <v>649</v>
      </c>
    </row>
    <row r="224" spans="1:11" ht="15" customHeight="1" x14ac:dyDescent="0.25">
      <c r="A224" s="2134"/>
      <c r="B224" s="2134"/>
      <c r="C224" s="2134"/>
      <c r="D224" s="2134"/>
      <c r="E224" s="2134"/>
      <c r="F224" s="2134"/>
      <c r="G224" s="2134"/>
      <c r="H224" s="2134"/>
      <c r="I224" s="2134"/>
      <c r="J224" s="2134"/>
      <c r="K224" s="2137" t="str">
        <f ca="1">K225</f>
        <v>x</v>
      </c>
    </row>
    <row r="225" spans="1:11" ht="15" customHeight="1" x14ac:dyDescent="0.25">
      <c r="A225" s="2476"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225" s="2476"/>
      <c r="C225" s="2476"/>
      <c r="D225" s="2476"/>
      <c r="E225" s="2476"/>
      <c r="F225" s="2476"/>
      <c r="G225" s="2476"/>
      <c r="H225" s="2476"/>
      <c r="I225" s="2476"/>
      <c r="J225" s="2476"/>
      <c r="K225" s="2137" t="str">
        <f ca="1">IF(COUNTIF(A58:J113,"Restrição")&gt;0,"","x")</f>
        <v>x</v>
      </c>
    </row>
    <row r="226" spans="1:11" ht="15" customHeight="1" x14ac:dyDescent="0.25">
      <c r="A226" s="2476"/>
      <c r="B226" s="2476"/>
      <c r="C226" s="2476"/>
      <c r="D226" s="2476"/>
      <c r="E226" s="2476"/>
      <c r="F226" s="2476"/>
      <c r="G226" s="2476"/>
      <c r="H226" s="2476"/>
      <c r="I226" s="2476"/>
      <c r="J226" s="2476"/>
      <c r="K226" s="2137" t="str">
        <f ca="1">K225</f>
        <v>x</v>
      </c>
    </row>
    <row r="227" spans="1:11" ht="15" customHeight="1" x14ac:dyDescent="0.25">
      <c r="A227" s="2476"/>
      <c r="B227" s="2476"/>
      <c r="C227" s="2476"/>
      <c r="D227" s="2476"/>
      <c r="E227" s="2476"/>
      <c r="F227" s="2476"/>
      <c r="G227" s="2476"/>
      <c r="H227" s="2476"/>
      <c r="I227" s="2476"/>
      <c r="J227" s="2476"/>
      <c r="K227" s="2137" t="str">
        <f ca="1">K226</f>
        <v>x</v>
      </c>
    </row>
    <row r="228" spans="1:11" ht="15" customHeight="1" x14ac:dyDescent="0.25">
      <c r="A228" s="2476"/>
      <c r="B228" s="2476"/>
      <c r="C228" s="2476"/>
      <c r="D228" s="2476"/>
      <c r="E228" s="2476"/>
      <c r="F228" s="2476"/>
      <c r="G228" s="2476"/>
      <c r="H228" s="2476"/>
      <c r="I228" s="2476"/>
      <c r="J228" s="2476"/>
      <c r="K228" s="2137" t="str">
        <f ca="1">K227</f>
        <v>x</v>
      </c>
    </row>
    <row r="229" spans="1:11" ht="15" customHeight="1" x14ac:dyDescent="0.25">
      <c r="A229" s="2476"/>
      <c r="B229" s="2476"/>
      <c r="C229" s="2476"/>
      <c r="D229" s="2476"/>
      <c r="E229" s="2476"/>
      <c r="F229" s="2476"/>
      <c r="G229" s="2476"/>
      <c r="H229" s="2476"/>
      <c r="I229" s="2476"/>
      <c r="J229" s="2476"/>
      <c r="K229" s="2137" t="str">
        <f ca="1">K228</f>
        <v>x</v>
      </c>
    </row>
    <row r="230" spans="1:11" ht="15" customHeight="1" x14ac:dyDescent="0.25">
      <c r="A230" s="2476"/>
      <c r="B230" s="2476"/>
      <c r="C230" s="2476"/>
      <c r="D230" s="2476"/>
      <c r="E230" s="2476"/>
      <c r="F230" s="2476"/>
      <c r="G230" s="2476"/>
      <c r="H230" s="2476"/>
      <c r="I230" s="2476"/>
      <c r="J230" s="2476"/>
      <c r="K230" s="2137" t="str">
        <f ca="1">K229</f>
        <v>x</v>
      </c>
    </row>
    <row r="231" spans="1:11" ht="15" customHeight="1" x14ac:dyDescent="0.25">
      <c r="A231" s="2134"/>
      <c r="B231" s="2134"/>
      <c r="C231" s="2134"/>
      <c r="D231" s="2134"/>
      <c r="E231" s="2134"/>
      <c r="F231" s="2134"/>
      <c r="G231" s="2134"/>
      <c r="H231" s="2134"/>
      <c r="I231" s="2134"/>
      <c r="J231" s="2134"/>
    </row>
  </sheetData>
  <sheetProtection selectLockedCells="1" autoFilter="0"/>
  <autoFilter ref="K1:K235"/>
  <mergeCells count="212">
    <mergeCell ref="A173:E173"/>
    <mergeCell ref="F173:G173"/>
    <mergeCell ref="I173:J173"/>
    <mergeCell ref="A171:E171"/>
    <mergeCell ref="F171:G171"/>
    <mergeCell ref="I171:J171"/>
    <mergeCell ref="A172:E172"/>
    <mergeCell ref="F172:G172"/>
    <mergeCell ref="I172:J172"/>
    <mergeCell ref="A168:E168"/>
    <mergeCell ref="F168:G168"/>
    <mergeCell ref="I168:J168"/>
    <mergeCell ref="A169:E169"/>
    <mergeCell ref="F169:G169"/>
    <mergeCell ref="I169:J169"/>
    <mergeCell ref="A170:E170"/>
    <mergeCell ref="F170:G170"/>
    <mergeCell ref="I170:J170"/>
    <mergeCell ref="F164:G164"/>
    <mergeCell ref="I164:J164"/>
    <mergeCell ref="A165:E165"/>
    <mergeCell ref="F165:G165"/>
    <mergeCell ref="I165:J165"/>
    <mergeCell ref="A166:E166"/>
    <mergeCell ref="F166:G166"/>
    <mergeCell ref="I166:J166"/>
    <mergeCell ref="A167:E167"/>
    <mergeCell ref="F167:G167"/>
    <mergeCell ref="I167:J167"/>
    <mergeCell ref="F111:G111"/>
    <mergeCell ref="H109:I109"/>
    <mergeCell ref="H110:I110"/>
    <mergeCell ref="A160:E160"/>
    <mergeCell ref="F160:G160"/>
    <mergeCell ref="I160:J160"/>
    <mergeCell ref="A161:E161"/>
    <mergeCell ref="F161:G161"/>
    <mergeCell ref="I161:J161"/>
    <mergeCell ref="F109:G109"/>
    <mergeCell ref="F110:G110"/>
    <mergeCell ref="D109:E109"/>
    <mergeCell ref="D110:E110"/>
    <mergeCell ref="D111:E111"/>
    <mergeCell ref="H111:I111"/>
    <mergeCell ref="A109:C109"/>
    <mergeCell ref="A110:C110"/>
    <mergeCell ref="A111:C111"/>
    <mergeCell ref="D97:E97"/>
    <mergeCell ref="D100:E100"/>
    <mergeCell ref="D103:E103"/>
    <mergeCell ref="F94:G94"/>
    <mergeCell ref="F95:G95"/>
    <mergeCell ref="F98:G98"/>
    <mergeCell ref="F99:G99"/>
    <mergeCell ref="F101:G101"/>
    <mergeCell ref="F102:G102"/>
    <mergeCell ref="F104:G104"/>
    <mergeCell ref="F105:G105"/>
    <mergeCell ref="F106:G106"/>
    <mergeCell ref="F93:G93"/>
    <mergeCell ref="D93:E93"/>
    <mergeCell ref="A93:C93"/>
    <mergeCell ref="A94:C94"/>
    <mergeCell ref="A95:C95"/>
    <mergeCell ref="A98:C98"/>
    <mergeCell ref="A96:C96"/>
    <mergeCell ref="A97:C97"/>
    <mergeCell ref="A99:C99"/>
    <mergeCell ref="D94:E94"/>
    <mergeCell ref="D95:E95"/>
    <mergeCell ref="D98:E98"/>
    <mergeCell ref="D99:E99"/>
    <mergeCell ref="A100:C100"/>
    <mergeCell ref="A101:C101"/>
    <mergeCell ref="A102:C102"/>
    <mergeCell ref="A103:C103"/>
    <mergeCell ref="A104:C104"/>
    <mergeCell ref="A105:C105"/>
    <mergeCell ref="A106:C106"/>
    <mergeCell ref="D96:E96"/>
    <mergeCell ref="A107:C107"/>
    <mergeCell ref="A108:C108"/>
    <mergeCell ref="D101:E101"/>
    <mergeCell ref="D102:E102"/>
    <mergeCell ref="D104:E104"/>
    <mergeCell ref="D105:E105"/>
    <mergeCell ref="D106:E106"/>
    <mergeCell ref="D107:E107"/>
    <mergeCell ref="D108:E108"/>
    <mergeCell ref="A220:J221"/>
    <mergeCell ref="A112:I113"/>
    <mergeCell ref="A116:J117"/>
    <mergeCell ref="A118:J118"/>
    <mergeCell ref="A222:J223"/>
    <mergeCell ref="A202:J204"/>
    <mergeCell ref="A150:J154"/>
    <mergeCell ref="A205:J206"/>
    <mergeCell ref="A214:J215"/>
    <mergeCell ref="A158:E158"/>
    <mergeCell ref="F158:G158"/>
    <mergeCell ref="I158:J158"/>
    <mergeCell ref="A124:J128"/>
    <mergeCell ref="A146:J147"/>
    <mergeCell ref="A129:J133"/>
    <mergeCell ref="A119:J119"/>
    <mergeCell ref="A122:J123"/>
    <mergeCell ref="A162:E162"/>
    <mergeCell ref="F162:G162"/>
    <mergeCell ref="I162:J162"/>
    <mergeCell ref="A163:E163"/>
    <mergeCell ref="F163:G163"/>
    <mergeCell ref="I163:J163"/>
    <mergeCell ref="A164:E164"/>
    <mergeCell ref="A225:J230"/>
    <mergeCell ref="A137:J138"/>
    <mergeCell ref="A139:J140"/>
    <mergeCell ref="A141:J141"/>
    <mergeCell ref="A142:J143"/>
    <mergeCell ref="A178:J178"/>
    <mergeCell ref="A179:J179"/>
    <mergeCell ref="A182:J184"/>
    <mergeCell ref="A185:J187"/>
    <mergeCell ref="A188:J189"/>
    <mergeCell ref="A190:J191"/>
    <mergeCell ref="A192:J193"/>
    <mergeCell ref="A194:J195"/>
    <mergeCell ref="A216:J217"/>
    <mergeCell ref="A200:J201"/>
    <mergeCell ref="A196:J197"/>
    <mergeCell ref="A159:E159"/>
    <mergeCell ref="F159:G159"/>
    <mergeCell ref="I159:J159"/>
    <mergeCell ref="A207:J208"/>
    <mergeCell ref="A209:J211"/>
    <mergeCell ref="A212:J213"/>
    <mergeCell ref="A218:J219"/>
    <mergeCell ref="A198:J199"/>
    <mergeCell ref="A1:D1"/>
    <mergeCell ref="A3:I3"/>
    <mergeCell ref="A5:I5"/>
    <mergeCell ref="E1:H1"/>
    <mergeCell ref="E43:J43"/>
    <mergeCell ref="C12:J13"/>
    <mergeCell ref="C17:J17"/>
    <mergeCell ref="A30:J32"/>
    <mergeCell ref="C9:J10"/>
    <mergeCell ref="A22:J23"/>
    <mergeCell ref="A26:J27"/>
    <mergeCell ref="A35:J36"/>
    <mergeCell ref="A40:C41"/>
    <mergeCell ref="D40:F41"/>
    <mergeCell ref="G40:H41"/>
    <mergeCell ref="I40:J41"/>
    <mergeCell ref="A43:D43"/>
    <mergeCell ref="A45:D45"/>
    <mergeCell ref="E45:J45"/>
    <mergeCell ref="A33:J34"/>
    <mergeCell ref="A39:C39"/>
    <mergeCell ref="D39:F39"/>
    <mergeCell ref="G39:H39"/>
    <mergeCell ref="I39:J39"/>
    <mergeCell ref="A24:J25"/>
    <mergeCell ref="A144:J145"/>
    <mergeCell ref="A134:J136"/>
    <mergeCell ref="H93:I93"/>
    <mergeCell ref="G59:I59"/>
    <mergeCell ref="A60:E60"/>
    <mergeCell ref="G60:I60"/>
    <mergeCell ref="A61:E61"/>
    <mergeCell ref="G61:I61"/>
    <mergeCell ref="H94:I94"/>
    <mergeCell ref="H95:I95"/>
    <mergeCell ref="H98:I98"/>
    <mergeCell ref="H96:I96"/>
    <mergeCell ref="H97:I97"/>
    <mergeCell ref="H99:I99"/>
    <mergeCell ref="H100:I100"/>
    <mergeCell ref="H101:I101"/>
    <mergeCell ref="H102:I102"/>
    <mergeCell ref="H103:I103"/>
    <mergeCell ref="H104:I104"/>
    <mergeCell ref="H105:I105"/>
    <mergeCell ref="H106:I106"/>
    <mergeCell ref="H107:I107"/>
    <mergeCell ref="H108:I108"/>
    <mergeCell ref="C66:J66"/>
    <mergeCell ref="C78:J78"/>
    <mergeCell ref="A73:I73"/>
    <mergeCell ref="A83:B83"/>
    <mergeCell ref="A89:I89"/>
    <mergeCell ref="A81:B81"/>
    <mergeCell ref="A82:B82"/>
    <mergeCell ref="A90:I90"/>
    <mergeCell ref="A86:B86"/>
    <mergeCell ref="A87:B87"/>
    <mergeCell ref="A88:B88"/>
    <mergeCell ref="F96:G96"/>
    <mergeCell ref="F97:G97"/>
    <mergeCell ref="F100:G100"/>
    <mergeCell ref="F103:G103"/>
    <mergeCell ref="F107:G107"/>
    <mergeCell ref="F108:G108"/>
    <mergeCell ref="A62:I62"/>
    <mergeCell ref="A58:E58"/>
    <mergeCell ref="G58:I58"/>
    <mergeCell ref="A59:E59"/>
    <mergeCell ref="A47:D47"/>
    <mergeCell ref="A48:D48"/>
    <mergeCell ref="A49:D49"/>
    <mergeCell ref="A51:D51"/>
    <mergeCell ref="A52:D52"/>
    <mergeCell ref="A53:D53"/>
  </mergeCells>
  <conditionalFormatting sqref="J108:J109 J101:J102 J104:J106 J94:J95 J98">
    <cfRule type="cellIs" dxfId="725" priority="100" operator="equal">
      <formula>"não"</formula>
    </cfRule>
  </conditionalFormatting>
  <conditionalFormatting sqref="B69:H71">
    <cfRule type="notContainsBlanks" dxfId="724" priority="90">
      <formula>LEN(TRIM(B69))&gt;0</formula>
    </cfRule>
  </conditionalFormatting>
  <conditionalFormatting sqref="G59:G60">
    <cfRule type="cellIs" dxfId="723" priority="87" operator="equal">
      <formula>"não"</formula>
    </cfRule>
  </conditionalFormatting>
  <conditionalFormatting sqref="G59:G60 J101:J102 J104:J109 J94:J95 J98">
    <cfRule type="containsText" dxfId="722" priority="86" operator="containsText" text="não">
      <formula>NOT(ISERROR(SEARCH("não",G59)))</formula>
    </cfRule>
  </conditionalFormatting>
  <conditionalFormatting sqref="G61">
    <cfRule type="cellIs" dxfId="721" priority="84" operator="notEqual">
      <formula>"em condições de funcionamento"</formula>
    </cfRule>
  </conditionalFormatting>
  <conditionalFormatting sqref="I69:I71">
    <cfRule type="notContainsBlanks" dxfId="720" priority="81">
      <formula>LEN(TRIM(I69))&gt;0</formula>
    </cfRule>
  </conditionalFormatting>
  <conditionalFormatting sqref="B72:I72 J83:J88 C83:I85">
    <cfRule type="cellIs" dxfId="719" priority="77" operator="equal">
      <formula>"não"</formula>
    </cfRule>
    <cfRule type="notContainsBlanks" dxfId="718" priority="78">
      <formula>LEN(TRIM(B72))&gt;0</formula>
    </cfRule>
  </conditionalFormatting>
  <conditionalFormatting sqref="C81:I81">
    <cfRule type="notContainsBlanks" dxfId="717" priority="74">
      <formula>LEN(TRIM(C81))&gt;0</formula>
    </cfRule>
  </conditionalFormatting>
  <conditionalFormatting sqref="C82:I82">
    <cfRule type="notContainsBlanks" dxfId="716" priority="73">
      <formula>LEN(TRIM(C82))&gt;0</formula>
    </cfRule>
  </conditionalFormatting>
  <conditionalFormatting sqref="J99 J107">
    <cfRule type="cellIs" dxfId="715" priority="70" operator="equal">
      <formula>"não"</formula>
    </cfRule>
  </conditionalFormatting>
  <conditionalFormatting sqref="J99">
    <cfRule type="containsText" dxfId="714" priority="67" operator="containsText" text="não">
      <formula>NOT(ISERROR(SEARCH("não",J99)))</formula>
    </cfRule>
  </conditionalFormatting>
  <conditionalFormatting sqref="J101:J102 J104:J109 J94:J95 J98:J99">
    <cfRule type="cellIs" dxfId="713" priority="60" operator="equal">
      <formula>"Restrição"</formula>
    </cfRule>
  </conditionalFormatting>
  <conditionalFormatting sqref="J100">
    <cfRule type="cellIs" dxfId="712" priority="56" operator="equal">
      <formula>"não"</formula>
    </cfRule>
  </conditionalFormatting>
  <conditionalFormatting sqref="J100">
    <cfRule type="containsText" dxfId="711" priority="55" operator="containsText" text="não">
      <formula>NOT(ISERROR(SEARCH("não",J100)))</formula>
    </cfRule>
  </conditionalFormatting>
  <conditionalFormatting sqref="J100">
    <cfRule type="cellIs" dxfId="710" priority="54" operator="equal">
      <formula>"Restrição"</formula>
    </cfRule>
  </conditionalFormatting>
  <conditionalFormatting sqref="C86:I86">
    <cfRule type="notContainsBlanks" dxfId="709" priority="45">
      <formula>LEN(TRIM(C86))&gt;0</formula>
    </cfRule>
  </conditionalFormatting>
  <conditionalFormatting sqref="C87:I87">
    <cfRule type="notContainsBlanks" dxfId="708" priority="44">
      <formula>LEN(TRIM(C87))&gt;0</formula>
    </cfRule>
  </conditionalFormatting>
  <conditionalFormatting sqref="C88:I88">
    <cfRule type="cellIs" dxfId="707" priority="42" operator="equal">
      <formula>"não"</formula>
    </cfRule>
    <cfRule type="notContainsBlanks" dxfId="706" priority="43">
      <formula>LEN(TRIM(C88))&gt;0</formula>
    </cfRule>
  </conditionalFormatting>
  <conditionalFormatting sqref="J103">
    <cfRule type="cellIs" dxfId="705" priority="41" operator="equal">
      <formula>"não"</formula>
    </cfRule>
  </conditionalFormatting>
  <conditionalFormatting sqref="J103">
    <cfRule type="containsText" dxfId="704" priority="40" operator="containsText" text="não">
      <formula>NOT(ISERROR(SEARCH("não",J103)))</formula>
    </cfRule>
  </conditionalFormatting>
  <conditionalFormatting sqref="J103">
    <cfRule type="cellIs" dxfId="703" priority="39" operator="equal">
      <formula>"Restrição"</formula>
    </cfRule>
  </conditionalFormatting>
  <conditionalFormatting sqref="C83:J83 C88:J88">
    <cfRule type="cellIs" dxfId="702" priority="38" operator="equal">
      <formula>"Restrição"</formula>
    </cfRule>
  </conditionalFormatting>
  <conditionalFormatting sqref="J111">
    <cfRule type="cellIs" dxfId="701" priority="37" operator="equal">
      <formula>"não"</formula>
    </cfRule>
  </conditionalFormatting>
  <conditionalFormatting sqref="J111">
    <cfRule type="containsText" dxfId="700" priority="36" operator="containsText" text="não">
      <formula>NOT(ISERROR(SEARCH("não",J111)))</formula>
    </cfRule>
  </conditionalFormatting>
  <conditionalFormatting sqref="J111">
    <cfRule type="cellIs" dxfId="699" priority="35" operator="equal">
      <formula>"Restrição"</formula>
    </cfRule>
  </conditionalFormatting>
  <conditionalFormatting sqref="J110">
    <cfRule type="cellIs" dxfId="698" priority="34" operator="equal">
      <formula>"não"</formula>
    </cfRule>
  </conditionalFormatting>
  <conditionalFormatting sqref="J110">
    <cfRule type="containsText" dxfId="697" priority="33" operator="containsText" text="não">
      <formula>NOT(ISERROR(SEARCH("não",J110)))</formula>
    </cfRule>
  </conditionalFormatting>
  <conditionalFormatting sqref="J110">
    <cfRule type="cellIs" dxfId="696" priority="32" operator="equal">
      <formula>"Restrição"</formula>
    </cfRule>
  </conditionalFormatting>
  <conditionalFormatting sqref="J96:J97">
    <cfRule type="cellIs" dxfId="695" priority="31" operator="equal">
      <formula>"não"</formula>
    </cfRule>
  </conditionalFormatting>
  <conditionalFormatting sqref="J96:J97">
    <cfRule type="containsText" dxfId="694" priority="30" operator="containsText" text="não">
      <formula>NOT(ISERROR(SEARCH("não",J96)))</formula>
    </cfRule>
  </conditionalFormatting>
  <conditionalFormatting sqref="J96:J97">
    <cfRule type="cellIs" dxfId="693" priority="29" operator="equal">
      <formula>"Restrição"</formula>
    </cfRule>
  </conditionalFormatting>
  <conditionalFormatting sqref="I159:J159 I161:J161 I165:J165 I171:J173">
    <cfRule type="cellIs" dxfId="692" priority="27" operator="equal">
      <formula>"RESTRIÇÃO"</formula>
    </cfRule>
    <cfRule type="cellIs" dxfId="691" priority="28" operator="equal">
      <formula>"Não Conforme"</formula>
    </cfRule>
  </conditionalFormatting>
  <conditionalFormatting sqref="I160:J160">
    <cfRule type="cellIs" dxfId="690" priority="25" operator="equal">
      <formula>"RESTRIÇÃO"</formula>
    </cfRule>
    <cfRule type="cellIs" dxfId="689" priority="26" operator="equal">
      <formula>"Não Conforme"</formula>
    </cfRule>
  </conditionalFormatting>
  <conditionalFormatting sqref="I162:J162">
    <cfRule type="cellIs" dxfId="688" priority="23" operator="equal">
      <formula>"RESTRIÇÃO"</formula>
    </cfRule>
    <cfRule type="cellIs" dxfId="687" priority="24" operator="equal">
      <formula>"Não Conforme"</formula>
    </cfRule>
  </conditionalFormatting>
  <conditionalFormatting sqref="I163:J163">
    <cfRule type="cellIs" dxfId="686" priority="21" operator="equal">
      <formula>"RESTRIÇÃO"</formula>
    </cfRule>
    <cfRule type="cellIs" dxfId="685" priority="22" operator="equal">
      <formula>"Não Conforme"</formula>
    </cfRule>
  </conditionalFormatting>
  <conditionalFormatting sqref="I164:J164">
    <cfRule type="cellIs" dxfId="684" priority="19" operator="equal">
      <formula>"RESTRIÇÃO"</formula>
    </cfRule>
    <cfRule type="cellIs" dxfId="683" priority="20" operator="equal">
      <formula>"Não Conforme"</formula>
    </cfRule>
  </conditionalFormatting>
  <conditionalFormatting sqref="I166:J166">
    <cfRule type="cellIs" dxfId="682" priority="15" operator="equal">
      <formula>"RESTRIÇÃO"</formula>
    </cfRule>
    <cfRule type="cellIs" dxfId="681" priority="16" operator="equal">
      <formula>"Não Conforme"</formula>
    </cfRule>
  </conditionalFormatting>
  <conditionalFormatting sqref="I167:J170">
    <cfRule type="cellIs" dxfId="680" priority="13" operator="equal">
      <formula>"RESTRIÇÃO"</formula>
    </cfRule>
    <cfRule type="cellIs" dxfId="679" priority="14" operator="equal">
      <formula>"Não Conforme"</formula>
    </cfRule>
  </conditionalFormatting>
  <pageMargins left="0.78740157480314965" right="0.19685039370078741" top="1.3779527559055118" bottom="1.1811023622047245" header="0.31496062992125984" footer="0.51181102362204722"/>
  <pageSetup paperSize="9" orientation="portrait" r:id="rId1"/>
  <headerFooter>
    <oddFooter>&amp;L&amp;F&amp;R&amp;P de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AB102"/>
  <sheetViews>
    <sheetView zoomScaleNormal="100" workbookViewId="0">
      <selection activeCell="F6" sqref="F6"/>
    </sheetView>
  </sheetViews>
  <sheetFormatPr defaultColWidth="8.5703125" defaultRowHeight="15" x14ac:dyDescent="0.25"/>
  <cols>
    <col min="1" max="1" width="18.42578125" style="291" bestFit="1" customWidth="1"/>
    <col min="2" max="3" width="8.5703125" style="291" bestFit="1" customWidth="1"/>
    <col min="4" max="4" width="16.5703125" style="291" bestFit="1" customWidth="1"/>
    <col min="5" max="5" width="8.5703125" style="291" bestFit="1" customWidth="1"/>
    <col min="6" max="6" width="10.85546875" style="291" bestFit="1" customWidth="1"/>
    <col min="7" max="7" width="16.5703125" style="291" customWidth="1"/>
    <col min="8" max="8" width="9.42578125" style="291" bestFit="1" customWidth="1"/>
    <col min="9" max="10" width="8.5703125" style="291"/>
    <col min="11" max="11" width="13.85546875" style="291" bestFit="1" customWidth="1"/>
    <col min="12" max="13" width="8.5703125" style="291"/>
    <col min="14" max="14" width="14.42578125" style="291" bestFit="1" customWidth="1"/>
    <col min="15" max="15" width="7.5703125" style="291" bestFit="1" customWidth="1"/>
    <col min="16" max="16" width="5.5703125" style="291" bestFit="1" customWidth="1"/>
    <col min="17" max="18" width="8.5703125" style="291"/>
    <col min="19" max="19" width="7.42578125" style="291" bestFit="1" customWidth="1"/>
    <col min="20" max="20" width="8.140625" style="291" bestFit="1" customWidth="1"/>
    <col min="21" max="21" width="9.42578125" style="291" bestFit="1" customWidth="1"/>
    <col min="22" max="22" width="8.5703125" style="291"/>
    <col min="23" max="23" width="5.140625" style="291" bestFit="1" customWidth="1"/>
    <col min="24" max="24" width="13.85546875" style="291" bestFit="1" customWidth="1"/>
    <col min="25" max="16384" width="8.5703125" style="291"/>
  </cols>
  <sheetData>
    <row r="1" spans="1:28" ht="15.75" thickBot="1" x14ac:dyDescent="0.3">
      <c r="A1" s="1359" t="s">
        <v>1712</v>
      </c>
      <c r="B1" s="1359" t="str">
        <f>"IN "&amp;VLOOKUP("Intraoral",IN_ANVISA[],2)</f>
        <v>IN 95</v>
      </c>
    </row>
    <row r="2" spans="1:28" ht="15.75" thickBot="1" x14ac:dyDescent="0.3">
      <c r="A2" s="2420" t="s">
        <v>160</v>
      </c>
      <c r="B2" s="2421"/>
      <c r="C2" s="2421"/>
      <c r="D2" s="2421"/>
      <c r="E2" s="2421"/>
      <c r="F2" s="2422"/>
      <c r="G2" s="305"/>
      <c r="H2" s="305"/>
      <c r="I2" s="305"/>
      <c r="J2" s="305"/>
      <c r="K2" s="305"/>
      <c r="L2" s="305"/>
      <c r="M2" s="305"/>
      <c r="N2" s="305"/>
      <c r="O2" s="305"/>
      <c r="P2" s="305"/>
      <c r="Q2" s="305"/>
      <c r="R2" s="305"/>
      <c r="S2" s="305"/>
      <c r="T2" s="305"/>
      <c r="U2" s="305"/>
      <c r="V2" s="305"/>
      <c r="W2" s="305"/>
      <c r="X2" s="305"/>
      <c r="Y2" s="305"/>
      <c r="Z2" s="305"/>
      <c r="AA2" s="305"/>
      <c r="AB2" s="305"/>
    </row>
    <row r="3" spans="1:28" x14ac:dyDescent="0.25">
      <c r="A3" s="2439" t="s">
        <v>1112</v>
      </c>
      <c r="B3" s="2439"/>
      <c r="C3" s="2439"/>
      <c r="D3" s="2439"/>
      <c r="E3" s="2439"/>
      <c r="F3" s="1061"/>
      <c r="G3" s="305"/>
      <c r="H3" s="305"/>
      <c r="I3" s="305"/>
      <c r="J3" s="305"/>
      <c r="K3" s="305"/>
      <c r="L3" s="305"/>
      <c r="M3" s="305"/>
      <c r="N3" s="305"/>
      <c r="O3" s="305"/>
      <c r="P3" s="305"/>
      <c r="Q3" s="305"/>
      <c r="R3" s="305"/>
      <c r="S3" s="305"/>
      <c r="T3" s="305"/>
      <c r="U3" s="305"/>
      <c r="V3" s="305"/>
      <c r="W3" s="305"/>
      <c r="X3" s="305"/>
      <c r="Y3" s="305"/>
      <c r="Z3" s="305"/>
      <c r="AA3" s="305"/>
      <c r="AB3" s="305"/>
    </row>
    <row r="4" spans="1:28" x14ac:dyDescent="0.25">
      <c r="A4" s="2438" t="s">
        <v>1711</v>
      </c>
      <c r="B4" s="2438"/>
      <c r="C4" s="2438"/>
      <c r="D4" s="2438"/>
      <c r="E4" s="2438"/>
      <c r="F4" s="775"/>
      <c r="G4" s="305"/>
      <c r="H4" s="305"/>
      <c r="I4" s="305"/>
      <c r="J4" s="305"/>
      <c r="K4" s="305"/>
      <c r="L4" s="305"/>
      <c r="M4" s="305"/>
      <c r="N4" s="305"/>
      <c r="O4" s="305"/>
      <c r="P4" s="305"/>
      <c r="Q4" s="305"/>
      <c r="R4" s="305"/>
      <c r="S4" s="305"/>
      <c r="T4" s="305"/>
      <c r="U4" s="305"/>
      <c r="V4" s="305"/>
      <c r="W4" s="305"/>
      <c r="X4" s="305"/>
      <c r="Y4" s="305"/>
      <c r="Z4" s="305"/>
      <c r="AA4" s="305"/>
      <c r="AB4" s="305"/>
    </row>
    <row r="5" spans="1:28" x14ac:dyDescent="0.25">
      <c r="A5" s="2438" t="s">
        <v>1113</v>
      </c>
      <c r="B5" s="2438"/>
      <c r="C5" s="2438"/>
      <c r="D5" s="2438"/>
      <c r="E5" s="2438"/>
      <c r="F5" s="775"/>
      <c r="G5" s="305"/>
      <c r="H5" s="305"/>
      <c r="I5" s="305"/>
      <c r="J5" s="305"/>
      <c r="K5" s="305"/>
      <c r="L5" s="305"/>
      <c r="M5" s="305"/>
      <c r="N5" s="305"/>
      <c r="O5" s="305"/>
      <c r="P5" s="305"/>
      <c r="Q5" s="305"/>
      <c r="R5" s="305"/>
      <c r="S5" s="305"/>
      <c r="T5" s="305"/>
      <c r="U5" s="305"/>
      <c r="V5" s="305"/>
      <c r="W5" s="305"/>
      <c r="X5" s="305"/>
      <c r="Y5" s="305"/>
      <c r="Z5" s="305"/>
      <c r="AA5" s="305"/>
      <c r="AB5" s="305"/>
    </row>
    <row r="6" spans="1:28" ht="30" customHeight="1" x14ac:dyDescent="0.25">
      <c r="A6" s="2878" t="s">
        <v>2819</v>
      </c>
      <c r="B6" s="2878"/>
      <c r="C6" s="2878"/>
      <c r="D6" s="2878"/>
      <c r="E6" s="2878"/>
      <c r="F6" s="775"/>
      <c r="G6" s="820"/>
      <c r="H6" s="820"/>
      <c r="I6" s="820"/>
      <c r="J6" s="820"/>
      <c r="K6" s="820"/>
      <c r="L6" s="820"/>
      <c r="M6" s="820"/>
      <c r="N6" s="820"/>
      <c r="O6" s="820"/>
      <c r="P6" s="820"/>
      <c r="Q6" s="820"/>
      <c r="R6" s="820"/>
      <c r="S6" s="820"/>
      <c r="T6" s="820"/>
      <c r="U6" s="820"/>
      <c r="V6" s="820"/>
      <c r="W6" s="820"/>
      <c r="X6" s="820"/>
      <c r="Y6" s="820"/>
      <c r="Z6" s="820"/>
      <c r="AA6" s="820"/>
      <c r="AB6" s="820"/>
    </row>
    <row r="7" spans="1:28" x14ac:dyDescent="0.25">
      <c r="A7" s="2438" t="s">
        <v>683</v>
      </c>
      <c r="B7" s="2438"/>
      <c r="C7" s="2438"/>
      <c r="D7" s="2438"/>
      <c r="E7" s="2438"/>
      <c r="F7" s="775"/>
      <c r="G7" s="305"/>
      <c r="H7" s="305"/>
      <c r="I7" s="305"/>
      <c r="J7" s="305"/>
      <c r="K7" s="305"/>
      <c r="L7" s="305"/>
      <c r="M7" s="305"/>
      <c r="N7" s="305"/>
      <c r="O7" s="305"/>
      <c r="P7" s="305"/>
      <c r="Q7" s="305"/>
      <c r="R7" s="305"/>
      <c r="S7" s="305"/>
      <c r="T7" s="305"/>
      <c r="U7" s="305"/>
      <c r="V7" s="305"/>
      <c r="W7" s="305"/>
      <c r="X7" s="305"/>
      <c r="Y7" s="305"/>
      <c r="Z7" s="305"/>
      <c r="AA7" s="305"/>
      <c r="AB7" s="305"/>
    </row>
    <row r="8" spans="1:28" x14ac:dyDescent="0.25">
      <c r="A8" s="2438" t="s">
        <v>134</v>
      </c>
      <c r="B8" s="2438"/>
      <c r="C8" s="2438"/>
      <c r="D8" s="2438"/>
      <c r="E8" s="2438"/>
      <c r="F8" s="775"/>
      <c r="G8" s="305"/>
      <c r="H8" s="305"/>
      <c r="I8" s="305"/>
      <c r="J8" s="305"/>
      <c r="K8" s="305"/>
      <c r="L8" s="305"/>
      <c r="M8" s="305"/>
      <c r="N8" s="305"/>
      <c r="O8" s="305"/>
      <c r="P8" s="305"/>
      <c r="Q8" s="305"/>
      <c r="R8" s="305"/>
      <c r="S8" s="305"/>
      <c r="T8" s="305"/>
      <c r="U8" s="305"/>
      <c r="V8" s="305"/>
      <c r="W8" s="305"/>
      <c r="X8" s="305"/>
      <c r="Y8" s="305"/>
      <c r="Z8" s="305"/>
      <c r="AA8" s="305"/>
      <c r="AB8" s="305"/>
    </row>
    <row r="9" spans="1:28" ht="15.75" thickBot="1" x14ac:dyDescent="0.3">
      <c r="A9" s="305"/>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row>
    <row r="10" spans="1:28" ht="15.75" thickBot="1" x14ac:dyDescent="0.3">
      <c r="A10" s="2420" t="s">
        <v>1114</v>
      </c>
      <c r="B10" s="2421"/>
      <c r="C10" s="2421"/>
      <c r="D10" s="2421"/>
      <c r="E10" s="2421"/>
      <c r="F10" s="2422"/>
      <c r="G10" s="305"/>
      <c r="H10" s="305"/>
      <c r="I10" s="305"/>
      <c r="J10" s="305"/>
      <c r="K10" s="305"/>
      <c r="L10" s="305"/>
      <c r="M10" s="305"/>
      <c r="N10" s="305"/>
      <c r="O10" s="305"/>
      <c r="P10" s="305"/>
      <c r="Q10" s="305"/>
      <c r="R10" s="305"/>
      <c r="S10" s="305"/>
      <c r="T10" s="305"/>
      <c r="U10" s="305"/>
      <c r="V10" s="305"/>
      <c r="W10" s="305"/>
      <c r="X10" s="305"/>
      <c r="Y10" s="305"/>
      <c r="Z10" s="305"/>
      <c r="AA10" s="305"/>
      <c r="AB10" s="305"/>
    </row>
    <row r="11" spans="1:28" x14ac:dyDescent="0.25">
      <c r="A11" s="2868" t="s">
        <v>560</v>
      </c>
      <c r="B11" s="2869"/>
      <c r="C11" s="2869"/>
      <c r="D11" s="1061"/>
      <c r="E11" s="305"/>
      <c r="F11" s="305"/>
      <c r="G11" s="305"/>
      <c r="H11" s="305"/>
      <c r="I11" s="305"/>
      <c r="J11" s="305"/>
      <c r="K11" s="305"/>
      <c r="L11" s="305"/>
      <c r="M11" s="305"/>
      <c r="N11" s="305"/>
      <c r="O11" s="305"/>
      <c r="P11" s="305"/>
      <c r="Q11" s="305"/>
      <c r="R11" s="305"/>
      <c r="S11" s="305"/>
      <c r="T11" s="305"/>
      <c r="U11" s="305"/>
      <c r="V11" s="305"/>
      <c r="W11" s="305"/>
      <c r="X11" s="305"/>
      <c r="Y11" s="305"/>
      <c r="Z11" s="305"/>
      <c r="AA11" s="305"/>
      <c r="AB11" s="305"/>
    </row>
    <row r="12" spans="1:28" x14ac:dyDescent="0.25">
      <c r="A12" s="2867" t="s">
        <v>1115</v>
      </c>
      <c r="B12" s="2867"/>
      <c r="C12" s="2867"/>
      <c r="D12" s="176"/>
      <c r="E12" s="305" t="s">
        <v>12</v>
      </c>
      <c r="F12" s="546" t="str">
        <f>IF(D11="Não possui","Restrição",IF(D12&lt;20,"Não","Sim"))</f>
        <v>Não</v>
      </c>
      <c r="G12" s="305"/>
      <c r="H12" s="305"/>
      <c r="I12" s="305"/>
      <c r="J12" s="305"/>
      <c r="K12" s="305"/>
      <c r="L12" s="305"/>
      <c r="M12" s="305"/>
      <c r="N12" s="305"/>
      <c r="O12" s="305"/>
      <c r="P12" s="305"/>
      <c r="Q12" s="305"/>
      <c r="R12" s="305"/>
      <c r="S12" s="305"/>
      <c r="T12" s="305"/>
      <c r="U12" s="305"/>
      <c r="V12" s="305"/>
      <c r="W12" s="305"/>
      <c r="X12" s="305"/>
      <c r="Y12" s="305"/>
      <c r="Z12" s="305"/>
      <c r="AA12" s="305"/>
      <c r="AB12" s="305"/>
    </row>
    <row r="13" spans="1:28" x14ac:dyDescent="0.25">
      <c r="A13" s="2867" t="s">
        <v>1116</v>
      </c>
      <c r="B13" s="2867"/>
      <c r="C13" s="2867"/>
      <c r="D13" s="176"/>
      <c r="E13" s="305" t="s">
        <v>12</v>
      </c>
      <c r="F13" s="546" t="str">
        <f>IF(OR(D13&gt;8,D13&lt;4),"Restrição",IF(D13&gt;6,"Não","Sim"))</f>
        <v>Restrição</v>
      </c>
      <c r="G13" s="305"/>
      <c r="H13" s="305"/>
      <c r="I13" s="305"/>
      <c r="J13" s="305"/>
      <c r="K13" s="305"/>
      <c r="L13" s="305"/>
      <c r="M13" s="305"/>
      <c r="N13" s="305"/>
      <c r="O13" s="305"/>
      <c r="P13" s="305"/>
      <c r="Q13" s="305"/>
      <c r="R13" s="305"/>
      <c r="S13" s="305"/>
      <c r="T13" s="305"/>
      <c r="U13" s="305"/>
      <c r="V13" s="305"/>
      <c r="W13" s="305"/>
      <c r="X13" s="305"/>
      <c r="Y13" s="305"/>
      <c r="Z13" s="305"/>
      <c r="AA13" s="305"/>
      <c r="AB13" s="305"/>
    </row>
    <row r="14" spans="1:28" ht="15" customHeight="1" x14ac:dyDescent="0.25">
      <c r="A14" s="2874" t="s">
        <v>1713</v>
      </c>
      <c r="B14" s="2875"/>
      <c r="C14" s="2876"/>
      <c r="D14" s="775"/>
      <c r="E14" s="305"/>
      <c r="F14" s="305"/>
      <c r="G14" s="305"/>
      <c r="H14" s="305"/>
      <c r="I14" s="305"/>
      <c r="J14" s="305"/>
      <c r="K14" s="305"/>
      <c r="L14" s="305"/>
      <c r="M14" s="305"/>
      <c r="O14" s="305"/>
      <c r="P14" s="305"/>
      <c r="Q14" s="305"/>
      <c r="R14" s="305"/>
      <c r="S14" s="305"/>
      <c r="T14" s="305"/>
      <c r="U14" s="305"/>
      <c r="V14" s="305"/>
      <c r="W14" s="305"/>
      <c r="X14" s="305"/>
      <c r="Y14" s="305"/>
      <c r="Z14" s="305"/>
      <c r="AA14" s="305"/>
      <c r="AB14" s="305"/>
    </row>
    <row r="15" spans="1:28" ht="18.75" x14ac:dyDescent="0.3">
      <c r="A15" s="563" t="s">
        <v>678</v>
      </c>
      <c r="B15" s="305"/>
      <c r="C15" s="305"/>
      <c r="D15" s="305"/>
      <c r="E15" s="305"/>
      <c r="F15" s="305"/>
      <c r="G15" s="305"/>
      <c r="H15" s="305"/>
      <c r="I15" s="305"/>
      <c r="J15" s="305"/>
      <c r="K15" s="305"/>
      <c r="L15" s="305"/>
      <c r="M15" s="305"/>
      <c r="N15" s="305"/>
      <c r="O15" s="305"/>
      <c r="P15" s="305"/>
      <c r="Q15" s="305"/>
      <c r="R15" s="305"/>
      <c r="S15" s="305"/>
      <c r="T15" s="305"/>
      <c r="U15" s="305"/>
      <c r="V15" s="305"/>
      <c r="W15" s="305"/>
      <c r="X15" s="305"/>
      <c r="Y15" s="305"/>
      <c r="Z15" s="305"/>
      <c r="AA15" s="305"/>
      <c r="AB15" s="305"/>
    </row>
    <row r="16" spans="1:28" ht="15.75" thickBot="1" x14ac:dyDescent="0.3">
      <c r="A16" s="305"/>
      <c r="B16" s="305"/>
      <c r="C16" s="305"/>
      <c r="D16" s="305"/>
      <c r="E16" s="305"/>
      <c r="F16" s="305"/>
      <c r="G16" s="305"/>
      <c r="H16" s="305"/>
      <c r="I16" s="305"/>
      <c r="J16" s="305"/>
      <c r="K16" s="305"/>
      <c r="L16" s="305"/>
      <c r="M16" s="305"/>
      <c r="N16" s="305"/>
      <c r="O16" s="305"/>
      <c r="P16" s="305"/>
      <c r="Q16" s="305"/>
      <c r="R16" s="305"/>
      <c r="S16" s="305"/>
      <c r="T16" s="305"/>
      <c r="U16" s="305"/>
      <c r="V16" s="305"/>
      <c r="W16" s="305"/>
      <c r="X16" s="305"/>
      <c r="Y16" s="305"/>
      <c r="Z16" s="305"/>
      <c r="AA16" s="305"/>
      <c r="AB16" s="305"/>
    </row>
    <row r="17" spans="1:28" ht="15.75" thickBot="1" x14ac:dyDescent="0.3">
      <c r="A17" s="2420" t="s">
        <v>1274</v>
      </c>
      <c r="B17" s="2421"/>
      <c r="C17" s="2421"/>
      <c r="D17" s="2421"/>
      <c r="E17" s="2421"/>
      <c r="F17" s="2421"/>
      <c r="G17" s="2421"/>
      <c r="H17" s="2421"/>
      <c r="I17" s="2421"/>
      <c r="J17" s="2421"/>
      <c r="K17" s="2421"/>
      <c r="L17" s="2421"/>
      <c r="M17" s="2421"/>
      <c r="N17" s="2421"/>
      <c r="O17" s="2421"/>
      <c r="P17" s="2421"/>
      <c r="Q17" s="2421"/>
      <c r="R17" s="2421"/>
      <c r="S17" s="2421"/>
      <c r="T17" s="2421"/>
      <c r="U17" s="2421"/>
      <c r="V17" s="2421"/>
      <c r="W17" s="2421"/>
      <c r="X17" s="2422"/>
      <c r="Y17" s="305"/>
      <c r="Z17" s="305"/>
      <c r="AA17" s="305"/>
      <c r="AB17" s="305"/>
    </row>
    <row r="18" spans="1:28" x14ac:dyDescent="0.25">
      <c r="A18" s="2797" t="s">
        <v>143</v>
      </c>
      <c r="B18" s="2797"/>
      <c r="C18" s="2797"/>
      <c r="D18" s="2797"/>
      <c r="E18" s="175"/>
      <c r="F18" s="305" t="s">
        <v>12</v>
      </c>
      <c r="G18" s="305"/>
      <c r="H18" s="305"/>
      <c r="I18" s="305"/>
      <c r="J18" s="305"/>
      <c r="K18" s="305"/>
      <c r="L18" s="305"/>
      <c r="M18" s="305"/>
      <c r="N18" s="305"/>
      <c r="O18" s="305"/>
      <c r="P18" s="305"/>
      <c r="Q18" s="305"/>
      <c r="R18" s="305"/>
      <c r="S18" s="305"/>
      <c r="T18" s="305"/>
      <c r="U18" s="305"/>
      <c r="V18" s="305"/>
      <c r="W18" s="305"/>
      <c r="X18" s="305"/>
      <c r="Y18" s="305"/>
      <c r="Z18" s="305"/>
      <c r="AA18" s="305"/>
      <c r="AB18" s="305"/>
    </row>
    <row r="19" spans="1:28" x14ac:dyDescent="0.25">
      <c r="A19" s="2877" t="s">
        <v>570</v>
      </c>
      <c r="B19" s="2877"/>
      <c r="C19" s="2877"/>
      <c r="D19" s="2877"/>
      <c r="E19" s="776">
        <f>Cabeçalho!G22</f>
        <v>0</v>
      </c>
      <c r="F19" s="417" t="s">
        <v>0</v>
      </c>
      <c r="G19" s="305"/>
      <c r="H19" s="305"/>
      <c r="I19" s="305"/>
      <c r="J19" s="305"/>
      <c r="K19" s="305"/>
      <c r="L19" s="305"/>
      <c r="M19" s="305"/>
      <c r="N19" s="2877" t="s">
        <v>1786</v>
      </c>
      <c r="O19" s="2877"/>
      <c r="P19" s="2877"/>
      <c r="Q19" s="2877"/>
      <c r="R19" s="777"/>
      <c r="S19" s="417" t="s">
        <v>0</v>
      </c>
      <c r="T19" s="305"/>
      <c r="U19" s="305"/>
      <c r="V19" s="305"/>
      <c r="W19" s="305"/>
      <c r="X19" s="305"/>
      <c r="Y19" s="305"/>
      <c r="Z19" s="305"/>
      <c r="AA19" s="305"/>
      <c r="AB19" s="305"/>
    </row>
    <row r="20" spans="1:28" s="433" customFormat="1" x14ac:dyDescent="0.25">
      <c r="A20" s="699" t="s">
        <v>936</v>
      </c>
      <c r="B20" s="699" t="s">
        <v>5</v>
      </c>
      <c r="C20" s="615" t="s">
        <v>3</v>
      </c>
      <c r="D20" s="699" t="s">
        <v>22</v>
      </c>
      <c r="E20" s="783"/>
      <c r="F20" s="615" t="s">
        <v>0</v>
      </c>
      <c r="G20" s="615" t="s">
        <v>2</v>
      </c>
      <c r="H20" s="615" t="s">
        <v>51</v>
      </c>
      <c r="I20" s="783"/>
      <c r="J20" s="588" t="s">
        <v>1</v>
      </c>
      <c r="K20" s="783" t="s">
        <v>564</v>
      </c>
      <c r="L20" s="446"/>
      <c r="M20" s="446"/>
      <c r="N20" s="699" t="s">
        <v>936</v>
      </c>
      <c r="O20" s="699" t="s">
        <v>5</v>
      </c>
      <c r="P20" s="615" t="s">
        <v>3</v>
      </c>
      <c r="Q20" s="699" t="s">
        <v>22</v>
      </c>
      <c r="R20" s="783"/>
      <c r="S20" s="615" t="s">
        <v>0</v>
      </c>
      <c r="T20" s="615" t="s">
        <v>2</v>
      </c>
      <c r="U20" s="615" t="s">
        <v>51</v>
      </c>
      <c r="V20" s="783"/>
      <c r="W20" s="588" t="s">
        <v>1</v>
      </c>
      <c r="X20" s="783" t="s">
        <v>564</v>
      </c>
      <c r="Y20" s="446"/>
      <c r="Z20" s="446"/>
      <c r="AA20" s="446"/>
      <c r="AB20" s="446"/>
    </row>
    <row r="21" spans="1:28" s="433" customFormat="1" x14ac:dyDescent="0.25">
      <c r="A21" s="176"/>
      <c r="B21" s="176"/>
      <c r="C21" s="506" t="e">
        <f ca="1">IF(Cabeçalho!$G$28="Unfors",INDIRECT(ADDRESS(B21,7,1,1,"medidas Unfors"),1),INDIRECT(ADDRESS(B21,6,1,1,"medidas Fluke"),1)/1000)</f>
        <v>#VALUE!</v>
      </c>
      <c r="D21" s="784" t="e">
        <f ca="1">CONCATENATE(ROUND((C21/A21-1)*100,1),"%")</f>
        <v>#VALUE!</v>
      </c>
      <c r="E21" s="783" t="str">
        <f ca="1">IFERROR(IF(ABS(ROUND((C21/A21-1)*100,1))&gt;20,"Ruim",""),"")</f>
        <v/>
      </c>
      <c r="F21" s="785" t="str">
        <f ca="1">IFERROR(IF(Cabeçalho!$G$28="Unfors",INDIRECT(ADDRESS(B21,1,1,1,"medidas Unfors"),1),INDIRECT(ADDRESS(B21,1,1,1,"medidas Fluke"),1)),"")</f>
        <v/>
      </c>
      <c r="G21" s="538" t="str">
        <f ca="1">IFERROR(IF(Cabeçalho!$G$28="Unfors",INDIRECT(ADDRESS(B21,5,1,1,"medidas Unfors"),1),INDIRECT(ADDRESS(B21,5,1,1,"medidas Fluke"),1)/1000),"")</f>
        <v/>
      </c>
      <c r="H21" s="538" t="str">
        <f ca="1">IFERROR(IF(Cabeçalho!$G$28="Unfors",(INDIRECT(ADDRESS(B21,3,1,1,"medidas Unfors"),1))/A21,(INDIRECT(ADDRESS(B21,4,1,1,"medidas Fluke"),1))/A21/1000),"")</f>
        <v/>
      </c>
      <c r="I21" s="783"/>
      <c r="J21" s="527" t="e">
        <f ca="1">IF(Cabeçalho!$G$28="Unfors",INDIRECT(ADDRESS(B21,3,1,1,"medidas Unfors"),1),INDIRECT(ADDRESS(B21,4,1,1,"medidas Fluke"),1)/1000)*($E$18/$D$12)^2</f>
        <v>#VALUE!</v>
      </c>
      <c r="K21" s="615" t="e">
        <f t="shared" ref="K21:K27" ca="1" si="0">ROUND(J21*FR20cm,1)</f>
        <v>#VALUE!</v>
      </c>
      <c r="L21" s="446"/>
      <c r="M21" s="446"/>
      <c r="N21" s="176"/>
      <c r="O21" s="176"/>
      <c r="P21" s="506" t="e">
        <f ca="1">IF(Cabeçalho!$G$28="Unfors",INDIRECT(ADDRESS(O21,7,1,1,"medidas Unfors"),1),INDIRECT(ADDRESS(O21,6,1,1,"medidas Fluke"),1)/1000)</f>
        <v>#VALUE!</v>
      </c>
      <c r="Q21" s="784" t="e">
        <f ca="1">CONCATENATE(ROUND((P21/N21-1)*100,1),"%")</f>
        <v>#VALUE!</v>
      </c>
      <c r="R21" s="783" t="str">
        <f ca="1">IFERROR(IF(ABS(ROUND((P21/N21-1)*100,1))&gt;20,"Ruim",""),"")</f>
        <v/>
      </c>
      <c r="S21" s="785" t="str">
        <f ca="1">IFERROR(IF(Cabeçalho!$G$28="Unfors",INDIRECT(ADDRESS(O21,1,1,1,"medidas Unfors"),1),INDIRECT(ADDRESS(O21,1,1,1,"medidas Fluke"),1)),"")</f>
        <v/>
      </c>
      <c r="T21" s="538" t="str">
        <f ca="1">IFERROR(IF(Cabeçalho!$G$28="Unfors",INDIRECT(ADDRESS(O21,5,1,1,"medidas Unfors"),1),INDIRECT(ADDRESS(O21,5,1,1,"medidas Fluke"),1)/1000),"")</f>
        <v/>
      </c>
      <c r="U21" s="538" t="str">
        <f ca="1">IFERROR(IF(Cabeçalho!$G$28="Unfors",(INDIRECT(ADDRESS(O21,3,1,1,"medidas Unfors"),1))/N21,(INDIRECT(ADDRESS(O21,4,1,1,"medidas Fluke"),1))/N21/1000),"")</f>
        <v/>
      </c>
      <c r="V21" s="783"/>
      <c r="W21" s="527" t="e">
        <f ca="1">IF(Cabeçalho!$G$28="Unfors",INDIRECT(ADDRESS(O21,3,1,1,"medidas Unfors"),1),INDIRECT(ADDRESS(O21,4,1,1,"medidas Fluke"),1)/1000)*($E$18/$D$12)^2</f>
        <v>#VALUE!</v>
      </c>
      <c r="X21" s="615" t="e">
        <f t="shared" ref="X21:X27" ca="1" si="1">ROUND(W21*FR20cm,1)</f>
        <v>#VALUE!</v>
      </c>
      <c r="Y21" s="446"/>
      <c r="Z21" s="446"/>
      <c r="AA21" s="446"/>
      <c r="AB21" s="446"/>
    </row>
    <row r="22" spans="1:28" s="433" customFormat="1" x14ac:dyDescent="0.25">
      <c r="A22" s="176"/>
      <c r="B22" s="176"/>
      <c r="C22" s="506" t="e">
        <f ca="1">IF(Cabeçalho!$G$28="Unfors",INDIRECT(ADDRESS(B22,7,1,1,"medidas Unfors"),1),INDIRECT(ADDRESS(B22,6,1,1,"medidas Fluke"),1)/1000)</f>
        <v>#VALUE!</v>
      </c>
      <c r="D22" s="784" t="e">
        <f t="shared" ref="D22:D27" ca="1" si="2">CONCATENATE(ROUND((C22/A22-1)*100,1),"%")</f>
        <v>#VALUE!</v>
      </c>
      <c r="E22" s="783" t="str">
        <f t="shared" ref="E22:E27" ca="1" si="3">IFERROR(IF(ABS(ROUND((C22/A22-1)*100,1))&gt;20,"Ruim",""),"")</f>
        <v/>
      </c>
      <c r="F22" s="785" t="str">
        <f ca="1">IFERROR(IF(Cabeçalho!$G$28="Unfors",INDIRECT(ADDRESS(B22,1,1,1,"medidas Unfors"),1),INDIRECT(ADDRESS(B22,1,1,1,"medidas Fluke"),1)),"")</f>
        <v/>
      </c>
      <c r="G22" s="538" t="str">
        <f ca="1">IFERROR(IF(Cabeçalho!$G$28="Unfors",INDIRECT(ADDRESS(B22,5,1,1,"medidas Unfors"),1),INDIRECT(ADDRESS(B22,5,1,1,"medidas Fluke"),1)/1000),"")</f>
        <v/>
      </c>
      <c r="H22" s="538" t="str">
        <f ca="1">IFERROR(IF(Cabeçalho!$G$28="Unfors",(INDIRECT(ADDRESS(B22,3,1,1,"medidas Unfors"),1))/A22,(INDIRECT(ADDRESS(B22,4,1,1,"medidas Fluke"),1))/A22/1000),"")</f>
        <v/>
      </c>
      <c r="I22" s="783"/>
      <c r="J22" s="527" t="e">
        <f ca="1">IF(Cabeçalho!$G$28="Unfors",INDIRECT(ADDRESS(B22,3,1,1,"medidas Unfors"),1),INDIRECT(ADDRESS(B22,4,1,1,"medidas Fluke"),1)/1000)*($E$18/$D$12)^2</f>
        <v>#VALUE!</v>
      </c>
      <c r="K22" s="615" t="e">
        <f t="shared" ca="1" si="0"/>
        <v>#VALUE!</v>
      </c>
      <c r="L22" s="446"/>
      <c r="M22" s="446"/>
      <c r="N22" s="176"/>
      <c r="O22" s="176"/>
      <c r="P22" s="506" t="e">
        <f ca="1">IF(Cabeçalho!$G$28="Unfors",INDIRECT(ADDRESS(O22,7,1,1,"medidas Unfors"),1),INDIRECT(ADDRESS(O22,6,1,1,"medidas Fluke"),1)/1000)</f>
        <v>#VALUE!</v>
      </c>
      <c r="Q22" s="784" t="e">
        <f t="shared" ref="Q22:Q27" ca="1" si="4">CONCATENATE(ROUND((P22/N22-1)*100,1),"%")</f>
        <v>#VALUE!</v>
      </c>
      <c r="R22" s="783" t="str">
        <f t="shared" ref="R22:R27" ca="1" si="5">IFERROR(IF(ABS(ROUND((P22/N22-1)*100,1))&gt;20,"Ruim",""),"")</f>
        <v/>
      </c>
      <c r="S22" s="785" t="str">
        <f ca="1">IFERROR(IF(Cabeçalho!$G$28="Unfors",INDIRECT(ADDRESS(O22,1,1,1,"medidas Unfors"),1),INDIRECT(ADDRESS(O22,1,1,1,"medidas Fluke"),1)),"")</f>
        <v/>
      </c>
      <c r="T22" s="538" t="str">
        <f ca="1">IFERROR(IF(Cabeçalho!$G$28="Unfors",INDIRECT(ADDRESS(O22,5,1,1,"medidas Unfors"),1),INDIRECT(ADDRESS(O22,5,1,1,"medidas Fluke"),1)/1000),"")</f>
        <v/>
      </c>
      <c r="U22" s="538" t="str">
        <f ca="1">IFERROR(IF(Cabeçalho!$G$28="Unfors",(INDIRECT(ADDRESS(O22,3,1,1,"medidas Unfors"),1))/N22,(INDIRECT(ADDRESS(O22,4,1,1,"medidas Fluke"),1))/N22/1000),"")</f>
        <v/>
      </c>
      <c r="V22" s="783"/>
      <c r="W22" s="527" t="e">
        <f ca="1">IF(Cabeçalho!$G$28="Unfors",INDIRECT(ADDRESS(O22,3,1,1,"medidas Unfors"),1),INDIRECT(ADDRESS(O22,4,1,1,"medidas Fluke"),1)/1000)*($E$18/$D$12)^2</f>
        <v>#VALUE!</v>
      </c>
      <c r="X22" s="615" t="e">
        <f t="shared" ca="1" si="1"/>
        <v>#VALUE!</v>
      </c>
      <c r="Y22" s="446"/>
      <c r="Z22" s="446"/>
      <c r="AA22" s="446"/>
      <c r="AB22" s="446"/>
    </row>
    <row r="23" spans="1:28" s="433" customFormat="1" x14ac:dyDescent="0.25">
      <c r="A23" s="176"/>
      <c r="B23" s="176"/>
      <c r="C23" s="506" t="e">
        <f ca="1">IF(Cabeçalho!$G$28="Unfors",INDIRECT(ADDRESS(B23,7,1,1,"medidas Unfors"),1),INDIRECT(ADDRESS(B23,6,1,1,"medidas Fluke"),1)/1000)</f>
        <v>#VALUE!</v>
      </c>
      <c r="D23" s="784" t="e">
        <f t="shared" ca="1" si="2"/>
        <v>#VALUE!</v>
      </c>
      <c r="E23" s="783" t="str">
        <f t="shared" ca="1" si="3"/>
        <v/>
      </c>
      <c r="F23" s="785" t="str">
        <f ca="1">IFERROR(IF(Cabeçalho!$G$28="Unfors",INDIRECT(ADDRESS(B23,1,1,1,"medidas Unfors"),1),INDIRECT(ADDRESS(B23,1,1,1,"medidas Fluke"),1)),"")</f>
        <v/>
      </c>
      <c r="G23" s="538" t="str">
        <f ca="1">IFERROR(IF(Cabeçalho!$G$28="Unfors",INDIRECT(ADDRESS(B23,5,1,1,"medidas Unfors"),1),INDIRECT(ADDRESS(B23,5,1,1,"medidas Fluke"),1)/1000),"")</f>
        <v/>
      </c>
      <c r="H23" s="538" t="str">
        <f ca="1">IFERROR(IF(Cabeçalho!$G$28="Unfors",(INDIRECT(ADDRESS(B23,3,1,1,"medidas Unfors"),1))/A23,(INDIRECT(ADDRESS(B23,4,1,1,"medidas Fluke"),1))/A23/1000),"")</f>
        <v/>
      </c>
      <c r="I23" s="783"/>
      <c r="J23" s="527" t="e">
        <f ca="1">IF(Cabeçalho!$G$28="Unfors",INDIRECT(ADDRESS(B23,3,1,1,"medidas Unfors"),1),INDIRECT(ADDRESS(B23,4,1,1,"medidas Fluke"),1)/1000)*($E$18/$D$12)^2</f>
        <v>#VALUE!</v>
      </c>
      <c r="K23" s="615" t="e">
        <f t="shared" ca="1" si="0"/>
        <v>#VALUE!</v>
      </c>
      <c r="L23" s="446"/>
      <c r="M23" s="446"/>
      <c r="N23" s="176"/>
      <c r="O23" s="176"/>
      <c r="P23" s="506" t="e">
        <f ca="1">IF(Cabeçalho!$G$28="Unfors",INDIRECT(ADDRESS(O23,7,1,1,"medidas Unfors"),1),INDIRECT(ADDRESS(O23,6,1,1,"medidas Fluke"),1)/1000)</f>
        <v>#VALUE!</v>
      </c>
      <c r="Q23" s="784" t="e">
        <f t="shared" ca="1" si="4"/>
        <v>#VALUE!</v>
      </c>
      <c r="R23" s="783" t="str">
        <f t="shared" ca="1" si="5"/>
        <v/>
      </c>
      <c r="S23" s="785" t="str">
        <f ca="1">IFERROR(IF(Cabeçalho!$G$28="Unfors",INDIRECT(ADDRESS(O23,1,1,1,"medidas Unfors"),1),INDIRECT(ADDRESS(O23,1,1,1,"medidas Fluke"),1)),"")</f>
        <v/>
      </c>
      <c r="T23" s="538" t="str">
        <f ca="1">IFERROR(IF(Cabeçalho!$G$28="Unfors",INDIRECT(ADDRESS(O23,5,1,1,"medidas Unfors"),1),INDIRECT(ADDRESS(O23,5,1,1,"medidas Fluke"),1)/1000),"")</f>
        <v/>
      </c>
      <c r="U23" s="538" t="str">
        <f ca="1">IFERROR(IF(Cabeçalho!$G$28="Unfors",(INDIRECT(ADDRESS(O23,3,1,1,"medidas Unfors"),1))/N23,(INDIRECT(ADDRESS(O23,4,1,1,"medidas Fluke"),1))/N23/1000),"")</f>
        <v/>
      </c>
      <c r="V23" s="783"/>
      <c r="W23" s="527" t="e">
        <f ca="1">IF(Cabeçalho!$G$28="Unfors",INDIRECT(ADDRESS(O23,3,1,1,"medidas Unfors"),1),INDIRECT(ADDRESS(O23,4,1,1,"medidas Fluke"),1)/1000)*($E$18/$D$12)^2</f>
        <v>#VALUE!</v>
      </c>
      <c r="X23" s="615" t="e">
        <f t="shared" ca="1" si="1"/>
        <v>#VALUE!</v>
      </c>
      <c r="Y23" s="446"/>
      <c r="Z23" s="446"/>
      <c r="AA23" s="446"/>
      <c r="AB23" s="446"/>
    </row>
    <row r="24" spans="1:28" s="433" customFormat="1" x14ac:dyDescent="0.25">
      <c r="A24" s="176"/>
      <c r="B24" s="176"/>
      <c r="C24" s="506" t="e">
        <f ca="1">IF(Cabeçalho!$G$28="Unfors",INDIRECT(ADDRESS(B24,7,1,1,"medidas Unfors"),1),INDIRECT(ADDRESS(B24,6,1,1,"medidas Fluke"),1)/1000)</f>
        <v>#VALUE!</v>
      </c>
      <c r="D24" s="784" t="e">
        <f t="shared" ca="1" si="2"/>
        <v>#VALUE!</v>
      </c>
      <c r="E24" s="783" t="str">
        <f t="shared" ca="1" si="3"/>
        <v/>
      </c>
      <c r="F24" s="785" t="str">
        <f ca="1">IFERROR(IF(Cabeçalho!$G$28="Unfors",INDIRECT(ADDRESS(B24,1,1,1,"medidas Unfors"),1),INDIRECT(ADDRESS(B24,1,1,1,"medidas Fluke"),1)),"")</f>
        <v/>
      </c>
      <c r="G24" s="538" t="str">
        <f ca="1">IFERROR(IF(Cabeçalho!$G$28="Unfors",INDIRECT(ADDRESS(B24,5,1,1,"medidas Unfors"),1),INDIRECT(ADDRESS(B24,5,1,1,"medidas Fluke"),1)/1000),"")</f>
        <v/>
      </c>
      <c r="H24" s="538" t="str">
        <f ca="1">IFERROR(IF(Cabeçalho!$G$28="Unfors",(INDIRECT(ADDRESS(B24,3,1,1,"medidas Unfors"),1))/A24,(INDIRECT(ADDRESS(B24,4,1,1,"medidas Fluke"),1))/A24/1000),"")</f>
        <v/>
      </c>
      <c r="I24" s="783"/>
      <c r="J24" s="527" t="e">
        <f ca="1">IF(Cabeçalho!$G$28="Unfors",INDIRECT(ADDRESS(B24,3,1,1,"medidas Unfors"),1),INDIRECT(ADDRESS(B24,4,1,1,"medidas Fluke"),1)/1000)*($E$18/$D$12)^2</f>
        <v>#VALUE!</v>
      </c>
      <c r="K24" s="615" t="e">
        <f t="shared" ca="1" si="0"/>
        <v>#VALUE!</v>
      </c>
      <c r="L24" s="446"/>
      <c r="M24" s="446"/>
      <c r="N24" s="176"/>
      <c r="O24" s="176"/>
      <c r="P24" s="506" t="e">
        <f ca="1">IF(Cabeçalho!$G$28="Unfors",INDIRECT(ADDRESS(O24,7,1,1,"medidas Unfors"),1),INDIRECT(ADDRESS(O24,6,1,1,"medidas Fluke"),1)/1000)</f>
        <v>#VALUE!</v>
      </c>
      <c r="Q24" s="784" t="e">
        <f t="shared" ca="1" si="4"/>
        <v>#VALUE!</v>
      </c>
      <c r="R24" s="783" t="str">
        <f t="shared" ca="1" si="5"/>
        <v/>
      </c>
      <c r="S24" s="785" t="str">
        <f ca="1">IFERROR(IF(Cabeçalho!$G$28="Unfors",INDIRECT(ADDRESS(O24,1,1,1,"medidas Unfors"),1),INDIRECT(ADDRESS(O24,1,1,1,"medidas Fluke"),1)),"")</f>
        <v/>
      </c>
      <c r="T24" s="538" t="str">
        <f ca="1">IFERROR(IF(Cabeçalho!$G$28="Unfors",INDIRECT(ADDRESS(O24,5,1,1,"medidas Unfors"),1),INDIRECT(ADDRESS(O24,5,1,1,"medidas Fluke"),1)/1000),"")</f>
        <v/>
      </c>
      <c r="U24" s="538" t="str">
        <f ca="1">IFERROR(IF(Cabeçalho!$G$28="Unfors",(INDIRECT(ADDRESS(O24,3,1,1,"medidas Unfors"),1))/N24,(INDIRECT(ADDRESS(O24,4,1,1,"medidas Fluke"),1))/N24/1000),"")</f>
        <v/>
      </c>
      <c r="V24" s="783"/>
      <c r="W24" s="527" t="e">
        <f ca="1">IF(Cabeçalho!$G$28="Unfors",INDIRECT(ADDRESS(O24,3,1,1,"medidas Unfors"),1),INDIRECT(ADDRESS(O24,4,1,1,"medidas Fluke"),1)/1000)*($E$18/$D$12)^2</f>
        <v>#VALUE!</v>
      </c>
      <c r="X24" s="615" t="e">
        <f t="shared" ca="1" si="1"/>
        <v>#VALUE!</v>
      </c>
      <c r="Y24" s="446"/>
      <c r="Z24" s="446"/>
      <c r="AA24" s="446"/>
      <c r="AB24" s="446"/>
    </row>
    <row r="25" spans="1:28" s="433" customFormat="1" x14ac:dyDescent="0.25">
      <c r="A25" s="176"/>
      <c r="B25" s="176"/>
      <c r="C25" s="506" t="e">
        <f ca="1">IF(Cabeçalho!$G$28="Unfors",INDIRECT(ADDRESS(B25,7,1,1,"medidas Unfors"),1),INDIRECT(ADDRESS(B25,6,1,1,"medidas Fluke"),1)/1000)</f>
        <v>#VALUE!</v>
      </c>
      <c r="D25" s="784" t="e">
        <f t="shared" ca="1" si="2"/>
        <v>#VALUE!</v>
      </c>
      <c r="E25" s="783" t="str">
        <f t="shared" ca="1" si="3"/>
        <v/>
      </c>
      <c r="F25" s="785" t="str">
        <f ca="1">IFERROR(IF(Cabeçalho!$G$28="Unfors",INDIRECT(ADDRESS(B25,1,1,1,"medidas Unfors"),1),INDIRECT(ADDRESS(B25,1,1,1,"medidas Fluke"),1)),"")</f>
        <v/>
      </c>
      <c r="G25" s="538" t="str">
        <f ca="1">IFERROR(IF(Cabeçalho!$G$28="Unfors",INDIRECT(ADDRESS(B25,5,1,1,"medidas Unfors"),1),INDIRECT(ADDRESS(B25,5,1,1,"medidas Fluke"),1)/1000),"")</f>
        <v/>
      </c>
      <c r="H25" s="538" t="str">
        <f ca="1">IFERROR(IF(Cabeçalho!$G$28="Unfors",(INDIRECT(ADDRESS(B25,3,1,1,"medidas Unfors"),1))/A25,(INDIRECT(ADDRESS(B25,4,1,1,"medidas Fluke"),1))/A25/1000),"")</f>
        <v/>
      </c>
      <c r="I25" s="783"/>
      <c r="J25" s="527" t="e">
        <f ca="1">IF(Cabeçalho!$G$28="Unfors",INDIRECT(ADDRESS(B25,3,1,1,"medidas Unfors"),1),INDIRECT(ADDRESS(B25,4,1,1,"medidas Fluke"),1)/1000)*($E$18/$D$12)^2</f>
        <v>#VALUE!</v>
      </c>
      <c r="K25" s="615" t="e">
        <f t="shared" ca="1" si="0"/>
        <v>#VALUE!</v>
      </c>
      <c r="L25" s="446"/>
      <c r="M25" s="446"/>
      <c r="N25" s="176"/>
      <c r="O25" s="176"/>
      <c r="P25" s="506" t="e">
        <f ca="1">IF(Cabeçalho!$G$28="Unfors",INDIRECT(ADDRESS(O25,7,1,1,"medidas Unfors"),1),INDIRECT(ADDRESS(O25,6,1,1,"medidas Fluke"),1)/1000)</f>
        <v>#VALUE!</v>
      </c>
      <c r="Q25" s="784" t="e">
        <f t="shared" ca="1" si="4"/>
        <v>#VALUE!</v>
      </c>
      <c r="R25" s="783" t="str">
        <f t="shared" ca="1" si="5"/>
        <v/>
      </c>
      <c r="S25" s="785" t="str">
        <f ca="1">IFERROR(IF(Cabeçalho!$G$28="Unfors",INDIRECT(ADDRESS(O25,1,1,1,"medidas Unfors"),1),INDIRECT(ADDRESS(O25,1,1,1,"medidas Fluke"),1)),"")</f>
        <v/>
      </c>
      <c r="T25" s="538" t="str">
        <f ca="1">IFERROR(IF(Cabeçalho!$G$28="Unfors",INDIRECT(ADDRESS(O25,5,1,1,"medidas Unfors"),1),INDIRECT(ADDRESS(O25,5,1,1,"medidas Fluke"),1)/1000),"")</f>
        <v/>
      </c>
      <c r="U25" s="538" t="str">
        <f ca="1">IFERROR(IF(Cabeçalho!$G$28="Unfors",(INDIRECT(ADDRESS(O25,3,1,1,"medidas Unfors"),1))/N25,(INDIRECT(ADDRESS(O25,4,1,1,"medidas Fluke"),1))/N25/1000),"")</f>
        <v/>
      </c>
      <c r="V25" s="783"/>
      <c r="W25" s="527" t="e">
        <f ca="1">IF(Cabeçalho!$G$28="Unfors",INDIRECT(ADDRESS(O25,3,1,1,"medidas Unfors"),1),INDIRECT(ADDRESS(O25,4,1,1,"medidas Fluke"),1)/1000)*($E$18/$D$12)^2</f>
        <v>#VALUE!</v>
      </c>
      <c r="X25" s="615" t="e">
        <f t="shared" ca="1" si="1"/>
        <v>#VALUE!</v>
      </c>
      <c r="Y25" s="446"/>
      <c r="Z25" s="446"/>
      <c r="AA25" s="446"/>
      <c r="AB25" s="446"/>
    </row>
    <row r="26" spans="1:28" s="433" customFormat="1" x14ac:dyDescent="0.25">
      <c r="A26" s="176"/>
      <c r="B26" s="176"/>
      <c r="C26" s="506" t="e">
        <f ca="1">IF(Cabeçalho!$G$28="Unfors",INDIRECT(ADDRESS(B26,7,1,1,"medidas Unfors"),1),INDIRECT(ADDRESS(B26,6,1,1,"medidas Fluke"),1)/1000)</f>
        <v>#VALUE!</v>
      </c>
      <c r="D26" s="784" t="e">
        <f t="shared" ca="1" si="2"/>
        <v>#VALUE!</v>
      </c>
      <c r="E26" s="783" t="str">
        <f t="shared" ca="1" si="3"/>
        <v/>
      </c>
      <c r="F26" s="785" t="str">
        <f ca="1">IFERROR(IF(Cabeçalho!$G$28="Unfors",INDIRECT(ADDRESS(B26,1,1,1,"medidas Unfors"),1),INDIRECT(ADDRESS(B26,1,1,1,"medidas Fluke"),1)),"")</f>
        <v/>
      </c>
      <c r="G26" s="538" t="str">
        <f ca="1">IFERROR(IF(Cabeçalho!$G$28="Unfors",INDIRECT(ADDRESS(B26,5,1,1,"medidas Unfors"),1),INDIRECT(ADDRESS(B26,5,1,1,"medidas Fluke"),1)/1000),"")</f>
        <v/>
      </c>
      <c r="H26" s="538" t="str">
        <f ca="1">IFERROR(IF(Cabeçalho!$G$28="Unfors",(INDIRECT(ADDRESS(B26,3,1,1,"medidas Unfors"),1))/A26,(INDIRECT(ADDRESS(B26,4,1,1,"medidas Fluke"),1))/A26/1000),"")</f>
        <v/>
      </c>
      <c r="I26" s="783"/>
      <c r="J26" s="527" t="e">
        <f ca="1">IF(Cabeçalho!$G$28="Unfors",INDIRECT(ADDRESS(B26,3,1,1,"medidas Unfors"),1),INDIRECT(ADDRESS(B26,4,1,1,"medidas Fluke"),1)/1000)*($E$18/$D$12)^2</f>
        <v>#VALUE!</v>
      </c>
      <c r="K26" s="615" t="e">
        <f t="shared" ca="1" si="0"/>
        <v>#VALUE!</v>
      </c>
      <c r="L26" s="446"/>
      <c r="M26" s="446"/>
      <c r="N26" s="176"/>
      <c r="O26" s="176"/>
      <c r="P26" s="506" t="e">
        <f ca="1">IF(Cabeçalho!$G$28="Unfors",INDIRECT(ADDRESS(O26,7,1,1,"medidas Unfors"),1),INDIRECT(ADDRESS(O26,6,1,1,"medidas Fluke"),1)/1000)</f>
        <v>#VALUE!</v>
      </c>
      <c r="Q26" s="784" t="e">
        <f t="shared" ca="1" si="4"/>
        <v>#VALUE!</v>
      </c>
      <c r="R26" s="783" t="str">
        <f t="shared" ca="1" si="5"/>
        <v/>
      </c>
      <c r="S26" s="785" t="str">
        <f ca="1">IFERROR(IF(Cabeçalho!$G$28="Unfors",INDIRECT(ADDRESS(O26,1,1,1,"medidas Unfors"),1),INDIRECT(ADDRESS(O26,1,1,1,"medidas Fluke"),1)),"")</f>
        <v/>
      </c>
      <c r="T26" s="538" t="str">
        <f ca="1">IFERROR(IF(Cabeçalho!$G$28="Unfors",INDIRECT(ADDRESS(O26,5,1,1,"medidas Unfors"),1),INDIRECT(ADDRESS(O26,5,1,1,"medidas Fluke"),1)/1000),"")</f>
        <v/>
      </c>
      <c r="U26" s="538" t="str">
        <f ca="1">IFERROR(IF(Cabeçalho!$G$28="Unfors",(INDIRECT(ADDRESS(O26,3,1,1,"medidas Unfors"),1))/N26,(INDIRECT(ADDRESS(O26,4,1,1,"medidas Fluke"),1))/N26/1000),"")</f>
        <v/>
      </c>
      <c r="V26" s="783"/>
      <c r="W26" s="527" t="e">
        <f ca="1">IF(Cabeçalho!$G$28="Unfors",INDIRECT(ADDRESS(O26,3,1,1,"medidas Unfors"),1),INDIRECT(ADDRESS(O26,4,1,1,"medidas Fluke"),1)/1000)*($E$18/$D$12)^2</f>
        <v>#VALUE!</v>
      </c>
      <c r="X26" s="615" t="e">
        <f t="shared" ca="1" si="1"/>
        <v>#VALUE!</v>
      </c>
      <c r="Y26" s="446"/>
      <c r="Z26" s="446"/>
      <c r="AA26" s="446"/>
      <c r="AB26" s="446"/>
    </row>
    <row r="27" spans="1:28" s="433" customFormat="1" x14ac:dyDescent="0.25">
      <c r="A27" s="176"/>
      <c r="B27" s="176"/>
      <c r="C27" s="506" t="e">
        <f ca="1">IF(Cabeçalho!$G$28="Unfors",INDIRECT(ADDRESS(B27,7,1,1,"medidas Unfors"),1),INDIRECT(ADDRESS(B27,6,1,1,"medidas Fluke"),1)/1000)</f>
        <v>#VALUE!</v>
      </c>
      <c r="D27" s="784" t="e">
        <f t="shared" ca="1" si="2"/>
        <v>#VALUE!</v>
      </c>
      <c r="E27" s="783" t="str">
        <f t="shared" ca="1" si="3"/>
        <v/>
      </c>
      <c r="F27" s="785" t="str">
        <f ca="1">IFERROR(IF(Cabeçalho!$G$28="Unfors",INDIRECT(ADDRESS(B27,1,1,1,"medidas Unfors"),1),INDIRECT(ADDRESS(B27,1,1,1,"medidas Fluke"),1)),"")</f>
        <v/>
      </c>
      <c r="G27" s="538" t="str">
        <f ca="1">IFERROR(IF(Cabeçalho!$G$28="Unfors",INDIRECT(ADDRESS(B27,5,1,1,"medidas Unfors"),1),INDIRECT(ADDRESS(B27,5,1,1,"medidas Fluke"),1)/1000),"")</f>
        <v/>
      </c>
      <c r="H27" s="538" t="str">
        <f ca="1">IFERROR(IF(Cabeçalho!$G$28="Unfors",(INDIRECT(ADDRESS(B27,3,1,1,"medidas Unfors"),1))/A27,(INDIRECT(ADDRESS(B27,4,1,1,"medidas Fluke"),1))/A27/1000),"")</f>
        <v/>
      </c>
      <c r="I27" s="783"/>
      <c r="J27" s="527" t="e">
        <f ca="1">IF(Cabeçalho!$G$28="Unfors",INDIRECT(ADDRESS(B27,3,1,1,"medidas Unfors"),1),INDIRECT(ADDRESS(B27,4,1,1,"medidas Fluke"),1)/1000)*($E$18/$D$12)^2</f>
        <v>#VALUE!</v>
      </c>
      <c r="K27" s="615" t="e">
        <f t="shared" ca="1" si="0"/>
        <v>#VALUE!</v>
      </c>
      <c r="L27" s="446"/>
      <c r="M27" s="446"/>
      <c r="N27" s="176"/>
      <c r="O27" s="176"/>
      <c r="P27" s="506" t="e">
        <f ca="1">IF(Cabeçalho!$G$28="Unfors",INDIRECT(ADDRESS(O27,7,1,1,"medidas Unfors"),1),INDIRECT(ADDRESS(O27,6,1,1,"medidas Fluke"),1)/1000)</f>
        <v>#VALUE!</v>
      </c>
      <c r="Q27" s="784" t="e">
        <f t="shared" ca="1" si="4"/>
        <v>#VALUE!</v>
      </c>
      <c r="R27" s="783" t="str">
        <f t="shared" ca="1" si="5"/>
        <v/>
      </c>
      <c r="S27" s="785" t="str">
        <f ca="1">IFERROR(IF(Cabeçalho!$G$28="Unfors",INDIRECT(ADDRESS(O27,1,1,1,"medidas Unfors"),1),INDIRECT(ADDRESS(O27,1,1,1,"medidas Fluke"),1)),"")</f>
        <v/>
      </c>
      <c r="T27" s="538" t="str">
        <f ca="1">IFERROR(IF(Cabeçalho!$G$28="Unfors",INDIRECT(ADDRESS(O27,5,1,1,"medidas Unfors"),1),INDIRECT(ADDRESS(O27,5,1,1,"medidas Fluke"),1)/1000),"")</f>
        <v/>
      </c>
      <c r="U27" s="538" t="str">
        <f ca="1">IFERROR(IF(Cabeçalho!$G$28="Unfors",(INDIRECT(ADDRESS(O27,3,1,1,"medidas Unfors"),1))/N27,(INDIRECT(ADDRESS(O27,4,1,1,"medidas Fluke"),1))/N27/1000),"")</f>
        <v/>
      </c>
      <c r="V27" s="783"/>
      <c r="W27" s="527" t="e">
        <f ca="1">IF(Cabeçalho!$G$28="Unfors",INDIRECT(ADDRESS(O27,3,1,1,"medidas Unfors"),1),INDIRECT(ADDRESS(O27,4,1,1,"medidas Fluke"),1)/1000)*($E$18/$D$12)^2</f>
        <v>#VALUE!</v>
      </c>
      <c r="X27" s="615" t="e">
        <f t="shared" ca="1" si="1"/>
        <v>#VALUE!</v>
      </c>
      <c r="Y27" s="446"/>
      <c r="Z27" s="446"/>
      <c r="AA27" s="446"/>
      <c r="AB27" s="446"/>
    </row>
    <row r="28" spans="1:28" s="433" customFormat="1" x14ac:dyDescent="0.25">
      <c r="A28" s="510"/>
      <c r="B28" s="510"/>
      <c r="C28" s="511"/>
      <c r="D28" s="512"/>
      <c r="E28" s="446"/>
      <c r="F28" s="323" t="e">
        <f ca="1">ROUND((LARGE(F22:F27,1)-SMALL(F22:F27,1))/AVERAGE(F22:F27)*100,1)</f>
        <v>#NUM!</v>
      </c>
      <c r="G28" s="323" t="e">
        <f ca="1">ROUND((LARGE(G22:G27,1)-SMALL(G22:G27,1))/AVERAGE(G22:G27)*100,1)</f>
        <v>#NUM!</v>
      </c>
      <c r="H28" s="323" t="e">
        <f ca="1">ROUND((LARGE(H22:H27,1)-SMALL(H22:H27,1))/AVERAGE(H22:H27)*100,1)</f>
        <v>#NUM!</v>
      </c>
      <c r="I28" s="446"/>
      <c r="J28" s="446"/>
      <c r="K28" s="446"/>
      <c r="L28" s="446"/>
      <c r="M28" s="446"/>
      <c r="N28" s="510"/>
      <c r="O28" s="510"/>
      <c r="P28" s="511"/>
      <c r="Q28" s="512"/>
      <c r="R28" s="446"/>
      <c r="S28" s="323" t="e">
        <f ca="1">ROUND((LARGE(S22:S27,1)-SMALL(S22:S27,1))/AVERAGE(S22:S27)*100,1)</f>
        <v>#NUM!</v>
      </c>
      <c r="T28" s="323" t="e">
        <f ca="1">ROUND((LARGE(T22:T27,1)-SMALL(T22:T27,1))/AVERAGE(T22:T27)*100,1)</f>
        <v>#NUM!</v>
      </c>
      <c r="U28" s="779"/>
      <c r="V28" s="446"/>
      <c r="W28" s="446"/>
      <c r="X28" s="446"/>
      <c r="Y28" s="446"/>
      <c r="Z28" s="446"/>
      <c r="AA28" s="446"/>
      <c r="AB28" s="446"/>
    </row>
    <row r="29" spans="1:28" s="433" customFormat="1" x14ac:dyDescent="0.25">
      <c r="A29" s="767"/>
      <c r="B29" s="767"/>
      <c r="C29" s="514"/>
      <c r="D29" s="512"/>
      <c r="E29" s="2451" t="s">
        <v>561</v>
      </c>
      <c r="F29" s="2451"/>
      <c r="G29" s="517" t="e">
        <f ca="1">ROUND((LARGE(H22:H27,1)-SMALL(H22:H27,1))/AVERAGE(H22:H27)*100,1)</f>
        <v>#NUM!</v>
      </c>
      <c r="H29" s="768" t="s">
        <v>10</v>
      </c>
      <c r="I29" s="564" t="str">
        <f ca="1">IFERROR(IF(G29&gt;40,"Restrição",IF(G29&gt;20,"Não","Sim")),"")</f>
        <v/>
      </c>
      <c r="J29" s="446"/>
      <c r="K29" s="780" t="s">
        <v>664</v>
      </c>
      <c r="L29" s="510" t="e">
        <f ca="1">IF(OR(COUNTIF(E21:E27,"Ruim")&gt;0,D41/100&gt;$O$30),"Ruim","Ok")</f>
        <v>#NUM!</v>
      </c>
      <c r="M29" s="446"/>
      <c r="N29" s="767"/>
      <c r="O29" s="767"/>
      <c r="P29" s="514"/>
      <c r="Q29" s="512"/>
      <c r="R29" s="2451" t="s">
        <v>561</v>
      </c>
      <c r="S29" s="2451"/>
      <c r="T29" s="517" t="e">
        <f ca="1">(LARGE(U22:U27,1)-SMALL(U22:U27,1))/AVERAGE(U22:U27)*100</f>
        <v>#NUM!</v>
      </c>
      <c r="U29" s="768" t="s">
        <v>10</v>
      </c>
      <c r="V29" s="564" t="str">
        <f ca="1">IFERROR(IF(T29&gt;40,"Restrição",IF(T29&gt;20,"Não","Sim")),"")</f>
        <v/>
      </c>
      <c r="W29" s="446"/>
      <c r="X29" s="780" t="s">
        <v>664</v>
      </c>
      <c r="Y29" s="510" t="str">
        <f ca="1">IFERROR(IF(OR(COUNTIF(R21:R27,"Ruim")&gt;0,J41/100&gt;$O$30),"Ruim","Ok"),"")</f>
        <v/>
      </c>
      <c r="Z29" s="446"/>
      <c r="AA29" s="446"/>
      <c r="AB29" s="446"/>
    </row>
    <row r="30" spans="1:28" s="433" customFormat="1" x14ac:dyDescent="0.25">
      <c r="A30" s="446"/>
      <c r="B30" s="446"/>
      <c r="C30" s="446"/>
      <c r="D30" s="446"/>
      <c r="E30" s="446"/>
      <c r="F30" s="446"/>
      <c r="G30" s="446"/>
      <c r="H30" s="446"/>
      <c r="I30" s="446"/>
      <c r="J30" s="446"/>
      <c r="K30" s="780" t="s">
        <v>665</v>
      </c>
      <c r="L30" s="510" t="e">
        <f ca="1">IF(F28/100&gt;$O$30,"Ruim","Ok")</f>
        <v>#NUM!</v>
      </c>
      <c r="M30" s="781"/>
      <c r="N30" s="780" t="s">
        <v>662</v>
      </c>
      <c r="O30" s="782">
        <v>0.2</v>
      </c>
      <c r="P30" s="446"/>
      <c r="Q30" s="446"/>
      <c r="R30" s="446"/>
      <c r="S30" s="446"/>
      <c r="T30" s="446"/>
      <c r="U30" s="446"/>
      <c r="V30" s="446"/>
      <c r="W30" s="446"/>
      <c r="X30" s="780" t="s">
        <v>665</v>
      </c>
      <c r="Y30" s="510" t="str">
        <f ca="1">IFERROR(IF(S28/100&gt;$O$30,"Ruim","Ok"),"")</f>
        <v/>
      </c>
      <c r="Z30" s="446"/>
      <c r="AA30" s="446"/>
      <c r="AB30" s="446"/>
    </row>
    <row r="31" spans="1:28" s="433" customFormat="1" x14ac:dyDescent="0.25">
      <c r="A31" s="510"/>
      <c r="B31" s="510"/>
      <c r="C31" s="510"/>
      <c r="D31" s="510"/>
      <c r="E31" s="510"/>
      <c r="F31" s="510"/>
      <c r="G31" s="510"/>
      <c r="H31" s="446"/>
      <c r="I31" s="446"/>
      <c r="J31" s="446"/>
      <c r="K31" s="780" t="s">
        <v>666</v>
      </c>
      <c r="L31" s="510" t="e">
        <f ca="1">IF(H28/100&gt;$O$30,"Ruim","Ok")</f>
        <v>#NUM!</v>
      </c>
      <c r="M31" s="781"/>
      <c r="N31" s="446"/>
      <c r="O31" s="446"/>
      <c r="P31" s="446"/>
      <c r="Q31" s="446"/>
      <c r="R31" s="446"/>
      <c r="S31" s="446"/>
      <c r="T31" s="446"/>
      <c r="U31" s="446"/>
      <c r="V31" s="446"/>
      <c r="W31" s="446"/>
      <c r="X31" s="780" t="s">
        <v>666</v>
      </c>
      <c r="Y31" s="510" t="str">
        <f ca="1">IFERROR(IF(T28/100&gt;$O$30,"Ruim","Ok"),"")</f>
        <v/>
      </c>
      <c r="Z31" s="446"/>
      <c r="AA31" s="446"/>
      <c r="AB31" s="446"/>
    </row>
    <row r="32" spans="1:28" ht="15.75" thickBot="1" x14ac:dyDescent="0.3">
      <c r="A32" s="307"/>
      <c r="B32" s="307"/>
      <c r="C32" s="307"/>
      <c r="D32" s="307"/>
      <c r="E32" s="307"/>
      <c r="F32" s="307"/>
      <c r="G32" s="307"/>
      <c r="H32" s="305"/>
      <c r="I32" s="305"/>
      <c r="J32" s="305"/>
      <c r="K32" s="305"/>
      <c r="L32" s="305"/>
      <c r="M32" s="305"/>
      <c r="N32" s="305"/>
      <c r="O32" s="305"/>
      <c r="P32" s="305"/>
      <c r="Q32" s="305"/>
      <c r="R32" s="305"/>
      <c r="S32" s="305"/>
      <c r="T32" s="305"/>
      <c r="U32" s="305"/>
      <c r="V32" s="305"/>
      <c r="W32" s="305"/>
      <c r="X32" s="305"/>
      <c r="Y32" s="305"/>
      <c r="Z32" s="305"/>
      <c r="AA32" s="305"/>
      <c r="AB32" s="305"/>
    </row>
    <row r="33" spans="1:28" ht="15.75" thickBot="1" x14ac:dyDescent="0.3">
      <c r="A33" s="2420" t="s">
        <v>1119</v>
      </c>
      <c r="B33" s="2421"/>
      <c r="C33" s="2421"/>
      <c r="D33" s="2421"/>
      <c r="E33" s="2421"/>
      <c r="F33" s="2421"/>
      <c r="G33" s="2421"/>
      <c r="H33" s="2421"/>
      <c r="I33" s="2421"/>
      <c r="J33" s="2421"/>
      <c r="K33" s="2421"/>
      <c r="L33" s="2422"/>
      <c r="M33" s="305"/>
      <c r="N33" s="305"/>
      <c r="O33" s="305"/>
      <c r="P33" s="305"/>
      <c r="Q33" s="305"/>
      <c r="R33" s="305"/>
      <c r="S33" s="305"/>
      <c r="T33" s="305"/>
      <c r="U33" s="305"/>
      <c r="V33" s="305"/>
      <c r="W33" s="305"/>
      <c r="X33" s="305"/>
      <c r="Y33" s="305"/>
      <c r="Z33" s="305"/>
      <c r="AA33" s="305"/>
      <c r="AB33" s="305"/>
    </row>
    <row r="34" spans="1:28" x14ac:dyDescent="0.25">
      <c r="A34" s="498" t="s">
        <v>7</v>
      </c>
      <c r="B34" s="291">
        <f>E19</f>
        <v>0</v>
      </c>
      <c r="C34" s="291" t="s">
        <v>0</v>
      </c>
      <c r="D34" s="307"/>
      <c r="E34" s="307"/>
      <c r="F34" s="307"/>
      <c r="G34" s="498" t="s">
        <v>562</v>
      </c>
      <c r="H34" s="291">
        <f>R19</f>
        <v>0</v>
      </c>
      <c r="I34" s="307" t="s">
        <v>0</v>
      </c>
      <c r="J34" s="307"/>
      <c r="K34" s="307"/>
      <c r="M34" s="307" t="s">
        <v>0</v>
      </c>
      <c r="N34" s="307" t="s">
        <v>15</v>
      </c>
      <c r="O34" s="305"/>
      <c r="P34" s="305"/>
      <c r="Q34" s="305"/>
      <c r="R34" s="305"/>
      <c r="S34" s="305"/>
      <c r="T34" s="305"/>
      <c r="U34" s="305"/>
      <c r="V34" s="305"/>
      <c r="W34" s="305"/>
      <c r="X34" s="305"/>
      <c r="Y34" s="305"/>
      <c r="Z34" s="305"/>
      <c r="AA34" s="305"/>
      <c r="AB34" s="305"/>
    </row>
    <row r="35" spans="1:28" x14ac:dyDescent="0.25">
      <c r="A35" s="588" t="s">
        <v>5</v>
      </c>
      <c r="B35" s="575" t="s">
        <v>0</v>
      </c>
      <c r="C35" s="575" t="s">
        <v>2</v>
      </c>
      <c r="D35" s="575" t="s">
        <v>3</v>
      </c>
      <c r="E35" s="575" t="s">
        <v>15</v>
      </c>
      <c r="G35" s="588" t="s">
        <v>5</v>
      </c>
      <c r="H35" s="575" t="s">
        <v>0</v>
      </c>
      <c r="I35" s="575" t="s">
        <v>2</v>
      </c>
      <c r="J35" s="575" t="s">
        <v>3</v>
      </c>
      <c r="K35" s="575" t="s">
        <v>15</v>
      </c>
      <c r="M35" s="307">
        <v>60</v>
      </c>
      <c r="N35" s="307">
        <v>1.3</v>
      </c>
      <c r="O35" s="305"/>
      <c r="P35" s="305"/>
      <c r="Q35" s="305"/>
      <c r="R35" s="565"/>
      <c r="S35" s="565"/>
      <c r="T35" s="565"/>
      <c r="U35" s="565"/>
      <c r="V35" s="565"/>
      <c r="W35" s="565"/>
      <c r="X35" s="565"/>
      <c r="Y35" s="565"/>
      <c r="Z35" s="565"/>
      <c r="AA35" s="305"/>
      <c r="AB35" s="305"/>
    </row>
    <row r="36" spans="1:28" x14ac:dyDescent="0.25">
      <c r="A36" s="176"/>
      <c r="B36" s="527" t="str">
        <f ca="1">IFERROR(IF(Cabeçalho!$G$28="Unfors",INDIRECT(ADDRESS(A36,1,1,1,"medidas Unfors"),1),INDIRECT(ADDRESS(A36,1,1,1,"medidas Fluke"),1)),"")</f>
        <v/>
      </c>
      <c r="C36" s="506" t="str">
        <f ca="1">IFERROR(IF(Cabeçalho!$G$28="Unfors",INDIRECT(ADDRESS(A36,5,1,1,"medidas Unfors"),1),INDIRECT(ADDRESS(A36,5,1,1,"medidas Fluke"),1)/1000),"")</f>
        <v/>
      </c>
      <c r="D36" s="506" t="str">
        <f ca="1">IFERROR(IF(Cabeçalho!$G$28="Unfors",INDIRECT(ADDRESS(A36,7,1,1,"medidas Unfors"),1),INDIRECT(ADDRESS(A36,6,1,1,"medidas Fluke"),1)/1000),"")</f>
        <v/>
      </c>
      <c r="E36" s="528" t="str">
        <f ca="1">IFERROR(IF(Cabeçalho!$G$28="Unfors",INDIRECT(ADDRESS(A36,17,1,1,"medidas Unfors"),1),INDIRECT(ADDRESS(A36,8,1,1,"medidas Fluke"),1)),"")</f>
        <v/>
      </c>
      <c r="G36" s="176"/>
      <c r="H36" s="527" t="str">
        <f ca="1">IFERROR(IF(Cabeçalho!$G$28="Unfors",INDIRECT(ADDRESS(G36,1,1,1,"medidas Unfors"),1),INDIRECT(ADDRESS(G36,1,1,1,"medidas Fluke"),1)),"")</f>
        <v/>
      </c>
      <c r="I36" s="506" t="str">
        <f ca="1">IFERROR(IF(Cabeçalho!$G$28="Unfors",INDIRECT(ADDRESS(G36,5,1,1,"medidas Unfors"),1),INDIRECT(ADDRESS(G36,5,1,1,"medidas Fluke"),1)/1000),"")</f>
        <v/>
      </c>
      <c r="J36" s="506" t="str">
        <f ca="1">IFERROR(IF(Cabeçalho!$G$28="Unfors",INDIRECT(ADDRESS(G36,7,1,1,"medidas Unfors"),1),INDIRECT(ADDRESS(G36,6,1,1,"medidas Fluke"),1)/1000),"")</f>
        <v/>
      </c>
      <c r="K36" s="528" t="str">
        <f ca="1">IFERROR(IF(Cabeçalho!$G$28="Unfors",INDIRECT(ADDRESS(G36,17,1,1,"medidas Unfors"),1),INDIRECT(ADDRESS(G36,8,1,1,"medidas Fluke"),1)),"")</f>
        <v/>
      </c>
      <c r="M36" s="307">
        <v>70</v>
      </c>
      <c r="N36" s="307">
        <v>1.5</v>
      </c>
      <c r="O36" s="305"/>
      <c r="P36" s="305"/>
      <c r="Q36" s="305"/>
      <c r="R36" s="565"/>
      <c r="S36" s="565"/>
      <c r="T36" s="565"/>
      <c r="U36" s="565"/>
      <c r="V36" s="565"/>
      <c r="W36" s="565"/>
      <c r="X36" s="565"/>
      <c r="Y36" s="565"/>
      <c r="Z36" s="565"/>
      <c r="AA36" s="305"/>
      <c r="AB36" s="305"/>
    </row>
    <row r="37" spans="1:28" x14ac:dyDescent="0.25">
      <c r="A37" s="176"/>
      <c r="B37" s="527" t="str">
        <f ca="1">IFERROR(IF(Cabeçalho!$G$28="Unfors",INDIRECT(ADDRESS(A37,1,1,1,"medidas Unfors"),1),INDIRECT(ADDRESS(A37,1,1,1,"medidas Fluke"),1)),"")</f>
        <v/>
      </c>
      <c r="C37" s="506" t="str">
        <f ca="1">IFERROR(IF(Cabeçalho!$G$28="Unfors",INDIRECT(ADDRESS(A37,5,1,1,"medidas Unfors"),1),INDIRECT(ADDRESS(A37,5,1,1,"medidas Fluke"),1)/1000),"")</f>
        <v/>
      </c>
      <c r="D37" s="506" t="str">
        <f ca="1">IFERROR(IF(Cabeçalho!$G$28="Unfors",INDIRECT(ADDRESS(A37,7,1,1,"medidas Unfors"),1),INDIRECT(ADDRESS(A37,6,1,1,"medidas Fluke"),1)/1000),"")</f>
        <v/>
      </c>
      <c r="E37" s="528" t="str">
        <f ca="1">IFERROR(IF(Cabeçalho!$G$28="Unfors",INDIRECT(ADDRESS(A37,17,1,1,"medidas Unfors"),1),INDIRECT(ADDRESS(A37,8,1,1,"medidas Fluke"),1)),"")</f>
        <v/>
      </c>
      <c r="G37" s="176"/>
      <c r="H37" s="527" t="str">
        <f ca="1">IFERROR(IF(Cabeçalho!$G$28="Unfors",INDIRECT(ADDRESS(G37,1,1,1,"medidas Unfors"),1),INDIRECT(ADDRESS(G37,1,1,1,"medidas Fluke"),1)),"")</f>
        <v/>
      </c>
      <c r="I37" s="506" t="str">
        <f ca="1">IFERROR(IF(Cabeçalho!$G$28="Unfors",INDIRECT(ADDRESS(G37,5,1,1,"medidas Unfors"),1),INDIRECT(ADDRESS(G37,5,1,1,"medidas Fluke"),1)/1000),"")</f>
        <v/>
      </c>
      <c r="J37" s="506" t="str">
        <f ca="1">IFERROR(IF(Cabeçalho!$G$28="Unfors",INDIRECT(ADDRESS(G37,7,1,1,"medidas Unfors"),1),INDIRECT(ADDRESS(G37,6,1,1,"medidas Fluke"),1)/1000),"")</f>
        <v/>
      </c>
      <c r="K37" s="528" t="str">
        <f ca="1">IFERROR(IF(Cabeçalho!$G$28="Unfors",INDIRECT(ADDRESS(G37,17,1,1,"medidas Unfors"),1),INDIRECT(ADDRESS(G37,8,1,1,"medidas Fluke"),1)),"")</f>
        <v/>
      </c>
      <c r="M37" s="307">
        <v>71</v>
      </c>
      <c r="N37" s="307">
        <v>2.1</v>
      </c>
      <c r="O37" s="305"/>
      <c r="P37" s="305"/>
      <c r="Q37" s="305"/>
      <c r="R37" s="565"/>
      <c r="S37" s="565"/>
      <c r="T37" s="565"/>
      <c r="U37" s="565"/>
      <c r="V37" s="565"/>
      <c r="W37" s="565"/>
      <c r="X37" s="565"/>
      <c r="Y37" s="565"/>
      <c r="Z37" s="565"/>
      <c r="AA37" s="305"/>
      <c r="AB37" s="305"/>
    </row>
    <row r="38" spans="1:28" x14ac:dyDescent="0.25">
      <c r="A38" s="176"/>
      <c r="B38" s="527" t="str">
        <f ca="1">IFERROR(IF(Cabeçalho!$G$28="Unfors",INDIRECT(ADDRESS(A38,1,1,1,"medidas Unfors"),1),INDIRECT(ADDRESS(A38,1,1,1,"medidas Fluke"),1)),"")</f>
        <v/>
      </c>
      <c r="C38" s="506" t="str">
        <f ca="1">IFERROR(IF(Cabeçalho!$G$28="Unfors",INDIRECT(ADDRESS(A38,5,1,1,"medidas Unfors"),1),INDIRECT(ADDRESS(A38,5,1,1,"medidas Fluke"),1)/1000),"")</f>
        <v/>
      </c>
      <c r="D38" s="506" t="str">
        <f ca="1">IFERROR(IF(Cabeçalho!$G$28="Unfors",INDIRECT(ADDRESS(A38,7,1,1,"medidas Unfors"),1),INDIRECT(ADDRESS(A38,6,1,1,"medidas Fluke"),1)/1000),"")</f>
        <v/>
      </c>
      <c r="E38" s="528" t="str">
        <f ca="1">IFERROR(IF(Cabeçalho!$G$28="Unfors",INDIRECT(ADDRESS(A38,17,1,1,"medidas Unfors"),1),INDIRECT(ADDRESS(A38,8,1,1,"medidas Fluke"),1)),"")</f>
        <v/>
      </c>
      <c r="G38" s="176"/>
      <c r="H38" s="527" t="str">
        <f ca="1">IFERROR(IF(Cabeçalho!$G$28="Unfors",INDIRECT(ADDRESS(G38,1,1,1,"medidas Unfors"),1),INDIRECT(ADDRESS(G38,1,1,1,"medidas Fluke"),1)),"")</f>
        <v/>
      </c>
      <c r="I38" s="506" t="str">
        <f ca="1">IFERROR(IF(Cabeçalho!$G$28="Unfors",INDIRECT(ADDRESS(G38,5,1,1,"medidas Unfors"),1),INDIRECT(ADDRESS(G38,5,1,1,"medidas Fluke"),1)/1000),"")</f>
        <v/>
      </c>
      <c r="J38" s="506" t="str">
        <f ca="1">IFERROR(IF(Cabeçalho!$G$28="Unfors",INDIRECT(ADDRESS(G38,7,1,1,"medidas Unfors"),1),INDIRECT(ADDRESS(G38,6,1,1,"medidas Fluke"),1)/1000),"")</f>
        <v/>
      </c>
      <c r="K38" s="528" t="str">
        <f ca="1">IFERROR(IF(Cabeçalho!$G$28="Unfors",INDIRECT(ADDRESS(G38,17,1,1,"medidas Unfors"),1),INDIRECT(ADDRESS(G38,8,1,1,"medidas Fluke"),1)),"")</f>
        <v/>
      </c>
      <c r="M38" s="307">
        <v>80</v>
      </c>
      <c r="N38" s="307">
        <v>2.2999999999999998</v>
      </c>
      <c r="O38" s="305"/>
      <c r="P38" s="305"/>
      <c r="Q38" s="305"/>
      <c r="R38" s="565"/>
      <c r="S38" s="565"/>
      <c r="T38" s="565"/>
      <c r="U38" s="565"/>
      <c r="V38" s="565"/>
      <c r="W38" s="565"/>
      <c r="X38" s="565"/>
      <c r="Y38" s="565"/>
      <c r="Z38" s="565"/>
      <c r="AA38" s="305"/>
      <c r="AB38" s="305"/>
    </row>
    <row r="39" spans="1:28" x14ac:dyDescent="0.25">
      <c r="A39" s="176"/>
      <c r="B39" s="527" t="str">
        <f ca="1">IFERROR(IF(Cabeçalho!$G$28="Unfors",INDIRECT(ADDRESS(A39,1,1,1,"medidas Unfors"),1),INDIRECT(ADDRESS(A39,1,1,1,"medidas Fluke"),1)),"")</f>
        <v/>
      </c>
      <c r="C39" s="506" t="str">
        <f ca="1">IFERROR(IF(Cabeçalho!$G$28="Unfors",INDIRECT(ADDRESS(A39,5,1,1,"medidas Unfors"),1),INDIRECT(ADDRESS(A39,5,1,1,"medidas Fluke"),1)/1000),"")</f>
        <v/>
      </c>
      <c r="D39" s="506" t="str">
        <f ca="1">IFERROR(IF(Cabeçalho!$G$28="Unfors",INDIRECT(ADDRESS(A39,7,1,1,"medidas Unfors"),1),INDIRECT(ADDRESS(A39,6,1,1,"medidas Fluke"),1)/1000),"")</f>
        <v/>
      </c>
      <c r="E39" s="528" t="str">
        <f ca="1">IFERROR(IF(Cabeçalho!$G$28="Unfors",INDIRECT(ADDRESS(A39,17,1,1,"medidas Unfors"),1),INDIRECT(ADDRESS(A39,8,1,1,"medidas Fluke"),1)),"")</f>
        <v/>
      </c>
      <c r="G39" s="176"/>
      <c r="H39" s="527" t="str">
        <f ca="1">IFERROR(IF(Cabeçalho!$G$28="Unfors",INDIRECT(ADDRESS(G39,1,1,1,"medidas Unfors"),1),INDIRECT(ADDRESS(G39,1,1,1,"medidas Fluke"),1)),"")</f>
        <v/>
      </c>
      <c r="I39" s="506" t="str">
        <f ca="1">IFERROR(IF(Cabeçalho!$G$28="Unfors",INDIRECT(ADDRESS(G39,5,1,1,"medidas Unfors"),1),INDIRECT(ADDRESS(G39,5,1,1,"medidas Fluke"),1)/1000),"")</f>
        <v/>
      </c>
      <c r="J39" s="506" t="str">
        <f ca="1">IFERROR(IF(Cabeçalho!$G$28="Unfors",INDIRECT(ADDRESS(G39,7,1,1,"medidas Unfors"),1),INDIRECT(ADDRESS(G39,6,1,1,"medidas Fluke"),1)/1000),"")</f>
        <v/>
      </c>
      <c r="K39" s="528" t="str">
        <f ca="1">IFERROR(IF(Cabeçalho!$G$28="Unfors",INDIRECT(ADDRESS(G39,17,1,1,"medidas Unfors"),1),INDIRECT(ADDRESS(G39,8,1,1,"medidas Fluke"),1)),"")</f>
        <v/>
      </c>
      <c r="M39" s="307">
        <v>90</v>
      </c>
      <c r="N39" s="307">
        <v>2.5</v>
      </c>
      <c r="O39" s="305"/>
      <c r="P39" s="305"/>
      <c r="Q39" s="305"/>
      <c r="R39" s="565"/>
      <c r="S39" s="565"/>
      <c r="T39" s="565"/>
      <c r="U39" s="565"/>
      <c r="V39" s="565"/>
      <c r="W39" s="565"/>
      <c r="X39" s="565"/>
      <c r="Y39" s="565"/>
      <c r="Z39" s="565"/>
      <c r="AA39" s="305"/>
      <c r="AB39" s="305"/>
    </row>
    <row r="40" spans="1:28" x14ac:dyDescent="0.25">
      <c r="A40" s="176"/>
      <c r="B40" s="527" t="str">
        <f ca="1">IFERROR(IF(Cabeçalho!$G$28="Unfors",INDIRECT(ADDRESS(A40,1,1,1,"medidas Unfors"),1),INDIRECT(ADDRESS(A40,1,1,1,"medidas Fluke"),1)),"")</f>
        <v/>
      </c>
      <c r="C40" s="506" t="str">
        <f ca="1">IFERROR(IF(Cabeçalho!$G$28="Unfors",INDIRECT(ADDRESS(A40,5,1,1,"medidas Unfors"),1),INDIRECT(ADDRESS(A40,5,1,1,"medidas Fluke"),1)/1000),"")</f>
        <v/>
      </c>
      <c r="D40" s="506" t="str">
        <f ca="1">IFERROR(IF(Cabeçalho!$G$28="Unfors",INDIRECT(ADDRESS(A40,7,1,1,"medidas Unfors"),1),INDIRECT(ADDRESS(A40,6,1,1,"medidas Fluke"),1)/1000),"")</f>
        <v/>
      </c>
      <c r="E40" s="528" t="str">
        <f ca="1">IFERROR(IF(Cabeçalho!$G$28="Unfors",INDIRECT(ADDRESS(A40,17,1,1,"medidas Unfors"),1),INDIRECT(ADDRESS(A40,8,1,1,"medidas Fluke"),1)),"")</f>
        <v/>
      </c>
      <c r="G40" s="176"/>
      <c r="H40" s="527" t="str">
        <f ca="1">IFERROR(IF(Cabeçalho!$G$28="Unfors",INDIRECT(ADDRESS(G40,1,1,1,"medidas Unfors"),1),INDIRECT(ADDRESS(G40,1,1,1,"medidas Fluke"),1)),"")</f>
        <v/>
      </c>
      <c r="I40" s="506" t="str">
        <f ca="1">IFERROR(IF(Cabeçalho!$G$28="Unfors",INDIRECT(ADDRESS(G40,5,1,1,"medidas Unfors"),1),INDIRECT(ADDRESS(G40,5,1,1,"medidas Fluke"),1)/1000),"")</f>
        <v/>
      </c>
      <c r="J40" s="506" t="str">
        <f ca="1">IFERROR(IF(Cabeçalho!$G$28="Unfors",INDIRECT(ADDRESS(G40,7,1,1,"medidas Unfors"),1),INDIRECT(ADDRESS(G40,6,1,1,"medidas Fluke"),1)/1000),"")</f>
        <v/>
      </c>
      <c r="K40" s="528" t="str">
        <f ca="1">IFERROR(IF(Cabeçalho!$G$28="Unfors",INDIRECT(ADDRESS(G40,17,1,1,"medidas Unfors"),1),INDIRECT(ADDRESS(G40,8,1,1,"medidas Fluke"),1)),"")</f>
        <v/>
      </c>
      <c r="M40" s="305"/>
      <c r="N40" s="305"/>
      <c r="O40" s="305"/>
      <c r="P40" s="305"/>
      <c r="Q40" s="305"/>
      <c r="R40" s="565"/>
      <c r="S40" s="565"/>
      <c r="T40" s="565"/>
      <c r="U40" s="565"/>
      <c r="V40" s="565"/>
      <c r="W40" s="565"/>
      <c r="X40" s="565"/>
      <c r="Y40" s="565"/>
      <c r="Z40" s="565"/>
      <c r="AA40" s="305"/>
      <c r="AB40" s="305"/>
    </row>
    <row r="41" spans="1:28" x14ac:dyDescent="0.25">
      <c r="A41" s="699" t="s">
        <v>6</v>
      </c>
      <c r="B41" s="336" t="e">
        <f ca="1">ROUND((LARGE(B36:B40,1)-SMALL(B36:B40,1))/AVERAGE(B36:B40)*100,1)</f>
        <v>#NUM!</v>
      </c>
      <c r="C41" s="336" t="e">
        <f ca="1">ROUND((LARGE(C36:C40,1)-SMALL(C36:C40,1))/AVERAGE(C36:C40)*100,1)</f>
        <v>#NUM!</v>
      </c>
      <c r="D41" s="336" t="e">
        <f ca="1">ROUND((LARGE(D36:D40,1)-SMALL(D36:D40,1))/AVERAGE(D36:D40)*100,1)</f>
        <v>#NUM!</v>
      </c>
      <c r="E41" s="786" t="s">
        <v>10</v>
      </c>
      <c r="F41" s="307"/>
      <c r="G41" s="699" t="s">
        <v>6</v>
      </c>
      <c r="H41" s="336" t="e">
        <f ca="1">(LARGE(H36:H40,1)-SMALL(H36:H40,1))/AVERAGE(H36:H40)*100</f>
        <v>#NUM!</v>
      </c>
      <c r="I41" s="336" t="e">
        <f ca="1">(LARGE(I36:I40,1)-SMALL(I36:I40,1))/AVERAGE(I36:I40)*100</f>
        <v>#NUM!</v>
      </c>
      <c r="J41" s="336" t="e">
        <f ca="1">(LARGE(J36:J40,1)-SMALL(J36:J40,1))/AVERAGE(J36:J40)*100</f>
        <v>#NUM!</v>
      </c>
      <c r="K41" s="786" t="s">
        <v>10</v>
      </c>
      <c r="M41" s="305"/>
      <c r="N41" s="305"/>
      <c r="O41" s="305"/>
      <c r="P41" s="305"/>
      <c r="Q41" s="305"/>
      <c r="R41" s="565"/>
      <c r="S41" s="565"/>
      <c r="T41" s="565"/>
      <c r="U41" s="565"/>
      <c r="V41" s="565"/>
      <c r="W41" s="565"/>
      <c r="X41" s="565"/>
      <c r="Y41" s="565"/>
      <c r="Z41" s="565"/>
      <c r="AA41" s="305"/>
      <c r="AB41" s="305"/>
    </row>
    <row r="42" spans="1:28" x14ac:dyDescent="0.25">
      <c r="A42" s="566" t="s">
        <v>563</v>
      </c>
      <c r="B42" s="460" t="e">
        <f ca="1">ROUND(IFERROR(AVERAGE(B36:B40),AVERAGE(F21:F27)),1)</f>
        <v>#DIV/0!</v>
      </c>
      <c r="C42" s="320" t="e">
        <f ca="1">AVERAGE(C36:C40)</f>
        <v>#DIV/0!</v>
      </c>
      <c r="D42" s="320"/>
      <c r="E42" s="567"/>
      <c r="F42" s="307"/>
      <c r="G42" s="566" t="s">
        <v>563</v>
      </c>
      <c r="H42" s="460" t="e">
        <f ca="1">ROUND(IFERROR(AVERAGE(H36:H40),AVERAGE(S21:S27)),1)</f>
        <v>#DIV/0!</v>
      </c>
      <c r="I42" s="320" t="e">
        <f ca="1">AVERAGE(I36:I40)</f>
        <v>#DIV/0!</v>
      </c>
      <c r="J42" s="320"/>
      <c r="K42" s="567"/>
      <c r="M42" s="305"/>
      <c r="N42" s="305"/>
      <c r="O42" s="305"/>
      <c r="P42" s="305"/>
      <c r="Q42" s="305"/>
      <c r="R42" s="565"/>
      <c r="S42" s="565"/>
      <c r="T42" s="565"/>
      <c r="U42" s="565"/>
      <c r="V42" s="565"/>
      <c r="W42" s="565"/>
      <c r="X42" s="565"/>
      <c r="Y42" s="565"/>
      <c r="Z42" s="565"/>
      <c r="AA42" s="305"/>
      <c r="AB42" s="305"/>
    </row>
    <row r="43" spans="1:28" x14ac:dyDescent="0.25">
      <c r="A43" s="566" t="s">
        <v>381</v>
      </c>
      <c r="B43" s="460" t="e">
        <f ca="1">ABS(ROUND((B42/E19-1)*100,1))</f>
        <v>#DIV/0!</v>
      </c>
      <c r="C43" s="568" t="str">
        <f ca="1">IFERROR(IF(B43&gt;20,"Restrição",IF(B43&gt;10,"Não","Sim")),"")</f>
        <v/>
      </c>
      <c r="D43" s="569" t="s">
        <v>563</v>
      </c>
      <c r="E43" s="460" t="e">
        <f ca="1">ROUND(AVERAGE(E36:E40),1)</f>
        <v>#DIV/0!</v>
      </c>
      <c r="F43" s="307"/>
      <c r="G43" s="566" t="s">
        <v>381</v>
      </c>
      <c r="H43" s="460" t="e">
        <f ca="1">ABS(ROUND((H42/R19-1)*100,1))</f>
        <v>#DIV/0!</v>
      </c>
      <c r="I43" s="568" t="str">
        <f ca="1">IFERROR(IF(H43&gt;20,"Restrição",IF(H43&gt;10,"Não","Sim")),"")</f>
        <v/>
      </c>
      <c r="J43" s="569" t="s">
        <v>563</v>
      </c>
      <c r="K43" s="460" t="e">
        <f ca="1">IFERROR(ROUND(AVERAGE(K36:K40),1),IF(Cabeçalho!$G$28="Unfors",INDIRECT(ADDRESS(O23,17,1,1,"medidas Unfors"),1),INDIRECT(ADDRESS(O23,8,1,1,"medidas Fluke"),1)))</f>
        <v>#VALUE!</v>
      </c>
      <c r="M43" s="305"/>
      <c r="N43" s="305"/>
      <c r="O43" s="305"/>
      <c r="P43" s="305"/>
      <c r="Q43" s="305"/>
      <c r="R43" s="565"/>
      <c r="S43" s="565"/>
      <c r="T43" s="565"/>
      <c r="U43" s="565"/>
      <c r="V43" s="565"/>
      <c r="W43" s="565"/>
      <c r="X43" s="565"/>
      <c r="Y43" s="565"/>
      <c r="Z43" s="565"/>
      <c r="AA43" s="305"/>
      <c r="AB43" s="305"/>
    </row>
    <row r="44" spans="1:28" x14ac:dyDescent="0.25">
      <c r="A44" s="460"/>
      <c r="B44" s="460"/>
      <c r="C44" s="320"/>
      <c r="D44" s="569" t="s">
        <v>471</v>
      </c>
      <c r="E44" s="567" t="e">
        <f ca="1">IFERROR(VLOOKUP(B34,$M$35:$N$39,2),IF(B42&lt;60,1.3,2.5))</f>
        <v>#DIV/0!</v>
      </c>
      <c r="F44" s="307"/>
      <c r="G44" s="460"/>
      <c r="H44" s="460"/>
      <c r="I44" s="320"/>
      <c r="J44" s="569" t="s">
        <v>471</v>
      </c>
      <c r="K44" s="567" t="e">
        <f ca="1">IFERROR(VLOOKUP(H34,$M$35:$N$39,2),IF(H42&lt;60,1.3,2.5))</f>
        <v>#DIV/0!</v>
      </c>
      <c r="L44" s="305"/>
      <c r="M44" s="305"/>
      <c r="N44" s="305"/>
      <c r="O44" s="305"/>
      <c r="P44" s="305"/>
      <c r="Q44" s="305"/>
      <c r="R44" s="565"/>
      <c r="S44" s="565"/>
      <c r="T44" s="565"/>
      <c r="U44" s="565"/>
      <c r="V44" s="565"/>
      <c r="W44" s="565"/>
      <c r="X44" s="565"/>
      <c r="Y44" s="565"/>
      <c r="Z44" s="565"/>
      <c r="AA44" s="305"/>
      <c r="AB44" s="305"/>
    </row>
    <row r="45" spans="1:28" x14ac:dyDescent="0.25">
      <c r="A45" s="460"/>
      <c r="B45" s="460"/>
      <c r="C45" s="320"/>
      <c r="D45" s="320"/>
      <c r="E45" s="570" t="str">
        <f ca="1">IFERROR(IF(E43/E44&lt;0.2,"Restrição",IF(E43/E44&lt;1,"Não","Sim")),"")</f>
        <v/>
      </c>
      <c r="F45" s="307"/>
      <c r="G45" s="460"/>
      <c r="H45" s="460"/>
      <c r="I45" s="320"/>
      <c r="J45" s="320"/>
      <c r="K45" s="570" t="str">
        <f ca="1">IFERROR(IF(K43/K44&lt;0.2,"Restrição",IF(K43/K44&lt;1,"Não","Sim")),"")</f>
        <v/>
      </c>
      <c r="L45" s="305"/>
      <c r="M45" s="305"/>
      <c r="N45" s="305"/>
      <c r="O45" s="305"/>
      <c r="P45" s="305"/>
      <c r="Q45" s="305"/>
      <c r="R45" s="305"/>
      <c r="S45" s="305"/>
      <c r="T45" s="305"/>
      <c r="U45" s="305"/>
      <c r="V45" s="305"/>
      <c r="W45" s="305"/>
      <c r="X45" s="305"/>
      <c r="Y45" s="305"/>
      <c r="Z45" s="305"/>
      <c r="AA45" s="305"/>
      <c r="AB45" s="305"/>
    </row>
    <row r="46" spans="1:28" s="351" customFormat="1" x14ac:dyDescent="0.25">
      <c r="A46" s="572"/>
      <c r="B46" s="572"/>
      <c r="C46" s="573"/>
      <c r="D46" s="573"/>
      <c r="E46" s="552"/>
      <c r="F46" s="417"/>
      <c r="G46" s="572"/>
      <c r="H46" s="572"/>
      <c r="I46" s="573"/>
      <c r="J46" s="573"/>
      <c r="K46" s="552"/>
    </row>
    <row r="47" spans="1:28" s="351" customFormat="1" x14ac:dyDescent="0.25">
      <c r="A47" s="498" t="s">
        <v>7</v>
      </c>
      <c r="B47" s="291">
        <f>B34</f>
        <v>0</v>
      </c>
      <c r="C47" s="291" t="s">
        <v>0</v>
      </c>
      <c r="D47" s="574"/>
      <c r="E47" s="574"/>
      <c r="F47" s="574"/>
      <c r="G47" s="498" t="s">
        <v>562</v>
      </c>
      <c r="H47" s="291">
        <f>H34</f>
        <v>0</v>
      </c>
      <c r="I47" s="307" t="s">
        <v>0</v>
      </c>
      <c r="J47" s="574"/>
      <c r="K47" s="574"/>
      <c r="L47" s="574"/>
    </row>
    <row r="48" spans="1:28" s="351" customFormat="1" x14ac:dyDescent="0.25">
      <c r="A48" s="752" t="s">
        <v>5</v>
      </c>
      <c r="B48" s="769" t="s">
        <v>0</v>
      </c>
      <c r="C48" s="769" t="s">
        <v>2</v>
      </c>
      <c r="D48" s="574"/>
      <c r="E48" s="574"/>
      <c r="F48" s="574"/>
      <c r="G48" s="752" t="s">
        <v>5</v>
      </c>
      <c r="H48" s="769" t="s">
        <v>0</v>
      </c>
      <c r="I48" s="769" t="s">
        <v>2</v>
      </c>
      <c r="J48" s="574"/>
      <c r="K48" s="574"/>
      <c r="L48" s="574"/>
    </row>
    <row r="49" spans="1:28" s="351" customFormat="1" x14ac:dyDescent="0.25">
      <c r="A49" s="618"/>
      <c r="B49" s="384" t="str">
        <f ca="1">IF(ISERR(B42),IFERROR(IF(Cabeçalho!$G$28="Unfors",INDIRECT(ADDRESS(A49,1,1,1,"medidas Unfors"),1),INDIRECT(ADDRESS(A49,1,1,1,"medidas Fluke"),1)),""),B42)</f>
        <v/>
      </c>
      <c r="C49" s="787" t="str">
        <f ca="1">IF(ISERR(C42),IFERROR(IF(Cabeçalho!$G$28="Unfors",INDIRECT(ADDRESS(A49,5,1,1,"medidas Unfors"),1),INDIRECT(ADDRESS(A49,5,1,1,"medidas Fluke"),1)/1000),""),C42)</f>
        <v/>
      </c>
      <c r="D49" s="574"/>
      <c r="E49" s="574"/>
      <c r="F49" s="574"/>
      <c r="G49" s="618"/>
      <c r="H49" s="384" t="str">
        <f ca="1">IF(ISERR(H42),IFERROR(IF(Cabeçalho!$G$28="Unfors",INDIRECT(ADDRESS(G49,1,1,1,"medidas Unfors"),1),INDIRECT(ADDRESS(G49,1,1,1,"medidas Fluke"),1)),""),H42)</f>
        <v/>
      </c>
      <c r="I49" s="787" t="str">
        <f ca="1">IF(ISERR(I42),IFERROR(IF(Cabeçalho!$G$28="Unfors",INDIRECT(ADDRESS(G49,5,1,1,"medidas Unfors"),1),INDIRECT(ADDRESS(G49,5,1,1,"medidas Fluke"),1)/1000),""),I42)</f>
        <v/>
      </c>
      <c r="J49" s="574"/>
      <c r="K49" s="574"/>
      <c r="L49" s="574"/>
    </row>
    <row r="50" spans="1:28" s="351" customFormat="1" x14ac:dyDescent="0.25">
      <c r="A50" s="574"/>
      <c r="B50" s="574"/>
      <c r="C50" s="574"/>
      <c r="D50" s="574"/>
      <c r="E50" s="574"/>
      <c r="F50" s="574"/>
      <c r="G50" s="574"/>
      <c r="H50" s="574"/>
      <c r="I50" s="574"/>
      <c r="J50" s="574"/>
      <c r="K50" s="574"/>
      <c r="L50" s="574"/>
    </row>
    <row r="51" spans="1:28" ht="15.75" thickBot="1" x14ac:dyDescent="0.3">
      <c r="A51" s="788" t="s">
        <v>14</v>
      </c>
      <c r="B51" s="789">
        <f>Cabeçalho!G23</f>
        <v>0</v>
      </c>
      <c r="C51" s="790" t="s">
        <v>13</v>
      </c>
      <c r="D51" s="573"/>
      <c r="E51" s="552"/>
      <c r="F51" s="417"/>
      <c r="G51" s="788" t="s">
        <v>14</v>
      </c>
      <c r="H51" s="789">
        <f>B51</f>
        <v>0</v>
      </c>
      <c r="I51" s="790" t="s">
        <v>13</v>
      </c>
      <c r="J51" s="320"/>
      <c r="K51" s="567"/>
      <c r="L51" s="305"/>
      <c r="M51" s="305"/>
      <c r="N51" s="305"/>
      <c r="O51" s="305"/>
      <c r="P51" s="305"/>
      <c r="Q51" s="305"/>
      <c r="R51" s="305"/>
      <c r="S51" s="305"/>
      <c r="T51" s="305"/>
      <c r="U51" s="305"/>
      <c r="V51" s="305"/>
      <c r="W51" s="305"/>
      <c r="X51" s="305"/>
      <c r="Y51" s="305"/>
      <c r="Z51" s="305"/>
      <c r="AA51" s="305"/>
      <c r="AB51" s="305"/>
    </row>
    <row r="52" spans="1:28" x14ac:dyDescent="0.25">
      <c r="A52" s="323" t="s">
        <v>565</v>
      </c>
      <c r="B52" s="460" t="e">
        <f ca="1">ROUND(C49*1000/B51*($E$18/100)^2,1)</f>
        <v>#VALUE!</v>
      </c>
      <c r="C52" s="2866" t="s">
        <v>566</v>
      </c>
      <c r="D52" s="2866"/>
      <c r="E52" s="567"/>
      <c r="F52" s="307"/>
      <c r="G52" s="323" t="s">
        <v>565</v>
      </c>
      <c r="H52" s="460" t="e">
        <f ca="1">ROUND(I49*1000/H51*($E$18/100)^2,1)</f>
        <v>#VALUE!</v>
      </c>
      <c r="I52" s="2866" t="s">
        <v>566</v>
      </c>
      <c r="J52" s="2866"/>
      <c r="K52" s="567"/>
      <c r="L52" s="305"/>
      <c r="M52" s="305"/>
      <c r="N52" s="305"/>
      <c r="O52" s="305"/>
      <c r="P52" s="305"/>
      <c r="Q52" s="305"/>
      <c r="R52" s="305"/>
      <c r="S52" s="305"/>
      <c r="T52" s="305"/>
      <c r="U52" s="305"/>
      <c r="V52" s="305"/>
      <c r="W52" s="305"/>
      <c r="X52" s="305"/>
      <c r="Y52" s="305"/>
      <c r="Z52" s="305"/>
      <c r="AA52" s="305"/>
      <c r="AB52" s="305"/>
    </row>
    <row r="53" spans="1:28" ht="15.75" thickBot="1" x14ac:dyDescent="0.3">
      <c r="A53" s="323"/>
      <c r="B53" s="460"/>
      <c r="C53" s="571"/>
      <c r="D53" s="571"/>
      <c r="E53" s="567"/>
      <c r="F53" s="307"/>
      <c r="G53" s="307"/>
      <c r="H53" s="305"/>
      <c r="I53" s="305"/>
      <c r="J53" s="305"/>
      <c r="K53" s="305"/>
      <c r="L53" s="305"/>
      <c r="M53" s="305"/>
      <c r="N53" s="305"/>
      <c r="O53" s="305"/>
      <c r="P53" s="305"/>
      <c r="Q53" s="305"/>
      <c r="R53" s="305"/>
      <c r="S53" s="305"/>
      <c r="T53" s="305"/>
      <c r="U53" s="305"/>
      <c r="V53" s="305"/>
      <c r="W53" s="305"/>
      <c r="X53" s="305"/>
      <c r="Y53" s="305"/>
      <c r="Z53" s="305"/>
      <c r="AA53" s="305"/>
      <c r="AB53" s="305"/>
    </row>
    <row r="54" spans="1:28" s="351" customFormat="1" ht="15.75" thickBot="1" x14ac:dyDescent="0.3">
      <c r="A54" s="2420" t="s">
        <v>1117</v>
      </c>
      <c r="B54" s="2421"/>
      <c r="C54" s="2421"/>
      <c r="D54" s="2421"/>
      <c r="E54" s="2422"/>
      <c r="F54" s="417"/>
      <c r="G54" s="572"/>
      <c r="H54" s="572"/>
      <c r="I54" s="573"/>
      <c r="J54" s="573"/>
      <c r="K54" s="552"/>
    </row>
    <row r="55" spans="1:28" s="351" customFormat="1" x14ac:dyDescent="0.25">
      <c r="A55" s="2443" t="s">
        <v>1118</v>
      </c>
      <c r="B55" s="2443"/>
      <c r="C55" s="2443"/>
      <c r="D55" s="2443"/>
      <c r="E55" s="2443"/>
      <c r="F55" s="417"/>
      <c r="G55" s="572"/>
      <c r="H55" s="572"/>
      <c r="I55" s="573"/>
      <c r="J55" s="573"/>
      <c r="K55" s="552"/>
    </row>
    <row r="56" spans="1:28" s="305" customFormat="1" x14ac:dyDescent="0.25">
      <c r="A56" s="778"/>
      <c r="B56" s="778"/>
      <c r="C56" s="511"/>
      <c r="D56" s="511"/>
      <c r="E56" s="779"/>
      <c r="F56" s="307"/>
      <c r="G56" s="778"/>
      <c r="H56" s="778"/>
      <c r="I56" s="511"/>
      <c r="J56" s="511"/>
      <c r="K56" s="779"/>
    </row>
    <row r="57" spans="1:28" s="305" customFormat="1" ht="15.75" thickBot="1" x14ac:dyDescent="0.3">
      <c r="A57" s="517"/>
      <c r="B57" s="778"/>
      <c r="C57" s="791"/>
      <c r="D57" s="307"/>
      <c r="E57" s="307"/>
      <c r="F57" s="307"/>
      <c r="G57" s="307"/>
    </row>
    <row r="58" spans="1:28" ht="15.75" thickBot="1" x14ac:dyDescent="0.3">
      <c r="A58" s="2420" t="s">
        <v>567</v>
      </c>
      <c r="B58" s="2421"/>
      <c r="C58" s="2421"/>
      <c r="D58" s="2421"/>
      <c r="E58" s="2421"/>
      <c r="F58" s="2421"/>
      <c r="G58" s="2421"/>
      <c r="H58" s="2421"/>
      <c r="I58" s="2421"/>
      <c r="J58" s="2421"/>
      <c r="K58" s="2422"/>
      <c r="L58" s="305"/>
      <c r="M58" s="305"/>
      <c r="N58" s="305"/>
      <c r="O58" s="305"/>
      <c r="P58" s="305"/>
      <c r="Q58" s="305"/>
      <c r="R58" s="305"/>
      <c r="S58" s="305"/>
      <c r="T58" s="305"/>
      <c r="U58" s="305"/>
      <c r="V58" s="305"/>
      <c r="W58" s="305"/>
      <c r="X58" s="305"/>
      <c r="Y58" s="305"/>
      <c r="Z58" s="305"/>
      <c r="AA58" s="305"/>
      <c r="AB58" s="305"/>
    </row>
    <row r="59" spans="1:28" x14ac:dyDescent="0.25">
      <c r="A59" s="2872" t="s">
        <v>0</v>
      </c>
      <c r="B59" s="2872"/>
      <c r="C59" s="175">
        <f>E19</f>
        <v>0</v>
      </c>
      <c r="D59" s="797" t="s">
        <v>1127</v>
      </c>
      <c r="E59" s="466"/>
      <c r="F59" s="305"/>
      <c r="G59" s="305"/>
      <c r="H59" s="305"/>
      <c r="I59" s="305"/>
      <c r="J59" s="305"/>
      <c r="K59" s="305"/>
      <c r="L59" s="305"/>
      <c r="M59" s="305"/>
      <c r="N59" s="305"/>
      <c r="O59" s="305"/>
      <c r="P59" s="305"/>
      <c r="Q59" s="305"/>
      <c r="R59" s="305"/>
      <c r="S59" s="305"/>
      <c r="T59" s="305"/>
      <c r="U59" s="305"/>
      <c r="V59" s="305"/>
      <c r="W59" s="305"/>
      <c r="X59" s="305"/>
      <c r="Y59" s="305"/>
      <c r="Z59" s="305"/>
      <c r="AA59" s="305"/>
      <c r="AB59" s="305"/>
    </row>
    <row r="60" spans="1:28" x14ac:dyDescent="0.25">
      <c r="A60" s="2871" t="s">
        <v>13</v>
      </c>
      <c r="B60" s="2873"/>
      <c r="C60" s="1631"/>
      <c r="D60" s="797"/>
      <c r="E60" s="466"/>
      <c r="F60" s="820"/>
      <c r="G60" s="820"/>
      <c r="H60" s="820"/>
      <c r="I60" s="820"/>
      <c r="J60" s="820"/>
      <c r="K60" s="820"/>
      <c r="L60" s="820"/>
      <c r="M60" s="820"/>
      <c r="N60" s="820"/>
      <c r="O60" s="820"/>
      <c r="P60" s="820"/>
      <c r="Q60" s="820"/>
      <c r="R60" s="820"/>
      <c r="S60" s="820"/>
      <c r="T60" s="820"/>
      <c r="U60" s="820"/>
      <c r="V60" s="820"/>
      <c r="W60" s="820"/>
      <c r="X60" s="820"/>
      <c r="Y60" s="820"/>
      <c r="Z60" s="820"/>
      <c r="AA60" s="820"/>
      <c r="AB60" s="820"/>
    </row>
    <row r="61" spans="1:28" x14ac:dyDescent="0.25">
      <c r="A61" s="2870" t="s">
        <v>3</v>
      </c>
      <c r="B61" s="2870"/>
      <c r="C61" s="776"/>
      <c r="D61" s="797" t="s">
        <v>1128</v>
      </c>
      <c r="E61" s="466"/>
      <c r="F61" s="305"/>
      <c r="G61" s="305"/>
      <c r="H61" s="305"/>
      <c r="I61" s="305"/>
      <c r="J61" s="305"/>
      <c r="K61" s="305"/>
      <c r="L61" s="305"/>
      <c r="M61" s="305"/>
      <c r="N61" s="305"/>
      <c r="O61" s="305"/>
      <c r="P61" s="305"/>
      <c r="Q61" s="305"/>
      <c r="R61" s="305"/>
      <c r="S61" s="305"/>
      <c r="T61" s="305"/>
      <c r="U61" s="305"/>
      <c r="V61" s="305"/>
      <c r="W61" s="305"/>
      <c r="X61" s="305"/>
      <c r="Y61" s="305"/>
      <c r="Z61" s="305"/>
      <c r="AA61" s="305"/>
      <c r="AB61" s="305"/>
    </row>
    <row r="62" spans="1:28" x14ac:dyDescent="0.25">
      <c r="A62" s="798"/>
      <c r="B62" s="798"/>
      <c r="C62" s="792" t="s">
        <v>1129</v>
      </c>
      <c r="D62" s="792" t="s">
        <v>902</v>
      </c>
      <c r="E62" s="785" t="s">
        <v>32</v>
      </c>
      <c r="F62" s="615" t="s">
        <v>32</v>
      </c>
      <c r="G62" s="615" t="s">
        <v>1122</v>
      </c>
      <c r="H62" s="1360" t="str">
        <f>B1</f>
        <v>IN 95</v>
      </c>
      <c r="I62" s="305"/>
      <c r="J62" s="305"/>
      <c r="K62" s="305"/>
      <c r="L62" s="305"/>
      <c r="M62" s="305"/>
      <c r="N62" s="305"/>
      <c r="O62" s="305"/>
      <c r="P62" s="305"/>
      <c r="Q62" s="305"/>
      <c r="R62" s="305"/>
      <c r="S62" s="305"/>
      <c r="T62" s="305"/>
      <c r="U62" s="305"/>
      <c r="V62" s="305"/>
      <c r="W62" s="305"/>
      <c r="X62" s="305"/>
      <c r="Y62" s="305"/>
      <c r="Z62" s="305"/>
      <c r="AA62" s="305"/>
      <c r="AB62" s="305"/>
    </row>
    <row r="63" spans="1:28" x14ac:dyDescent="0.25">
      <c r="A63" s="2870" t="s">
        <v>1120</v>
      </c>
      <c r="B63" s="2871"/>
      <c r="C63" s="176">
        <v>1</v>
      </c>
      <c r="D63" s="176"/>
      <c r="E63" s="792">
        <f>VLOOKUP(C63,IntraoralRContraste[],2)</f>
        <v>2.5</v>
      </c>
      <c r="F63" s="792" t="e">
        <f>VLOOKUP(D63,IntraoralRContraste[],2)</f>
        <v>#N/A</v>
      </c>
      <c r="G63" s="615" t="str">
        <f>IFERROR(IF(E63&lt;F63,"Abaixo do padrão","Boa"),"Boa")</f>
        <v>Boa</v>
      </c>
      <c r="H63" s="615" t="str">
        <f>IF(G63="Boa","Sim","Não")</f>
        <v>Sim</v>
      </c>
      <c r="I63" s="305" t="s">
        <v>1126</v>
      </c>
      <c r="J63" s="305"/>
      <c r="L63" s="305"/>
      <c r="M63" s="305"/>
      <c r="N63" s="305"/>
      <c r="O63" s="305"/>
      <c r="P63" s="305"/>
      <c r="Q63" s="305"/>
      <c r="R63" s="305"/>
      <c r="S63" s="305"/>
      <c r="T63" s="305"/>
      <c r="U63" s="305"/>
      <c r="V63" s="305"/>
      <c r="W63" s="305"/>
      <c r="X63" s="305"/>
      <c r="Y63" s="305"/>
      <c r="Z63" s="305"/>
      <c r="AA63" s="305"/>
      <c r="AB63" s="305"/>
    </row>
    <row r="64" spans="1:28" x14ac:dyDescent="0.25">
      <c r="A64" s="2870" t="s">
        <v>1121</v>
      </c>
      <c r="B64" s="2871"/>
      <c r="C64" s="176">
        <v>2</v>
      </c>
      <c r="D64" s="176"/>
      <c r="E64" s="792">
        <f>VLOOKUP(C64,IntraoralREspacial[],2)</f>
        <v>2.8</v>
      </c>
      <c r="F64" s="792" t="e">
        <f>VLOOKUP(D64,IntraoralREspacial[],2)</f>
        <v>#N/A</v>
      </c>
      <c r="G64" s="615" t="str">
        <f>IFERROR(IF(E64&lt;F64,"Abaixo do padrão","Boa"),"Boa")</f>
        <v>Boa</v>
      </c>
      <c r="H64" s="615" t="str">
        <f>IF(G64="Boa","Sim","Não")</f>
        <v>Sim</v>
      </c>
      <c r="I64" s="305" t="s">
        <v>485</v>
      </c>
      <c r="J64" s="305"/>
      <c r="K64" s="305"/>
      <c r="L64" s="305"/>
      <c r="M64" s="305"/>
      <c r="N64" s="305"/>
      <c r="O64" s="305"/>
      <c r="P64" s="305"/>
      <c r="Q64" s="305"/>
      <c r="R64" s="305"/>
      <c r="S64" s="305"/>
      <c r="T64" s="305"/>
      <c r="U64" s="305"/>
      <c r="V64" s="305"/>
      <c r="W64" s="305"/>
      <c r="X64" s="305"/>
      <c r="Y64" s="305"/>
      <c r="Z64" s="305"/>
      <c r="AA64" s="305"/>
      <c r="AB64" s="305"/>
    </row>
    <row r="65" spans="1:28" x14ac:dyDescent="0.25">
      <c r="A65" s="305"/>
      <c r="B65" s="305"/>
      <c r="C65" s="454"/>
      <c r="D65" s="555"/>
      <c r="E65" s="466"/>
      <c r="F65" s="305"/>
      <c r="G65" s="305"/>
      <c r="H65" s="305"/>
      <c r="I65" s="305"/>
      <c r="J65" s="305"/>
      <c r="K65" s="305"/>
      <c r="L65" s="305"/>
      <c r="M65" s="305"/>
      <c r="N65" s="305"/>
      <c r="O65" s="305"/>
      <c r="P65" s="305"/>
      <c r="Q65" s="305"/>
      <c r="R65" s="305"/>
      <c r="S65" s="305"/>
      <c r="T65" s="305"/>
      <c r="U65" s="305"/>
      <c r="V65" s="305"/>
      <c r="W65" s="305"/>
      <c r="X65" s="305"/>
      <c r="Y65" s="305"/>
      <c r="Z65" s="305"/>
      <c r="AA65" s="305"/>
      <c r="AB65" s="305"/>
    </row>
    <row r="66" spans="1:28" x14ac:dyDescent="0.25">
      <c r="A66" s="2870" t="s">
        <v>1795</v>
      </c>
      <c r="B66" s="2870"/>
      <c r="C66" s="2870"/>
      <c r="D66" s="2870"/>
      <c r="E66" s="1058" t="s">
        <v>273</v>
      </c>
      <c r="F66" s="305"/>
      <c r="G66" s="305"/>
      <c r="H66" s="305"/>
      <c r="I66" s="305"/>
      <c r="J66" s="305"/>
      <c r="K66" s="305"/>
      <c r="L66" s="305"/>
      <c r="M66" s="305"/>
      <c r="N66" s="305"/>
      <c r="O66" s="305"/>
      <c r="P66" s="305"/>
      <c r="Q66" s="305"/>
      <c r="R66" s="305"/>
      <c r="S66" s="305"/>
      <c r="T66" s="305"/>
      <c r="U66" s="305"/>
      <c r="V66" s="305"/>
      <c r="W66" s="305"/>
      <c r="X66" s="305"/>
      <c r="Y66" s="305"/>
      <c r="Z66" s="305"/>
      <c r="AA66" s="305"/>
      <c r="AB66" s="305"/>
    </row>
    <row r="67" spans="1:28" x14ac:dyDescent="0.25">
      <c r="A67" s="2865" t="s">
        <v>1484</v>
      </c>
      <c r="B67" s="2865"/>
      <c r="C67" s="2865"/>
      <c r="D67" s="2865"/>
      <c r="E67" s="1058" t="s">
        <v>273</v>
      </c>
      <c r="F67" s="305"/>
      <c r="G67" s="305"/>
      <c r="H67" s="305"/>
      <c r="I67" s="305"/>
      <c r="J67" s="305"/>
      <c r="K67" s="305"/>
      <c r="L67" s="305"/>
      <c r="M67" s="305"/>
      <c r="N67" s="305"/>
      <c r="O67" s="305"/>
      <c r="P67" s="305"/>
      <c r="Q67" s="305"/>
      <c r="R67" s="305"/>
      <c r="S67" s="305"/>
      <c r="T67" s="305"/>
      <c r="U67" s="305"/>
      <c r="V67" s="305"/>
      <c r="W67" s="305"/>
      <c r="X67" s="305"/>
      <c r="Y67" s="305"/>
      <c r="Z67" s="305"/>
      <c r="AA67" s="305"/>
      <c r="AB67" s="305"/>
    </row>
    <row r="68" spans="1:28" x14ac:dyDescent="0.25">
      <c r="A68" s="305"/>
      <c r="B68" s="305"/>
      <c r="C68" s="305"/>
      <c r="D68" s="305"/>
      <c r="E68" s="305"/>
      <c r="F68" s="305"/>
      <c r="G68" s="820"/>
      <c r="H68" s="305"/>
      <c r="I68" s="305"/>
      <c r="J68" s="305"/>
      <c r="K68" s="305"/>
      <c r="L68" s="305"/>
      <c r="M68" s="305"/>
      <c r="N68" s="305"/>
      <c r="O68" s="305"/>
      <c r="P68" s="305"/>
      <c r="Q68" s="305"/>
      <c r="R68" s="305"/>
      <c r="S68" s="305"/>
      <c r="T68" s="305"/>
      <c r="U68" s="305"/>
      <c r="V68" s="305"/>
      <c r="W68" s="305"/>
      <c r="X68" s="305"/>
      <c r="Y68" s="305"/>
      <c r="Z68" s="305"/>
      <c r="AA68" s="305"/>
      <c r="AB68" s="305"/>
    </row>
    <row r="69" spans="1:28"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c r="W69" s="305"/>
      <c r="X69" s="305"/>
      <c r="Y69" s="305"/>
      <c r="Z69" s="305"/>
      <c r="AA69" s="305"/>
    </row>
    <row r="70" spans="1:28" x14ac:dyDescent="0.25">
      <c r="A70" s="305"/>
      <c r="B70" s="305"/>
      <c r="C70" s="305"/>
      <c r="D70" s="305"/>
      <c r="E70" s="305"/>
      <c r="F70" s="305"/>
      <c r="G70" s="305"/>
      <c r="H70" s="305"/>
      <c r="I70" s="305"/>
      <c r="J70" s="305"/>
      <c r="K70" s="305"/>
      <c r="L70" s="305"/>
      <c r="M70" s="305"/>
      <c r="N70" s="305"/>
      <c r="O70" s="305"/>
      <c r="P70" s="305"/>
      <c r="Q70" s="305"/>
      <c r="R70" s="305"/>
      <c r="S70" s="305"/>
      <c r="T70" s="305"/>
      <c r="U70" s="305"/>
      <c r="V70" s="305"/>
      <c r="W70" s="305"/>
      <c r="X70" s="305"/>
      <c r="Y70" s="305"/>
      <c r="Z70" s="305"/>
      <c r="AA70" s="305"/>
    </row>
    <row r="71" spans="1:28" x14ac:dyDescent="0.25">
      <c r="A71" s="305"/>
      <c r="B71" s="305"/>
      <c r="C71" s="305"/>
      <c r="D71" s="305"/>
      <c r="E71" s="305"/>
      <c r="F71" s="305"/>
      <c r="G71" s="305"/>
      <c r="H71" s="305"/>
      <c r="I71" s="305"/>
      <c r="J71" s="305"/>
      <c r="K71" s="305"/>
      <c r="L71" s="305"/>
      <c r="M71" s="305"/>
      <c r="N71" s="305"/>
      <c r="O71" s="305"/>
      <c r="P71" s="305"/>
      <c r="Q71" s="305"/>
      <c r="R71" s="305"/>
      <c r="S71" s="305"/>
      <c r="T71" s="305"/>
      <c r="U71" s="305"/>
      <c r="V71" s="305"/>
      <c r="W71" s="305"/>
      <c r="X71" s="305"/>
      <c r="Y71" s="305"/>
      <c r="Z71" s="305"/>
      <c r="AA71" s="305"/>
    </row>
    <row r="72" spans="1:28"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c r="W72" s="305"/>
      <c r="X72" s="305"/>
      <c r="Y72" s="305"/>
      <c r="Z72" s="305"/>
      <c r="AA72" s="305"/>
    </row>
    <row r="73" spans="1:28" x14ac:dyDescent="0.25">
      <c r="A73" s="305"/>
      <c r="B73" s="305"/>
      <c r="C73" s="305"/>
      <c r="D73" s="305"/>
      <c r="E73" s="305"/>
      <c r="F73" s="305"/>
      <c r="G73" s="305"/>
      <c r="H73" s="305"/>
      <c r="I73" s="305"/>
      <c r="J73" s="305"/>
      <c r="K73" s="305"/>
      <c r="L73" s="305"/>
      <c r="M73" s="305"/>
      <c r="N73" s="305"/>
      <c r="O73" s="305"/>
      <c r="P73" s="305"/>
      <c r="Q73" s="305"/>
      <c r="R73" s="305"/>
      <c r="S73" s="305"/>
      <c r="T73" s="305"/>
      <c r="U73" s="305"/>
      <c r="V73" s="305"/>
      <c r="W73" s="305"/>
      <c r="X73" s="305"/>
      <c r="Y73" s="305"/>
      <c r="Z73" s="305"/>
      <c r="AA73" s="305"/>
    </row>
    <row r="74" spans="1:28" x14ac:dyDescent="0.25">
      <c r="A74" s="305"/>
      <c r="B74" s="305"/>
      <c r="C74" s="305"/>
      <c r="D74" s="305"/>
      <c r="E74" s="305"/>
      <c r="F74" s="305"/>
      <c r="G74" s="305"/>
      <c r="H74" s="305"/>
      <c r="I74" s="305"/>
      <c r="J74" s="305"/>
      <c r="K74" s="305"/>
      <c r="L74" s="305"/>
      <c r="M74" s="305"/>
      <c r="N74" s="305"/>
      <c r="O74" s="305"/>
      <c r="P74" s="305"/>
      <c r="Q74" s="305"/>
      <c r="R74" s="305"/>
      <c r="S74" s="305"/>
      <c r="T74" s="305"/>
      <c r="U74" s="305"/>
      <c r="V74" s="305"/>
      <c r="W74" s="305"/>
      <c r="X74" s="305"/>
      <c r="Y74" s="305"/>
      <c r="Z74" s="305"/>
      <c r="AA74" s="305"/>
    </row>
    <row r="75" spans="1:28" x14ac:dyDescent="0.25">
      <c r="A75" s="305"/>
      <c r="B75" s="305"/>
      <c r="C75" s="305"/>
      <c r="D75" s="305"/>
      <c r="E75" s="305"/>
      <c r="F75" s="305"/>
      <c r="G75" s="305"/>
      <c r="H75" s="305"/>
      <c r="I75" s="305"/>
      <c r="J75" s="305"/>
      <c r="K75" s="305"/>
      <c r="L75" s="305"/>
      <c r="M75" s="305"/>
      <c r="N75" s="305"/>
      <c r="O75" s="305"/>
      <c r="P75" s="305"/>
      <c r="Q75" s="305"/>
      <c r="R75" s="305"/>
      <c r="S75" s="305"/>
      <c r="T75" s="305"/>
      <c r="U75" s="305"/>
      <c r="V75" s="305"/>
      <c r="W75" s="305"/>
      <c r="X75" s="305"/>
      <c r="Y75" s="305"/>
      <c r="Z75" s="305"/>
      <c r="AA75" s="305"/>
    </row>
    <row r="76" spans="1:28"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c r="W76" s="305"/>
      <c r="X76" s="305"/>
      <c r="Y76" s="305"/>
      <c r="Z76" s="305"/>
      <c r="AA76" s="305"/>
    </row>
    <row r="77" spans="1:28" x14ac:dyDescent="0.25">
      <c r="A77" s="305"/>
      <c r="B77" s="305"/>
      <c r="C77" s="305"/>
      <c r="D77" s="305"/>
      <c r="E77" s="305"/>
      <c r="F77" s="305"/>
      <c r="G77" s="305"/>
      <c r="H77" s="305"/>
      <c r="I77" s="305"/>
      <c r="J77" s="305"/>
      <c r="K77" s="305"/>
      <c r="L77" s="305"/>
      <c r="M77" s="305"/>
      <c r="N77" s="305"/>
      <c r="O77" s="305"/>
      <c r="P77" s="305"/>
      <c r="Q77" s="305"/>
      <c r="R77" s="305"/>
      <c r="S77" s="305"/>
      <c r="T77" s="305"/>
      <c r="U77" s="305"/>
      <c r="V77" s="305"/>
      <c r="W77" s="305"/>
      <c r="X77" s="305"/>
      <c r="Y77" s="305"/>
      <c r="Z77" s="305"/>
      <c r="AA77" s="305"/>
    </row>
    <row r="78" spans="1:28" x14ac:dyDescent="0.25">
      <c r="A78" s="305"/>
      <c r="B78" s="305"/>
      <c r="C78" s="305"/>
      <c r="D78" s="305"/>
      <c r="E78" s="305"/>
      <c r="F78" s="305"/>
      <c r="G78" s="305"/>
      <c r="H78" s="305"/>
      <c r="I78" s="305"/>
      <c r="J78" s="305"/>
      <c r="K78" s="305"/>
      <c r="L78" s="305"/>
      <c r="M78" s="305"/>
      <c r="N78" s="305"/>
      <c r="O78" s="305"/>
      <c r="P78" s="305"/>
      <c r="Q78" s="305"/>
      <c r="R78" s="305"/>
      <c r="S78" s="305"/>
      <c r="T78" s="305"/>
      <c r="U78" s="305"/>
      <c r="V78" s="305"/>
      <c r="W78" s="305"/>
      <c r="X78" s="305"/>
      <c r="Y78" s="305"/>
      <c r="Z78" s="305"/>
      <c r="AA78" s="305"/>
    </row>
    <row r="79" spans="1:28" x14ac:dyDescent="0.25">
      <c r="A79" s="305"/>
      <c r="B79" s="305"/>
      <c r="C79" s="305"/>
      <c r="D79" s="305"/>
      <c r="E79" s="305"/>
      <c r="F79" s="305"/>
      <c r="G79" s="305"/>
      <c r="H79" s="305"/>
      <c r="I79" s="305"/>
      <c r="J79" s="305"/>
      <c r="K79" s="305"/>
      <c r="L79" s="305"/>
      <c r="M79" s="305"/>
      <c r="N79" s="305"/>
      <c r="O79" s="305"/>
      <c r="P79" s="305"/>
      <c r="Q79" s="305"/>
      <c r="R79" s="305"/>
      <c r="S79" s="305"/>
      <c r="T79" s="305"/>
      <c r="U79" s="305"/>
      <c r="V79" s="305"/>
      <c r="W79" s="305"/>
      <c r="X79" s="305"/>
      <c r="Y79" s="305"/>
      <c r="Z79" s="305"/>
      <c r="AA79" s="305"/>
    </row>
    <row r="80" spans="1:28" x14ac:dyDescent="0.25">
      <c r="A80" s="305"/>
      <c r="B80" s="305"/>
      <c r="C80" s="305"/>
      <c r="D80" s="305"/>
      <c r="E80" s="305"/>
      <c r="F80" s="305"/>
      <c r="G80" s="305"/>
      <c r="H80" s="305"/>
      <c r="I80" s="305"/>
      <c r="J80" s="305"/>
      <c r="K80" s="305"/>
      <c r="L80" s="305"/>
      <c r="M80" s="305"/>
      <c r="N80" s="305"/>
      <c r="O80" s="305"/>
      <c r="P80" s="305"/>
      <c r="Q80" s="305"/>
      <c r="R80" s="305"/>
      <c r="S80" s="305"/>
      <c r="T80" s="305"/>
      <c r="U80" s="305"/>
      <c r="V80" s="305"/>
      <c r="W80" s="305"/>
      <c r="X80" s="305"/>
      <c r="Y80" s="305"/>
      <c r="Z80" s="305"/>
      <c r="AA80" s="305"/>
    </row>
    <row r="81" spans="1:27" x14ac:dyDescent="0.25">
      <c r="A81" s="305"/>
      <c r="B81" s="305"/>
      <c r="C81" s="305"/>
      <c r="D81" s="305"/>
      <c r="E81" s="305"/>
      <c r="F81" s="305"/>
      <c r="G81" s="305"/>
      <c r="H81" s="305"/>
      <c r="I81" s="305"/>
      <c r="J81" s="305"/>
      <c r="K81" s="305"/>
      <c r="L81" s="305"/>
      <c r="M81" s="305"/>
      <c r="N81" s="305"/>
      <c r="O81" s="305"/>
      <c r="P81" s="305"/>
      <c r="Q81" s="305"/>
      <c r="R81" s="305"/>
      <c r="S81" s="305"/>
      <c r="T81" s="305"/>
      <c r="U81" s="305"/>
      <c r="V81" s="305"/>
      <c r="W81" s="305"/>
      <c r="X81" s="305"/>
      <c r="Y81" s="305"/>
      <c r="Z81" s="305"/>
      <c r="AA81" s="305"/>
    </row>
    <row r="82" spans="1:27" x14ac:dyDescent="0.25">
      <c r="A82" s="305"/>
      <c r="B82" s="305"/>
      <c r="C82" s="305"/>
      <c r="D82" s="305"/>
      <c r="E82" s="305"/>
      <c r="F82" s="305"/>
      <c r="G82" s="305"/>
      <c r="H82" s="305"/>
      <c r="I82" s="305"/>
      <c r="J82" s="305"/>
      <c r="K82" s="305"/>
      <c r="L82" s="305"/>
      <c r="M82" s="305"/>
      <c r="N82" s="305"/>
      <c r="O82" s="305"/>
      <c r="P82" s="305"/>
      <c r="Q82" s="305"/>
      <c r="R82" s="305"/>
      <c r="S82" s="305"/>
      <c r="T82" s="305"/>
      <c r="U82" s="305"/>
      <c r="V82" s="305"/>
      <c r="W82" s="305"/>
      <c r="X82" s="305"/>
      <c r="Y82" s="305"/>
      <c r="Z82" s="305"/>
      <c r="AA82" s="305"/>
    </row>
    <row r="83" spans="1:27" x14ac:dyDescent="0.25">
      <c r="A83" s="305"/>
      <c r="B83" s="305"/>
      <c r="C83" s="305"/>
      <c r="D83" s="305"/>
      <c r="E83" s="305"/>
      <c r="F83" s="305"/>
      <c r="G83" s="305"/>
      <c r="H83" s="305"/>
      <c r="I83" s="305"/>
      <c r="J83" s="305"/>
      <c r="K83" s="305"/>
      <c r="L83" s="305"/>
      <c r="M83" s="305"/>
      <c r="N83" s="305"/>
      <c r="O83" s="305"/>
      <c r="P83" s="305"/>
      <c r="Q83" s="305"/>
      <c r="R83" s="305"/>
      <c r="S83" s="305"/>
      <c r="T83" s="305"/>
      <c r="U83" s="305"/>
      <c r="V83" s="305"/>
      <c r="W83" s="305"/>
      <c r="X83" s="305"/>
      <c r="Y83" s="305"/>
      <c r="Z83" s="305"/>
      <c r="AA83" s="305"/>
    </row>
    <row r="84" spans="1:27" x14ac:dyDescent="0.25">
      <c r="A84" s="305"/>
      <c r="B84" s="305"/>
      <c r="C84" s="305"/>
      <c r="D84" s="305"/>
      <c r="E84" s="305"/>
      <c r="F84" s="305"/>
      <c r="G84" s="305"/>
      <c r="H84" s="305"/>
      <c r="I84" s="305"/>
      <c r="J84" s="305"/>
      <c r="K84" s="305"/>
      <c r="L84" s="305"/>
      <c r="M84" s="305"/>
      <c r="N84" s="305"/>
      <c r="O84" s="305"/>
      <c r="P84" s="305"/>
      <c r="Q84" s="305"/>
      <c r="R84" s="305"/>
      <c r="S84" s="305"/>
      <c r="T84" s="305"/>
      <c r="U84" s="305"/>
      <c r="V84" s="305"/>
      <c r="W84" s="305"/>
      <c r="X84" s="305"/>
      <c r="Y84" s="305"/>
      <c r="Z84" s="305"/>
      <c r="AA84" s="305"/>
    </row>
    <row r="85" spans="1:27"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c r="W85" s="305"/>
      <c r="X85" s="305"/>
      <c r="Y85" s="305"/>
      <c r="Z85" s="305"/>
      <c r="AA85" s="305"/>
    </row>
    <row r="86" spans="1:27"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c r="W86" s="305"/>
      <c r="X86" s="305"/>
      <c r="Y86" s="305"/>
      <c r="Z86" s="305"/>
      <c r="AA86" s="305"/>
    </row>
    <row r="87" spans="1:27"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c r="W87" s="305"/>
      <c r="X87" s="305"/>
      <c r="Y87" s="305"/>
      <c r="Z87" s="305"/>
      <c r="AA87" s="305"/>
    </row>
    <row r="88" spans="1:27"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c r="W88" s="305"/>
      <c r="X88" s="305"/>
      <c r="Y88" s="305"/>
      <c r="Z88" s="305"/>
      <c r="AA88" s="305"/>
    </row>
    <row r="89" spans="1:27"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c r="W89" s="305"/>
      <c r="X89" s="305"/>
      <c r="Y89" s="305"/>
      <c r="Z89" s="305"/>
      <c r="AA89" s="305"/>
    </row>
    <row r="90" spans="1:27"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row>
    <row r="91" spans="1:27" x14ac:dyDescent="0.25">
      <c r="F91" s="305"/>
      <c r="G91" s="305"/>
      <c r="H91" s="305"/>
      <c r="I91" s="305"/>
      <c r="J91" s="305"/>
      <c r="K91" s="305"/>
      <c r="L91" s="305"/>
      <c r="M91" s="305"/>
      <c r="N91" s="305"/>
      <c r="O91" s="305"/>
      <c r="P91" s="305"/>
      <c r="Q91" s="305"/>
      <c r="R91" s="305"/>
      <c r="S91" s="305"/>
      <c r="T91" s="305"/>
      <c r="U91" s="305"/>
      <c r="V91" s="305"/>
      <c r="W91" s="305"/>
      <c r="X91" s="305"/>
      <c r="Y91" s="305"/>
      <c r="Z91" s="305"/>
      <c r="AA91" s="305"/>
    </row>
    <row r="92" spans="1:27" x14ac:dyDescent="0.25">
      <c r="F92" s="305"/>
      <c r="G92" s="305"/>
      <c r="H92" s="305"/>
      <c r="I92" s="305"/>
      <c r="J92" s="305"/>
      <c r="K92" s="305"/>
      <c r="L92" s="305"/>
      <c r="M92" s="305"/>
      <c r="N92" s="305"/>
      <c r="O92" s="305"/>
      <c r="P92" s="305"/>
      <c r="Q92" s="305"/>
      <c r="R92" s="305"/>
      <c r="S92" s="305"/>
      <c r="T92" s="305"/>
      <c r="U92" s="305"/>
      <c r="V92" s="305"/>
      <c r="W92" s="305"/>
      <c r="X92" s="305"/>
      <c r="Y92" s="305"/>
      <c r="Z92" s="305"/>
      <c r="AA92" s="305"/>
    </row>
    <row r="93" spans="1:27" x14ac:dyDescent="0.25">
      <c r="L93" s="305"/>
      <c r="M93" s="305"/>
      <c r="N93" s="305"/>
      <c r="O93" s="305"/>
      <c r="P93" s="305"/>
      <c r="Q93" s="305"/>
      <c r="R93" s="305"/>
      <c r="S93" s="305"/>
      <c r="T93" s="305"/>
      <c r="U93" s="305"/>
      <c r="V93" s="305"/>
      <c r="W93" s="305"/>
      <c r="X93" s="305"/>
      <c r="Y93" s="305"/>
      <c r="Z93" s="305"/>
      <c r="AA93" s="305"/>
    </row>
    <row r="94" spans="1:27" x14ac:dyDescent="0.25">
      <c r="L94" s="305"/>
      <c r="M94" s="305"/>
      <c r="N94" s="305"/>
      <c r="O94" s="305"/>
      <c r="P94" s="305"/>
      <c r="Q94" s="305"/>
      <c r="R94" s="305"/>
      <c r="S94" s="305"/>
      <c r="T94" s="305"/>
      <c r="U94" s="305"/>
      <c r="V94" s="305"/>
      <c r="W94" s="305"/>
      <c r="X94" s="305"/>
      <c r="Y94" s="305"/>
      <c r="Z94" s="305"/>
      <c r="AA94" s="305"/>
    </row>
    <row r="95" spans="1:27" x14ac:dyDescent="0.25">
      <c r="L95" s="305"/>
      <c r="M95" s="305"/>
      <c r="N95" s="305"/>
      <c r="O95" s="305"/>
      <c r="P95" s="305"/>
      <c r="Q95" s="305"/>
      <c r="R95" s="305"/>
      <c r="S95" s="305"/>
      <c r="T95" s="305"/>
      <c r="U95" s="305"/>
      <c r="V95" s="305"/>
      <c r="W95" s="305"/>
      <c r="X95" s="305"/>
      <c r="Y95" s="305"/>
      <c r="Z95" s="305"/>
      <c r="AA95" s="305"/>
    </row>
    <row r="96" spans="1:27" x14ac:dyDescent="0.25">
      <c r="L96" s="305"/>
      <c r="M96" s="305"/>
      <c r="N96" s="305"/>
      <c r="O96" s="305"/>
      <c r="P96" s="305"/>
      <c r="Q96" s="305"/>
      <c r="R96" s="305"/>
      <c r="S96" s="305"/>
      <c r="T96" s="305"/>
      <c r="U96" s="305"/>
      <c r="V96" s="305"/>
      <c r="W96" s="305"/>
      <c r="X96" s="305"/>
      <c r="Y96" s="305"/>
      <c r="Z96" s="305"/>
      <c r="AA96" s="305"/>
    </row>
    <row r="97" spans="12:27" x14ac:dyDescent="0.25">
      <c r="L97" s="305"/>
      <c r="M97" s="305"/>
      <c r="N97" s="305"/>
      <c r="O97" s="305"/>
      <c r="P97" s="305"/>
      <c r="Q97" s="305"/>
      <c r="R97" s="305"/>
      <c r="S97" s="305"/>
      <c r="T97" s="305"/>
      <c r="U97" s="305"/>
      <c r="V97" s="305"/>
      <c r="W97" s="305"/>
      <c r="X97" s="305"/>
      <c r="Y97" s="305"/>
      <c r="Z97" s="305"/>
      <c r="AA97" s="305"/>
    </row>
    <row r="98" spans="12:27" x14ac:dyDescent="0.25">
      <c r="L98" s="305"/>
      <c r="M98" s="305"/>
      <c r="N98" s="305"/>
      <c r="O98" s="305"/>
      <c r="P98" s="305"/>
      <c r="Q98" s="305"/>
      <c r="R98" s="305"/>
      <c r="S98" s="305"/>
      <c r="T98" s="305"/>
      <c r="U98" s="305"/>
      <c r="V98" s="305"/>
      <c r="W98" s="305"/>
      <c r="X98" s="305"/>
      <c r="Y98" s="305"/>
      <c r="Z98" s="305"/>
      <c r="AA98" s="305"/>
    </row>
    <row r="99" spans="12:27" x14ac:dyDescent="0.25">
      <c r="L99" s="305"/>
      <c r="M99" s="305"/>
      <c r="N99" s="305"/>
      <c r="O99" s="305"/>
      <c r="P99" s="305"/>
      <c r="Q99" s="305"/>
      <c r="R99" s="305"/>
      <c r="S99" s="305"/>
      <c r="T99" s="305"/>
      <c r="U99" s="305"/>
      <c r="V99" s="305"/>
      <c r="W99" s="305"/>
      <c r="X99" s="305"/>
      <c r="Y99" s="305"/>
      <c r="Z99" s="305"/>
      <c r="AA99" s="305"/>
    </row>
    <row r="100" spans="12:27" x14ac:dyDescent="0.25">
      <c r="L100" s="305"/>
      <c r="M100" s="305"/>
      <c r="N100" s="305"/>
      <c r="O100" s="305"/>
      <c r="P100" s="305"/>
      <c r="Q100" s="305"/>
      <c r="R100" s="305"/>
      <c r="S100" s="305"/>
      <c r="T100" s="305"/>
      <c r="U100" s="305"/>
      <c r="V100" s="305"/>
      <c r="W100" s="305"/>
      <c r="X100" s="305"/>
      <c r="Y100" s="305"/>
      <c r="Z100" s="305"/>
      <c r="AA100" s="305"/>
    </row>
    <row r="101" spans="12:27" x14ac:dyDescent="0.25">
      <c r="L101" s="305"/>
      <c r="M101" s="305"/>
      <c r="N101" s="305"/>
      <c r="O101" s="305"/>
      <c r="P101" s="305"/>
      <c r="Q101" s="305"/>
      <c r="R101" s="305"/>
      <c r="S101" s="305"/>
      <c r="T101" s="305"/>
      <c r="U101" s="305"/>
      <c r="V101" s="305"/>
      <c r="W101" s="305"/>
      <c r="X101" s="305"/>
      <c r="Y101" s="305"/>
      <c r="Z101" s="305"/>
      <c r="AA101" s="305"/>
    </row>
    <row r="102" spans="12:27" x14ac:dyDescent="0.25">
      <c r="L102" s="305"/>
      <c r="M102" s="305"/>
      <c r="N102" s="305"/>
      <c r="O102" s="305"/>
      <c r="P102" s="305"/>
      <c r="Q102" s="305"/>
      <c r="R102" s="305"/>
      <c r="S102" s="305"/>
      <c r="T102" s="305"/>
      <c r="U102" s="305"/>
      <c r="V102" s="305"/>
      <c r="W102" s="305"/>
      <c r="X102" s="305"/>
      <c r="Y102" s="305"/>
      <c r="Z102" s="305"/>
      <c r="AA102" s="305"/>
    </row>
  </sheetData>
  <sheetProtection selectLockedCells="1" autoFilter="0"/>
  <mergeCells count="32">
    <mergeCell ref="A66:D66"/>
    <mergeCell ref="A5:E5"/>
    <mergeCell ref="M17:X17"/>
    <mergeCell ref="E29:F29"/>
    <mergeCell ref="A64:B64"/>
    <mergeCell ref="A63:B63"/>
    <mergeCell ref="A59:B59"/>
    <mergeCell ref="A61:B61"/>
    <mergeCell ref="A58:K58"/>
    <mergeCell ref="A60:B60"/>
    <mergeCell ref="A17:L17"/>
    <mergeCell ref="A14:C14"/>
    <mergeCell ref="R29:S29"/>
    <mergeCell ref="A19:D19"/>
    <mergeCell ref="N19:Q19"/>
    <mergeCell ref="A6:E6"/>
    <mergeCell ref="A67:D67"/>
    <mergeCell ref="A2:F2"/>
    <mergeCell ref="A7:E7"/>
    <mergeCell ref="A3:E3"/>
    <mergeCell ref="A54:E54"/>
    <mergeCell ref="A55:E55"/>
    <mergeCell ref="A33:L33"/>
    <mergeCell ref="I52:J52"/>
    <mergeCell ref="C52:D52"/>
    <mergeCell ref="A4:E4"/>
    <mergeCell ref="A10:F10"/>
    <mergeCell ref="A12:C12"/>
    <mergeCell ref="A13:C13"/>
    <mergeCell ref="A18:D18"/>
    <mergeCell ref="A11:C11"/>
    <mergeCell ref="A8:E8"/>
  </mergeCells>
  <dataValidations count="3">
    <dataValidation type="list" allowBlank="1" showInputMessage="1" showErrorMessage="1" sqref="D11">
      <formula1>"Cilíndrico,Cônico,Não possui"</formula1>
    </dataValidation>
    <dataValidation type="list" allowBlank="1" showInputMessage="1" showErrorMessage="1" sqref="F5">
      <formula1>"Sim,Não,Disparador fora da sala,NA"</formula1>
    </dataValidation>
    <dataValidation type="list" allowBlank="1" showInputMessage="1" showErrorMessage="1" sqref="E66:E67">
      <formula1>"Sim,Não"</formula1>
    </dataValidation>
  </dataValidations>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Tabelas2!$D$7:$D$9</xm:f>
          </x14:formula1>
          <xm:sqref>F8</xm:sqref>
        </x14:dataValidation>
        <x14:dataValidation type="list" allowBlank="1" showInputMessage="1" showErrorMessage="1">
          <x14:formula1>
            <xm:f>Tabelas2!$D$5:$D$6</xm:f>
          </x14:formula1>
          <xm:sqref>F6:F7 F3:F4 D14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L251"/>
  <sheetViews>
    <sheetView view="pageBreakPreview" zoomScale="90" zoomScaleNormal="100" zoomScaleSheetLayoutView="90" workbookViewId="0">
      <pane ySplit="1" topLeftCell="A183" activePane="bottomLeft" state="frozen"/>
      <selection activeCell="C12" sqref="C12:J13"/>
      <selection pane="bottomLeft" activeCell="K209" sqref="K209"/>
    </sheetView>
  </sheetViews>
  <sheetFormatPr defaultColWidth="9.140625" defaultRowHeight="15" customHeight="1" x14ac:dyDescent="0.25"/>
  <cols>
    <col min="1" max="2" width="9.140625" style="2118"/>
    <col min="3" max="8" width="10.140625" style="2118" bestFit="1" customWidth="1"/>
    <col min="9" max="10" width="9.140625" style="2118" customWidth="1"/>
    <col min="11" max="11" width="10.5703125" style="2118" bestFit="1" customWidth="1"/>
    <col min="12" max="16384" width="9.140625" style="2118"/>
  </cols>
  <sheetData>
    <row r="1" spans="1:11" s="2120" customFormat="1" ht="15" customHeight="1" x14ac:dyDescent="0.25">
      <c r="A1" s="2882" t="e">
        <f>Cabeçalho!B6</f>
        <v>#N/A</v>
      </c>
      <c r="B1" s="2882"/>
      <c r="C1" s="2882"/>
      <c r="D1" s="2882"/>
      <c r="E1" s="2745" t="e">
        <f>IF(Cabeçalho!$B$15="",CONCATENATE(LOOKUP(Cabeçalho!$B$14,Tabelas2!$A$23:$A$32,Tabelas2!$B$23:$B$32),IF(Cabeçalho!$B$16&lt;&gt;0," - ",""),UPPER(Cabeçalho!$B$16)),CONCATENATE(LOOKUP(Cabeçalho!$B$14,Tabelas2!$A$23:$A$32,Tabelas2!$B$23:$B$32)," - ",Cabeçalho!$B$15," - ",UPPER(Cabeçalho!$B$16)))</f>
        <v>#N/A</v>
      </c>
      <c r="F1" s="2745"/>
      <c r="G1" s="2745"/>
      <c r="H1" s="2745"/>
      <c r="I1" s="2123" t="s">
        <v>112</v>
      </c>
      <c r="J1" s="278" t="e">
        <f>Cabeçalho!B12</f>
        <v>#N/A</v>
      </c>
      <c r="K1" s="2185" t="s">
        <v>648</v>
      </c>
    </row>
    <row r="3" spans="1:11" ht="15" customHeight="1" x14ac:dyDescent="0.25">
      <c r="A3" s="2483" t="s">
        <v>113</v>
      </c>
      <c r="B3" s="2483"/>
      <c r="C3" s="2483"/>
      <c r="D3" s="2483"/>
      <c r="E3" s="2483"/>
      <c r="F3" s="2483"/>
      <c r="G3" s="2483"/>
      <c r="H3" s="2483"/>
      <c r="I3" s="2483"/>
    </row>
    <row r="5" spans="1:11" ht="15" customHeight="1" x14ac:dyDescent="0.25">
      <c r="A5" s="2483" t="s">
        <v>114</v>
      </c>
      <c r="B5" s="2483"/>
      <c r="C5" s="2483"/>
      <c r="D5" s="2483"/>
      <c r="E5" s="2483"/>
      <c r="F5" s="2483"/>
      <c r="G5" s="2483"/>
      <c r="H5" s="2483"/>
      <c r="I5" s="2483"/>
    </row>
    <row r="9" spans="1:11" ht="15" customHeight="1" x14ac:dyDescent="0.25">
      <c r="C9" s="2484" t="e">
        <f>Cabeçalho!B6</f>
        <v>#N/A</v>
      </c>
      <c r="D9" s="2484"/>
      <c r="E9" s="2484"/>
      <c r="F9" s="2484"/>
      <c r="G9" s="2484"/>
      <c r="H9" s="2484"/>
      <c r="I9" s="2484"/>
      <c r="J9" s="2484"/>
    </row>
    <row r="10" spans="1:11" ht="15" customHeight="1" x14ac:dyDescent="0.25">
      <c r="B10" s="280"/>
      <c r="C10" s="2484"/>
      <c r="D10" s="2484"/>
      <c r="E10" s="2484"/>
      <c r="F10" s="2484"/>
      <c r="G10" s="2484"/>
      <c r="H10" s="2484"/>
      <c r="I10" s="2484"/>
      <c r="J10" s="2484"/>
    </row>
    <row r="11" spans="1:11" ht="15" customHeight="1" x14ac:dyDescent="0.25">
      <c r="B11" s="281"/>
      <c r="C11" s="281"/>
      <c r="D11" s="281"/>
      <c r="E11" s="281"/>
      <c r="F11" s="281"/>
      <c r="G11" s="281"/>
    </row>
    <row r="12" spans="1:11" ht="15" customHeight="1" x14ac:dyDescent="0.25">
      <c r="B12" s="2186"/>
      <c r="C12" s="2478" t="e">
        <f>Cabeçalho!B7</f>
        <v>#N/A</v>
      </c>
      <c r="D12" s="2478"/>
      <c r="E12" s="2478"/>
      <c r="F12" s="2478"/>
      <c r="G12" s="2478"/>
      <c r="H12" s="2478"/>
      <c r="I12" s="2478"/>
      <c r="J12" s="2478"/>
    </row>
    <row r="13" spans="1:11" ht="15" customHeight="1" x14ac:dyDescent="0.25">
      <c r="B13" s="2186"/>
      <c r="C13" s="2478"/>
      <c r="D13" s="2478"/>
      <c r="E13" s="2478"/>
      <c r="F13" s="2478"/>
      <c r="G13" s="2478"/>
      <c r="H13" s="2478"/>
      <c r="I13" s="2478"/>
      <c r="J13" s="2478"/>
    </row>
    <row r="14" spans="1:11" ht="15" customHeight="1" x14ac:dyDescent="0.25">
      <c r="B14" s="2117"/>
      <c r="C14" s="2117"/>
      <c r="D14" s="2117"/>
      <c r="E14" s="2117"/>
      <c r="F14" s="2117"/>
      <c r="G14" s="2117"/>
      <c r="H14" s="2117"/>
      <c r="I14" s="2117"/>
    </row>
    <row r="15" spans="1:11" ht="15" customHeight="1" x14ac:dyDescent="0.25">
      <c r="C15" s="280" t="e">
        <f>Cabeçalho!B8</f>
        <v>#N/A</v>
      </c>
      <c r="E15" s="280" t="e">
        <f>CONCATENATE(Cabeçalho!B9,", ",Cabeçalho!B10)</f>
        <v>#N/A</v>
      </c>
      <c r="G15" s="281"/>
    </row>
    <row r="16" spans="1:11" ht="15" customHeight="1" x14ac:dyDescent="0.25">
      <c r="B16" s="281"/>
      <c r="C16" s="281"/>
      <c r="D16" s="281"/>
      <c r="E16" s="281"/>
      <c r="F16" s="281"/>
      <c r="G16" s="281"/>
    </row>
    <row r="17" spans="1:10" ht="15" customHeight="1" x14ac:dyDescent="0.25">
      <c r="A17" s="2118" t="s">
        <v>115</v>
      </c>
      <c r="C17" s="2486" t="e">
        <f>Cabeçalho!B4</f>
        <v>#N/A</v>
      </c>
      <c r="D17" s="2486"/>
      <c r="E17" s="2486"/>
      <c r="F17" s="2486"/>
      <c r="G17" s="2486"/>
      <c r="H17" s="2486"/>
      <c r="I17" s="2486"/>
      <c r="J17" s="2486"/>
    </row>
    <row r="18" spans="1:10" ht="15" customHeight="1" x14ac:dyDescent="0.25">
      <c r="C18" s="280" t="e">
        <f>Cabeçalho!B5</f>
        <v>#N/A</v>
      </c>
    </row>
    <row r="19" spans="1:10" ht="15" customHeight="1" x14ac:dyDescent="0.25">
      <c r="C19" s="282"/>
    </row>
    <row r="20" spans="1:10" ht="15" customHeight="1" x14ac:dyDescent="0.25">
      <c r="A20" s="2272" t="s">
        <v>2337</v>
      </c>
    </row>
    <row r="21" spans="1:10" ht="15" customHeight="1" x14ac:dyDescent="0.25">
      <c r="C21" s="282"/>
    </row>
    <row r="22" spans="1:10" ht="15" customHeight="1" x14ac:dyDescent="0.25">
      <c r="C22" s="282"/>
    </row>
    <row r="23" spans="1:10" ht="15" customHeight="1" x14ac:dyDescent="0.25">
      <c r="C23" s="282"/>
    </row>
    <row r="24" spans="1:10" ht="15" customHeight="1" x14ac:dyDescent="0.25">
      <c r="A24" s="2467" t="s">
        <v>2338</v>
      </c>
      <c r="B24" s="2467"/>
      <c r="C24" s="2467"/>
      <c r="D24" s="2467" t="s">
        <v>2339</v>
      </c>
      <c r="E24" s="2467"/>
      <c r="F24" s="2467"/>
      <c r="G24" s="2467" t="s">
        <v>2340</v>
      </c>
      <c r="H24" s="2467"/>
      <c r="I24" s="2467"/>
      <c r="J24" s="2467"/>
    </row>
    <row r="25" spans="1:10" s="2272" customFormat="1" ht="15" customHeight="1" x14ac:dyDescent="0.25"/>
    <row r="26" spans="1:10" ht="15" customHeight="1" x14ac:dyDescent="0.25">
      <c r="A26" s="281" t="s">
        <v>116</v>
      </c>
    </row>
    <row r="27" spans="1:10" ht="15" customHeight="1" x14ac:dyDescent="0.25">
      <c r="A27" s="2469" t="str">
        <f>IntroRDC</f>
        <v xml:space="preserve">               Este Laudo Técnico é parte do Programa de Garantia da Qualidade, conforme Resolução da Diretoria Colegiada - RDC 611/2022 da ANVISA.</v>
      </c>
      <c r="B27" s="2469"/>
      <c r="C27" s="2469"/>
      <c r="D27" s="2469"/>
      <c r="E27" s="2469"/>
      <c r="F27" s="2469"/>
      <c r="G27" s="2469"/>
      <c r="H27" s="2469"/>
      <c r="I27" s="2469"/>
      <c r="J27" s="2469"/>
    </row>
    <row r="28" spans="1:10" ht="15" customHeight="1" x14ac:dyDescent="0.25">
      <c r="A28" s="2469"/>
      <c r="B28" s="2469"/>
      <c r="C28" s="2469"/>
      <c r="D28" s="2469"/>
      <c r="E28" s="2469"/>
      <c r="F28" s="2469"/>
      <c r="G28" s="2469"/>
      <c r="H28" s="2469"/>
      <c r="I28" s="2469"/>
      <c r="J28" s="2469"/>
    </row>
    <row r="29" spans="1:10" ht="15" customHeight="1" x14ac:dyDescent="0.25">
      <c r="A29" s="2469" t="str">
        <f>IntroProtocolo</f>
        <v xml:space="preserve">               A metodologia utilizada atende aos "Protocolos para Execução de Testes em Sistemas de Radiologia Diagnóstica e Intervencionista" do CONFEA.</v>
      </c>
      <c r="B29" s="2469"/>
      <c r="C29" s="2469"/>
      <c r="D29" s="2469"/>
      <c r="E29" s="2469"/>
      <c r="F29" s="2469"/>
      <c r="G29" s="2469"/>
      <c r="H29" s="2469"/>
      <c r="I29" s="2469"/>
      <c r="J29" s="2469"/>
    </row>
    <row r="30" spans="1:10" ht="15" customHeight="1" x14ac:dyDescent="0.25">
      <c r="A30" s="2469"/>
      <c r="B30" s="2469"/>
      <c r="C30" s="2469"/>
      <c r="D30" s="2469"/>
      <c r="E30" s="2469"/>
      <c r="F30" s="2469"/>
      <c r="G30" s="2469"/>
      <c r="H30" s="2469"/>
      <c r="I30" s="2469"/>
      <c r="J30" s="2469"/>
    </row>
    <row r="31" spans="1:10" ht="15" customHeight="1" x14ac:dyDescent="0.25">
      <c r="A31" s="2469" t="str">
        <f>IntroNR32</f>
        <v xml:space="preserve">               Serve para comprovação e/ou como subsídio para atendimento da Norma Regulamentadora NR-32 do MTb.</v>
      </c>
      <c r="B31" s="2469"/>
      <c r="C31" s="2469"/>
      <c r="D31" s="2469"/>
      <c r="E31" s="2469"/>
      <c r="F31" s="2469"/>
      <c r="G31" s="2469"/>
      <c r="H31" s="2469"/>
      <c r="I31" s="2469"/>
      <c r="J31" s="2469"/>
    </row>
    <row r="32" spans="1:10" ht="15" customHeight="1" x14ac:dyDescent="0.25">
      <c r="A32" s="2469"/>
      <c r="B32" s="2469"/>
      <c r="C32" s="2469"/>
      <c r="D32" s="2469"/>
      <c r="E32" s="2469"/>
      <c r="F32" s="2469"/>
      <c r="G32" s="2469"/>
      <c r="H32" s="2469"/>
      <c r="I32" s="2469"/>
      <c r="J32" s="2469"/>
    </row>
    <row r="34" spans="1:11" ht="15" customHeight="1" x14ac:dyDescent="0.25">
      <c r="A34" s="281" t="s">
        <v>117</v>
      </c>
    </row>
    <row r="35" spans="1:11" ht="15" customHeight="1" x14ac:dyDescent="0.25">
      <c r="A35" s="2469" t="str">
        <f>"                 Verificar parâmetros técnicos e condições de desempenho do equipamento de raios X e a conformidade do mesmo com a Instrução Normativa "&amp;VLOOKUP("Intraoral",IN_ANVISA[],2)&amp;"/"&amp;VLOOKUP("Intraoral",IN_ANVISA[],3)&amp;" da ANVISA e a Norma Regulamentadora NR-32 do MTb."</f>
        <v xml:space="preserve">                 Verificar parâmetros técnicos e condições de desempenho do equipamento de raios X e a conformidade do mesmo com a Instrução Normativa 95/2021 da ANVISA e a Norma Regulamentadora NR-32 do MTb.</v>
      </c>
      <c r="B35" s="2469"/>
      <c r="C35" s="2469"/>
      <c r="D35" s="2469"/>
      <c r="E35" s="2469"/>
      <c r="F35" s="2469"/>
      <c r="G35" s="2469"/>
      <c r="H35" s="2469"/>
      <c r="I35" s="2469"/>
      <c r="J35" s="2469"/>
    </row>
    <row r="36" spans="1:11" ht="15" customHeight="1" x14ac:dyDescent="0.25">
      <c r="A36" s="2469"/>
      <c r="B36" s="2469"/>
      <c r="C36" s="2469"/>
      <c r="D36" s="2469"/>
      <c r="E36" s="2469"/>
      <c r="F36" s="2469"/>
      <c r="G36" s="2469"/>
      <c r="H36" s="2469"/>
      <c r="I36" s="2469"/>
      <c r="J36" s="2469"/>
    </row>
    <row r="37" spans="1:11" ht="15" customHeight="1" x14ac:dyDescent="0.25">
      <c r="A37" s="2469"/>
      <c r="B37" s="2469"/>
      <c r="C37" s="2469"/>
      <c r="D37" s="2469"/>
      <c r="E37" s="2469"/>
      <c r="F37" s="2469"/>
      <c r="G37" s="2469"/>
      <c r="H37" s="2469"/>
      <c r="I37" s="2469"/>
      <c r="J37" s="2469"/>
    </row>
    <row r="38" spans="1:11" ht="15" customHeight="1" x14ac:dyDescent="0.25">
      <c r="A38" s="2469" t="str">
        <f>OBJETIVO</f>
        <v xml:space="preserve">                Fornecer elementos para aceitação ou rejeição do equipamento, bem como para corrigir eventuais desvios, falhas e anomalias.</v>
      </c>
      <c r="B38" s="2469"/>
      <c r="C38" s="2469"/>
      <c r="D38" s="2469"/>
      <c r="E38" s="2469"/>
      <c r="F38" s="2469"/>
      <c r="G38" s="2469"/>
      <c r="H38" s="2469"/>
      <c r="I38" s="2469"/>
      <c r="J38" s="2469"/>
    </row>
    <row r="39" spans="1:11" ht="15" customHeight="1" x14ac:dyDescent="0.25">
      <c r="A39" s="2469"/>
      <c r="B39" s="2469"/>
      <c r="C39" s="2469"/>
      <c r="D39" s="2469"/>
      <c r="E39" s="2469"/>
      <c r="F39" s="2469"/>
      <c r="G39" s="2469"/>
      <c r="H39" s="2469"/>
      <c r="I39" s="2469"/>
      <c r="J39" s="2469"/>
    </row>
    <row r="40" spans="1:11" ht="15" customHeight="1" x14ac:dyDescent="0.25">
      <c r="A40" s="2469" t="str">
        <f>ObjetivoCorreções</f>
        <v xml:space="preserve">               Verificar possíveis correções realizadas após o laudo de 00/01/00 deste mesmo equipamento.</v>
      </c>
      <c r="B40" s="2469"/>
      <c r="C40" s="2469"/>
      <c r="D40" s="2469"/>
      <c r="E40" s="2469"/>
      <c r="F40" s="2469"/>
      <c r="G40" s="2469"/>
      <c r="H40" s="2469"/>
      <c r="I40" s="2469"/>
      <c r="J40" s="2469"/>
      <c r="K40" s="2118" t="str">
        <f>IF(Cabeçalho!$B$17="","x","")</f>
        <v>x</v>
      </c>
    </row>
    <row r="41" spans="1:11" ht="15" customHeight="1" x14ac:dyDescent="0.25">
      <c r="A41" s="2469"/>
      <c r="B41" s="2469"/>
      <c r="C41" s="2469"/>
      <c r="D41" s="2469"/>
      <c r="E41" s="2469"/>
      <c r="F41" s="2469"/>
      <c r="G41" s="2469"/>
      <c r="H41" s="2469"/>
      <c r="I41" s="2469"/>
      <c r="J41" s="2469"/>
      <c r="K41" s="2118" t="str">
        <f>K40</f>
        <v>x</v>
      </c>
    </row>
    <row r="43" spans="1:11" ht="15" customHeight="1" x14ac:dyDescent="0.25">
      <c r="A43" s="281" t="s">
        <v>118</v>
      </c>
    </row>
    <row r="44" spans="1:11" ht="15" customHeight="1" x14ac:dyDescent="0.25">
      <c r="A44" s="2465" t="s">
        <v>119</v>
      </c>
      <c r="B44" s="2465"/>
      <c r="C44" s="2465"/>
      <c r="D44" s="2465" t="s">
        <v>120</v>
      </c>
      <c r="E44" s="2465"/>
      <c r="F44" s="2465"/>
      <c r="G44" s="2465" t="s">
        <v>121</v>
      </c>
      <c r="H44" s="2465"/>
      <c r="I44" s="2465" t="s">
        <v>475</v>
      </c>
      <c r="J44" s="2465"/>
    </row>
    <row r="45" spans="1:11" ht="15" customHeight="1" x14ac:dyDescent="0.25">
      <c r="A45" s="2482" t="str">
        <f>IF(Cabeçalho!G3="","*",Cabeçalho!G3)</f>
        <v>*</v>
      </c>
      <c r="B45" s="2482"/>
      <c r="C45" s="2482"/>
      <c r="D45" s="2472" t="str">
        <f>IF(Cabeçalho!G4="","*",Cabeçalho!G4)</f>
        <v>*</v>
      </c>
      <c r="E45" s="2472"/>
      <c r="F45" s="2472"/>
      <c r="G45" s="2472" t="str">
        <f>IF(Cabeçalho!G5="","*",Cabeçalho!G5)</f>
        <v>*</v>
      </c>
      <c r="H45" s="2472"/>
      <c r="I45" s="2472" t="str">
        <f>IF(Cabeçalho!G6="","*",Cabeçalho!G6)</f>
        <v>*</v>
      </c>
      <c r="J45" s="2472"/>
    </row>
    <row r="46" spans="1:11" ht="15" customHeight="1" x14ac:dyDescent="0.25">
      <c r="A46" s="2482"/>
      <c r="B46" s="2482"/>
      <c r="C46" s="2482"/>
      <c r="D46" s="2472"/>
      <c r="E46" s="2472"/>
      <c r="F46" s="2472"/>
      <c r="G46" s="2472"/>
      <c r="H46" s="2472"/>
      <c r="I46" s="2472"/>
      <c r="J46" s="2472"/>
    </row>
    <row r="47" spans="1:11" ht="15" customHeight="1" x14ac:dyDescent="0.25">
      <c r="A47" s="284" t="s">
        <v>835</v>
      </c>
    </row>
    <row r="48" spans="1:11" ht="15" customHeight="1" x14ac:dyDescent="0.25">
      <c r="A48" s="2475" t="s">
        <v>124</v>
      </c>
      <c r="B48" s="2475"/>
      <c r="C48" s="2475"/>
      <c r="D48" s="2475"/>
      <c r="E48" s="2473" t="s">
        <v>646</v>
      </c>
      <c r="F48" s="2473"/>
      <c r="G48" s="2473"/>
      <c r="H48" s="2473"/>
      <c r="I48" s="2473"/>
      <c r="J48" s="2473"/>
    </row>
    <row r="49" spans="1:10" ht="15" customHeight="1" x14ac:dyDescent="0.25">
      <c r="E49" s="2119"/>
      <c r="F49" s="2119"/>
      <c r="G49" s="2119"/>
      <c r="H49" s="2119"/>
      <c r="I49" s="2119"/>
      <c r="J49" s="2119"/>
    </row>
    <row r="50" spans="1:10" ht="15" customHeight="1" x14ac:dyDescent="0.25">
      <c r="A50" s="2473" t="s">
        <v>367</v>
      </c>
      <c r="B50" s="2473"/>
      <c r="C50" s="2473"/>
      <c r="D50" s="2473"/>
      <c r="E50" s="2473" t="str">
        <f>IF(Cabeçalho!G25=60,"Retificado em meia onda",IF(Cabeçalho!G25=120,"Retificado em onda completa",IF(Cabeçalho!G25="---","Retificado em alta frequência","Descarga capacitiva")))</f>
        <v>Descarga capacitiva</v>
      </c>
      <c r="F50" s="2473"/>
      <c r="G50" s="2473"/>
      <c r="H50" s="2473"/>
      <c r="I50" s="2473"/>
      <c r="J50" s="2473"/>
    </row>
    <row r="51" spans="1:10" ht="15" customHeight="1" x14ac:dyDescent="0.25">
      <c r="A51" s="2119" t="s">
        <v>1856</v>
      </c>
      <c r="B51" s="2119"/>
      <c r="C51" s="2119"/>
      <c r="D51" s="2119"/>
      <c r="E51" s="2256" t="str">
        <f>IF(Cabeçalho!G20&lt;&gt;"",Cabeçalho!G20,"NI")</f>
        <v>NI</v>
      </c>
    </row>
    <row r="52" spans="1:10" ht="15" customHeight="1" x14ac:dyDescent="0.25">
      <c r="A52" s="2118" t="s">
        <v>2349</v>
      </c>
      <c r="E52" s="2225" t="str">
        <f>IF(Cabeçalho!E24&lt;&gt;"",Cabeçalho!E24,"NI")</f>
        <v>NI</v>
      </c>
    </row>
    <row r="53" spans="1:10" ht="15" customHeight="1" x14ac:dyDescent="0.25">
      <c r="A53" s="2118" t="s">
        <v>2350</v>
      </c>
      <c r="E53" s="2225" t="str">
        <f>IF(Cabeçalho!G22&lt;&gt;"",Cabeçalho!G22,"NI")</f>
        <v>NI</v>
      </c>
    </row>
    <row r="54" spans="1:10" ht="15" customHeight="1" x14ac:dyDescent="0.25">
      <c r="A54" s="2118" t="s">
        <v>2351</v>
      </c>
      <c r="E54" s="2225" t="str">
        <f>IF(Cabeçalho!G23&lt;&gt;"",Cabeçalho!G23,"NI")</f>
        <v>NI</v>
      </c>
    </row>
    <row r="55" spans="1:10" ht="15" customHeight="1" x14ac:dyDescent="0.25">
      <c r="A55" s="2118" t="s">
        <v>2352</v>
      </c>
      <c r="E55" s="2225" t="str">
        <f>IF(Cabeçalho!E25&lt;&gt;"",Cabeçalho!E25,"NI")</f>
        <v>NI</v>
      </c>
    </row>
    <row r="56" spans="1:10" ht="15" customHeight="1" x14ac:dyDescent="0.25">
      <c r="A56" s="2118" t="s">
        <v>2353</v>
      </c>
      <c r="C56" s="2474"/>
      <c r="D56" s="2474"/>
      <c r="E56" s="2265" t="str">
        <f>IF(Cabeçalho!E22&lt;&gt;"",Cabeçalho!E22,"NI")</f>
        <v>NI</v>
      </c>
    </row>
    <row r="57" spans="1:10" ht="15" customHeight="1" x14ac:dyDescent="0.25">
      <c r="A57" s="2473" t="s">
        <v>2354</v>
      </c>
      <c r="B57" s="2473"/>
      <c r="C57" s="2122"/>
      <c r="D57" s="2122"/>
      <c r="E57" s="2225" t="str">
        <f>IF(Cabeçalho!E23&lt;&gt;"",Cabeçalho!E23,"NI")</f>
        <v>NI</v>
      </c>
      <c r="F57" s="2119"/>
    </row>
    <row r="58" spans="1:10" ht="15" customHeight="1" x14ac:dyDescent="0.25">
      <c r="A58" s="2118" t="s">
        <v>2355</v>
      </c>
      <c r="E58" s="2256" t="str">
        <f>IF(Cabeçalho!B15&lt;&gt;"",Cabeçalho!B15,"NI")</f>
        <v>NI</v>
      </c>
    </row>
    <row r="59" spans="1:10" s="2272" customFormat="1" ht="15" customHeight="1" x14ac:dyDescent="0.25">
      <c r="A59" s="2473" t="s">
        <v>2328</v>
      </c>
      <c r="B59" s="2473"/>
      <c r="C59" s="2473"/>
      <c r="D59" s="2473"/>
      <c r="E59" s="2273" t="str">
        <f>IF(Cabeçalho!E26&lt;&gt;"",Cabeçalho!E26,"NI")</f>
        <v>NI</v>
      </c>
    </row>
    <row r="60" spans="1:10" s="2308" customFormat="1" ht="15" customHeight="1" x14ac:dyDescent="0.25">
      <c r="A60" s="2162" t="s">
        <v>2678</v>
      </c>
      <c r="B60" s="2309"/>
      <c r="C60" s="2309"/>
      <c r="D60" s="2309"/>
      <c r="E60" s="2309"/>
    </row>
    <row r="61" spans="1:10" s="2137" customFormat="1" ht="15" customHeight="1" x14ac:dyDescent="0.25">
      <c r="A61" s="2138"/>
      <c r="B61" s="2138"/>
      <c r="C61" s="2138"/>
      <c r="D61" s="2138"/>
      <c r="E61" s="2138"/>
      <c r="F61" s="2138"/>
      <c r="G61" s="2138"/>
      <c r="H61" s="2138"/>
      <c r="I61" s="2138"/>
      <c r="J61" s="2138"/>
    </row>
    <row r="62" spans="1:10" ht="15" customHeight="1" x14ac:dyDescent="0.25">
      <c r="A62" s="281" t="s">
        <v>125</v>
      </c>
    </row>
    <row r="63" spans="1:10" ht="15" customHeight="1" x14ac:dyDescent="0.25">
      <c r="A63" s="2465" t="s">
        <v>129</v>
      </c>
      <c r="B63" s="2465"/>
      <c r="C63" s="2465"/>
      <c r="D63" s="2465"/>
      <c r="E63" s="2465"/>
      <c r="F63" s="2116" t="s">
        <v>368</v>
      </c>
      <c r="G63" s="2465" t="s">
        <v>369</v>
      </c>
      <c r="H63" s="2465"/>
      <c r="I63" s="2465"/>
    </row>
    <row r="64" spans="1:10" ht="15" customHeight="1" x14ac:dyDescent="0.25">
      <c r="A64" s="2471" t="s">
        <v>127</v>
      </c>
      <c r="B64" s="2471"/>
      <c r="C64" s="2471"/>
      <c r="D64" s="2471"/>
      <c r="E64" s="2471"/>
      <c r="F64" s="2015" t="str">
        <f>intraoral!B1</f>
        <v>IN 95</v>
      </c>
      <c r="G64" s="2741">
        <f>intraoral!F4</f>
        <v>0</v>
      </c>
      <c r="H64" s="2741"/>
      <c r="I64" s="2741"/>
    </row>
    <row r="65" spans="1:10" ht="15" customHeight="1" x14ac:dyDescent="0.25">
      <c r="A65" s="2471" t="s">
        <v>411</v>
      </c>
      <c r="B65" s="2471"/>
      <c r="C65" s="2471"/>
      <c r="D65" s="2471"/>
      <c r="E65" s="2471"/>
      <c r="F65" s="2015" t="str">
        <f>F64&amp;" / NR-32"</f>
        <v>IN 95 / NR-32</v>
      </c>
      <c r="G65" s="2741">
        <f>IF(intraoral!F5="Sim","≥ 2 metros",IF(intraoral!F5="Não","&lt; 2 metros",intraoral!F5))</f>
        <v>0</v>
      </c>
      <c r="H65" s="2741"/>
      <c r="I65" s="2741"/>
    </row>
    <row r="66" spans="1:10" s="2335" customFormat="1" ht="15" customHeight="1" x14ac:dyDescent="0.25">
      <c r="A66" s="2471" t="s">
        <v>2820</v>
      </c>
      <c r="B66" s="2471"/>
      <c r="C66" s="2471"/>
      <c r="D66" s="2471"/>
      <c r="E66" s="2471"/>
      <c r="F66" s="2015" t="s">
        <v>2821</v>
      </c>
      <c r="G66" s="2741">
        <f>IF(intraoral!F6="Sim","≥ 2 metros",IF(intraoral!F6="Não","&lt; 2 metros",intraoral!F6))</f>
        <v>0</v>
      </c>
      <c r="H66" s="2741"/>
      <c r="I66" s="2741"/>
    </row>
    <row r="67" spans="1:10" ht="15" customHeight="1" x14ac:dyDescent="0.25">
      <c r="A67" s="2187" t="s">
        <v>2247</v>
      </c>
      <c r="B67" s="2188"/>
      <c r="C67" s="2188"/>
      <c r="D67" s="2188"/>
      <c r="E67" s="2188"/>
      <c r="F67" s="2188"/>
      <c r="G67" s="2188"/>
      <c r="H67" s="2188"/>
      <c r="I67" s="2188"/>
    </row>
    <row r="68" spans="1:10" ht="15" customHeight="1" x14ac:dyDescent="0.25">
      <c r="A68" s="281"/>
    </row>
    <row r="69" spans="1:10" ht="15" customHeight="1" x14ac:dyDescent="0.25">
      <c r="A69" s="281" t="s">
        <v>285</v>
      </c>
    </row>
    <row r="70" spans="1:10" ht="15" customHeight="1" x14ac:dyDescent="0.25">
      <c r="A70" s="2465" t="s">
        <v>129</v>
      </c>
      <c r="B70" s="2465"/>
      <c r="C70" s="2465"/>
      <c r="D70" s="2465"/>
      <c r="E70" s="2465"/>
      <c r="F70" s="2116" t="s">
        <v>368</v>
      </c>
      <c r="G70" s="2465" t="s">
        <v>369</v>
      </c>
      <c r="H70" s="2465"/>
      <c r="I70" s="2465"/>
    </row>
    <row r="71" spans="1:10" ht="15" customHeight="1" x14ac:dyDescent="0.25">
      <c r="A71" s="2471" t="s">
        <v>559</v>
      </c>
      <c r="B71" s="2471"/>
      <c r="C71" s="2471"/>
      <c r="D71" s="2471"/>
      <c r="E71" s="2471"/>
      <c r="F71" s="2015" t="str">
        <f>intraoral!B1</f>
        <v>IN 95</v>
      </c>
      <c r="G71" s="2741" t="str">
        <f>IF(intraoral!R19="",CONCATENATE(intraoral!E19," kVp"),CONCATENATE(intraoral!E19," kVp ou ",intraoral!R19," kVp"))</f>
        <v>0 kVp</v>
      </c>
      <c r="H71" s="2741"/>
      <c r="I71" s="2741"/>
    </row>
    <row r="72" spans="1:10" ht="15" customHeight="1" x14ac:dyDescent="0.25">
      <c r="A72" s="2471" t="s">
        <v>560</v>
      </c>
      <c r="B72" s="2471"/>
      <c r="C72" s="2471"/>
      <c r="D72" s="2471"/>
      <c r="E72" s="2471"/>
      <c r="F72" s="2015" t="str">
        <f>F71</f>
        <v>IN 95</v>
      </c>
      <c r="G72" s="2741">
        <f>intraoral!D11</f>
        <v>0</v>
      </c>
      <c r="H72" s="2741"/>
      <c r="I72" s="2741"/>
    </row>
    <row r="73" spans="1:10" ht="15" customHeight="1" x14ac:dyDescent="0.25">
      <c r="A73" s="2471" t="s">
        <v>130</v>
      </c>
      <c r="B73" s="2471"/>
      <c r="C73" s="2471"/>
      <c r="D73" s="2471"/>
      <c r="E73" s="2471"/>
      <c r="F73" s="2015" t="str">
        <f>F72</f>
        <v>IN 95</v>
      </c>
      <c r="G73" s="2741">
        <f>intraoral!F8</f>
        <v>0</v>
      </c>
      <c r="H73" s="2741"/>
      <c r="I73" s="2741"/>
    </row>
    <row r="74" spans="1:10" ht="15" customHeight="1" x14ac:dyDescent="0.25">
      <c r="A74" s="2187" t="s">
        <v>2718</v>
      </c>
      <c r="B74" s="2187"/>
      <c r="C74" s="2187"/>
      <c r="D74" s="2187"/>
      <c r="E74" s="2187"/>
      <c r="F74" s="2187"/>
      <c r="G74" s="2187"/>
      <c r="H74" s="2187"/>
      <c r="I74" s="2187"/>
    </row>
    <row r="76" spans="1:10" ht="15" customHeight="1" x14ac:dyDescent="0.25">
      <c r="A76" s="281" t="s">
        <v>286</v>
      </c>
    </row>
    <row r="77" spans="1:10" ht="15" customHeight="1" x14ac:dyDescent="0.25">
      <c r="A77" s="281" t="s">
        <v>145</v>
      </c>
    </row>
    <row r="78" spans="1:10" ht="30" customHeight="1" x14ac:dyDescent="0.25">
      <c r="A78" s="2118" t="s">
        <v>2356</v>
      </c>
      <c r="C78" s="2468" t="s">
        <v>2360</v>
      </c>
      <c r="D78" s="2468"/>
      <c r="E78" s="2468"/>
      <c r="F78" s="2468"/>
      <c r="G78" s="2468"/>
      <c r="H78" s="2468"/>
      <c r="I78" s="2468"/>
      <c r="J78" s="2468"/>
    </row>
    <row r="79" spans="1:10" ht="15" customHeight="1" x14ac:dyDescent="0.25">
      <c r="A79" s="2118" t="s">
        <v>2358</v>
      </c>
      <c r="C79" s="2118" t="s">
        <v>2492</v>
      </c>
    </row>
    <row r="80" spans="1:10" ht="15" customHeight="1" x14ac:dyDescent="0.25">
      <c r="A80" s="281"/>
    </row>
    <row r="81" spans="1:12" ht="15" customHeight="1" x14ac:dyDescent="0.25">
      <c r="A81" s="281" t="str">
        <f>A99</f>
        <v/>
      </c>
    </row>
    <row r="82" spans="1:12" ht="15" customHeight="1" x14ac:dyDescent="0.25">
      <c r="A82" s="2821" t="s">
        <v>140</v>
      </c>
      <c r="B82" s="2456"/>
      <c r="C82" s="2189">
        <f>intraoral!A21</f>
        <v>0</v>
      </c>
      <c r="D82" s="2189">
        <f>intraoral!A22</f>
        <v>0</v>
      </c>
      <c r="E82" s="2189">
        <f>intraoral!A23</f>
        <v>0</v>
      </c>
      <c r="F82" s="2189">
        <f>intraoral!A24</f>
        <v>0</v>
      </c>
      <c r="G82" s="2189">
        <f>intraoral!A25</f>
        <v>0</v>
      </c>
      <c r="H82" s="2189">
        <f>intraoral!A26</f>
        <v>0</v>
      </c>
      <c r="I82" s="2189">
        <f>intraoral!A27</f>
        <v>0</v>
      </c>
      <c r="J82" s="2190"/>
    </row>
    <row r="83" spans="1:12" ht="15" customHeight="1" x14ac:dyDescent="0.25">
      <c r="A83" s="2821" t="s">
        <v>141</v>
      </c>
      <c r="B83" s="2456"/>
      <c r="C83" s="2191" t="e">
        <f ca="1">intraoral!C21</f>
        <v>#VALUE!</v>
      </c>
      <c r="D83" s="2191" t="e">
        <f ca="1">intraoral!C22</f>
        <v>#VALUE!</v>
      </c>
      <c r="E83" s="2191" t="e">
        <f ca="1">intraoral!C23</f>
        <v>#VALUE!</v>
      </c>
      <c r="F83" s="2191" t="e">
        <f ca="1">intraoral!C24</f>
        <v>#VALUE!</v>
      </c>
      <c r="G83" s="2191" t="e">
        <f ca="1">intraoral!C25</f>
        <v>#VALUE!</v>
      </c>
      <c r="H83" s="2191" t="e">
        <f ca="1">intraoral!C26</f>
        <v>#VALUE!</v>
      </c>
      <c r="I83" s="2191" t="e">
        <f ca="1">intraoral!C27</f>
        <v>#VALUE!</v>
      </c>
      <c r="J83" s="2192"/>
    </row>
    <row r="84" spans="1:12" s="2272" customFormat="1" ht="15" customHeight="1" x14ac:dyDescent="0.25">
      <c r="A84" s="2821" t="s">
        <v>2778</v>
      </c>
      <c r="B84" s="2456"/>
      <c r="C84" s="2191" t="e">
        <f ca="1">intraoral!D21</f>
        <v>#VALUE!</v>
      </c>
      <c r="D84" s="2191" t="e">
        <f ca="1">intraoral!D22</f>
        <v>#VALUE!</v>
      </c>
      <c r="E84" s="2191" t="e">
        <f ca="1">intraoral!D23</f>
        <v>#VALUE!</v>
      </c>
      <c r="F84" s="2191" t="e">
        <f ca="1">intraoral!D24</f>
        <v>#VALUE!</v>
      </c>
      <c r="G84" s="2191" t="e">
        <f ca="1">intraoral!D25</f>
        <v>#VALUE!</v>
      </c>
      <c r="H84" s="2191" t="e">
        <f ca="1">intraoral!D26</f>
        <v>#VALUE!</v>
      </c>
      <c r="I84" s="2191" t="e">
        <f ca="1">intraoral!D27</f>
        <v>#VALUE!</v>
      </c>
      <c r="J84" s="2192"/>
    </row>
    <row r="85" spans="1:12" ht="15" customHeight="1" x14ac:dyDescent="0.25">
      <c r="A85" s="2821" t="str">
        <f>F64</f>
        <v>IN 95</v>
      </c>
      <c r="B85" s="2456"/>
      <c r="C85" s="2176" t="str">
        <f ca="1">IFERROR(IF(ABS((C83-C82)/C82)&lt;=0.2,"Sim",IF(ABS((C82-C83)/C82)&lt;0.4,"Não","Restrição")),"")</f>
        <v/>
      </c>
      <c r="D85" s="2176" t="str">
        <f t="shared" ref="D85:I85" ca="1" si="0">IFERROR(IF(ABS((D83-D82)/D82)&lt;=0.2,"Sim",IF(ABS((D82-D83)/D82)&lt;0.4,"Não","Restrição")),"")</f>
        <v/>
      </c>
      <c r="E85" s="2176" t="str">
        <f t="shared" ca="1" si="0"/>
        <v/>
      </c>
      <c r="F85" s="2176" t="str">
        <f t="shared" ca="1" si="0"/>
        <v/>
      </c>
      <c r="G85" s="2176" t="str">
        <f t="shared" ca="1" si="0"/>
        <v/>
      </c>
      <c r="H85" s="2176" t="str">
        <f t="shared" ca="1" si="0"/>
        <v/>
      </c>
      <c r="I85" s="2176" t="str">
        <f t="shared" ca="1" si="0"/>
        <v/>
      </c>
      <c r="J85" s="2168"/>
      <c r="L85" s="2118" t="str">
        <f ca="1">IF(OR(COUNTIF(C85:I85,"Restrição")&gt;0,COUNTIF(C85:I85,"Não")&gt;0),"Não Conforme","Conforme")</f>
        <v>Conforme</v>
      </c>
    </row>
    <row r="86" spans="1:12" ht="15" customHeight="1" x14ac:dyDescent="0.25">
      <c r="A86" s="2187" t="s">
        <v>2461</v>
      </c>
      <c r="B86" s="2187"/>
      <c r="C86" s="2193"/>
      <c r="D86" s="2193"/>
      <c r="E86" s="2193"/>
      <c r="F86" s="2193"/>
      <c r="G86" s="2193"/>
      <c r="H86" s="2193"/>
      <c r="I86" s="2193"/>
    </row>
    <row r="87" spans="1:12" ht="15" customHeight="1" x14ac:dyDescent="0.25">
      <c r="A87" s="2177"/>
      <c r="B87" s="2177"/>
      <c r="C87" s="2193"/>
      <c r="D87" s="2193"/>
      <c r="E87" s="2193"/>
      <c r="F87" s="2193"/>
      <c r="G87" s="2193"/>
      <c r="H87" s="2193"/>
      <c r="I87" s="2193"/>
    </row>
    <row r="88" spans="1:12" ht="15" customHeight="1" x14ac:dyDescent="0.25">
      <c r="A88" s="281" t="str">
        <f>A104</f>
        <v/>
      </c>
      <c r="B88" s="2177"/>
      <c r="C88" s="2193"/>
      <c r="D88" s="2193"/>
      <c r="E88" s="2193"/>
      <c r="F88" s="2193"/>
      <c r="G88" s="2193"/>
      <c r="H88" s="2193"/>
      <c r="I88" s="2193"/>
      <c r="K88" s="2118" t="str">
        <f>K104</f>
        <v>x</v>
      </c>
    </row>
    <row r="89" spans="1:12" ht="15" customHeight="1" x14ac:dyDescent="0.25">
      <c r="A89" s="2821" t="s">
        <v>140</v>
      </c>
      <c r="B89" s="2456"/>
      <c r="C89" s="2189">
        <f>intraoral!N21</f>
        <v>0</v>
      </c>
      <c r="D89" s="2189">
        <f>intraoral!N22</f>
        <v>0</v>
      </c>
      <c r="E89" s="2189">
        <f>intraoral!N23</f>
        <v>0</v>
      </c>
      <c r="F89" s="2189">
        <f>intraoral!N24</f>
        <v>0</v>
      </c>
      <c r="G89" s="2189">
        <f>intraoral!N25</f>
        <v>0</v>
      </c>
      <c r="H89" s="2189">
        <f>intraoral!N26</f>
        <v>0</v>
      </c>
      <c r="I89" s="2189">
        <f>intraoral!N27</f>
        <v>0</v>
      </c>
      <c r="J89" s="2190"/>
      <c r="K89" s="2118" t="str">
        <f>K105</f>
        <v>x</v>
      </c>
    </row>
    <row r="90" spans="1:12" ht="15" customHeight="1" x14ac:dyDescent="0.25">
      <c r="A90" s="2821" t="s">
        <v>141</v>
      </c>
      <c r="B90" s="2456"/>
      <c r="C90" s="2191" t="e">
        <f ca="1">intraoral!P21</f>
        <v>#VALUE!</v>
      </c>
      <c r="D90" s="2191" t="e">
        <f ca="1">intraoral!P22</f>
        <v>#VALUE!</v>
      </c>
      <c r="E90" s="2191" t="e">
        <f ca="1">intraoral!P23</f>
        <v>#VALUE!</v>
      </c>
      <c r="F90" s="2191" t="e">
        <f ca="1">intraoral!P24</f>
        <v>#VALUE!</v>
      </c>
      <c r="G90" s="2191" t="e">
        <f ca="1">intraoral!P25</f>
        <v>#VALUE!</v>
      </c>
      <c r="H90" s="2191" t="e">
        <f ca="1">intraoral!P26</f>
        <v>#VALUE!</v>
      </c>
      <c r="I90" s="2191" t="e">
        <f ca="1">intraoral!P27</f>
        <v>#VALUE!</v>
      </c>
      <c r="J90" s="2192"/>
      <c r="K90" s="2118" t="str">
        <f>K106</f>
        <v>x</v>
      </c>
    </row>
    <row r="91" spans="1:12" s="2272" customFormat="1" ht="15" customHeight="1" x14ac:dyDescent="0.25">
      <c r="A91" s="2821" t="s">
        <v>2778</v>
      </c>
      <c r="B91" s="2456"/>
      <c r="C91" s="2191" t="e">
        <f ca="1">intraoral!Q21</f>
        <v>#VALUE!</v>
      </c>
      <c r="D91" s="2191" t="e">
        <f ca="1">intraoral!Q22</f>
        <v>#VALUE!</v>
      </c>
      <c r="E91" s="2191" t="e">
        <f ca="1">intraoral!Q23</f>
        <v>#VALUE!</v>
      </c>
      <c r="F91" s="2191" t="e">
        <f ca="1">intraoral!Q24</f>
        <v>#VALUE!</v>
      </c>
      <c r="G91" s="2191" t="e">
        <f ca="1">intraoral!Q25</f>
        <v>#VALUE!</v>
      </c>
      <c r="H91" s="2191" t="e">
        <f ca="1">intraoral!Q26</f>
        <v>#VALUE!</v>
      </c>
      <c r="I91" s="2191" t="e">
        <f ca="1">intraoral!Q27</f>
        <v>#VALUE!</v>
      </c>
      <c r="J91" s="2192"/>
      <c r="K91" s="2285" t="str">
        <f>K107</f>
        <v>x</v>
      </c>
    </row>
    <row r="92" spans="1:12" ht="15" customHeight="1" x14ac:dyDescent="0.25">
      <c r="A92" s="2821" t="str">
        <f>A85</f>
        <v>IN 95</v>
      </c>
      <c r="B92" s="2456"/>
      <c r="C92" s="2176" t="str">
        <f t="shared" ref="C92:I92" ca="1" si="1">IFERROR(IF(ABS((C90-C89)/C89)&lt;=0.2,"Sim",IF(ABS((C89-C90)/C89)&lt;0.4,"Não","Restrição")),"")</f>
        <v/>
      </c>
      <c r="D92" s="2176" t="str">
        <f t="shared" ca="1" si="1"/>
        <v/>
      </c>
      <c r="E92" s="2176" t="str">
        <f t="shared" ca="1" si="1"/>
        <v/>
      </c>
      <c r="F92" s="2176" t="str">
        <f t="shared" ca="1" si="1"/>
        <v/>
      </c>
      <c r="G92" s="2176" t="str">
        <f t="shared" ca="1" si="1"/>
        <v/>
      </c>
      <c r="H92" s="2176" t="str">
        <f t="shared" ca="1" si="1"/>
        <v/>
      </c>
      <c r="I92" s="2176" t="str">
        <f t="shared" ca="1" si="1"/>
        <v/>
      </c>
      <c r="J92" s="2168"/>
      <c r="K92" s="2118" t="str">
        <f>K107</f>
        <v>x</v>
      </c>
      <c r="L92" s="2137" t="str">
        <f ca="1">IF(OR(COUNTIF(C92:I92,"Restrição")&gt;0,COUNTIF(C92:I92,"Não")&gt;0),"Não Conforme","Conforme")</f>
        <v>Conforme</v>
      </c>
    </row>
    <row r="93" spans="1:12" ht="15" customHeight="1" x14ac:dyDescent="0.25">
      <c r="A93" s="2468" t="s">
        <v>2723</v>
      </c>
      <c r="B93" s="2468"/>
      <c r="C93" s="2468"/>
      <c r="D93" s="2468"/>
      <c r="E93" s="2468"/>
      <c r="F93" s="2468"/>
      <c r="G93" s="2468"/>
      <c r="H93" s="2468"/>
      <c r="I93" s="2144"/>
      <c r="J93" s="2168"/>
    </row>
    <row r="94" spans="1:12" ht="15" customHeight="1" x14ac:dyDescent="0.25">
      <c r="A94" s="2177" t="s">
        <v>2461</v>
      </c>
      <c r="B94" s="2177"/>
      <c r="C94" s="2193"/>
      <c r="D94" s="2193"/>
      <c r="E94" s="2193"/>
      <c r="F94" s="2193"/>
      <c r="G94" s="2193"/>
      <c r="H94" s="2193"/>
      <c r="I94" s="2193"/>
      <c r="K94" s="2118" t="str">
        <f>K108</f>
        <v>x</v>
      </c>
    </row>
    <row r="95" spans="1:12" ht="15" customHeight="1" x14ac:dyDescent="0.25">
      <c r="A95" s="2177"/>
      <c r="B95" s="2177"/>
      <c r="C95" s="2193"/>
      <c r="D95" s="2193"/>
      <c r="E95" s="2193"/>
      <c r="F95" s="2193"/>
      <c r="G95" s="2193"/>
      <c r="H95" s="2193"/>
      <c r="I95" s="2193"/>
    </row>
    <row r="96" spans="1:12" ht="15" customHeight="1" x14ac:dyDescent="0.25">
      <c r="A96" s="281" t="s">
        <v>1272</v>
      </c>
      <c r="C96" s="2194"/>
      <c r="D96" s="2194"/>
      <c r="E96" s="2194"/>
      <c r="F96" s="2194"/>
      <c r="G96" s="2194"/>
      <c r="H96" s="2194"/>
      <c r="I96" s="2194"/>
    </row>
    <row r="97" spans="1:12" ht="44.25" customHeight="1" x14ac:dyDescent="0.25">
      <c r="A97" s="2118" t="s">
        <v>2356</v>
      </c>
      <c r="C97" s="2468" t="s">
        <v>2487</v>
      </c>
      <c r="D97" s="2468"/>
      <c r="E97" s="2468"/>
      <c r="F97" s="2468"/>
      <c r="G97" s="2468"/>
      <c r="H97" s="2468"/>
      <c r="I97" s="2468"/>
      <c r="J97" s="2468"/>
    </row>
    <row r="98" spans="1:12" ht="15" customHeight="1" x14ac:dyDescent="0.25">
      <c r="A98" s="2118" t="s">
        <v>2358</v>
      </c>
      <c r="C98" s="2118" t="s">
        <v>2492</v>
      </c>
    </row>
    <row r="99" spans="1:12" ht="15" customHeight="1" x14ac:dyDescent="0.25">
      <c r="A99" s="2195" t="str">
        <f>IF(intraoral!R19="","",CONCATENATE("@ ",intraoral!E19," kVp"))</f>
        <v/>
      </c>
      <c r="B99" s="2195"/>
      <c r="C99" s="2194"/>
      <c r="D99" s="2194"/>
      <c r="E99" s="2194"/>
      <c r="F99" s="2194"/>
      <c r="G99" s="2194"/>
      <c r="H99" s="2194"/>
      <c r="I99" s="2194"/>
    </row>
    <row r="100" spans="1:12" ht="15" customHeight="1" x14ac:dyDescent="0.25">
      <c r="A100" s="2821" t="s">
        <v>140</v>
      </c>
      <c r="B100" s="2456"/>
      <c r="C100" s="2189">
        <f>intraoral!A21</f>
        <v>0</v>
      </c>
      <c r="D100" s="2189">
        <f>intraoral!A22</f>
        <v>0</v>
      </c>
      <c r="E100" s="2189">
        <f>intraoral!A23</f>
        <v>0</v>
      </c>
      <c r="F100" s="2189">
        <f>intraoral!A24</f>
        <v>0</v>
      </c>
      <c r="G100" s="2189">
        <f>intraoral!A25</f>
        <v>0</v>
      </c>
      <c r="H100" s="2189">
        <f>intraoral!A26</f>
        <v>0</v>
      </c>
      <c r="I100" s="2189">
        <f>intraoral!A27</f>
        <v>0</v>
      </c>
      <c r="J100" s="2168"/>
    </row>
    <row r="101" spans="1:12" ht="15" customHeight="1" x14ac:dyDescent="0.25">
      <c r="A101" s="2821" t="s">
        <v>569</v>
      </c>
      <c r="B101" s="2456"/>
      <c r="C101" s="2196" t="e">
        <f ca="1">intraoral!K21</f>
        <v>#VALUE!</v>
      </c>
      <c r="D101" s="2196" t="e">
        <f ca="1">intraoral!K22</f>
        <v>#VALUE!</v>
      </c>
      <c r="E101" s="2196" t="e">
        <f ca="1">intraoral!K23</f>
        <v>#VALUE!</v>
      </c>
      <c r="F101" s="2196" t="e">
        <f ca="1">intraoral!K24</f>
        <v>#VALUE!</v>
      </c>
      <c r="G101" s="2196" t="e">
        <f ca="1">intraoral!K25</f>
        <v>#VALUE!</v>
      </c>
      <c r="H101" s="2196" t="e">
        <f ca="1">intraoral!K26</f>
        <v>#VALUE!</v>
      </c>
      <c r="I101" s="2196" t="e">
        <f ca="1">intraoral!K27</f>
        <v>#VALUE!</v>
      </c>
      <c r="J101" s="2168"/>
    </row>
    <row r="102" spans="1:12" ht="15" customHeight="1" x14ac:dyDescent="0.25">
      <c r="A102" s="2821" t="str">
        <f>A92</f>
        <v>IN 95</v>
      </c>
      <c r="B102" s="2456"/>
      <c r="C102" s="2176" t="str">
        <f ca="1">IFERROR(IF(C101&gt;3.5,"Não","Sim"),"")</f>
        <v/>
      </c>
      <c r="D102" s="2176" t="str">
        <f t="shared" ref="D102:I102" ca="1" si="2">IFERROR(IF(D101&gt;3.5,"Não","Sim"),"")</f>
        <v/>
      </c>
      <c r="E102" s="2176" t="str">
        <f t="shared" ca="1" si="2"/>
        <v/>
      </c>
      <c r="F102" s="2176" t="str">
        <f t="shared" ca="1" si="2"/>
        <v/>
      </c>
      <c r="G102" s="2176" t="str">
        <f t="shared" ca="1" si="2"/>
        <v/>
      </c>
      <c r="H102" s="2176" t="str">
        <f t="shared" ca="1" si="2"/>
        <v/>
      </c>
      <c r="I102" s="2176" t="str">
        <f t="shared" ca="1" si="2"/>
        <v/>
      </c>
      <c r="J102" s="2168"/>
      <c r="L102" s="2137" t="str">
        <f ca="1">IF(COUNTIF(C102:I102,"Não")&gt;0,"Não Conforme","Conforme")</f>
        <v>Conforme</v>
      </c>
    </row>
    <row r="103" spans="1:12" ht="15" customHeight="1" x14ac:dyDescent="0.25">
      <c r="A103" s="2187" t="s">
        <v>2719</v>
      </c>
      <c r="B103" s="2187"/>
      <c r="C103" s="2193"/>
      <c r="D103" s="2193"/>
      <c r="E103" s="2193"/>
      <c r="F103" s="2193"/>
      <c r="G103" s="2193"/>
      <c r="H103" s="2193"/>
      <c r="I103" s="2193"/>
    </row>
    <row r="104" spans="1:12" ht="15" customHeight="1" x14ac:dyDescent="0.25">
      <c r="A104" s="2195" t="str">
        <f>IF(intraoral!R19="","",CONCATENATE("@ ",intraoral!R19," kVp"))</f>
        <v/>
      </c>
      <c r="B104" s="2195"/>
      <c r="C104" s="2194"/>
      <c r="D104" s="2194"/>
      <c r="E104" s="2194"/>
      <c r="F104" s="2194"/>
      <c r="G104" s="2194"/>
      <c r="H104" s="2194"/>
      <c r="I104" s="2194"/>
      <c r="K104" s="2118" t="str">
        <f>IF(C105=0,"x","")</f>
        <v>x</v>
      </c>
    </row>
    <row r="105" spans="1:12" ht="15" customHeight="1" x14ac:dyDescent="0.25">
      <c r="A105" s="2821" t="s">
        <v>140</v>
      </c>
      <c r="B105" s="2456"/>
      <c r="C105" s="2189">
        <f>intraoral!N21</f>
        <v>0</v>
      </c>
      <c r="D105" s="2189">
        <f>intraoral!N22</f>
        <v>0</v>
      </c>
      <c r="E105" s="2189">
        <f>intraoral!N23</f>
        <v>0</v>
      </c>
      <c r="F105" s="2189">
        <f>intraoral!N24</f>
        <v>0</v>
      </c>
      <c r="G105" s="2189">
        <f>intraoral!N25</f>
        <v>0</v>
      </c>
      <c r="H105" s="2189">
        <f>intraoral!N26</f>
        <v>0</v>
      </c>
      <c r="I105" s="2189">
        <f>intraoral!N27</f>
        <v>0</v>
      </c>
      <c r="J105" s="2168"/>
      <c r="K105" s="2118" t="str">
        <f>K104</f>
        <v>x</v>
      </c>
    </row>
    <row r="106" spans="1:12" ht="15" customHeight="1" x14ac:dyDescent="0.25">
      <c r="A106" s="2821" t="s">
        <v>569</v>
      </c>
      <c r="B106" s="2456"/>
      <c r="C106" s="2196" t="e">
        <f ca="1">intraoral!X21</f>
        <v>#VALUE!</v>
      </c>
      <c r="D106" s="2196" t="e">
        <f ca="1">intraoral!X22</f>
        <v>#VALUE!</v>
      </c>
      <c r="E106" s="2196" t="e">
        <f ca="1">intraoral!X23</f>
        <v>#VALUE!</v>
      </c>
      <c r="F106" s="2196" t="e">
        <f ca="1">intraoral!X24</f>
        <v>#VALUE!</v>
      </c>
      <c r="G106" s="2196" t="e">
        <f ca="1">intraoral!X25</f>
        <v>#VALUE!</v>
      </c>
      <c r="H106" s="2196" t="e">
        <f ca="1">intraoral!X26</f>
        <v>#VALUE!</v>
      </c>
      <c r="I106" s="2196" t="e">
        <f ca="1">intraoral!X27</f>
        <v>#VALUE!</v>
      </c>
      <c r="J106" s="2168"/>
      <c r="K106" s="2118" t="str">
        <f>K105</f>
        <v>x</v>
      </c>
    </row>
    <row r="107" spans="1:12" ht="15" customHeight="1" x14ac:dyDescent="0.25">
      <c r="A107" s="2821" t="str">
        <f>A102</f>
        <v>IN 95</v>
      </c>
      <c r="B107" s="2456"/>
      <c r="C107" s="2176" t="str">
        <f ca="1">IFERROR(IF(C106&gt;3.5,"Não","Sim"),"")</f>
        <v/>
      </c>
      <c r="D107" s="2176" t="str">
        <f t="shared" ref="D107:I107" ca="1" si="3">IFERROR(IF(D106&gt;3.5,"Não","Sim"),"")</f>
        <v/>
      </c>
      <c r="E107" s="2176" t="str">
        <f t="shared" ca="1" si="3"/>
        <v/>
      </c>
      <c r="F107" s="2176" t="str">
        <f t="shared" ca="1" si="3"/>
        <v/>
      </c>
      <c r="G107" s="2176" t="str">
        <f t="shared" ca="1" si="3"/>
        <v/>
      </c>
      <c r="H107" s="2176" t="str">
        <f t="shared" ca="1" si="3"/>
        <v/>
      </c>
      <c r="I107" s="2176" t="str">
        <f t="shared" ca="1" si="3"/>
        <v/>
      </c>
      <c r="J107" s="2168"/>
      <c r="K107" s="2118" t="str">
        <f>K106</f>
        <v>x</v>
      </c>
      <c r="L107" s="2137" t="str">
        <f ca="1">IF(COUNTIF(C107:I107,"Não")&gt;0,"Não Conforme","Conforme")</f>
        <v>Conforme</v>
      </c>
    </row>
    <row r="108" spans="1:12" ht="15" customHeight="1" x14ac:dyDescent="0.25">
      <c r="A108" s="2187" t="s">
        <v>2719</v>
      </c>
      <c r="B108" s="2187"/>
      <c r="C108" s="2177"/>
      <c r="D108" s="2177"/>
      <c r="E108" s="2177"/>
      <c r="F108" s="2177"/>
      <c r="G108" s="2177"/>
      <c r="H108" s="2177"/>
      <c r="I108" s="2177"/>
      <c r="K108" s="2118" t="str">
        <f>K107</f>
        <v>x</v>
      </c>
    </row>
    <row r="109" spans="1:12" ht="15" customHeight="1" x14ac:dyDescent="0.25">
      <c r="A109" s="2468" t="s">
        <v>2724</v>
      </c>
      <c r="B109" s="2468"/>
      <c r="C109" s="2468"/>
      <c r="D109" s="2468"/>
      <c r="E109" s="2468"/>
      <c r="F109" s="2468"/>
      <c r="G109" s="2468"/>
      <c r="H109" s="2468"/>
      <c r="I109" s="2144"/>
    </row>
    <row r="110" spans="1:12" ht="15" customHeight="1" x14ac:dyDescent="0.25">
      <c r="A110" s="2177" t="s">
        <v>2461</v>
      </c>
      <c r="B110" s="2177"/>
      <c r="C110" s="2177"/>
      <c r="D110" s="2177"/>
      <c r="E110" s="2177"/>
      <c r="F110" s="2177"/>
      <c r="G110" s="2177"/>
      <c r="H110" s="2177"/>
      <c r="I110" s="2177"/>
    </row>
    <row r="111" spans="1:12" ht="15" customHeight="1" x14ac:dyDescent="0.25">
      <c r="A111" s="2112"/>
      <c r="B111" s="2112"/>
      <c r="C111" s="2112"/>
      <c r="D111" s="2112"/>
      <c r="E111" s="2112"/>
      <c r="F111" s="2112"/>
      <c r="G111" s="2112"/>
      <c r="H111" s="2112"/>
      <c r="I111" s="2112"/>
    </row>
    <row r="112" spans="1:12" ht="15" customHeight="1" x14ac:dyDescent="0.25">
      <c r="A112" s="281" t="s">
        <v>144</v>
      </c>
    </row>
    <row r="113" spans="1:12" ht="15" customHeight="1" x14ac:dyDescent="0.25">
      <c r="A113" s="2465" t="s">
        <v>146</v>
      </c>
      <c r="B113" s="2465"/>
      <c r="C113" s="2465"/>
      <c r="D113" s="2465" t="s">
        <v>2066</v>
      </c>
      <c r="E113" s="2465"/>
      <c r="F113" s="2465" t="s">
        <v>2362</v>
      </c>
      <c r="G113" s="2465"/>
      <c r="H113" s="2465" t="s">
        <v>369</v>
      </c>
      <c r="I113" s="2465"/>
      <c r="J113" s="2321" t="str">
        <f>intraoral!B1</f>
        <v>IN 95</v>
      </c>
    </row>
    <row r="114" spans="1:12" ht="62.25" customHeight="1" x14ac:dyDescent="0.25">
      <c r="A114" s="2881" t="e">
        <f ca="1">CONCATENATE("Camada semirredutora @ ",ROUND(intraoral!B42,0)," kVp")</f>
        <v>#DIV/0!</v>
      </c>
      <c r="B114" s="2881"/>
      <c r="C114" s="2881"/>
      <c r="D114" s="2879" t="s">
        <v>2361</v>
      </c>
      <c r="E114" s="2879"/>
      <c r="F114" s="2879" t="s">
        <v>2729</v>
      </c>
      <c r="G114" s="2879"/>
      <c r="H114" s="2741" t="e">
        <f ca="1">CONCATENATE(intraoral!E43," mm Al")</f>
        <v>#DIV/0!</v>
      </c>
      <c r="I114" s="2741"/>
      <c r="J114" s="2320" t="str">
        <f ca="1">intraoral!E45</f>
        <v/>
      </c>
      <c r="L114" s="2118" t="str">
        <f t="shared" ref="L114:L122" ca="1" si="4">IF(OR(J114="Não",J114="Restrição"),"Não conforme","Conforme")</f>
        <v>Conforme</v>
      </c>
    </row>
    <row r="115" spans="1:12" ht="62.25" customHeight="1" x14ac:dyDescent="0.25">
      <c r="A115" s="2881" t="str">
        <f>IF(intraoral!R19="","",CONCATENATE("Camada semirredutora @ ",ROUND(intraoral!H42,0)," kVp"))</f>
        <v/>
      </c>
      <c r="B115" s="2881"/>
      <c r="C115" s="2881"/>
      <c r="D115" s="2879" t="s">
        <v>2361</v>
      </c>
      <c r="E115" s="2879"/>
      <c r="F115" s="2879" t="s">
        <v>2729</v>
      </c>
      <c r="G115" s="2879"/>
      <c r="H115" s="2741" t="e">
        <f ca="1">CONCATENATE(intraoral!K43," mm Al")</f>
        <v>#VALUE!</v>
      </c>
      <c r="I115" s="2741"/>
      <c r="J115" s="2320" t="str">
        <f ca="1">IFERROR(intraoral!K45,"Sim")</f>
        <v/>
      </c>
      <c r="K115" s="2118" t="str">
        <f>IF(A115="","x","")</f>
        <v>x</v>
      </c>
      <c r="L115" s="2137" t="str">
        <f t="shared" ca="1" si="4"/>
        <v>Conforme</v>
      </c>
    </row>
    <row r="116" spans="1:12" ht="50.25" customHeight="1" x14ac:dyDescent="0.25">
      <c r="A116" s="2881" t="str">
        <f>IF(intraoral!R19="","Exatidão da tensão do tubo",CONCATENATE("Exatidão da tensão do tubo @ ",ROUND(intraoral!B42,0)," kVp"))</f>
        <v>Exatidão da tensão do tubo</v>
      </c>
      <c r="B116" s="2881"/>
      <c r="C116" s="2881"/>
      <c r="D116" s="2879" t="s">
        <v>2357</v>
      </c>
      <c r="E116" s="2879"/>
      <c r="F116" s="2879" t="s">
        <v>2728</v>
      </c>
      <c r="G116" s="2879"/>
      <c r="H116" s="2741" t="e">
        <f ca="1">CONCATENATE(intraoral!B43," %")</f>
        <v>#DIV/0!</v>
      </c>
      <c r="I116" s="2741"/>
      <c r="J116" s="2320" t="str">
        <f ca="1">intraoral!C43</f>
        <v/>
      </c>
      <c r="L116" s="2137" t="str">
        <f t="shared" ca="1" si="4"/>
        <v>Conforme</v>
      </c>
    </row>
    <row r="117" spans="1:12" ht="50.25" customHeight="1" x14ac:dyDescent="0.25">
      <c r="A117" s="2881" t="str">
        <f>IF(intraoral!R19="","",CONCATENATE("Exatidão da tensão do tubo @ ",ROUND(intraoral!H42,0)," kVp"))</f>
        <v/>
      </c>
      <c r="B117" s="2881"/>
      <c r="C117" s="2881"/>
      <c r="D117" s="2879" t="s">
        <v>2357</v>
      </c>
      <c r="E117" s="2879"/>
      <c r="F117" s="2879" t="s">
        <v>2728</v>
      </c>
      <c r="G117" s="2879"/>
      <c r="H117" s="2741" t="e">
        <f ca="1">CONCATENATE(intraoral!H43," %")</f>
        <v>#DIV/0!</v>
      </c>
      <c r="I117" s="2741"/>
      <c r="J117" s="2320" t="str">
        <f ca="1">IFERROR(intraoral!I43,"Sim")</f>
        <v/>
      </c>
      <c r="K117" s="2118" t="str">
        <f>IF(A117="","x","")</f>
        <v>x</v>
      </c>
      <c r="L117" s="2137" t="str">
        <f t="shared" ca="1" si="4"/>
        <v>Conforme</v>
      </c>
    </row>
    <row r="118" spans="1:12" ht="51.75" customHeight="1" x14ac:dyDescent="0.25">
      <c r="A118" s="2881" t="s">
        <v>1273</v>
      </c>
      <c r="B118" s="2881"/>
      <c r="C118" s="2881"/>
      <c r="D118" s="2879" t="s">
        <v>2369</v>
      </c>
      <c r="E118" s="2879"/>
      <c r="F118" s="2879" t="s">
        <v>2730</v>
      </c>
      <c r="G118" s="2879"/>
      <c r="H118" s="2741" t="e">
        <f ca="1">CONCATENATE(intraoral!G29," %")</f>
        <v>#NUM!</v>
      </c>
      <c r="I118" s="2741"/>
      <c r="J118" s="2320" t="str">
        <f ca="1">intraoral!I29</f>
        <v/>
      </c>
      <c r="L118" s="2137" t="str">
        <f t="shared" ca="1" si="4"/>
        <v>Conforme</v>
      </c>
    </row>
    <row r="119" spans="1:12" ht="62.25" customHeight="1" x14ac:dyDescent="0.25">
      <c r="A119" s="2881" t="s">
        <v>1275</v>
      </c>
      <c r="B119" s="2881"/>
      <c r="C119" s="2881"/>
      <c r="D119" s="2879" t="s">
        <v>2366</v>
      </c>
      <c r="E119" s="2879"/>
      <c r="F119" s="2879" t="s">
        <v>2728</v>
      </c>
      <c r="G119" s="2879"/>
      <c r="H119" s="2741" t="e">
        <f ca="1">CONCATENATE(intraoral!C41," %")</f>
        <v>#NUM!</v>
      </c>
      <c r="I119" s="2741"/>
      <c r="J119" s="2320" t="e">
        <f ca="1">IF(intraoral!C41&gt;20,"Restrição",IF(intraoral!C41&gt;10,"Não","Sim"))</f>
        <v>#NUM!</v>
      </c>
      <c r="L119" s="2137" t="e">
        <f t="shared" ca="1" si="4"/>
        <v>#NUM!</v>
      </c>
    </row>
    <row r="120" spans="1:12" ht="50.25" customHeight="1" x14ac:dyDescent="0.25">
      <c r="A120" s="2881" t="s">
        <v>9</v>
      </c>
      <c r="B120" s="2881"/>
      <c r="C120" s="2881"/>
      <c r="D120" s="2879" t="s">
        <v>2491</v>
      </c>
      <c r="E120" s="2879"/>
      <c r="F120" s="2879" t="s">
        <v>2727</v>
      </c>
      <c r="G120" s="2879"/>
      <c r="H120" s="2741" t="str">
        <f>CONCATENATE(intraoral!D13," cm")</f>
        <v xml:space="preserve"> cm</v>
      </c>
      <c r="I120" s="2741"/>
      <c r="J120" s="2320" t="str">
        <f>intraoral!F13</f>
        <v>Restrição</v>
      </c>
      <c r="L120" s="2137" t="str">
        <f t="shared" si="4"/>
        <v>Não conforme</v>
      </c>
    </row>
    <row r="121" spans="1:12" ht="59.25" customHeight="1" x14ac:dyDescent="0.25">
      <c r="A121" s="2881" t="s">
        <v>568</v>
      </c>
      <c r="B121" s="2881"/>
      <c r="C121" s="2881"/>
      <c r="D121" s="2879" t="s">
        <v>2488</v>
      </c>
      <c r="E121" s="2879"/>
      <c r="F121" s="2879" t="s">
        <v>2812</v>
      </c>
      <c r="G121" s="2879"/>
      <c r="H121" s="2741" t="str">
        <f>IF(J121="Restrição","Não possui localizador",CONCATENATE(intraoral!D12," cm"))</f>
        <v xml:space="preserve"> cm</v>
      </c>
      <c r="I121" s="2741"/>
      <c r="J121" s="2320" t="str">
        <f>intraoral!F12</f>
        <v>Não</v>
      </c>
      <c r="L121" s="2137" t="str">
        <f t="shared" si="4"/>
        <v>Não conforme</v>
      </c>
    </row>
    <row r="122" spans="1:12" ht="50.25" customHeight="1" x14ac:dyDescent="0.25">
      <c r="A122" s="2881" t="s">
        <v>1084</v>
      </c>
      <c r="B122" s="2881"/>
      <c r="C122" s="2881"/>
      <c r="D122" s="2879" t="s">
        <v>2380</v>
      </c>
      <c r="E122" s="2879"/>
      <c r="F122" s="2879" t="s">
        <v>2806</v>
      </c>
      <c r="G122" s="2879"/>
      <c r="H122" s="2741" t="e">
        <f>ROUND(FugaCabecote,3)&amp;" mGy/h"</f>
        <v>#DIV/0!</v>
      </c>
      <c r="I122" s="2741"/>
      <c r="J122" s="2320" t="e">
        <f>IF(FugaCabecote&lt;=0.25,"Sim",IF(FugaCabecote&gt;0.5,"Restrição","Não"))</f>
        <v>#DIV/0!</v>
      </c>
      <c r="K122" s="2118" t="str">
        <f>IF(ISERR(J122),"x","")</f>
        <v>x</v>
      </c>
      <c r="L122" s="2137" t="e">
        <f t="shared" si="4"/>
        <v>#DIV/0!</v>
      </c>
    </row>
    <row r="123" spans="1:12" ht="71.25" customHeight="1" x14ac:dyDescent="0.25">
      <c r="A123" s="2881" t="str">
        <f>"Resolução de baixo contraste @ "&amp;intraoral!C59&amp;" kVp e "&amp;intraoral!C61&amp;" s - Ref. "&amp;IF(intraoral!D63=0,"NI",intraoral!D63)</f>
        <v>Resolução de baixo contraste @ 0 kVp e  s - Ref. NI</v>
      </c>
      <c r="B123" s="2881"/>
      <c r="C123" s="2881"/>
      <c r="D123" s="2879" t="s">
        <v>2372</v>
      </c>
      <c r="E123" s="2879"/>
      <c r="F123" s="2879" t="s">
        <v>2493</v>
      </c>
      <c r="G123" s="2879"/>
      <c r="H123" s="2741" t="str">
        <f>intraoral!E63&amp;" mm"</f>
        <v>2,5 mm</v>
      </c>
      <c r="I123" s="2741"/>
      <c r="J123" s="2320" t="str">
        <f>intraoral!H63</f>
        <v>Sim</v>
      </c>
      <c r="K123" s="2118" t="str">
        <f>IFERROR(IF(H123=" mm","x",""),"x")</f>
        <v/>
      </c>
      <c r="L123" s="2137" t="str">
        <f>IF(J123="Não","Não conforme","Conforme")</f>
        <v>Conforme</v>
      </c>
    </row>
    <row r="124" spans="1:12" ht="69" customHeight="1" x14ac:dyDescent="0.25">
      <c r="A124" s="2881" t="str">
        <f>"Resolução espacial da imagem @ "&amp;intraoral!C59&amp;" kVp e "&amp;intraoral!C61&amp;" s - Ref. "&amp;IF(intraoral!D64=0,"NI",intraoral!D64)</f>
        <v>Resolução espacial da imagem @ 0 kVp e  s - Ref. NI</v>
      </c>
      <c r="B124" s="2881"/>
      <c r="C124" s="2881"/>
      <c r="D124" s="2879" t="s">
        <v>2372</v>
      </c>
      <c r="E124" s="2879"/>
      <c r="F124" s="2879" t="s">
        <v>2493</v>
      </c>
      <c r="G124" s="2879"/>
      <c r="H124" s="2741" t="str">
        <f>intraoral!E64&amp;" mm"</f>
        <v>2,8 mm</v>
      </c>
      <c r="I124" s="2741"/>
      <c r="J124" s="2320" t="str">
        <f>intraoral!H64</f>
        <v>Sim</v>
      </c>
      <c r="K124" s="2118" t="str">
        <f>IFERROR(IF(H124=" mm","x",""),"x")</f>
        <v/>
      </c>
      <c r="L124" s="2137" t="str">
        <f>IF(J124="Não","Não conforme","Conforme")</f>
        <v>Conforme</v>
      </c>
    </row>
    <row r="125" spans="1:12" ht="62.25" customHeight="1" x14ac:dyDescent="0.25">
      <c r="A125" s="2881" t="s">
        <v>210</v>
      </c>
      <c r="B125" s="2881"/>
      <c r="C125" s="2881"/>
      <c r="D125" s="2879" t="s">
        <v>2366</v>
      </c>
      <c r="E125" s="2879"/>
      <c r="F125" s="2880" t="s">
        <v>240</v>
      </c>
      <c r="G125" s="2879"/>
      <c r="H125" s="2741" t="e">
        <f ca="1">CONCATENATE(intraoral!B41," %")</f>
        <v>#NUM!</v>
      </c>
      <c r="I125" s="2741"/>
      <c r="J125" s="2320" t="s">
        <v>142</v>
      </c>
    </row>
    <row r="126" spans="1:12" ht="62.25" customHeight="1" x14ac:dyDescent="0.25">
      <c r="A126" s="2881" t="s">
        <v>448</v>
      </c>
      <c r="B126" s="2881"/>
      <c r="C126" s="2881"/>
      <c r="D126" s="2879" t="s">
        <v>2367</v>
      </c>
      <c r="E126" s="2879"/>
      <c r="F126" s="2880" t="s">
        <v>240</v>
      </c>
      <c r="G126" s="2879"/>
      <c r="H126" s="2741" t="e">
        <f ca="1">CONCATENATE(intraoral!D41," %")</f>
        <v>#NUM!</v>
      </c>
      <c r="I126" s="2741"/>
      <c r="J126" s="2320" t="s">
        <v>142</v>
      </c>
    </row>
    <row r="127" spans="1:12" ht="62.25" customHeight="1" x14ac:dyDescent="0.25">
      <c r="A127" s="2881" t="str">
        <f>CONCATENATE("Rendimento do tubo @ ",intraoral!E19," kVp à 1 metro")</f>
        <v>Rendimento do tubo @ 0 kVp à 1 metro</v>
      </c>
      <c r="B127" s="2881"/>
      <c r="C127" s="2881"/>
      <c r="D127" s="2879" t="s">
        <v>2361</v>
      </c>
      <c r="E127" s="2879"/>
      <c r="F127" s="2880" t="s">
        <v>240</v>
      </c>
      <c r="G127" s="2879"/>
      <c r="H127" s="2741" t="e">
        <f ca="1">CONCATENATE(intraoral!B52," µGy/mAs")</f>
        <v>#VALUE!</v>
      </c>
      <c r="I127" s="2741"/>
      <c r="J127" s="2320" t="s">
        <v>142</v>
      </c>
    </row>
    <row r="128" spans="1:12" ht="62.25" customHeight="1" x14ac:dyDescent="0.25">
      <c r="A128" s="2881" t="str">
        <f>IF(intraoral!R19="","",CONCATENATE("Rendimento do tubo @ ",intraoral!R19," kVp à 1 metro"))</f>
        <v/>
      </c>
      <c r="B128" s="2881"/>
      <c r="C128" s="2881"/>
      <c r="D128" s="2879" t="s">
        <v>2361</v>
      </c>
      <c r="E128" s="2879"/>
      <c r="F128" s="2880" t="s">
        <v>240</v>
      </c>
      <c r="G128" s="2879"/>
      <c r="H128" s="2741" t="e">
        <f ca="1">CONCATENATE(intraoral!H52," µGy/mAs")</f>
        <v>#VALUE!</v>
      </c>
      <c r="I128" s="2741"/>
      <c r="J128" s="2320" t="s">
        <v>142</v>
      </c>
      <c r="K128" s="2118" t="str">
        <f>IF(A128="","x","")</f>
        <v>x</v>
      </c>
    </row>
    <row r="129" spans="1:12" ht="69" customHeight="1" x14ac:dyDescent="0.25">
      <c r="A129" s="2881" t="s">
        <v>1773</v>
      </c>
      <c r="B129" s="2881"/>
      <c r="C129" s="2881"/>
      <c r="D129" s="2879" t="s">
        <v>2489</v>
      </c>
      <c r="E129" s="2879"/>
      <c r="F129" s="2879" t="s">
        <v>2725</v>
      </c>
      <c r="G129" s="2879"/>
      <c r="H129" s="2741" t="str">
        <f>IF(Cabeçalho!G20="DR",IF(intraoral!E67="Não","Sem imagem residual","Há imagem residual"),"NA")</f>
        <v>NA</v>
      </c>
      <c r="I129" s="2741"/>
      <c r="J129" s="2320" t="str">
        <f>IF(Cabeçalho!G20="DR",IF(intraoral!E67="Não","Sim","Não"),"NA")</f>
        <v>NA</v>
      </c>
      <c r="L129" s="2137" t="str">
        <f>IF(J129="Não","Não conforme","Conforme")</f>
        <v>Conforme</v>
      </c>
    </row>
    <row r="130" spans="1:12" ht="62.25" customHeight="1" x14ac:dyDescent="0.25">
      <c r="A130" s="2881" t="s">
        <v>1702</v>
      </c>
      <c r="B130" s="2881"/>
      <c r="C130" s="2881"/>
      <c r="D130" s="2879" t="s">
        <v>2490</v>
      </c>
      <c r="E130" s="2879"/>
      <c r="F130" s="2879" t="s">
        <v>2726</v>
      </c>
      <c r="G130" s="2879"/>
      <c r="H130" s="2741" t="str">
        <f>IF(intraoral!E66="Não","Sem artefatos","Existentes")</f>
        <v>Sem artefatos</v>
      </c>
      <c r="I130" s="2741"/>
      <c r="J130" s="2320" t="str">
        <f>IF(intraoral!E66="Não","Sim","Não")</f>
        <v>Sim</v>
      </c>
      <c r="L130" s="2137" t="str">
        <f>IF(J130="Não","Não conforme","Conforme")</f>
        <v>Conforme</v>
      </c>
    </row>
    <row r="131" spans="1:12" ht="15.75" x14ac:dyDescent="0.25">
      <c r="A131" s="2187" t="s">
        <v>2720</v>
      </c>
      <c r="B131" s="2197"/>
      <c r="C131" s="2197"/>
      <c r="D131" s="2197"/>
      <c r="E131" s="2198"/>
      <c r="F131" s="2198"/>
      <c r="G131" s="2198"/>
      <c r="H131" s="2125"/>
      <c r="I131" s="2125"/>
      <c r="J131" s="1496"/>
    </row>
    <row r="132" spans="1:12" ht="15" customHeight="1" x14ac:dyDescent="0.25">
      <c r="A132" s="2177" t="s">
        <v>2721</v>
      </c>
      <c r="B132" s="2177"/>
      <c r="C132" s="2177"/>
      <c r="D132" s="2177"/>
      <c r="E132" s="2177"/>
      <c r="F132" s="2177"/>
      <c r="G132" s="2177"/>
      <c r="H132" s="2177"/>
      <c r="I132" s="2177"/>
      <c r="J132" s="2094"/>
    </row>
    <row r="134" spans="1:12" ht="15" customHeight="1" x14ac:dyDescent="0.25">
      <c r="A134" s="281" t="s">
        <v>571</v>
      </c>
    </row>
    <row r="135" spans="1:12" ht="15" customHeight="1" x14ac:dyDescent="0.25">
      <c r="A135" s="2476" t="str">
        <f>CONCATENATE("                ",Tabelas2!S4)</f>
        <v xml:space="preserve">                Medidor de tensão, tempo, dose e camada semirredutora marca RaySafe, modelo X2 8251010-6, série 257741, sensor modelo 8252010-6, série 260722, certificado de calibração em anexo.</v>
      </c>
      <c r="B135" s="2476"/>
      <c r="C135" s="2476"/>
      <c r="D135" s="2476"/>
      <c r="E135" s="2476"/>
      <c r="F135" s="2476"/>
      <c r="G135" s="2476"/>
      <c r="H135" s="2476"/>
      <c r="I135" s="2476"/>
      <c r="J135" s="2476"/>
    </row>
    <row r="136" spans="1:12" ht="15" customHeight="1" x14ac:dyDescent="0.25">
      <c r="A136" s="2476"/>
      <c r="B136" s="2476"/>
      <c r="C136" s="2476"/>
      <c r="D136" s="2476"/>
      <c r="E136" s="2476"/>
      <c r="F136" s="2476"/>
      <c r="G136" s="2476"/>
      <c r="H136" s="2476"/>
      <c r="I136" s="2476"/>
      <c r="J136" s="2476"/>
    </row>
    <row r="137" spans="1:12" ht="15" customHeight="1" x14ac:dyDescent="0.25">
      <c r="A137" s="2476" t="str">
        <f>CONCATENATE("                ",Tabelas2!T4)</f>
        <v xml:space="preserve">                Câmara de ionização marca Fluke Biomedical, modelo 451P-DE-SI-RYR, série 2826, certificado de calibração em anexo.</v>
      </c>
      <c r="B137" s="2476"/>
      <c r="C137" s="2476"/>
      <c r="D137" s="2476"/>
      <c r="E137" s="2476"/>
      <c r="F137" s="2476"/>
      <c r="G137" s="2476"/>
      <c r="H137" s="2476"/>
      <c r="I137" s="2476"/>
      <c r="J137" s="2476"/>
      <c r="K137" s="2118" t="str">
        <f>K122</f>
        <v>x</v>
      </c>
    </row>
    <row r="138" spans="1:12" ht="15" customHeight="1" x14ac:dyDescent="0.25">
      <c r="A138" s="2476"/>
      <c r="B138" s="2476"/>
      <c r="C138" s="2476"/>
      <c r="D138" s="2476"/>
      <c r="E138" s="2476"/>
      <c r="F138" s="2476"/>
      <c r="G138" s="2476"/>
      <c r="H138" s="2476"/>
      <c r="I138" s="2476"/>
      <c r="J138" s="2476"/>
      <c r="K138" s="2118" t="str">
        <f>K137</f>
        <v>x</v>
      </c>
    </row>
    <row r="139" spans="1:12" ht="15" customHeight="1" x14ac:dyDescent="0.25">
      <c r="A139" s="2476" t="s">
        <v>554</v>
      </c>
      <c r="B139" s="2476"/>
      <c r="C139" s="2476"/>
      <c r="D139" s="2476"/>
      <c r="E139" s="2476"/>
      <c r="F139" s="2476"/>
      <c r="G139" s="2476"/>
      <c r="H139" s="2476"/>
      <c r="I139" s="2476"/>
      <c r="J139" s="2476"/>
    </row>
    <row r="141" spans="1:12" ht="15" customHeight="1" x14ac:dyDescent="0.25">
      <c r="A141" s="281" t="s">
        <v>572</v>
      </c>
      <c r="K141" s="2118" t="str">
        <f>""</f>
        <v/>
      </c>
    </row>
    <row r="142" spans="1:12" ht="15" customHeight="1" x14ac:dyDescent="0.25">
      <c r="A142" s="2469" t="str">
        <f>IntroPrazoArmazenamento</f>
        <v xml:space="preserve">               Este documento deve ser arquivado e mantido à disposição da autoridade sanitária local, garantindo sua rastreabilidade pelo prazo mínimo de 5 anos. </v>
      </c>
      <c r="B142" s="2469"/>
      <c r="C142" s="2469"/>
      <c r="D142" s="2469"/>
      <c r="E142" s="2469"/>
      <c r="F142" s="2469"/>
      <c r="G142" s="2469"/>
      <c r="H142" s="2469"/>
      <c r="I142" s="2469"/>
      <c r="J142" s="2469"/>
    </row>
    <row r="143" spans="1:12" ht="15" customHeight="1" x14ac:dyDescent="0.25">
      <c r="A143" s="2469"/>
      <c r="B143" s="2469"/>
      <c r="C143" s="2469"/>
      <c r="D143" s="2469"/>
      <c r="E143" s="2469"/>
      <c r="F143" s="2469"/>
      <c r="G143" s="2469"/>
      <c r="H143" s="2469"/>
      <c r="I143" s="2469"/>
      <c r="J143" s="2469"/>
    </row>
    <row r="144" spans="1:12" ht="15" customHeight="1" x14ac:dyDescent="0.25">
      <c r="A144" s="2468" t="s">
        <v>211</v>
      </c>
      <c r="B144" s="2468"/>
      <c r="C144" s="2468"/>
      <c r="D144" s="2468"/>
      <c r="E144" s="2468"/>
      <c r="F144" s="2468"/>
      <c r="G144" s="2468"/>
      <c r="H144" s="2468"/>
      <c r="I144" s="2468"/>
      <c r="J144" s="2468"/>
      <c r="K144" s="2118" t="str">
        <f>IF(Cabeçalho!G26="Ok","x","")</f>
        <v>x</v>
      </c>
    </row>
    <row r="145" spans="1:11" ht="15" customHeight="1" x14ac:dyDescent="0.25">
      <c r="A145" s="2468" t="s">
        <v>212</v>
      </c>
      <c r="B145" s="2468"/>
      <c r="C145" s="2468"/>
      <c r="D145" s="2468"/>
      <c r="E145" s="2468"/>
      <c r="F145" s="2468"/>
      <c r="G145" s="2468"/>
      <c r="H145" s="2468"/>
      <c r="I145" s="2468"/>
      <c r="J145" s="2468"/>
      <c r="K145" s="2118" t="str">
        <f>IF(Cabeçalho!G27="Ok","x","")</f>
        <v>x</v>
      </c>
    </row>
    <row r="146" spans="1:11" ht="15" customHeight="1" x14ac:dyDescent="0.25">
      <c r="A146" s="2476" t="s">
        <v>679</v>
      </c>
      <c r="B146" s="2476"/>
      <c r="C146" s="2476"/>
      <c r="D146" s="2476"/>
      <c r="E146" s="2476"/>
      <c r="F146" s="2476"/>
      <c r="G146" s="2476"/>
      <c r="H146" s="2476"/>
      <c r="I146" s="2476"/>
      <c r="J146" s="2476"/>
      <c r="K146" s="2118" t="str">
        <f>IF(G72="Não possui","","x")</f>
        <v>x</v>
      </c>
    </row>
    <row r="147" spans="1:11" ht="15" customHeight="1" x14ac:dyDescent="0.25">
      <c r="A147" s="2476"/>
      <c r="B147" s="2476"/>
      <c r="C147" s="2476"/>
      <c r="D147" s="2476"/>
      <c r="E147" s="2476"/>
      <c r="F147" s="2476"/>
      <c r="G147" s="2476"/>
      <c r="H147" s="2476"/>
      <c r="I147" s="2476"/>
      <c r="J147" s="2476"/>
      <c r="K147" s="2118" t="str">
        <f>K146</f>
        <v>x</v>
      </c>
    </row>
    <row r="148" spans="1:11" ht="15" customHeight="1" x14ac:dyDescent="0.25">
      <c r="A148" s="2476" t="s">
        <v>680</v>
      </c>
      <c r="B148" s="2476"/>
      <c r="C148" s="2476"/>
      <c r="D148" s="2476"/>
      <c r="E148" s="2476"/>
      <c r="F148" s="2476"/>
      <c r="G148" s="2476"/>
      <c r="H148" s="2476"/>
      <c r="I148" s="2476"/>
      <c r="J148" s="2476"/>
      <c r="K148" s="2118" t="str">
        <f>IF(G72="Cônico","","x")</f>
        <v>x</v>
      </c>
    </row>
    <row r="149" spans="1:11" ht="15" customHeight="1" x14ac:dyDescent="0.25">
      <c r="A149" s="2476"/>
      <c r="B149" s="2476"/>
      <c r="C149" s="2476"/>
      <c r="D149" s="2476"/>
      <c r="E149" s="2476"/>
      <c r="F149" s="2476"/>
      <c r="G149" s="2476"/>
      <c r="H149" s="2476"/>
      <c r="I149" s="2476"/>
      <c r="J149" s="2476"/>
      <c r="K149" s="2118" t="str">
        <f>K148</f>
        <v>x</v>
      </c>
    </row>
    <row r="150" spans="1:11" ht="15" customHeight="1" x14ac:dyDescent="0.25">
      <c r="A150" s="2476" t="s">
        <v>681</v>
      </c>
      <c r="B150" s="2476"/>
      <c r="C150" s="2476"/>
      <c r="D150" s="2476"/>
      <c r="E150" s="2476"/>
      <c r="F150" s="2476"/>
      <c r="G150" s="2476"/>
      <c r="H150" s="2476"/>
      <c r="I150" s="2476"/>
      <c r="J150" s="2476"/>
      <c r="K150" s="2118" t="str">
        <f>IF(G73="Ativado","","x")</f>
        <v>x</v>
      </c>
    </row>
    <row r="151" spans="1:11" ht="15" customHeight="1" x14ac:dyDescent="0.25">
      <c r="A151" s="2476"/>
      <c r="B151" s="2476"/>
      <c r="C151" s="2476"/>
      <c r="D151" s="2476"/>
      <c r="E151" s="2476"/>
      <c r="F151" s="2476"/>
      <c r="G151" s="2476"/>
      <c r="H151" s="2476"/>
      <c r="I151" s="2476"/>
      <c r="J151" s="2476"/>
      <c r="K151" s="2118" t="str">
        <f>K150</f>
        <v>x</v>
      </c>
    </row>
    <row r="152" spans="1:11" ht="15" customHeight="1" x14ac:dyDescent="0.25">
      <c r="A152" s="2476" t="s">
        <v>682</v>
      </c>
      <c r="B152" s="2476"/>
      <c r="C152" s="2476"/>
      <c r="D152" s="2476"/>
      <c r="E152" s="2476"/>
      <c r="F152" s="2476"/>
      <c r="G152" s="2476"/>
      <c r="H152" s="2476"/>
      <c r="I152" s="2476"/>
      <c r="J152" s="2476"/>
      <c r="K152" s="2118" t="str">
        <f>IF(intraoral!F7="Não","","x")</f>
        <v>x</v>
      </c>
    </row>
    <row r="153" spans="1:11" ht="15" customHeight="1" x14ac:dyDescent="0.25">
      <c r="A153" s="2476"/>
      <c r="B153" s="2476"/>
      <c r="C153" s="2476"/>
      <c r="D153" s="2476"/>
      <c r="E153" s="2476"/>
      <c r="F153" s="2476"/>
      <c r="G153" s="2476"/>
      <c r="H153" s="2476"/>
      <c r="I153" s="2476"/>
      <c r="J153" s="2476"/>
      <c r="K153" s="2118" t="str">
        <f>K152</f>
        <v>x</v>
      </c>
    </row>
    <row r="154" spans="1:11" ht="15" customHeight="1" x14ac:dyDescent="0.25">
      <c r="A154" s="2476" t="s">
        <v>2722</v>
      </c>
      <c r="B154" s="2476"/>
      <c r="C154" s="2476"/>
      <c r="D154" s="2476"/>
      <c r="E154" s="2476"/>
      <c r="F154" s="2476"/>
      <c r="G154" s="2476"/>
      <c r="H154" s="2476"/>
      <c r="I154" s="2476"/>
      <c r="J154" s="2476"/>
    </row>
    <row r="155" spans="1:11" ht="15" customHeight="1" x14ac:dyDescent="0.25">
      <c r="A155" s="2476"/>
      <c r="B155" s="2476"/>
      <c r="C155" s="2476"/>
      <c r="D155" s="2476"/>
      <c r="E155" s="2476"/>
      <c r="F155" s="2476"/>
      <c r="G155" s="2476"/>
      <c r="H155" s="2476"/>
      <c r="I155" s="2476"/>
      <c r="J155" s="2476"/>
    </row>
    <row r="156" spans="1:11" ht="15" customHeight="1" x14ac:dyDescent="0.25">
      <c r="A156" s="2476"/>
      <c r="B156" s="2476"/>
      <c r="C156" s="2476"/>
      <c r="D156" s="2476"/>
      <c r="E156" s="2476"/>
      <c r="F156" s="2476"/>
      <c r="G156" s="2476"/>
      <c r="H156" s="2476"/>
      <c r="I156" s="2476"/>
      <c r="J156" s="2476"/>
    </row>
    <row r="157" spans="1:11" ht="15" customHeight="1" x14ac:dyDescent="0.25">
      <c r="A157" s="2476"/>
      <c r="B157" s="2476"/>
      <c r="C157" s="2476"/>
      <c r="D157" s="2476"/>
      <c r="E157" s="2476"/>
      <c r="F157" s="2476"/>
      <c r="G157" s="2476"/>
      <c r="H157" s="2476"/>
      <c r="I157" s="2476"/>
      <c r="J157" s="2476"/>
    </row>
    <row r="158" spans="1:11" ht="15" customHeight="1" x14ac:dyDescent="0.25">
      <c r="A158" s="2476" t="s">
        <v>1809</v>
      </c>
      <c r="B158" s="2476"/>
      <c r="C158" s="2476"/>
      <c r="D158" s="2476"/>
      <c r="E158" s="2476"/>
      <c r="F158" s="2476"/>
      <c r="G158" s="2476"/>
      <c r="H158" s="2476"/>
      <c r="I158" s="2476"/>
      <c r="J158" s="2476"/>
      <c r="K158" s="2118" t="str">
        <f>IF(J129="Não","","x")</f>
        <v>x</v>
      </c>
    </row>
    <row r="159" spans="1:11" ht="15" customHeight="1" x14ac:dyDescent="0.25">
      <c r="A159" s="2476"/>
      <c r="B159" s="2476"/>
      <c r="C159" s="2476"/>
      <c r="D159" s="2476"/>
      <c r="E159" s="2476"/>
      <c r="F159" s="2476"/>
      <c r="G159" s="2476"/>
      <c r="H159" s="2476"/>
      <c r="I159" s="2476"/>
      <c r="J159" s="2476"/>
      <c r="K159" s="2118" t="str">
        <f>K158</f>
        <v>x</v>
      </c>
    </row>
    <row r="160" spans="1:11" ht="15" customHeight="1" x14ac:dyDescent="0.25">
      <c r="A160" s="2476" t="s">
        <v>1796</v>
      </c>
      <c r="B160" s="2476"/>
      <c r="C160" s="2476"/>
      <c r="D160" s="2476"/>
      <c r="E160" s="2476"/>
      <c r="F160" s="2476"/>
      <c r="G160" s="2476"/>
      <c r="H160" s="2476"/>
      <c r="I160" s="2476"/>
      <c r="J160" s="2476"/>
      <c r="K160" s="2118" t="str">
        <f>IF(J130="Não","","x")</f>
        <v>x</v>
      </c>
    </row>
    <row r="161" spans="1:11" ht="15" customHeight="1" x14ac:dyDescent="0.25">
      <c r="A161" s="2476"/>
      <c r="B161" s="2476"/>
      <c r="C161" s="2476"/>
      <c r="D161" s="2476"/>
      <c r="E161" s="2476"/>
      <c r="F161" s="2476"/>
      <c r="G161" s="2476"/>
      <c r="H161" s="2476"/>
      <c r="I161" s="2476"/>
      <c r="J161" s="2476"/>
      <c r="K161" s="2118" t="str">
        <f>K160</f>
        <v>x</v>
      </c>
    </row>
    <row r="162" spans="1:11" ht="15" customHeight="1" x14ac:dyDescent="0.25">
      <c r="A162" s="2476" t="s">
        <v>1123</v>
      </c>
      <c r="B162" s="2476"/>
      <c r="C162" s="2476"/>
      <c r="D162" s="2476"/>
      <c r="E162" s="2476"/>
      <c r="F162" s="2476"/>
      <c r="G162" s="2476"/>
      <c r="H162" s="2476"/>
      <c r="I162" s="2476"/>
      <c r="J162" s="2476"/>
      <c r="K162" s="2118" t="str">
        <f>IF(OR(K123="",K124=""),"","x")</f>
        <v/>
      </c>
    </row>
    <row r="163" spans="1:11" ht="15" customHeight="1" x14ac:dyDescent="0.25">
      <c r="A163" s="2476"/>
      <c r="B163" s="2476"/>
      <c r="C163" s="2476"/>
      <c r="D163" s="2476"/>
      <c r="E163" s="2476"/>
      <c r="F163" s="2476"/>
      <c r="G163" s="2476"/>
      <c r="H163" s="2476"/>
      <c r="I163" s="2476"/>
      <c r="J163" s="2476"/>
      <c r="K163" s="2118" t="str">
        <f>K162</f>
        <v/>
      </c>
    </row>
    <row r="164" spans="1:11" ht="15" customHeight="1" x14ac:dyDescent="0.25">
      <c r="A164" s="2476"/>
      <c r="B164" s="2476"/>
      <c r="C164" s="2476"/>
      <c r="D164" s="2476"/>
      <c r="E164" s="2476"/>
      <c r="F164" s="2476"/>
      <c r="G164" s="2476"/>
      <c r="H164" s="2476"/>
      <c r="I164" s="2476"/>
      <c r="J164" s="2476"/>
      <c r="K164" s="2118" t="str">
        <f>K163</f>
        <v/>
      </c>
    </row>
    <row r="165" spans="1:11" ht="15" customHeight="1" x14ac:dyDescent="0.25">
      <c r="A165" s="2476"/>
      <c r="B165" s="2476"/>
      <c r="C165" s="2476"/>
      <c r="D165" s="2476"/>
      <c r="E165" s="2476"/>
      <c r="F165" s="2476"/>
      <c r="G165" s="2476"/>
      <c r="H165" s="2476"/>
      <c r="I165" s="2476"/>
      <c r="J165" s="2476"/>
      <c r="K165" s="2118" t="str">
        <f>K164</f>
        <v/>
      </c>
    </row>
    <row r="166" spans="1:11" ht="15" customHeight="1" x14ac:dyDescent="0.25">
      <c r="A166" s="2476" t="s">
        <v>1706</v>
      </c>
      <c r="B166" s="2476"/>
      <c r="C166" s="2476"/>
      <c r="D166" s="2476"/>
      <c r="E166" s="2476"/>
      <c r="F166" s="2476"/>
      <c r="G166" s="2476"/>
      <c r="H166" s="2476"/>
      <c r="I166" s="2476"/>
      <c r="J166" s="2476"/>
      <c r="K166" s="2020" t="str">
        <f>IF(Cabeçalho!B20="Indisponível","","x")</f>
        <v/>
      </c>
    </row>
    <row r="167" spans="1:11" ht="15" customHeight="1" x14ac:dyDescent="0.25">
      <c r="A167" s="2476"/>
      <c r="B167" s="2476"/>
      <c r="C167" s="2476"/>
      <c r="D167" s="2476"/>
      <c r="E167" s="2476"/>
      <c r="F167" s="2476"/>
      <c r="G167" s="2476"/>
      <c r="H167" s="2476"/>
      <c r="I167" s="2476"/>
      <c r="J167" s="2476"/>
      <c r="K167" s="2020" t="str">
        <f>K166</f>
        <v/>
      </c>
    </row>
    <row r="168" spans="1:11" ht="15" customHeight="1" x14ac:dyDescent="0.25">
      <c r="A168" s="2476"/>
      <c r="B168" s="2476"/>
      <c r="C168" s="2476"/>
      <c r="D168" s="2476"/>
      <c r="E168" s="2476"/>
      <c r="F168" s="2476"/>
      <c r="G168" s="2476"/>
      <c r="H168" s="2476"/>
      <c r="I168" s="2476"/>
      <c r="J168" s="2476"/>
      <c r="K168" s="2020" t="str">
        <f>K167</f>
        <v/>
      </c>
    </row>
    <row r="169" spans="1:11" ht="15" customHeight="1" x14ac:dyDescent="0.25">
      <c r="A169" s="2476" t="s">
        <v>1819</v>
      </c>
      <c r="B169" s="2476"/>
      <c r="C169" s="2476"/>
      <c r="D169" s="2476"/>
      <c r="E169" s="2476"/>
      <c r="F169" s="2476"/>
      <c r="G169" s="2476"/>
      <c r="H169" s="2476"/>
      <c r="I169" s="2476"/>
      <c r="J169" s="2476"/>
      <c r="K169" s="2020" t="str">
        <f>IF(Cabeçalho!G20="DR","x",K160)</f>
        <v>x</v>
      </c>
    </row>
    <row r="170" spans="1:11" ht="15" customHeight="1" x14ac:dyDescent="0.25">
      <c r="A170" s="2476"/>
      <c r="B170" s="2476"/>
      <c r="C170" s="2476"/>
      <c r="D170" s="2476"/>
      <c r="E170" s="2476"/>
      <c r="F170" s="2476"/>
      <c r="G170" s="2476"/>
      <c r="H170" s="2476"/>
      <c r="I170" s="2476"/>
      <c r="J170" s="2476"/>
      <c r="K170" s="2020" t="str">
        <f>K169</f>
        <v>x</v>
      </c>
    </row>
    <row r="171" spans="1:11" ht="15" customHeight="1" x14ac:dyDescent="0.25">
      <c r="A171" s="2476"/>
      <c r="B171" s="2476"/>
      <c r="C171" s="2476"/>
      <c r="D171" s="2476"/>
      <c r="E171" s="2476"/>
      <c r="F171" s="2476"/>
      <c r="G171" s="2476"/>
      <c r="H171" s="2476"/>
      <c r="I171" s="2476"/>
      <c r="J171" s="2476"/>
      <c r="K171" s="2020" t="str">
        <f>K170</f>
        <v>x</v>
      </c>
    </row>
    <row r="172" spans="1:11" ht="15" customHeight="1" x14ac:dyDescent="0.25">
      <c r="A172" s="2110"/>
      <c r="B172" s="2110"/>
      <c r="C172" s="2110"/>
      <c r="D172" s="2110"/>
      <c r="E172" s="2110"/>
      <c r="F172" s="2110"/>
      <c r="G172" s="2110"/>
      <c r="H172" s="2110"/>
      <c r="I172" s="2110"/>
      <c r="J172" s="2110"/>
      <c r="K172" s="2020"/>
    </row>
    <row r="173" spans="1:11" ht="15" customHeight="1" x14ac:dyDescent="0.25">
      <c r="A173" s="281" t="s">
        <v>2073</v>
      </c>
      <c r="B173" s="2110"/>
      <c r="C173" s="2110"/>
      <c r="D173" s="2110"/>
      <c r="E173" s="2110"/>
      <c r="F173" s="2110"/>
      <c r="G173" s="2110"/>
      <c r="H173" s="2110"/>
      <c r="I173" s="2110"/>
      <c r="J173" s="2110"/>
      <c r="K173" s="2020"/>
    </row>
    <row r="174" spans="1:11" ht="15" customHeight="1" x14ac:dyDescent="0.25">
      <c r="A174" s="2476"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74" s="2476"/>
      <c r="C174" s="2476"/>
      <c r="D174" s="2476"/>
      <c r="E174" s="2476"/>
      <c r="F174" s="2476"/>
      <c r="G174" s="2476"/>
      <c r="H174" s="2476"/>
      <c r="I174" s="2476"/>
      <c r="J174" s="2476"/>
      <c r="K174" s="2020"/>
    </row>
    <row r="175" spans="1:11" ht="15" customHeight="1" x14ac:dyDescent="0.25">
      <c r="A175" s="2476"/>
      <c r="B175" s="2476"/>
      <c r="C175" s="2476"/>
      <c r="D175" s="2476"/>
      <c r="E175" s="2476"/>
      <c r="F175" s="2476"/>
      <c r="G175" s="2476"/>
      <c r="H175" s="2476"/>
      <c r="I175" s="2476"/>
      <c r="J175" s="2476"/>
      <c r="K175" s="2020"/>
    </row>
    <row r="176" spans="1:11" ht="15" customHeight="1" x14ac:dyDescent="0.25">
      <c r="A176" s="2476"/>
      <c r="B176" s="2476"/>
      <c r="C176" s="2476"/>
      <c r="D176" s="2476"/>
      <c r="E176" s="2476"/>
      <c r="F176" s="2476"/>
      <c r="G176" s="2476"/>
      <c r="H176" s="2476"/>
      <c r="I176" s="2476"/>
      <c r="J176" s="2476"/>
      <c r="K176" s="2020"/>
    </row>
    <row r="177" spans="1:11" ht="15" customHeight="1" x14ac:dyDescent="0.25">
      <c r="A177" s="2476"/>
      <c r="B177" s="2476"/>
      <c r="C177" s="2476"/>
      <c r="D177" s="2476"/>
      <c r="E177" s="2476"/>
      <c r="F177" s="2476"/>
      <c r="G177" s="2476"/>
      <c r="H177" s="2476"/>
      <c r="I177" s="2476"/>
      <c r="J177" s="2476"/>
      <c r="K177" s="2020"/>
    </row>
    <row r="178" spans="1:11" ht="15" customHeight="1" x14ac:dyDescent="0.25">
      <c r="A178" s="2476"/>
      <c r="B178" s="2476"/>
      <c r="C178" s="2476"/>
      <c r="D178" s="2476"/>
      <c r="E178" s="2476"/>
      <c r="F178" s="2476"/>
      <c r="G178" s="2476"/>
      <c r="H178" s="2476"/>
      <c r="I178" s="2476"/>
      <c r="J178" s="2476"/>
      <c r="K178" s="2020"/>
    </row>
    <row r="179" spans="1:11" ht="15" customHeight="1" x14ac:dyDescent="0.25">
      <c r="A179" s="2110"/>
      <c r="B179" s="2110"/>
      <c r="C179" s="2110"/>
      <c r="D179" s="2110"/>
      <c r="E179" s="2110"/>
      <c r="F179" s="2110"/>
      <c r="G179" s="2110"/>
      <c r="H179" s="2110"/>
      <c r="I179" s="2110"/>
      <c r="J179" s="2110"/>
      <c r="K179" s="2020"/>
    </row>
    <row r="180" spans="1:11" ht="15" customHeight="1" x14ac:dyDescent="0.25">
      <c r="A180" s="281" t="s">
        <v>2494</v>
      </c>
      <c r="B180" s="2110"/>
      <c r="C180" s="2110"/>
      <c r="D180" s="2110"/>
      <c r="E180" s="2110"/>
      <c r="F180" s="2110"/>
      <c r="G180" s="2110"/>
      <c r="H180" s="2110"/>
      <c r="I180" s="2110"/>
      <c r="J180" s="2110"/>
    </row>
    <row r="181" spans="1:11" ht="15" customHeight="1" x14ac:dyDescent="0.25">
      <c r="A181" s="2096"/>
      <c r="B181" s="2096"/>
      <c r="C181" s="2096"/>
      <c r="D181" s="2096"/>
      <c r="E181" s="2096"/>
      <c r="F181" s="2096"/>
      <c r="G181" s="2096"/>
      <c r="H181" s="2096"/>
      <c r="I181" s="2096"/>
      <c r="J181" s="2096"/>
    </row>
    <row r="182" spans="1:11" ht="15" customHeight="1" x14ac:dyDescent="0.25">
      <c r="A182" s="2487" t="s">
        <v>146</v>
      </c>
      <c r="B182" s="2487"/>
      <c r="C182" s="2487"/>
      <c r="D182" s="2487"/>
      <c r="E182" s="2487"/>
      <c r="F182" s="2618" t="s">
        <v>2457</v>
      </c>
      <c r="G182" s="2618"/>
      <c r="H182" s="2097" t="s">
        <v>2458</v>
      </c>
      <c r="I182" s="2487" t="s">
        <v>2423</v>
      </c>
      <c r="J182" s="2487"/>
    </row>
    <row r="183" spans="1:11" ht="15" customHeight="1" x14ac:dyDescent="0.25">
      <c r="A183" s="2459" t="s">
        <v>2419</v>
      </c>
      <c r="B183" s="2459"/>
      <c r="C183" s="2459"/>
      <c r="D183" s="2459"/>
      <c r="E183" s="2459"/>
      <c r="F183" s="2460" t="s">
        <v>2492</v>
      </c>
      <c r="G183" s="2460"/>
      <c r="H183" s="2098" t="e">
        <f ca="1">IF(F183="-","NA",IF(OR(I183="NA",I183="NPA"),"NA",IF(F183="Quadrienal",$J$1+1461,IF(F183="Bienal",$J$1+730,IF(F183="Anual",$J$1+365,IF(F183="Semestral",$J$1+182,IF(F183="Mensal",$J$1+30,IF(F183="Semanal",$J$1+7))))))))</f>
        <v>#N/A</v>
      </c>
      <c r="I183" s="2454" t="str">
        <f ca="1">IF(OR(L114="Não conforme",L115="Não conforme"),"Não conforme","Conforme")</f>
        <v>Conforme</v>
      </c>
      <c r="J183" s="2454" t="s">
        <v>857</v>
      </c>
    </row>
    <row r="184" spans="1:11" ht="15" customHeight="1" x14ac:dyDescent="0.25">
      <c r="A184" s="2459" t="s">
        <v>2496</v>
      </c>
      <c r="B184" s="2459"/>
      <c r="C184" s="2459"/>
      <c r="D184" s="2459"/>
      <c r="E184" s="2459"/>
      <c r="F184" s="2460" t="s">
        <v>2492</v>
      </c>
      <c r="G184" s="2460"/>
      <c r="H184" s="2331" t="e">
        <f t="shared" ref="H184:H194" ca="1" si="5">IF(F184="-","NA",IF(OR(I184="NA",I184="NPA"),"NA",IF(F184="Quadrienal",$J$1+1461,IF(F184="Bienal",$J$1+730,IF(F184="Anual",$J$1+365,IF(F184="Semestral",$J$1+182,IF(F184="Mensal",$J$1+30,IF(F184="Semanal",$J$1+7))))))))</f>
        <v>#N/A</v>
      </c>
      <c r="I184" s="2454" t="str">
        <f ca="1">IF(OR(L117="Não conforme",L116="Não conforme"),"Não conforme","Conforme")</f>
        <v>Conforme</v>
      </c>
      <c r="J184" s="2454" t="s">
        <v>857</v>
      </c>
    </row>
    <row r="185" spans="1:11" ht="15" customHeight="1" x14ac:dyDescent="0.25">
      <c r="A185" s="2459" t="s">
        <v>2417</v>
      </c>
      <c r="B185" s="2459"/>
      <c r="C185" s="2459"/>
      <c r="D185" s="2459"/>
      <c r="E185" s="2459"/>
      <c r="F185" s="2460" t="s">
        <v>2492</v>
      </c>
      <c r="G185" s="2460"/>
      <c r="H185" s="2331" t="e">
        <f t="shared" ca="1" si="5"/>
        <v>#N/A</v>
      </c>
      <c r="I185" s="2454" t="str">
        <f ca="1">IF(OR(L85="Não conforme",L92="Não conforme"),"Não conforme","Conforme")</f>
        <v>Conforme</v>
      </c>
      <c r="J185" s="2454" t="s">
        <v>857</v>
      </c>
    </row>
    <row r="186" spans="1:11" ht="15" customHeight="1" x14ac:dyDescent="0.25">
      <c r="A186" s="2459" t="s">
        <v>2497</v>
      </c>
      <c r="B186" s="2459"/>
      <c r="C186" s="2459"/>
      <c r="D186" s="2459"/>
      <c r="E186" s="2459"/>
      <c r="F186" s="2460" t="s">
        <v>2492</v>
      </c>
      <c r="G186" s="2460"/>
      <c r="H186" s="2331" t="e">
        <f t="shared" ca="1" si="5"/>
        <v>#N/A</v>
      </c>
      <c r="I186" s="2454" t="str">
        <f ca="1">IF(OR(L102="Não conforme",L107="Não conforme"),"Não conforme","Conforme")</f>
        <v>Conforme</v>
      </c>
      <c r="J186" s="2454" t="s">
        <v>857</v>
      </c>
    </row>
    <row r="187" spans="1:11" ht="30" customHeight="1" x14ac:dyDescent="0.25">
      <c r="A187" s="2459" t="s">
        <v>2425</v>
      </c>
      <c r="B187" s="2459"/>
      <c r="C187" s="2459"/>
      <c r="D187" s="2459"/>
      <c r="E187" s="2459"/>
      <c r="F187" s="2460" t="s">
        <v>2492</v>
      </c>
      <c r="G187" s="2460"/>
      <c r="H187" s="2331" t="e">
        <f t="shared" ca="1" si="5"/>
        <v>#N/A</v>
      </c>
      <c r="I187" s="2454" t="str">
        <f ca="1">IF(L118="Não conforme","Não conforme","Conforme")</f>
        <v>Conforme</v>
      </c>
      <c r="J187" s="2454" t="s">
        <v>857</v>
      </c>
    </row>
    <row r="188" spans="1:11" ht="15" customHeight="1" x14ac:dyDescent="0.25">
      <c r="A188" s="2459" t="s">
        <v>1275</v>
      </c>
      <c r="B188" s="2459"/>
      <c r="C188" s="2459"/>
      <c r="D188" s="2459"/>
      <c r="E188" s="2459"/>
      <c r="F188" s="2460" t="s">
        <v>2492</v>
      </c>
      <c r="G188" s="2460"/>
      <c r="H188" s="2331" t="e">
        <f t="shared" ca="1" si="5"/>
        <v>#NUM!</v>
      </c>
      <c r="I188" s="2454" t="e">
        <f ca="1">IF(L119="Não conforme","Não conforme","Conforme")</f>
        <v>#NUM!</v>
      </c>
      <c r="J188" s="2454" t="s">
        <v>857</v>
      </c>
    </row>
    <row r="189" spans="1:11" ht="15" customHeight="1" x14ac:dyDescent="0.25">
      <c r="A189" s="2459" t="s">
        <v>2498</v>
      </c>
      <c r="B189" s="2459"/>
      <c r="C189" s="2459"/>
      <c r="D189" s="2459"/>
      <c r="E189" s="2459"/>
      <c r="F189" s="2460" t="s">
        <v>2492</v>
      </c>
      <c r="G189" s="2460"/>
      <c r="H189" s="2331" t="e">
        <f t="shared" si="5"/>
        <v>#N/A</v>
      </c>
      <c r="I189" s="2454" t="str">
        <f>IF(L120="Não conforme","Não conforme","Conforme")</f>
        <v>Não conforme</v>
      </c>
      <c r="J189" s="2454" t="s">
        <v>857</v>
      </c>
    </row>
    <row r="190" spans="1:11" ht="15" customHeight="1" x14ac:dyDescent="0.25">
      <c r="A190" s="2459" t="s">
        <v>2499</v>
      </c>
      <c r="B190" s="2459"/>
      <c r="C190" s="2459"/>
      <c r="D190" s="2459"/>
      <c r="E190" s="2459"/>
      <c r="F190" s="2460" t="s">
        <v>2492</v>
      </c>
      <c r="G190" s="2460"/>
      <c r="H190" s="2331" t="e">
        <f t="shared" si="5"/>
        <v>#N/A</v>
      </c>
      <c r="I190" s="2454" t="str">
        <f>IF(L121="Não conforme","Não conforme","Conforme")</f>
        <v>Não conforme</v>
      </c>
      <c r="J190" s="2454" t="s">
        <v>857</v>
      </c>
    </row>
    <row r="191" spans="1:11" ht="15" customHeight="1" x14ac:dyDescent="0.25">
      <c r="A191" s="2459" t="s">
        <v>1702</v>
      </c>
      <c r="B191" s="2459"/>
      <c r="C191" s="2459"/>
      <c r="D191" s="2459"/>
      <c r="E191" s="2459"/>
      <c r="F191" s="2460" t="s">
        <v>2492</v>
      </c>
      <c r="G191" s="2460"/>
      <c r="H191" s="2331" t="e">
        <f t="shared" si="5"/>
        <v>#N/A</v>
      </c>
      <c r="I191" s="2454" t="str">
        <f>IF(L130="Não conforme","Não conforme","Conforme")</f>
        <v>Conforme</v>
      </c>
      <c r="J191" s="2454" t="s">
        <v>857</v>
      </c>
    </row>
    <row r="192" spans="1:11" ht="15" customHeight="1" x14ac:dyDescent="0.25">
      <c r="A192" s="2459" t="s">
        <v>1773</v>
      </c>
      <c r="B192" s="2459"/>
      <c r="C192" s="2459"/>
      <c r="D192" s="2459"/>
      <c r="E192" s="2459"/>
      <c r="F192" s="2460" t="s">
        <v>2492</v>
      </c>
      <c r="G192" s="2460"/>
      <c r="H192" s="2331" t="e">
        <f t="shared" si="5"/>
        <v>#N/A</v>
      </c>
      <c r="I192" s="2454" t="str">
        <f>IF(L129="Não conforme","Não conforme","Conforme")</f>
        <v>Conforme</v>
      </c>
      <c r="J192" s="2454" t="s">
        <v>857</v>
      </c>
    </row>
    <row r="193" spans="1:11" ht="15" customHeight="1" x14ac:dyDescent="0.25">
      <c r="A193" s="2459" t="s">
        <v>2500</v>
      </c>
      <c r="B193" s="2459"/>
      <c r="C193" s="2459"/>
      <c r="D193" s="2459"/>
      <c r="E193" s="2459"/>
      <c r="F193" s="2460" t="s">
        <v>2492</v>
      </c>
      <c r="G193" s="2460"/>
      <c r="H193" s="2331" t="e">
        <f t="shared" si="5"/>
        <v>#N/A</v>
      </c>
      <c r="I193" s="2454" t="str">
        <f>IF(COUNTIF(L123:L124,"Não conforme")&lt;&gt;0,"Não conforme","Conforme")</f>
        <v>Conforme</v>
      </c>
      <c r="J193" s="2454" t="s">
        <v>857</v>
      </c>
    </row>
    <row r="194" spans="1:11" s="2137" customFormat="1" ht="15" customHeight="1" x14ac:dyDescent="0.25">
      <c r="A194" s="2459" t="s">
        <v>2732</v>
      </c>
      <c r="B194" s="2459"/>
      <c r="C194" s="2459"/>
      <c r="D194" s="2459"/>
      <c r="E194" s="2459"/>
      <c r="F194" s="2460" t="s">
        <v>2731</v>
      </c>
      <c r="G194" s="2460"/>
      <c r="H194" s="2331" t="e">
        <f t="shared" si="5"/>
        <v>#DIV/0!</v>
      </c>
      <c r="I194" s="2454" t="e">
        <f>IF(L122="Não conforme","Não conforme","Conforme")</f>
        <v>#DIV/0!</v>
      </c>
      <c r="J194" s="2454" t="s">
        <v>857</v>
      </c>
      <c r="K194" s="2137" t="str">
        <f>IF(K122="x","x","")</f>
        <v>x</v>
      </c>
    </row>
    <row r="195" spans="1:11" ht="15" customHeight="1" x14ac:dyDescent="0.25">
      <c r="A195" s="284" t="s">
        <v>2772</v>
      </c>
      <c r="B195" s="2064"/>
      <c r="C195" s="287"/>
      <c r="D195" s="287"/>
      <c r="E195" s="287"/>
      <c r="F195" s="287"/>
      <c r="G195" s="2110"/>
      <c r="H195" s="2110"/>
      <c r="I195" s="2110"/>
      <c r="J195" s="2110"/>
    </row>
    <row r="197" spans="1:11" ht="15" customHeight="1" x14ac:dyDescent="0.25">
      <c r="A197" s="281" t="s">
        <v>2495</v>
      </c>
    </row>
    <row r="198" spans="1:11" ht="15" customHeight="1" x14ac:dyDescent="0.25">
      <c r="A198" s="281" t="s">
        <v>237</v>
      </c>
    </row>
    <row r="199" spans="1:11" ht="15" customHeight="1" x14ac:dyDescent="0.25">
      <c r="A199" s="2468" t="s">
        <v>573</v>
      </c>
      <c r="B199" s="2468"/>
      <c r="C199" s="2468"/>
      <c r="D199" s="2468"/>
      <c r="E199" s="2468"/>
      <c r="F199" s="2468"/>
      <c r="G199" s="2468"/>
      <c r="H199" s="2468"/>
      <c r="I199" s="2468"/>
      <c r="J199" s="2468"/>
      <c r="K199" s="2118" t="str">
        <f>IF(intraoral!F5="Não","","x")</f>
        <v>x</v>
      </c>
    </row>
    <row r="200" spans="1:11" ht="15" customHeight="1" x14ac:dyDescent="0.25">
      <c r="A200" s="2468" t="s">
        <v>2089</v>
      </c>
      <c r="B200" s="2468"/>
      <c r="C200" s="2468"/>
      <c r="D200" s="2468"/>
      <c r="E200" s="2468"/>
      <c r="F200" s="2468"/>
      <c r="G200" s="2468"/>
      <c r="H200" s="2468"/>
      <c r="I200" s="2468"/>
      <c r="J200" s="2468"/>
      <c r="K200" s="2118" t="str">
        <f>IF(K199="x","","x")</f>
        <v/>
      </c>
    </row>
    <row r="201" spans="1:11" ht="15" customHeight="1" x14ac:dyDescent="0.25">
      <c r="A201" s="281"/>
    </row>
    <row r="202" spans="1:11" ht="15" customHeight="1" x14ac:dyDescent="0.25">
      <c r="A202" s="281" t="s">
        <v>238</v>
      </c>
    </row>
    <row r="203" spans="1:11" ht="15" customHeight="1" x14ac:dyDescent="0.25">
      <c r="A203" s="2476" t="s">
        <v>383</v>
      </c>
      <c r="B203" s="2476"/>
      <c r="C203" s="2476"/>
      <c r="D203" s="2476"/>
      <c r="E203" s="2476"/>
      <c r="F203" s="2476"/>
      <c r="G203" s="2476"/>
      <c r="H203" s="2476"/>
      <c r="I203" s="2476"/>
      <c r="J203" s="2476"/>
      <c r="K203" s="2118" t="str">
        <f>IF(G64&lt;&gt;"sim","","x")</f>
        <v/>
      </c>
    </row>
    <row r="204" spans="1:11" ht="15" customHeight="1" x14ac:dyDescent="0.25">
      <c r="A204" s="2476"/>
      <c r="B204" s="2476"/>
      <c r="C204" s="2476"/>
      <c r="D204" s="2476"/>
      <c r="E204" s="2476"/>
      <c r="F204" s="2476"/>
      <c r="G204" s="2476"/>
      <c r="H204" s="2476"/>
      <c r="I204" s="2476"/>
      <c r="J204" s="2476"/>
      <c r="K204" s="2118" t="str">
        <f>K203</f>
        <v/>
      </c>
    </row>
    <row r="205" spans="1:11" ht="15" customHeight="1" x14ac:dyDescent="0.25">
      <c r="A205" s="2476"/>
      <c r="B205" s="2476"/>
      <c r="C205" s="2476"/>
      <c r="D205" s="2476"/>
      <c r="E205" s="2476"/>
      <c r="F205" s="2476"/>
      <c r="G205" s="2476"/>
      <c r="H205" s="2476"/>
      <c r="I205" s="2476"/>
      <c r="J205" s="2476"/>
      <c r="K205" s="2118" t="str">
        <f>K204</f>
        <v/>
      </c>
    </row>
    <row r="206" spans="1:11" ht="15" customHeight="1" x14ac:dyDescent="0.25">
      <c r="A206" s="2468" t="s">
        <v>574</v>
      </c>
      <c r="B206" s="2468"/>
      <c r="C206" s="2468"/>
      <c r="D206" s="2468"/>
      <c r="E206" s="2468"/>
      <c r="F206" s="2468"/>
      <c r="G206" s="2468"/>
      <c r="H206" s="2468"/>
      <c r="I206" s="2468"/>
      <c r="J206" s="2468"/>
      <c r="K206" s="2118" t="str">
        <f>K199</f>
        <v>x</v>
      </c>
    </row>
    <row r="207" spans="1:11" s="2335" customFormat="1" ht="15" customHeight="1" x14ac:dyDescent="0.25">
      <c r="A207" s="2476" t="s">
        <v>2822</v>
      </c>
      <c r="B207" s="2476"/>
      <c r="C207" s="2476"/>
      <c r="D207" s="2476"/>
      <c r="E207" s="2476"/>
      <c r="F207" s="2476"/>
      <c r="G207" s="2476"/>
      <c r="H207" s="2476"/>
      <c r="I207" s="2476"/>
      <c r="J207" s="2476"/>
      <c r="K207" s="2335" t="str">
        <f>IF(G66&lt;&gt;"sim","","x")</f>
        <v/>
      </c>
    </row>
    <row r="208" spans="1:11" s="2335" customFormat="1" ht="15" customHeight="1" x14ac:dyDescent="0.25">
      <c r="A208" s="2476"/>
      <c r="B208" s="2476"/>
      <c r="C208" s="2476"/>
      <c r="D208" s="2476"/>
      <c r="E208" s="2476"/>
      <c r="F208" s="2476"/>
      <c r="G208" s="2476"/>
      <c r="H208" s="2476"/>
      <c r="I208" s="2476"/>
      <c r="J208" s="2476"/>
      <c r="K208" s="2335" t="str">
        <f>K207</f>
        <v/>
      </c>
    </row>
    <row r="209" spans="1:11" ht="15" customHeight="1" x14ac:dyDescent="0.25">
      <c r="A209" s="2476" t="s">
        <v>575</v>
      </c>
      <c r="B209" s="2476"/>
      <c r="C209" s="2476"/>
      <c r="D209" s="2476"/>
      <c r="E209" s="2476"/>
      <c r="F209" s="2476"/>
      <c r="G209" s="2476"/>
      <c r="H209" s="2476"/>
      <c r="I209" s="2476"/>
      <c r="J209" s="2476"/>
      <c r="K209" s="2118" t="str">
        <f>IF(intraoral!R19="",IF(intraoral!E19&lt;60,"","x"),IF(OR(intraoral!R19&lt;60,intraoral!E19&lt;60),"","x"))</f>
        <v/>
      </c>
    </row>
    <row r="210" spans="1:11" ht="15" customHeight="1" x14ac:dyDescent="0.25">
      <c r="A210" s="2476"/>
      <c r="B210" s="2476"/>
      <c r="C210" s="2476"/>
      <c r="D210" s="2476"/>
      <c r="E210" s="2476"/>
      <c r="F210" s="2476"/>
      <c r="G210" s="2476"/>
      <c r="H210" s="2476"/>
      <c r="I210" s="2476"/>
      <c r="J210" s="2476"/>
      <c r="K210" s="2118" t="str">
        <f>K209</f>
        <v/>
      </c>
    </row>
    <row r="211" spans="1:11" ht="15" customHeight="1" x14ac:dyDescent="0.25">
      <c r="A211" s="2476" t="s">
        <v>577</v>
      </c>
      <c r="B211" s="2476"/>
      <c r="C211" s="2476"/>
      <c r="D211" s="2476"/>
      <c r="E211" s="2476"/>
      <c r="F211" s="2476"/>
      <c r="G211" s="2476"/>
      <c r="H211" s="2476"/>
      <c r="I211" s="2476"/>
      <c r="J211" s="2476"/>
      <c r="K211" s="2118" t="str">
        <f>K148</f>
        <v>x</v>
      </c>
    </row>
    <row r="212" spans="1:11" ht="15" customHeight="1" x14ac:dyDescent="0.25">
      <c r="A212" s="2476"/>
      <c r="B212" s="2476"/>
      <c r="C212" s="2476"/>
      <c r="D212" s="2476"/>
      <c r="E212" s="2476"/>
      <c r="F212" s="2476"/>
      <c r="G212" s="2476"/>
      <c r="H212" s="2476"/>
      <c r="I212" s="2476"/>
      <c r="J212" s="2476"/>
      <c r="K212" s="2118" t="str">
        <f>K211</f>
        <v>x</v>
      </c>
    </row>
    <row r="213" spans="1:11" ht="15" customHeight="1" x14ac:dyDescent="0.25">
      <c r="A213" s="2476" t="s">
        <v>576</v>
      </c>
      <c r="B213" s="2476"/>
      <c r="C213" s="2476"/>
      <c r="D213" s="2476"/>
      <c r="E213" s="2476"/>
      <c r="F213" s="2476"/>
      <c r="G213" s="2476"/>
      <c r="H213" s="2476"/>
      <c r="I213" s="2476"/>
      <c r="J213" s="2476"/>
      <c r="K213" s="2118" t="str">
        <f>K150</f>
        <v>x</v>
      </c>
    </row>
    <row r="214" spans="1:11" ht="15" customHeight="1" x14ac:dyDescent="0.25">
      <c r="A214" s="2476" t="s">
        <v>684</v>
      </c>
      <c r="B214" s="2476"/>
      <c r="C214" s="2476"/>
      <c r="D214" s="2476"/>
      <c r="E214" s="2476"/>
      <c r="F214" s="2476"/>
      <c r="G214" s="2476"/>
      <c r="H214" s="2476"/>
      <c r="I214" s="2476"/>
      <c r="J214" s="2476"/>
      <c r="K214" s="2118" t="str">
        <f>K152</f>
        <v>x</v>
      </c>
    </row>
    <row r="215" spans="1:11" ht="15" customHeight="1" x14ac:dyDescent="0.25">
      <c r="A215" s="2476"/>
      <c r="B215" s="2476"/>
      <c r="C215" s="2476"/>
      <c r="D215" s="2476"/>
      <c r="E215" s="2476"/>
      <c r="F215" s="2476"/>
      <c r="G215" s="2476"/>
      <c r="H215" s="2476"/>
      <c r="I215" s="2476"/>
      <c r="J215" s="2476"/>
      <c r="K215" s="2118" t="str">
        <f>K214</f>
        <v>x</v>
      </c>
    </row>
    <row r="216" spans="1:11" ht="15" customHeight="1" x14ac:dyDescent="0.25">
      <c r="A216" s="2476" t="s">
        <v>1810</v>
      </c>
      <c r="B216" s="2476"/>
      <c r="C216" s="2476"/>
      <c r="D216" s="2476"/>
      <c r="E216" s="2476"/>
      <c r="F216" s="2476"/>
      <c r="G216" s="2476"/>
      <c r="H216" s="2476"/>
      <c r="I216" s="2476"/>
      <c r="J216" s="2476"/>
      <c r="K216" s="2118" t="str">
        <f ca="1">IF(OR((COUNTIF(C92:I92,"Não")+COUNTIF(C92:I92,"Restrição"))&gt;0,(COUNTIF(C85:I85,"Não")+COUNTIF(C85:I85,"Restrição"))&gt;0),"","x")</f>
        <v>x</v>
      </c>
    </row>
    <row r="217" spans="1:11" ht="15" customHeight="1" x14ac:dyDescent="0.25">
      <c r="A217" s="2476"/>
      <c r="B217" s="2476"/>
      <c r="C217" s="2476"/>
      <c r="D217" s="2476"/>
      <c r="E217" s="2476"/>
      <c r="F217" s="2476"/>
      <c r="G217" s="2476"/>
      <c r="H217" s="2476"/>
      <c r="I217" s="2476"/>
      <c r="J217" s="2476"/>
      <c r="K217" s="2118" t="str">
        <f ca="1">K216</f>
        <v>x</v>
      </c>
    </row>
    <row r="218" spans="1:11" ht="15" customHeight="1" x14ac:dyDescent="0.25">
      <c r="A218" s="2476" t="str">
        <f ca="1">"                A tolerância para o teste do valor representativo de dose no paciente é ≤ 3,5 mGy para exame de molar superior em adultos. "&amp;IF((COUNTIF($C$101:$I$101,"&lt;3,5")+COUNTIF($C$106:$I$106,"&lt;3,5"))&gt;0,"Sugere-se utilizar apenas tempos nos quais o kerma no ar é menor do que 3,5 mGy. Estes tempos podem ser verificados no item 6 deste Laudo.","O equipamento não atende ao nível de tolerância, recomenda-se o ajuste.")</f>
        <v xml:space="preserve">                A tolerância para o teste do valor representativo de dose no paciente é ≤ 3,5 mGy para exame de molar superior em adultos. O equipamento não atende ao nível de tolerância, recomenda-se o ajuste.</v>
      </c>
      <c r="B218" s="2476"/>
      <c r="C218" s="2476"/>
      <c r="D218" s="2476"/>
      <c r="E218" s="2476"/>
      <c r="F218" s="2476"/>
      <c r="G218" s="2476"/>
      <c r="H218" s="2476"/>
      <c r="I218" s="2476"/>
      <c r="J218" s="2476"/>
      <c r="K218" s="2118" t="str">
        <f ca="1">IF(SUM(COUNTIF(C102:J107,"Não"),COUNTIF(C102:J107,"Restrição"))&gt;0,"","x")</f>
        <v>x</v>
      </c>
    </row>
    <row r="219" spans="1:11" ht="15" customHeight="1" x14ac:dyDescent="0.25">
      <c r="A219" s="2476"/>
      <c r="B219" s="2476"/>
      <c r="C219" s="2476"/>
      <c r="D219" s="2476"/>
      <c r="E219" s="2476"/>
      <c r="F219" s="2476"/>
      <c r="G219" s="2476"/>
      <c r="H219" s="2476"/>
      <c r="I219" s="2476"/>
      <c r="J219" s="2476"/>
      <c r="K219" s="2118" t="str">
        <f ca="1">K218</f>
        <v>x</v>
      </c>
    </row>
    <row r="220" spans="1:11" ht="15" customHeight="1" x14ac:dyDescent="0.25">
      <c r="A220" s="2476"/>
      <c r="B220" s="2476"/>
      <c r="C220" s="2476"/>
      <c r="D220" s="2476"/>
      <c r="E220" s="2476"/>
      <c r="F220" s="2476"/>
      <c r="G220" s="2476"/>
      <c r="H220" s="2476"/>
      <c r="I220" s="2476"/>
      <c r="J220" s="2476"/>
      <c r="K220" s="2118" t="str">
        <f ca="1">K219</f>
        <v>x</v>
      </c>
    </row>
    <row r="221" spans="1:11" ht="15" customHeight="1" x14ac:dyDescent="0.25">
      <c r="A221" s="2476" t="e">
        <f ca="1">CONCATENATE("                A camada semirredutora está abaixo do permitido (",ROUND(intraoral!E44,1)," mm Al @ ",ROUND(intraoral!B42,0)," kVp). Deve ser acrescentado alumínio à filtração do feixe primário.")</f>
        <v>#DIV/0!</v>
      </c>
      <c r="B221" s="2476"/>
      <c r="C221" s="2476"/>
      <c r="D221" s="2476"/>
      <c r="E221" s="2476"/>
      <c r="F221" s="2476"/>
      <c r="G221" s="2476"/>
      <c r="H221" s="2476"/>
      <c r="I221" s="2476"/>
      <c r="J221" s="2476"/>
      <c r="K221" s="2118" t="str">
        <f ca="1">IF(ISERROR(A221),"x",IF(J114&lt;&gt;"Sim","","x"))</f>
        <v>x</v>
      </c>
    </row>
    <row r="222" spans="1:11" ht="15" customHeight="1" x14ac:dyDescent="0.25">
      <c r="A222" s="2476"/>
      <c r="B222" s="2476"/>
      <c r="C222" s="2476"/>
      <c r="D222" s="2476"/>
      <c r="E222" s="2476"/>
      <c r="F222" s="2476"/>
      <c r="G222" s="2476"/>
      <c r="H222" s="2476"/>
      <c r="I222" s="2476"/>
      <c r="J222" s="2476"/>
      <c r="K222" s="2118" t="str">
        <f ca="1">K221</f>
        <v>x</v>
      </c>
    </row>
    <row r="223" spans="1:11" ht="15" customHeight="1" x14ac:dyDescent="0.25">
      <c r="A223" s="2476" t="e">
        <f ca="1">CONCATENATE("                A camada semirredutora está abaixo do permitido (",ROUND(intraoral!K44,1)," mm Al @ ",ROUND(intraoral!H42,0)," kVp). Deve ser acrescentado alumínio à filtração do feixe primário.")</f>
        <v>#DIV/0!</v>
      </c>
      <c r="B223" s="2476"/>
      <c r="C223" s="2476"/>
      <c r="D223" s="2476"/>
      <c r="E223" s="2476"/>
      <c r="F223" s="2476"/>
      <c r="G223" s="2476"/>
      <c r="H223" s="2476"/>
      <c r="I223" s="2476"/>
      <c r="J223" s="2476"/>
      <c r="K223" s="2118" t="str">
        <f ca="1">IF(ISERROR(A223),"x",IF(J115&lt;&gt;"Sim","","x"))</f>
        <v>x</v>
      </c>
    </row>
    <row r="224" spans="1:11" ht="15" customHeight="1" x14ac:dyDescent="0.25">
      <c r="A224" s="2476"/>
      <c r="B224" s="2476"/>
      <c r="C224" s="2476"/>
      <c r="D224" s="2476"/>
      <c r="E224" s="2476"/>
      <c r="F224" s="2476"/>
      <c r="G224" s="2476"/>
      <c r="H224" s="2476"/>
      <c r="I224" s="2476"/>
      <c r="J224" s="2476"/>
      <c r="K224" s="2118" t="str">
        <f ca="1">K223</f>
        <v>x</v>
      </c>
    </row>
    <row r="225" spans="1:11" ht="15" customHeight="1" x14ac:dyDescent="0.25">
      <c r="A225" s="2476" t="s">
        <v>578</v>
      </c>
      <c r="B225" s="2476"/>
      <c r="C225" s="2476"/>
      <c r="D225" s="2476"/>
      <c r="E225" s="2476"/>
      <c r="F225" s="2476"/>
      <c r="G225" s="2476"/>
      <c r="H225" s="2476"/>
      <c r="I225" s="2476"/>
      <c r="J225" s="2476"/>
      <c r="K225" s="2118" t="str">
        <f ca="1">IF(intraoral!R19="",IF('LAUDO intra'!J116&lt;&gt;"Sim","","x"),IF(OR(J116&lt;&gt;"Sim",J117&lt;&gt;"Sim"),"","x"))</f>
        <v/>
      </c>
    </row>
    <row r="226" spans="1:11" ht="15" customHeight="1" x14ac:dyDescent="0.25">
      <c r="A226" s="2476"/>
      <c r="B226" s="2476"/>
      <c r="C226" s="2476"/>
      <c r="D226" s="2476"/>
      <c r="E226" s="2476"/>
      <c r="F226" s="2476"/>
      <c r="G226" s="2476"/>
      <c r="H226" s="2476"/>
      <c r="I226" s="2476"/>
      <c r="J226" s="2476"/>
      <c r="K226" s="2118" t="str">
        <f ca="1">K225</f>
        <v/>
      </c>
    </row>
    <row r="227" spans="1:11" ht="15" customHeight="1" x14ac:dyDescent="0.25">
      <c r="A227" s="2476" t="e">
        <f ca="1">"                 A linearidade do kerma no ar com o mAs está fora de tolerância (20 %) devido a "&amp;IF(OR(OR(intraoral!L29="Ruim",intraoral!Y29="Ruim"),AND(intraoral!L29="Ok",intraoral!L30,intraoral!L31)),"erro no temporizador. O circuito eletrônico que controla o tempo de exposição deve ser ajustado."," inconstância "&amp;IF(OR(intraoral!L30="Ruim",intraoral!Y30="Ruim"),"da alta tensão","")&amp;IF(AND(OR(intraoral!L30="Ruim",intraoral!Y30="Ruim"),OR(intraoral!L31="Ruim",intraoral!Y31="Ruim"))," e/ou ","")&amp;IF(OR(intraoral!L31="Ruim",intraoral!Y31="Ruim"),"da corrente anódica","")&amp;" durante a exposição.")</f>
        <v>#NUM!</v>
      </c>
      <c r="B227" s="2476"/>
      <c r="C227" s="2476"/>
      <c r="D227" s="2476"/>
      <c r="E227" s="2476"/>
      <c r="F227" s="2476"/>
      <c r="G227" s="2476"/>
      <c r="H227" s="2476"/>
      <c r="I227" s="2476"/>
      <c r="J227" s="2476"/>
      <c r="K227" s="2118" t="str">
        <f ca="1">IF(ISERR(A227),"x",IF(J118&lt;&gt;"Sim","","x"))</f>
        <v>x</v>
      </c>
    </row>
    <row r="228" spans="1:11" ht="15" customHeight="1" x14ac:dyDescent="0.25">
      <c r="A228" s="2476"/>
      <c r="B228" s="2476"/>
      <c r="C228" s="2476"/>
      <c r="D228" s="2476"/>
      <c r="E228" s="2476"/>
      <c r="F228" s="2476"/>
      <c r="G228" s="2476"/>
      <c r="H228" s="2476"/>
      <c r="I228" s="2476"/>
      <c r="J228" s="2476"/>
      <c r="K228" s="2118" t="str">
        <f ca="1">K227</f>
        <v>x</v>
      </c>
    </row>
    <row r="229" spans="1:11" ht="15" customHeight="1" x14ac:dyDescent="0.25">
      <c r="A229" s="2476" t="s">
        <v>1140</v>
      </c>
      <c r="B229" s="2476"/>
      <c r="C229" s="2476"/>
      <c r="D229" s="2476"/>
      <c r="E229" s="2476"/>
      <c r="F229" s="2476"/>
      <c r="G229" s="2476"/>
      <c r="H229" s="2476"/>
      <c r="I229" s="2476"/>
      <c r="J229" s="2476"/>
      <c r="K229" s="2118" t="str">
        <f>IFERROR(IF(AND(K122="",J122&lt;&gt;"Sim"),"","x"),"x")</f>
        <v>x</v>
      </c>
    </row>
    <row r="230" spans="1:11" ht="15" customHeight="1" x14ac:dyDescent="0.25">
      <c r="A230" s="2476"/>
      <c r="B230" s="2476"/>
      <c r="C230" s="2476"/>
      <c r="D230" s="2476"/>
      <c r="E230" s="2476"/>
      <c r="F230" s="2476"/>
      <c r="G230" s="2476"/>
      <c r="H230" s="2476"/>
      <c r="I230" s="2476"/>
      <c r="J230" s="2476"/>
      <c r="K230" s="2118" t="str">
        <f>K229</f>
        <v>x</v>
      </c>
    </row>
    <row r="231" spans="1:11" ht="15" customHeight="1" x14ac:dyDescent="0.25">
      <c r="A231" s="2883" t="s">
        <v>1130</v>
      </c>
      <c r="B231" s="2883"/>
      <c r="C231" s="2883"/>
      <c r="D231" s="2883"/>
      <c r="E231" s="2883"/>
      <c r="F231" s="2883"/>
      <c r="G231" s="2883"/>
      <c r="H231" s="2883"/>
      <c r="I231" s="2883"/>
      <c r="J231" s="2883"/>
      <c r="K231" s="2118" t="str">
        <f>IF(OR(J123="Não",J124="Não"),"","x")</f>
        <v>x</v>
      </c>
    </row>
    <row r="232" spans="1:11" ht="15" customHeight="1" x14ac:dyDescent="0.25">
      <c r="A232" s="2883"/>
      <c r="B232" s="2883"/>
      <c r="C232" s="2883"/>
      <c r="D232" s="2883"/>
      <c r="E232" s="2883"/>
      <c r="F232" s="2883"/>
      <c r="G232" s="2883"/>
      <c r="H232" s="2883"/>
      <c r="I232" s="2883"/>
      <c r="J232" s="2883"/>
      <c r="K232" s="2118" t="str">
        <f>K231</f>
        <v>x</v>
      </c>
    </row>
    <row r="233" spans="1:11" ht="15" customHeight="1" x14ac:dyDescent="0.25">
      <c r="A233" s="2883"/>
      <c r="B233" s="2883"/>
      <c r="C233" s="2883"/>
      <c r="D233" s="2883"/>
      <c r="E233" s="2883"/>
      <c r="F233" s="2883"/>
      <c r="G233" s="2883"/>
      <c r="H233" s="2883"/>
      <c r="I233" s="2883"/>
      <c r="J233" s="2883"/>
      <c r="K233" s="2118" t="str">
        <f>K232</f>
        <v>x</v>
      </c>
    </row>
    <row r="234" spans="1:11" ht="15" customHeight="1" x14ac:dyDescent="0.25">
      <c r="A234" s="2883"/>
      <c r="B234" s="2883"/>
      <c r="C234" s="2883"/>
      <c r="D234" s="2883"/>
      <c r="E234" s="2883"/>
      <c r="F234" s="2883"/>
      <c r="G234" s="2883"/>
      <c r="H234" s="2883"/>
      <c r="I234" s="2883"/>
      <c r="J234" s="2883"/>
      <c r="K234" s="2118" t="str">
        <f>K233</f>
        <v>x</v>
      </c>
    </row>
    <row r="235" spans="1:11" ht="15" customHeight="1" x14ac:dyDescent="0.25">
      <c r="A235" s="2476" t="s">
        <v>1276</v>
      </c>
      <c r="B235" s="2476"/>
      <c r="C235" s="2476"/>
      <c r="D235" s="2476"/>
      <c r="E235" s="2476"/>
      <c r="F235" s="2476"/>
      <c r="G235" s="2476"/>
      <c r="H235" s="2476"/>
      <c r="I235" s="2476"/>
      <c r="J235" s="2476"/>
      <c r="K235" s="2118" t="e">
        <f ca="1">IF(J119&lt;&gt;"Sim","","x")</f>
        <v>#NUM!</v>
      </c>
    </row>
    <row r="236" spans="1:11" ht="15" customHeight="1" x14ac:dyDescent="0.25">
      <c r="A236" s="2476"/>
      <c r="B236" s="2476"/>
      <c r="C236" s="2476"/>
      <c r="D236" s="2476"/>
      <c r="E236" s="2476"/>
      <c r="F236" s="2476"/>
      <c r="G236" s="2476"/>
      <c r="H236" s="2476"/>
      <c r="I236" s="2476"/>
      <c r="J236" s="2476"/>
      <c r="K236" s="2118" t="e">
        <f ca="1">K235</f>
        <v>#NUM!</v>
      </c>
    </row>
    <row r="237" spans="1:11" ht="15" customHeight="1" x14ac:dyDescent="0.25">
      <c r="A237" s="2476" t="s">
        <v>579</v>
      </c>
      <c r="B237" s="2476"/>
      <c r="C237" s="2476"/>
      <c r="D237" s="2476"/>
      <c r="E237" s="2476"/>
      <c r="F237" s="2476"/>
      <c r="G237" s="2476"/>
      <c r="H237" s="2476"/>
      <c r="I237" s="2476"/>
      <c r="J237" s="2476"/>
      <c r="K237" s="2118" t="str">
        <f>IF(J120&lt;&gt;"Sim","","x")</f>
        <v/>
      </c>
    </row>
    <row r="238" spans="1:11" ht="15" customHeight="1" x14ac:dyDescent="0.25">
      <c r="A238" s="2476"/>
      <c r="B238" s="2476"/>
      <c r="C238" s="2476"/>
      <c r="D238" s="2476"/>
      <c r="E238" s="2476"/>
      <c r="F238" s="2476"/>
      <c r="G238" s="2476"/>
      <c r="H238" s="2476"/>
      <c r="I238" s="2476"/>
      <c r="J238" s="2476"/>
      <c r="K238" s="2118" t="str">
        <f>K237</f>
        <v/>
      </c>
    </row>
    <row r="239" spans="1:11" ht="15" customHeight="1" x14ac:dyDescent="0.25">
      <c r="A239" s="2476" t="s">
        <v>580</v>
      </c>
      <c r="B239" s="2476"/>
      <c r="C239" s="2476"/>
      <c r="D239" s="2476"/>
      <c r="E239" s="2476"/>
      <c r="F239" s="2476"/>
      <c r="G239" s="2476"/>
      <c r="H239" s="2476"/>
      <c r="I239" s="2476"/>
      <c r="J239" s="2476"/>
      <c r="K239" s="2118" t="str">
        <f>IF(J121&lt;&gt;"Sim","","x")</f>
        <v/>
      </c>
    </row>
    <row r="240" spans="1:11" ht="15" customHeight="1" x14ac:dyDescent="0.25">
      <c r="A240" s="2476"/>
      <c r="B240" s="2476"/>
      <c r="C240" s="2476"/>
      <c r="D240" s="2476"/>
      <c r="E240" s="2476"/>
      <c r="F240" s="2476"/>
      <c r="G240" s="2476"/>
      <c r="H240" s="2476"/>
      <c r="I240" s="2476"/>
      <c r="J240" s="2476"/>
      <c r="K240" s="2118" t="str">
        <f>K239</f>
        <v/>
      </c>
    </row>
    <row r="241" spans="1:11" ht="15" customHeight="1" x14ac:dyDescent="0.25">
      <c r="A241" s="2476" t="str">
        <f>"                Para os demais itens o equipamento atende os requisitos da Instrução Normativa "&amp;VLOOKUP("Intraoral",IN_ANVISA[],2)&amp;"/"&amp;VLOOKUP("Intraoral",IN_ANVISA[],3)&amp;" da ANVISA."</f>
        <v xml:space="preserve">                Para os demais itens o equipamento atende os requisitos da Instrução Normativa 95/2021 da ANVISA.</v>
      </c>
      <c r="B241" s="2476"/>
      <c r="C241" s="2476"/>
      <c r="D241" s="2476"/>
      <c r="E241" s="2476"/>
      <c r="F241" s="2476"/>
      <c r="G241" s="2476"/>
      <c r="H241" s="2476"/>
      <c r="I241" s="2476"/>
      <c r="J241" s="2476"/>
      <c r="K241" s="2118" t="str">
        <f ca="1">IF(COUNTIF(K203:K240,"")&gt;0,"","x")</f>
        <v/>
      </c>
    </row>
    <row r="242" spans="1:11" ht="15" customHeight="1" x14ac:dyDescent="0.25">
      <c r="A242" s="2476"/>
      <c r="B242" s="2476"/>
      <c r="C242" s="2476"/>
      <c r="D242" s="2476"/>
      <c r="E242" s="2476"/>
      <c r="F242" s="2476"/>
      <c r="G242" s="2476"/>
      <c r="H242" s="2476"/>
      <c r="I242" s="2476"/>
      <c r="J242" s="2476"/>
      <c r="K242" s="2118" t="str">
        <f ca="1">K241</f>
        <v/>
      </c>
    </row>
    <row r="243" spans="1:11" ht="15" customHeight="1" x14ac:dyDescent="0.25">
      <c r="A243" s="2476" t="str">
        <f>"                Para os itens testados o equipamento atende os requisitos da Instrução Normativa "&amp;VLOOKUP("Intraoral",IN_ANVISA[],2)&amp;"/"&amp;VLOOKUP("Intraoral",IN_ANVISA[],3)&amp;" da ANVISA."</f>
        <v xml:space="preserve">                Para os itens testados o equipamento atende os requisitos da Instrução Normativa 95/2021 da ANVISA.</v>
      </c>
      <c r="B243" s="2476"/>
      <c r="C243" s="2476"/>
      <c r="D243" s="2476"/>
      <c r="E243" s="2476"/>
      <c r="F243" s="2476"/>
      <c r="G243" s="2476"/>
      <c r="H243" s="2476"/>
      <c r="I243" s="2476"/>
      <c r="J243" s="2476"/>
      <c r="K243" s="2118" t="str">
        <f ca="1">IF(K241="x","","x")</f>
        <v>x</v>
      </c>
    </row>
    <row r="244" spans="1:11" ht="15" customHeight="1" x14ac:dyDescent="0.25">
      <c r="A244" s="2476"/>
      <c r="B244" s="2476"/>
      <c r="C244" s="2476"/>
      <c r="D244" s="2476"/>
      <c r="E244" s="2476"/>
      <c r="F244" s="2476"/>
      <c r="G244" s="2476"/>
      <c r="H244" s="2476"/>
      <c r="I244" s="2476"/>
      <c r="J244" s="2476"/>
      <c r="K244" s="2118" t="str">
        <f ca="1">K243</f>
        <v>x</v>
      </c>
    </row>
    <row r="245" spans="1:11" ht="15" customHeight="1" x14ac:dyDescent="0.25">
      <c r="A245" s="2476" t="str">
        <f>"                 O equipamento atende os requisitos da Instrução Normativa "&amp;VLOOKUP("Intraoral",IN_ANVISA[],2)&amp;"/"&amp;VLOOKUP("Intraoral",IN_ANVISA[],3)&amp;" da ANVISA."</f>
        <v xml:space="preserve">                 O equipamento atende os requisitos da Instrução Normativa 95/2021 da ANVISA.</v>
      </c>
      <c r="B245" s="2476"/>
      <c r="C245" s="2476"/>
      <c r="D245" s="2476"/>
      <c r="E245" s="2476"/>
      <c r="F245" s="2476"/>
      <c r="G245" s="2476"/>
      <c r="H245" s="2476"/>
      <c r="I245" s="2476"/>
      <c r="J245" s="2476"/>
      <c r="K245" s="2118" t="s">
        <v>649</v>
      </c>
    </row>
    <row r="246" spans="1:11" ht="15" customHeight="1" x14ac:dyDescent="0.25">
      <c r="A246" s="2476"/>
      <c r="B246" s="2476"/>
      <c r="C246" s="2476"/>
      <c r="D246" s="2476"/>
      <c r="E246" s="2476"/>
      <c r="F246" s="2476"/>
      <c r="G246" s="2476"/>
      <c r="H246" s="2476"/>
      <c r="I246" s="2476"/>
      <c r="J246" s="2476"/>
      <c r="K246" s="2118" t="str">
        <f>K245</f>
        <v>x</v>
      </c>
    </row>
    <row r="247" spans="1:11" ht="15" customHeight="1" x14ac:dyDescent="0.25">
      <c r="A247" s="2110"/>
      <c r="B247" s="2110"/>
      <c r="C247" s="2110"/>
      <c r="D247" s="2110"/>
      <c r="E247" s="2110"/>
      <c r="F247" s="2110"/>
      <c r="G247" s="2110"/>
      <c r="H247" s="2110"/>
      <c r="I247" s="2110"/>
      <c r="J247" s="2110"/>
      <c r="K247" s="2118" t="str">
        <f ca="1">K248</f>
        <v/>
      </c>
    </row>
    <row r="248" spans="1:11" ht="15" customHeight="1" x14ac:dyDescent="0.25">
      <c r="A248" s="2477"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248" s="2477"/>
      <c r="C248" s="2477"/>
      <c r="D248" s="2477"/>
      <c r="E248" s="2477"/>
      <c r="F248" s="2477"/>
      <c r="G248" s="2477"/>
      <c r="H248" s="2477"/>
      <c r="I248" s="2477"/>
      <c r="J248" s="2477"/>
      <c r="K248" s="2118" t="str">
        <f ca="1">IF(COUNTIF(A64:J128,"Restrição")&gt;0,"","x")</f>
        <v/>
      </c>
    </row>
    <row r="249" spans="1:11" ht="15" customHeight="1" x14ac:dyDescent="0.25">
      <c r="A249" s="2477"/>
      <c r="B249" s="2477"/>
      <c r="C249" s="2477"/>
      <c r="D249" s="2477"/>
      <c r="E249" s="2477"/>
      <c r="F249" s="2477"/>
      <c r="G249" s="2477"/>
      <c r="H249" s="2477"/>
      <c r="I249" s="2477"/>
      <c r="J249" s="2477"/>
      <c r="K249" s="2118" t="str">
        <f ca="1">K248</f>
        <v/>
      </c>
    </row>
    <row r="250" spans="1:11" ht="15" customHeight="1" x14ac:dyDescent="0.25">
      <c r="A250" s="2477"/>
      <c r="B250" s="2477"/>
      <c r="C250" s="2477"/>
      <c r="D250" s="2477"/>
      <c r="E250" s="2477"/>
      <c r="F250" s="2477"/>
      <c r="G250" s="2477"/>
      <c r="H250" s="2477"/>
      <c r="I250" s="2477"/>
      <c r="J250" s="2477"/>
      <c r="K250" s="2118" t="str">
        <f ca="1">K249</f>
        <v/>
      </c>
    </row>
    <row r="251" spans="1:11" ht="15" customHeight="1" x14ac:dyDescent="0.25">
      <c r="A251" s="2477"/>
      <c r="B251" s="2477"/>
      <c r="C251" s="2477"/>
      <c r="D251" s="2477"/>
      <c r="E251" s="2477"/>
      <c r="F251" s="2477"/>
      <c r="G251" s="2477"/>
      <c r="H251" s="2477"/>
      <c r="I251" s="2477"/>
      <c r="J251" s="2477"/>
      <c r="K251" s="2118" t="str">
        <f ca="1">K250</f>
        <v/>
      </c>
    </row>
  </sheetData>
  <sheetProtection selectLockedCells="1" autoFilter="0"/>
  <autoFilter ref="K1:K251"/>
  <mergeCells count="217">
    <mergeCell ref="A24:C24"/>
    <mergeCell ref="D24:F24"/>
    <mergeCell ref="G24:J24"/>
    <mergeCell ref="A59:D59"/>
    <mergeCell ref="A84:B84"/>
    <mergeCell ref="A91:B91"/>
    <mergeCell ref="A245:J246"/>
    <mergeCell ref="A248:J251"/>
    <mergeCell ref="A154:J157"/>
    <mergeCell ref="A211:J212"/>
    <mergeCell ref="A221:J222"/>
    <mergeCell ref="A213:J213"/>
    <mergeCell ref="A214:J215"/>
    <mergeCell ref="A216:J217"/>
    <mergeCell ref="A223:J224"/>
    <mergeCell ref="A225:J226"/>
    <mergeCell ref="A227:J228"/>
    <mergeCell ref="A235:J236"/>
    <mergeCell ref="A237:J238"/>
    <mergeCell ref="A239:J240"/>
    <mergeCell ref="A241:J242"/>
    <mergeCell ref="A203:J205"/>
    <mergeCell ref="A206:J206"/>
    <mergeCell ref="A209:J210"/>
    <mergeCell ref="A218:J220"/>
    <mergeCell ref="A160:J161"/>
    <mergeCell ref="A169:J171"/>
    <mergeCell ref="A229:J230"/>
    <mergeCell ref="A243:J244"/>
    <mergeCell ref="A158:J159"/>
    <mergeCell ref="A231:J234"/>
    <mergeCell ref="A152:J153"/>
    <mergeCell ref="A199:J199"/>
    <mergeCell ref="A162:J165"/>
    <mergeCell ref="A200:J200"/>
    <mergeCell ref="A166:J168"/>
    <mergeCell ref="A174:J178"/>
    <mergeCell ref="A182:E182"/>
    <mergeCell ref="F182:G182"/>
    <mergeCell ref="I182:J182"/>
    <mergeCell ref="A183:E183"/>
    <mergeCell ref="F183:G183"/>
    <mergeCell ref="I183:J183"/>
    <mergeCell ref="A184:E184"/>
    <mergeCell ref="F184:G184"/>
    <mergeCell ref="I184:J184"/>
    <mergeCell ref="A185:E185"/>
    <mergeCell ref="F185:G185"/>
    <mergeCell ref="I185:J185"/>
    <mergeCell ref="A186:E186"/>
    <mergeCell ref="F186:G186"/>
    <mergeCell ref="A189:E189"/>
    <mergeCell ref="F189:G189"/>
    <mergeCell ref="I189:J189"/>
    <mergeCell ref="A144:J144"/>
    <mergeCell ref="A145:J145"/>
    <mergeCell ref="A146:J147"/>
    <mergeCell ref="A150:J151"/>
    <mergeCell ref="F188:G188"/>
    <mergeCell ref="I188:J188"/>
    <mergeCell ref="A135:J136"/>
    <mergeCell ref="A148:J149"/>
    <mergeCell ref="H116:I116"/>
    <mergeCell ref="H117:I117"/>
    <mergeCell ref="H118:I118"/>
    <mergeCell ref="H119:I119"/>
    <mergeCell ref="H120:I120"/>
    <mergeCell ref="H121:I121"/>
    <mergeCell ref="H122:I122"/>
    <mergeCell ref="H123:I123"/>
    <mergeCell ref="H124:I124"/>
    <mergeCell ref="A142:J143"/>
    <mergeCell ref="H129:I129"/>
    <mergeCell ref="H130:I130"/>
    <mergeCell ref="A130:C130"/>
    <mergeCell ref="D124:E124"/>
    <mergeCell ref="D116:E116"/>
    <mergeCell ref="A127:C127"/>
    <mergeCell ref="D126:E126"/>
    <mergeCell ref="D127:E127"/>
    <mergeCell ref="A129:C129"/>
    <mergeCell ref="A118:C118"/>
    <mergeCell ref="A119:C119"/>
    <mergeCell ref="A120:C120"/>
    <mergeCell ref="G44:H44"/>
    <mergeCell ref="A139:J139"/>
    <mergeCell ref="E1:H1"/>
    <mergeCell ref="C12:J13"/>
    <mergeCell ref="C17:J17"/>
    <mergeCell ref="A3:I3"/>
    <mergeCell ref="A5:I5"/>
    <mergeCell ref="A1:D1"/>
    <mergeCell ref="A35:J37"/>
    <mergeCell ref="A38:J39"/>
    <mergeCell ref="A27:J28"/>
    <mergeCell ref="A31:J32"/>
    <mergeCell ref="A137:J138"/>
    <mergeCell ref="A72:E72"/>
    <mergeCell ref="G72:I72"/>
    <mergeCell ref="A73:E73"/>
    <mergeCell ref="G73:I73"/>
    <mergeCell ref="G70:I70"/>
    <mergeCell ref="A82:B82"/>
    <mergeCell ref="A83:B83"/>
    <mergeCell ref="A85:B85"/>
    <mergeCell ref="A29:J30"/>
    <mergeCell ref="C9:J10"/>
    <mergeCell ref="A40:J41"/>
    <mergeCell ref="A44:C44"/>
    <mergeCell ref="D44:F44"/>
    <mergeCell ref="D114:E114"/>
    <mergeCell ref="A114:C114"/>
    <mergeCell ref="A101:B101"/>
    <mergeCell ref="A102:B102"/>
    <mergeCell ref="A105:B105"/>
    <mergeCell ref="A106:B106"/>
    <mergeCell ref="I44:J44"/>
    <mergeCell ref="A45:C46"/>
    <mergeCell ref="D45:F46"/>
    <mergeCell ref="G63:I63"/>
    <mergeCell ref="A64:E64"/>
    <mergeCell ref="G64:I64"/>
    <mergeCell ref="G45:H46"/>
    <mergeCell ref="I45:J46"/>
    <mergeCell ref="A71:E71"/>
    <mergeCell ref="G71:I71"/>
    <mergeCell ref="A48:D48"/>
    <mergeCell ref="E48:J48"/>
    <mergeCell ref="A65:E65"/>
    <mergeCell ref="G65:I65"/>
    <mergeCell ref="A50:D50"/>
    <mergeCell ref="E50:J50"/>
    <mergeCell ref="A116:C116"/>
    <mergeCell ref="A117:C117"/>
    <mergeCell ref="H125:I125"/>
    <mergeCell ref="H126:I126"/>
    <mergeCell ref="C56:D56"/>
    <mergeCell ref="A57:B57"/>
    <mergeCell ref="C78:J78"/>
    <mergeCell ref="C97:J97"/>
    <mergeCell ref="H113:I113"/>
    <mergeCell ref="H114:I114"/>
    <mergeCell ref="H115:I115"/>
    <mergeCell ref="D113:E113"/>
    <mergeCell ref="A113:C113"/>
    <mergeCell ref="F113:G113"/>
    <mergeCell ref="D115:E115"/>
    <mergeCell ref="A89:B89"/>
    <mergeCell ref="A90:B90"/>
    <mergeCell ref="A92:B92"/>
    <mergeCell ref="A107:B107"/>
    <mergeCell ref="A70:E70"/>
    <mergeCell ref="A63:E63"/>
    <mergeCell ref="A100:B100"/>
    <mergeCell ref="A115:C115"/>
    <mergeCell ref="A66:E66"/>
    <mergeCell ref="H128:I128"/>
    <mergeCell ref="A128:C128"/>
    <mergeCell ref="D118:E118"/>
    <mergeCell ref="D119:E119"/>
    <mergeCell ref="D120:E120"/>
    <mergeCell ref="D121:E121"/>
    <mergeCell ref="D122:E122"/>
    <mergeCell ref="D123:E123"/>
    <mergeCell ref="D128:E128"/>
    <mergeCell ref="A121:C121"/>
    <mergeCell ref="A122:C122"/>
    <mergeCell ref="A123:C123"/>
    <mergeCell ref="A124:C124"/>
    <mergeCell ref="A125:C125"/>
    <mergeCell ref="A126:C126"/>
    <mergeCell ref="H127:I127"/>
    <mergeCell ref="D129:E129"/>
    <mergeCell ref="D130:E130"/>
    <mergeCell ref="F114:G114"/>
    <mergeCell ref="F115:G115"/>
    <mergeCell ref="F116:G116"/>
    <mergeCell ref="F117:G117"/>
    <mergeCell ref="F118:G118"/>
    <mergeCell ref="F119:G119"/>
    <mergeCell ref="F120:G120"/>
    <mergeCell ref="F121:G121"/>
    <mergeCell ref="F122:G122"/>
    <mergeCell ref="F123:G123"/>
    <mergeCell ref="F124:G124"/>
    <mergeCell ref="F125:G125"/>
    <mergeCell ref="F126:G126"/>
    <mergeCell ref="F127:G127"/>
    <mergeCell ref="F128:G128"/>
    <mergeCell ref="F129:G129"/>
    <mergeCell ref="F130:G130"/>
    <mergeCell ref="D125:E125"/>
    <mergeCell ref="D117:E117"/>
    <mergeCell ref="G66:I66"/>
    <mergeCell ref="A207:J208"/>
    <mergeCell ref="A193:E193"/>
    <mergeCell ref="F193:G193"/>
    <mergeCell ref="I193:J193"/>
    <mergeCell ref="A93:H93"/>
    <mergeCell ref="A109:H109"/>
    <mergeCell ref="A194:E194"/>
    <mergeCell ref="F194:G194"/>
    <mergeCell ref="I194:J194"/>
    <mergeCell ref="A190:E190"/>
    <mergeCell ref="F190:G190"/>
    <mergeCell ref="I190:J190"/>
    <mergeCell ref="A191:E191"/>
    <mergeCell ref="F191:G191"/>
    <mergeCell ref="I191:J191"/>
    <mergeCell ref="A192:E192"/>
    <mergeCell ref="F192:G192"/>
    <mergeCell ref="I192:J192"/>
    <mergeCell ref="I186:J186"/>
    <mergeCell ref="A187:E187"/>
    <mergeCell ref="F187:G187"/>
    <mergeCell ref="I187:J187"/>
    <mergeCell ref="A188:E188"/>
  </mergeCells>
  <conditionalFormatting sqref="G64:G65">
    <cfRule type="cellIs" dxfId="678" priority="60" operator="equal">
      <formula>"não"</formula>
    </cfRule>
  </conditionalFormatting>
  <conditionalFormatting sqref="G64:G65">
    <cfRule type="containsText" dxfId="677" priority="59" operator="containsText" text="não">
      <formula>NOT(ISERROR(SEARCH("não",G64)))</formula>
    </cfRule>
  </conditionalFormatting>
  <conditionalFormatting sqref="G72:G73">
    <cfRule type="cellIs" dxfId="676" priority="57" operator="equal">
      <formula>"não"</formula>
    </cfRule>
  </conditionalFormatting>
  <conditionalFormatting sqref="G72">
    <cfRule type="containsText" dxfId="675" priority="56" operator="containsText" text="não">
      <formula>NOT(ISERROR(SEARCH("não",G72)))</formula>
    </cfRule>
  </conditionalFormatting>
  <conditionalFormatting sqref="G71">
    <cfRule type="cellIs" dxfId="674" priority="55" operator="equal">
      <formula>"não"</formula>
    </cfRule>
  </conditionalFormatting>
  <conditionalFormatting sqref="G71">
    <cfRule type="containsText" dxfId="673" priority="54" operator="containsText" text="não">
      <formula>NOT(ISERROR(SEARCH("não",G71)))</formula>
    </cfRule>
  </conditionalFormatting>
  <conditionalFormatting sqref="J114:J121 J123:J128 C95:I96 C99:I107">
    <cfRule type="cellIs" dxfId="672" priority="35" operator="equal">
      <formula>"Restrição"</formula>
    </cfRule>
    <cfRule type="cellIs" dxfId="671" priority="36" operator="equal">
      <formula>"não"</formula>
    </cfRule>
  </conditionalFormatting>
  <conditionalFormatting sqref="C82:I88">
    <cfRule type="cellIs" dxfId="670" priority="41" operator="equal">
      <formula>"Restrição"</formula>
    </cfRule>
    <cfRule type="cellIs" dxfId="669" priority="72" operator="equal">
      <formula>"não"</formula>
    </cfRule>
  </conditionalFormatting>
  <conditionalFormatting sqref="C102:I102 C107:I107 C85:I85">
    <cfRule type="notContainsBlanks" dxfId="668" priority="31">
      <formula>LEN(TRIM(C85))&gt;0</formula>
    </cfRule>
  </conditionalFormatting>
  <conditionalFormatting sqref="C106:I106 C101:I101 C83:I84">
    <cfRule type="notContainsErrors" dxfId="667" priority="30">
      <formula>NOT(ISERROR(C83))</formula>
    </cfRule>
  </conditionalFormatting>
  <conditionalFormatting sqref="C105:I105 C100:I100 C82:I82">
    <cfRule type="cellIs" dxfId="666" priority="28" operator="notEqual">
      <formula>0</formula>
    </cfRule>
  </conditionalFormatting>
  <conditionalFormatting sqref="C89:I91 C94:I94">
    <cfRule type="cellIs" dxfId="665" priority="26" operator="equal">
      <formula>"Restrição"</formula>
    </cfRule>
    <cfRule type="cellIs" dxfId="664" priority="27" operator="equal">
      <formula>"não"</formula>
    </cfRule>
  </conditionalFormatting>
  <conditionalFormatting sqref="C90:I91">
    <cfRule type="notContainsErrors" dxfId="663" priority="24">
      <formula>NOT(ISERROR(C90))</formula>
    </cfRule>
  </conditionalFormatting>
  <conditionalFormatting sqref="C89:I89">
    <cfRule type="cellIs" dxfId="662" priority="23" operator="notEqual">
      <formula>0</formula>
    </cfRule>
  </conditionalFormatting>
  <conditionalFormatting sqref="C92:I92">
    <cfRule type="cellIs" dxfId="661" priority="21" operator="equal">
      <formula>"Restrição"</formula>
    </cfRule>
    <cfRule type="cellIs" dxfId="660" priority="22" operator="equal">
      <formula>"não"</formula>
    </cfRule>
  </conditionalFormatting>
  <conditionalFormatting sqref="C92:I92">
    <cfRule type="notContainsBlanks" dxfId="659" priority="20">
      <formula>LEN(TRIM(C92))&gt;0</formula>
    </cfRule>
  </conditionalFormatting>
  <conditionalFormatting sqref="J122">
    <cfRule type="cellIs" dxfId="658" priority="14" operator="equal">
      <formula>"Restrição"</formula>
    </cfRule>
    <cfRule type="cellIs" dxfId="657" priority="15" operator="equal">
      <formula>"não"</formula>
    </cfRule>
  </conditionalFormatting>
  <conditionalFormatting sqref="J130:J131">
    <cfRule type="cellIs" dxfId="656" priority="12" operator="equal">
      <formula>"Restrição"</formula>
    </cfRule>
    <cfRule type="cellIs" dxfId="655" priority="13" operator="equal">
      <formula>"não"</formula>
    </cfRule>
  </conditionalFormatting>
  <conditionalFormatting sqref="J129">
    <cfRule type="cellIs" dxfId="654" priority="11" operator="equal">
      <formula>"não"</formula>
    </cfRule>
  </conditionalFormatting>
  <conditionalFormatting sqref="J129">
    <cfRule type="containsText" dxfId="653" priority="10" operator="containsText" text="não">
      <formula>NOT(ISERROR(SEARCH("não",J129)))</formula>
    </cfRule>
  </conditionalFormatting>
  <conditionalFormatting sqref="J129">
    <cfRule type="cellIs" dxfId="652" priority="9" operator="equal">
      <formula>"Restrição"</formula>
    </cfRule>
  </conditionalFormatting>
  <conditionalFormatting sqref="H114">
    <cfRule type="cellIs" dxfId="651" priority="7" operator="equal">
      <formula>"Restrição"</formula>
    </cfRule>
    <cfRule type="cellIs" dxfId="650" priority="8" operator="equal">
      <formula>"não"</formula>
    </cfRule>
  </conditionalFormatting>
  <conditionalFormatting sqref="H115:H131">
    <cfRule type="cellIs" dxfId="649" priority="5" operator="equal">
      <formula>"Restrição"</formula>
    </cfRule>
    <cfRule type="cellIs" dxfId="648" priority="6" operator="equal">
      <formula>"não"</formula>
    </cfRule>
  </conditionalFormatting>
  <conditionalFormatting sqref="I183:J194">
    <cfRule type="cellIs" dxfId="647" priority="3" operator="equal">
      <formula>"RESTRIÇÃO"</formula>
    </cfRule>
    <cfRule type="cellIs" dxfId="646" priority="4" operator="equal">
      <formula>"Não Conforme"</formula>
    </cfRule>
  </conditionalFormatting>
  <conditionalFormatting sqref="G66">
    <cfRule type="cellIs" dxfId="645" priority="2" operator="equal">
      <formula>"não"</formula>
    </cfRule>
  </conditionalFormatting>
  <conditionalFormatting sqref="G66">
    <cfRule type="containsText" dxfId="644" priority="1" operator="containsText" text="não">
      <formula>NOT(ISERROR(SEARCH("não",G66)))</formula>
    </cfRule>
  </conditionalFormatting>
  <pageMargins left="0.78740157480314965" right="0.19685039370078741" top="1.3779527559055118" bottom="1.1811023622047245" header="0.31496062992125984" footer="0.51181102362204722"/>
  <pageSetup paperSize="9" scale="93" orientation="portrait" r:id="rId1"/>
  <headerFooter>
    <oddFooter>&amp;L&amp;"Arial,Normal"&amp;8&amp;F&amp;R&amp;"Arial,Normal"&amp;8Página &amp;P de &amp;N</oddFooter>
  </headerFooter>
  <rowBreaks count="4" manualBreakCount="4">
    <brk id="42" max="9" man="1"/>
    <brk id="61" max="9" man="1"/>
    <brk id="147" max="9" man="1"/>
    <brk id="193" max="9" man="1"/>
  </rowBreaks>
  <colBreaks count="1" manualBreakCount="1">
    <brk id="10" max="1048575" man="1"/>
  </col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AE227"/>
  <sheetViews>
    <sheetView zoomScaleNormal="100" workbookViewId="0">
      <selection activeCell="C12" sqref="C12:J13"/>
    </sheetView>
  </sheetViews>
  <sheetFormatPr defaultColWidth="8.5703125" defaultRowHeight="15" x14ac:dyDescent="0.25"/>
  <cols>
    <col min="1" max="1" width="32.42578125" style="291" customWidth="1"/>
    <col min="2" max="2" width="15.85546875" style="291" customWidth="1"/>
    <col min="3" max="3" width="16.140625" style="291" customWidth="1"/>
    <col min="4" max="4" width="18.140625" style="291" customWidth="1"/>
    <col min="5" max="5" width="14.42578125" style="291" bestFit="1" customWidth="1"/>
    <col min="6" max="6" width="15.85546875" style="291" bestFit="1" customWidth="1"/>
    <col min="7" max="7" width="14.5703125" style="291" bestFit="1" customWidth="1"/>
    <col min="8" max="8" width="13.5703125" style="291" customWidth="1"/>
    <col min="9" max="9" width="15.42578125" style="291" bestFit="1" customWidth="1"/>
    <col min="10" max="10" width="15.85546875" style="291" bestFit="1" customWidth="1"/>
    <col min="11" max="11" width="17.5703125" style="291" bestFit="1" customWidth="1"/>
    <col min="12" max="12" width="19.140625" style="291" bestFit="1" customWidth="1"/>
    <col min="13" max="14" width="14.140625" style="291" bestFit="1" customWidth="1"/>
    <col min="15" max="16" width="15.5703125" style="291" bestFit="1" customWidth="1"/>
    <col min="17" max="17" width="11.5703125" style="291" bestFit="1" customWidth="1"/>
    <col min="18" max="18" width="22.140625" style="291" bestFit="1" customWidth="1"/>
    <col min="19" max="19" width="17.5703125" style="291" bestFit="1" customWidth="1"/>
    <col min="20" max="20" width="16" style="291" bestFit="1" customWidth="1"/>
    <col min="21" max="21" width="16.5703125" style="291" bestFit="1" customWidth="1"/>
    <col min="22" max="36" width="11.5703125" style="291" bestFit="1" customWidth="1"/>
    <col min="37" max="16384" width="8.5703125" style="291"/>
  </cols>
  <sheetData>
    <row r="1" spans="1:14" ht="15.75" thickBot="1" x14ac:dyDescent="0.3">
      <c r="A1" s="2420" t="s">
        <v>938</v>
      </c>
      <c r="B1" s="2421"/>
      <c r="C1" s="2421"/>
      <c r="D1" s="2421"/>
      <c r="E1" s="2421"/>
      <c r="F1" s="2421"/>
      <c r="G1" s="2421"/>
      <c r="H1" s="2421"/>
      <c r="I1" s="2421"/>
      <c r="J1" s="2421"/>
      <c r="K1" s="2421"/>
      <c r="L1" s="2421"/>
      <c r="M1" s="2421"/>
      <c r="N1" s="2422"/>
    </row>
    <row r="3" spans="1:14" x14ac:dyDescent="0.25">
      <c r="A3" s="292" t="s">
        <v>86</v>
      </c>
      <c r="B3" s="396"/>
      <c r="D3" s="2889" t="s">
        <v>91</v>
      </c>
      <c r="E3" s="2890"/>
    </row>
    <row r="4" spans="1:14" x14ac:dyDescent="0.25">
      <c r="A4" s="292" t="s">
        <v>96</v>
      </c>
      <c r="B4" s="396"/>
      <c r="D4" s="293" t="s">
        <v>92</v>
      </c>
      <c r="E4" s="294">
        <v>1.4</v>
      </c>
    </row>
    <row r="5" spans="1:14" x14ac:dyDescent="0.25">
      <c r="D5" s="293" t="s">
        <v>93</v>
      </c>
      <c r="E5" s="294">
        <v>1.3</v>
      </c>
    </row>
    <row r="6" spans="1:14" x14ac:dyDescent="0.25">
      <c r="D6" s="293" t="s">
        <v>94</v>
      </c>
      <c r="E6" s="294">
        <v>1.2</v>
      </c>
    </row>
    <row r="7" spans="1:14" x14ac:dyDescent="0.25">
      <c r="D7" s="295" t="s">
        <v>95</v>
      </c>
      <c r="E7" s="296">
        <v>1</v>
      </c>
    </row>
    <row r="10" spans="1:14" s="297" customFormat="1" x14ac:dyDescent="0.25">
      <c r="B10" s="298" t="s">
        <v>85</v>
      </c>
      <c r="C10" s="298"/>
      <c r="D10" s="397" t="s">
        <v>89</v>
      </c>
      <c r="E10" s="298"/>
      <c r="F10" s="397" t="s">
        <v>89</v>
      </c>
      <c r="G10" s="298"/>
      <c r="H10" s="397" t="s">
        <v>89</v>
      </c>
      <c r="I10" s="298"/>
      <c r="J10" s="397" t="s">
        <v>89</v>
      </c>
      <c r="K10" s="298"/>
      <c r="L10" s="397" t="s">
        <v>89</v>
      </c>
    </row>
    <row r="11" spans="1:14" s="297" customFormat="1" x14ac:dyDescent="0.25">
      <c r="A11" s="299" t="s">
        <v>87</v>
      </c>
      <c r="B11" s="290"/>
      <c r="D11" s="290"/>
      <c r="F11" s="290"/>
      <c r="H11" s="290"/>
      <c r="J11" s="290"/>
      <c r="L11" s="290"/>
    </row>
    <row r="12" spans="1:14" s="297" customFormat="1" x14ac:dyDescent="0.25">
      <c r="A12" s="299"/>
      <c r="B12" s="290"/>
      <c r="D12" s="290"/>
      <c r="F12" s="290"/>
      <c r="H12" s="290"/>
      <c r="J12" s="290"/>
      <c r="L12" s="290"/>
    </row>
    <row r="13" spans="1:14" s="297" customFormat="1" x14ac:dyDescent="0.25">
      <c r="A13" s="299" t="s">
        <v>88</v>
      </c>
      <c r="B13" s="290"/>
      <c r="D13" s="290"/>
      <c r="F13" s="290"/>
      <c r="H13" s="290"/>
      <c r="J13" s="290"/>
      <c r="L13" s="290"/>
    </row>
    <row r="14" spans="1:14" s="297" customFormat="1" x14ac:dyDescent="0.25">
      <c r="A14" s="299"/>
      <c r="B14" s="290"/>
      <c r="D14" s="290"/>
      <c r="F14" s="290"/>
      <c r="H14" s="290"/>
      <c r="J14" s="290"/>
      <c r="L14" s="290"/>
    </row>
    <row r="15" spans="1:14" s="297" customFormat="1" x14ac:dyDescent="0.25"/>
    <row r="16" spans="1:14" x14ac:dyDescent="0.25">
      <c r="B16" s="300">
        <f>AVERAGE(B11-B12,B13-B14)</f>
        <v>0</v>
      </c>
      <c r="D16" s="300">
        <f>AVERAGE(D11-D12,D13-D14)</f>
        <v>0</v>
      </c>
      <c r="E16" s="301"/>
      <c r="F16" s="300">
        <f>AVERAGE(F11-F12,F13-F14)</f>
        <v>0</v>
      </c>
      <c r="G16" s="301"/>
      <c r="H16" s="300">
        <f>AVERAGE(H11-H12,H13-H14)</f>
        <v>0</v>
      </c>
      <c r="I16" s="301"/>
      <c r="J16" s="300">
        <f>AVERAGE(J11-J12,J13-J14)</f>
        <v>0</v>
      </c>
      <c r="K16" s="301"/>
      <c r="L16" s="300">
        <f>AVERAGE(L11-L12,L13-L14)</f>
        <v>0</v>
      </c>
    </row>
    <row r="17" spans="1:14" x14ac:dyDescent="0.25">
      <c r="C17" s="302" t="s">
        <v>90</v>
      </c>
      <c r="D17" s="303" t="e">
        <f>(D16-$B$16)*$B$3*(1/$B$4)*0.01/1.14</f>
        <v>#DIV/0!</v>
      </c>
      <c r="F17" s="303" t="e">
        <f>(F16-$B$16)*$B$3*(1/$B$4)*0.01/1.14</f>
        <v>#DIV/0!</v>
      </c>
      <c r="H17" s="303" t="e">
        <f>(H16-$B$16)*$B$3*(1/$B$4)*0.01/1.14</f>
        <v>#DIV/0!</v>
      </c>
      <c r="J17" s="303" t="e">
        <f>(J16-$B$16)*$B$3*(1/$B$4)*0.01/1.14</f>
        <v>#DIV/0!</v>
      </c>
      <c r="L17" s="303" t="e">
        <f>(L16-$B$16)*$B$3*(1/$B$4)*0.01/1.14</f>
        <v>#DIV/0!</v>
      </c>
    </row>
    <row r="20" spans="1:14" ht="15.75" thickBot="1" x14ac:dyDescent="0.3"/>
    <row r="21" spans="1:14" ht="15.75" thickBot="1" x14ac:dyDescent="0.3">
      <c r="A21" s="2420" t="s">
        <v>1871</v>
      </c>
      <c r="B21" s="2421"/>
      <c r="C21" s="2421"/>
      <c r="D21" s="2421"/>
      <c r="E21" s="2421"/>
      <c r="F21" s="2421"/>
      <c r="G21" s="2421"/>
      <c r="H21" s="2421"/>
      <c r="I21" s="2421"/>
      <c r="J21" s="2421"/>
      <c r="K21" s="2421"/>
      <c r="L21" s="2421"/>
      <c r="M21" s="2421"/>
      <c r="N21" s="2422"/>
    </row>
    <row r="22" spans="1:14" x14ac:dyDescent="0.25">
      <c r="A22" s="2891" t="s">
        <v>1110</v>
      </c>
      <c r="B22" s="2891"/>
      <c r="C22" s="288"/>
      <c r="D22" s="304" t="s">
        <v>12</v>
      </c>
      <c r="E22" s="305"/>
      <c r="F22" s="305"/>
      <c r="G22" s="305"/>
      <c r="H22" s="305"/>
      <c r="I22" s="305"/>
      <c r="J22" s="305"/>
      <c r="K22" s="306"/>
      <c r="L22" s="306"/>
      <c r="M22" s="307"/>
      <c r="N22" s="307"/>
    </row>
    <row r="23" spans="1:14" x14ac:dyDescent="0.25">
      <c r="A23" s="2891" t="s">
        <v>1111</v>
      </c>
      <c r="B23" s="2891"/>
      <c r="C23" s="77"/>
      <c r="D23" s="304" t="s">
        <v>12</v>
      </c>
      <c r="E23" s="305"/>
      <c r="F23" s="305"/>
      <c r="G23" s="305"/>
      <c r="H23" s="305"/>
      <c r="I23" s="305"/>
      <c r="J23" s="305"/>
      <c r="K23" s="306"/>
      <c r="L23" s="306"/>
      <c r="M23" s="307"/>
      <c r="N23" s="307"/>
    </row>
    <row r="24" spans="1:14" ht="15.75" thickBot="1" x14ac:dyDescent="0.3">
      <c r="A24" s="2891" t="s">
        <v>1865</v>
      </c>
      <c r="B24" s="2891"/>
      <c r="C24" s="78"/>
      <c r="D24" s="304" t="s">
        <v>12</v>
      </c>
      <c r="E24" s="305"/>
      <c r="F24" s="305"/>
      <c r="G24" s="305"/>
      <c r="H24" s="305"/>
      <c r="I24" s="305"/>
      <c r="J24" s="305"/>
      <c r="K24" s="306"/>
      <c r="L24" s="306"/>
      <c r="M24" s="307"/>
      <c r="N24" s="307"/>
    </row>
    <row r="25" spans="1:14" ht="15.75" thickBot="1" x14ac:dyDescent="0.3">
      <c r="A25" s="305"/>
      <c r="B25" s="305"/>
      <c r="C25" s="305"/>
      <c r="D25" s="305"/>
      <c r="E25" s="305"/>
      <c r="F25" s="305"/>
      <c r="G25" s="305"/>
      <c r="H25" s="305"/>
      <c r="I25" s="305"/>
      <c r="J25" s="305"/>
      <c r="K25" s="306"/>
      <c r="L25" s="306"/>
      <c r="M25" s="307"/>
      <c r="N25" s="307"/>
    </row>
    <row r="26" spans="1:14" ht="18" x14ac:dyDescent="0.35">
      <c r="A26" s="2895" t="s">
        <v>76</v>
      </c>
      <c r="B26" s="2896"/>
      <c r="C26" s="2894" t="s">
        <v>78</v>
      </c>
      <c r="D26" s="2894"/>
      <c r="E26" s="308" t="s">
        <v>200</v>
      </c>
      <c r="F26" s="308" t="s">
        <v>1866</v>
      </c>
      <c r="G26" s="308" t="s">
        <v>16</v>
      </c>
      <c r="H26" s="308" t="s">
        <v>13</v>
      </c>
      <c r="I26" s="398" t="s">
        <v>199</v>
      </c>
      <c r="J26" s="308" t="s">
        <v>198</v>
      </c>
      <c r="K26" s="308" t="s">
        <v>77</v>
      </c>
      <c r="L26" s="308" t="s">
        <v>84</v>
      </c>
      <c r="M26" s="1728" t="s">
        <v>1870</v>
      </c>
      <c r="N26" s="309"/>
    </row>
    <row r="27" spans="1:14" ht="15.75" thickBot="1" x14ac:dyDescent="0.3">
      <c r="A27" s="2897"/>
      <c r="B27" s="2898"/>
      <c r="C27" s="310" t="s">
        <v>5</v>
      </c>
      <c r="D27" s="310" t="s">
        <v>79</v>
      </c>
      <c r="E27" s="310"/>
      <c r="F27" s="310" t="s">
        <v>80</v>
      </c>
      <c r="G27" s="310"/>
      <c r="H27" s="311"/>
      <c r="I27" s="1734" t="s">
        <v>1867</v>
      </c>
      <c r="J27" s="1734" t="s">
        <v>1868</v>
      </c>
      <c r="K27" s="310" t="s">
        <v>80</v>
      </c>
      <c r="L27" s="310" t="s">
        <v>79</v>
      </c>
      <c r="M27" s="312" t="s">
        <v>1869</v>
      </c>
      <c r="N27" s="313"/>
    </row>
    <row r="28" spans="1:14" ht="15.75" thickBot="1" x14ac:dyDescent="0.3">
      <c r="A28" s="2902" t="s">
        <v>215</v>
      </c>
      <c r="B28" s="2903"/>
      <c r="C28" s="77"/>
      <c r="D28" s="314" t="e">
        <f ca="1">IF(Cabeçalho!$G$28="unfors",INDIRECT(ADDRESS(C28,3,1,1,"medidas Unfors"),1),INDIRECT(ADDRESS(C28,4,1,1,"medidas Fluke"),1)/1000)</f>
        <v>#VALUE!</v>
      </c>
      <c r="E28" s="315">
        <v>1.4</v>
      </c>
      <c r="F28" s="195"/>
      <c r="G28" s="196"/>
      <c r="H28" s="196"/>
      <c r="I28" s="196"/>
      <c r="J28" s="197"/>
      <c r="K28" s="316">
        <v>23</v>
      </c>
      <c r="L28" s="317" t="str">
        <f t="shared" ref="L28:L41" ca="1" si="0">IFERROR(D28*E28*($C$24/(F28-K28-IF(J28="mesa",$C$22,$C$23)))^2,"")</f>
        <v/>
      </c>
      <c r="M28" s="318">
        <v>10</v>
      </c>
      <c r="N28" s="319" t="e">
        <f t="shared" ref="N28:N41" ca="1" si="1">L28/M28</f>
        <v>#VALUE!</v>
      </c>
    </row>
    <row r="29" spans="1:14" ht="15.75" thickBot="1" x14ac:dyDescent="0.3">
      <c r="A29" s="2887" t="s">
        <v>216</v>
      </c>
      <c r="B29" s="2888"/>
      <c r="C29" s="77"/>
      <c r="D29" s="320" t="e">
        <f ca="1">IF(Cabeçalho!$G$28="unfors",INDIRECT(ADDRESS(C29,3,1,1,"medidas Unfors"),1),INDIRECT(ADDRESS(C29,4,1,1,"medidas Fluke"),1)/1000)</f>
        <v>#VALUE!</v>
      </c>
      <c r="E29" s="321">
        <v>1.4</v>
      </c>
      <c r="F29" s="195"/>
      <c r="G29" s="71"/>
      <c r="H29" s="196"/>
      <c r="I29" s="71"/>
      <c r="J29" s="73"/>
      <c r="K29" s="322">
        <v>30</v>
      </c>
      <c r="L29" s="323" t="str">
        <f t="shared" ca="1" si="0"/>
        <v/>
      </c>
      <c r="M29" s="324">
        <v>30</v>
      </c>
      <c r="N29" s="325" t="e">
        <f t="shared" ca="1" si="1"/>
        <v>#VALUE!</v>
      </c>
    </row>
    <row r="30" spans="1:14" ht="15.75" thickBot="1" x14ac:dyDescent="0.3">
      <c r="A30" s="2887" t="s">
        <v>217</v>
      </c>
      <c r="B30" s="2888"/>
      <c r="C30" s="77"/>
      <c r="D30" s="320" t="e">
        <f ca="1">IF(Cabeçalho!$G$28="unfors",INDIRECT(ADDRESS(C30,3,1,1,"medidas Unfors"),1),INDIRECT(ADDRESS(C30,4,1,1,"medidas Fluke"),1)/1000)</f>
        <v>#VALUE!</v>
      </c>
      <c r="E30" s="321">
        <v>1.4</v>
      </c>
      <c r="F30" s="195"/>
      <c r="G30" s="71"/>
      <c r="H30" s="196"/>
      <c r="I30" s="71"/>
      <c r="J30" s="73"/>
      <c r="K30" s="322">
        <v>20</v>
      </c>
      <c r="L30" s="323" t="str">
        <f t="shared" ca="1" si="0"/>
        <v/>
      </c>
      <c r="M30" s="324">
        <v>40</v>
      </c>
      <c r="N30" s="325" t="e">
        <f t="shared" ca="1" si="1"/>
        <v>#VALUE!</v>
      </c>
    </row>
    <row r="31" spans="1:14" x14ac:dyDescent="0.25">
      <c r="A31" s="2887" t="s">
        <v>218</v>
      </c>
      <c r="B31" s="2888"/>
      <c r="C31" s="77"/>
      <c r="D31" s="320" t="e">
        <f ca="1">IF(Cabeçalho!$G$28="unfors",INDIRECT(ADDRESS(C31,3,1,1,"medidas Unfors"),1),INDIRECT(ADDRESS(C31,4,1,1,"medidas Fluke"),1)/1000)</f>
        <v>#VALUE!</v>
      </c>
      <c r="E31" s="321">
        <v>1.4</v>
      </c>
      <c r="F31" s="195"/>
      <c r="G31" s="71"/>
      <c r="H31" s="196"/>
      <c r="I31" s="71"/>
      <c r="J31" s="73"/>
      <c r="K31" s="322">
        <v>23</v>
      </c>
      <c r="L31" s="323" t="str">
        <f t="shared" ca="1" si="0"/>
        <v/>
      </c>
      <c r="M31" s="324">
        <v>10</v>
      </c>
      <c r="N31" s="325" t="e">
        <f t="shared" ca="1" si="1"/>
        <v>#VALUE!</v>
      </c>
    </row>
    <row r="32" spans="1:14" x14ac:dyDescent="0.25">
      <c r="A32" s="2887" t="s">
        <v>219</v>
      </c>
      <c r="B32" s="2888"/>
      <c r="C32" s="77"/>
      <c r="D32" s="320" t="e">
        <f ca="1">IF(Cabeçalho!$G$28="unfors",INDIRECT(ADDRESS(C32,3,1,1,"medidas Unfors"),1),INDIRECT(ADDRESS(C32,4,1,1,"medidas Fluke"),1)/1000)</f>
        <v>#VALUE!</v>
      </c>
      <c r="E32" s="321">
        <v>1.4</v>
      </c>
      <c r="F32" s="72"/>
      <c r="G32" s="71"/>
      <c r="H32" s="71"/>
      <c r="I32" s="71"/>
      <c r="J32" s="73"/>
      <c r="K32" s="322">
        <v>23</v>
      </c>
      <c r="L32" s="323" t="str">
        <f t="shared" ca="1" si="0"/>
        <v/>
      </c>
      <c r="M32" s="324">
        <v>10</v>
      </c>
      <c r="N32" s="325" t="e">
        <f t="shared" ca="1" si="1"/>
        <v>#VALUE!</v>
      </c>
    </row>
    <row r="33" spans="1:14" ht="15.75" thickBot="1" x14ac:dyDescent="0.3">
      <c r="A33" s="2887" t="s">
        <v>220</v>
      </c>
      <c r="B33" s="2888"/>
      <c r="C33" s="77"/>
      <c r="D33" s="320" t="e">
        <f ca="1">IF(Cabeçalho!$G$28="unfors",INDIRECT(ADDRESS(C33,3,1,1,"medidas Unfors"),1),INDIRECT(ADDRESS(C33,4,1,1,"medidas Fluke"),1)/1000)</f>
        <v>#VALUE!</v>
      </c>
      <c r="E33" s="321">
        <v>1.4</v>
      </c>
      <c r="F33" s="72"/>
      <c r="G33" s="71"/>
      <c r="H33" s="71"/>
      <c r="I33" s="71"/>
      <c r="J33" s="73"/>
      <c r="K33" s="322">
        <v>23</v>
      </c>
      <c r="L33" s="323" t="str">
        <f t="shared" ca="1" si="0"/>
        <v/>
      </c>
      <c r="M33" s="324">
        <v>10</v>
      </c>
      <c r="N33" s="325" t="e">
        <f t="shared" ca="1" si="1"/>
        <v>#VALUE!</v>
      </c>
    </row>
    <row r="34" spans="1:14" ht="15.75" thickBot="1" x14ac:dyDescent="0.3">
      <c r="A34" s="2887" t="s">
        <v>221</v>
      </c>
      <c r="B34" s="2888"/>
      <c r="C34" s="77"/>
      <c r="D34" s="320" t="e">
        <f ca="1">IF(Cabeçalho!$G$28="unfors",INDIRECT(ADDRESS(C34,3,1,1,"medidas Unfors"),1),INDIRECT(ADDRESS(C34,4,1,1,"medidas Fluke"),1)/1000)</f>
        <v>#VALUE!</v>
      </c>
      <c r="E34" s="321">
        <v>1.4</v>
      </c>
      <c r="F34" s="195"/>
      <c r="G34" s="71"/>
      <c r="H34" s="196"/>
      <c r="I34" s="71"/>
      <c r="J34" s="73"/>
      <c r="K34" s="322">
        <v>23</v>
      </c>
      <c r="L34" s="323" t="str">
        <f t="shared" ca="1" si="0"/>
        <v/>
      </c>
      <c r="M34" s="324">
        <v>10</v>
      </c>
      <c r="N34" s="325" t="e">
        <f t="shared" ca="1" si="1"/>
        <v>#VALUE!</v>
      </c>
    </row>
    <row r="35" spans="1:14" ht="15.75" thickBot="1" x14ac:dyDescent="0.3">
      <c r="A35" s="2887" t="s">
        <v>222</v>
      </c>
      <c r="B35" s="2888"/>
      <c r="C35" s="77"/>
      <c r="D35" s="320" t="e">
        <f ca="1">IF(Cabeçalho!$G$28="unfors",INDIRECT(ADDRESS(C35,3,1,1,"medidas Unfors"),1),INDIRECT(ADDRESS(C35,4,1,1,"medidas Fluke"),1)/1000)</f>
        <v>#VALUE!</v>
      </c>
      <c r="E35" s="321">
        <v>1.4</v>
      </c>
      <c r="F35" s="195"/>
      <c r="G35" s="71"/>
      <c r="H35" s="196"/>
      <c r="I35" s="71"/>
      <c r="J35" s="73"/>
      <c r="K35" s="322">
        <v>23</v>
      </c>
      <c r="L35" s="323" t="str">
        <f t="shared" ca="1" si="0"/>
        <v/>
      </c>
      <c r="M35" s="324">
        <v>10</v>
      </c>
      <c r="N35" s="325" t="e">
        <f t="shared" ca="1" si="1"/>
        <v>#VALUE!</v>
      </c>
    </row>
    <row r="36" spans="1:14" ht="15.75" thickBot="1" x14ac:dyDescent="0.3">
      <c r="A36" s="2887" t="s">
        <v>223</v>
      </c>
      <c r="B36" s="2888"/>
      <c r="C36" s="77"/>
      <c r="D36" s="320" t="e">
        <f ca="1">IF(Cabeçalho!$G$28="unfors",INDIRECT(ADDRESS(C36,3,1,1,"medidas Unfors"),1),INDIRECT(ADDRESS(C36,4,1,1,"medidas Fluke"),1)/1000)</f>
        <v>#VALUE!</v>
      </c>
      <c r="E36" s="321">
        <v>1.4</v>
      </c>
      <c r="F36" s="72"/>
      <c r="G36" s="71"/>
      <c r="H36" s="196"/>
      <c r="I36" s="71"/>
      <c r="J36" s="73"/>
      <c r="K36" s="322">
        <v>23</v>
      </c>
      <c r="L36" s="323" t="str">
        <f t="shared" ca="1" si="0"/>
        <v/>
      </c>
      <c r="M36" s="326">
        <v>0.4</v>
      </c>
      <c r="N36" s="325" t="e">
        <f t="shared" ca="1" si="1"/>
        <v>#VALUE!</v>
      </c>
    </row>
    <row r="37" spans="1:14" ht="15.75" thickBot="1" x14ac:dyDescent="0.3">
      <c r="A37" s="2887" t="s">
        <v>224</v>
      </c>
      <c r="B37" s="2888"/>
      <c r="C37" s="77"/>
      <c r="D37" s="320" t="e">
        <f ca="1">IF(Cabeçalho!$G$28="unfors",INDIRECT(ADDRESS(C37,3,1,1,"medidas Unfors"),1),INDIRECT(ADDRESS(C37,4,1,1,"medidas Fluke"),1)/1000)</f>
        <v>#VALUE!</v>
      </c>
      <c r="E37" s="321">
        <v>1.4</v>
      </c>
      <c r="F37" s="72"/>
      <c r="G37" s="71"/>
      <c r="H37" s="196"/>
      <c r="I37" s="71"/>
      <c r="J37" s="73"/>
      <c r="K37" s="322">
        <v>32</v>
      </c>
      <c r="L37" s="323" t="str">
        <f t="shared" ca="1" si="0"/>
        <v/>
      </c>
      <c r="M37" s="326">
        <v>1.4</v>
      </c>
      <c r="N37" s="325" t="e">
        <f t="shared" ca="1" si="1"/>
        <v>#VALUE!</v>
      </c>
    </row>
    <row r="38" spans="1:14" ht="15.75" thickBot="1" x14ac:dyDescent="0.3">
      <c r="A38" s="2887" t="s">
        <v>225</v>
      </c>
      <c r="B38" s="2888"/>
      <c r="C38" s="77"/>
      <c r="D38" s="320" t="e">
        <f ca="1">IF(Cabeçalho!$G$28="unfors",INDIRECT(ADDRESS(C38,3,1,1,"medidas Unfors"),1),INDIRECT(ADDRESS(C38,4,1,1,"medidas Fluke"),1)/1000)</f>
        <v>#VALUE!</v>
      </c>
      <c r="E38" s="321">
        <v>1.4</v>
      </c>
      <c r="F38" s="195"/>
      <c r="G38" s="71"/>
      <c r="H38" s="196"/>
      <c r="I38" s="71"/>
      <c r="J38" s="73"/>
      <c r="K38" s="322">
        <v>23</v>
      </c>
      <c r="L38" s="323" t="str">
        <f t="shared" ca="1" si="0"/>
        <v/>
      </c>
      <c r="M38" s="326">
        <v>7</v>
      </c>
      <c r="N38" s="325" t="e">
        <f t="shared" ca="1" si="1"/>
        <v>#VALUE!</v>
      </c>
    </row>
    <row r="39" spans="1:14" ht="15.75" thickBot="1" x14ac:dyDescent="0.3">
      <c r="A39" s="2887" t="s">
        <v>226</v>
      </c>
      <c r="B39" s="2888"/>
      <c r="C39" s="77"/>
      <c r="D39" s="320" t="e">
        <f ca="1">IF(Cabeçalho!$G$28="unfors",INDIRECT(ADDRESS(C39,3,1,1,"medidas Unfors"),1),INDIRECT(ADDRESS(C39,4,1,1,"medidas Fluke"),1)/1000)</f>
        <v>#VALUE!</v>
      </c>
      <c r="E39" s="321">
        <v>1.4</v>
      </c>
      <c r="F39" s="195"/>
      <c r="G39" s="71"/>
      <c r="H39" s="196"/>
      <c r="I39" s="71"/>
      <c r="J39" s="73"/>
      <c r="K39" s="322">
        <v>32</v>
      </c>
      <c r="L39" s="323" t="str">
        <f t="shared" ca="1" si="0"/>
        <v/>
      </c>
      <c r="M39" s="324">
        <v>20</v>
      </c>
      <c r="N39" s="325" t="e">
        <f t="shared" ca="1" si="1"/>
        <v>#VALUE!</v>
      </c>
    </row>
    <row r="40" spans="1:14" ht="15.75" thickBot="1" x14ac:dyDescent="0.3">
      <c r="A40" s="2887" t="s">
        <v>227</v>
      </c>
      <c r="B40" s="2888"/>
      <c r="C40" s="77"/>
      <c r="D40" s="320" t="e">
        <f ca="1">IF(Cabeçalho!$G$28="unfors",INDIRECT(ADDRESS(C40,3,1,1,"medidas Unfors"),1),INDIRECT(ADDRESS(C40,4,1,1,"medidas Fluke"),1)/1000)</f>
        <v>#VALUE!</v>
      </c>
      <c r="E40" s="321">
        <v>1.4</v>
      </c>
      <c r="F40" s="195"/>
      <c r="G40" s="71"/>
      <c r="H40" s="196"/>
      <c r="I40" s="71"/>
      <c r="J40" s="73"/>
      <c r="K40" s="322">
        <v>19</v>
      </c>
      <c r="L40" s="323" t="str">
        <f t="shared" ca="1" si="0"/>
        <v/>
      </c>
      <c r="M40" s="326">
        <v>5</v>
      </c>
      <c r="N40" s="325" t="e">
        <f t="shared" ca="1" si="1"/>
        <v>#VALUE!</v>
      </c>
    </row>
    <row r="41" spans="1:14" ht="15.75" thickBot="1" x14ac:dyDescent="0.3">
      <c r="A41" s="2892" t="s">
        <v>228</v>
      </c>
      <c r="B41" s="2893"/>
      <c r="C41" s="78"/>
      <c r="D41" s="327" t="e">
        <f ca="1">IF(Cabeçalho!$G$28="unfors",INDIRECT(ADDRESS(C41,3,1,1,"medidas Unfors"),1),INDIRECT(ADDRESS(C41,4,1,1,"medidas Fluke"),1)/1000)</f>
        <v>#VALUE!</v>
      </c>
      <c r="E41" s="328">
        <v>1.4</v>
      </c>
      <c r="F41" s="195"/>
      <c r="G41" s="79"/>
      <c r="H41" s="196"/>
      <c r="I41" s="79"/>
      <c r="J41" s="73"/>
      <c r="K41" s="329">
        <v>15</v>
      </c>
      <c r="L41" s="330" t="str">
        <f t="shared" ca="1" si="0"/>
        <v/>
      </c>
      <c r="M41" s="331">
        <v>3</v>
      </c>
      <c r="N41" s="332" t="e">
        <f t="shared" ca="1" si="1"/>
        <v>#VALUE!</v>
      </c>
    </row>
    <row r="44" spans="1:14" ht="15.75" thickBot="1" x14ac:dyDescent="0.3"/>
    <row r="45" spans="1:14" ht="15.75" thickBot="1" x14ac:dyDescent="0.3">
      <c r="A45" s="2899" t="s">
        <v>837</v>
      </c>
      <c r="B45" s="2900"/>
      <c r="C45" s="2900"/>
      <c r="D45" s="2900"/>
      <c r="E45" s="2421"/>
      <c r="F45" s="2421"/>
      <c r="G45" s="2421"/>
      <c r="H45" s="2421"/>
      <c r="I45" s="2421"/>
      <c r="J45" s="2421"/>
      <c r="K45" s="2421"/>
      <c r="L45" s="2421"/>
      <c r="M45" s="2421"/>
      <c r="N45" s="2422"/>
    </row>
    <row r="46" spans="1:14" x14ac:dyDescent="0.25">
      <c r="A46" s="651" t="str">
        <f>Cabeçalho!G29</f>
        <v>X2</v>
      </c>
      <c r="B46" s="2901" t="s">
        <v>1018</v>
      </c>
      <c r="C46" s="2901"/>
      <c r="D46" s="2901"/>
    </row>
    <row r="48" spans="1:14" x14ac:dyDescent="0.25">
      <c r="A48" s="2886" t="s">
        <v>194</v>
      </c>
      <c r="B48" s="2886"/>
      <c r="C48" s="2886"/>
      <c r="D48" s="2886"/>
    </row>
    <row r="49" spans="1:20" ht="15.75" thickBot="1" x14ac:dyDescent="0.3">
      <c r="A49" s="2906" t="s">
        <v>83</v>
      </c>
      <c r="B49" s="2906"/>
      <c r="C49" s="2906"/>
      <c r="D49" s="333"/>
      <c r="E49" s="2906" t="s">
        <v>81</v>
      </c>
      <c r="F49" s="2906"/>
      <c r="G49" s="2906"/>
      <c r="H49" s="333"/>
      <c r="I49" s="2906" t="s">
        <v>82</v>
      </c>
      <c r="J49" s="2906"/>
      <c r="K49" s="2906"/>
    </row>
    <row r="50" spans="1:20" x14ac:dyDescent="0.25">
      <c r="A50" s="291" t="s">
        <v>16</v>
      </c>
      <c r="B50" s="76"/>
      <c r="C50" s="298"/>
      <c r="D50" s="333"/>
      <c r="E50" s="291" t="s">
        <v>16</v>
      </c>
      <c r="F50" s="76"/>
      <c r="G50" s="298"/>
      <c r="H50" s="333"/>
      <c r="I50" s="291" t="s">
        <v>16</v>
      </c>
      <c r="J50" s="76"/>
      <c r="K50" s="298"/>
    </row>
    <row r="51" spans="1:20" x14ac:dyDescent="0.25">
      <c r="A51" s="291" t="s">
        <v>13</v>
      </c>
      <c r="B51" s="77"/>
      <c r="C51" s="298"/>
      <c r="D51" s="333"/>
      <c r="E51" s="291" t="s">
        <v>13</v>
      </c>
      <c r="F51" s="77"/>
      <c r="G51" s="298"/>
      <c r="H51" s="333"/>
      <c r="I51" s="291" t="s">
        <v>13</v>
      </c>
      <c r="J51" s="77"/>
      <c r="K51" s="298"/>
    </row>
    <row r="52" spans="1:20" x14ac:dyDescent="0.25">
      <c r="A52" s="291" t="s">
        <v>110</v>
      </c>
      <c r="B52" s="77"/>
      <c r="C52" s="291" t="s">
        <v>32</v>
      </c>
      <c r="E52" s="291" t="s">
        <v>110</v>
      </c>
      <c r="F52" s="77"/>
      <c r="G52" s="291" t="s">
        <v>32</v>
      </c>
      <c r="I52" s="291" t="s">
        <v>110</v>
      </c>
      <c r="J52" s="77"/>
      <c r="K52" s="291" t="s">
        <v>32</v>
      </c>
    </row>
    <row r="53" spans="1:20" x14ac:dyDescent="0.25">
      <c r="A53" s="291" t="s">
        <v>103</v>
      </c>
      <c r="B53" s="77"/>
      <c r="C53" s="291" t="s">
        <v>32</v>
      </c>
      <c r="E53" s="291" t="s">
        <v>103</v>
      </c>
      <c r="F53" s="77"/>
      <c r="G53" s="291" t="s">
        <v>32</v>
      </c>
      <c r="I53" s="291" t="s">
        <v>103</v>
      </c>
      <c r="J53" s="77"/>
      <c r="K53" s="291" t="s">
        <v>32</v>
      </c>
    </row>
    <row r="54" spans="1:20" x14ac:dyDescent="0.25">
      <c r="A54" s="291" t="s">
        <v>111</v>
      </c>
      <c r="B54" s="77"/>
      <c r="C54" s="291" t="s">
        <v>32</v>
      </c>
      <c r="E54" s="291" t="s">
        <v>111</v>
      </c>
      <c r="F54" s="77"/>
      <c r="G54" s="291" t="s">
        <v>32</v>
      </c>
      <c r="I54" s="291" t="s">
        <v>111</v>
      </c>
      <c r="J54" s="77"/>
      <c r="K54" s="291" t="s">
        <v>32</v>
      </c>
    </row>
    <row r="55" spans="1:20" x14ac:dyDescent="0.25">
      <c r="A55" s="291" t="s">
        <v>104</v>
      </c>
      <c r="B55" s="77">
        <v>1</v>
      </c>
      <c r="E55" s="291" t="s">
        <v>104</v>
      </c>
      <c r="F55" s="77">
        <v>1</v>
      </c>
      <c r="I55" s="291" t="s">
        <v>104</v>
      </c>
      <c r="J55" s="77">
        <v>1</v>
      </c>
    </row>
    <row r="56" spans="1:20" ht="15.75" thickBot="1" x14ac:dyDescent="0.3">
      <c r="A56" s="291" t="s">
        <v>5</v>
      </c>
      <c r="B56" s="78">
        <v>1</v>
      </c>
      <c r="C56" s="334"/>
      <c r="F56" s="78"/>
      <c r="J56" s="78"/>
    </row>
    <row r="57" spans="1:20" x14ac:dyDescent="0.25">
      <c r="A57" s="291" t="s">
        <v>105</v>
      </c>
      <c r="B57" s="334">
        <f ca="1">IF($A$46="Raysafe",INDIRECT(ADDRESS(B56,23,1,1,"medidas Unfors"),1),IF(Cabeçalho!$G$28="Unfors",INDIRECT(ADDRESS(B56,3,1,1,"medidas Unfors"),1),INDIRECT(ADDRESS(B56,4,1,1,"medidas Fluke"),1)/1000))</f>
        <v>0</v>
      </c>
      <c r="C57" s="291" t="s">
        <v>1</v>
      </c>
      <c r="D57" s="291" t="s">
        <v>107</v>
      </c>
      <c r="E57" s="291" t="s">
        <v>105</v>
      </c>
      <c r="F57" s="334" t="e">
        <f ca="1">IF($A$46="Raysafe",INDIRECT(ADDRESS(F56,23,1,1,"medidas Unfors"),1),IF(Cabeçalho!$G$28="Unfors",INDIRECT(ADDRESS(F56,3,1,1,"medidas Unfors"),1),INDIRECT(ADDRESS(F56,4,1,1,"medidas Fluke"),1)/1000))</f>
        <v>#VALUE!</v>
      </c>
      <c r="G57" s="291" t="s">
        <v>1</v>
      </c>
      <c r="I57" s="291" t="s">
        <v>105</v>
      </c>
      <c r="J57" s="334" t="e">
        <f ca="1">IF($A$46="Raysafe",INDIRECT(ADDRESS(J56,23,1,1,"medidas Unfors"),1),IF(Cabeçalho!$G$28="Unfors",INDIRECT(ADDRESS(J56,3,1,1,"medidas Unfors"),1),INDIRECT(ADDRESS(J56,4,1,1,"medidas Fluke"),1)/1000))</f>
        <v>#VALUE!</v>
      </c>
      <c r="K57" s="291" t="s">
        <v>1</v>
      </c>
    </row>
    <row r="59" spans="1:20" x14ac:dyDescent="0.25">
      <c r="A59" s="333" t="s">
        <v>106</v>
      </c>
      <c r="B59" s="303" t="e">
        <f ca="1">(B57*100/B54)*(B52/B53)/B55</f>
        <v>#DIV/0!</v>
      </c>
      <c r="C59" s="333" t="s">
        <v>1</v>
      </c>
      <c r="E59" s="333" t="s">
        <v>106</v>
      </c>
      <c r="F59" s="303" t="e">
        <f ca="1">(F57*100/F54)*(F52/F53)/F55</f>
        <v>#VALUE!</v>
      </c>
      <c r="G59" s="333" t="s">
        <v>1</v>
      </c>
      <c r="I59" s="333" t="s">
        <v>106</v>
      </c>
      <c r="J59" s="303" t="e">
        <f ca="1">(J57*100/J54)*(J52/J53)/J55</f>
        <v>#VALUE!</v>
      </c>
      <c r="K59" s="333" t="s">
        <v>1</v>
      </c>
    </row>
    <row r="60" spans="1:20" x14ac:dyDescent="0.25">
      <c r="A60" s="333"/>
      <c r="B60" s="303"/>
      <c r="C60" s="333"/>
      <c r="E60" s="333"/>
      <c r="F60" s="303"/>
      <c r="G60" s="333"/>
      <c r="I60" s="333"/>
      <c r="J60" s="303"/>
      <c r="K60" s="333"/>
    </row>
    <row r="61" spans="1:20" x14ac:dyDescent="0.25">
      <c r="A61" s="333"/>
      <c r="B61" s="303"/>
      <c r="C61" s="333"/>
      <c r="E61" s="333"/>
      <c r="F61" s="303"/>
      <c r="G61" s="333"/>
      <c r="I61" s="333"/>
      <c r="J61" s="303"/>
      <c r="K61" s="333"/>
    </row>
    <row r="62" spans="1:20" x14ac:dyDescent="0.25">
      <c r="A62" s="2910" t="s">
        <v>990</v>
      </c>
      <c r="B62" s="2910"/>
      <c r="C62" s="2910"/>
      <c r="D62" s="2910"/>
      <c r="E62" s="2910"/>
      <c r="F62" s="2910"/>
      <c r="G62" s="2910"/>
      <c r="H62" s="2910"/>
      <c r="I62" s="2910"/>
      <c r="J62" s="2910"/>
      <c r="K62" s="2910"/>
      <c r="L62" s="2910"/>
      <c r="M62" s="2910"/>
      <c r="N62" s="2910"/>
      <c r="O62" s="2910"/>
      <c r="P62" s="2910"/>
      <c r="Q62" s="2910"/>
      <c r="R62" s="2910"/>
      <c r="S62" s="2910"/>
      <c r="T62" s="2910"/>
    </row>
    <row r="63" spans="1:20" x14ac:dyDescent="0.25">
      <c r="G63" s="333"/>
      <c r="I63" s="291" t="s">
        <v>953</v>
      </c>
    </row>
    <row r="64" spans="1:20" x14ac:dyDescent="0.25">
      <c r="A64" s="588" t="s">
        <v>76</v>
      </c>
      <c r="B64" s="588" t="s">
        <v>508</v>
      </c>
      <c r="C64" s="575" t="s">
        <v>983</v>
      </c>
      <c r="D64" s="588" t="s">
        <v>965</v>
      </c>
      <c r="E64" s="588" t="s">
        <v>1019</v>
      </c>
      <c r="F64" s="345" t="s">
        <v>182</v>
      </c>
      <c r="G64" s="588" t="s">
        <v>111</v>
      </c>
      <c r="H64" s="752" t="s">
        <v>16</v>
      </c>
      <c r="I64" s="291" t="s">
        <v>969</v>
      </c>
    </row>
    <row r="65" spans="1:9" x14ac:dyDescent="0.25">
      <c r="A65" s="613" t="s">
        <v>709</v>
      </c>
      <c r="B65" s="335" t="e">
        <f ca="1">IF(B95=0,"NPA",IF(D65&gt;C65,"Não","Sim"))</f>
        <v>#VALUE!</v>
      </c>
      <c r="C65" s="575">
        <v>25</v>
      </c>
      <c r="D65" s="336" t="e">
        <f ca="1">B102</f>
        <v>#VALUE!</v>
      </c>
      <c r="E65" s="336">
        <f>B74</f>
        <v>0</v>
      </c>
      <c r="F65" s="738" t="e">
        <f ca="1">B77</f>
        <v>#VALUE!</v>
      </c>
      <c r="G65" s="575">
        <f>B86</f>
        <v>0</v>
      </c>
      <c r="H65" s="575">
        <f>B81</f>
        <v>0</v>
      </c>
      <c r="I65" s="291" t="s">
        <v>954</v>
      </c>
    </row>
    <row r="66" spans="1:9" x14ac:dyDescent="0.25">
      <c r="A66" s="613" t="s">
        <v>708</v>
      </c>
      <c r="B66" s="335" t="e">
        <f ca="1">IF(C95=0,"NPA",IF(D66&gt;C66,"Não","Sim"))</f>
        <v>#VALUE!</v>
      </c>
      <c r="C66" s="575">
        <v>70</v>
      </c>
      <c r="D66" s="336" t="e">
        <f ca="1">C102</f>
        <v>#VALUE!</v>
      </c>
      <c r="E66" s="336">
        <f>C74</f>
        <v>0</v>
      </c>
      <c r="F66" s="738" t="e">
        <f ca="1">C77</f>
        <v>#VALUE!</v>
      </c>
      <c r="G66" s="575">
        <f>C86</f>
        <v>0</v>
      </c>
      <c r="H66" s="575">
        <f>C81</f>
        <v>0</v>
      </c>
      <c r="I66" s="291" t="s">
        <v>971</v>
      </c>
    </row>
    <row r="67" spans="1:9" x14ac:dyDescent="0.25">
      <c r="A67" s="613" t="s">
        <v>710</v>
      </c>
      <c r="B67" s="335" t="e">
        <f ca="1">IF(D95=0,"NPA",IF(D67&gt;C67,"Não","Sim"))</f>
        <v>#VALUE!</v>
      </c>
      <c r="C67" s="575">
        <v>20</v>
      </c>
      <c r="D67" s="336" t="e">
        <f ca="1">D102</f>
        <v>#VALUE!</v>
      </c>
      <c r="E67" s="336">
        <f>D74</f>
        <v>0</v>
      </c>
      <c r="F67" s="738" t="e">
        <f ca="1">D77</f>
        <v>#VALUE!</v>
      </c>
      <c r="G67" s="575">
        <f>D86</f>
        <v>0</v>
      </c>
      <c r="H67" s="575">
        <f>D81</f>
        <v>0</v>
      </c>
      <c r="I67" s="333" t="s">
        <v>955</v>
      </c>
    </row>
    <row r="68" spans="1:9" x14ac:dyDescent="0.25">
      <c r="A68" s="337"/>
      <c r="B68" s="337"/>
      <c r="D68" s="337"/>
      <c r="I68" s="554" t="s">
        <v>957</v>
      </c>
    </row>
    <row r="69" spans="1:9" x14ac:dyDescent="0.25">
      <c r="A69" s="333" t="s">
        <v>988</v>
      </c>
      <c r="B69" s="587">
        <v>100</v>
      </c>
      <c r="C69" s="291" t="s">
        <v>32</v>
      </c>
      <c r="I69" s="554" t="s">
        <v>968</v>
      </c>
    </row>
    <row r="70" spans="1:9" x14ac:dyDescent="0.25">
      <c r="A70" s="333" t="s">
        <v>958</v>
      </c>
      <c r="B70" s="399">
        <v>1</v>
      </c>
    </row>
    <row r="71" spans="1:9" ht="15.75" thickBot="1" x14ac:dyDescent="0.3"/>
    <row r="72" spans="1:9" x14ac:dyDescent="0.25">
      <c r="A72" s="867" t="s">
        <v>76</v>
      </c>
      <c r="B72" s="868" t="s">
        <v>960</v>
      </c>
      <c r="C72" s="868" t="s">
        <v>959</v>
      </c>
      <c r="D72" s="869" t="s">
        <v>961</v>
      </c>
    </row>
    <row r="73" spans="1:9" x14ac:dyDescent="0.25">
      <c r="A73" s="872" t="s">
        <v>1222</v>
      </c>
      <c r="B73" s="399"/>
      <c r="C73" s="399"/>
      <c r="D73" s="597"/>
      <c r="E73" s="730" t="s">
        <v>1077</v>
      </c>
    </row>
    <row r="74" spans="1:9" x14ac:dyDescent="0.25">
      <c r="A74" s="870" t="s">
        <v>1078</v>
      </c>
      <c r="B74" s="399"/>
      <c r="C74" s="399"/>
      <c r="D74" s="597"/>
      <c r="E74" s="730" t="s">
        <v>1077</v>
      </c>
    </row>
    <row r="75" spans="1:9" x14ac:dyDescent="0.25">
      <c r="A75" s="870" t="s">
        <v>1080</v>
      </c>
      <c r="B75" s="399"/>
      <c r="C75" s="399"/>
      <c r="D75" s="597"/>
      <c r="E75" s="730" t="s">
        <v>1077</v>
      </c>
    </row>
    <row r="76" spans="1:9" ht="30" x14ac:dyDescent="0.25">
      <c r="A76" s="871" t="s">
        <v>1081</v>
      </c>
      <c r="B76" s="348" t="e">
        <f>10*B75/B74</f>
        <v>#DIV/0!</v>
      </c>
      <c r="C76" s="348" t="e">
        <f>10*C75/C74</f>
        <v>#DIV/0!</v>
      </c>
      <c r="D76" s="598" t="e">
        <f>10*D75/D74</f>
        <v>#DIV/0!</v>
      </c>
    </row>
    <row r="77" spans="1:9" x14ac:dyDescent="0.25">
      <c r="A77" s="870" t="s">
        <v>1079</v>
      </c>
      <c r="B77" s="528" t="e">
        <f ca="1">ROUND(100*ABS(B74-B102)/B74,1)</f>
        <v>#VALUE!</v>
      </c>
      <c r="C77" s="528" t="e">
        <f ca="1">ROUND(100*ABS(C74-C102)/C74,1)</f>
        <v>#VALUE!</v>
      </c>
      <c r="D77" s="599" t="e">
        <f ca="1">ROUND(100*ABS(D74-D102)/D74,1)</f>
        <v>#VALUE!</v>
      </c>
    </row>
    <row r="78" spans="1:9" ht="15.75" thickBot="1" x14ac:dyDescent="0.3">
      <c r="A78" s="864" t="s">
        <v>1221</v>
      </c>
      <c r="B78" s="865" t="str">
        <f ca="1">tomografia!C128</f>
        <v/>
      </c>
      <c r="C78" s="865" t="str">
        <f ca="1">tomografia!E128</f>
        <v/>
      </c>
      <c r="D78" s="866" t="str">
        <f ca="1">tomografia!G128</f>
        <v/>
      </c>
    </row>
    <row r="79" spans="1:9" ht="6" customHeight="1" x14ac:dyDescent="0.25">
      <c r="A79" s="861"/>
      <c r="B79" s="862"/>
      <c r="C79" s="862"/>
      <c r="D79" s="863"/>
    </row>
    <row r="80" spans="1:9" x14ac:dyDescent="0.25">
      <c r="A80" s="601" t="s">
        <v>984</v>
      </c>
      <c r="B80" s="606" t="s">
        <v>1076</v>
      </c>
      <c r="C80" s="589" t="str">
        <f>B80</f>
        <v>Multislice ou Helicoidal</v>
      </c>
      <c r="D80" s="595" t="str">
        <f>B80</f>
        <v>Multislice ou Helicoidal</v>
      </c>
    </row>
    <row r="81" spans="1:6" x14ac:dyDescent="0.25">
      <c r="A81" s="602" t="s">
        <v>0</v>
      </c>
      <c r="B81" s="607"/>
      <c r="C81" s="590"/>
      <c r="D81" s="596"/>
    </row>
    <row r="82" spans="1:6" x14ac:dyDescent="0.25">
      <c r="A82" s="602" t="s">
        <v>13</v>
      </c>
      <c r="B82" s="607"/>
      <c r="C82" s="590"/>
      <c r="D82" s="596"/>
    </row>
    <row r="83" spans="1:6" x14ac:dyDescent="0.25">
      <c r="A83" s="603" t="s">
        <v>962</v>
      </c>
      <c r="B83" s="607"/>
      <c r="C83" s="590"/>
      <c r="D83" s="596"/>
    </row>
    <row r="84" spans="1:6" x14ac:dyDescent="0.25">
      <c r="A84" s="603" t="s">
        <v>963</v>
      </c>
      <c r="B84" s="607"/>
      <c r="C84" s="590"/>
      <c r="D84" s="596"/>
      <c r="E84" s="730" t="s">
        <v>1077</v>
      </c>
    </row>
    <row r="85" spans="1:6" ht="45" x14ac:dyDescent="0.25">
      <c r="A85" s="603" t="s">
        <v>964</v>
      </c>
      <c r="B85" s="607"/>
      <c r="C85" s="590"/>
      <c r="D85" s="596"/>
    </row>
    <row r="86" spans="1:6" x14ac:dyDescent="0.25">
      <c r="A86" s="603" t="s">
        <v>1020</v>
      </c>
      <c r="B86" s="609">
        <f>IF(ISERR(B76),B84*B83,B76)</f>
        <v>0</v>
      </c>
      <c r="C86" s="609">
        <f>IF(ISERR(C76),C84*C83,C76)</f>
        <v>0</v>
      </c>
      <c r="D86" s="609">
        <f>IF(ISERR(D76),D84*D83,D76)</f>
        <v>0</v>
      </c>
    </row>
    <row r="87" spans="1:6" ht="30" x14ac:dyDescent="0.25">
      <c r="A87" s="603" t="s">
        <v>972</v>
      </c>
      <c r="B87" s="609" t="e">
        <f>IF(B86="",1,IF(B86&gt;=$B$69,1,$B$69/B86))</f>
        <v>#DIV/0!</v>
      </c>
      <c r="C87" s="609" t="e">
        <f>IF(C86="",1,IF(C86&gt;=$B$69,1,$B$69/C86))</f>
        <v>#DIV/0!</v>
      </c>
      <c r="D87" s="609" t="e">
        <f>IF(D86="",1,IF(D86&gt;=$B$69,1,$B$69/D86))</f>
        <v>#DIV/0!</v>
      </c>
    </row>
    <row r="88" spans="1:6" x14ac:dyDescent="0.25">
      <c r="A88" s="874" t="str">
        <f>IF(OR(B80="Axial ou Sequencial",C80="Axial ou Sequencial",D80="Axial ou Sequencial"),"PITCH (I/N.T)","Helical Pitch (HP)")</f>
        <v>Helical Pitch (HP)</v>
      </c>
      <c r="B88" s="590">
        <f>IF(B80="Multislice ou Helicoidal",1,B85/(B84*B83))</f>
        <v>1</v>
      </c>
      <c r="C88" s="590">
        <f>IF(C80="Multislice ou Helicoidal",1,C85/(C84*C83))</f>
        <v>1</v>
      </c>
      <c r="D88" s="590">
        <f>IF(D80="Multislice ou Helicoidal",1,D85/(D84*D83))</f>
        <v>1</v>
      </c>
      <c r="E88" s="730" t="s">
        <v>1077</v>
      </c>
      <c r="F88" s="652"/>
    </row>
    <row r="89" spans="1:6" ht="18" x14ac:dyDescent="0.35">
      <c r="A89" s="612" t="s">
        <v>985</v>
      </c>
      <c r="B89" s="2907" t="s">
        <v>986</v>
      </c>
      <c r="C89" s="2908"/>
      <c r="D89" s="2909"/>
    </row>
    <row r="90" spans="1:6" x14ac:dyDescent="0.25">
      <c r="A90" s="601" t="s">
        <v>973</v>
      </c>
      <c r="B90" s="608"/>
      <c r="C90" s="399"/>
      <c r="D90" s="597"/>
    </row>
    <row r="91" spans="1:6" x14ac:dyDescent="0.25">
      <c r="A91" s="601" t="s">
        <v>974</v>
      </c>
      <c r="B91" s="608"/>
      <c r="C91" s="399"/>
      <c r="D91" s="597"/>
    </row>
    <row r="92" spans="1:6" x14ac:dyDescent="0.25">
      <c r="A92" s="601" t="s">
        <v>975</v>
      </c>
      <c r="B92" s="608"/>
      <c r="C92" s="399"/>
      <c r="D92" s="597"/>
    </row>
    <row r="93" spans="1:6" x14ac:dyDescent="0.25">
      <c r="A93" s="601" t="s">
        <v>976</v>
      </c>
      <c r="B93" s="608"/>
      <c r="C93" s="399"/>
      <c r="D93" s="597"/>
    </row>
    <row r="94" spans="1:6" x14ac:dyDescent="0.25">
      <c r="A94" s="601" t="s">
        <v>977</v>
      </c>
      <c r="B94" s="608"/>
      <c r="C94" s="399"/>
      <c r="D94" s="597"/>
    </row>
    <row r="95" spans="1:6" x14ac:dyDescent="0.25">
      <c r="A95" s="588" t="s">
        <v>978</v>
      </c>
      <c r="B95" s="594" t="e">
        <f ca="1">IF($A$46="Raysafe",INDIRECT(ADDRESS(B90,25,1,1,"medidas Unfors"),1),IF(Cabeçalho!$G$28="Unfors",INDIRECT(ADDRESS(B90,1,1,1,"medidas Unfors"),1),INDIRECT(ADDRESS(B90,4,1,1,"medidas Fluke"),1)/1000))</f>
        <v>#VALUE!</v>
      </c>
      <c r="C95" s="594" t="e">
        <f ca="1">IF($A$46="Raysafe",INDIRECT(ADDRESS(C90,25,1,1,"medidas Unfors"),1),IF(Cabeçalho!$G$28="Unfors",INDIRECT(ADDRESS(C90,1,1,1,"medidas Unfors"),1),INDIRECT(ADDRESS(C90,4,1,1,"medidas Fluke"),1)/1000))</f>
        <v>#VALUE!</v>
      </c>
      <c r="D95" s="594" t="e">
        <f ca="1">IF($A$46="Raysafe",INDIRECT(ADDRESS(D90,25,1,1,"medidas Unfors"),1),IF(Cabeçalho!$G$28="Unfors",INDIRECT(ADDRESS(D90,1,1,1,"medidas Unfors"),1),INDIRECT(ADDRESS(D90,4,1,1,"medidas Fluke"),1)/1000))</f>
        <v>#VALUE!</v>
      </c>
      <c r="E95" s="875" t="s">
        <v>1224</v>
      </c>
    </row>
    <row r="96" spans="1:6" x14ac:dyDescent="0.25">
      <c r="A96" s="588" t="s">
        <v>979</v>
      </c>
      <c r="B96" s="594" t="e">
        <f ca="1">IF($A$46="Raysafe",INDIRECT(ADDRESS(B91,25,1,1,"medidas Unfors"),1),IF(Cabeçalho!$G$28="Unfors",INDIRECT(ADDRESS(B91,1,1,1,"medidas Unfors"),1),INDIRECT(ADDRESS(B91,4,1,1,"medidas Fluke"),1)/1000))</f>
        <v>#VALUE!</v>
      </c>
      <c r="C96" s="594" t="e">
        <f ca="1">IF($A$46="Raysafe",INDIRECT(ADDRESS(C91,25,1,1,"medidas Unfors"),1),IF(Cabeçalho!$G$28="Unfors",INDIRECT(ADDRESS(C91,1,1,1,"medidas Unfors"),1),INDIRECT(ADDRESS(C91,4,1,1,"medidas Fluke"),1)/1000))</f>
        <v>#VALUE!</v>
      </c>
      <c r="D96" s="594" t="e">
        <f ca="1">IF($A$46="Raysafe",INDIRECT(ADDRESS(D91,25,1,1,"medidas Unfors"),1),IF(Cabeçalho!$G$28="Unfors",INDIRECT(ADDRESS(D91,1,1,1,"medidas Unfors"),1),INDIRECT(ADDRESS(D91,4,1,1,"medidas Fluke"),1)/1000))</f>
        <v>#VALUE!</v>
      </c>
    </row>
    <row r="97" spans="1:31" x14ac:dyDescent="0.25">
      <c r="A97" s="588" t="s">
        <v>980</v>
      </c>
      <c r="B97" s="594" t="e">
        <f ca="1">IF($A$46="Raysafe",INDIRECT(ADDRESS(B92,25,1,1,"medidas Unfors"),1),IF(Cabeçalho!$G$28="Unfors",INDIRECT(ADDRESS(B92,1,1,1,"medidas Unfors"),1),INDIRECT(ADDRESS(B92,4,1,1,"medidas Fluke"),1)/1000))</f>
        <v>#VALUE!</v>
      </c>
      <c r="C97" s="594" t="e">
        <f ca="1">IF($A$46="Raysafe",INDIRECT(ADDRESS(C92,25,1,1,"medidas Unfors"),1),IF(Cabeçalho!$G$28="Unfors",INDIRECT(ADDRESS(C92,1,1,1,"medidas Unfors"),1),INDIRECT(ADDRESS(C92,4,1,1,"medidas Fluke"),1)/1000))</f>
        <v>#VALUE!</v>
      </c>
      <c r="D97" s="594" t="e">
        <f ca="1">IF($A$46="Raysafe",INDIRECT(ADDRESS(D92,25,1,1,"medidas Unfors"),1),IF(Cabeçalho!$G$28="Unfors",INDIRECT(ADDRESS(D92,1,1,1,"medidas Unfors"),1),INDIRECT(ADDRESS(D92,4,1,1,"medidas Fluke"),1)/1000))</f>
        <v>#VALUE!</v>
      </c>
    </row>
    <row r="98" spans="1:31" x14ac:dyDescent="0.25">
      <c r="A98" s="588" t="s">
        <v>981</v>
      </c>
      <c r="B98" s="594" t="e">
        <f ca="1">IF($A$46="Raysafe",INDIRECT(ADDRESS(B93,25,1,1,"medidas Unfors"),1),IF(Cabeçalho!$G$28="Unfors",INDIRECT(ADDRESS(B93,1,1,1,"medidas Unfors"),1),INDIRECT(ADDRESS(B93,4,1,1,"medidas Fluke"),1)/1000))</f>
        <v>#VALUE!</v>
      </c>
      <c r="C98" s="594" t="e">
        <f ca="1">IF($A$46="Raysafe",INDIRECT(ADDRESS(C93,25,1,1,"medidas Unfors"),1),IF(Cabeçalho!$G$28="Unfors",INDIRECT(ADDRESS(C93,1,1,1,"medidas Unfors"),1),INDIRECT(ADDRESS(C93,4,1,1,"medidas Fluke"),1)/1000))</f>
        <v>#VALUE!</v>
      </c>
      <c r="D98" s="594" t="e">
        <f ca="1">IF($A$46="Raysafe",INDIRECT(ADDRESS(D93,25,1,1,"medidas Unfors"),1),IF(Cabeçalho!$G$28="Unfors",INDIRECT(ADDRESS(D93,1,1,1,"medidas Unfors"),1),INDIRECT(ADDRESS(D93,4,1,1,"medidas Fluke"),1)/1000))</f>
        <v>#VALUE!</v>
      </c>
    </row>
    <row r="99" spans="1:31" x14ac:dyDescent="0.25">
      <c r="A99" s="588" t="s">
        <v>982</v>
      </c>
      <c r="B99" s="594" t="e">
        <f ca="1">IF($A$46="Raysafe",INDIRECT(ADDRESS(B94,25,1,1,"medidas Unfors"),1),IF(Cabeçalho!$G$28="Unfors",INDIRECT(ADDRESS(B94,1,1,1,"medidas Unfors"),1),INDIRECT(ADDRESS(B94,4,1,1,"medidas Fluke"),1)/1000))</f>
        <v>#VALUE!</v>
      </c>
      <c r="C99" s="594" t="e">
        <f ca="1">IF($A$46="Raysafe",INDIRECT(ADDRESS(C94,25,1,1,"medidas Unfors"),1),IF(Cabeçalho!$G$28="Unfors",INDIRECT(ADDRESS(C94,1,1,1,"medidas Unfors"),1),INDIRECT(ADDRESS(C94,4,1,1,"medidas Fluke"),1)/1000))</f>
        <v>#VALUE!</v>
      </c>
      <c r="D99" s="594" t="e">
        <f ca="1">IF($A$46="Raysafe",INDIRECT(ADDRESS(D94,25,1,1,"medidas Unfors"),1),IF(Cabeçalho!$G$28="Unfors",INDIRECT(ADDRESS(D94,1,1,1,"medidas Unfors"),1),INDIRECT(ADDRESS(D94,4,1,1,"medidas Fluke"),1)/1000))</f>
        <v>#VALUE!</v>
      </c>
    </row>
    <row r="100" spans="1:31" x14ac:dyDescent="0.25">
      <c r="A100" s="733" t="s">
        <v>987</v>
      </c>
      <c r="B100" s="734" t="e">
        <f ca="1">(1/3*B95+2/3*AVERAGE(B96:B99))</f>
        <v>#VALUE!</v>
      </c>
      <c r="C100" s="734" t="e">
        <f ca="1">(1/3*C95+2/3*AVERAGE(C96:C99))</f>
        <v>#VALUE!</v>
      </c>
      <c r="D100" s="734" t="e">
        <f ca="1">(1/3*D95+2/3*AVERAGE(D96:D99))</f>
        <v>#VALUE!</v>
      </c>
    </row>
    <row r="101" spans="1:31" x14ac:dyDescent="0.25">
      <c r="A101" s="733" t="s">
        <v>989</v>
      </c>
      <c r="B101" s="735" t="e">
        <f ca="1">(1/3*B95+2/3*AVERAGE(B96:B99))*$B$70*B87</f>
        <v>#VALUE!</v>
      </c>
      <c r="C101" s="735" t="e">
        <f ca="1">(1/3*C95+2/3*AVERAGE(C96:C99))*$B$70*C87</f>
        <v>#VALUE!</v>
      </c>
      <c r="D101" s="735" t="e">
        <f ca="1">(1/3*D95+2/3*AVERAGE(D96:D99))*$B$70*D87</f>
        <v>#VALUE!</v>
      </c>
    </row>
    <row r="102" spans="1:31" x14ac:dyDescent="0.25">
      <c r="A102" s="873" t="s">
        <v>965</v>
      </c>
      <c r="B102" s="736" t="e">
        <f ca="1">(B101/B88)</f>
        <v>#VALUE!</v>
      </c>
      <c r="C102" s="736" t="e">
        <f ca="1">(C101/C88)</f>
        <v>#VALUE!</v>
      </c>
      <c r="D102" s="736" t="e">
        <f ca="1">(D101/D88)</f>
        <v>#VALUE!</v>
      </c>
    </row>
    <row r="103" spans="1:31" ht="6.95" customHeight="1" x14ac:dyDescent="0.25">
      <c r="A103" s="737"/>
      <c r="B103" s="732"/>
      <c r="C103" s="732"/>
      <c r="D103" s="731"/>
    </row>
    <row r="104" spans="1:31" x14ac:dyDescent="0.25">
      <c r="A104" s="604" t="s">
        <v>966</v>
      </c>
      <c r="B104" s="610" t="e">
        <f ca="1">B86*B102/10</f>
        <v>#VALUE!</v>
      </c>
      <c r="C104" s="528" t="e">
        <f ca="1">C86*C102/10</f>
        <v>#VALUE!</v>
      </c>
      <c r="D104" s="599" t="e">
        <f ca="1">D86*D102/10</f>
        <v>#VALUE!</v>
      </c>
    </row>
    <row r="105" spans="1:31" ht="15.75" thickBot="1" x14ac:dyDescent="0.3">
      <c r="A105" s="605" t="s">
        <v>967</v>
      </c>
      <c r="B105" s="611" t="e">
        <f ca="1">B104*0.0021</f>
        <v>#VALUE!</v>
      </c>
      <c r="C105" s="530" t="e">
        <f ca="1">C104*0.015</f>
        <v>#VALUE!</v>
      </c>
      <c r="D105" s="600" t="e">
        <f ca="1">D104*0.02</f>
        <v>#VALUE!</v>
      </c>
    </row>
    <row r="106" spans="1:31" x14ac:dyDescent="0.25">
      <c r="A106" s="929"/>
      <c r="B106" s="460"/>
      <c r="C106" s="460"/>
      <c r="D106" s="460"/>
    </row>
    <row r="107" spans="1:31" x14ac:dyDescent="0.25">
      <c r="A107" s="929"/>
      <c r="B107" s="460"/>
      <c r="C107" s="460"/>
      <c r="D107" s="460"/>
    </row>
    <row r="108" spans="1:31" x14ac:dyDescent="0.25">
      <c r="A108" s="2886" t="s">
        <v>1885</v>
      </c>
      <c r="B108" s="2886"/>
      <c r="C108" s="2886"/>
      <c r="D108" s="2886"/>
      <c r="E108" s="2886"/>
      <c r="F108" s="2886"/>
      <c r="G108" s="2886"/>
      <c r="H108" s="2886"/>
      <c r="I108" s="2886"/>
      <c r="J108" s="2886"/>
      <c r="K108" s="338"/>
      <c r="L108" s="338"/>
      <c r="M108" s="338"/>
      <c r="N108" s="338"/>
      <c r="O108" s="338"/>
      <c r="P108" s="338"/>
      <c r="Q108" s="338"/>
      <c r="R108" s="338"/>
      <c r="S108" s="338"/>
      <c r="T108" s="338"/>
    </row>
    <row r="109" spans="1:31" x14ac:dyDescent="0.25">
      <c r="A109" s="929"/>
      <c r="B109" s="460"/>
      <c r="C109" s="460"/>
      <c r="D109" s="460"/>
    </row>
    <row r="110" spans="1:31" s="620" customFormat="1" x14ac:dyDescent="0.25">
      <c r="A110" s="698" t="s">
        <v>76</v>
      </c>
      <c r="B110" s="923"/>
      <c r="C110" s="923"/>
      <c r="D110" s="923"/>
      <c r="E110" s="923"/>
      <c r="F110" s="923"/>
      <c r="M110" s="171"/>
      <c r="N110" s="171"/>
      <c r="O110" s="621"/>
      <c r="P110" s="621"/>
      <c r="Q110" s="171"/>
      <c r="R110" s="171"/>
      <c r="S110" s="171"/>
      <c r="T110" s="171"/>
      <c r="U110" s="171"/>
      <c r="V110" s="171"/>
      <c r="W110" s="171"/>
      <c r="X110" s="171"/>
      <c r="Y110" s="171"/>
      <c r="Z110" s="171"/>
      <c r="AA110" s="171"/>
      <c r="AB110" s="171"/>
      <c r="AC110" s="171"/>
      <c r="AD110" s="171"/>
      <c r="AE110" s="171"/>
    </row>
    <row r="111" spans="1:31" s="620" customFormat="1" x14ac:dyDescent="0.25">
      <c r="A111" s="765" t="s">
        <v>1099</v>
      </c>
      <c r="B111" s="923"/>
      <c r="C111" s="923"/>
      <c r="D111" s="923"/>
      <c r="E111" s="923"/>
      <c r="F111" s="923"/>
      <c r="L111" s="171"/>
      <c r="M111" s="171"/>
      <c r="N111" s="171"/>
      <c r="O111" s="621"/>
      <c r="P111" s="621"/>
      <c r="Q111" s="171"/>
      <c r="R111" s="171"/>
      <c r="S111" s="171"/>
      <c r="T111" s="171"/>
      <c r="U111" s="171"/>
      <c r="V111" s="171"/>
      <c r="W111" s="171"/>
      <c r="X111" s="171"/>
      <c r="Y111" s="171"/>
      <c r="Z111" s="171"/>
      <c r="AA111" s="171"/>
      <c r="AB111" s="171"/>
      <c r="AC111" s="171"/>
      <c r="AD111" s="171"/>
      <c r="AE111" s="171"/>
    </row>
    <row r="112" spans="1:31" s="620" customFormat="1" x14ac:dyDescent="0.25">
      <c r="A112" s="764" t="s">
        <v>0</v>
      </c>
      <c r="B112" s="923"/>
      <c r="C112" s="923"/>
      <c r="D112" s="923"/>
      <c r="E112" s="923"/>
      <c r="F112" s="923"/>
      <c r="L112" s="171"/>
      <c r="M112" s="171"/>
      <c r="N112" s="171"/>
      <c r="O112" s="621"/>
      <c r="P112" s="621"/>
      <c r="Q112" s="171"/>
      <c r="R112" s="171"/>
      <c r="S112" s="171"/>
      <c r="T112" s="171"/>
      <c r="U112" s="171"/>
      <c r="V112" s="171"/>
      <c r="W112" s="171"/>
      <c r="X112" s="171"/>
      <c r="Y112" s="171"/>
      <c r="Z112" s="171"/>
      <c r="AA112" s="171"/>
      <c r="AB112" s="171"/>
      <c r="AC112" s="171"/>
      <c r="AD112" s="171"/>
      <c r="AE112" s="171"/>
    </row>
    <row r="113" spans="1:31" s="620" customFormat="1" x14ac:dyDescent="0.25">
      <c r="A113" s="765" t="s">
        <v>13</v>
      </c>
      <c r="B113" s="923"/>
      <c r="C113" s="923"/>
      <c r="D113" s="923"/>
      <c r="E113" s="923"/>
      <c r="F113" s="923"/>
      <c r="L113" s="171"/>
      <c r="M113" s="171"/>
      <c r="N113" s="171"/>
      <c r="O113" s="621"/>
      <c r="P113" s="621"/>
      <c r="Q113" s="171"/>
      <c r="R113" s="171"/>
      <c r="S113" s="171"/>
      <c r="T113" s="171"/>
      <c r="U113" s="171"/>
      <c r="V113" s="171"/>
      <c r="W113" s="171"/>
      <c r="X113" s="171"/>
      <c r="Y113" s="171"/>
      <c r="Z113" s="171"/>
      <c r="AA113" s="171"/>
      <c r="AB113" s="171"/>
      <c r="AC113" s="171"/>
      <c r="AD113" s="171"/>
      <c r="AE113" s="171"/>
    </row>
    <row r="114" spans="1:31" s="620" customFormat="1" x14ac:dyDescent="0.25">
      <c r="A114" s="764" t="s">
        <v>3</v>
      </c>
      <c r="B114" s="923"/>
      <c r="C114" s="923"/>
      <c r="D114" s="923"/>
      <c r="E114" s="923"/>
      <c r="F114" s="923"/>
      <c r="L114" s="171"/>
      <c r="M114" s="171"/>
      <c r="N114" s="171"/>
      <c r="O114" s="621"/>
      <c r="P114" s="621"/>
      <c r="Q114" s="171"/>
      <c r="R114" s="171"/>
      <c r="S114" s="171"/>
      <c r="T114" s="171"/>
      <c r="U114" s="171"/>
      <c r="V114" s="171"/>
      <c r="W114" s="171"/>
      <c r="X114" s="171"/>
      <c r="Y114" s="171"/>
      <c r="Z114" s="171"/>
      <c r="AA114" s="171"/>
      <c r="AB114" s="171"/>
      <c r="AC114" s="171"/>
      <c r="AD114" s="171"/>
      <c r="AE114" s="171"/>
    </row>
    <row r="115" spans="1:31" s="620" customFormat="1" x14ac:dyDescent="0.25">
      <c r="A115" s="764" t="s">
        <v>1884</v>
      </c>
      <c r="B115" s="923"/>
      <c r="C115" s="923"/>
      <c r="D115" s="923"/>
      <c r="E115" s="923"/>
      <c r="F115" s="923"/>
      <c r="L115" s="171"/>
      <c r="M115" s="171"/>
      <c r="N115" s="171"/>
      <c r="O115" s="621"/>
      <c r="P115" s="621"/>
      <c r="Q115" s="171"/>
      <c r="R115" s="171"/>
      <c r="S115" s="171"/>
      <c r="T115" s="171"/>
      <c r="U115" s="171"/>
      <c r="V115" s="171"/>
      <c r="W115" s="171"/>
      <c r="X115" s="171"/>
      <c r="Y115" s="171"/>
      <c r="Z115" s="171"/>
      <c r="AA115" s="171"/>
      <c r="AB115" s="171"/>
      <c r="AC115" s="171"/>
      <c r="AD115" s="171"/>
      <c r="AE115" s="171"/>
    </row>
    <row r="116" spans="1:31" s="620" customFormat="1" x14ac:dyDescent="0.25">
      <c r="A116" s="770" t="s">
        <v>1107</v>
      </c>
      <c r="B116" s="923"/>
      <c r="C116" s="923"/>
      <c r="D116" s="923"/>
      <c r="E116" s="923"/>
      <c r="F116" s="923"/>
      <c r="L116" s="171"/>
      <c r="M116" s="171"/>
      <c r="N116" s="171"/>
      <c r="O116" s="621"/>
      <c r="P116" s="621"/>
      <c r="Q116" s="171"/>
      <c r="R116" s="171"/>
      <c r="S116" s="171"/>
      <c r="T116" s="171"/>
      <c r="U116" s="171"/>
      <c r="V116" s="171"/>
      <c r="W116" s="171"/>
      <c r="X116" s="171"/>
      <c r="Y116" s="171"/>
      <c r="Z116" s="171"/>
      <c r="AA116" s="171"/>
      <c r="AB116" s="171"/>
      <c r="AC116" s="171"/>
      <c r="AD116" s="171"/>
      <c r="AE116" s="171"/>
    </row>
    <row r="117" spans="1:31" s="620" customFormat="1" x14ac:dyDescent="0.25">
      <c r="A117" s="770" t="s">
        <v>1108</v>
      </c>
      <c r="B117" s="923"/>
      <c r="C117" s="923"/>
      <c r="D117" s="923"/>
      <c r="E117" s="923"/>
      <c r="F117" s="923"/>
      <c r="L117" s="171"/>
      <c r="M117" s="171"/>
      <c r="N117" s="171"/>
      <c r="O117" s="621"/>
      <c r="P117" s="621"/>
      <c r="Q117" s="171"/>
      <c r="R117" s="171"/>
      <c r="S117" s="171"/>
      <c r="T117" s="171"/>
      <c r="U117" s="171"/>
      <c r="V117" s="171"/>
      <c r="W117" s="171"/>
      <c r="X117" s="171"/>
      <c r="Y117" s="171"/>
      <c r="Z117" s="171"/>
      <c r="AA117" s="171"/>
      <c r="AB117" s="171"/>
      <c r="AC117" s="171"/>
      <c r="AD117" s="171"/>
      <c r="AE117" s="171"/>
    </row>
    <row r="118" spans="1:31" s="620" customFormat="1" x14ac:dyDescent="0.25">
      <c r="A118" s="770" t="s">
        <v>2017</v>
      </c>
      <c r="B118" s="1058"/>
      <c r="C118" s="1058"/>
      <c r="D118" s="1058"/>
      <c r="E118" s="1058"/>
      <c r="F118" s="1058"/>
      <c r="L118" s="171"/>
      <c r="M118" s="171"/>
      <c r="N118" s="171"/>
      <c r="O118" s="621"/>
      <c r="P118" s="621"/>
      <c r="Q118" s="171"/>
      <c r="R118" s="171"/>
      <c r="S118" s="171"/>
      <c r="T118" s="171"/>
      <c r="U118" s="171"/>
      <c r="V118" s="171"/>
      <c r="W118" s="171"/>
      <c r="X118" s="171"/>
      <c r="Y118" s="171"/>
      <c r="Z118" s="171"/>
      <c r="AA118" s="171"/>
      <c r="AB118" s="171"/>
      <c r="AC118" s="171"/>
      <c r="AD118" s="171"/>
      <c r="AE118" s="171"/>
    </row>
    <row r="119" spans="1:31" s="620" customFormat="1" x14ac:dyDescent="0.25">
      <c r="A119" s="770" t="s">
        <v>2018</v>
      </c>
      <c r="B119" s="770"/>
      <c r="C119" s="770"/>
      <c r="D119" s="770"/>
      <c r="E119" s="770"/>
      <c r="F119" s="770"/>
      <c r="L119" s="171"/>
      <c r="M119" s="171"/>
      <c r="N119" s="171"/>
      <c r="O119" s="621"/>
      <c r="P119" s="621"/>
      <c r="Q119" s="171"/>
      <c r="R119" s="171"/>
      <c r="S119" s="171"/>
      <c r="T119" s="171"/>
      <c r="U119" s="171"/>
      <c r="V119" s="171"/>
      <c r="W119" s="171"/>
      <c r="X119" s="171"/>
      <c r="Y119" s="171"/>
      <c r="Z119" s="171"/>
      <c r="AA119" s="171"/>
      <c r="AB119" s="171"/>
      <c r="AC119" s="171"/>
      <c r="AD119" s="171"/>
      <c r="AE119" s="171"/>
    </row>
    <row r="120" spans="1:31" s="620" customFormat="1" x14ac:dyDescent="0.25">
      <c r="A120" s="770" t="s">
        <v>2019</v>
      </c>
      <c r="B120" s="1058">
        <v>1</v>
      </c>
      <c r="C120" s="1058">
        <f>B120</f>
        <v>1</v>
      </c>
      <c r="D120" s="1058">
        <f t="shared" ref="D120:F120" si="2">C120</f>
        <v>1</v>
      </c>
      <c r="E120" s="1058">
        <f t="shared" si="2"/>
        <v>1</v>
      </c>
      <c r="F120" s="1058">
        <f t="shared" si="2"/>
        <v>1</v>
      </c>
      <c r="L120" s="171"/>
      <c r="M120" s="171"/>
      <c r="N120" s="171"/>
      <c r="O120" s="621"/>
      <c r="P120" s="621"/>
      <c r="Q120" s="171"/>
      <c r="R120" s="171"/>
      <c r="S120" s="171"/>
      <c r="T120" s="171"/>
      <c r="U120" s="171"/>
      <c r="V120" s="171"/>
      <c r="W120" s="171"/>
      <c r="X120" s="171"/>
      <c r="Y120" s="171"/>
      <c r="Z120" s="171"/>
      <c r="AA120" s="171"/>
      <c r="AB120" s="171"/>
      <c r="AC120" s="171"/>
      <c r="AD120" s="171"/>
      <c r="AE120" s="171"/>
    </row>
    <row r="121" spans="1:31" s="620" customFormat="1" x14ac:dyDescent="0.25">
      <c r="A121" s="764" t="s">
        <v>521</v>
      </c>
      <c r="B121" s="923"/>
      <c r="C121" s="923"/>
      <c r="D121" s="923"/>
      <c r="E121" s="923"/>
      <c r="F121" s="923"/>
      <c r="L121" s="171"/>
      <c r="M121" s="171"/>
      <c r="N121" s="171"/>
      <c r="O121" s="621"/>
      <c r="P121" s="621"/>
      <c r="Q121" s="171"/>
      <c r="R121" s="171"/>
      <c r="S121" s="171"/>
      <c r="T121" s="171"/>
      <c r="U121" s="171"/>
      <c r="V121" s="171"/>
      <c r="W121" s="171"/>
      <c r="X121" s="171"/>
      <c r="Y121" s="171"/>
      <c r="Z121" s="171"/>
      <c r="AA121" s="171"/>
      <c r="AB121" s="171"/>
      <c r="AC121" s="171"/>
      <c r="AD121" s="171"/>
      <c r="AE121" s="171"/>
    </row>
    <row r="122" spans="1:31" s="620" customFormat="1" x14ac:dyDescent="0.25">
      <c r="A122" s="770" t="s">
        <v>2026</v>
      </c>
      <c r="B122" s="771" t="str">
        <f ca="1">IFERROR(IF(Cabeçalho!$G$28="Unfors",INDIRECT(ADDRESS(B121,1,1,1,"medidas Unfors"),1),INDIRECT(ADDRESS(B121,5,1,1,"medidas Fluke"),1)/1000),"")</f>
        <v/>
      </c>
      <c r="C122" s="771" t="str">
        <f ca="1">IFERROR(IF(Cabeçalho!$G$28="Unfors",INDIRECT(ADDRESS(C121,1,1,1,"medidas Unfors"),1),INDIRECT(ADDRESS(C121,5,1,1,"medidas Fluke"),1)/1000),"")</f>
        <v/>
      </c>
      <c r="D122" s="771" t="str">
        <f ca="1">IFERROR(IF(Cabeçalho!$G$28="Unfors",INDIRECT(ADDRESS(D121,1,1,1,"medidas Unfors"),1),INDIRECT(ADDRESS(D121,5,1,1,"medidas Fluke"),1)/1000),"")</f>
        <v/>
      </c>
      <c r="E122" s="771" t="str">
        <f ca="1">IFERROR(IF(Cabeçalho!$G$28="Unfors",INDIRECT(ADDRESS(E121,1,1,1,"medidas Unfors"),1),INDIRECT(ADDRESS(E121,5,1,1,"medidas Fluke"),1)/1000),"")</f>
        <v/>
      </c>
      <c r="F122" s="771" t="str">
        <f ca="1">IFERROR(IF(Cabeçalho!$G$28="Unfors",INDIRECT(ADDRESS(F121,1,1,1,"medidas Unfors"),1),INDIRECT(ADDRESS(F121,5,1,1,"medidas Fluke"),1)/1000),"")</f>
        <v/>
      </c>
      <c r="G122" s="1929" t="s">
        <v>2020</v>
      </c>
      <c r="L122" s="171"/>
      <c r="M122" s="171"/>
      <c r="N122" s="171"/>
      <c r="O122" s="621"/>
      <c r="P122" s="621"/>
      <c r="Q122" s="171"/>
      <c r="R122" s="171"/>
      <c r="S122" s="171"/>
      <c r="T122" s="171"/>
      <c r="U122" s="171"/>
      <c r="V122" s="171"/>
      <c r="W122" s="171"/>
      <c r="X122" s="171"/>
      <c r="Y122" s="171"/>
      <c r="Z122" s="171"/>
      <c r="AA122" s="171"/>
      <c r="AB122" s="171"/>
      <c r="AC122" s="171"/>
      <c r="AD122" s="171"/>
      <c r="AE122" s="171"/>
    </row>
    <row r="123" spans="1:31" s="620" customFormat="1" x14ac:dyDescent="0.25">
      <c r="A123" s="770" t="s">
        <v>2022</v>
      </c>
      <c r="B123" s="359" t="e">
        <f ca="1">B122*(B117/B116)^2</f>
        <v>#VALUE!</v>
      </c>
      <c r="C123" s="359" t="e">
        <f t="shared" ref="C123:F123" ca="1" si="3">C122*(C117/C116)^2</f>
        <v>#VALUE!</v>
      </c>
      <c r="D123" s="359" t="e">
        <f t="shared" ca="1" si="3"/>
        <v>#VALUE!</v>
      </c>
      <c r="E123" s="359" t="e">
        <f t="shared" ca="1" si="3"/>
        <v>#VALUE!</v>
      </c>
      <c r="F123" s="359" t="e">
        <f t="shared" ca="1" si="3"/>
        <v>#VALUE!</v>
      </c>
      <c r="L123" s="171"/>
      <c r="M123" s="171"/>
      <c r="N123" s="171"/>
      <c r="O123" s="621"/>
      <c r="P123" s="621"/>
      <c r="Q123" s="171"/>
      <c r="R123" s="171"/>
      <c r="S123" s="171"/>
      <c r="T123" s="171"/>
      <c r="U123" s="171"/>
      <c r="V123" s="171"/>
      <c r="W123" s="171"/>
      <c r="X123" s="171"/>
      <c r="Y123" s="171"/>
      <c r="Z123" s="171"/>
      <c r="AA123" s="171"/>
      <c r="AB123" s="171"/>
      <c r="AC123" s="171"/>
      <c r="AD123" s="171"/>
      <c r="AE123" s="171"/>
    </row>
    <row r="124" spans="1:31" s="620" customFormat="1" x14ac:dyDescent="0.25">
      <c r="A124" s="770" t="s">
        <v>2021</v>
      </c>
      <c r="B124" s="359" t="e">
        <f ca="1">B123*B118</f>
        <v>#VALUE!</v>
      </c>
      <c r="C124" s="359" t="e">
        <f t="shared" ref="C124:F124" ca="1" si="4">C123*C118</f>
        <v>#VALUE!</v>
      </c>
      <c r="D124" s="359" t="e">
        <f t="shared" ca="1" si="4"/>
        <v>#VALUE!</v>
      </c>
      <c r="E124" s="359" t="e">
        <f t="shared" ca="1" si="4"/>
        <v>#VALUE!</v>
      </c>
      <c r="F124" s="359" t="e">
        <f t="shared" ca="1" si="4"/>
        <v>#VALUE!</v>
      </c>
      <c r="L124" s="171"/>
      <c r="M124" s="171"/>
      <c r="N124" s="171"/>
      <c r="O124" s="621"/>
      <c r="P124" s="621"/>
      <c r="Q124" s="171"/>
      <c r="R124" s="171"/>
      <c r="S124" s="171"/>
      <c r="T124" s="171"/>
      <c r="U124" s="171"/>
      <c r="V124" s="171"/>
      <c r="W124" s="171"/>
      <c r="X124" s="171"/>
      <c r="Y124" s="171"/>
      <c r="Z124" s="171"/>
      <c r="AA124" s="171"/>
      <c r="AB124" s="171"/>
      <c r="AC124" s="171"/>
      <c r="AD124" s="171"/>
      <c r="AE124" s="171"/>
    </row>
    <row r="125" spans="1:31" s="620" customFormat="1" x14ac:dyDescent="0.25">
      <c r="A125" s="770" t="s">
        <v>2023</v>
      </c>
      <c r="B125" s="359" t="e">
        <f ca="1">B124*B120</f>
        <v>#VALUE!</v>
      </c>
      <c r="C125" s="359" t="e">
        <f t="shared" ref="C125:F125" ca="1" si="5">C124*C120</f>
        <v>#VALUE!</v>
      </c>
      <c r="D125" s="359" t="e">
        <f t="shared" ca="1" si="5"/>
        <v>#VALUE!</v>
      </c>
      <c r="E125" s="359" t="e">
        <f t="shared" ca="1" si="5"/>
        <v>#VALUE!</v>
      </c>
      <c r="F125" s="359" t="e">
        <f t="shared" ca="1" si="5"/>
        <v>#VALUE!</v>
      </c>
      <c r="L125" s="171"/>
      <c r="M125" s="171"/>
      <c r="N125" s="171"/>
      <c r="O125" s="621"/>
      <c r="P125" s="621"/>
      <c r="Q125" s="171"/>
      <c r="R125" s="171"/>
      <c r="S125" s="171"/>
      <c r="T125" s="171"/>
      <c r="U125" s="171"/>
      <c r="V125" s="171"/>
      <c r="W125" s="171"/>
      <c r="X125" s="171"/>
      <c r="Y125" s="171"/>
      <c r="Z125" s="171"/>
      <c r="AA125" s="171"/>
      <c r="AB125" s="171"/>
      <c r="AC125" s="171"/>
      <c r="AD125" s="171"/>
      <c r="AE125" s="171"/>
    </row>
    <row r="126" spans="1:31" s="228" customFormat="1" ht="49.5" customHeight="1" x14ac:dyDescent="0.25">
      <c r="A126" s="928" t="s">
        <v>1308</v>
      </c>
      <c r="B126" s="400" t="s">
        <v>587</v>
      </c>
      <c r="C126" s="400" t="s">
        <v>587</v>
      </c>
      <c r="D126" s="400" t="s">
        <v>587</v>
      </c>
      <c r="E126" s="400" t="s">
        <v>587</v>
      </c>
      <c r="F126" s="400" t="s">
        <v>587</v>
      </c>
      <c r="G126" s="1928" t="s">
        <v>2016</v>
      </c>
    </row>
    <row r="127" spans="1:31" s="620" customFormat="1" x14ac:dyDescent="0.25">
      <c r="A127" s="635" t="s">
        <v>552</v>
      </c>
      <c r="B127" s="345" t="str">
        <f ca="1">IFERROR(IF(ABS(B125/B126-1)&gt;0.4,"Restrição",IF(ABS(B125/B126-1)&gt;0.2,"Não","Sim")),"NPA")</f>
        <v>NPA</v>
      </c>
      <c r="C127" s="345" t="str">
        <f ca="1">IFERROR(IF(ABS(C125/C126-1)&gt;0.4,"Restrição",IF(ABS(C125/C126-1)&gt;0.2,"Não","Sim")),"NPA")</f>
        <v>NPA</v>
      </c>
      <c r="D127" s="345" t="str">
        <f ca="1">IFERROR(IF(ABS(D125/D126-1)&gt;0.4,"Restrição",IF(ABS(D125/D126-1)&gt;0.2,"Não","Sim")),"NPA")</f>
        <v>NPA</v>
      </c>
      <c r="E127" s="345" t="str">
        <f ca="1">IFERROR(IF(ABS(E125/E126-1)&gt;0.4,"Restrição",IF(ABS(E125/E126-1)&gt;0.2,"Não","Sim")),"NPA")</f>
        <v>NPA</v>
      </c>
      <c r="F127" s="345" t="str">
        <f ca="1">IFERROR(IF(ABS(F125/F126-1)&gt;0.4,"Restrição",IF(ABS(F125/F126-1)&gt;0.2,"Não","Sim")),"NPA")</f>
        <v>NPA</v>
      </c>
    </row>
    <row r="128" spans="1:31" x14ac:dyDescent="0.25">
      <c r="A128" s="929"/>
      <c r="B128" s="460"/>
      <c r="C128" s="460"/>
      <c r="D128" s="460"/>
    </row>
    <row r="129" spans="1:22" x14ac:dyDescent="0.25">
      <c r="A129" s="929"/>
      <c r="B129" s="460"/>
      <c r="C129" s="460"/>
      <c r="D129" s="460"/>
    </row>
    <row r="131" spans="1:22" x14ac:dyDescent="0.25">
      <c r="A131" s="2886" t="s">
        <v>836</v>
      </c>
      <c r="B131" s="2886"/>
      <c r="C131" s="2886"/>
      <c r="D131" s="2886"/>
      <c r="E131" s="2886"/>
      <c r="F131" s="2886"/>
      <c r="G131" s="2886"/>
      <c r="H131" s="2886"/>
      <c r="I131" s="2886"/>
      <c r="J131" s="2886"/>
      <c r="K131" s="338"/>
      <c r="L131" s="338"/>
      <c r="M131" s="338"/>
      <c r="N131" s="338"/>
      <c r="O131" s="338"/>
      <c r="P131" s="338"/>
      <c r="Q131" s="338"/>
      <c r="R131" s="338"/>
      <c r="S131" s="338"/>
      <c r="T131" s="338"/>
    </row>
    <row r="132" spans="1:22" x14ac:dyDescent="0.25">
      <c r="A132" s="338" t="s">
        <v>848</v>
      </c>
      <c r="B132" s="338"/>
      <c r="C132" s="338"/>
      <c r="D132" s="338"/>
      <c r="E132" s="338"/>
      <c r="F132" s="338"/>
      <c r="G132" s="338"/>
      <c r="H132" s="338"/>
      <c r="I132" s="338"/>
      <c r="J132" s="338"/>
      <c r="K132" s="338"/>
      <c r="L132" s="338"/>
      <c r="M132" s="338"/>
      <c r="N132" s="338"/>
      <c r="O132" s="338"/>
      <c r="P132" s="338"/>
      <c r="Q132" s="338"/>
      <c r="R132" s="338"/>
      <c r="S132" s="338"/>
      <c r="T132" s="338"/>
    </row>
    <row r="133" spans="1:22" x14ac:dyDescent="0.25">
      <c r="D133" s="302"/>
      <c r="E133" s="340" t="s">
        <v>85</v>
      </c>
    </row>
    <row r="134" spans="1:22" x14ac:dyDescent="0.25">
      <c r="A134" s="302" t="s">
        <v>918</v>
      </c>
      <c r="B134" s="399">
        <v>2</v>
      </c>
      <c r="D134" s="341" t="s">
        <v>912</v>
      </c>
      <c r="E134" s="290"/>
      <c r="G134" s="291" t="s">
        <v>926</v>
      </c>
    </row>
    <row r="135" spans="1:22" x14ac:dyDescent="0.25">
      <c r="A135" s="302" t="s">
        <v>916</v>
      </c>
      <c r="B135" s="342">
        <f>VLOOKUP(B134,F174:G193,2)</f>
        <v>0.91</v>
      </c>
      <c r="D135" s="341" t="s">
        <v>913</v>
      </c>
      <c r="E135" s="290"/>
      <c r="G135" s="291" t="s">
        <v>929</v>
      </c>
    </row>
    <row r="136" spans="1:22" x14ac:dyDescent="0.25">
      <c r="A136" s="302" t="s">
        <v>917</v>
      </c>
      <c r="B136" s="342">
        <v>1.4</v>
      </c>
      <c r="D136" s="341" t="s">
        <v>914</v>
      </c>
      <c r="E136" s="290"/>
    </row>
    <row r="137" spans="1:22" x14ac:dyDescent="0.25">
      <c r="D137" s="341" t="s">
        <v>915</v>
      </c>
      <c r="E137" s="290"/>
    </row>
    <row r="138" spans="1:22" x14ac:dyDescent="0.25">
      <c r="D138" s="302"/>
      <c r="E138" s="297"/>
    </row>
    <row r="139" spans="1:22" x14ac:dyDescent="0.25">
      <c r="D139" s="341" t="s">
        <v>919</v>
      </c>
      <c r="E139" s="300">
        <f>AVERAGE((E134-E135),(E136-E137))</f>
        <v>0</v>
      </c>
    </row>
    <row r="140" spans="1:22" ht="14.45" customHeight="1" x14ac:dyDescent="0.25">
      <c r="A140" s="339"/>
      <c r="J140" s="2911" t="s">
        <v>1045</v>
      </c>
      <c r="K140" s="2911"/>
    </row>
    <row r="141" spans="1:22" x14ac:dyDescent="0.25">
      <c r="B141" s="343"/>
      <c r="C141" s="343"/>
      <c r="D141" s="343"/>
      <c r="E141" s="343"/>
      <c r="F141" s="343"/>
      <c r="G141" s="343"/>
      <c r="J141" s="2912"/>
      <c r="K141" s="2912"/>
    </row>
    <row r="142" spans="1:22" x14ac:dyDescent="0.25">
      <c r="A142" s="345" t="s">
        <v>1142</v>
      </c>
      <c r="B142" s="345" t="s">
        <v>0</v>
      </c>
      <c r="C142" s="345" t="s">
        <v>199</v>
      </c>
      <c r="D142" s="345" t="s">
        <v>726</v>
      </c>
      <c r="E142" s="344" t="s">
        <v>906</v>
      </c>
      <c r="F142" s="344" t="s">
        <v>905</v>
      </c>
      <c r="G142" s="345" t="s">
        <v>521</v>
      </c>
      <c r="H142" s="345" t="s">
        <v>897</v>
      </c>
      <c r="I142" s="345" t="s">
        <v>865</v>
      </c>
      <c r="J142" s="345" t="s">
        <v>1043</v>
      </c>
      <c r="K142" s="344" t="s">
        <v>1044</v>
      </c>
      <c r="L142" s="345" t="s">
        <v>866</v>
      </c>
      <c r="M142" s="344" t="s">
        <v>460</v>
      </c>
      <c r="N142" s="344" t="s">
        <v>928</v>
      </c>
      <c r="O142" s="345" t="s">
        <v>851</v>
      </c>
      <c r="P142" s="345" t="s">
        <v>852</v>
      </c>
      <c r="Q142" s="345" t="s">
        <v>908</v>
      </c>
      <c r="R142" s="345" t="s">
        <v>909</v>
      </c>
      <c r="S142" s="345" t="s">
        <v>910</v>
      </c>
      <c r="T142" s="345" t="s">
        <v>911</v>
      </c>
      <c r="U142" s="344" t="s">
        <v>924</v>
      </c>
      <c r="V142" s="345" t="s">
        <v>927</v>
      </c>
    </row>
    <row r="143" spans="1:22" x14ac:dyDescent="0.25">
      <c r="A143" s="401" t="s">
        <v>462</v>
      </c>
      <c r="B143" s="402"/>
      <c r="C143" s="402"/>
      <c r="D143" s="402" t="s">
        <v>142</v>
      </c>
      <c r="E143" s="402">
        <v>20</v>
      </c>
      <c r="F143" s="346">
        <f>VLOOKUP(E143,IN54_DGM[],2)</f>
        <v>2.1</v>
      </c>
      <c r="G143" s="577"/>
      <c r="H143" s="402" t="s">
        <v>849</v>
      </c>
      <c r="I143" s="402" t="s">
        <v>587</v>
      </c>
      <c r="J143" s="400"/>
      <c r="K143" s="575" t="e">
        <f ca="1">ROUND(IF(Cabeçalho!$G$28="Unfors",INDIRECT(ADDRESS(G143,17,1,1,"medidas Unfors"),1),INDIRECT(ADDRESS(G143,7,1,1,"medidas Fluke"),1)),2)</f>
        <v>#VALUE!</v>
      </c>
      <c r="L143" s="579" t="e">
        <f t="shared" ref="L143:L151" ca="1" si="6">ROUNDDOWN(O143*P143*N143,2)</f>
        <v>#N/A</v>
      </c>
      <c r="M143" s="347" t="e">
        <f ca="1">IF(L143&lt;VLOOKUP(E143,IN54_DGM[],4,FALSE),"Sim","Não")</f>
        <v>#N/A</v>
      </c>
      <c r="N143" s="578" t="e">
        <f ca="1">IF(Q143&gt;0,V143,IF(Cabeçalho!$G$28="Unfors",INDIRECT(ADDRESS(G143,3,1,1,"medidas Unfors"),1),INDIRECT(ADDRESS(G143,4,1,1,"medidas Fluke"),1)/1000))</f>
        <v>#VALUE!</v>
      </c>
      <c r="O143" s="348" t="e">
        <f>INDEX(GCxHVL[#All],MATCH(E143,GCxHVL[PMMA thickness (mm)],0)+1,MATCH(J143,GCxHVL[[#Headers],[0,3]:[60]])+3)</f>
        <v>#N/A</v>
      </c>
      <c r="P143" s="348">
        <f>IF(A143="W/Al",LOOKUP(#REF!,SparaWAl[PMMA thickness (mm)],SparaWAl[s factor]),LOOKUP(A143,SxFiltro[Target–filter combination],SxFiltro[s factor]))</f>
        <v>1</v>
      </c>
      <c r="Q143" s="400"/>
      <c r="R143" s="400"/>
      <c r="S143" s="400"/>
      <c r="T143" s="400"/>
      <c r="U143" s="349">
        <f t="shared" ref="U143:U151" si="7">AVERAGE((Q143-R143),(S143-T143))</f>
        <v>0</v>
      </c>
      <c r="V143" s="350">
        <f t="shared" ref="V143:V151" si="8">(U143-$E$139)*$B$135*(1/$B$136)*0.01/1.14</f>
        <v>0</v>
      </c>
    </row>
    <row r="144" spans="1:22" x14ac:dyDescent="0.25">
      <c r="A144" s="401" t="s">
        <v>462</v>
      </c>
      <c r="B144" s="402"/>
      <c r="C144" s="402"/>
      <c r="D144" s="402" t="s">
        <v>142</v>
      </c>
      <c r="E144" s="402">
        <v>45</v>
      </c>
      <c r="F144" s="346">
        <f>VLOOKUP(E144,IN54_DGM[],2)</f>
        <v>5.3</v>
      </c>
      <c r="G144" s="577"/>
      <c r="H144" s="402" t="s">
        <v>849</v>
      </c>
      <c r="I144" s="402" t="s">
        <v>587</v>
      </c>
      <c r="J144" s="400"/>
      <c r="K144" s="575" t="e">
        <f ca="1">ROUND(IF(Cabeçalho!$G$28="Unfors",INDIRECT(ADDRESS(G144,17,1,1,"medidas Unfors"),1),INDIRECT(ADDRESS(G144,7,1,1,"medidas Fluke"),1)),2)</f>
        <v>#VALUE!</v>
      </c>
      <c r="L144" s="579" t="e">
        <f t="shared" ca="1" si="6"/>
        <v>#N/A</v>
      </c>
      <c r="M144" s="347" t="e">
        <f ca="1">IF(L144&lt;VLOOKUP(E144,IN54_DGM[],4,FALSE),"Sim","Não")</f>
        <v>#N/A</v>
      </c>
      <c r="N144" s="578" t="e">
        <f ca="1">IF(Q144&gt;0,U144,IF(Cabeçalho!$G$28="Unfors",INDIRECT(ADDRESS(G144,3,1,1,"medidas Unfors"),1),INDIRECT(ADDRESS(G144,4,1,1,"medidas Fluke"),1)/1000))</f>
        <v>#VALUE!</v>
      </c>
      <c r="O144" s="348" t="e">
        <f>INDEX(GCxHVL[#All],MATCH(E144,GCxHVL[PMMA thickness (mm)],0)+1,MATCH(J144,GCxHVL[[#Headers],[0,3]:[60]])+3)</f>
        <v>#N/A</v>
      </c>
      <c r="P144" s="348">
        <f>IF(A144="W/Al",LOOKUP(E144,SparaWAl[PMMA thickness (mm)],SparaWAl[s factor]),LOOKUP(A144,SxFiltro[Target–filter combination],SxFiltro[s factor]))</f>
        <v>1</v>
      </c>
      <c r="Q144" s="400"/>
      <c r="R144" s="400"/>
      <c r="S144" s="400"/>
      <c r="T144" s="400"/>
      <c r="U144" s="349">
        <f t="shared" si="7"/>
        <v>0</v>
      </c>
      <c r="V144" s="350">
        <f t="shared" si="8"/>
        <v>0</v>
      </c>
    </row>
    <row r="145" spans="1:22" x14ac:dyDescent="0.25">
      <c r="A145" s="401" t="s">
        <v>462</v>
      </c>
      <c r="B145" s="402"/>
      <c r="C145" s="402"/>
      <c r="D145" s="402" t="s">
        <v>142</v>
      </c>
      <c r="E145" s="402">
        <v>60</v>
      </c>
      <c r="F145" s="346">
        <f>VLOOKUP(E145,IN54_DGM[],2)</f>
        <v>7.5</v>
      </c>
      <c r="G145" s="577"/>
      <c r="H145" s="402" t="s">
        <v>849</v>
      </c>
      <c r="I145" s="402" t="s">
        <v>587</v>
      </c>
      <c r="J145" s="400"/>
      <c r="K145" s="575" t="e">
        <f ca="1">ROUND(IF(Cabeçalho!$G$28="Unfors",INDIRECT(ADDRESS(G145,17,1,1,"medidas Unfors"),1),INDIRECT(ADDRESS(G145,7,1,1,"medidas Fluke"),1)),2)</f>
        <v>#VALUE!</v>
      </c>
      <c r="L145" s="579" t="e">
        <f t="shared" ca="1" si="6"/>
        <v>#N/A</v>
      </c>
      <c r="M145" s="347" t="e">
        <f ca="1">IF(L145&lt;VLOOKUP(E145,IN54_DGM[],4,FALSE),"Sim","Não")</f>
        <v>#N/A</v>
      </c>
      <c r="N145" s="578" t="e">
        <f ca="1">IF(Q145&gt;0,U145,IF(Cabeçalho!$G$28="Unfors",INDIRECT(ADDRESS(G145,3,1,1,"medidas Unfors"),1),INDIRECT(ADDRESS(G145,4,1,1,"medidas Fluke"),1)/1000))</f>
        <v>#VALUE!</v>
      </c>
      <c r="O145" s="348" t="e">
        <f>INDEX(GCxHVL[#All],MATCH(E145,GCxHVL[PMMA thickness (mm)],0)+1,MATCH(J145,GCxHVL[[#Headers],[0,3]:[60]])+3)</f>
        <v>#N/A</v>
      </c>
      <c r="P145" s="348">
        <f>IF(A145="W/Al",LOOKUP(E145,SparaWAl[PMMA thickness (mm)],SparaWAl[s factor]),LOOKUP(A145,SxFiltro[Target–filter combination],SxFiltro[s factor]))</f>
        <v>1</v>
      </c>
      <c r="Q145" s="400"/>
      <c r="R145" s="400"/>
      <c r="S145" s="400"/>
      <c r="T145" s="400"/>
      <c r="U145" s="349">
        <f t="shared" si="7"/>
        <v>0</v>
      </c>
      <c r="V145" s="350">
        <f t="shared" si="8"/>
        <v>0</v>
      </c>
    </row>
    <row r="146" spans="1:22" x14ac:dyDescent="0.25">
      <c r="A146" s="401" t="s">
        <v>462</v>
      </c>
      <c r="B146" s="402"/>
      <c r="C146" s="402"/>
      <c r="D146" s="402" t="s">
        <v>142</v>
      </c>
      <c r="E146" s="402">
        <v>20</v>
      </c>
      <c r="F146" s="346">
        <f>VLOOKUP(E146,IN54_DGM[],2)</f>
        <v>2.1</v>
      </c>
      <c r="G146" s="577"/>
      <c r="H146" s="402" t="s">
        <v>850</v>
      </c>
      <c r="I146" s="402" t="s">
        <v>587</v>
      </c>
      <c r="J146" s="400"/>
      <c r="K146" s="575" t="e">
        <f ca="1">ROUND(IF(Cabeçalho!$G$28="Unfors",INDIRECT(ADDRESS(G146,17,1,1,"medidas Unfors"),1),INDIRECT(ADDRESS(G146,7,1,1,"medidas Fluke"),1)),2)</f>
        <v>#VALUE!</v>
      </c>
      <c r="L146" s="579" t="e">
        <f t="shared" ca="1" si="6"/>
        <v>#N/A</v>
      </c>
      <c r="M146" s="347" t="e">
        <f ca="1">IF(L146&lt;VLOOKUP(E146,IN54_DGM[],4,FALSE),"Sim","Não")</f>
        <v>#N/A</v>
      </c>
      <c r="N146" s="578" t="e">
        <f ca="1">IF(Q146&gt;0,V146,IF(Cabeçalho!$G$28="Unfors",INDIRECT(ADDRESS(G146,3,1,1,"medidas Unfors"),1),INDIRECT(ADDRESS(G146,4,1,1,"medidas Fluke"),1)/1000))</f>
        <v>#VALUE!</v>
      </c>
      <c r="O146" s="348" t="e">
        <f>INDEX(GCxHVL[#All],MATCH(E146,GCxHVL[PMMA thickness (mm)],0)+1,MATCH(J146,GCxHVL[[#Headers],[0,3]:[60]])+3)</f>
        <v>#N/A</v>
      </c>
      <c r="P146" s="348">
        <f>IF(A146="W/Al",LOOKUP(#REF!,SparaWAl[PMMA thickness (mm)],SparaWAl[s factor]),LOOKUP(A146,SxFiltro[Target–filter combination],SxFiltro[s factor]))</f>
        <v>1</v>
      </c>
      <c r="Q146" s="400"/>
      <c r="R146" s="400"/>
      <c r="S146" s="400"/>
      <c r="T146" s="400"/>
      <c r="U146" s="349">
        <f t="shared" si="7"/>
        <v>0</v>
      </c>
      <c r="V146" s="350">
        <f t="shared" si="8"/>
        <v>0</v>
      </c>
    </row>
    <row r="147" spans="1:22" x14ac:dyDescent="0.25">
      <c r="A147" s="401" t="s">
        <v>462</v>
      </c>
      <c r="B147" s="402"/>
      <c r="C147" s="402"/>
      <c r="D147" s="402" t="s">
        <v>142</v>
      </c>
      <c r="E147" s="402">
        <v>45</v>
      </c>
      <c r="F147" s="346">
        <f>VLOOKUP(E147,IN54_DGM[],2)</f>
        <v>5.3</v>
      </c>
      <c r="G147" s="577"/>
      <c r="H147" s="402" t="s">
        <v>850</v>
      </c>
      <c r="I147" s="402" t="s">
        <v>587</v>
      </c>
      <c r="J147" s="400"/>
      <c r="K147" s="575" t="e">
        <f ca="1">ROUND(IF(Cabeçalho!$G$28="Unfors",INDIRECT(ADDRESS(G147,17,1,1,"medidas Unfors"),1),INDIRECT(ADDRESS(G147,7,1,1,"medidas Fluke"),1)),2)</f>
        <v>#VALUE!</v>
      </c>
      <c r="L147" s="579" t="e">
        <f t="shared" ca="1" si="6"/>
        <v>#N/A</v>
      </c>
      <c r="M147" s="347" t="e">
        <f ca="1">IF(L147&lt;VLOOKUP(E147,IN54_DGM[],4,FALSE),"Sim","Não")</f>
        <v>#N/A</v>
      </c>
      <c r="N147" s="578" t="e">
        <f ca="1">IF(Q147&gt;0,U147,IF(Cabeçalho!$G$28="Unfors",INDIRECT(ADDRESS(G147,3,1,1,"medidas Unfors"),1),INDIRECT(ADDRESS(G147,4,1,1,"medidas Fluke"),1)/1000))</f>
        <v>#VALUE!</v>
      </c>
      <c r="O147" s="348" t="e">
        <f>INDEX(GCxHVL[#All],MATCH(E147,GCxHVL[PMMA thickness (mm)],0)+1,MATCH(J147,GCxHVL[[#Headers],[0,3]:[60]])+3)</f>
        <v>#N/A</v>
      </c>
      <c r="P147" s="348">
        <f>IF(A147="W/Al",LOOKUP(E147,SparaWAl[PMMA thickness (mm)],SparaWAl[s factor]),LOOKUP(A147,SxFiltro[Target–filter combination],SxFiltro[s factor]))</f>
        <v>1</v>
      </c>
      <c r="Q147" s="400"/>
      <c r="R147" s="400"/>
      <c r="S147" s="400"/>
      <c r="T147" s="400"/>
      <c r="U147" s="349">
        <f t="shared" si="7"/>
        <v>0</v>
      </c>
      <c r="V147" s="350">
        <f t="shared" si="8"/>
        <v>0</v>
      </c>
    </row>
    <row r="148" spans="1:22" x14ac:dyDescent="0.25">
      <c r="A148" s="401" t="s">
        <v>462</v>
      </c>
      <c r="B148" s="402"/>
      <c r="C148" s="402"/>
      <c r="D148" s="402" t="s">
        <v>142</v>
      </c>
      <c r="E148" s="402">
        <v>60</v>
      </c>
      <c r="F148" s="346">
        <f>VLOOKUP(E148,IN54_DGM[],2)</f>
        <v>7.5</v>
      </c>
      <c r="G148" s="577"/>
      <c r="H148" s="402" t="s">
        <v>850</v>
      </c>
      <c r="I148" s="402" t="s">
        <v>587</v>
      </c>
      <c r="J148" s="400"/>
      <c r="K148" s="575" t="e">
        <f ca="1">ROUND(IF(Cabeçalho!$G$28="Unfors",INDIRECT(ADDRESS(G148,17,1,1,"medidas Unfors"),1),INDIRECT(ADDRESS(G148,7,1,1,"medidas Fluke"),1)),2)</f>
        <v>#VALUE!</v>
      </c>
      <c r="L148" s="579" t="e">
        <f t="shared" ca="1" si="6"/>
        <v>#N/A</v>
      </c>
      <c r="M148" s="347" t="e">
        <f ca="1">IF(L148&lt;VLOOKUP(E148,IN54_DGM[],4,FALSE),"Sim","Não")</f>
        <v>#N/A</v>
      </c>
      <c r="N148" s="578" t="e">
        <f ca="1">IF(Q148&gt;0,U148,IF(Cabeçalho!$G$28="Unfors",INDIRECT(ADDRESS(G148,3,1,1,"medidas Unfors"),1),INDIRECT(ADDRESS(G148,4,1,1,"medidas Fluke"),1)/1000))</f>
        <v>#VALUE!</v>
      </c>
      <c r="O148" s="348" t="e">
        <f>INDEX(GCxHVL[#All],MATCH(E148,GCxHVL[PMMA thickness (mm)],0)+1,MATCH(J148,GCxHVL[[#Headers],[0,3]:[60]])+3)</f>
        <v>#N/A</v>
      </c>
      <c r="P148" s="348">
        <f>IF(A148="W/Al",LOOKUP(E148,SparaWAl[PMMA thickness (mm)],SparaWAl[s factor]),LOOKUP(A148,SxFiltro[Target–filter combination],SxFiltro[s factor]))</f>
        <v>1</v>
      </c>
      <c r="Q148" s="400"/>
      <c r="R148" s="400"/>
      <c r="S148" s="400"/>
      <c r="T148" s="400"/>
      <c r="U148" s="349">
        <f t="shared" si="7"/>
        <v>0</v>
      </c>
      <c r="V148" s="350">
        <f t="shared" si="8"/>
        <v>0</v>
      </c>
    </row>
    <row r="149" spans="1:22" x14ac:dyDescent="0.25">
      <c r="A149" s="401" t="s">
        <v>462</v>
      </c>
      <c r="B149" s="402"/>
      <c r="C149" s="402"/>
      <c r="D149" s="402" t="s">
        <v>142</v>
      </c>
      <c r="E149" s="402">
        <v>20</v>
      </c>
      <c r="F149" s="346">
        <f>VLOOKUP(E149,IN54_DGM[],2)</f>
        <v>2.1</v>
      </c>
      <c r="G149" s="577"/>
      <c r="H149" s="402" t="s">
        <v>751</v>
      </c>
      <c r="I149" s="402" t="s">
        <v>587</v>
      </c>
      <c r="J149" s="400"/>
      <c r="K149" s="575" t="e">
        <f ca="1">ROUND(IF(Cabeçalho!$G$28="Unfors",INDIRECT(ADDRESS(G149,17,1,1,"medidas Unfors"),1),INDIRECT(ADDRESS(G149,7,1,1,"medidas Fluke"),1)),2)</f>
        <v>#VALUE!</v>
      </c>
      <c r="L149" s="579" t="e">
        <f t="shared" ca="1" si="6"/>
        <v>#N/A</v>
      </c>
      <c r="M149" s="347" t="e">
        <f ca="1">IF(L149&lt;VLOOKUP(E149,IN54_DGM[],4,FALSE),"Sim","Não")</f>
        <v>#N/A</v>
      </c>
      <c r="N149" s="578" t="e">
        <f ca="1">IF(Q149&gt;0,V149,IF(Cabeçalho!$G$28="Unfors",INDIRECT(ADDRESS(G149,3,1,1,"medidas Unfors"),1),INDIRECT(ADDRESS(G149,4,1,1,"medidas Fluke"),1)/1000))</f>
        <v>#VALUE!</v>
      </c>
      <c r="O149" s="348" t="e">
        <f>INDEX(GCxHVL[#All],MATCH(E149,GCxHVL[PMMA thickness (mm)],0)+1,MATCH(J149,GCxHVL[[#Headers],[0,3]:[60]])+3)</f>
        <v>#N/A</v>
      </c>
      <c r="P149" s="348">
        <f>IF(A149="W/Al",LOOKUP(#REF!,SparaWAl[PMMA thickness (mm)],SparaWAl[s factor]),LOOKUP(A149,SxFiltro[Target–filter combination],SxFiltro[s factor]))</f>
        <v>1</v>
      </c>
      <c r="Q149" s="400"/>
      <c r="R149" s="400"/>
      <c r="S149" s="400"/>
      <c r="T149" s="400"/>
      <c r="U149" s="349">
        <f t="shared" si="7"/>
        <v>0</v>
      </c>
      <c r="V149" s="350">
        <f t="shared" si="8"/>
        <v>0</v>
      </c>
    </row>
    <row r="150" spans="1:22" x14ac:dyDescent="0.25">
      <c r="A150" s="401" t="s">
        <v>462</v>
      </c>
      <c r="B150" s="402"/>
      <c r="C150" s="402"/>
      <c r="D150" s="402" t="s">
        <v>142</v>
      </c>
      <c r="E150" s="402">
        <v>45</v>
      </c>
      <c r="F150" s="346">
        <f>VLOOKUP(E150,IN54_DGM[],2)</f>
        <v>5.3</v>
      </c>
      <c r="G150" s="577"/>
      <c r="H150" s="402" t="s">
        <v>751</v>
      </c>
      <c r="I150" s="402" t="s">
        <v>587</v>
      </c>
      <c r="J150" s="400"/>
      <c r="K150" s="575" t="e">
        <f ca="1">ROUND(IF(Cabeçalho!$G$28="Unfors",INDIRECT(ADDRESS(G150,17,1,1,"medidas Unfors"),1),INDIRECT(ADDRESS(G150,7,1,1,"medidas Fluke"),1)),2)</f>
        <v>#VALUE!</v>
      </c>
      <c r="L150" s="579" t="e">
        <f t="shared" ca="1" si="6"/>
        <v>#N/A</v>
      </c>
      <c r="M150" s="347" t="e">
        <f ca="1">IF(L150&lt;VLOOKUP(E150,IN54_DGM[],4,FALSE),"Sim","Não")</f>
        <v>#N/A</v>
      </c>
      <c r="N150" s="578" t="e">
        <f ca="1">IF(Q150&gt;0,U150,IF(Cabeçalho!$G$28="Unfors",INDIRECT(ADDRESS(G150,3,1,1,"medidas Unfors"),1),INDIRECT(ADDRESS(G150,4,1,1,"medidas Fluke"),1)/1000))</f>
        <v>#VALUE!</v>
      </c>
      <c r="O150" s="348" t="e">
        <f>INDEX(GCxHVL[#All],MATCH(E150,GCxHVL[PMMA thickness (mm)],0)+1,MATCH(J150,GCxHVL[[#Headers],[0,3]:[60]])+3)</f>
        <v>#N/A</v>
      </c>
      <c r="P150" s="348">
        <f>IF(A150="W/Al",LOOKUP(E150,SparaWAl[PMMA thickness (mm)],SparaWAl[s factor]),LOOKUP(A150,SxFiltro[Target–filter combination],SxFiltro[s factor]))</f>
        <v>1</v>
      </c>
      <c r="Q150" s="400"/>
      <c r="R150" s="400"/>
      <c r="S150" s="400"/>
      <c r="T150" s="400"/>
      <c r="U150" s="349">
        <f t="shared" si="7"/>
        <v>0</v>
      </c>
      <c r="V150" s="350">
        <f t="shared" si="8"/>
        <v>0</v>
      </c>
    </row>
    <row r="151" spans="1:22" x14ac:dyDescent="0.25">
      <c r="A151" s="401" t="s">
        <v>462</v>
      </c>
      <c r="B151" s="402"/>
      <c r="C151" s="402"/>
      <c r="D151" s="402" t="s">
        <v>142</v>
      </c>
      <c r="E151" s="402">
        <v>60</v>
      </c>
      <c r="F151" s="346">
        <f>VLOOKUP(E151,IN54_DGM[],2)</f>
        <v>7.5</v>
      </c>
      <c r="G151" s="577"/>
      <c r="H151" s="402" t="s">
        <v>751</v>
      </c>
      <c r="I151" s="402" t="s">
        <v>587</v>
      </c>
      <c r="J151" s="400"/>
      <c r="K151" s="575" t="e">
        <f ca="1">ROUND(IF(Cabeçalho!$G$28="Unfors",INDIRECT(ADDRESS(G151,17,1,1,"medidas Unfors"),1),INDIRECT(ADDRESS(G151,7,1,1,"medidas Fluke"),1)),2)</f>
        <v>#VALUE!</v>
      </c>
      <c r="L151" s="579" t="e">
        <f t="shared" ca="1" si="6"/>
        <v>#N/A</v>
      </c>
      <c r="M151" s="347" t="e">
        <f ca="1">IF(L151&lt;VLOOKUP(E151,IN54_DGM[],4,FALSE),"Sim","Não")</f>
        <v>#N/A</v>
      </c>
      <c r="N151" s="578" t="e">
        <f ca="1">IF(Q151&gt;0,U151,IF(Cabeçalho!$G$28="Unfors",INDIRECT(ADDRESS(G151,3,1,1,"medidas Unfors"),1),INDIRECT(ADDRESS(G151,4,1,1,"medidas Fluke"),1)/1000))</f>
        <v>#VALUE!</v>
      </c>
      <c r="O151" s="348" t="e">
        <f>INDEX(GCxHVL[#All],MATCH(E151,GCxHVL[PMMA thickness (mm)],0)+1,MATCH(J151,GCxHVL[[#Headers],[0,3]:[60]])+3)</f>
        <v>#N/A</v>
      </c>
      <c r="P151" s="348">
        <f>IF(A151="W/Al",LOOKUP(E151,SparaWAl[PMMA thickness (mm)],SparaWAl[s factor]),LOOKUP(A151,SxFiltro[Target–filter combination],SxFiltro[s factor]))</f>
        <v>1</v>
      </c>
      <c r="Q151" s="400"/>
      <c r="R151" s="400"/>
      <c r="S151" s="400"/>
      <c r="T151" s="400"/>
      <c r="U151" s="349">
        <f t="shared" si="7"/>
        <v>0</v>
      </c>
      <c r="V151" s="350">
        <f t="shared" si="8"/>
        <v>0</v>
      </c>
    </row>
    <row r="152" spans="1:22" x14ac:dyDescent="0.25">
      <c r="B152" s="339"/>
      <c r="C152" s="339"/>
      <c r="D152" s="339"/>
      <c r="E152" s="339"/>
      <c r="F152" s="339"/>
      <c r="G152" s="339"/>
      <c r="H152" s="339"/>
      <c r="I152" s="339"/>
      <c r="J152" s="339"/>
      <c r="K152" s="339"/>
      <c r="L152" s="339"/>
      <c r="M152" s="339"/>
      <c r="N152" s="339"/>
      <c r="O152" s="339"/>
      <c r="P152" s="339"/>
      <c r="Q152" s="339"/>
      <c r="R152" s="339"/>
      <c r="S152" s="339"/>
    </row>
    <row r="153" spans="1:22" x14ac:dyDescent="0.25">
      <c r="B153" s="339"/>
      <c r="C153" s="339"/>
      <c r="D153" s="339"/>
      <c r="E153" s="339"/>
      <c r="F153" s="339"/>
      <c r="G153" s="339"/>
      <c r="H153" s="339"/>
      <c r="I153" s="339"/>
      <c r="J153" s="339"/>
      <c r="K153" s="339"/>
      <c r="L153" s="339"/>
      <c r="M153" s="339"/>
      <c r="N153" s="339"/>
      <c r="O153" s="339"/>
      <c r="P153" s="339"/>
      <c r="Q153" s="339"/>
      <c r="R153" s="339"/>
      <c r="S153" s="339"/>
    </row>
    <row r="154" spans="1:22" x14ac:dyDescent="0.25">
      <c r="A154" s="2886" t="s">
        <v>1163</v>
      </c>
      <c r="B154" s="2886"/>
      <c r="C154" s="2886"/>
      <c r="D154" s="2886"/>
      <c r="E154" s="2886"/>
      <c r="F154" s="2886"/>
      <c r="G154" s="2886"/>
      <c r="H154" s="2886"/>
      <c r="I154" s="2886"/>
      <c r="J154" s="2886"/>
      <c r="K154" s="2886"/>
      <c r="L154" s="2886"/>
      <c r="M154" s="2886"/>
      <c r="N154" s="2886"/>
      <c r="O154" s="339"/>
      <c r="P154" s="339"/>
      <c r="Q154" s="339"/>
      <c r="R154" s="339"/>
      <c r="S154" s="339"/>
    </row>
    <row r="155" spans="1:22" x14ac:dyDescent="0.25">
      <c r="A155" s="351"/>
      <c r="B155" s="339"/>
      <c r="C155" s="339"/>
      <c r="D155" s="339"/>
      <c r="E155" s="339"/>
      <c r="F155" s="339"/>
      <c r="G155" s="339"/>
      <c r="H155" s="339"/>
      <c r="I155" s="339"/>
      <c r="J155" s="339"/>
      <c r="K155" s="339"/>
      <c r="L155" s="339"/>
      <c r="M155" s="339"/>
      <c r="N155" s="339"/>
      <c r="O155" s="339"/>
      <c r="P155" s="339"/>
      <c r="Q155" s="339"/>
      <c r="R155" s="339"/>
      <c r="S155" s="339"/>
    </row>
    <row r="156" spans="1:22" x14ac:dyDescent="0.25">
      <c r="A156" s="351"/>
      <c r="B156" s="351"/>
      <c r="C156" s="351"/>
      <c r="D156" s="351"/>
      <c r="E156" s="351"/>
      <c r="F156" s="351"/>
      <c r="G156" s="351"/>
      <c r="H156" s="351"/>
      <c r="I156" s="351"/>
      <c r="J156" s="351"/>
      <c r="K156" s="351"/>
      <c r="L156" s="351"/>
    </row>
    <row r="157" spans="1:22" x14ac:dyDescent="0.25">
      <c r="A157" s="351"/>
      <c r="B157" s="351"/>
      <c r="C157" s="351"/>
      <c r="D157" s="351"/>
      <c r="E157" s="351"/>
      <c r="F157" s="351"/>
      <c r="G157" s="351"/>
      <c r="H157" s="351"/>
      <c r="I157" s="351"/>
      <c r="J157" s="351"/>
      <c r="K157" s="351"/>
      <c r="L157" s="351"/>
    </row>
    <row r="158" spans="1:22" x14ac:dyDescent="0.25">
      <c r="A158" s="351"/>
      <c r="B158" s="351"/>
      <c r="C158" s="351"/>
      <c r="D158" s="351"/>
      <c r="E158" s="351"/>
      <c r="F158" s="351"/>
      <c r="G158" s="351"/>
      <c r="H158" s="351"/>
      <c r="I158" s="351"/>
      <c r="J158" s="351"/>
      <c r="K158" s="351"/>
      <c r="L158" s="351"/>
    </row>
    <row r="159" spans="1:22" ht="15" customHeight="1" x14ac:dyDescent="0.25">
      <c r="A159" s="2913" t="s">
        <v>867</v>
      </c>
      <c r="B159" s="2914"/>
      <c r="C159" s="2914"/>
      <c r="D159" s="2914"/>
      <c r="E159" s="2914"/>
      <c r="F159" s="2914"/>
      <c r="G159" s="2914"/>
      <c r="H159" s="2914"/>
      <c r="I159" s="2914"/>
      <c r="J159" s="2914"/>
      <c r="K159" s="351"/>
      <c r="L159" s="351"/>
    </row>
    <row r="160" spans="1:22" ht="18.75" x14ac:dyDescent="0.25">
      <c r="A160" s="351"/>
      <c r="B160" s="351"/>
      <c r="C160" s="352" t="s">
        <v>920</v>
      </c>
      <c r="D160" s="2915" t="s">
        <v>868</v>
      </c>
      <c r="E160" s="2916"/>
      <c r="F160" s="2916"/>
      <c r="G160" s="2916"/>
      <c r="H160" s="2916"/>
      <c r="I160" s="2916"/>
      <c r="J160" s="2916"/>
      <c r="K160" s="351"/>
      <c r="L160" s="351"/>
    </row>
    <row r="161" spans="1:12" ht="60" x14ac:dyDescent="0.25">
      <c r="A161" s="353" t="s">
        <v>869</v>
      </c>
      <c r="B161" s="354" t="s">
        <v>870</v>
      </c>
      <c r="C161" s="355" t="s">
        <v>871</v>
      </c>
      <c r="D161" s="356" t="s">
        <v>872</v>
      </c>
      <c r="E161" s="356" t="s">
        <v>873</v>
      </c>
      <c r="F161" s="356" t="s">
        <v>874</v>
      </c>
      <c r="G161" s="356" t="s">
        <v>875</v>
      </c>
      <c r="H161" s="356" t="s">
        <v>876</v>
      </c>
      <c r="I161" s="357" t="s">
        <v>877</v>
      </c>
      <c r="J161" s="823" t="s">
        <v>1162</v>
      </c>
      <c r="K161" s="351"/>
      <c r="L161" s="351"/>
    </row>
    <row r="162" spans="1:12" x14ac:dyDescent="0.25">
      <c r="A162" s="358">
        <v>20</v>
      </c>
      <c r="B162" s="359">
        <v>21</v>
      </c>
      <c r="C162" s="359">
        <v>97</v>
      </c>
      <c r="D162" s="359">
        <v>0.33600000000000002</v>
      </c>
      <c r="E162" s="359">
        <v>0.377</v>
      </c>
      <c r="F162" s="359">
        <v>0.41499999999999998</v>
      </c>
      <c r="G162" s="359">
        <v>0.45</v>
      </c>
      <c r="H162" s="359">
        <v>0.48199999999999998</v>
      </c>
      <c r="I162" s="360">
        <v>0.51300000000000001</v>
      </c>
      <c r="J162" s="822">
        <v>0.53900000000000003</v>
      </c>
      <c r="K162" s="351"/>
      <c r="L162" s="351"/>
    </row>
    <row r="163" spans="1:12" x14ac:dyDescent="0.25">
      <c r="A163" s="358">
        <v>30</v>
      </c>
      <c r="B163" s="359">
        <v>32</v>
      </c>
      <c r="C163" s="359">
        <v>67</v>
      </c>
      <c r="D163" s="359">
        <v>0.245</v>
      </c>
      <c r="E163" s="359">
        <v>0.27700000000000002</v>
      </c>
      <c r="F163" s="359">
        <v>0.308</v>
      </c>
      <c r="G163" s="359">
        <v>0.33800000000000002</v>
      </c>
      <c r="H163" s="359">
        <v>0.36799999999999999</v>
      </c>
      <c r="I163" s="360">
        <v>0.39900000000000002</v>
      </c>
      <c r="J163" s="359">
        <v>0.42699999999999999</v>
      </c>
      <c r="K163" s="351"/>
      <c r="L163" s="351"/>
    </row>
    <row r="164" spans="1:12" x14ac:dyDescent="0.25">
      <c r="A164" s="358">
        <v>40</v>
      </c>
      <c r="B164" s="359">
        <v>45</v>
      </c>
      <c r="C164" s="359">
        <v>41</v>
      </c>
      <c r="D164" s="359">
        <v>0.191</v>
      </c>
      <c r="E164" s="359">
        <v>0.217</v>
      </c>
      <c r="F164" s="359">
        <v>0.24099999999999999</v>
      </c>
      <c r="G164" s="359">
        <v>0.26800000000000002</v>
      </c>
      <c r="H164" s="359">
        <v>0.29599999999999999</v>
      </c>
      <c r="I164" s="360">
        <v>0.32200000000000001</v>
      </c>
      <c r="J164" s="359">
        <v>0.35099999999999998</v>
      </c>
      <c r="K164" s="351"/>
      <c r="L164" s="351"/>
    </row>
    <row r="165" spans="1:12" x14ac:dyDescent="0.25">
      <c r="A165" s="358">
        <v>45</v>
      </c>
      <c r="B165" s="359">
        <v>53</v>
      </c>
      <c r="C165" s="359">
        <v>29</v>
      </c>
      <c r="D165" s="359">
        <v>0.17199999999999999</v>
      </c>
      <c r="E165" s="359">
        <v>0.19600000000000001</v>
      </c>
      <c r="F165" s="359">
        <v>0.218</v>
      </c>
      <c r="G165" s="359">
        <v>0.24199999999999999</v>
      </c>
      <c r="H165" s="359">
        <v>0.26900000000000002</v>
      </c>
      <c r="I165" s="360">
        <v>0.29699999999999999</v>
      </c>
      <c r="J165" s="359">
        <v>0.32100000000000001</v>
      </c>
      <c r="K165" s="351"/>
      <c r="L165" s="351"/>
    </row>
    <row r="166" spans="1:12" x14ac:dyDescent="0.25">
      <c r="A166" s="358">
        <v>50</v>
      </c>
      <c r="B166" s="359">
        <v>60</v>
      </c>
      <c r="C166" s="359">
        <v>20</v>
      </c>
      <c r="D166" s="359">
        <v>0.157</v>
      </c>
      <c r="E166" s="359">
        <v>0.17899999999999999</v>
      </c>
      <c r="F166" s="359">
        <v>0.19800000000000001</v>
      </c>
      <c r="G166" s="359">
        <v>0.221</v>
      </c>
      <c r="H166" s="359">
        <v>0.245</v>
      </c>
      <c r="I166" s="360">
        <v>0.26900000000000002</v>
      </c>
      <c r="J166" s="359">
        <v>0.29599999999999999</v>
      </c>
      <c r="K166" s="351"/>
      <c r="L166" s="351"/>
    </row>
    <row r="167" spans="1:12" x14ac:dyDescent="0.25">
      <c r="A167" s="358">
        <v>60</v>
      </c>
      <c r="B167" s="359">
        <v>75</v>
      </c>
      <c r="C167" s="359">
        <v>9</v>
      </c>
      <c r="D167" s="359">
        <v>0.13300000000000001</v>
      </c>
      <c r="E167" s="359">
        <v>0.151</v>
      </c>
      <c r="F167" s="359">
        <v>0.16800000000000001</v>
      </c>
      <c r="G167" s="359">
        <v>0.187</v>
      </c>
      <c r="H167" s="359">
        <v>0.20300000000000001</v>
      </c>
      <c r="I167" s="360">
        <v>0.23</v>
      </c>
      <c r="J167" s="359">
        <v>0.253</v>
      </c>
      <c r="K167" s="351"/>
      <c r="L167" s="351"/>
    </row>
    <row r="168" spans="1:12" x14ac:dyDescent="0.25">
      <c r="A168" s="358">
        <v>70</v>
      </c>
      <c r="B168" s="359">
        <v>90</v>
      </c>
      <c r="C168" s="359">
        <v>4</v>
      </c>
      <c r="D168" s="359">
        <v>0.112</v>
      </c>
      <c r="E168" s="359">
        <v>0.127</v>
      </c>
      <c r="F168" s="359">
        <v>0.14199999999999999</v>
      </c>
      <c r="G168" s="359">
        <v>0.157</v>
      </c>
      <c r="H168" s="359">
        <v>0.17299999999999999</v>
      </c>
      <c r="I168" s="360">
        <v>0.19400000000000001</v>
      </c>
      <c r="J168" s="359">
        <v>0.215</v>
      </c>
      <c r="K168" s="351"/>
      <c r="L168" s="351"/>
    </row>
    <row r="169" spans="1:12" x14ac:dyDescent="0.25">
      <c r="A169" s="361">
        <v>80</v>
      </c>
      <c r="B169" s="362">
        <v>103</v>
      </c>
      <c r="C169" s="362">
        <v>3</v>
      </c>
      <c r="D169" s="362">
        <v>9.7000000000000003E-2</v>
      </c>
      <c r="E169" s="362">
        <v>0.11</v>
      </c>
      <c r="F169" s="362">
        <v>0.124</v>
      </c>
      <c r="G169" s="362">
        <v>0.13600000000000001</v>
      </c>
      <c r="H169" s="362">
        <v>0.15</v>
      </c>
      <c r="I169" s="363">
        <v>0.16900000000000001</v>
      </c>
      <c r="J169" s="362">
        <v>0.188</v>
      </c>
      <c r="K169" s="351"/>
      <c r="L169" s="351"/>
    </row>
    <row r="170" spans="1:12" x14ac:dyDescent="0.25">
      <c r="A170" s="351"/>
      <c r="B170" s="351"/>
      <c r="C170" s="351"/>
      <c r="D170" s="351"/>
      <c r="E170" s="351"/>
      <c r="F170" s="351"/>
      <c r="G170" s="351"/>
      <c r="H170" s="351"/>
      <c r="I170" s="351"/>
      <c r="J170" s="351"/>
      <c r="K170" s="351"/>
      <c r="L170" s="351"/>
    </row>
    <row r="171" spans="1:12" x14ac:dyDescent="0.25">
      <c r="A171" s="351"/>
      <c r="B171" s="351"/>
      <c r="C171" s="351"/>
      <c r="D171" s="351"/>
      <c r="E171" s="351"/>
      <c r="F171" s="351"/>
      <c r="G171" s="351"/>
      <c r="H171" s="351"/>
      <c r="I171" s="351"/>
      <c r="J171" s="351"/>
      <c r="K171" s="351"/>
      <c r="L171" s="351"/>
    </row>
    <row r="172" spans="1:12" x14ac:dyDescent="0.25">
      <c r="A172" s="351"/>
      <c r="B172" s="351"/>
      <c r="C172" s="351"/>
      <c r="D172" s="351"/>
      <c r="E172" s="351"/>
      <c r="F172" s="351"/>
      <c r="G172" s="351"/>
      <c r="H172" s="351"/>
      <c r="I172" s="351"/>
      <c r="J172" s="351"/>
      <c r="K172" s="351"/>
      <c r="L172" s="351"/>
    </row>
    <row r="173" spans="1:12" x14ac:dyDescent="0.25">
      <c r="A173" s="2904" t="s">
        <v>921</v>
      </c>
      <c r="B173" s="2904"/>
      <c r="C173" s="2904"/>
      <c r="D173" s="364"/>
      <c r="E173" s="351"/>
      <c r="F173" s="365" t="s">
        <v>853</v>
      </c>
      <c r="G173" s="365" t="s">
        <v>854</v>
      </c>
      <c r="H173" s="351"/>
      <c r="I173" s="2884" t="s">
        <v>91</v>
      </c>
      <c r="J173" s="2885"/>
      <c r="K173" s="351"/>
      <c r="L173" s="351"/>
    </row>
    <row r="174" spans="1:12" ht="30" x14ac:dyDescent="0.25">
      <c r="A174" s="366" t="s">
        <v>878</v>
      </c>
      <c r="B174" s="367" t="s">
        <v>879</v>
      </c>
      <c r="C174" s="368" t="s">
        <v>880</v>
      </c>
      <c r="D174" s="351"/>
      <c r="E174" s="351"/>
      <c r="F174" s="369">
        <v>1</v>
      </c>
      <c r="G174" s="370">
        <v>1</v>
      </c>
      <c r="H174" s="351"/>
      <c r="I174" s="371" t="s">
        <v>92</v>
      </c>
      <c r="J174" s="372">
        <v>1.4</v>
      </c>
      <c r="K174" s="351"/>
      <c r="L174" s="351"/>
    </row>
    <row r="175" spans="1:12" x14ac:dyDescent="0.25">
      <c r="A175" s="358" t="s">
        <v>462</v>
      </c>
      <c r="B175" s="359">
        <v>30</v>
      </c>
      <c r="C175" s="373">
        <v>1</v>
      </c>
      <c r="D175" s="351"/>
      <c r="E175" s="351"/>
      <c r="F175" s="369">
        <v>2</v>
      </c>
      <c r="G175" s="370">
        <v>0.91</v>
      </c>
      <c r="H175" s="351"/>
      <c r="I175" s="371" t="s">
        <v>93</v>
      </c>
      <c r="J175" s="372">
        <v>1.3</v>
      </c>
      <c r="K175" s="351"/>
      <c r="L175" s="351"/>
    </row>
    <row r="176" spans="1:12" x14ac:dyDescent="0.25">
      <c r="A176" s="358" t="s">
        <v>465</v>
      </c>
      <c r="B176" s="359">
        <v>25</v>
      </c>
      <c r="C176" s="373">
        <v>1.0169999999999999</v>
      </c>
      <c r="D176" s="351"/>
      <c r="E176" s="351"/>
      <c r="F176" s="369">
        <v>3</v>
      </c>
      <c r="G176" s="370">
        <v>0.83</v>
      </c>
      <c r="H176" s="351"/>
      <c r="I176" s="371" t="s">
        <v>94</v>
      </c>
      <c r="J176" s="372">
        <v>1.2</v>
      </c>
      <c r="K176" s="351"/>
      <c r="L176" s="351"/>
    </row>
    <row r="177" spans="1:12" x14ac:dyDescent="0.25">
      <c r="A177" s="358" t="s">
        <v>466</v>
      </c>
      <c r="B177" s="374">
        <v>25</v>
      </c>
      <c r="C177" s="360">
        <v>1.0609999999999999</v>
      </c>
      <c r="D177" s="351"/>
      <c r="E177" s="351"/>
      <c r="F177" s="369">
        <v>4</v>
      </c>
      <c r="G177" s="370">
        <v>0.76</v>
      </c>
      <c r="H177" s="351"/>
      <c r="I177" s="375" t="s">
        <v>95</v>
      </c>
      <c r="J177" s="376">
        <v>1</v>
      </c>
      <c r="K177" s="351"/>
      <c r="L177" s="351"/>
    </row>
    <row r="178" spans="1:12" x14ac:dyDescent="0.25">
      <c r="A178" s="358" t="s">
        <v>468</v>
      </c>
      <c r="B178" s="359" t="s">
        <v>881</v>
      </c>
      <c r="C178" s="377">
        <v>1.042</v>
      </c>
      <c r="D178" s="351"/>
      <c r="E178" s="351"/>
      <c r="F178" s="369">
        <v>5</v>
      </c>
      <c r="G178" s="370">
        <v>0.69</v>
      </c>
      <c r="H178" s="351"/>
      <c r="I178" s="351"/>
      <c r="J178" s="351"/>
      <c r="K178" s="351"/>
      <c r="L178" s="351"/>
    </row>
    <row r="179" spans="1:12" x14ac:dyDescent="0.25">
      <c r="A179" s="361" t="s">
        <v>467</v>
      </c>
      <c r="B179" s="362" t="s">
        <v>922</v>
      </c>
      <c r="C179" s="360">
        <v>1.042</v>
      </c>
      <c r="D179" s="351"/>
      <c r="E179" s="351"/>
      <c r="F179" s="369">
        <v>6</v>
      </c>
      <c r="G179" s="370">
        <v>0.63</v>
      </c>
      <c r="H179" s="351"/>
      <c r="I179" s="351"/>
      <c r="J179" s="351"/>
      <c r="K179" s="351"/>
      <c r="L179" s="351"/>
    </row>
    <row r="180" spans="1:12" x14ac:dyDescent="0.25">
      <c r="A180" s="378"/>
      <c r="B180" s="378"/>
      <c r="C180" s="379"/>
      <c r="D180" s="351"/>
      <c r="E180" s="351"/>
      <c r="F180" s="369">
        <v>7</v>
      </c>
      <c r="G180" s="370">
        <v>0.57999999999999996</v>
      </c>
      <c r="H180" s="351"/>
      <c r="I180" s="351" t="s">
        <v>899</v>
      </c>
      <c r="J180" s="351"/>
      <c r="K180" s="351"/>
      <c r="L180" s="351"/>
    </row>
    <row r="181" spans="1:12" x14ac:dyDescent="0.25">
      <c r="A181" s="378"/>
      <c r="B181" s="378"/>
      <c r="C181" s="379"/>
      <c r="D181" s="351"/>
      <c r="E181" s="351"/>
      <c r="F181" s="369">
        <v>8</v>
      </c>
      <c r="G181" s="370">
        <v>0.52</v>
      </c>
      <c r="H181" s="351"/>
      <c r="I181" s="2884" t="s">
        <v>900</v>
      </c>
      <c r="J181" s="2885"/>
      <c r="K181" s="2884" t="s">
        <v>901</v>
      </c>
      <c r="L181" s="2885"/>
    </row>
    <row r="182" spans="1:12" x14ac:dyDescent="0.25">
      <c r="A182" s="2904" t="s">
        <v>923</v>
      </c>
      <c r="B182" s="2904"/>
      <c r="C182" s="2904"/>
      <c r="D182" s="351"/>
      <c r="E182" s="351"/>
      <c r="F182" s="369" t="s">
        <v>855</v>
      </c>
      <c r="G182" s="370">
        <v>1.1000000000000001</v>
      </c>
      <c r="H182" s="351"/>
      <c r="I182" s="380" t="s">
        <v>906</v>
      </c>
      <c r="J182" s="381" t="s">
        <v>907</v>
      </c>
      <c r="K182" s="381" t="s">
        <v>902</v>
      </c>
      <c r="L182" s="382" t="s">
        <v>903</v>
      </c>
    </row>
    <row r="183" spans="1:12" ht="45" x14ac:dyDescent="0.25">
      <c r="A183" s="366" t="s">
        <v>869</v>
      </c>
      <c r="B183" s="367" t="s">
        <v>870</v>
      </c>
      <c r="C183" s="368" t="s">
        <v>880</v>
      </c>
      <c r="D183" s="351"/>
      <c r="E183" s="351"/>
      <c r="F183" s="369" t="s">
        <v>856</v>
      </c>
      <c r="G183" s="370">
        <v>1.2</v>
      </c>
      <c r="H183" s="351"/>
      <c r="I183" s="383">
        <v>20</v>
      </c>
      <c r="J183" s="384">
        <v>2.1</v>
      </c>
      <c r="K183" s="369">
        <v>0.6</v>
      </c>
      <c r="L183" s="385">
        <v>1</v>
      </c>
    </row>
    <row r="184" spans="1:12" x14ac:dyDescent="0.25">
      <c r="A184" s="358">
        <v>20</v>
      </c>
      <c r="B184" s="359">
        <v>21</v>
      </c>
      <c r="C184" s="386" t="s">
        <v>882</v>
      </c>
      <c r="D184" s="351"/>
      <c r="E184" s="351"/>
      <c r="F184" s="369" t="s">
        <v>857</v>
      </c>
      <c r="G184" s="370">
        <v>1.32</v>
      </c>
      <c r="H184" s="351"/>
      <c r="I184" s="383">
        <v>30</v>
      </c>
      <c r="J184" s="384">
        <v>3.2</v>
      </c>
      <c r="K184" s="369">
        <v>1</v>
      </c>
      <c r="L184" s="385">
        <v>1.5</v>
      </c>
    </row>
    <row r="185" spans="1:12" ht="14.45" customHeight="1" x14ac:dyDescent="0.25">
      <c r="A185" s="358">
        <v>30</v>
      </c>
      <c r="B185" s="359">
        <v>32</v>
      </c>
      <c r="C185" s="386" t="s">
        <v>883</v>
      </c>
      <c r="D185" s="351"/>
      <c r="E185" s="351"/>
      <c r="F185" s="369" t="s">
        <v>858</v>
      </c>
      <c r="G185" s="370">
        <v>1.45</v>
      </c>
      <c r="H185" s="351"/>
      <c r="I185" s="383">
        <v>40</v>
      </c>
      <c r="J185" s="384">
        <v>4.5</v>
      </c>
      <c r="K185" s="369">
        <v>1.6</v>
      </c>
      <c r="L185" s="385">
        <v>2</v>
      </c>
    </row>
    <row r="186" spans="1:12" x14ac:dyDescent="0.25">
      <c r="A186" s="358">
        <v>40</v>
      </c>
      <c r="B186" s="359">
        <v>45</v>
      </c>
      <c r="C186" s="386" t="s">
        <v>884</v>
      </c>
      <c r="D186" s="351"/>
      <c r="E186" s="351"/>
      <c r="F186" s="369" t="s">
        <v>859</v>
      </c>
      <c r="G186" s="370">
        <v>1.58</v>
      </c>
      <c r="H186" s="351"/>
      <c r="I186" s="383">
        <v>45</v>
      </c>
      <c r="J186" s="384">
        <v>5.3</v>
      </c>
      <c r="K186" s="369">
        <v>2</v>
      </c>
      <c r="L186" s="385">
        <v>2.5</v>
      </c>
    </row>
    <row r="187" spans="1:12" x14ac:dyDescent="0.25">
      <c r="A187" s="358">
        <v>45</v>
      </c>
      <c r="B187" s="359">
        <v>53</v>
      </c>
      <c r="C187" s="386" t="s">
        <v>885</v>
      </c>
      <c r="D187" s="351"/>
      <c r="E187" s="351"/>
      <c r="F187" s="369" t="s">
        <v>860</v>
      </c>
      <c r="G187" s="370">
        <v>1.74</v>
      </c>
      <c r="H187" s="351"/>
      <c r="I187" s="383">
        <v>50</v>
      </c>
      <c r="J187" s="384">
        <v>6</v>
      </c>
      <c r="K187" s="369">
        <v>2.4</v>
      </c>
      <c r="L187" s="385">
        <v>3</v>
      </c>
    </row>
    <row r="188" spans="1:12" x14ac:dyDescent="0.25">
      <c r="A188" s="358">
        <v>50</v>
      </c>
      <c r="B188" s="359">
        <v>60</v>
      </c>
      <c r="C188" s="386" t="s">
        <v>886</v>
      </c>
      <c r="D188" s="351"/>
      <c r="E188" s="351"/>
      <c r="F188" s="369" t="s">
        <v>230</v>
      </c>
      <c r="G188" s="370">
        <v>1.91</v>
      </c>
      <c r="H188" s="351"/>
      <c r="I188" s="387">
        <v>60</v>
      </c>
      <c r="J188" s="388">
        <v>7.5</v>
      </c>
      <c r="K188" s="389">
        <v>3.6</v>
      </c>
      <c r="L188" s="390">
        <v>4.5</v>
      </c>
    </row>
    <row r="189" spans="1:12" x14ac:dyDescent="0.25">
      <c r="A189" s="358">
        <v>60</v>
      </c>
      <c r="B189" s="359">
        <v>75</v>
      </c>
      <c r="C189" s="386" t="s">
        <v>887</v>
      </c>
      <c r="D189" s="351"/>
      <c r="E189" s="351"/>
      <c r="F189" s="369" t="s">
        <v>861</v>
      </c>
      <c r="G189" s="370">
        <v>2.09</v>
      </c>
      <c r="H189" s="351"/>
      <c r="I189" s="351"/>
      <c r="J189" s="351"/>
      <c r="K189" s="351"/>
      <c r="L189" s="351"/>
    </row>
    <row r="190" spans="1:12" x14ac:dyDescent="0.25">
      <c r="A190" s="358">
        <v>70</v>
      </c>
      <c r="B190" s="359">
        <v>90</v>
      </c>
      <c r="C190" s="386" t="s">
        <v>888</v>
      </c>
      <c r="D190" s="351"/>
      <c r="E190" s="351"/>
      <c r="F190" s="369" t="s">
        <v>862</v>
      </c>
      <c r="G190" s="370">
        <v>2.29</v>
      </c>
      <c r="H190" s="351"/>
      <c r="I190" s="351"/>
      <c r="J190" s="351"/>
      <c r="K190" s="351"/>
      <c r="L190" s="351"/>
    </row>
    <row r="191" spans="1:12" ht="14.45" customHeight="1" x14ac:dyDescent="0.25">
      <c r="A191" s="361">
        <v>80</v>
      </c>
      <c r="B191" s="362">
        <v>103</v>
      </c>
      <c r="C191" s="391" t="s">
        <v>889</v>
      </c>
      <c r="D191" s="351"/>
      <c r="E191" s="351"/>
      <c r="F191" s="369" t="s">
        <v>863</v>
      </c>
      <c r="G191" s="370">
        <v>2.5099999999999998</v>
      </c>
      <c r="H191" s="351"/>
      <c r="I191" s="351"/>
      <c r="J191" s="351"/>
      <c r="K191" s="351"/>
      <c r="L191" s="351"/>
    </row>
    <row r="192" spans="1:12" x14ac:dyDescent="0.25">
      <c r="A192" s="378"/>
      <c r="B192" s="378"/>
      <c r="C192" s="379"/>
      <c r="D192" s="351"/>
      <c r="E192" s="351"/>
      <c r="F192" s="369" t="s">
        <v>358</v>
      </c>
      <c r="G192" s="370">
        <v>0.48</v>
      </c>
      <c r="H192" s="351"/>
      <c r="I192" s="351"/>
      <c r="J192" s="351"/>
      <c r="K192" s="351"/>
      <c r="L192" s="351"/>
    </row>
    <row r="193" spans="1:12" x14ac:dyDescent="0.25">
      <c r="A193" s="351"/>
      <c r="B193" s="351"/>
      <c r="C193" s="351"/>
      <c r="D193" s="351"/>
      <c r="E193" s="351"/>
      <c r="F193" s="369" t="s">
        <v>864</v>
      </c>
      <c r="G193" s="370">
        <v>0.44</v>
      </c>
      <c r="H193" s="351"/>
      <c r="I193" s="351"/>
      <c r="J193" s="351"/>
      <c r="K193" s="351"/>
      <c r="L193" s="351"/>
    </row>
    <row r="194" spans="1:12" x14ac:dyDescent="0.25">
      <c r="A194" s="2884" t="s">
        <v>890</v>
      </c>
      <c r="B194" s="2905"/>
      <c r="C194" s="2905"/>
      <c r="D194" s="2885"/>
      <c r="E194" s="351"/>
      <c r="F194" s="351"/>
      <c r="G194" s="351"/>
      <c r="H194" s="351"/>
      <c r="I194" s="351"/>
      <c r="J194" s="351"/>
      <c r="K194" s="351"/>
      <c r="L194" s="351"/>
    </row>
    <row r="195" spans="1:12" ht="60" x14ac:dyDescent="0.25">
      <c r="A195" s="366" t="s">
        <v>891</v>
      </c>
      <c r="B195" s="367" t="s">
        <v>892</v>
      </c>
      <c r="C195" s="367" t="s">
        <v>893</v>
      </c>
      <c r="D195" s="368" t="s">
        <v>894</v>
      </c>
      <c r="E195" s="351"/>
      <c r="F195" s="351"/>
      <c r="G195" s="351"/>
      <c r="H195" s="351"/>
      <c r="I195" s="351"/>
      <c r="J195" s="351"/>
      <c r="K195" s="351"/>
      <c r="L195" s="351"/>
    </row>
    <row r="196" spans="1:12" x14ac:dyDescent="0.25">
      <c r="A196" s="358">
        <v>20</v>
      </c>
      <c r="B196" s="359">
        <v>21</v>
      </c>
      <c r="C196" s="392">
        <v>1</v>
      </c>
      <c r="D196" s="393">
        <v>0.6</v>
      </c>
      <c r="E196" s="351"/>
      <c r="F196" s="351"/>
      <c r="G196" s="351"/>
      <c r="H196" s="351"/>
      <c r="I196" s="351"/>
      <c r="J196" s="351"/>
      <c r="K196" s="351"/>
      <c r="L196" s="351"/>
    </row>
    <row r="197" spans="1:12" ht="14.45" customHeight="1" x14ac:dyDescent="0.25">
      <c r="A197" s="358">
        <v>30</v>
      </c>
      <c r="B197" s="359">
        <v>32</v>
      </c>
      <c r="C197" s="392">
        <v>1</v>
      </c>
      <c r="D197" s="393">
        <v>1</v>
      </c>
      <c r="E197" s="351"/>
      <c r="F197" s="351"/>
      <c r="G197" s="351"/>
      <c r="H197" s="351"/>
      <c r="I197" s="351"/>
      <c r="J197" s="351"/>
      <c r="K197" s="351"/>
      <c r="L197" s="351"/>
    </row>
    <row r="198" spans="1:12" x14ac:dyDescent="0.25">
      <c r="A198" s="358">
        <v>40</v>
      </c>
      <c r="B198" s="359">
        <v>45</v>
      </c>
      <c r="C198" s="392">
        <v>2</v>
      </c>
      <c r="D198" s="393">
        <v>0.6</v>
      </c>
      <c r="E198" s="351"/>
      <c r="F198" s="351"/>
      <c r="G198" s="351"/>
      <c r="H198" s="351"/>
      <c r="I198" s="351"/>
      <c r="J198" s="351"/>
      <c r="K198" s="351"/>
      <c r="L198" s="351"/>
    </row>
    <row r="199" spans="1:12" x14ac:dyDescent="0.25">
      <c r="A199" s="358">
        <v>45</v>
      </c>
      <c r="B199" s="359">
        <v>53</v>
      </c>
      <c r="C199" s="392">
        <v>2</v>
      </c>
      <c r="D199" s="393">
        <v>2</v>
      </c>
      <c r="E199" s="351"/>
      <c r="F199" s="351"/>
      <c r="G199" s="351"/>
      <c r="H199" s="351"/>
      <c r="I199" s="351"/>
      <c r="J199" s="351"/>
      <c r="K199" s="351"/>
      <c r="L199" s="351"/>
    </row>
    <row r="200" spans="1:12" x14ac:dyDescent="0.25">
      <c r="A200" s="358">
        <v>50</v>
      </c>
      <c r="B200" s="359">
        <v>60</v>
      </c>
      <c r="C200" s="392">
        <v>3</v>
      </c>
      <c r="D200" s="393">
        <v>0.4</v>
      </c>
      <c r="E200" s="351"/>
      <c r="F200" s="351"/>
      <c r="G200" s="351"/>
      <c r="H200" s="351"/>
      <c r="I200" s="351"/>
      <c r="J200" s="351"/>
      <c r="K200" s="351"/>
      <c r="L200" s="351"/>
    </row>
    <row r="201" spans="1:12" x14ac:dyDescent="0.25">
      <c r="A201" s="358">
        <v>60</v>
      </c>
      <c r="B201" s="359">
        <v>75</v>
      </c>
      <c r="C201" s="392">
        <v>4.5</v>
      </c>
      <c r="D201" s="393">
        <v>0.6</v>
      </c>
      <c r="E201" s="351"/>
      <c r="F201" s="351"/>
      <c r="G201" s="351"/>
      <c r="H201" s="351"/>
      <c r="I201" s="351"/>
      <c r="J201" s="351"/>
      <c r="K201" s="351"/>
      <c r="L201" s="351"/>
    </row>
    <row r="202" spans="1:12" x14ac:dyDescent="0.25">
      <c r="A202" s="361">
        <v>70</v>
      </c>
      <c r="B202" s="362">
        <v>90</v>
      </c>
      <c r="C202" s="394">
        <v>6.5</v>
      </c>
      <c r="D202" s="395">
        <v>0.1</v>
      </c>
      <c r="E202" s="351"/>
      <c r="F202" s="351"/>
      <c r="G202" s="351"/>
      <c r="H202" s="351"/>
      <c r="I202" s="351"/>
      <c r="J202" s="351"/>
      <c r="K202" s="351"/>
      <c r="L202" s="351"/>
    </row>
    <row r="203" spans="1:12" x14ac:dyDescent="0.25">
      <c r="A203" s="351"/>
      <c r="B203" s="351"/>
      <c r="C203" s="351"/>
      <c r="D203" s="351"/>
      <c r="E203" s="351"/>
      <c r="F203" s="351"/>
      <c r="G203" s="351"/>
      <c r="H203" s="351"/>
      <c r="I203" s="351"/>
      <c r="J203" s="351"/>
      <c r="K203" s="351"/>
      <c r="L203" s="351"/>
    </row>
    <row r="204" spans="1:12" x14ac:dyDescent="0.25">
      <c r="A204" s="351"/>
      <c r="B204" s="351"/>
      <c r="C204" s="351"/>
      <c r="D204" s="351"/>
      <c r="E204" s="351"/>
      <c r="F204" s="351"/>
      <c r="G204" s="351"/>
      <c r="H204" s="351"/>
      <c r="I204" s="351"/>
      <c r="J204" s="351"/>
      <c r="K204" s="351"/>
      <c r="L204" s="351"/>
    </row>
    <row r="205" spans="1:12" x14ac:dyDescent="0.25">
      <c r="A205" s="351"/>
      <c r="B205" s="351"/>
      <c r="C205" s="351"/>
      <c r="D205" s="351"/>
      <c r="E205" s="351"/>
      <c r="F205" s="351"/>
      <c r="G205" s="351"/>
      <c r="H205" s="351"/>
      <c r="I205" s="351"/>
      <c r="J205" s="351"/>
      <c r="K205" s="351"/>
      <c r="L205" s="351"/>
    </row>
    <row r="206" spans="1:12" x14ac:dyDescent="0.25">
      <c r="A206" s="351"/>
      <c r="B206" s="351"/>
      <c r="C206" s="351"/>
      <c r="D206" s="351"/>
      <c r="E206" s="351"/>
      <c r="F206" s="351"/>
      <c r="G206" s="351"/>
      <c r="H206" s="351"/>
      <c r="I206" s="351"/>
      <c r="J206" s="351"/>
      <c r="K206" s="351"/>
      <c r="L206" s="351"/>
    </row>
    <row r="207" spans="1:12" x14ac:dyDescent="0.25">
      <c r="A207" s="351"/>
      <c r="B207" s="351"/>
      <c r="C207" s="351"/>
      <c r="D207" s="351"/>
      <c r="E207" s="351"/>
      <c r="F207" s="351"/>
      <c r="G207" s="351"/>
      <c r="H207" s="351"/>
      <c r="I207" s="351"/>
      <c r="J207" s="351"/>
      <c r="K207" s="351"/>
      <c r="L207" s="351"/>
    </row>
    <row r="208" spans="1:12" ht="43.5" customHeight="1" x14ac:dyDescent="0.25">
      <c r="A208" s="351"/>
      <c r="B208" s="351"/>
      <c r="C208" s="351"/>
      <c r="D208" s="351"/>
      <c r="E208" s="351"/>
      <c r="F208" s="351"/>
      <c r="G208" s="351"/>
      <c r="H208" s="351"/>
      <c r="I208" s="351"/>
      <c r="J208" s="351"/>
      <c r="K208" s="351"/>
      <c r="L208" s="351"/>
    </row>
    <row r="209" spans="1:12" x14ac:dyDescent="0.25">
      <c r="A209" s="351"/>
      <c r="B209" s="351"/>
      <c r="C209" s="351"/>
      <c r="D209" s="351"/>
      <c r="E209" s="351"/>
      <c r="F209" s="351"/>
      <c r="G209" s="351"/>
      <c r="H209" s="351"/>
      <c r="I209" s="351"/>
      <c r="J209" s="351"/>
      <c r="K209" s="351"/>
      <c r="L209" s="351"/>
    </row>
    <row r="210" spans="1:12" x14ac:dyDescent="0.25">
      <c r="A210" s="351"/>
      <c r="B210" s="351"/>
      <c r="C210" s="351"/>
      <c r="D210" s="351"/>
      <c r="E210" s="351"/>
      <c r="F210" s="351"/>
      <c r="G210" s="351"/>
      <c r="H210" s="351"/>
      <c r="I210" s="351"/>
      <c r="J210" s="351"/>
      <c r="K210" s="351"/>
      <c r="L210" s="351"/>
    </row>
    <row r="211" spans="1:12" x14ac:dyDescent="0.25">
      <c r="A211" s="351"/>
      <c r="B211" s="351"/>
      <c r="C211" s="351"/>
      <c r="D211" s="351"/>
      <c r="E211" s="351"/>
      <c r="F211" s="351"/>
      <c r="G211" s="351"/>
      <c r="H211" s="351"/>
      <c r="I211" s="351"/>
      <c r="J211" s="351"/>
      <c r="K211" s="351"/>
      <c r="L211" s="351"/>
    </row>
    <row r="212" spans="1:12" x14ac:dyDescent="0.25">
      <c r="A212" s="351"/>
      <c r="B212" s="351"/>
      <c r="C212" s="351"/>
      <c r="D212" s="351"/>
      <c r="E212" s="351"/>
      <c r="F212" s="351"/>
      <c r="G212" s="351"/>
      <c r="H212" s="351"/>
      <c r="I212" s="351"/>
      <c r="J212" s="351"/>
      <c r="K212" s="351"/>
      <c r="L212" s="351"/>
    </row>
    <row r="213" spans="1:12" x14ac:dyDescent="0.25">
      <c r="A213" s="351"/>
      <c r="B213" s="351"/>
      <c r="C213" s="351"/>
      <c r="D213" s="351"/>
      <c r="E213" s="351"/>
      <c r="F213" s="351"/>
      <c r="G213" s="351"/>
      <c r="H213" s="351"/>
      <c r="I213" s="351"/>
      <c r="J213" s="351"/>
      <c r="K213" s="351"/>
      <c r="L213" s="351"/>
    </row>
    <row r="214" spans="1:12" x14ac:dyDescent="0.25">
      <c r="A214" s="351"/>
      <c r="B214" s="351"/>
      <c r="C214" s="351"/>
      <c r="D214" s="351"/>
      <c r="E214" s="351"/>
      <c r="F214" s="351"/>
      <c r="G214" s="351"/>
      <c r="H214" s="351"/>
      <c r="I214" s="351"/>
      <c r="J214" s="351"/>
      <c r="K214" s="351"/>
      <c r="L214" s="351"/>
    </row>
    <row r="215" spans="1:12" x14ac:dyDescent="0.25">
      <c r="A215" s="351"/>
      <c r="B215" s="351"/>
      <c r="C215" s="351"/>
      <c r="D215" s="351"/>
      <c r="E215" s="351"/>
      <c r="F215" s="351"/>
      <c r="G215" s="351"/>
      <c r="H215" s="351"/>
      <c r="I215" s="351"/>
      <c r="J215" s="351"/>
      <c r="K215" s="351"/>
      <c r="L215" s="351"/>
    </row>
    <row r="216" spans="1:12" x14ac:dyDescent="0.25">
      <c r="A216" s="351"/>
      <c r="B216" s="351"/>
      <c r="C216" s="351"/>
      <c r="D216" s="351"/>
      <c r="E216" s="351"/>
      <c r="F216" s="351"/>
      <c r="G216" s="351"/>
      <c r="H216" s="351"/>
      <c r="I216" s="351"/>
      <c r="J216" s="351"/>
      <c r="K216" s="351"/>
      <c r="L216" s="351"/>
    </row>
    <row r="217" spans="1:12" x14ac:dyDescent="0.25">
      <c r="A217" s="351"/>
      <c r="B217" s="351"/>
      <c r="C217" s="351"/>
      <c r="D217" s="351"/>
      <c r="E217" s="351"/>
      <c r="F217" s="351"/>
      <c r="G217" s="351"/>
      <c r="H217" s="351"/>
      <c r="I217" s="351"/>
      <c r="J217" s="351"/>
      <c r="K217" s="351"/>
      <c r="L217" s="351"/>
    </row>
    <row r="218" spans="1:12" x14ac:dyDescent="0.25">
      <c r="A218" s="351"/>
      <c r="B218" s="351"/>
      <c r="C218" s="351"/>
      <c r="D218" s="351"/>
      <c r="E218" s="351"/>
      <c r="F218" s="351"/>
      <c r="G218" s="351"/>
      <c r="H218" s="351"/>
      <c r="I218" s="351"/>
      <c r="J218" s="351"/>
      <c r="K218" s="351"/>
      <c r="L218" s="351"/>
    </row>
    <row r="219" spans="1:12" x14ac:dyDescent="0.25">
      <c r="A219" s="351"/>
      <c r="B219" s="351"/>
      <c r="C219" s="351"/>
      <c r="D219" s="351"/>
      <c r="E219" s="351"/>
      <c r="F219" s="351"/>
      <c r="G219" s="351"/>
      <c r="H219" s="351"/>
      <c r="I219" s="351"/>
      <c r="J219" s="351"/>
      <c r="K219" s="351"/>
      <c r="L219" s="351"/>
    </row>
    <row r="220" spans="1:12" x14ac:dyDescent="0.25">
      <c r="A220" s="351"/>
      <c r="B220" s="351"/>
      <c r="C220" s="351"/>
      <c r="D220" s="351"/>
      <c r="E220" s="351"/>
      <c r="F220" s="351"/>
      <c r="G220" s="351"/>
      <c r="H220" s="351"/>
      <c r="I220" s="351"/>
      <c r="J220" s="351"/>
      <c r="K220" s="351"/>
      <c r="L220" s="351"/>
    </row>
    <row r="221" spans="1:12" x14ac:dyDescent="0.25">
      <c r="A221" s="351"/>
      <c r="B221" s="351"/>
      <c r="C221" s="351"/>
      <c r="D221" s="351"/>
      <c r="E221" s="351"/>
      <c r="F221" s="351"/>
      <c r="G221" s="351"/>
      <c r="H221" s="351"/>
      <c r="I221" s="351"/>
      <c r="J221" s="351"/>
      <c r="K221" s="351"/>
      <c r="L221" s="351"/>
    </row>
    <row r="222" spans="1:12" x14ac:dyDescent="0.25">
      <c r="A222" s="351"/>
      <c r="B222" s="351"/>
      <c r="C222" s="351"/>
      <c r="D222" s="351"/>
      <c r="E222" s="351"/>
      <c r="F222" s="351"/>
      <c r="G222" s="351"/>
      <c r="H222" s="351"/>
      <c r="I222" s="351"/>
      <c r="J222" s="351"/>
      <c r="K222" s="351"/>
      <c r="L222" s="351"/>
    </row>
    <row r="223" spans="1:12" x14ac:dyDescent="0.25">
      <c r="A223" s="351"/>
      <c r="B223" s="351"/>
      <c r="C223" s="351"/>
      <c r="D223" s="351"/>
      <c r="E223" s="351"/>
      <c r="F223" s="351"/>
      <c r="G223" s="351"/>
      <c r="H223" s="351"/>
      <c r="I223" s="351"/>
      <c r="J223" s="351"/>
      <c r="K223" s="351"/>
      <c r="L223" s="351"/>
    </row>
    <row r="224" spans="1:12" x14ac:dyDescent="0.25">
      <c r="A224" s="351"/>
      <c r="B224" s="351"/>
      <c r="C224" s="351"/>
      <c r="D224" s="351"/>
      <c r="E224" s="351"/>
      <c r="F224" s="351"/>
      <c r="G224" s="351"/>
      <c r="H224" s="351"/>
      <c r="I224" s="351"/>
      <c r="J224" s="351"/>
      <c r="K224" s="351"/>
      <c r="L224" s="351"/>
    </row>
    <row r="225" spans="1:12" x14ac:dyDescent="0.25">
      <c r="A225" s="351"/>
      <c r="B225" s="351"/>
      <c r="C225" s="351"/>
      <c r="D225" s="351"/>
      <c r="E225" s="351"/>
      <c r="F225" s="351"/>
      <c r="G225" s="351"/>
      <c r="H225" s="351"/>
      <c r="I225" s="351"/>
      <c r="J225" s="351"/>
      <c r="K225" s="351"/>
      <c r="L225" s="351"/>
    </row>
    <row r="226" spans="1:12" x14ac:dyDescent="0.25">
      <c r="A226" s="351"/>
      <c r="B226" s="351"/>
      <c r="C226" s="351"/>
      <c r="D226" s="351"/>
      <c r="E226" s="351"/>
      <c r="F226" s="351"/>
      <c r="G226" s="351"/>
      <c r="H226" s="351"/>
      <c r="I226" s="351"/>
      <c r="J226" s="351"/>
      <c r="K226" s="351"/>
      <c r="L226" s="351"/>
    </row>
    <row r="227" spans="1:12" x14ac:dyDescent="0.25">
      <c r="A227" s="351"/>
      <c r="B227" s="351"/>
      <c r="C227" s="351"/>
      <c r="D227" s="351"/>
      <c r="E227" s="351"/>
      <c r="F227" s="351"/>
      <c r="G227" s="351"/>
      <c r="H227" s="351"/>
      <c r="I227" s="351"/>
      <c r="J227" s="351"/>
      <c r="K227" s="351"/>
      <c r="L227" s="351"/>
    </row>
  </sheetData>
  <sheetProtection sheet="1" objects="1" scenarios="1" selectLockedCells="1" autoFilter="0"/>
  <mergeCells count="42">
    <mergeCell ref="A182:C182"/>
    <mergeCell ref="A194:D194"/>
    <mergeCell ref="I49:K49"/>
    <mergeCell ref="A49:C49"/>
    <mergeCell ref="E49:G49"/>
    <mergeCell ref="I173:J173"/>
    <mergeCell ref="A173:C173"/>
    <mergeCell ref="B89:D89"/>
    <mergeCell ref="A62:T62"/>
    <mergeCell ref="J140:K141"/>
    <mergeCell ref="A159:J159"/>
    <mergeCell ref="D160:J160"/>
    <mergeCell ref="A108:J108"/>
    <mergeCell ref="A26:B27"/>
    <mergeCell ref="A32:B32"/>
    <mergeCell ref="A33:B33"/>
    <mergeCell ref="A48:D48"/>
    <mergeCell ref="A45:N45"/>
    <mergeCell ref="B46:D46"/>
    <mergeCell ref="A39:B39"/>
    <mergeCell ref="A40:B40"/>
    <mergeCell ref="A34:B34"/>
    <mergeCell ref="A31:B31"/>
    <mergeCell ref="A28:B28"/>
    <mergeCell ref="A29:B29"/>
    <mergeCell ref="A30:B30"/>
    <mergeCell ref="A1:N1"/>
    <mergeCell ref="I181:J181"/>
    <mergeCell ref="K181:L181"/>
    <mergeCell ref="A154:N154"/>
    <mergeCell ref="A131:J131"/>
    <mergeCell ref="A35:B35"/>
    <mergeCell ref="D3:E3"/>
    <mergeCell ref="A24:B24"/>
    <mergeCell ref="A22:B22"/>
    <mergeCell ref="A21:N21"/>
    <mergeCell ref="A23:B23"/>
    <mergeCell ref="A41:B41"/>
    <mergeCell ref="A36:B36"/>
    <mergeCell ref="A37:B37"/>
    <mergeCell ref="A38:B38"/>
    <mergeCell ref="C26:D26"/>
  </mergeCells>
  <conditionalFormatting sqref="N28:N41">
    <cfRule type="cellIs" dxfId="643" priority="5" operator="greaterThan">
      <formula>1</formula>
    </cfRule>
  </conditionalFormatting>
  <conditionalFormatting sqref="M143:M145">
    <cfRule type="cellIs" dxfId="642" priority="4" operator="equal">
      <formula>"Não"</formula>
    </cfRule>
  </conditionalFormatting>
  <conditionalFormatting sqref="M146:M148">
    <cfRule type="cellIs" dxfId="641" priority="3" operator="equal">
      <formula>"Não"</formula>
    </cfRule>
  </conditionalFormatting>
  <conditionalFormatting sqref="M149:M151">
    <cfRule type="cellIs" dxfId="640" priority="2" operator="equal">
      <formula>"Não"</formula>
    </cfRule>
  </conditionalFormatting>
  <conditionalFormatting sqref="A88">
    <cfRule type="cellIs" dxfId="639" priority="1" operator="equal">
      <formula>"Helical Pitch (HP)"</formula>
    </cfRule>
  </conditionalFormatting>
  <dataValidations count="9">
    <dataValidation type="list" allowBlank="1" showInputMessage="1" showErrorMessage="1" sqref="A143:A151">
      <formula1>"Mo/Mo,Mo/Rh,Rh/Rh,W/Rh,W/Ag,W/Al"</formula1>
    </dataValidation>
    <dataValidation type="list" allowBlank="1" showInputMessage="1" showErrorMessage="1" sqref="J143:J151">
      <formula1>$D$161:$I$161</formula1>
    </dataValidation>
    <dataValidation type="list" allowBlank="1" showInputMessage="1" showErrorMessage="1" sqref="E143:E151">
      <formula1>$I$183:$I$188</formula1>
    </dataValidation>
    <dataValidation type="list" allowBlank="1" showInputMessage="1" showErrorMessage="1" sqref="B134">
      <formula1>$F$174:$F$193</formula1>
    </dataValidation>
    <dataValidation type="list" allowBlank="1" showInputMessage="1" showErrorMessage="1" sqref="B80:D80">
      <formula1>"Axial ou Sequencial,Multislice ou Helicoidal"</formula1>
    </dataValidation>
    <dataValidation type="list" allowBlank="1" showInputMessage="1" showErrorMessage="1" sqref="A46">
      <formula1>"Unfors,Fluke,Raysafe"</formula1>
    </dataValidation>
    <dataValidation type="list" allowBlank="1" showInputMessage="1" showErrorMessage="1" sqref="H143:H151">
      <formula1>"Manual,Semiautomático,Automático"</formula1>
    </dataValidation>
    <dataValidation type="list" allowBlank="1" showInputMessage="1" showErrorMessage="1" sqref="I143:I151">
      <formula1>"*,FF,FG,FU"</formula1>
    </dataValidation>
    <dataValidation type="list" allowBlank="1" showInputMessage="1" showErrorMessage="1" sqref="B111:F111">
      <formula1>"PAN,CEF,TFC"</formula1>
    </dataValidation>
  </dataValidations>
  <pageMargins left="0.511811024" right="0.511811024" top="0.78740157499999996" bottom="0.78740157499999996" header="0.31496062000000002" footer="0.31496062000000002"/>
  <pageSetup paperSize="9" orientation="portrait" r:id="rId1"/>
  <drawing r:id="rId2"/>
  <tableParts count="5">
    <tablePart r:id="rId3"/>
    <tablePart r:id="rId4"/>
    <tablePart r:id="rId5"/>
    <tablePart r:id="rId6"/>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Tabelas2!$H$2:$H$3</xm:f>
          </x14:formula1>
          <xm:sqref>J28:J41</xm:sqref>
        </x14:dataValidation>
        <x14:dataValidation type="list" allowBlank="1" showInputMessage="1" showErrorMessage="1">
          <x14:formula1>
            <xm:f>Tabelas2!$C$13:$C$14</xm:f>
          </x14:formula1>
          <xm:sqref>I26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dimension ref="A1:U171"/>
  <sheetViews>
    <sheetView view="pageBreakPreview" zoomScale="115" zoomScaleNormal="100" zoomScaleSheetLayoutView="115" workbookViewId="0">
      <pane ySplit="1" topLeftCell="A152" activePane="bottomLeft" state="frozen"/>
      <selection activeCell="C12" sqref="C12:J13"/>
      <selection pane="bottomLeft" activeCell="C12" sqref="C12:J13"/>
    </sheetView>
  </sheetViews>
  <sheetFormatPr defaultColWidth="9.140625" defaultRowHeight="15.75" x14ac:dyDescent="0.25"/>
  <cols>
    <col min="1" max="1" width="9.5703125" style="2228" bestFit="1" customWidth="1"/>
    <col min="2" max="5" width="9.140625" style="2228"/>
    <col min="6" max="6" width="11.42578125" style="2228" customWidth="1"/>
    <col min="7" max="7" width="10.85546875" style="2228" bestFit="1" customWidth="1"/>
    <col min="8" max="8" width="9.140625" style="2228"/>
    <col min="9" max="9" width="9.140625" style="2228" customWidth="1"/>
    <col min="10" max="10" width="20.5703125" style="2228" bestFit="1" customWidth="1"/>
    <col min="11" max="16384" width="9.140625" style="2228"/>
  </cols>
  <sheetData>
    <row r="1" spans="1:10" s="2235" customFormat="1" x14ac:dyDescent="0.25">
      <c r="A1" s="2856" t="e">
        <f>Cabeçalho!B6</f>
        <v>#N/A</v>
      </c>
      <c r="B1" s="2856"/>
      <c r="C1" s="2856"/>
      <c r="D1" s="2856"/>
      <c r="E1" s="2745" t="e">
        <f>IF(Cabeçalho!$B$15="",CONCATENATE(LOOKUP(Cabeçalho!$B$14,Tabelas2!$A$23:$A$32,Tabelas2!$B$23:$B$32),IF(Cabeçalho!$B$16&lt;&gt;0," - ",""),UPPER(Cabeçalho!$B$16)),CONCATENATE(LOOKUP(Cabeçalho!$B$14,Tabelas2!$A$23:$A$32,Tabelas2!$B$23:$B$32)," - ",Cabeçalho!$B$15," - ",UPPER(Cabeçalho!$B$16)))</f>
        <v>#N/A</v>
      </c>
      <c r="F1" s="2745"/>
      <c r="G1" s="2745"/>
      <c r="H1" s="2234" t="s">
        <v>175</v>
      </c>
      <c r="I1" s="2242" t="e">
        <f>Cabeçalho!B12</f>
        <v>#N/A</v>
      </c>
      <c r="J1" s="279" t="s">
        <v>648</v>
      </c>
    </row>
    <row r="3" spans="1:10" x14ac:dyDescent="0.25">
      <c r="A3" s="2483" t="s">
        <v>179</v>
      </c>
      <c r="B3" s="2483"/>
      <c r="C3" s="2483"/>
      <c r="D3" s="2483"/>
      <c r="E3" s="2483"/>
      <c r="F3" s="2483"/>
      <c r="G3" s="2483"/>
      <c r="H3" s="2483"/>
      <c r="I3" s="2483"/>
    </row>
    <row r="5" spans="1:10" x14ac:dyDescent="0.25">
      <c r="A5" s="2483" t="s">
        <v>114</v>
      </c>
      <c r="B5" s="2483"/>
      <c r="C5" s="2483"/>
      <c r="D5" s="2483"/>
      <c r="E5" s="2483"/>
      <c r="F5" s="2483"/>
      <c r="G5" s="2483"/>
      <c r="H5" s="2483"/>
      <c r="I5" s="2483"/>
    </row>
    <row r="9" spans="1:10" x14ac:dyDescent="0.25">
      <c r="C9" s="2581" t="e">
        <f>Cabeçalho!B6</f>
        <v>#N/A</v>
      </c>
      <c r="D9" s="2581"/>
      <c r="E9" s="2581"/>
      <c r="F9" s="2581"/>
      <c r="G9" s="2581"/>
      <c r="H9" s="2581"/>
      <c r="I9" s="2581"/>
    </row>
    <row r="10" spans="1:10" x14ac:dyDescent="0.25">
      <c r="C10" s="2581"/>
      <c r="D10" s="2581"/>
      <c r="E10" s="2581"/>
      <c r="F10" s="2581"/>
      <c r="G10" s="2581"/>
      <c r="H10" s="2581"/>
      <c r="I10" s="2581"/>
    </row>
    <row r="11" spans="1:10" x14ac:dyDescent="0.25">
      <c r="B11" s="281"/>
      <c r="C11" s="281"/>
      <c r="D11" s="281"/>
      <c r="E11" s="281"/>
      <c r="F11" s="281"/>
      <c r="G11" s="281"/>
    </row>
    <row r="12" spans="1:10" x14ac:dyDescent="0.25">
      <c r="C12" s="2478" t="e">
        <f>Cabeçalho!B7</f>
        <v>#N/A</v>
      </c>
      <c r="D12" s="2478"/>
      <c r="E12" s="2478"/>
      <c r="F12" s="2478"/>
      <c r="G12" s="2478"/>
      <c r="H12" s="2478"/>
      <c r="I12" s="2478"/>
    </row>
    <row r="13" spans="1:10" x14ac:dyDescent="0.25">
      <c r="B13" s="281"/>
      <c r="C13" s="2478"/>
      <c r="D13" s="2478"/>
      <c r="E13" s="2478"/>
      <c r="F13" s="2478"/>
      <c r="G13" s="2478"/>
      <c r="H13" s="2478"/>
      <c r="I13" s="2478"/>
    </row>
    <row r="14" spans="1:10" x14ac:dyDescent="0.25">
      <c r="B14" s="281"/>
      <c r="C14" s="281"/>
      <c r="D14" s="281"/>
      <c r="E14" s="281"/>
      <c r="F14" s="281"/>
      <c r="G14" s="281"/>
    </row>
    <row r="15" spans="1:10" x14ac:dyDescent="0.25">
      <c r="C15" s="280" t="e">
        <f>Cabeçalho!B8</f>
        <v>#N/A</v>
      </c>
      <c r="E15" s="281" t="e">
        <f>CONCATENATE(Cabeçalho!B9,", ",Cabeçalho!B10)</f>
        <v>#N/A</v>
      </c>
      <c r="F15" s="281"/>
      <c r="G15" s="281"/>
    </row>
    <row r="17" spans="1:9" x14ac:dyDescent="0.25">
      <c r="A17" s="2228" t="s">
        <v>115</v>
      </c>
      <c r="C17" s="281" t="e">
        <f>Cabeçalho!B4</f>
        <v>#N/A</v>
      </c>
    </row>
    <row r="18" spans="1:9" x14ac:dyDescent="0.25">
      <c r="C18" s="281" t="e">
        <f>Cabeçalho!B5</f>
        <v>#N/A</v>
      </c>
    </row>
    <row r="19" spans="1:9" x14ac:dyDescent="0.25">
      <c r="C19" s="282"/>
    </row>
    <row r="21" spans="1:9" x14ac:dyDescent="0.25">
      <c r="A21" s="281" t="s">
        <v>116</v>
      </c>
    </row>
    <row r="22" spans="1:9" ht="15.75" customHeight="1" x14ac:dyDescent="0.25">
      <c r="A22" s="2469" t="str">
        <f>"               Este Laudo Técnico é parte do Controle de Qualidade previsto no Programa de Garantia da Qualidade, integrante do Programa de Proteção Radiológica, conforme RDC "&amp;VLOOKUP("rdc",IN_ANVISA[],2)&amp;"/"&amp;VLOOKUP("rdc",IN_ANVISA[],3)&amp;" da ANVISA."</f>
        <v xml:space="preserve">               Este Laudo Técnico é parte do Controle de Qualidade previsto no Programa de Garantia da Qualidade, integrante do Programa de Proteção Radiológica, conforme RDC 611/2022 da ANVISA.</v>
      </c>
      <c r="B22" s="2469"/>
      <c r="C22" s="2469"/>
      <c r="D22" s="2469"/>
      <c r="E22" s="2469"/>
      <c r="F22" s="2469"/>
      <c r="G22" s="2469"/>
      <c r="H22" s="2469"/>
      <c r="I22" s="2469"/>
    </row>
    <row r="23" spans="1:9" x14ac:dyDescent="0.25">
      <c r="A23" s="2469"/>
      <c r="B23" s="2469"/>
      <c r="C23" s="2469"/>
      <c r="D23" s="2469"/>
      <c r="E23" s="2469"/>
      <c r="F23" s="2469"/>
      <c r="G23" s="2469"/>
      <c r="H23" s="2469"/>
      <c r="I23" s="2469"/>
    </row>
    <row r="24" spans="1:9" x14ac:dyDescent="0.25">
      <c r="A24" s="2469"/>
      <c r="B24" s="2469"/>
      <c r="C24" s="2469"/>
      <c r="D24" s="2469"/>
      <c r="E24" s="2469"/>
      <c r="F24" s="2469"/>
      <c r="G24" s="2469"/>
      <c r="H24" s="2469"/>
      <c r="I24" s="2469"/>
    </row>
    <row r="25" spans="1:9" x14ac:dyDescent="0.25">
      <c r="A25" s="2469" t="str">
        <f>IntroProtocolo</f>
        <v xml:space="preserve">               A metodologia utilizada atende aos "Protocolos para Execução de Testes em Sistemas de Radiologia Diagnóstica e Intervencionista" do CONFEA.</v>
      </c>
      <c r="B25" s="2469"/>
      <c r="C25" s="2469"/>
      <c r="D25" s="2469"/>
      <c r="E25" s="2469"/>
      <c r="F25" s="2469"/>
      <c r="G25" s="2469"/>
      <c r="H25" s="2469"/>
      <c r="I25" s="2469"/>
    </row>
    <row r="26" spans="1:9" x14ac:dyDescent="0.25">
      <c r="A26" s="2469"/>
      <c r="B26" s="2469"/>
      <c r="C26" s="2469"/>
      <c r="D26" s="2469"/>
      <c r="E26" s="2469"/>
      <c r="F26" s="2469"/>
      <c r="G26" s="2469"/>
      <c r="H26" s="2469"/>
      <c r="I26" s="2469"/>
    </row>
    <row r="28" spans="1:9" x14ac:dyDescent="0.25">
      <c r="A28" s="281" t="s">
        <v>117</v>
      </c>
    </row>
    <row r="29" spans="1:9" ht="15" customHeight="1" x14ac:dyDescent="0.25">
      <c r="A29" s="2476" t="e">
        <f>"                Estimar valor(es) representativo(s) da(s) dose(s) dadas aos pacientes em exames de radiografia, utilizando-se protocolo(s) para exames em adulto típico conforme informado pelo cliente e avaliar a sua conformidade com o estabelecido "&amp;VLOOKUP(Cabeçalho!$B$14,'LR e FUGA'!$L$66:$N$72,3,FALSE)&amp;"."</f>
        <v>#N/A</v>
      </c>
      <c r="B29" s="2476"/>
      <c r="C29" s="2476"/>
      <c r="D29" s="2476"/>
      <c r="E29" s="2476"/>
      <c r="F29" s="2476"/>
      <c r="G29" s="2476"/>
      <c r="H29" s="2476"/>
      <c r="I29" s="2476"/>
    </row>
    <row r="30" spans="1:9" x14ac:dyDescent="0.25">
      <c r="A30" s="2476"/>
      <c r="B30" s="2476"/>
      <c r="C30" s="2476"/>
      <c r="D30" s="2476"/>
      <c r="E30" s="2476"/>
      <c r="F30" s="2476"/>
      <c r="G30" s="2476"/>
      <c r="H30" s="2476"/>
      <c r="I30" s="2476"/>
    </row>
    <row r="31" spans="1:9" x14ac:dyDescent="0.25">
      <c r="A31" s="2476"/>
      <c r="B31" s="2476"/>
      <c r="C31" s="2476"/>
      <c r="D31" s="2476"/>
      <c r="E31" s="2476"/>
      <c r="F31" s="2476"/>
      <c r="G31" s="2476"/>
      <c r="H31" s="2476"/>
      <c r="I31" s="2476"/>
    </row>
    <row r="32" spans="1:9" x14ac:dyDescent="0.25">
      <c r="A32" s="2476"/>
      <c r="B32" s="2476"/>
      <c r="C32" s="2476"/>
      <c r="D32" s="2476"/>
      <c r="E32" s="2476"/>
      <c r="F32" s="2476"/>
      <c r="G32" s="2476"/>
      <c r="H32" s="2476"/>
      <c r="I32" s="2476"/>
    </row>
    <row r="33" spans="1:12" ht="15" customHeight="1" x14ac:dyDescent="0.25">
      <c r="A33" s="2228" t="s">
        <v>2358</v>
      </c>
      <c r="C33" s="2228" t="s">
        <v>2359</v>
      </c>
      <c r="L33" s="2016"/>
    </row>
    <row r="35" spans="1:12" x14ac:dyDescent="0.25">
      <c r="A35" s="281" t="s">
        <v>176</v>
      </c>
    </row>
    <row r="36" spans="1:12" x14ac:dyDescent="0.25">
      <c r="A36" s="283"/>
      <c r="B36" s="2465" t="s">
        <v>119</v>
      </c>
      <c r="C36" s="2465"/>
      <c r="D36" s="2465" t="s">
        <v>120</v>
      </c>
      <c r="E36" s="2465"/>
      <c r="F36" s="2465" t="s">
        <v>121</v>
      </c>
      <c r="G36" s="2465"/>
      <c r="H36" s="2465" t="s">
        <v>122</v>
      </c>
      <c r="I36" s="2465"/>
    </row>
    <row r="37" spans="1:12" x14ac:dyDescent="0.25">
      <c r="A37" s="2925" t="s">
        <v>123</v>
      </c>
      <c r="B37" s="2921" t="str">
        <f>IF(Cabeçalho!G3="","*",Cabeçalho!G3)</f>
        <v>*</v>
      </c>
      <c r="C37" s="2922"/>
      <c r="D37" s="2921" t="str">
        <f>IF(Cabeçalho!G4="","*",Cabeçalho!G4)</f>
        <v>*</v>
      </c>
      <c r="E37" s="2922"/>
      <c r="F37" s="2921" t="str">
        <f>IF(Cabeçalho!G5="","*",Cabeçalho!G5)</f>
        <v>*</v>
      </c>
      <c r="G37" s="2922"/>
      <c r="H37" s="2921" t="str">
        <f>IF(Cabeçalho!G6="","*",Cabeçalho!G6)</f>
        <v>*</v>
      </c>
      <c r="I37" s="2922"/>
    </row>
    <row r="38" spans="1:12" x14ac:dyDescent="0.25">
      <c r="A38" s="2926"/>
      <c r="B38" s="2923"/>
      <c r="C38" s="2924"/>
      <c r="D38" s="2923"/>
      <c r="E38" s="2924"/>
      <c r="F38" s="2923"/>
      <c r="G38" s="2924"/>
      <c r="H38" s="2923"/>
      <c r="I38" s="2924"/>
    </row>
    <row r="39" spans="1:12" x14ac:dyDescent="0.25">
      <c r="A39" s="284" t="s">
        <v>835</v>
      </c>
    </row>
    <row r="40" spans="1:12" ht="15" customHeight="1" x14ac:dyDescent="0.25">
      <c r="A40" s="2475" t="s">
        <v>124</v>
      </c>
      <c r="B40" s="2475"/>
      <c r="C40" s="2475"/>
      <c r="D40" s="2475"/>
      <c r="E40" s="2473" t="str">
        <f>CONCATENATE("Raios X diagnóstico ",Cabeçalho!G24)</f>
        <v xml:space="preserve">Raios X diagnóstico </v>
      </c>
      <c r="F40" s="2473"/>
      <c r="G40" s="2473"/>
      <c r="H40" s="2473"/>
      <c r="I40" s="2473"/>
      <c r="J40" s="2473"/>
    </row>
    <row r="41" spans="1:12" ht="15" customHeight="1" x14ac:dyDescent="0.25">
      <c r="A41" s="2473" t="s">
        <v>367</v>
      </c>
      <c r="B41" s="2473"/>
      <c r="C41" s="2473"/>
      <c r="D41" s="2473"/>
      <c r="E41" s="2473" t="str">
        <f>"Retificado em alta frequência"</f>
        <v>Retificado em alta frequência</v>
      </c>
      <c r="F41" s="2473"/>
      <c r="G41" s="2473"/>
      <c r="H41" s="2473"/>
      <c r="I41" s="2473"/>
      <c r="J41" s="2473"/>
    </row>
    <row r="42" spans="1:12" ht="15" customHeight="1" x14ac:dyDescent="0.25">
      <c r="A42" s="2225" t="s">
        <v>1856</v>
      </c>
      <c r="B42" s="2225"/>
      <c r="C42" s="2225"/>
      <c r="D42" s="2225"/>
      <c r="E42" s="2263">
        <f>Cabeçalho!G20</f>
        <v>0</v>
      </c>
      <c r="F42" s="2225"/>
      <c r="G42" s="2225"/>
      <c r="H42" s="2225"/>
      <c r="I42" s="2225"/>
      <c r="J42" s="2225"/>
    </row>
    <row r="43" spans="1:12" ht="15" customHeight="1" x14ac:dyDescent="0.25">
      <c r="A43" s="2225" t="str">
        <f>"Mobilidade do equipamento: "&amp;Cabeçalho!G24</f>
        <v xml:space="preserve">Mobilidade do equipamento: </v>
      </c>
      <c r="B43" s="2225"/>
      <c r="C43" s="2225"/>
      <c r="D43" s="2225"/>
      <c r="E43" s="2263">
        <f>Cabeçalho!G24</f>
        <v>0</v>
      </c>
      <c r="F43" s="2225"/>
      <c r="G43" s="2225"/>
      <c r="H43" s="2225"/>
      <c r="I43" s="2225"/>
      <c r="J43" s="2225"/>
    </row>
    <row r="44" spans="1:12" ht="15" customHeight="1" x14ac:dyDescent="0.25">
      <c r="A44" s="2473" t="s">
        <v>2349</v>
      </c>
      <c r="B44" s="2473"/>
      <c r="C44" s="2473"/>
      <c r="D44" s="2473"/>
      <c r="E44" s="2263" t="str">
        <f>IF(Cabeçalho!E24&lt;&gt;"",Cabeçalho!E24,"NI")</f>
        <v>NI</v>
      </c>
      <c r="F44" s="2225"/>
      <c r="G44" s="2225"/>
      <c r="H44" s="2225"/>
      <c r="I44" s="2225"/>
      <c r="J44" s="2225"/>
    </row>
    <row r="45" spans="1:12" x14ac:dyDescent="0.25">
      <c r="A45" s="2473" t="s">
        <v>2350</v>
      </c>
      <c r="B45" s="2473"/>
      <c r="C45" s="2473"/>
      <c r="D45" s="2473"/>
      <c r="E45" s="2263" t="str">
        <f>IF(Cabeçalho!G22&lt;&gt;"",Cabeçalho!G22,"NI")</f>
        <v>NI</v>
      </c>
      <c r="F45" s="2225"/>
      <c r="G45" s="2225"/>
      <c r="H45" s="2225"/>
      <c r="I45" s="2225"/>
      <c r="J45" s="2225"/>
    </row>
    <row r="46" spans="1:12" ht="15" customHeight="1" x14ac:dyDescent="0.25">
      <c r="A46" s="2473" t="s">
        <v>2351</v>
      </c>
      <c r="B46" s="2473"/>
      <c r="C46" s="2473"/>
      <c r="D46" s="2473"/>
      <c r="E46" s="2263" t="str">
        <f>IF(Cabeçalho!G23&lt;&gt;"",Cabeçalho!G23,"NI")</f>
        <v>NI</v>
      </c>
      <c r="F46" s="2225"/>
      <c r="G46" s="2225"/>
      <c r="H46" s="2225"/>
      <c r="I46" s="2225"/>
      <c r="J46" s="2225"/>
    </row>
    <row r="47" spans="1:12" ht="15" customHeight="1" x14ac:dyDescent="0.25">
      <c r="A47" s="2228" t="s">
        <v>2352</v>
      </c>
      <c r="E47" s="2263" t="str">
        <f>IF(Cabeçalho!E25&lt;&gt;"",Cabeçalho!E25,"NI")</f>
        <v>NI</v>
      </c>
      <c r="F47" s="2225"/>
      <c r="G47" s="2225"/>
      <c r="H47" s="2225"/>
      <c r="I47" s="2225"/>
      <c r="J47" s="2225"/>
    </row>
    <row r="48" spans="1:12" ht="15" customHeight="1" x14ac:dyDescent="0.25">
      <c r="A48" s="2473" t="s">
        <v>2353</v>
      </c>
      <c r="B48" s="2473"/>
      <c r="C48" s="2473"/>
      <c r="D48" s="2473"/>
      <c r="E48" s="2268" t="str">
        <f>IF(Cabeçalho!E22&lt;&gt;"",Cabeçalho!E22,"NI")</f>
        <v>NI</v>
      </c>
      <c r="F48" s="2225"/>
      <c r="G48" s="2225"/>
      <c r="H48" s="2225"/>
      <c r="I48" s="2225"/>
      <c r="J48" s="2225"/>
    </row>
    <row r="49" spans="1:10" ht="15" customHeight="1" x14ac:dyDescent="0.25">
      <c r="A49" s="2473" t="s">
        <v>2354</v>
      </c>
      <c r="B49" s="2473"/>
      <c r="C49" s="2473"/>
      <c r="D49" s="2473"/>
      <c r="E49" s="2264" t="str">
        <f>IF(Cabeçalho!E23&lt;&gt;"",Cabeçalho!E23,"NI")</f>
        <v>NI</v>
      </c>
      <c r="F49" s="2225"/>
      <c r="G49" s="2225"/>
      <c r="H49" s="2225"/>
      <c r="I49" s="2225"/>
      <c r="J49" s="2225"/>
    </row>
    <row r="50" spans="1:10" ht="15" customHeight="1" x14ac:dyDescent="0.25">
      <c r="A50" s="2473" t="s">
        <v>2355</v>
      </c>
      <c r="B50" s="2473"/>
      <c r="C50" s="2473"/>
      <c r="D50" s="2473"/>
      <c r="E50" s="2263">
        <f>Cabeçalho!B15</f>
        <v>0</v>
      </c>
      <c r="F50" s="2225"/>
      <c r="G50" s="2225"/>
      <c r="H50" s="2225"/>
      <c r="I50" s="2225"/>
      <c r="J50" s="2225"/>
    </row>
    <row r="51" spans="1:10" s="2272" customFormat="1" ht="15" customHeight="1" x14ac:dyDescent="0.25">
      <c r="A51" s="2473" t="s">
        <v>2328</v>
      </c>
      <c r="B51" s="2473"/>
      <c r="C51" s="2473"/>
      <c r="D51" s="2473"/>
      <c r="E51" s="2277" t="str">
        <f>IF(Cabeçalho!E26&lt;&gt;"",Cabeçalho!E26,"NI")</f>
        <v>NI</v>
      </c>
      <c r="F51" s="2273"/>
      <c r="G51" s="2273"/>
      <c r="H51" s="2273"/>
      <c r="I51" s="2273"/>
      <c r="J51" s="2273"/>
    </row>
    <row r="52" spans="1:10" ht="15" customHeight="1" x14ac:dyDescent="0.25">
      <c r="A52" s="2162" t="s">
        <v>2678</v>
      </c>
      <c r="E52" s="2225"/>
      <c r="F52" s="2225"/>
      <c r="G52" s="2225"/>
      <c r="H52" s="2225"/>
      <c r="I52" s="2225"/>
      <c r="J52" s="2225"/>
    </row>
    <row r="53" spans="1:10" x14ac:dyDescent="0.25">
      <c r="A53" s="2225"/>
      <c r="B53" s="2225"/>
      <c r="C53" s="2225"/>
      <c r="D53" s="2225"/>
      <c r="E53" s="2225"/>
      <c r="F53" s="2225"/>
      <c r="G53" s="2225"/>
      <c r="H53" s="2225"/>
      <c r="I53" s="2225"/>
      <c r="J53" s="2228" t="s">
        <v>649</v>
      </c>
    </row>
    <row r="54" spans="1:10" x14ac:dyDescent="0.25">
      <c r="A54" s="2235"/>
      <c r="B54" s="2235"/>
      <c r="C54" s="2235"/>
      <c r="D54" s="2235"/>
      <c r="E54" s="2225"/>
      <c r="F54" s="2225"/>
      <c r="G54" s="2225"/>
      <c r="H54" s="2225"/>
      <c r="I54" s="2225"/>
      <c r="J54" s="2228" t="s">
        <v>649</v>
      </c>
    </row>
    <row r="55" spans="1:10" x14ac:dyDescent="0.25">
      <c r="A55" s="281" t="s">
        <v>834</v>
      </c>
      <c r="J55" s="2228" t="str">
        <f>J56</f>
        <v>x</v>
      </c>
    </row>
    <row r="56" spans="1:10" x14ac:dyDescent="0.25">
      <c r="A56" s="2465" t="s">
        <v>177</v>
      </c>
      <c r="B56" s="2465"/>
      <c r="C56" s="2229" t="s">
        <v>0</v>
      </c>
      <c r="D56" s="2229" t="str">
        <f>doses!H26</f>
        <v>mA</v>
      </c>
      <c r="E56" s="2229" t="str">
        <f>doses!I26</f>
        <v>mAs</v>
      </c>
      <c r="F56" s="2229" t="s">
        <v>229</v>
      </c>
      <c r="G56" s="2229" t="s">
        <v>178</v>
      </c>
      <c r="H56" s="2229" t="str">
        <f>convencional!B1</f>
        <v>IN 90</v>
      </c>
      <c r="I56" s="2232" t="s">
        <v>2395</v>
      </c>
      <c r="J56" s="2228" t="str">
        <f>IF(OR(Cabeçalho!$B$14="Raios X convencional",Cabeçalho!$B$14="Raios X com fluoroscopia"),"","x")</f>
        <v>x</v>
      </c>
    </row>
    <row r="57" spans="1:10" x14ac:dyDescent="0.25">
      <c r="A57" s="2492" t="str">
        <f>doses!A28</f>
        <v>Coluna Lombar AP</v>
      </c>
      <c r="B57" s="2492"/>
      <c r="C57" s="2230">
        <f>doses!G28</f>
        <v>0</v>
      </c>
      <c r="D57" s="2230" t="str">
        <f>IF(doses!H28&lt;&gt;0,doses!H28,"-")</f>
        <v>-</v>
      </c>
      <c r="E57" s="2230">
        <f>doses!I28</f>
        <v>0</v>
      </c>
      <c r="F57" s="2230">
        <f>doses!F28</f>
        <v>0</v>
      </c>
      <c r="G57" s="286" t="e">
        <f ca="1">ROUND(doses!L28,1)</f>
        <v>#VALUE!</v>
      </c>
      <c r="H57" s="2230" t="e">
        <f ca="1">IF(doses!N28&gt;1,"não","sim")</f>
        <v>#VALUE!</v>
      </c>
      <c r="I57" s="2230">
        <v>10</v>
      </c>
      <c r="J57" s="2228" t="str">
        <f ca="1">IFERROR(H57,"x")</f>
        <v>x</v>
      </c>
    </row>
    <row r="58" spans="1:10" x14ac:dyDescent="0.25">
      <c r="A58" s="2492" t="str">
        <f>doses!A29</f>
        <v>Coluna Lombar LAT</v>
      </c>
      <c r="B58" s="2492"/>
      <c r="C58" s="2230">
        <f>doses!G29</f>
        <v>0</v>
      </c>
      <c r="D58" s="2230" t="str">
        <f>IF(doses!H29&lt;&gt;0,doses!H29,"-")</f>
        <v>-</v>
      </c>
      <c r="E58" s="2230">
        <f>doses!I29</f>
        <v>0</v>
      </c>
      <c r="F58" s="2230">
        <f>doses!F29</f>
        <v>0</v>
      </c>
      <c r="G58" s="286" t="e">
        <f ca="1">ROUND(doses!L29,1)</f>
        <v>#VALUE!</v>
      </c>
      <c r="H58" s="2230" t="e">
        <f ca="1">IF(doses!N29&gt;1,"não","sim")</f>
        <v>#VALUE!</v>
      </c>
      <c r="I58" s="2230">
        <v>30</v>
      </c>
      <c r="J58" s="2228" t="str">
        <f t="shared" ref="J58:J69" ca="1" si="0">IFERROR(H58,"x")</f>
        <v>x</v>
      </c>
    </row>
    <row r="59" spans="1:10" x14ac:dyDescent="0.25">
      <c r="A59" s="2492" t="str">
        <f>doses!A30</f>
        <v>Coluna Lombar JLS</v>
      </c>
      <c r="B59" s="2492"/>
      <c r="C59" s="2230">
        <f>doses!G30</f>
        <v>0</v>
      </c>
      <c r="D59" s="2230" t="str">
        <f>IF(doses!H30&lt;&gt;0,doses!H30,"-")</f>
        <v>-</v>
      </c>
      <c r="E59" s="2230">
        <f>doses!I30</f>
        <v>0</v>
      </c>
      <c r="F59" s="2230">
        <f>doses!F30</f>
        <v>0</v>
      </c>
      <c r="G59" s="286" t="e">
        <f ca="1">ROUND(doses!L30,1)</f>
        <v>#VALUE!</v>
      </c>
      <c r="H59" s="2230" t="e">
        <f ca="1">IF(doses!N30&gt;1,"não","sim")</f>
        <v>#VALUE!</v>
      </c>
      <c r="I59" s="2230">
        <v>40</v>
      </c>
      <c r="J59" s="2228" t="str">
        <f t="shared" ca="1" si="0"/>
        <v>x</v>
      </c>
    </row>
    <row r="60" spans="1:10" x14ac:dyDescent="0.25">
      <c r="A60" s="2492" t="str">
        <f>doses!A31</f>
        <v>Abdômen AP</v>
      </c>
      <c r="B60" s="2492"/>
      <c r="C60" s="2230">
        <f>doses!G31</f>
        <v>0</v>
      </c>
      <c r="D60" s="2230" t="str">
        <f>IF(doses!H31&lt;&gt;0,doses!H31,"-")</f>
        <v>-</v>
      </c>
      <c r="E60" s="2230">
        <f>doses!I31</f>
        <v>0</v>
      </c>
      <c r="F60" s="2230">
        <f>doses!F31</f>
        <v>0</v>
      </c>
      <c r="G60" s="286" t="e">
        <f ca="1">ROUND(doses!L31,1)</f>
        <v>#VALUE!</v>
      </c>
      <c r="H60" s="2230" t="e">
        <f ca="1">IF(doses!N31&gt;1,"não","sim")</f>
        <v>#VALUE!</v>
      </c>
      <c r="I60" s="2230">
        <v>10</v>
      </c>
      <c r="J60" s="2228" t="str">
        <f t="shared" ca="1" si="0"/>
        <v>x</v>
      </c>
    </row>
    <row r="61" spans="1:10" x14ac:dyDescent="0.25">
      <c r="A61" s="2492" t="str">
        <f>doses!A32</f>
        <v>Urografia AP</v>
      </c>
      <c r="B61" s="2492"/>
      <c r="C61" s="2230">
        <f>doses!G32</f>
        <v>0</v>
      </c>
      <c r="D61" s="2230" t="str">
        <f>IF(doses!H32&lt;&gt;0,doses!H32,"-")</f>
        <v>-</v>
      </c>
      <c r="E61" s="2230">
        <f>doses!I32</f>
        <v>0</v>
      </c>
      <c r="F61" s="2230">
        <f>doses!F32</f>
        <v>0</v>
      </c>
      <c r="G61" s="286" t="e">
        <f ca="1">ROUND(doses!L32,1)</f>
        <v>#VALUE!</v>
      </c>
      <c r="H61" s="2230" t="e">
        <f ca="1">IF(doses!N32&gt;1,"não","sim")</f>
        <v>#VALUE!</v>
      </c>
      <c r="I61" s="2230">
        <v>10</v>
      </c>
      <c r="J61" s="2228" t="str">
        <f t="shared" ca="1" si="0"/>
        <v>x</v>
      </c>
    </row>
    <row r="62" spans="1:10" x14ac:dyDescent="0.25">
      <c r="A62" s="2492" t="str">
        <f>doses!A33</f>
        <v>Colecistografia AP</v>
      </c>
      <c r="B62" s="2492"/>
      <c r="C62" s="2230">
        <f>doses!G33</f>
        <v>0</v>
      </c>
      <c r="D62" s="2230" t="str">
        <f>IF(doses!H33&lt;&gt;0,doses!H33,"-")</f>
        <v>-</v>
      </c>
      <c r="E62" s="2230">
        <f>doses!I33</f>
        <v>0</v>
      </c>
      <c r="F62" s="2230">
        <f>doses!F33</f>
        <v>0</v>
      </c>
      <c r="G62" s="286" t="e">
        <f ca="1">ROUND(doses!L33,1)</f>
        <v>#VALUE!</v>
      </c>
      <c r="H62" s="2230" t="e">
        <f ca="1">IF(doses!N33&gt;1,"não","sim")</f>
        <v>#VALUE!</v>
      </c>
      <c r="I62" s="2230">
        <v>10</v>
      </c>
      <c r="J62" s="2228" t="str">
        <f t="shared" ca="1" si="0"/>
        <v>x</v>
      </c>
    </row>
    <row r="63" spans="1:10" x14ac:dyDescent="0.25">
      <c r="A63" s="2492" t="str">
        <f>doses!A34</f>
        <v>Pelve AP</v>
      </c>
      <c r="B63" s="2492"/>
      <c r="C63" s="2230">
        <f>doses!G34</f>
        <v>0</v>
      </c>
      <c r="D63" s="2230" t="str">
        <f>IF(doses!H34&lt;&gt;0,doses!H34,"-")</f>
        <v>-</v>
      </c>
      <c r="E63" s="2230">
        <f>doses!I34</f>
        <v>0</v>
      </c>
      <c r="F63" s="2230">
        <f>doses!F34</f>
        <v>0</v>
      </c>
      <c r="G63" s="286" t="e">
        <f ca="1">ROUND(doses!L34,1)</f>
        <v>#VALUE!</v>
      </c>
      <c r="H63" s="2230" t="e">
        <f ca="1">IF(doses!N34&gt;1,"não","sim")</f>
        <v>#VALUE!</v>
      </c>
      <c r="I63" s="2230">
        <v>10</v>
      </c>
      <c r="J63" s="2228" t="str">
        <f t="shared" ca="1" si="0"/>
        <v>x</v>
      </c>
    </row>
    <row r="64" spans="1:10" x14ac:dyDescent="0.25">
      <c r="A64" s="2492" t="str">
        <f>doses!A35</f>
        <v>Bacia AP</v>
      </c>
      <c r="B64" s="2492"/>
      <c r="C64" s="2230">
        <f>doses!G35</f>
        <v>0</v>
      </c>
      <c r="D64" s="2230" t="str">
        <f>IF(doses!H35&lt;&gt;0,doses!H35,"-")</f>
        <v>-</v>
      </c>
      <c r="E64" s="2230">
        <f>doses!I35</f>
        <v>0</v>
      </c>
      <c r="F64" s="2230">
        <f>doses!F35</f>
        <v>0</v>
      </c>
      <c r="G64" s="286" t="e">
        <f ca="1">ROUND(doses!L35,1)</f>
        <v>#VALUE!</v>
      </c>
      <c r="H64" s="2230" t="e">
        <f ca="1">IF(doses!N35&gt;1,"não","sim")</f>
        <v>#VALUE!</v>
      </c>
      <c r="I64" s="2230">
        <v>10</v>
      </c>
      <c r="J64" s="2228" t="str">
        <f t="shared" ca="1" si="0"/>
        <v>x</v>
      </c>
    </row>
    <row r="65" spans="1:10" x14ac:dyDescent="0.25">
      <c r="A65" s="2492" t="str">
        <f>doses!A36</f>
        <v>Tórax PA</v>
      </c>
      <c r="B65" s="2492"/>
      <c r="C65" s="2230">
        <f>doses!G36</f>
        <v>0</v>
      </c>
      <c r="D65" s="2230" t="str">
        <f>IF(doses!H36&lt;&gt;0,doses!H36,"-")</f>
        <v>-</v>
      </c>
      <c r="E65" s="2230">
        <f>doses!I36</f>
        <v>0</v>
      </c>
      <c r="F65" s="2230">
        <f>doses!F36</f>
        <v>0</v>
      </c>
      <c r="G65" s="286" t="e">
        <f ca="1">ROUND(doses!L36,1)</f>
        <v>#VALUE!</v>
      </c>
      <c r="H65" s="2230" t="e">
        <f ca="1">IF(doses!N36&gt;1,"não","sim")</f>
        <v>#VALUE!</v>
      </c>
      <c r="I65" s="2230">
        <v>0.4</v>
      </c>
      <c r="J65" s="2228" t="str">
        <f t="shared" ca="1" si="0"/>
        <v>x</v>
      </c>
    </row>
    <row r="66" spans="1:10" x14ac:dyDescent="0.25">
      <c r="A66" s="2492" t="str">
        <f>doses!A37</f>
        <v>Tórax LAT</v>
      </c>
      <c r="B66" s="2492"/>
      <c r="C66" s="2230">
        <f>doses!G37</f>
        <v>0</v>
      </c>
      <c r="D66" s="2230" t="str">
        <f>IF(doses!H37&lt;&gt;0,doses!H37,"-")</f>
        <v>-</v>
      </c>
      <c r="E66" s="2230">
        <f>doses!I37</f>
        <v>0</v>
      </c>
      <c r="F66" s="2230">
        <f>doses!F37</f>
        <v>0</v>
      </c>
      <c r="G66" s="286" t="e">
        <f ca="1">ROUND(doses!L37,1)</f>
        <v>#VALUE!</v>
      </c>
      <c r="H66" s="2230" t="e">
        <f ca="1">IF(doses!N37&gt;1,"não","sim")</f>
        <v>#VALUE!</v>
      </c>
      <c r="I66" s="2230">
        <v>1.4</v>
      </c>
      <c r="J66" s="2228" t="str">
        <f t="shared" ca="1" si="0"/>
        <v>x</v>
      </c>
    </row>
    <row r="67" spans="1:10" x14ac:dyDescent="0.25">
      <c r="A67" s="2492" t="str">
        <f>doses!A38</f>
        <v>Coluna Torácica AP</v>
      </c>
      <c r="B67" s="2492"/>
      <c r="C67" s="2230">
        <f>doses!G38</f>
        <v>0</v>
      </c>
      <c r="D67" s="2230" t="str">
        <f>IF(doses!H38&lt;&gt;0,doses!H38,"-")</f>
        <v>-</v>
      </c>
      <c r="E67" s="2230">
        <f>doses!I38</f>
        <v>0</v>
      </c>
      <c r="F67" s="2230">
        <f>doses!F38</f>
        <v>0</v>
      </c>
      <c r="G67" s="286" t="e">
        <f ca="1">ROUND(doses!L38,1)</f>
        <v>#VALUE!</v>
      </c>
      <c r="H67" s="2230" t="e">
        <f ca="1">IF(doses!N38&gt;1,"não","sim")</f>
        <v>#VALUE!</v>
      </c>
      <c r="I67" s="2230">
        <v>7</v>
      </c>
      <c r="J67" s="2228" t="str">
        <f t="shared" ca="1" si="0"/>
        <v>x</v>
      </c>
    </row>
    <row r="68" spans="1:10" x14ac:dyDescent="0.25">
      <c r="A68" s="2492" t="str">
        <f>doses!A39</f>
        <v>Coluna Torácica LAT</v>
      </c>
      <c r="B68" s="2492"/>
      <c r="C68" s="2230">
        <f>doses!G39</f>
        <v>0</v>
      </c>
      <c r="D68" s="2230" t="str">
        <f>IF(doses!H39&lt;&gt;0,doses!H39,"-")</f>
        <v>-</v>
      </c>
      <c r="E68" s="2230">
        <f>doses!I39</f>
        <v>0</v>
      </c>
      <c r="F68" s="2230">
        <f>doses!F39</f>
        <v>0</v>
      </c>
      <c r="G68" s="286" t="e">
        <f ca="1">ROUND(doses!L39,1)</f>
        <v>#VALUE!</v>
      </c>
      <c r="H68" s="2230" t="e">
        <f ca="1">IF(doses!N39&gt;1,"não","sim")</f>
        <v>#VALUE!</v>
      </c>
      <c r="I68" s="2230">
        <v>20</v>
      </c>
      <c r="J68" s="2228" t="str">
        <f t="shared" ca="1" si="0"/>
        <v>x</v>
      </c>
    </row>
    <row r="69" spans="1:10" x14ac:dyDescent="0.25">
      <c r="A69" s="2492" t="str">
        <f>doses!A40</f>
        <v>Crânio AP</v>
      </c>
      <c r="B69" s="2492"/>
      <c r="C69" s="2230">
        <f>doses!G40</f>
        <v>0</v>
      </c>
      <c r="D69" s="2230" t="str">
        <f>IF(doses!H40&lt;&gt;0,doses!H40,"-")</f>
        <v>-</v>
      </c>
      <c r="E69" s="2230">
        <f>doses!I40</f>
        <v>0</v>
      </c>
      <c r="F69" s="2230">
        <f>doses!F40</f>
        <v>0</v>
      </c>
      <c r="G69" s="286" t="e">
        <f ca="1">ROUND(doses!L40,1)</f>
        <v>#VALUE!</v>
      </c>
      <c r="H69" s="2230" t="e">
        <f ca="1">IF(doses!N40&gt;1,"não","sim")</f>
        <v>#VALUE!</v>
      </c>
      <c r="I69" s="2230">
        <v>5</v>
      </c>
      <c r="J69" s="2228" t="str">
        <f t="shared" ca="1" si="0"/>
        <v>x</v>
      </c>
    </row>
    <row r="70" spans="1:10" x14ac:dyDescent="0.25">
      <c r="A70" s="2492" t="str">
        <f>doses!A41</f>
        <v>Crânio LAT</v>
      </c>
      <c r="B70" s="2492"/>
      <c r="C70" s="2230">
        <f>doses!G41</f>
        <v>0</v>
      </c>
      <c r="D70" s="2230" t="str">
        <f>IF(doses!H41&lt;&gt;0,doses!H41,"-")</f>
        <v>-</v>
      </c>
      <c r="E70" s="2230">
        <f>doses!I41</f>
        <v>0</v>
      </c>
      <c r="F70" s="2230">
        <f>doses!F41</f>
        <v>0</v>
      </c>
      <c r="G70" s="286" t="e">
        <f ca="1">ROUND(doses!L41,1)</f>
        <v>#VALUE!</v>
      </c>
      <c r="H70" s="2230" t="e">
        <f ca="1">IF(doses!N41&gt;1,"não","sim")</f>
        <v>#VALUE!</v>
      </c>
      <c r="I70" s="2230">
        <v>3</v>
      </c>
      <c r="J70" s="2228" t="str">
        <f ca="1">IFERROR(H70,"x")</f>
        <v>x</v>
      </c>
    </row>
    <row r="71" spans="1:10" x14ac:dyDescent="0.25">
      <c r="A71" s="284" t="s">
        <v>2412</v>
      </c>
      <c r="B71" s="2064"/>
      <c r="C71" s="287"/>
      <c r="D71" s="287"/>
      <c r="E71" s="287"/>
      <c r="F71" s="287"/>
      <c r="G71" s="2065"/>
      <c r="H71" s="287"/>
      <c r="I71" s="287"/>
      <c r="J71" s="2228" t="str">
        <f ca="1">IFERROR(H70,"x")</f>
        <v>x</v>
      </c>
    </row>
    <row r="72" spans="1:10" x14ac:dyDescent="0.25">
      <c r="A72" s="2917" t="s">
        <v>2407</v>
      </c>
      <c r="B72" s="2917"/>
      <c r="C72" s="2917"/>
      <c r="D72" s="2917"/>
      <c r="E72" s="2917"/>
      <c r="F72" s="2917"/>
      <c r="G72" s="2917"/>
      <c r="H72" s="2917"/>
      <c r="I72" s="2917"/>
      <c r="J72" s="2228" t="str">
        <f>J56</f>
        <v>x</v>
      </c>
    </row>
    <row r="73" spans="1:10" s="2327" customFormat="1" x14ac:dyDescent="0.25">
      <c r="A73" s="2917"/>
      <c r="B73" s="2917"/>
      <c r="C73" s="2917"/>
      <c r="D73" s="2917"/>
      <c r="E73" s="2917"/>
      <c r="F73" s="2917"/>
      <c r="G73" s="2917"/>
      <c r="H73" s="2917"/>
      <c r="I73" s="2917"/>
      <c r="J73" s="2327" t="str">
        <f>J72</f>
        <v>x</v>
      </c>
    </row>
    <row r="74" spans="1:10" x14ac:dyDescent="0.25">
      <c r="A74" s="281" t="s">
        <v>841</v>
      </c>
      <c r="J74" s="2228" t="str">
        <f>IF(Cabeçalho!$B$14="Tomografia computadorizada","","x")</f>
        <v>x</v>
      </c>
    </row>
    <row r="75" spans="1:10" x14ac:dyDescent="0.25">
      <c r="A75" s="2606" t="s">
        <v>177</v>
      </c>
      <c r="B75" s="2606"/>
      <c r="C75" s="2232" t="s">
        <v>0</v>
      </c>
      <c r="D75" s="2232" t="s">
        <v>13</v>
      </c>
      <c r="E75" s="2232" t="s">
        <v>110</v>
      </c>
      <c r="F75" s="2232" t="s">
        <v>839</v>
      </c>
      <c r="G75" s="2232" t="s">
        <v>111</v>
      </c>
      <c r="H75" s="2232" t="s">
        <v>106</v>
      </c>
      <c r="I75" s="2232" t="str">
        <f>tomografia!B1</f>
        <v>IN 93</v>
      </c>
      <c r="J75" s="2228" t="str">
        <f>IF(J74="",IF(AND(ISERR(doses!B59),ISERR(doses!F59),ISERR(doses!J59)),"x",""),"x")</f>
        <v>x</v>
      </c>
    </row>
    <row r="76" spans="1:10" x14ac:dyDescent="0.25">
      <c r="A76" s="2919" t="s">
        <v>840</v>
      </c>
      <c r="B76" s="2919"/>
      <c r="C76" s="2230">
        <f>doses!B50</f>
        <v>0</v>
      </c>
      <c r="D76" s="2230">
        <f>doses!B51</f>
        <v>0</v>
      </c>
      <c r="E76" s="2230">
        <f>doses!B52</f>
        <v>0</v>
      </c>
      <c r="F76" s="2230">
        <f>doses!B53</f>
        <v>0</v>
      </c>
      <c r="G76" s="2230">
        <f>doses!B54</f>
        <v>0</v>
      </c>
      <c r="H76" s="2230" t="e">
        <f ca="1">doses!B59</f>
        <v>#DIV/0!</v>
      </c>
      <c r="I76" s="2230" t="s">
        <v>142</v>
      </c>
      <c r="J76" s="2228" t="str">
        <f ca="1">IF(ISERR(H76),"x",$J$75)</f>
        <v>x</v>
      </c>
    </row>
    <row r="77" spans="1:10" x14ac:dyDescent="0.25">
      <c r="A77" s="2919" t="s">
        <v>81</v>
      </c>
      <c r="B77" s="2919"/>
      <c r="C77" s="2230">
        <f>doses!F50</f>
        <v>0</v>
      </c>
      <c r="D77" s="2230">
        <f>doses!F51</f>
        <v>0</v>
      </c>
      <c r="E77" s="2230">
        <f>doses!F52</f>
        <v>0</v>
      </c>
      <c r="F77" s="2230">
        <f>doses!F53</f>
        <v>0</v>
      </c>
      <c r="G77" s="2230">
        <f>doses!F54</f>
        <v>0</v>
      </c>
      <c r="H77" s="2230" t="e">
        <f ca="1">doses!F59</f>
        <v>#VALUE!</v>
      </c>
      <c r="I77" s="2230" t="s">
        <v>142</v>
      </c>
      <c r="J77" s="2228" t="str">
        <f ca="1">IF(ISERR(H77),"x",$J$75)</f>
        <v>x</v>
      </c>
    </row>
    <row r="78" spans="1:10" x14ac:dyDescent="0.25">
      <c r="A78" s="2919" t="s">
        <v>82</v>
      </c>
      <c r="B78" s="2919"/>
      <c r="C78" s="2230">
        <f>doses!J50</f>
        <v>0</v>
      </c>
      <c r="D78" s="2230">
        <f>doses!J51</f>
        <v>0</v>
      </c>
      <c r="E78" s="2230">
        <f>doses!J52</f>
        <v>0</v>
      </c>
      <c r="F78" s="2230">
        <f>doses!J53</f>
        <v>0</v>
      </c>
      <c r="G78" s="2230">
        <f>doses!J54</f>
        <v>0</v>
      </c>
      <c r="H78" s="2230" t="e">
        <f ca="1">doses!J59</f>
        <v>#VALUE!</v>
      </c>
      <c r="I78" s="2230" t="s">
        <v>142</v>
      </c>
      <c r="J78" s="2228" t="str">
        <f ca="1">IF(ISERR(H78),"x",$J$75)</f>
        <v>x</v>
      </c>
    </row>
    <row r="79" spans="1:10" x14ac:dyDescent="0.25">
      <c r="A79" s="284" t="s">
        <v>2408</v>
      </c>
      <c r="B79" s="2058"/>
      <c r="C79" s="287"/>
      <c r="D79" s="287"/>
      <c r="E79" s="287"/>
      <c r="F79" s="287"/>
      <c r="G79" s="287"/>
      <c r="H79" s="287"/>
      <c r="I79" s="287"/>
      <c r="J79" s="2272" t="str">
        <f>IF(ISERR(H79),"x",$J$75)</f>
        <v>x</v>
      </c>
    </row>
    <row r="80" spans="1:10" x14ac:dyDescent="0.25">
      <c r="A80" s="284" t="s">
        <v>1617</v>
      </c>
      <c r="J80" s="2272" t="str">
        <f>IF(ISERR(H80),"x",$J$75)</f>
        <v>x</v>
      </c>
    </row>
    <row r="81" spans="1:10" x14ac:dyDescent="0.25">
      <c r="A81" s="2465" t="s">
        <v>146</v>
      </c>
      <c r="B81" s="2465"/>
      <c r="C81" s="2465"/>
      <c r="D81" s="2465"/>
      <c r="E81" s="2465"/>
      <c r="F81" s="2465"/>
      <c r="G81" s="2597" t="s">
        <v>842</v>
      </c>
      <c r="H81" s="2599"/>
      <c r="I81" s="2229" t="str">
        <f>I75</f>
        <v>IN 93</v>
      </c>
      <c r="J81" s="2228" t="str">
        <f>IF(Cabeçalho!$B$14="Tomografia computadorizada",IF(AND(doses!B95=0,doses!C95=0,doses!D95=0),"x",""),"x")</f>
        <v>x</v>
      </c>
    </row>
    <row r="82" spans="1:10" x14ac:dyDescent="0.25">
      <c r="A82" s="2575" t="s">
        <v>707</v>
      </c>
      <c r="B82" s="2576"/>
      <c r="C82" s="2576"/>
      <c r="D82" s="2576"/>
      <c r="E82" s="2576"/>
      <c r="F82" s="2577"/>
      <c r="G82" s="2600" t="e">
        <f ca="1">IF(doses!D66=0,"NPA",CONCATENATE(ROUND(doses!D66,1)," mGy"))</f>
        <v>#VALUE!</v>
      </c>
      <c r="H82" s="2602"/>
      <c r="I82" s="2231" t="e">
        <f ca="1">doses!B66</f>
        <v>#VALUE!</v>
      </c>
      <c r="J82" s="2228" t="str">
        <f>J81</f>
        <v>x</v>
      </c>
    </row>
    <row r="83" spans="1:10" x14ac:dyDescent="0.25">
      <c r="A83" s="2575" t="s">
        <v>711</v>
      </c>
      <c r="B83" s="2576"/>
      <c r="C83" s="2576"/>
      <c r="D83" s="2576"/>
      <c r="E83" s="2576"/>
      <c r="F83" s="2577"/>
      <c r="G83" s="2600" t="e">
        <f ca="1">IF(doses!D65=0,"NPA",CONCATENATE(ROUND(doses!D65,1)," mGy"))</f>
        <v>#VALUE!</v>
      </c>
      <c r="H83" s="2602"/>
      <c r="I83" s="2231" t="e">
        <f ca="1">doses!B65</f>
        <v>#VALUE!</v>
      </c>
      <c r="J83" s="2228" t="str">
        <f>J81</f>
        <v>x</v>
      </c>
    </row>
    <row r="84" spans="1:10" ht="15.6" customHeight="1" x14ac:dyDescent="0.25">
      <c r="A84" s="2575" t="s">
        <v>712</v>
      </c>
      <c r="B84" s="2576"/>
      <c r="C84" s="2576"/>
      <c r="D84" s="2576"/>
      <c r="E84" s="2576"/>
      <c r="F84" s="2577"/>
      <c r="G84" s="2600" t="e">
        <f ca="1">IF(doses!D67=0,"NPA",CONCATENATE(ROUND(doses!D67,1)," mGy"))</f>
        <v>#VALUE!</v>
      </c>
      <c r="H84" s="2602"/>
      <c r="I84" s="2231" t="e">
        <f ca="1">doses!B67</f>
        <v>#VALUE!</v>
      </c>
      <c r="J84" s="2244" t="str">
        <f>J81</f>
        <v>x</v>
      </c>
    </row>
    <row r="85" spans="1:10" x14ac:dyDescent="0.25">
      <c r="A85" s="284" t="s">
        <v>2408</v>
      </c>
      <c r="B85" s="2058"/>
      <c r="C85" s="287"/>
      <c r="D85" s="287"/>
      <c r="E85" s="287"/>
      <c r="F85" s="287"/>
      <c r="G85" s="287"/>
      <c r="H85" s="287"/>
      <c r="I85" s="287"/>
      <c r="J85" s="2244" t="str">
        <f>J82</f>
        <v>x</v>
      </c>
    </row>
    <row r="86" spans="1:10" x14ac:dyDescent="0.25">
      <c r="A86" s="2239" t="s">
        <v>2294</v>
      </c>
      <c r="B86" s="2224"/>
      <c r="C86" s="2224"/>
      <c r="D86" s="2224"/>
      <c r="E86" s="2224"/>
      <c r="F86" s="2224"/>
      <c r="G86" s="2224"/>
      <c r="H86" s="2224"/>
      <c r="I86" s="2224"/>
      <c r="J86" s="2244" t="str">
        <f>J83</f>
        <v>x</v>
      </c>
    </row>
    <row r="87" spans="1:10" x14ac:dyDescent="0.25">
      <c r="A87" s="281" t="s">
        <v>896</v>
      </c>
      <c r="J87" s="2244" t="str">
        <f>J84</f>
        <v>x</v>
      </c>
    </row>
    <row r="88" spans="1:10" ht="15.6" customHeight="1" x14ac:dyDescent="0.25">
      <c r="A88" s="2920" t="s">
        <v>897</v>
      </c>
      <c r="B88" s="2920"/>
      <c r="C88" s="2920" t="s">
        <v>925</v>
      </c>
      <c r="D88" s="2929" t="s">
        <v>898</v>
      </c>
      <c r="E88" s="2930"/>
      <c r="F88" s="2931"/>
      <c r="G88" s="2927" t="s">
        <v>901</v>
      </c>
      <c r="H88" s="2920" t="str">
        <f>mamo!B1</f>
        <v>IN 92</v>
      </c>
      <c r="J88" s="2326" t="str">
        <f>IF(Cabeçalho!$B$14="Mamografia","","x")</f>
        <v>x</v>
      </c>
    </row>
    <row r="89" spans="1:10" s="2243" customFormat="1" ht="15.6" customHeight="1" x14ac:dyDescent="0.25">
      <c r="A89" s="2920"/>
      <c r="B89" s="2920"/>
      <c r="C89" s="2920" t="s">
        <v>904</v>
      </c>
      <c r="D89" s="2241" t="s">
        <v>0</v>
      </c>
      <c r="E89" s="2241" t="s">
        <v>199</v>
      </c>
      <c r="F89" s="2241" t="s">
        <v>726</v>
      </c>
      <c r="G89" s="2928"/>
      <c r="H89" s="2920" t="s">
        <v>460</v>
      </c>
      <c r="J89" s="2328" t="str">
        <f>J88</f>
        <v>x</v>
      </c>
    </row>
    <row r="90" spans="1:10" s="2243" customFormat="1" ht="15.6" customHeight="1" x14ac:dyDescent="0.25">
      <c r="A90" s="2881" t="str">
        <f>doses!H143</f>
        <v>Manual</v>
      </c>
      <c r="B90" s="2881"/>
      <c r="C90" s="2240">
        <f>doses!F143</f>
        <v>2.1</v>
      </c>
      <c r="D90" s="2240">
        <f>doses!B143</f>
        <v>0</v>
      </c>
      <c r="E90" s="2240">
        <f>doses!C143</f>
        <v>0</v>
      </c>
      <c r="F90" s="2240" t="str">
        <f>doses!D143</f>
        <v>NA</v>
      </c>
      <c r="G90" s="289" t="e">
        <f ca="1">doses!L143</f>
        <v>#N/A</v>
      </c>
      <c r="H90" s="2240" t="e">
        <f ca="1">doses!M143</f>
        <v>#N/A</v>
      </c>
      <c r="J90" s="2328" t="str">
        <f>IF(Cabeçalho!$B$14="Mamografia",IFERROR(H90,"x"),"x")</f>
        <v>x</v>
      </c>
    </row>
    <row r="91" spans="1:10" s="2243" customFormat="1" ht="15.6" customHeight="1" x14ac:dyDescent="0.25">
      <c r="A91" s="2881" t="str">
        <f>doses!H144</f>
        <v>Manual</v>
      </c>
      <c r="B91" s="2881"/>
      <c r="C91" s="2240">
        <f>doses!F144</f>
        <v>5.3</v>
      </c>
      <c r="D91" s="2240">
        <f>doses!B144</f>
        <v>0</v>
      </c>
      <c r="E91" s="2240">
        <f>doses!C144</f>
        <v>0</v>
      </c>
      <c r="F91" s="2240" t="str">
        <f>doses!D144</f>
        <v>NA</v>
      </c>
      <c r="G91" s="289" t="e">
        <f ca="1">doses!L144</f>
        <v>#N/A</v>
      </c>
      <c r="H91" s="2240" t="e">
        <f ca="1">doses!M144</f>
        <v>#N/A</v>
      </c>
      <c r="J91" s="2328" t="str">
        <f>IF(Cabeçalho!$B$14="Mamografia",IFERROR(H91,"x"),"x")</f>
        <v>x</v>
      </c>
    </row>
    <row r="92" spans="1:10" s="2243" customFormat="1" ht="15.6" customHeight="1" x14ac:dyDescent="0.25">
      <c r="A92" s="2881" t="str">
        <f>doses!H145</f>
        <v>Manual</v>
      </c>
      <c r="B92" s="2881"/>
      <c r="C92" s="2240">
        <f>doses!F145</f>
        <v>7.5</v>
      </c>
      <c r="D92" s="2240">
        <f>doses!B145</f>
        <v>0</v>
      </c>
      <c r="E92" s="2240">
        <f>doses!C145</f>
        <v>0</v>
      </c>
      <c r="F92" s="2240" t="str">
        <f>doses!D145</f>
        <v>NA</v>
      </c>
      <c r="G92" s="289" t="e">
        <f ca="1">doses!L145</f>
        <v>#N/A</v>
      </c>
      <c r="H92" s="2240" t="e">
        <f ca="1">doses!M145</f>
        <v>#N/A</v>
      </c>
      <c r="J92" s="2328" t="str">
        <f>IF(Cabeçalho!$B$14="Mamografia",IFERROR(H92,"x"),"x")</f>
        <v>x</v>
      </c>
    </row>
    <row r="93" spans="1:10" s="2243" customFormat="1" ht="15.6" customHeight="1" x14ac:dyDescent="0.25">
      <c r="A93" s="2881" t="str">
        <f>doses!H146</f>
        <v>Semiautomático</v>
      </c>
      <c r="B93" s="2881"/>
      <c r="C93" s="2240">
        <f>doses!F146</f>
        <v>2.1</v>
      </c>
      <c r="D93" s="2240">
        <f>doses!B146</f>
        <v>0</v>
      </c>
      <c r="E93" s="2240">
        <f>doses!C146</f>
        <v>0</v>
      </c>
      <c r="F93" s="2240" t="str">
        <f>doses!D146</f>
        <v>NA</v>
      </c>
      <c r="G93" s="289" t="e">
        <f ca="1">doses!L146</f>
        <v>#N/A</v>
      </c>
      <c r="H93" s="2240" t="e">
        <f ca="1">doses!M146</f>
        <v>#N/A</v>
      </c>
      <c r="J93" s="2328" t="str">
        <f>IF(Cabeçalho!$B$14="Mamografia",IFERROR(H93,"x"),"x")</f>
        <v>x</v>
      </c>
    </row>
    <row r="94" spans="1:10" s="2243" customFormat="1" ht="15.6" customHeight="1" x14ac:dyDescent="0.25">
      <c r="A94" s="2881" t="str">
        <f>doses!H147</f>
        <v>Semiautomático</v>
      </c>
      <c r="B94" s="2881"/>
      <c r="C94" s="2240">
        <f>doses!F147</f>
        <v>5.3</v>
      </c>
      <c r="D94" s="2240">
        <f>doses!B147</f>
        <v>0</v>
      </c>
      <c r="E94" s="2240">
        <f>doses!C147</f>
        <v>0</v>
      </c>
      <c r="F94" s="2240" t="str">
        <f>doses!D147</f>
        <v>NA</v>
      </c>
      <c r="G94" s="289" t="e">
        <f ca="1">doses!L147</f>
        <v>#N/A</v>
      </c>
      <c r="H94" s="2240" t="e">
        <f ca="1">doses!M147</f>
        <v>#N/A</v>
      </c>
      <c r="J94" s="2328" t="str">
        <f>IF(Cabeçalho!$B$14="Mamografia",IFERROR(H94,"x"),"x")</f>
        <v>x</v>
      </c>
    </row>
    <row r="95" spans="1:10" s="2243" customFormat="1" ht="15.6" customHeight="1" x14ac:dyDescent="0.25">
      <c r="A95" s="2881" t="str">
        <f>doses!H148</f>
        <v>Semiautomático</v>
      </c>
      <c r="B95" s="2881"/>
      <c r="C95" s="2240">
        <f>doses!F148</f>
        <v>7.5</v>
      </c>
      <c r="D95" s="2240">
        <f>doses!B148</f>
        <v>0</v>
      </c>
      <c r="E95" s="2240">
        <f>doses!C148</f>
        <v>0</v>
      </c>
      <c r="F95" s="2240" t="str">
        <f>doses!D148</f>
        <v>NA</v>
      </c>
      <c r="G95" s="289" t="e">
        <f ca="1">doses!L148</f>
        <v>#N/A</v>
      </c>
      <c r="H95" s="2240" t="e">
        <f ca="1">doses!M148</f>
        <v>#N/A</v>
      </c>
      <c r="J95" s="2328" t="str">
        <f>IF(Cabeçalho!$B$14="Mamografia",IFERROR(H95,"x"),"x")</f>
        <v>x</v>
      </c>
    </row>
    <row r="96" spans="1:10" s="2243" customFormat="1" ht="15.6" customHeight="1" x14ac:dyDescent="0.25">
      <c r="A96" s="2881" t="str">
        <f>doses!H149</f>
        <v>Automático</v>
      </c>
      <c r="B96" s="2881"/>
      <c r="C96" s="2240">
        <f>doses!F149</f>
        <v>2.1</v>
      </c>
      <c r="D96" s="2240">
        <f>doses!B149</f>
        <v>0</v>
      </c>
      <c r="E96" s="2240">
        <f>doses!C149</f>
        <v>0</v>
      </c>
      <c r="F96" s="2240" t="str">
        <f>doses!D149</f>
        <v>NA</v>
      </c>
      <c r="G96" s="289" t="e">
        <f ca="1">doses!L149</f>
        <v>#N/A</v>
      </c>
      <c r="H96" s="2240" t="e">
        <f ca="1">doses!M149</f>
        <v>#N/A</v>
      </c>
      <c r="J96" s="2328" t="str">
        <f>IF(Cabeçalho!$B$14="Mamografia",IFERROR(H96,"x"),"x")</f>
        <v>x</v>
      </c>
    </row>
    <row r="97" spans="1:10" s="2243" customFormat="1" ht="15.6" customHeight="1" x14ac:dyDescent="0.25">
      <c r="A97" s="2881" t="str">
        <f>doses!H150</f>
        <v>Automático</v>
      </c>
      <c r="B97" s="2881"/>
      <c r="C97" s="2240">
        <f>doses!F150</f>
        <v>5.3</v>
      </c>
      <c r="D97" s="2240">
        <f>doses!B150</f>
        <v>0</v>
      </c>
      <c r="E97" s="2240">
        <f>doses!C150</f>
        <v>0</v>
      </c>
      <c r="F97" s="2240" t="str">
        <f>doses!D150</f>
        <v>NA</v>
      </c>
      <c r="G97" s="289" t="e">
        <f ca="1">doses!L150</f>
        <v>#N/A</v>
      </c>
      <c r="H97" s="2240" t="e">
        <f ca="1">doses!M150</f>
        <v>#N/A</v>
      </c>
      <c r="J97" s="2328" t="str">
        <f>IF(Cabeçalho!$B$14="Mamografia",IFERROR(H97,"x"),"x")</f>
        <v>x</v>
      </c>
    </row>
    <row r="98" spans="1:10" s="2243" customFormat="1" ht="15.6" customHeight="1" x14ac:dyDescent="0.25">
      <c r="A98" s="2881" t="str">
        <f>doses!H151</f>
        <v>Automático</v>
      </c>
      <c r="B98" s="2881"/>
      <c r="C98" s="2240">
        <f>doses!F151</f>
        <v>7.5</v>
      </c>
      <c r="D98" s="2240">
        <f>doses!B151</f>
        <v>0</v>
      </c>
      <c r="E98" s="2240">
        <f>doses!C151</f>
        <v>0</v>
      </c>
      <c r="F98" s="2240" t="str">
        <f>doses!D151</f>
        <v>NA</v>
      </c>
      <c r="G98" s="289" t="e">
        <f ca="1">doses!L151</f>
        <v>#N/A</v>
      </c>
      <c r="H98" s="2240" t="e">
        <f ca="1">doses!M151</f>
        <v>#N/A</v>
      </c>
      <c r="I98" s="2237"/>
      <c r="J98" s="2328" t="str">
        <f>IF(Cabeçalho!$B$14="Mamografia",IFERROR(H98,"x"),"x")</f>
        <v>x</v>
      </c>
    </row>
    <row r="100" spans="1:10" x14ac:dyDescent="0.25">
      <c r="A100" s="2748" t="s">
        <v>2774</v>
      </c>
      <c r="B100" s="2748"/>
      <c r="C100" s="2748"/>
      <c r="D100" s="2748"/>
      <c r="E100" s="2748"/>
      <c r="F100" s="2748"/>
      <c r="G100" s="2748"/>
      <c r="H100" s="2748"/>
      <c r="I100" s="2748"/>
      <c r="J100" s="2228" t="str">
        <f>J88</f>
        <v>x</v>
      </c>
    </row>
    <row r="101" spans="1:10" x14ac:dyDescent="0.25">
      <c r="A101" s="2748"/>
      <c r="B101" s="2748"/>
      <c r="C101" s="2748"/>
      <c r="D101" s="2748"/>
      <c r="E101" s="2748"/>
      <c r="F101" s="2748"/>
      <c r="G101" s="2748"/>
      <c r="H101" s="2748"/>
      <c r="I101" s="2748"/>
      <c r="J101" s="2228" t="str">
        <f>J100</f>
        <v>x</v>
      </c>
    </row>
    <row r="102" spans="1:10" x14ac:dyDescent="0.25">
      <c r="A102" s="2233"/>
      <c r="B102" s="2233"/>
      <c r="C102" s="2233"/>
      <c r="D102" s="2233"/>
      <c r="E102" s="2233"/>
      <c r="F102" s="2233"/>
      <c r="G102" s="2233"/>
      <c r="H102" s="2233"/>
      <c r="I102" s="2233"/>
    </row>
    <row r="103" spans="1:10" x14ac:dyDescent="0.2">
      <c r="A103" s="2934" t="s">
        <v>2405</v>
      </c>
      <c r="B103" s="2934"/>
      <c r="C103" s="2934"/>
      <c r="D103" s="2934"/>
      <c r="E103" s="2934"/>
      <c r="F103" s="2934"/>
      <c r="G103" s="2934"/>
      <c r="H103" s="2934"/>
      <c r="I103" s="2934"/>
      <c r="J103" s="2228" t="s">
        <v>649</v>
      </c>
    </row>
    <row r="104" spans="1:10" x14ac:dyDescent="0.25">
      <c r="A104" s="2597" t="s">
        <v>2401</v>
      </c>
      <c r="B104" s="2598"/>
      <c r="C104" s="2599"/>
      <c r="D104" s="2597" t="s">
        <v>2400</v>
      </c>
      <c r="E104" s="2599"/>
      <c r="F104" s="2059"/>
      <c r="G104" s="2059"/>
      <c r="H104" s="2059"/>
      <c r="I104" s="2059"/>
      <c r="J104" s="2228" t="s">
        <v>649</v>
      </c>
    </row>
    <row r="105" spans="1:10" x14ac:dyDescent="0.25">
      <c r="A105" s="2229" t="s">
        <v>77</v>
      </c>
      <c r="B105" s="2597" t="s">
        <v>2399</v>
      </c>
      <c r="C105" s="2599"/>
      <c r="D105" s="2229" t="s">
        <v>902</v>
      </c>
      <c r="E105" s="2229" t="s">
        <v>660</v>
      </c>
      <c r="F105" s="2059"/>
      <c r="G105" s="2059"/>
      <c r="H105" s="2059"/>
      <c r="I105" s="2059"/>
      <c r="J105" s="2228" t="s">
        <v>649</v>
      </c>
    </row>
    <row r="106" spans="1:10" x14ac:dyDescent="0.25">
      <c r="A106" s="2238">
        <v>2</v>
      </c>
      <c r="B106" s="2932">
        <v>2.1</v>
      </c>
      <c r="C106" s="2933"/>
      <c r="D106" s="2238">
        <v>0.6</v>
      </c>
      <c r="E106" s="2238" t="s">
        <v>2396</v>
      </c>
      <c r="F106" s="2059"/>
      <c r="G106" s="2059"/>
      <c r="H106" s="2059"/>
      <c r="I106" s="2059"/>
      <c r="J106" s="2228" t="s">
        <v>649</v>
      </c>
    </row>
    <row r="107" spans="1:10" x14ac:dyDescent="0.25">
      <c r="A107" s="2238">
        <v>3</v>
      </c>
      <c r="B107" s="2932">
        <v>3.2</v>
      </c>
      <c r="C107" s="2933"/>
      <c r="D107" s="2238">
        <v>1</v>
      </c>
      <c r="E107" s="2238" t="s">
        <v>2397</v>
      </c>
      <c r="F107" s="2059"/>
      <c r="G107" s="2059"/>
      <c r="H107" s="2059"/>
      <c r="I107" s="2059"/>
      <c r="J107" s="2228" t="s">
        <v>649</v>
      </c>
    </row>
    <row r="108" spans="1:10" x14ac:dyDescent="0.25">
      <c r="A108" s="2238">
        <v>4</v>
      </c>
      <c r="B108" s="2932">
        <v>4.5</v>
      </c>
      <c r="C108" s="2933"/>
      <c r="D108" s="2238">
        <v>1.6</v>
      </c>
      <c r="E108" s="2238" t="s">
        <v>2398</v>
      </c>
      <c r="F108" s="2059"/>
      <c r="G108" s="2059"/>
      <c r="H108" s="2059"/>
      <c r="I108" s="2059"/>
      <c r="J108" s="2228" t="s">
        <v>649</v>
      </c>
    </row>
    <row r="109" spans="1:10" x14ac:dyDescent="0.25">
      <c r="A109" s="2238">
        <v>4.5</v>
      </c>
      <c r="B109" s="2932">
        <v>5.3</v>
      </c>
      <c r="C109" s="2933"/>
      <c r="D109" s="2238">
        <v>2</v>
      </c>
      <c r="E109" s="2238" t="s">
        <v>2402</v>
      </c>
      <c r="F109" s="2059"/>
      <c r="G109" s="2059"/>
      <c r="H109" s="2059"/>
      <c r="I109" s="2059"/>
      <c r="J109" s="2228" t="s">
        <v>649</v>
      </c>
    </row>
    <row r="110" spans="1:10" x14ac:dyDescent="0.25">
      <c r="A110" s="2238">
        <v>5</v>
      </c>
      <c r="B110" s="2932">
        <v>6</v>
      </c>
      <c r="C110" s="2933"/>
      <c r="D110" s="2238">
        <v>2.4</v>
      </c>
      <c r="E110" s="2238" t="s">
        <v>2403</v>
      </c>
      <c r="F110" s="2059"/>
      <c r="G110" s="2059"/>
      <c r="H110" s="2059"/>
      <c r="I110" s="2059"/>
      <c r="J110" s="2228" t="s">
        <v>649</v>
      </c>
    </row>
    <row r="111" spans="1:10" x14ac:dyDescent="0.25">
      <c r="A111" s="2238">
        <v>6</v>
      </c>
      <c r="B111" s="2932">
        <v>7.5</v>
      </c>
      <c r="C111" s="2933"/>
      <c r="D111" s="2238">
        <v>3.6</v>
      </c>
      <c r="E111" s="2238" t="s">
        <v>2404</v>
      </c>
      <c r="F111" s="2059"/>
      <c r="G111" s="2059"/>
      <c r="H111" s="2059"/>
      <c r="I111" s="2059"/>
      <c r="J111" s="2228" t="s">
        <v>649</v>
      </c>
    </row>
    <row r="112" spans="1:10" x14ac:dyDescent="0.25">
      <c r="A112" s="2233"/>
      <c r="B112" s="2233"/>
      <c r="C112" s="2233"/>
      <c r="D112" s="2233"/>
      <c r="E112" s="2233"/>
      <c r="F112" s="2233"/>
      <c r="G112" s="2233"/>
      <c r="H112" s="2233"/>
      <c r="I112" s="2233"/>
      <c r="J112" s="2228" t="s">
        <v>649</v>
      </c>
    </row>
    <row r="113" spans="1:10" x14ac:dyDescent="0.25">
      <c r="A113" s="281" t="s">
        <v>1307</v>
      </c>
      <c r="J113" s="2228" t="str">
        <f>IF(Cabeçalho!$B$14="Extraoral","","x")</f>
        <v>x</v>
      </c>
    </row>
    <row r="114" spans="1:10" x14ac:dyDescent="0.25">
      <c r="A114" s="2606" t="s">
        <v>177</v>
      </c>
      <c r="B114" s="2606"/>
      <c r="C114" s="2232" t="s">
        <v>897</v>
      </c>
      <c r="D114" s="2232" t="s">
        <v>16</v>
      </c>
      <c r="E114" s="2232" t="s">
        <v>13</v>
      </c>
      <c r="F114" s="2232" t="s">
        <v>3</v>
      </c>
      <c r="G114" s="2232" t="s">
        <v>1309</v>
      </c>
      <c r="H114" s="2232" t="s">
        <v>1886</v>
      </c>
      <c r="I114" s="2232" t="str">
        <f>extraoral!B1</f>
        <v>IN 94</v>
      </c>
      <c r="J114" s="2228" t="str">
        <f>J113</f>
        <v>x</v>
      </c>
    </row>
    <row r="115" spans="1:10" x14ac:dyDescent="0.25">
      <c r="A115" s="2472">
        <f>doses!B110</f>
        <v>0</v>
      </c>
      <c r="B115" s="2472"/>
      <c r="C115" s="2230">
        <f>doses!B111</f>
        <v>0</v>
      </c>
      <c r="D115" s="2230">
        <f>doses!B112</f>
        <v>0</v>
      </c>
      <c r="E115" s="2230">
        <f>doses!B113</f>
        <v>0</v>
      </c>
      <c r="F115" s="2230">
        <f>doses!B114</f>
        <v>0</v>
      </c>
      <c r="G115" s="2230" t="str">
        <f>doses!B126</f>
        <v>*</v>
      </c>
      <c r="H115" s="2311" t="e">
        <f ca="1">doses!B125</f>
        <v>#VALUE!</v>
      </c>
      <c r="I115" s="2231" t="str">
        <f ca="1">doses!B127</f>
        <v>NPA</v>
      </c>
      <c r="J115" s="2228" t="str">
        <f ca="1">IF(OR($J$114="x",ISERR(H115)),"x","")</f>
        <v>x</v>
      </c>
    </row>
    <row r="116" spans="1:10" x14ac:dyDescent="0.25">
      <c r="A116" s="2472">
        <f>doses!C110</f>
        <v>0</v>
      </c>
      <c r="B116" s="2472"/>
      <c r="C116" s="2230">
        <f>doses!C111</f>
        <v>0</v>
      </c>
      <c r="D116" s="2230">
        <f>doses!C112</f>
        <v>0</v>
      </c>
      <c r="E116" s="2230">
        <f>doses!C113</f>
        <v>0</v>
      </c>
      <c r="F116" s="2230">
        <f>doses!C114</f>
        <v>0</v>
      </c>
      <c r="G116" s="2230" t="str">
        <f>doses!C126</f>
        <v>*</v>
      </c>
      <c r="H116" s="2311" t="e">
        <f ca="1">doses!C125</f>
        <v>#VALUE!</v>
      </c>
      <c r="I116" s="2231" t="str">
        <f ca="1">doses!C127</f>
        <v>NPA</v>
      </c>
      <c r="J116" s="2228" t="str">
        <f ca="1">IF(OR($J$114="x",ISERR(H116)),"x","")</f>
        <v>x</v>
      </c>
    </row>
    <row r="117" spans="1:10" x14ac:dyDescent="0.25">
      <c r="A117" s="2472">
        <f>doses!D110</f>
        <v>0</v>
      </c>
      <c r="B117" s="2472"/>
      <c r="C117" s="2230">
        <f>doses!D111</f>
        <v>0</v>
      </c>
      <c r="D117" s="2230">
        <f>doses!D112</f>
        <v>0</v>
      </c>
      <c r="E117" s="2230">
        <f>doses!D113</f>
        <v>0</v>
      </c>
      <c r="F117" s="2230">
        <f>doses!D114</f>
        <v>0</v>
      </c>
      <c r="G117" s="2230" t="str">
        <f>doses!D126</f>
        <v>*</v>
      </c>
      <c r="H117" s="2311" t="e">
        <f ca="1">doses!D125</f>
        <v>#VALUE!</v>
      </c>
      <c r="I117" s="2231" t="str">
        <f ca="1">doses!D127</f>
        <v>NPA</v>
      </c>
      <c r="J117" s="2228" t="str">
        <f ca="1">IF(OR($J$114="x",ISERR(H117)),"x","")</f>
        <v>x</v>
      </c>
    </row>
    <row r="118" spans="1:10" x14ac:dyDescent="0.25">
      <c r="A118" s="2472">
        <f>doses!E110</f>
        <v>0</v>
      </c>
      <c r="B118" s="2472"/>
      <c r="C118" s="2230">
        <f>doses!E111</f>
        <v>0</v>
      </c>
      <c r="D118" s="2230">
        <f>doses!E112</f>
        <v>0</v>
      </c>
      <c r="E118" s="2230">
        <f>doses!E113</f>
        <v>0</v>
      </c>
      <c r="F118" s="2230">
        <f>doses!E114</f>
        <v>0</v>
      </c>
      <c r="G118" s="2230" t="str">
        <f>doses!E126</f>
        <v>*</v>
      </c>
      <c r="H118" s="2311" t="e">
        <f ca="1">doses!E125</f>
        <v>#VALUE!</v>
      </c>
      <c r="I118" s="2231" t="str">
        <f ca="1">doses!E127</f>
        <v>NPA</v>
      </c>
      <c r="J118" s="2228" t="str">
        <f ca="1">IF(OR($J$114="x",ISERR(H118)),"x","")</f>
        <v>x</v>
      </c>
    </row>
    <row r="119" spans="1:10" x14ac:dyDescent="0.25">
      <c r="A119" s="2472">
        <f>doses!F110</f>
        <v>0</v>
      </c>
      <c r="B119" s="2472"/>
      <c r="C119" s="2230">
        <f>doses!F111</f>
        <v>0</v>
      </c>
      <c r="D119" s="2230">
        <f>doses!F112</f>
        <v>0</v>
      </c>
      <c r="E119" s="2230">
        <f>doses!F113</f>
        <v>0</v>
      </c>
      <c r="F119" s="2230">
        <f>doses!F114</f>
        <v>0</v>
      </c>
      <c r="G119" s="2230" t="str">
        <f>doses!F126</f>
        <v>*</v>
      </c>
      <c r="H119" s="2311" t="e">
        <f ca="1">doses!F125</f>
        <v>#VALUE!</v>
      </c>
      <c r="I119" s="2231" t="str">
        <f ca="1">doses!F127</f>
        <v>NPA</v>
      </c>
      <c r="J119" s="2228" t="str">
        <f ca="1">IF(OR($J$114="x",ISERR(H119)),"x","")</f>
        <v>x</v>
      </c>
    </row>
    <row r="120" spans="1:10" s="2243" customFormat="1" ht="15.6" customHeight="1" x14ac:dyDescent="0.25">
      <c r="A120" s="2488" t="s">
        <v>2406</v>
      </c>
      <c r="B120" s="2488"/>
      <c r="C120" s="2488"/>
      <c r="D120" s="2488"/>
      <c r="E120" s="2488"/>
      <c r="F120" s="2488"/>
      <c r="G120" s="2488"/>
      <c r="H120" s="2488"/>
      <c r="I120" s="2488"/>
      <c r="J120" s="2228" t="s">
        <v>649</v>
      </c>
    </row>
    <row r="121" spans="1:10" ht="30" customHeight="1" x14ac:dyDescent="0.25">
      <c r="A121" s="2481" t="s">
        <v>1887</v>
      </c>
      <c r="B121" s="2481"/>
      <c r="C121" s="2481"/>
      <c r="D121" s="2481"/>
      <c r="E121" s="2481"/>
      <c r="F121" s="2481"/>
      <c r="G121" s="2481"/>
      <c r="H121" s="2481"/>
      <c r="I121" s="2481"/>
      <c r="J121" s="2228" t="str">
        <f>J113</f>
        <v>x</v>
      </c>
    </row>
    <row r="122" spans="1:10" x14ac:dyDescent="0.25">
      <c r="A122" s="2233"/>
      <c r="B122" s="2233"/>
      <c r="C122" s="2233"/>
      <c r="D122" s="2233"/>
      <c r="E122" s="2233"/>
      <c r="F122" s="2233"/>
      <c r="G122" s="2233"/>
      <c r="H122" s="2233"/>
      <c r="I122" s="2233"/>
    </row>
    <row r="123" spans="1:10" x14ac:dyDescent="0.25">
      <c r="A123" s="281" t="s">
        <v>895</v>
      </c>
      <c r="B123" s="2224"/>
      <c r="C123" s="2224"/>
      <c r="D123" s="2224"/>
      <c r="E123" s="2224"/>
      <c r="F123" s="2224"/>
      <c r="G123" s="2224"/>
      <c r="H123" s="2224"/>
      <c r="I123" s="2224"/>
    </row>
    <row r="124" spans="1:10" x14ac:dyDescent="0.25">
      <c r="A124" s="2476" t="str">
        <f>CONCATENATE("                 ",Tabelas2!S4)</f>
        <v xml:space="preserve">                 Medidor de tensão, tempo, dose e camada semirredutora marca RaySafe, modelo X2 8251010-6, série 257741, sensor modelo 8252010-6, série 260722, certificado de calibração em anexo.</v>
      </c>
      <c r="B124" s="2476"/>
      <c r="C124" s="2476"/>
      <c r="D124" s="2476"/>
      <c r="E124" s="2476"/>
      <c r="F124" s="2476"/>
      <c r="G124" s="2476"/>
      <c r="H124" s="2476"/>
      <c r="I124" s="2476"/>
    </row>
    <row r="125" spans="1:10" x14ac:dyDescent="0.25">
      <c r="A125" s="2476"/>
      <c r="B125" s="2476"/>
      <c r="C125" s="2476"/>
      <c r="D125" s="2476"/>
      <c r="E125" s="2476"/>
      <c r="F125" s="2476"/>
      <c r="G125" s="2476"/>
      <c r="H125" s="2476"/>
      <c r="I125" s="2476"/>
    </row>
    <row r="126" spans="1:10" hidden="1" x14ac:dyDescent="0.25">
      <c r="A126" s="2825" t="str">
        <f>CONCATENATE("                 ",Tabelas2!U4)</f>
        <v xml:space="preserve">                 Medidor de tensão, tempo, dose e camada semirredutora marca RaySafe, modelo X2 8252030-3, série 257015, certificados de calibração em anexo.</v>
      </c>
      <c r="B126" s="2825"/>
      <c r="C126" s="2825"/>
      <c r="D126" s="2825"/>
      <c r="E126" s="2825"/>
      <c r="F126" s="2825"/>
      <c r="G126" s="2825"/>
      <c r="H126" s="2825"/>
      <c r="I126" s="2825"/>
      <c r="J126" s="2228" t="str">
        <f>IF(Cabeçalho!B14="Tomografia computadorizada","","x")</f>
        <v>x</v>
      </c>
    </row>
    <row r="127" spans="1:10" ht="15" hidden="1" customHeight="1" x14ac:dyDescent="0.25">
      <c r="A127" s="2825"/>
      <c r="B127" s="2825"/>
      <c r="C127" s="2825"/>
      <c r="D127" s="2825"/>
      <c r="E127" s="2825"/>
      <c r="F127" s="2825"/>
      <c r="G127" s="2825"/>
      <c r="H127" s="2825"/>
      <c r="I127" s="2825"/>
      <c r="J127" s="2228" t="str">
        <f>J126</f>
        <v>x</v>
      </c>
    </row>
    <row r="128" spans="1:10" x14ac:dyDescent="0.25">
      <c r="A128" s="2476" t="s">
        <v>1024</v>
      </c>
      <c r="B128" s="2476"/>
      <c r="C128" s="2476"/>
      <c r="D128" s="2476"/>
      <c r="E128" s="2476"/>
      <c r="F128" s="2476"/>
      <c r="G128" s="2476"/>
      <c r="H128" s="2476"/>
      <c r="I128" s="2476"/>
    </row>
    <row r="129" spans="1:10" x14ac:dyDescent="0.25">
      <c r="A129" s="2476"/>
      <c r="B129" s="2476"/>
      <c r="C129" s="2476"/>
      <c r="D129" s="2476"/>
      <c r="E129" s="2476"/>
      <c r="F129" s="2476"/>
      <c r="G129" s="2476"/>
      <c r="H129" s="2476"/>
      <c r="I129" s="2476"/>
    </row>
    <row r="130" spans="1:10" x14ac:dyDescent="0.25">
      <c r="A130" s="2226"/>
      <c r="B130" s="2226"/>
      <c r="C130" s="2226"/>
      <c r="D130" s="2226"/>
      <c r="E130" s="2226"/>
      <c r="F130" s="2226"/>
      <c r="G130" s="2226"/>
      <c r="H130" s="2226"/>
      <c r="I130" s="2226"/>
    </row>
    <row r="131" spans="1:10" x14ac:dyDescent="0.25">
      <c r="A131" s="280" t="s">
        <v>688</v>
      </c>
      <c r="B131" s="2226"/>
      <c r="C131" s="2226"/>
      <c r="D131" s="2226"/>
      <c r="E131" s="2226"/>
      <c r="F131" s="2226"/>
      <c r="G131" s="2226"/>
      <c r="H131" s="2226"/>
      <c r="I131" s="2226"/>
    </row>
    <row r="132" spans="1:10" x14ac:dyDescent="0.25">
      <c r="A132" s="2469" t="str">
        <f>IntroPrazoArmazenamento</f>
        <v xml:space="preserve">               Este documento deve ser arquivado e mantido à disposição da autoridade sanitária local, garantindo sua rastreabilidade pelo prazo mínimo de 5 anos. </v>
      </c>
      <c r="B132" s="2469"/>
      <c r="C132" s="2469"/>
      <c r="D132" s="2469"/>
      <c r="E132" s="2469"/>
      <c r="F132" s="2469"/>
      <c r="G132" s="2469"/>
      <c r="H132" s="2469"/>
      <c r="I132" s="2469"/>
    </row>
    <row r="133" spans="1:10" x14ac:dyDescent="0.25">
      <c r="A133" s="2469"/>
      <c r="B133" s="2469"/>
      <c r="C133" s="2469"/>
      <c r="D133" s="2469"/>
      <c r="E133" s="2469"/>
      <c r="F133" s="2469"/>
      <c r="G133" s="2469"/>
      <c r="H133" s="2469"/>
      <c r="I133" s="2469"/>
    </row>
    <row r="134" spans="1:10" x14ac:dyDescent="0.25">
      <c r="A134" s="2476" t="s">
        <v>838</v>
      </c>
      <c r="B134" s="2476"/>
      <c r="C134" s="2476"/>
      <c r="D134" s="2476"/>
      <c r="E134" s="2476"/>
      <c r="F134" s="2476"/>
      <c r="G134" s="2476"/>
      <c r="H134" s="2476"/>
      <c r="I134" s="2476"/>
    </row>
    <row r="135" spans="1:10" x14ac:dyDescent="0.25">
      <c r="A135" s="2476"/>
      <c r="B135" s="2476"/>
      <c r="C135" s="2476"/>
      <c r="D135" s="2476"/>
      <c r="E135" s="2476"/>
      <c r="F135" s="2476"/>
      <c r="G135" s="2476"/>
      <c r="H135" s="2476"/>
      <c r="I135" s="2476"/>
    </row>
    <row r="136" spans="1:10" x14ac:dyDescent="0.25">
      <c r="A136" s="2476"/>
      <c r="B136" s="2476"/>
      <c r="C136" s="2476"/>
      <c r="D136" s="2476"/>
      <c r="E136" s="2476"/>
      <c r="F136" s="2476"/>
      <c r="G136" s="2476"/>
      <c r="H136" s="2476"/>
      <c r="I136" s="2476"/>
    </row>
    <row r="137" spans="1:10" x14ac:dyDescent="0.25">
      <c r="A137" s="2476"/>
      <c r="B137" s="2476"/>
      <c r="C137" s="2476"/>
      <c r="D137" s="2476"/>
      <c r="E137" s="2476"/>
      <c r="F137" s="2476"/>
      <c r="G137" s="2476"/>
      <c r="H137" s="2476"/>
      <c r="I137" s="2476"/>
    </row>
    <row r="138" spans="1:10" x14ac:dyDescent="0.25">
      <c r="A138" s="2476"/>
      <c r="B138" s="2476"/>
      <c r="C138" s="2476"/>
      <c r="D138" s="2476"/>
      <c r="E138" s="2476"/>
      <c r="F138" s="2476"/>
      <c r="G138" s="2476"/>
      <c r="H138" s="2476"/>
      <c r="I138" s="2476"/>
    </row>
    <row r="139" spans="1:10" x14ac:dyDescent="0.25">
      <c r="A139" s="2476"/>
      <c r="B139" s="2476"/>
      <c r="C139" s="2476"/>
      <c r="D139" s="2476"/>
      <c r="E139" s="2476"/>
      <c r="F139" s="2476"/>
      <c r="G139" s="2476"/>
      <c r="H139" s="2476"/>
      <c r="I139" s="2476"/>
    </row>
    <row r="140" spans="1:10" x14ac:dyDescent="0.25">
      <c r="A140" s="2476"/>
      <c r="B140" s="2476"/>
      <c r="C140" s="2476"/>
      <c r="D140" s="2476"/>
      <c r="E140" s="2476"/>
      <c r="F140" s="2476"/>
      <c r="G140" s="2476"/>
      <c r="H140" s="2476"/>
      <c r="I140" s="2476"/>
    </row>
    <row r="141" spans="1:10" x14ac:dyDescent="0.25">
      <c r="A141" s="2476"/>
      <c r="B141" s="2476"/>
      <c r="C141" s="2476"/>
      <c r="D141" s="2476"/>
      <c r="E141" s="2476"/>
      <c r="F141" s="2476"/>
      <c r="G141" s="2476"/>
      <c r="H141" s="2476"/>
      <c r="I141" s="2476"/>
    </row>
    <row r="142" spans="1:10" x14ac:dyDescent="0.25">
      <c r="A142" s="2477" t="s">
        <v>1655</v>
      </c>
      <c r="B142" s="2477"/>
      <c r="C142" s="2477"/>
      <c r="D142" s="2477"/>
      <c r="E142" s="2477"/>
      <c r="F142" s="2477"/>
      <c r="G142" s="2477"/>
      <c r="H142" s="2477"/>
      <c r="I142" s="2477"/>
      <c r="J142" s="2228" t="str">
        <f>IF(Cabeçalho!B14="Extraoral",IF(COUNTIF(I115:I119,"NPA")&gt;0,"","x"),"x")</f>
        <v>x</v>
      </c>
    </row>
    <row r="143" spans="1:10" x14ac:dyDescent="0.25">
      <c r="A143" s="2477"/>
      <c r="B143" s="2477"/>
      <c r="C143" s="2477"/>
      <c r="D143" s="2477"/>
      <c r="E143" s="2477"/>
      <c r="F143" s="2477"/>
      <c r="G143" s="2477"/>
      <c r="H143" s="2477"/>
      <c r="I143" s="2477"/>
      <c r="J143" s="2228" t="str">
        <f>J142</f>
        <v>x</v>
      </c>
    </row>
    <row r="144" spans="1:10" x14ac:dyDescent="0.25">
      <c r="A144" s="2477"/>
      <c r="B144" s="2477"/>
      <c r="C144" s="2477"/>
      <c r="D144" s="2477"/>
      <c r="E144" s="2477"/>
      <c r="F144" s="2477"/>
      <c r="G144" s="2477"/>
      <c r="H144" s="2477"/>
      <c r="I144" s="2477"/>
      <c r="J144" s="2228" t="str">
        <f>J143</f>
        <v>x</v>
      </c>
    </row>
    <row r="145" spans="1:21" x14ac:dyDescent="0.25">
      <c r="A145" s="2477"/>
      <c r="B145" s="2477"/>
      <c r="C145" s="2477"/>
      <c r="D145" s="2477"/>
      <c r="E145" s="2477"/>
      <c r="F145" s="2477"/>
      <c r="G145" s="2477"/>
      <c r="H145" s="2477"/>
      <c r="I145" s="2477"/>
      <c r="J145" s="2228" t="str">
        <f>J144</f>
        <v>x</v>
      </c>
    </row>
    <row r="146" spans="1:21" x14ac:dyDescent="0.25">
      <c r="A146" s="2236"/>
      <c r="B146" s="2236"/>
      <c r="C146" s="2236"/>
      <c r="D146" s="2236"/>
      <c r="E146" s="2236"/>
      <c r="F146" s="2236"/>
      <c r="G146" s="2236"/>
      <c r="H146" s="2236"/>
      <c r="I146" s="2236"/>
      <c r="K146" s="2235"/>
    </row>
    <row r="147" spans="1:21" x14ac:dyDescent="0.25">
      <c r="A147" s="281" t="s">
        <v>2063</v>
      </c>
      <c r="B147" s="2236"/>
      <c r="C147" s="2236"/>
      <c r="D147" s="2236"/>
      <c r="E147" s="2236"/>
      <c r="F147" s="2236"/>
      <c r="G147" s="2236"/>
      <c r="H147" s="2236"/>
      <c r="I147" s="2236"/>
      <c r="K147" s="2235"/>
    </row>
    <row r="148" spans="1:21" x14ac:dyDescent="0.25">
      <c r="A148" s="2477"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48" s="2477"/>
      <c r="C148" s="2477"/>
      <c r="D148" s="2477"/>
      <c r="E148" s="2477"/>
      <c r="F148" s="2477"/>
      <c r="G148" s="2477"/>
      <c r="H148" s="2477"/>
      <c r="I148" s="2477"/>
      <c r="K148" s="2235"/>
    </row>
    <row r="149" spans="1:21" x14ac:dyDescent="0.25">
      <c r="A149" s="2477"/>
      <c r="B149" s="2477"/>
      <c r="C149" s="2477"/>
      <c r="D149" s="2477"/>
      <c r="E149" s="2477"/>
      <c r="F149" s="2477"/>
      <c r="G149" s="2477"/>
      <c r="H149" s="2477"/>
      <c r="I149" s="2477"/>
      <c r="K149" s="2235"/>
    </row>
    <row r="150" spans="1:21" x14ac:dyDescent="0.25">
      <c r="A150" s="2477"/>
      <c r="B150" s="2477"/>
      <c r="C150" s="2477"/>
      <c r="D150" s="2477"/>
      <c r="E150" s="2477"/>
      <c r="F150" s="2477"/>
      <c r="G150" s="2477"/>
      <c r="H150" s="2477"/>
      <c r="I150" s="2477"/>
      <c r="K150" s="2235"/>
    </row>
    <row r="151" spans="1:21" x14ac:dyDescent="0.25">
      <c r="A151" s="2477"/>
      <c r="B151" s="2477"/>
      <c r="C151" s="2477"/>
      <c r="D151" s="2477"/>
      <c r="E151" s="2477"/>
      <c r="F151" s="2477"/>
      <c r="G151" s="2477"/>
      <c r="H151" s="2477"/>
      <c r="I151" s="2477"/>
      <c r="K151" s="2235"/>
    </row>
    <row r="152" spans="1:21" x14ac:dyDescent="0.25">
      <c r="A152" s="2477"/>
      <c r="B152" s="2477"/>
      <c r="C152" s="2477"/>
      <c r="D152" s="2477"/>
      <c r="E152" s="2477"/>
      <c r="F152" s="2477"/>
      <c r="G152" s="2477"/>
      <c r="H152" s="2477"/>
      <c r="I152" s="2477"/>
      <c r="K152" s="2235"/>
    </row>
    <row r="153" spans="1:21" ht="15.75" customHeight="1" x14ac:dyDescent="0.25">
      <c r="A153" s="2787" t="s">
        <v>2715</v>
      </c>
      <c r="B153" s="2787"/>
      <c r="C153" s="2918" t="e">
        <f>EDATE(Cabeçalho!B12,12)</f>
        <v>#N/A</v>
      </c>
      <c r="D153" s="2918"/>
      <c r="E153" s="2236"/>
      <c r="F153" s="2236"/>
      <c r="G153" s="2236"/>
      <c r="H153" s="2236"/>
      <c r="I153" s="2236"/>
      <c r="K153" s="2235"/>
    </row>
    <row r="154" spans="1:21" x14ac:dyDescent="0.25">
      <c r="A154" s="2236"/>
      <c r="B154" s="2236"/>
      <c r="C154" s="2236"/>
      <c r="D154" s="2236"/>
      <c r="E154" s="2236"/>
      <c r="F154" s="2236"/>
      <c r="G154" s="2236"/>
      <c r="H154" s="2236"/>
      <c r="I154" s="2236"/>
      <c r="K154" s="2235"/>
    </row>
    <row r="155" spans="1:21" x14ac:dyDescent="0.25">
      <c r="A155" s="2236"/>
      <c r="B155" s="2236"/>
      <c r="C155" s="2236"/>
      <c r="D155" s="2236"/>
      <c r="E155" s="2236"/>
      <c r="F155" s="2236"/>
      <c r="G155" s="2236"/>
      <c r="H155" s="2236"/>
      <c r="I155" s="2236"/>
      <c r="K155" s="2235"/>
    </row>
    <row r="156" spans="1:21" ht="15" customHeight="1" x14ac:dyDescent="0.25">
      <c r="A156" s="281" t="s">
        <v>193</v>
      </c>
      <c r="M156" s="2235">
        <f ca="1">IF(OR(Cabeçalho!$B$14="Raios X convencional",Cabeçalho!$B$14="Raios X com fluoroscopia"),COUNTIF(H57:H70,"Não"),0)+IF(Cabeçalho!B14="Tomografia computadorizada",COUNTIF(I76:I84,"Não"),0)+IF(Cabeçalho!B14="Mamografia",COUNTIF(H90:H98,"Não"),0)+IF(Cabeçalho!B14="Extraoral",COUNTIF(I115:I119,"Não"),0)+IF(J161="x",0,1)</f>
        <v>0</v>
      </c>
    </row>
    <row r="157" spans="1:21" x14ac:dyDescent="0.25">
      <c r="A157" s="2477" t="e">
        <f ca="1">IF(M156&gt;0,IF(Cabeçalho!B14="Mamografia","                Há valores representativos de dose glandular média acima da tolerância estabelecida "&amp;VLOOKUP(Cabeçalho!$B$14,'LR e FUGA'!$L$66:$N$72,3,FALSE)&amp;". As demais doses avaliadas atendem os requisitos estabelecidos na RDC "&amp;VLOOKUP("rdc",IN_ANVISA[],2)&amp;"/"&amp;VLOOKUP("rdc",IN_ANVISA[],3)&amp;" e "&amp;VLOOKUP(Cabeçalho!$B$14,'LR e FUGA'!$L$66:$N$72,3,FALSE)&amp;".","                Há valores representativos de dose acima da Referência Máxima estabelecida "&amp;VLOOKUP(Cabeçalho!$B$14,'LR e FUGA'!$L$66:$N$72,3,FALSE)&amp;". As demais doses avaliadas atendem os requisitos estabelecidos na RDC "&amp;VLOOKUP("rdc",IN_ANVISA[],2)&amp;"/"&amp;VLOOKUP("rdc",IN_ANVISA[],3)&amp;"  e "&amp;VLOOKUP(Cabeçalho!$B$14,'LR e FUGA'!$L$66:$N$72,3,FALSE)&amp;"."),"                Os valores representativos de dose atendem os requisitos estabelecidos na RDC "&amp;VLOOKUP("rdc",IN_ANVISA[],2)&amp;"/"&amp;VLOOKUP("rdc",IN_ANVISA[],3)&amp;" e "&amp;VLOOKUP(Cabeçalho!$B$14,'LR e FUGA'!$L$66:$N$72,3,FALSE)&amp;".")</f>
        <v>#N/A</v>
      </c>
      <c r="B157" s="2477"/>
      <c r="C157" s="2477"/>
      <c r="D157" s="2477"/>
      <c r="E157" s="2477"/>
      <c r="F157" s="2477"/>
      <c r="G157" s="2477"/>
      <c r="H157" s="2477"/>
      <c r="I157" s="2477"/>
    </row>
    <row r="158" spans="1:21" x14ac:dyDescent="0.25">
      <c r="A158" s="2477"/>
      <c r="B158" s="2477"/>
      <c r="C158" s="2477"/>
      <c r="D158" s="2477"/>
      <c r="E158" s="2477"/>
      <c r="F158" s="2477"/>
      <c r="G158" s="2477"/>
      <c r="H158" s="2477"/>
      <c r="I158" s="2477"/>
    </row>
    <row r="159" spans="1:21" x14ac:dyDescent="0.25">
      <c r="A159" s="2477"/>
      <c r="B159" s="2477"/>
      <c r="C159" s="2477"/>
      <c r="D159" s="2477"/>
      <c r="E159" s="2477"/>
      <c r="F159" s="2477"/>
      <c r="G159" s="2477"/>
      <c r="H159" s="2477"/>
      <c r="I159" s="2477"/>
      <c r="M159" s="2476" t="s">
        <v>843</v>
      </c>
      <c r="N159" s="2476"/>
      <c r="O159" s="2476"/>
      <c r="P159" s="2476"/>
      <c r="Q159" s="2476"/>
      <c r="R159" s="2476"/>
      <c r="S159" s="2476"/>
      <c r="T159" s="2476"/>
      <c r="U159" s="2476"/>
    </row>
    <row r="160" spans="1:21" x14ac:dyDescent="0.25">
      <c r="A160" s="2477"/>
      <c r="B160" s="2477"/>
      <c r="C160" s="2477"/>
      <c r="D160" s="2477"/>
      <c r="E160" s="2477"/>
      <c r="F160" s="2477"/>
      <c r="G160" s="2477"/>
      <c r="H160" s="2477"/>
      <c r="I160" s="2477"/>
      <c r="M160" s="2476"/>
      <c r="N160" s="2476"/>
      <c r="O160" s="2476"/>
      <c r="P160" s="2476"/>
      <c r="Q160" s="2476"/>
      <c r="R160" s="2476"/>
      <c r="S160" s="2476"/>
      <c r="T160" s="2476"/>
      <c r="U160" s="2476"/>
    </row>
    <row r="161" spans="1:21" x14ac:dyDescent="0.25">
      <c r="A161" s="2469"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161" s="2469"/>
      <c r="C161" s="2469"/>
      <c r="D161" s="2469"/>
      <c r="E161" s="2469"/>
      <c r="F161" s="2469"/>
      <c r="G161" s="2469"/>
      <c r="H161" s="2469"/>
      <c r="I161" s="2469"/>
      <c r="J161" s="2228" t="str">
        <f ca="1">IF(COUNTIF(I115:I119,"Restrição")&gt;0,"","x")</f>
        <v>x</v>
      </c>
      <c r="M161" s="2476"/>
      <c r="N161" s="2476"/>
      <c r="O161" s="2476"/>
      <c r="P161" s="2476"/>
      <c r="Q161" s="2476"/>
      <c r="R161" s="2476"/>
      <c r="S161" s="2476"/>
      <c r="T161" s="2476"/>
      <c r="U161" s="2476"/>
    </row>
    <row r="162" spans="1:21" x14ac:dyDescent="0.25">
      <c r="A162" s="2469"/>
      <c r="B162" s="2469"/>
      <c r="C162" s="2469"/>
      <c r="D162" s="2469"/>
      <c r="E162" s="2469"/>
      <c r="F162" s="2469"/>
      <c r="G162" s="2469"/>
      <c r="H162" s="2469"/>
      <c r="I162" s="2469"/>
      <c r="J162" s="2228" t="str">
        <f ca="1">J161</f>
        <v>x</v>
      </c>
      <c r="M162" s="2476" t="s">
        <v>844</v>
      </c>
      <c r="N162" s="2476"/>
      <c r="O162" s="2476"/>
      <c r="P162" s="2476"/>
      <c r="Q162" s="2476"/>
      <c r="R162" s="2476"/>
      <c r="S162" s="2476"/>
      <c r="T162" s="2476"/>
      <c r="U162" s="2476"/>
    </row>
    <row r="163" spans="1:21" x14ac:dyDescent="0.25">
      <c r="A163" s="2469"/>
      <c r="B163" s="2469"/>
      <c r="C163" s="2469"/>
      <c r="D163" s="2469"/>
      <c r="E163" s="2469"/>
      <c r="F163" s="2469"/>
      <c r="G163" s="2469"/>
      <c r="H163" s="2469"/>
      <c r="I163" s="2469"/>
      <c r="J163" s="2228" t="str">
        <f ca="1">J162</f>
        <v>x</v>
      </c>
      <c r="M163" s="2476"/>
      <c r="N163" s="2476"/>
      <c r="O163" s="2476"/>
      <c r="P163" s="2476"/>
      <c r="Q163" s="2476"/>
      <c r="R163" s="2476"/>
      <c r="S163" s="2476"/>
      <c r="T163" s="2476"/>
      <c r="U163" s="2476"/>
    </row>
    <row r="164" spans="1:21" x14ac:dyDescent="0.25">
      <c r="A164" s="2469"/>
      <c r="B164" s="2469"/>
      <c r="C164" s="2469"/>
      <c r="D164" s="2469"/>
      <c r="E164" s="2469"/>
      <c r="F164" s="2469"/>
      <c r="G164" s="2469"/>
      <c r="H164" s="2469"/>
      <c r="I164" s="2469"/>
      <c r="J164" s="2228" t="str">
        <f ca="1">J163</f>
        <v>x</v>
      </c>
      <c r="M164" s="2476"/>
      <c r="N164" s="2476"/>
      <c r="O164" s="2476"/>
      <c r="P164" s="2476"/>
      <c r="Q164" s="2476"/>
      <c r="R164" s="2476"/>
      <c r="S164" s="2476"/>
      <c r="T164" s="2476"/>
      <c r="U164" s="2476"/>
    </row>
    <row r="165" spans="1:21" x14ac:dyDescent="0.25">
      <c r="A165" s="2469"/>
      <c r="B165" s="2469"/>
      <c r="C165" s="2469"/>
      <c r="D165" s="2469"/>
      <c r="E165" s="2469"/>
      <c r="F165" s="2469"/>
      <c r="G165" s="2469"/>
      <c r="H165" s="2469"/>
      <c r="I165" s="2469"/>
      <c r="J165" s="2228" t="str">
        <f ca="1">J164</f>
        <v>x</v>
      </c>
      <c r="M165" s="2476" t="s">
        <v>845</v>
      </c>
      <c r="N165" s="2476"/>
      <c r="O165" s="2476"/>
      <c r="P165" s="2476"/>
      <c r="Q165" s="2476"/>
      <c r="R165" s="2476"/>
      <c r="S165" s="2476"/>
      <c r="T165" s="2476"/>
      <c r="U165" s="2476"/>
    </row>
    <row r="166" spans="1:21" x14ac:dyDescent="0.25">
      <c r="A166" s="2469"/>
      <c r="B166" s="2469"/>
      <c r="C166" s="2469"/>
      <c r="D166" s="2469"/>
      <c r="E166" s="2469"/>
      <c r="F166" s="2469"/>
      <c r="G166" s="2469"/>
      <c r="H166" s="2469"/>
      <c r="I166" s="2469"/>
      <c r="J166" s="2228" t="str">
        <f ca="1">J165</f>
        <v>x</v>
      </c>
      <c r="M166" s="2476"/>
      <c r="N166" s="2476"/>
      <c r="O166" s="2476"/>
      <c r="P166" s="2476"/>
      <c r="Q166" s="2476"/>
      <c r="R166" s="2476"/>
      <c r="S166" s="2476"/>
      <c r="T166" s="2476"/>
      <c r="U166" s="2476"/>
    </row>
    <row r="167" spans="1:21" x14ac:dyDescent="0.25">
      <c r="M167" s="2476"/>
      <c r="N167" s="2476"/>
      <c r="O167" s="2476"/>
      <c r="P167" s="2476"/>
      <c r="Q167" s="2476"/>
      <c r="R167" s="2476"/>
      <c r="S167" s="2476"/>
      <c r="T167" s="2476"/>
      <c r="U167" s="2476"/>
    </row>
    <row r="168" spans="1:21" x14ac:dyDescent="0.25">
      <c r="M168" s="2476" t="s">
        <v>846</v>
      </c>
      <c r="N168" s="2476"/>
      <c r="O168" s="2476"/>
      <c r="P168" s="2476"/>
      <c r="Q168" s="2476"/>
      <c r="R168" s="2476"/>
      <c r="S168" s="2476"/>
      <c r="T168" s="2476"/>
      <c r="U168" s="2476"/>
    </row>
    <row r="169" spans="1:21" x14ac:dyDescent="0.25">
      <c r="M169" s="2476"/>
      <c r="N169" s="2476"/>
      <c r="O169" s="2476"/>
      <c r="P169" s="2476"/>
      <c r="Q169" s="2476"/>
      <c r="R169" s="2476"/>
      <c r="S169" s="2476"/>
      <c r="T169" s="2476"/>
      <c r="U169" s="2476"/>
    </row>
    <row r="170" spans="1:21" x14ac:dyDescent="0.25">
      <c r="M170" s="2476" t="s">
        <v>847</v>
      </c>
      <c r="N170" s="2476"/>
      <c r="O170" s="2476"/>
      <c r="P170" s="2476"/>
      <c r="Q170" s="2476"/>
      <c r="R170" s="2476"/>
      <c r="S170" s="2476"/>
      <c r="T170" s="2476"/>
      <c r="U170" s="2476"/>
    </row>
    <row r="171" spans="1:21" x14ac:dyDescent="0.25">
      <c r="M171" s="2476"/>
      <c r="N171" s="2476"/>
      <c r="O171" s="2476"/>
      <c r="P171" s="2476"/>
      <c r="Q171" s="2476"/>
      <c r="R171" s="2476"/>
      <c r="S171" s="2476"/>
      <c r="T171" s="2476"/>
      <c r="U171" s="2476"/>
    </row>
  </sheetData>
  <sheetProtection selectLockedCells="1" autoFilter="0"/>
  <autoFilter ref="J1:J166"/>
  <mergeCells count="106">
    <mergeCell ref="M165:U167"/>
    <mergeCell ref="M168:U169"/>
    <mergeCell ref="M170:U171"/>
    <mergeCell ref="A93:B93"/>
    <mergeCell ref="A142:I145"/>
    <mergeCell ref="A161:I166"/>
    <mergeCell ref="A126:I127"/>
    <mergeCell ref="A118:B118"/>
    <mergeCell ref="M159:U161"/>
    <mergeCell ref="M162:U164"/>
    <mergeCell ref="A97:B97"/>
    <mergeCell ref="A98:B98"/>
    <mergeCell ref="A100:I101"/>
    <mergeCell ref="A157:I160"/>
    <mergeCell ref="A132:I133"/>
    <mergeCell ref="A148:I152"/>
    <mergeCell ref="B111:C111"/>
    <mergeCell ref="A120:I120"/>
    <mergeCell ref="A103:I103"/>
    <mergeCell ref="B106:C106"/>
    <mergeCell ref="B107:C107"/>
    <mergeCell ref="B108:C108"/>
    <mergeCell ref="B109:C109"/>
    <mergeCell ref="B110:C110"/>
    <mergeCell ref="A119:B119"/>
    <mergeCell ref="A116:B116"/>
    <mergeCell ref="A117:B117"/>
    <mergeCell ref="A121:I121"/>
    <mergeCell ref="G82:H82"/>
    <mergeCell ref="A83:F83"/>
    <mergeCell ref="G83:H83"/>
    <mergeCell ref="A84:F84"/>
    <mergeCell ref="G84:H84"/>
    <mergeCell ref="A82:F82"/>
    <mergeCell ref="G88:G89"/>
    <mergeCell ref="D88:F88"/>
    <mergeCell ref="A90:B90"/>
    <mergeCell ref="A91:B91"/>
    <mergeCell ref="C88:C89"/>
    <mergeCell ref="D104:E104"/>
    <mergeCell ref="B105:C105"/>
    <mergeCell ref="A104:C104"/>
    <mergeCell ref="A70:B70"/>
    <mergeCell ref="A75:B75"/>
    <mergeCell ref="A65:B65"/>
    <mergeCell ref="A66:B66"/>
    <mergeCell ref="A67:B67"/>
    <mergeCell ref="A68:B68"/>
    <mergeCell ref="E1:G1"/>
    <mergeCell ref="A1:D1"/>
    <mergeCell ref="A22:I24"/>
    <mergeCell ref="A29:I32"/>
    <mergeCell ref="B36:C36"/>
    <mergeCell ref="D36:E36"/>
    <mergeCell ref="F36:G36"/>
    <mergeCell ref="H36:I36"/>
    <mergeCell ref="A3:I3"/>
    <mergeCell ref="A5:I5"/>
    <mergeCell ref="C12:I13"/>
    <mergeCell ref="C9:I10"/>
    <mergeCell ref="A25:I26"/>
    <mergeCell ref="H37:I38"/>
    <mergeCell ref="E40:J40"/>
    <mergeCell ref="A37:A38"/>
    <mergeCell ref="B37:C38"/>
    <mergeCell ref="D37:E38"/>
    <mergeCell ref="A69:B69"/>
    <mergeCell ref="F37:G38"/>
    <mergeCell ref="A64:B64"/>
    <mergeCell ref="A56:B56"/>
    <mergeCell ref="A57:B57"/>
    <mergeCell ref="A58:B58"/>
    <mergeCell ref="A59:B59"/>
    <mergeCell ref="A60:B60"/>
    <mergeCell ref="A61:B61"/>
    <mergeCell ref="A62:B62"/>
    <mergeCell ref="A63:B63"/>
    <mergeCell ref="A40:D40"/>
    <mergeCell ref="A41:D41"/>
    <mergeCell ref="E41:J41"/>
    <mergeCell ref="A50:D50"/>
    <mergeCell ref="A51:D51"/>
    <mergeCell ref="A72:I73"/>
    <mergeCell ref="A153:B153"/>
    <mergeCell ref="C153:D153"/>
    <mergeCell ref="A44:D44"/>
    <mergeCell ref="A45:D45"/>
    <mergeCell ref="A46:D46"/>
    <mergeCell ref="A48:D48"/>
    <mergeCell ref="A49:D49"/>
    <mergeCell ref="A76:B76"/>
    <mergeCell ref="A77:B77"/>
    <mergeCell ref="A78:B78"/>
    <mergeCell ref="A134:I141"/>
    <mergeCell ref="A94:B94"/>
    <mergeCell ref="A95:B95"/>
    <mergeCell ref="A96:B96"/>
    <mergeCell ref="A124:I125"/>
    <mergeCell ref="A114:B114"/>
    <mergeCell ref="A115:B115"/>
    <mergeCell ref="A81:F81"/>
    <mergeCell ref="G81:H81"/>
    <mergeCell ref="A128:I129"/>
    <mergeCell ref="H88:H89"/>
    <mergeCell ref="A88:B89"/>
    <mergeCell ref="A92:B92"/>
  </mergeCells>
  <conditionalFormatting sqref="I59:I71 H57:H71">
    <cfRule type="cellIs" dxfId="589" priority="15" operator="equal">
      <formula>"não"</formula>
    </cfRule>
  </conditionalFormatting>
  <conditionalFormatting sqref="I82">
    <cfRule type="cellIs" dxfId="588" priority="12" operator="equal">
      <formula>"Restrição"</formula>
    </cfRule>
    <cfRule type="cellIs" dxfId="587" priority="14" operator="equal">
      <formula>"não"</formula>
    </cfRule>
  </conditionalFormatting>
  <conditionalFormatting sqref="I82">
    <cfRule type="containsText" dxfId="586" priority="13" operator="containsText" text="não">
      <formula>NOT(ISERROR(SEARCH("não",I82)))</formula>
    </cfRule>
  </conditionalFormatting>
  <conditionalFormatting sqref="I83:I84">
    <cfRule type="cellIs" dxfId="585" priority="3" operator="equal">
      <formula>"Restrição"</formula>
    </cfRule>
    <cfRule type="cellIs" dxfId="584" priority="5" operator="equal">
      <formula>"não"</formula>
    </cfRule>
  </conditionalFormatting>
  <conditionalFormatting sqref="I83:I84">
    <cfRule type="containsText" dxfId="583" priority="4" operator="containsText" text="não">
      <formula>NOT(ISERROR(SEARCH("não",I83)))</formula>
    </cfRule>
  </conditionalFormatting>
  <conditionalFormatting sqref="C90:H98">
    <cfRule type="cellIs" dxfId="582" priority="2" operator="equal">
      <formula>"Não"</formula>
    </cfRule>
  </conditionalFormatting>
  <conditionalFormatting sqref="I115:I119">
    <cfRule type="containsText" dxfId="581" priority="1" operator="containsText" text="Restrição">
      <formula>NOT(ISERROR(SEARCH("Restrição",I115)))</formula>
    </cfRule>
  </conditionalFormatting>
  <pageMargins left="0.78740157480314965" right="0.19685039370078741" top="1.3779527559055118" bottom="0.98425196850393704" header="0.31496062992125984" footer="0.51181102362204722"/>
  <pageSetup paperSize="9" orientation="portrait" r:id="rId1"/>
  <headerFooter>
    <oddFooter>&amp;L&amp;F&amp;R&amp;P de &amp;N</oddFooter>
  </headerFooter>
  <rowBreaks count="1" manualBreakCount="1">
    <brk id="136" max="8"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41"/>
  <sheetViews>
    <sheetView zoomScale="130" zoomScaleNormal="130" workbookViewId="0">
      <selection activeCell="C12" sqref="C12:J13"/>
    </sheetView>
  </sheetViews>
  <sheetFormatPr defaultColWidth="8.5703125" defaultRowHeight="15" x14ac:dyDescent="0.25"/>
  <cols>
    <col min="1" max="1" width="20.85546875" style="343" customWidth="1"/>
    <col min="2" max="2" width="14.42578125" style="343" customWidth="1"/>
    <col min="3" max="3" width="13.42578125" style="343" customWidth="1"/>
    <col min="4" max="4" width="16.85546875" style="343" customWidth="1"/>
    <col min="5" max="5" width="17.140625" style="343" customWidth="1"/>
    <col min="6" max="6" width="15.140625" style="343" customWidth="1"/>
    <col min="7" max="7" width="16.42578125" style="343" customWidth="1"/>
    <col min="8" max="8" width="11.42578125" style="343" customWidth="1"/>
    <col min="9" max="9" width="8.5703125" style="343"/>
    <col min="10" max="10" width="13.5703125" style="343" customWidth="1"/>
    <col min="11" max="11" width="15.5703125" style="343" customWidth="1"/>
    <col min="12" max="16384" width="8.5703125" style="343"/>
  </cols>
  <sheetData>
    <row r="1" spans="1:8" ht="15.75" thickBot="1" x14ac:dyDescent="0.3">
      <c r="A1" s="1313" t="s">
        <v>1927</v>
      </c>
      <c r="B1" s="1312" t="str">
        <f>"IN "&amp;VLOOKUP("Ultrassom",IN_ANVISA[],2)</f>
        <v>IN 96</v>
      </c>
    </row>
    <row r="2" spans="1:8" ht="15.75" thickBot="1" x14ac:dyDescent="0.3">
      <c r="A2" s="2967" t="str">
        <f>"Equipamento - "&amp;UPPER(Cabeçalho!B14)</f>
        <v xml:space="preserve">Equipamento - </v>
      </c>
      <c r="B2" s="2968"/>
      <c r="C2" s="2968"/>
      <c r="D2" s="2968"/>
      <c r="E2" s="2969"/>
    </row>
    <row r="4" spans="1:8" x14ac:dyDescent="0.25">
      <c r="A4" s="2976" t="s">
        <v>1571</v>
      </c>
      <c r="B4" s="2976"/>
      <c r="C4" s="2976"/>
      <c r="D4" s="2976"/>
      <c r="E4" s="1324">
        <v>1</v>
      </c>
    </row>
    <row r="5" spans="1:8" ht="17.25" customHeight="1" x14ac:dyDescent="0.25">
      <c r="A5" s="2976" t="s">
        <v>1570</v>
      </c>
      <c r="B5" s="2976"/>
      <c r="C5" s="2976"/>
      <c r="D5" s="2976"/>
      <c r="E5" s="345" t="s">
        <v>1535</v>
      </c>
    </row>
    <row r="6" spans="1:8" ht="17.25" customHeight="1" x14ac:dyDescent="0.25">
      <c r="A6" s="2973" t="s">
        <v>1598</v>
      </c>
      <c r="B6" s="2973"/>
      <c r="C6" s="2973"/>
      <c r="D6" s="2973"/>
      <c r="E6" s="1836" t="s">
        <v>3</v>
      </c>
    </row>
    <row r="7" spans="1:8" ht="17.25" customHeight="1" x14ac:dyDescent="0.25">
      <c r="A7" s="2974" t="s">
        <v>1492</v>
      </c>
      <c r="B7" s="2974"/>
      <c r="C7" s="2974"/>
      <c r="D7" s="2975"/>
      <c r="E7" s="1836" t="s">
        <v>3</v>
      </c>
    </row>
    <row r="8" spans="1:8" ht="17.25" customHeight="1" x14ac:dyDescent="0.25">
      <c r="A8" s="2974" t="s">
        <v>1493</v>
      </c>
      <c r="B8" s="2974"/>
      <c r="C8" s="2974"/>
      <c r="D8" s="2975"/>
      <c r="E8" s="1836" t="s">
        <v>3</v>
      </c>
      <c r="F8" s="1245"/>
      <c r="G8" s="1245"/>
      <c r="H8" s="1245"/>
    </row>
    <row r="9" spans="1:8" ht="17.25" customHeight="1" x14ac:dyDescent="0.25">
      <c r="A9" s="2974" t="s">
        <v>1494</v>
      </c>
      <c r="B9" s="2974"/>
      <c r="C9" s="2974"/>
      <c r="D9" s="2975"/>
      <c r="E9" s="1836" t="s">
        <v>3</v>
      </c>
    </row>
    <row r="10" spans="1:8" ht="17.25" customHeight="1" x14ac:dyDescent="0.25">
      <c r="A10" s="2974" t="s">
        <v>1495</v>
      </c>
      <c r="B10" s="2974"/>
      <c r="C10" s="2974"/>
      <c r="D10" s="2975"/>
      <c r="E10" s="1836" t="s">
        <v>3</v>
      </c>
    </row>
    <row r="11" spans="1:8" ht="17.25" customHeight="1" x14ac:dyDescent="0.25">
      <c r="A11" s="2974" t="s">
        <v>1499</v>
      </c>
      <c r="B11" s="2974"/>
      <c r="C11" s="2974"/>
      <c r="D11" s="2975"/>
      <c r="E11" s="402" t="s">
        <v>3</v>
      </c>
    </row>
    <row r="12" spans="1:8" ht="17.25" customHeight="1" x14ac:dyDescent="0.25">
      <c r="A12" s="2974" t="s">
        <v>1500</v>
      </c>
      <c r="B12" s="2974"/>
      <c r="C12" s="2974"/>
      <c r="D12" s="2975"/>
      <c r="E12" s="402" t="s">
        <v>3</v>
      </c>
    </row>
    <row r="13" spans="1:8" ht="17.25" customHeight="1" x14ac:dyDescent="0.25">
      <c r="A13" s="2974" t="s">
        <v>1496</v>
      </c>
      <c r="B13" s="2974"/>
      <c r="C13" s="2974"/>
      <c r="D13" s="2975"/>
      <c r="E13" s="402" t="s">
        <v>3</v>
      </c>
    </row>
    <row r="14" spans="1:8" ht="17.25" customHeight="1" x14ac:dyDescent="0.25">
      <c r="A14" s="2974" t="s">
        <v>1497</v>
      </c>
      <c r="B14" s="2974"/>
      <c r="C14" s="2974"/>
      <c r="D14" s="2975"/>
      <c r="E14" s="402" t="s">
        <v>3</v>
      </c>
    </row>
    <row r="15" spans="1:8" ht="17.25" customHeight="1" x14ac:dyDescent="0.25">
      <c r="A15" s="2974" t="s">
        <v>1498</v>
      </c>
      <c r="B15" s="2974"/>
      <c r="C15" s="2974"/>
      <c r="D15" s="2975"/>
      <c r="E15" s="402" t="s">
        <v>3</v>
      </c>
    </row>
    <row r="16" spans="1:8" ht="17.25" customHeight="1" x14ac:dyDescent="0.25">
      <c r="A16" s="2974" t="s">
        <v>1575</v>
      </c>
      <c r="B16" s="2974"/>
      <c r="C16" s="2974"/>
      <c r="D16" s="2975"/>
      <c r="E16" s="402" t="s">
        <v>3</v>
      </c>
    </row>
    <row r="17" spans="1:6" ht="17.25" customHeight="1" x14ac:dyDescent="0.25">
      <c r="A17" s="2974" t="s">
        <v>1615</v>
      </c>
      <c r="B17" s="2974"/>
      <c r="C17" s="2974"/>
      <c r="D17" s="2975"/>
      <c r="E17" s="1310" t="str">
        <f>IF(OR(C37&gt;0,D37&gt;0),"s","n")</f>
        <v>n</v>
      </c>
    </row>
    <row r="18" spans="1:6" ht="17.25" customHeight="1" x14ac:dyDescent="0.25">
      <c r="A18" s="2974" t="s">
        <v>1620</v>
      </c>
      <c r="B18" s="2974"/>
      <c r="C18" s="2974"/>
      <c r="D18" s="2975"/>
      <c r="E18" s="1338" t="str">
        <f>IF(G104="NA","n","s")</f>
        <v>n</v>
      </c>
    </row>
    <row r="19" spans="1:6" ht="17.25" customHeight="1" x14ac:dyDescent="0.25">
      <c r="A19" s="1839"/>
      <c r="B19" s="1839"/>
      <c r="C19" s="1839"/>
      <c r="D19" s="1839"/>
      <c r="E19" s="1265"/>
    </row>
    <row r="20" spans="1:6" ht="17.25" customHeight="1" x14ac:dyDescent="0.25">
      <c r="A20" s="2974" t="s">
        <v>1928</v>
      </c>
      <c r="B20" s="2974"/>
      <c r="C20" s="2974"/>
      <c r="D20" s="2975"/>
      <c r="E20" s="1836" t="s">
        <v>3</v>
      </c>
    </row>
    <row r="21" spans="1:6" ht="15.75" thickBot="1" x14ac:dyDescent="0.3"/>
    <row r="22" spans="1:6" ht="30.95" customHeight="1" thickBot="1" x14ac:dyDescent="0.3">
      <c r="A22" s="2970" t="s">
        <v>1537</v>
      </c>
      <c r="B22" s="2971"/>
      <c r="C22" s="2971"/>
      <c r="D22" s="2971"/>
      <c r="E22" s="2971"/>
      <c r="F22" s="2972"/>
    </row>
    <row r="23" spans="1:6" ht="15.75" thickBot="1" x14ac:dyDescent="0.3">
      <c r="C23" s="1249"/>
      <c r="D23" s="1249"/>
      <c r="E23" s="1249"/>
      <c r="F23" s="1249"/>
    </row>
    <row r="24" spans="1:6" ht="15.75" thickBot="1" x14ac:dyDescent="0.3">
      <c r="A24" s="1314" t="s">
        <v>1600</v>
      </c>
      <c r="B24" s="1315">
        <v>1</v>
      </c>
      <c r="C24" s="1316"/>
      <c r="D24" s="1316"/>
      <c r="E24" s="1316"/>
      <c r="F24" s="1317"/>
    </row>
    <row r="25" spans="1:6" x14ac:dyDescent="0.25">
      <c r="A25" s="1250" t="s">
        <v>336</v>
      </c>
      <c r="B25" s="1250" t="s">
        <v>119</v>
      </c>
      <c r="C25" s="1250" t="s">
        <v>120</v>
      </c>
      <c r="D25" s="1250" t="s">
        <v>1536</v>
      </c>
      <c r="E25" s="2950" t="s">
        <v>1621</v>
      </c>
      <c r="F25" s="2950"/>
    </row>
    <row r="26" spans="1:6" x14ac:dyDescent="0.25">
      <c r="A26" s="834">
        <v>1</v>
      </c>
      <c r="B26" s="834" t="s">
        <v>1632</v>
      </c>
      <c r="C26" s="834" t="s">
        <v>1633</v>
      </c>
      <c r="D26" s="834" t="s">
        <v>1633</v>
      </c>
      <c r="E26" s="2951" t="s">
        <v>1634</v>
      </c>
      <c r="F26" s="2951"/>
    </row>
    <row r="27" spans="1:6" ht="15.75" thickBot="1" x14ac:dyDescent="0.3">
      <c r="D27" s="1250"/>
    </row>
    <row r="28" spans="1:6" ht="17.25" customHeight="1" thickBot="1" x14ac:dyDescent="0.3">
      <c r="A28" s="2952" t="s">
        <v>1501</v>
      </c>
      <c r="B28" s="2953"/>
      <c r="C28" s="2953"/>
      <c r="D28" s="2953"/>
      <c r="E28" s="2953"/>
      <c r="F28" s="2954"/>
    </row>
    <row r="29" spans="1:6" ht="15.75" thickBot="1" x14ac:dyDescent="0.3">
      <c r="D29" s="1250"/>
    </row>
    <row r="30" spans="1:6" ht="15.75" customHeight="1" thickBot="1" x14ac:dyDescent="0.3">
      <c r="A30" s="2420" t="s">
        <v>1538</v>
      </c>
      <c r="B30" s="2421"/>
      <c r="C30" s="2421"/>
      <c r="D30" s="2421"/>
      <c r="E30" s="2421"/>
      <c r="F30" s="2422"/>
    </row>
    <row r="31" spans="1:6" ht="15.6" customHeight="1" x14ac:dyDescent="0.25">
      <c r="A31" s="1251" t="s">
        <v>1539</v>
      </c>
      <c r="B31" s="1252"/>
      <c r="C31" s="1252"/>
      <c r="D31" s="834"/>
      <c r="E31" s="346" t="str">
        <f>IF(D31="s","Sim",IF(D31="n","Não","NPA"))</f>
        <v>NPA</v>
      </c>
      <c r="F31" s="1252"/>
    </row>
    <row r="32" spans="1:6" s="1253" customFormat="1" x14ac:dyDescent="0.25">
      <c r="A32" s="1253" t="s">
        <v>1622</v>
      </c>
      <c r="D32" s="834"/>
    </row>
    <row r="33" spans="1:7" x14ac:dyDescent="0.25">
      <c r="A33" s="1244" t="s">
        <v>1540</v>
      </c>
      <c r="B33" s="1254"/>
      <c r="C33" s="1255"/>
      <c r="D33" s="834"/>
      <c r="E33" s="1255"/>
      <c r="F33" s="1256"/>
    </row>
    <row r="34" spans="1:7" ht="15" hidden="1" customHeight="1" x14ac:dyDescent="0.25">
      <c r="B34" s="1257"/>
      <c r="C34" s="1258"/>
      <c r="D34" s="1258"/>
      <c r="E34" s="1258"/>
      <c r="F34" s="1259"/>
    </row>
    <row r="35" spans="1:7" ht="17.25" hidden="1" customHeight="1" x14ac:dyDescent="0.25">
      <c r="A35" s="346" t="s">
        <v>1502</v>
      </c>
      <c r="B35" s="1260" t="s">
        <v>902</v>
      </c>
      <c r="C35" s="1260">
        <v>1</v>
      </c>
      <c r="D35" s="1260">
        <v>2</v>
      </c>
      <c r="E35" s="345" t="str">
        <f>"Tolerância ("&amp;$B$1&amp;")"</f>
        <v>Tolerância (IN 96)</v>
      </c>
    </row>
    <row r="36" spans="1:7" ht="32.25" hidden="1" customHeight="1" x14ac:dyDescent="0.25">
      <c r="A36" s="1260" t="s">
        <v>1503</v>
      </c>
      <c r="B36" s="402"/>
      <c r="C36" s="402"/>
      <c r="D36" s="402"/>
      <c r="E36" s="1260" t="s">
        <v>1504</v>
      </c>
    </row>
    <row r="37" spans="1:7" hidden="1" x14ac:dyDescent="0.25">
      <c r="A37" s="1267" t="str">
        <f>$B$1</f>
        <v>IN 96</v>
      </c>
      <c r="B37" s="1268" t="str">
        <f>IF(AND(C37=0,D37=0),E31,IF(OR(C37&lt;4,D37&lt;4),"Sim","Não"))</f>
        <v>NPA</v>
      </c>
      <c r="C37" s="1287">
        <f>ABS(C36-B36)</f>
        <v>0</v>
      </c>
      <c r="D37" s="1287">
        <f>ABS(D36-B36)</f>
        <v>0</v>
      </c>
    </row>
    <row r="38" spans="1:7" ht="15.75" thickBot="1" x14ac:dyDescent="0.3"/>
    <row r="39" spans="1:7" ht="15.75" thickBot="1" x14ac:dyDescent="0.3">
      <c r="A39" s="2420" t="s">
        <v>1560</v>
      </c>
      <c r="B39" s="2421"/>
      <c r="C39" s="2421"/>
      <c r="D39" s="2421"/>
      <c r="E39" s="2422"/>
    </row>
    <row r="40" spans="1:7" x14ac:dyDescent="0.25">
      <c r="A40" s="1269" t="s">
        <v>1528</v>
      </c>
      <c r="B40" s="1236" t="s">
        <v>1529</v>
      </c>
      <c r="C40" s="1236" t="s">
        <v>1530</v>
      </c>
      <c r="D40" s="1236" t="s">
        <v>1531</v>
      </c>
      <c r="E40" s="1236" t="s">
        <v>1532</v>
      </c>
    </row>
    <row r="41" spans="1:7" x14ac:dyDescent="0.25">
      <c r="A41" s="1336" t="s">
        <v>1562</v>
      </c>
      <c r="B41" s="402" t="s">
        <v>142</v>
      </c>
      <c r="C41" s="1399" t="s">
        <v>142</v>
      </c>
      <c r="D41" s="1399" t="s">
        <v>142</v>
      </c>
      <c r="E41" s="1399" t="s">
        <v>142</v>
      </c>
    </row>
    <row r="42" spans="1:7" x14ac:dyDescent="0.25">
      <c r="A42" s="1336" t="s">
        <v>1561</v>
      </c>
      <c r="B42" s="402"/>
      <c r="C42" s="402"/>
      <c r="D42" s="402"/>
      <c r="E42" s="402"/>
    </row>
    <row r="43" spans="1:7" x14ac:dyDescent="0.25">
      <c r="A43" s="1236" t="s">
        <v>1563</v>
      </c>
      <c r="B43" s="1278">
        <v>0.1</v>
      </c>
      <c r="C43" s="1278">
        <f>B43</f>
        <v>0.1</v>
      </c>
      <c r="D43" s="1278">
        <f>C43</f>
        <v>0.1</v>
      </c>
      <c r="E43" s="1278">
        <f>D43</f>
        <v>0.1</v>
      </c>
      <c r="F43" s="1380" t="s">
        <v>1630</v>
      </c>
      <c r="G43" s="343" t="s">
        <v>334</v>
      </c>
    </row>
    <row r="44" spans="1:7" x14ac:dyDescent="0.25">
      <c r="A44" s="1371" t="str">
        <f>$B$1</f>
        <v>IN 96</v>
      </c>
      <c r="B44" s="1267" t="str">
        <f>IF(B42="s","Sim",IF(B42="n",IF(B41="s","Não","Sim"),"Sim"))</f>
        <v>Sim</v>
      </c>
      <c r="C44" s="1267" t="str">
        <f>IF(C42="s","Sim",IF(C42="n",IF(C41="s","Não","Sim"),"Sim"))</f>
        <v>Sim</v>
      </c>
      <c r="D44" s="1267" t="str">
        <f>IF(D42="s","Sim",IF(D42="n",IF(D41="s","Não","Sim"),"Sim"))</f>
        <v>Sim</v>
      </c>
      <c r="E44" s="1267" t="str">
        <f>IF(E42="s","Sim",IF(E42="n",IF(E41="s","Não","Sim"),"Sim"))</f>
        <v>Sim</v>
      </c>
      <c r="F44" s="343" t="str">
        <f>"Segundo especificações do fabricante do equipamento e simulador ("&amp;$B$1&amp;")"</f>
        <v>Segundo especificações do fabricante do equipamento e simulador (IN 96)</v>
      </c>
    </row>
    <row r="46" spans="1:7" ht="15.75" thickBot="1" x14ac:dyDescent="0.3">
      <c r="A46" s="333"/>
      <c r="B46" s="1254"/>
      <c r="C46" s="1255"/>
      <c r="D46" s="1255"/>
      <c r="E46" s="1255"/>
      <c r="F46" s="1256"/>
    </row>
    <row r="47" spans="1:7" s="1245" customFormat="1" ht="15.75" thickBot="1" x14ac:dyDescent="0.3">
      <c r="A47" s="2420" t="s">
        <v>1924</v>
      </c>
      <c r="B47" s="2421"/>
      <c r="C47" s="2421"/>
      <c r="D47" s="2421"/>
      <c r="E47" s="2422"/>
    </row>
    <row r="48" spans="1:7" ht="30" x14ac:dyDescent="0.25">
      <c r="A48" s="1272" t="s">
        <v>1542</v>
      </c>
      <c r="B48" s="835"/>
      <c r="C48" s="1273"/>
      <c r="D48" s="835"/>
      <c r="E48" s="2955" t="str">
        <f>E35</f>
        <v>Tolerância (IN 96)</v>
      </c>
    </row>
    <row r="49" spans="1:8" x14ac:dyDescent="0.25">
      <c r="A49" s="346" t="s">
        <v>186</v>
      </c>
      <c r="B49" s="1260" t="s">
        <v>1505</v>
      </c>
      <c r="C49" s="1260" t="s">
        <v>1506</v>
      </c>
      <c r="D49" s="1260" t="s">
        <v>1507</v>
      </c>
      <c r="E49" s="2956"/>
    </row>
    <row r="50" spans="1:8" ht="14.45" customHeight="1" x14ac:dyDescent="0.25">
      <c r="A50" s="346" t="s">
        <v>1508</v>
      </c>
      <c r="B50" s="835"/>
      <c r="C50" s="402"/>
      <c r="D50" s="835"/>
      <c r="E50" s="2941" t="s">
        <v>1625</v>
      </c>
    </row>
    <row r="51" spans="1:8" x14ac:dyDescent="0.25">
      <c r="A51" s="1260" t="s">
        <v>1509</v>
      </c>
      <c r="B51" s="835"/>
      <c r="C51" s="402"/>
      <c r="D51" s="835"/>
      <c r="E51" s="2941"/>
    </row>
    <row r="52" spans="1:8" x14ac:dyDescent="0.25">
      <c r="A52" s="1260" t="s">
        <v>1510</v>
      </c>
      <c r="B52" s="835"/>
      <c r="C52" s="402"/>
      <c r="D52" s="835"/>
      <c r="E52" s="2941"/>
    </row>
    <row r="53" spans="1:8" x14ac:dyDescent="0.25">
      <c r="A53" s="1260" t="s">
        <v>1511</v>
      </c>
      <c r="B53" s="835"/>
      <c r="C53" s="402"/>
      <c r="D53" s="835"/>
      <c r="E53" s="2941"/>
    </row>
    <row r="54" spans="1:8" ht="30" x14ac:dyDescent="0.25">
      <c r="A54" s="1260" t="s">
        <v>1541</v>
      </c>
      <c r="B54" s="835"/>
      <c r="C54" s="835">
        <f>MAX(B62,D62,F62)</f>
        <v>0</v>
      </c>
      <c r="D54" s="835"/>
      <c r="E54" s="2941"/>
    </row>
    <row r="55" spans="1:8" x14ac:dyDescent="0.25">
      <c r="A55" s="1266" t="s">
        <v>546</v>
      </c>
      <c r="B55" s="835">
        <f>ABS(B54-B48)</f>
        <v>0</v>
      </c>
      <c r="C55" s="835">
        <f>ABS(C54-C48)</f>
        <v>0</v>
      </c>
      <c r="D55" s="835">
        <f>ABS(D54-D48)</f>
        <v>0</v>
      </c>
      <c r="E55" s="2941"/>
    </row>
    <row r="56" spans="1:8" x14ac:dyDescent="0.25">
      <c r="A56" s="1267" t="str">
        <f>$B$1</f>
        <v>IN 96</v>
      </c>
      <c r="B56" s="1274" t="str">
        <f>IF(B54="","NA",IF(B55&lt;0.6,"Sim","Não"))</f>
        <v>NA</v>
      </c>
      <c r="C56" s="1274" t="str">
        <f>IF(C54="","NA",IF(C55&lt;0.6,"Sim","Não"))</f>
        <v>Sim</v>
      </c>
      <c r="D56" s="1274" t="str">
        <f>IF(D54="","NA",IF(D55&lt;0.6,"Sim","Não"))</f>
        <v>NA</v>
      </c>
      <c r="E56" s="2941"/>
    </row>
    <row r="57" spans="1:8" ht="15.75" thickBot="1" x14ac:dyDescent="0.3">
      <c r="A57" s="333"/>
      <c r="B57" s="1254"/>
      <c r="C57" s="1255"/>
      <c r="D57" s="1255"/>
      <c r="E57" s="1255"/>
      <c r="F57" s="1256"/>
    </row>
    <row r="58" spans="1:8" ht="15.75" thickBot="1" x14ac:dyDescent="0.3">
      <c r="A58" s="2420" t="s">
        <v>1543</v>
      </c>
      <c r="B58" s="2421"/>
      <c r="C58" s="2421"/>
      <c r="D58" s="2421"/>
      <c r="E58" s="2421"/>
      <c r="F58" s="2421"/>
      <c r="G58" s="2421"/>
      <c r="H58" s="2422"/>
    </row>
    <row r="59" spans="1:8" x14ac:dyDescent="0.25">
      <c r="A59" s="1282" t="s">
        <v>1513</v>
      </c>
      <c r="B59" s="1283" t="s">
        <v>372</v>
      </c>
      <c r="C59" s="1284" t="s">
        <v>902</v>
      </c>
      <c r="D59" s="1283" t="s">
        <v>1514</v>
      </c>
      <c r="E59" s="1284" t="s">
        <v>902</v>
      </c>
      <c r="F59" s="1283" t="s">
        <v>1515</v>
      </c>
      <c r="G59" s="1284" t="s">
        <v>902</v>
      </c>
      <c r="H59" s="1277" t="s">
        <v>660</v>
      </c>
    </row>
    <row r="60" spans="1:8" ht="14.45" customHeight="1" x14ac:dyDescent="0.25">
      <c r="A60" s="1260" t="s">
        <v>1516</v>
      </c>
      <c r="B60" s="1273"/>
      <c r="C60" s="1273"/>
      <c r="D60" s="402"/>
      <c r="E60" s="402"/>
      <c r="F60" s="402"/>
      <c r="G60" s="402"/>
      <c r="H60" s="2943" t="s">
        <v>1626</v>
      </c>
    </row>
    <row r="61" spans="1:8" x14ac:dyDescent="0.25">
      <c r="A61" s="1261" t="s">
        <v>1518</v>
      </c>
      <c r="B61" s="402"/>
      <c r="C61" s="1281">
        <v>20</v>
      </c>
      <c r="D61" s="402"/>
      <c r="E61" s="1281">
        <v>10</v>
      </c>
      <c r="F61" s="402"/>
      <c r="G61" s="1281">
        <v>20</v>
      </c>
      <c r="H61" s="2944"/>
    </row>
    <row r="62" spans="1:8" ht="30" x14ac:dyDescent="0.25">
      <c r="A62" s="1260" t="s">
        <v>1519</v>
      </c>
      <c r="B62" s="402"/>
      <c r="C62" s="1281">
        <f>C61*C60</f>
        <v>0</v>
      </c>
      <c r="D62" s="402"/>
      <c r="E62" s="1281">
        <f>E61*E60</f>
        <v>0</v>
      </c>
      <c r="F62" s="402"/>
      <c r="G62" s="1281">
        <f>G61*G60</f>
        <v>0</v>
      </c>
      <c r="H62" s="2944"/>
    </row>
    <row r="63" spans="1:8" x14ac:dyDescent="0.25">
      <c r="A63" s="1260" t="s">
        <v>1520</v>
      </c>
      <c r="B63" s="834"/>
      <c r="C63" s="1281" t="s">
        <v>240</v>
      </c>
      <c r="D63" s="834"/>
      <c r="E63" s="1281" t="s">
        <v>240</v>
      </c>
      <c r="F63" s="834"/>
      <c r="G63" s="1281" t="s">
        <v>240</v>
      </c>
      <c r="H63" s="2944"/>
    </row>
    <row r="64" spans="1:8" x14ac:dyDescent="0.25">
      <c r="A64" s="1260" t="s">
        <v>1521</v>
      </c>
      <c r="B64" s="834"/>
      <c r="C64" s="1281" t="s">
        <v>240</v>
      </c>
      <c r="D64" s="834"/>
      <c r="E64" s="1281" t="s">
        <v>240</v>
      </c>
      <c r="F64" s="834"/>
      <c r="G64" s="1281" t="s">
        <v>240</v>
      </c>
      <c r="H64" s="2944"/>
    </row>
    <row r="65" spans="1:9" ht="15" customHeight="1" x14ac:dyDescent="0.25">
      <c r="A65" s="1267" t="str">
        <f>$B$1</f>
        <v>IN 96</v>
      </c>
      <c r="B65" s="1285" t="str">
        <f>IF(B60&lt;C60,IFERROR(IF(OR(ABS(B61-C61)/C61&gt;C65,ABS(B62-C62)/C62&gt;C65),"Não","Sim"),0),"Sim")</f>
        <v>Sim</v>
      </c>
      <c r="C65" s="1278">
        <v>0.1</v>
      </c>
      <c r="D65" s="1285" t="str">
        <f>IF(D60&lt;E60,IFERROR(IF(OR(ABS(D61-E61)/E61&gt;E65,ABS(D62-E62)/E62&gt;E65),"Não","Sim"),0),"Sim")</f>
        <v>Sim</v>
      </c>
      <c r="E65" s="1278">
        <v>0.1</v>
      </c>
      <c r="F65" s="1285" t="str">
        <f>IF(F60&lt;G60,IFERROR(IF(OR(ABS(F61-G61)/G61&gt;G65,ABS(F62-G62)/G62&gt;G65),"Não","Sim"),0),"Sim")</f>
        <v>Sim</v>
      </c>
      <c r="G65" s="1279">
        <v>0.1</v>
      </c>
      <c r="H65" s="2945"/>
      <c r="I65" s="343" t="str">
        <f>"Segundo especificações do fabricante do equipamento e simulador ("&amp;$B$1&amp;")"</f>
        <v>Segundo especificações do fabricante do equipamento e simulador (IN 96)</v>
      </c>
    </row>
    <row r="66" spans="1:9" ht="15.75" thickBot="1" x14ac:dyDescent="0.3">
      <c r="B66" s="1254"/>
      <c r="C66" s="1255"/>
      <c r="D66" s="1255"/>
      <c r="E66" s="1255"/>
      <c r="F66" s="1256"/>
    </row>
    <row r="67" spans="1:9" ht="15.75" thickBot="1" x14ac:dyDescent="0.3">
      <c r="A67" s="2420" t="s">
        <v>1547</v>
      </c>
      <c r="B67" s="2421"/>
      <c r="C67" s="2421"/>
      <c r="D67" s="2421"/>
      <c r="E67" s="2422"/>
      <c r="G67" s="1244"/>
    </row>
    <row r="68" spans="1:9" ht="30" x14ac:dyDescent="0.25">
      <c r="A68" s="345" t="s">
        <v>1546</v>
      </c>
      <c r="B68" s="1275" t="s">
        <v>1522</v>
      </c>
      <c r="C68" s="1275" t="s">
        <v>1544</v>
      </c>
      <c r="D68" s="1275" t="s">
        <v>1545</v>
      </c>
      <c r="E68" s="1276" t="str">
        <f>$B$1</f>
        <v>IN 96</v>
      </c>
      <c r="F68" s="1258"/>
      <c r="G68" s="1244"/>
    </row>
    <row r="69" spans="1:9" x14ac:dyDescent="0.25">
      <c r="A69" s="402"/>
      <c r="B69" s="402"/>
      <c r="C69" s="402"/>
      <c r="D69" s="835">
        <f>B69+1</f>
        <v>1</v>
      </c>
      <c r="E69" s="1268" t="str">
        <f>IF(D69&gt;IF(A69&lt;=3,7,IF(A69&lt;=7,5,3)),"Não","Sim")</f>
        <v>Sim</v>
      </c>
      <c r="F69" s="1258"/>
      <c r="G69" s="1826" t="s">
        <v>1925</v>
      </c>
    </row>
    <row r="70" spans="1:9" x14ac:dyDescent="0.25">
      <c r="A70" s="1306" t="str">
        <f>"Tolerância ("&amp;$B$1&amp;")"</f>
        <v>Tolerância (IN 96)</v>
      </c>
      <c r="B70" s="2964" t="s">
        <v>1627</v>
      </c>
      <c r="C70" s="2965"/>
      <c r="D70" s="2965"/>
      <c r="E70" s="2966"/>
      <c r="F70" s="1258"/>
      <c r="G70" s="1244"/>
    </row>
    <row r="71" spans="1:9" ht="15.75" thickBot="1" x14ac:dyDescent="0.3">
      <c r="A71" s="1263"/>
      <c r="B71" s="1258"/>
      <c r="C71" s="1258"/>
      <c r="D71" s="1258"/>
      <c r="E71" s="1258"/>
      <c r="F71" s="1258"/>
      <c r="G71" s="1244"/>
    </row>
    <row r="72" spans="1:9" ht="15.75" thickBot="1" x14ac:dyDescent="0.3">
      <c r="A72" s="2420" t="s">
        <v>1548</v>
      </c>
      <c r="B72" s="2421"/>
      <c r="C72" s="2421"/>
      <c r="D72" s="2422"/>
      <c r="G72" s="1244"/>
    </row>
    <row r="73" spans="1:9" x14ac:dyDescent="0.25">
      <c r="A73" s="2946" t="s">
        <v>810</v>
      </c>
      <c r="B73" s="2946"/>
      <c r="C73" s="588" t="s">
        <v>1523</v>
      </c>
      <c r="D73" s="588" t="s">
        <v>1524</v>
      </c>
      <c r="E73" s="1258"/>
      <c r="F73" s="1259"/>
      <c r="G73" s="1244"/>
    </row>
    <row r="74" spans="1:9" x14ac:dyDescent="0.25">
      <c r="A74" s="2935" t="s">
        <v>1549</v>
      </c>
      <c r="B74" s="2935"/>
      <c r="C74" s="402"/>
      <c r="D74" s="402"/>
      <c r="G74" s="1244"/>
    </row>
    <row r="75" spans="1:9" x14ac:dyDescent="0.25">
      <c r="A75" s="2935" t="s">
        <v>1550</v>
      </c>
      <c r="B75" s="2935"/>
      <c r="C75" s="402"/>
      <c r="D75" s="402"/>
      <c r="G75" s="1244"/>
    </row>
    <row r="76" spans="1:9" x14ac:dyDescent="0.25">
      <c r="A76" s="2963" t="s">
        <v>1551</v>
      </c>
      <c r="B76" s="2963"/>
      <c r="C76" s="402"/>
      <c r="D76" s="402"/>
    </row>
    <row r="77" spans="1:9" x14ac:dyDescent="0.25">
      <c r="A77" s="2935" t="s">
        <v>1552</v>
      </c>
      <c r="B77" s="2935"/>
      <c r="C77" s="402"/>
      <c r="D77" s="402"/>
    </row>
    <row r="78" spans="1:9" x14ac:dyDescent="0.25">
      <c r="A78" s="2936" t="s">
        <v>1553</v>
      </c>
      <c r="B78" s="2937"/>
      <c r="C78" s="836" t="str">
        <f>IFERROR(ROUND(C76/C75,1),"")</f>
        <v/>
      </c>
      <c r="D78" s="836" t="str">
        <f>IFERROR(ROUND(D76/D75,1),"")</f>
        <v/>
      </c>
    </row>
    <row r="79" spans="1:9" x14ac:dyDescent="0.25">
      <c r="A79" s="2935" t="str">
        <f>"Tolerância ("&amp;$B$1&amp;")"</f>
        <v>Tolerância (IN 96)</v>
      </c>
      <c r="B79" s="2935"/>
      <c r="C79" s="346">
        <v>1.5</v>
      </c>
      <c r="D79" s="350">
        <v>2</v>
      </c>
    </row>
    <row r="80" spans="1:9" x14ac:dyDescent="0.25">
      <c r="A80" s="2949" t="str">
        <f>$B$1</f>
        <v>IN 96</v>
      </c>
      <c r="B80" s="2949"/>
      <c r="C80" s="1288" t="str">
        <f>IFERROR(IF(LARGE(C77:C78,1)-10&gt;C79,"Não","Sim"),"NPA")</f>
        <v>NPA</v>
      </c>
      <c r="D80" s="1288" t="str">
        <f>IFERROR(IF(LARGE(D77:D78,1)-10&gt;D79,"Não","Sim"),"NPA")</f>
        <v>NPA</v>
      </c>
    </row>
    <row r="81" spans="1:6" ht="15.75" thickBot="1" x14ac:dyDescent="0.3"/>
    <row r="82" spans="1:6" ht="14.45" customHeight="1" thickBot="1" x14ac:dyDescent="0.3">
      <c r="A82" s="2420" t="s">
        <v>1554</v>
      </c>
      <c r="B82" s="2421"/>
      <c r="C82" s="2421"/>
      <c r="D82" s="2421"/>
      <c r="E82" s="2422"/>
    </row>
    <row r="83" spans="1:6" ht="14.45" customHeight="1" x14ac:dyDescent="0.25">
      <c r="A83" s="2938" t="s">
        <v>1917</v>
      </c>
      <c r="B83" s="2939"/>
      <c r="C83" s="2940"/>
      <c r="D83" s="1273"/>
    </row>
    <row r="84" spans="1:6" x14ac:dyDescent="0.25">
      <c r="A84" s="2938" t="s">
        <v>1918</v>
      </c>
      <c r="B84" s="2939"/>
      <c r="C84" s="2940"/>
      <c r="D84" s="1273">
        <f>D83/1000</f>
        <v>0</v>
      </c>
      <c r="E84" s="1822">
        <f>D84</f>
        <v>0</v>
      </c>
      <c r="F84" s="1264"/>
    </row>
    <row r="85" spans="1:6" ht="17.25" customHeight="1" x14ac:dyDescent="0.25">
      <c r="A85" s="2946" t="s">
        <v>810</v>
      </c>
      <c r="B85" s="2946"/>
      <c r="C85" s="2946"/>
      <c r="D85" s="345" t="s">
        <v>1525</v>
      </c>
      <c r="E85" s="1275" t="s">
        <v>1526</v>
      </c>
    </row>
    <row r="86" spans="1:6" x14ac:dyDescent="0.25">
      <c r="A86" s="2935" t="s">
        <v>1555</v>
      </c>
      <c r="B86" s="2935"/>
      <c r="C86" s="2935"/>
      <c r="D86" s="402"/>
      <c r="E86" s="402"/>
    </row>
    <row r="87" spans="1:6" ht="14.45" customHeight="1" x14ac:dyDescent="0.25">
      <c r="A87" s="2941" t="str">
        <f>"Tolerância ("&amp;$B$1&amp;") ≤"</f>
        <v>Tolerância (IN 96) ≤</v>
      </c>
      <c r="B87" s="2941"/>
      <c r="C87" s="2941"/>
      <c r="D87" s="1287">
        <f>IF(D84&gt;4,1,2)</f>
        <v>2</v>
      </c>
      <c r="E87" s="1287">
        <f>IF(E84&gt;=5,1.5,IF(E84&gt;=3.5,3,4))</f>
        <v>4</v>
      </c>
    </row>
    <row r="88" spans="1:6" x14ac:dyDescent="0.25">
      <c r="A88" s="2949" t="str">
        <f>$B$1</f>
        <v>IN 96</v>
      </c>
      <c r="B88" s="2949"/>
      <c r="C88" s="2949"/>
      <c r="D88" s="1268" t="str">
        <f>IF(D86&lt;=D87,"Sim","Não")</f>
        <v>Sim</v>
      </c>
      <c r="E88" s="1268" t="str">
        <f>IF(E86&lt;=E87,"Sim","Não")</f>
        <v>Sim</v>
      </c>
      <c r="F88" s="1265"/>
    </row>
    <row r="89" spans="1:6" x14ac:dyDescent="0.25">
      <c r="A89" s="1245"/>
      <c r="B89" s="1263"/>
      <c r="C89" s="1247"/>
      <c r="D89" s="1378" t="s">
        <v>1628</v>
      </c>
      <c r="E89" s="1379" t="s">
        <v>1629</v>
      </c>
      <c r="F89" s="1265" t="s">
        <v>334</v>
      </c>
    </row>
    <row r="90" spans="1:6" ht="15.75" thickBot="1" x14ac:dyDescent="0.3">
      <c r="A90" s="1245"/>
      <c r="B90" s="1263"/>
      <c r="C90" s="1247"/>
      <c r="D90" s="1376"/>
      <c r="E90" s="1377"/>
      <c r="F90" s="1265"/>
    </row>
    <row r="91" spans="1:6" ht="15.75" thickBot="1" x14ac:dyDescent="0.3">
      <c r="A91" s="2420" t="s">
        <v>1557</v>
      </c>
      <c r="B91" s="2421"/>
      <c r="C91" s="2421"/>
      <c r="D91" s="2421"/>
      <c r="E91" s="2421"/>
      <c r="F91" s="2422"/>
    </row>
    <row r="92" spans="1:6" x14ac:dyDescent="0.25">
      <c r="A92" s="345" t="s">
        <v>1527</v>
      </c>
      <c r="B92" s="1275">
        <v>1</v>
      </c>
      <c r="C92" s="1275">
        <v>2</v>
      </c>
      <c r="D92" s="1275">
        <v>3</v>
      </c>
      <c r="E92" s="1275">
        <v>4</v>
      </c>
      <c r="F92" s="1275">
        <v>5</v>
      </c>
    </row>
    <row r="93" spans="1:6" x14ac:dyDescent="0.25">
      <c r="A93" s="1290" t="s">
        <v>1511</v>
      </c>
      <c r="B93" s="402"/>
      <c r="C93" s="402"/>
      <c r="D93" s="402"/>
      <c r="E93" s="402"/>
      <c r="F93" s="402"/>
    </row>
    <row r="94" spans="1:6" x14ac:dyDescent="0.25">
      <c r="A94" s="1290" t="s">
        <v>1559</v>
      </c>
      <c r="B94" s="402"/>
      <c r="C94" s="402"/>
      <c r="D94" s="402"/>
      <c r="E94" s="402"/>
      <c r="F94" s="402"/>
    </row>
    <row r="95" spans="1:6" x14ac:dyDescent="0.25">
      <c r="A95" s="1290" t="s">
        <v>1512</v>
      </c>
      <c r="B95" s="402"/>
      <c r="C95" s="402"/>
      <c r="D95" s="402"/>
      <c r="E95" s="402"/>
      <c r="F95" s="402"/>
    </row>
    <row r="96" spans="1:6" ht="30" x14ac:dyDescent="0.25">
      <c r="A96" s="1290" t="s">
        <v>1558</v>
      </c>
      <c r="B96" s="402"/>
      <c r="C96" s="402"/>
      <c r="D96" s="402"/>
      <c r="E96" s="402"/>
      <c r="F96" s="402"/>
    </row>
    <row r="97" spans="1:14" x14ac:dyDescent="0.25">
      <c r="A97" s="1266" t="s">
        <v>660</v>
      </c>
      <c r="B97" s="1279">
        <v>0.1</v>
      </c>
      <c r="C97" s="1279">
        <v>0.1</v>
      </c>
      <c r="D97" s="1279">
        <v>0.1</v>
      </c>
      <c r="E97" s="1279">
        <v>0.1</v>
      </c>
      <c r="F97" s="1279">
        <v>0.1</v>
      </c>
      <c r="G97" s="1380" t="s">
        <v>1630</v>
      </c>
      <c r="H97" s="343" t="s">
        <v>334</v>
      </c>
    </row>
    <row r="98" spans="1:14" ht="14.45" customHeight="1" x14ac:dyDescent="0.25">
      <c r="A98" s="1371" t="str">
        <f>$B$1</f>
        <v>IN 96</v>
      </c>
      <c r="B98" s="1288" t="str">
        <f>IFERROR(IF(OR(ABS(B93-B95)/B93&gt;B97,ABS(B94-B96)/B94&gt;B97),"Não","Sim"),"NA")</f>
        <v>NA</v>
      </c>
      <c r="C98" s="1288" t="str">
        <f>IFERROR(IF(OR(ABS(C93-C95)/C93&gt;C97,ABS(C94-C96)/C94&gt;C97),"Não","Sim"),"NA")</f>
        <v>NA</v>
      </c>
      <c r="D98" s="1288" t="str">
        <f>IFERROR(IF(OR(ABS(D93-D95)/D93&gt;D97,ABS(D94-D96)/D94&gt;D97),"Não","Sim"),"NA")</f>
        <v>NA</v>
      </c>
      <c r="E98" s="1288" t="str">
        <f>IFERROR(IF(OR(ABS(E93-E95)/E93&gt;E97,ABS(E94-E96)/E94&gt;E97),"Não","Sim"),"NA")</f>
        <v>NA</v>
      </c>
      <c r="F98" s="1288" t="str">
        <f>IFERROR(IF(OR(ABS(F93-F95)/F93&gt;F97,ABS(F94-F96)/F94&gt;F97),"Não","Sim"),"NA")</f>
        <v>NA</v>
      </c>
      <c r="G98" s="343" t="str">
        <f>"Segundo especificações do fabricante do equipamento e simulador ("&amp;$B$1&amp;")"</f>
        <v>Segundo especificações do fabricante do equipamento e simulador (IN 96)</v>
      </c>
    </row>
    <row r="99" spans="1:14" x14ac:dyDescent="0.25">
      <c r="A99" s="1263"/>
      <c r="B99" s="1263"/>
      <c r="C99" s="1265"/>
      <c r="D99" s="1265"/>
      <c r="E99" s="1265"/>
      <c r="F99" s="1265"/>
    </row>
    <row r="100" spans="1:14" ht="15.75" thickBot="1" x14ac:dyDescent="0.3"/>
    <row r="101" spans="1:14" ht="15.6" customHeight="1" thickBot="1" x14ac:dyDescent="0.3">
      <c r="A101" s="2952" t="s">
        <v>1533</v>
      </c>
      <c r="B101" s="2953"/>
      <c r="C101" s="2953"/>
      <c r="D101" s="2953"/>
      <c r="E101" s="2953"/>
      <c r="F101" s="2953"/>
      <c r="G101" s="1246"/>
      <c r="H101" s="1246"/>
      <c r="I101" s="1246"/>
      <c r="J101" s="1246"/>
      <c r="K101" s="1246"/>
      <c r="L101" s="1299"/>
    </row>
    <row r="102" spans="1:14" ht="15.75" thickBot="1" x14ac:dyDescent="0.3">
      <c r="A102" s="2957" t="s">
        <v>1618</v>
      </c>
      <c r="B102" s="2958"/>
      <c r="C102" s="2958"/>
      <c r="D102" s="2958"/>
      <c r="E102" s="2958"/>
      <c r="F102" s="2958"/>
      <c r="G102" s="2959"/>
    </row>
    <row r="103" spans="1:14" x14ac:dyDescent="0.25">
      <c r="A103" s="1292" t="s">
        <v>686</v>
      </c>
      <c r="B103" s="1291" t="s">
        <v>1564</v>
      </c>
      <c r="C103" s="1291" t="s">
        <v>1565</v>
      </c>
      <c r="D103" s="1258"/>
      <c r="E103" s="1300" t="s">
        <v>1631</v>
      </c>
      <c r="F103" s="1301">
        <v>0.1</v>
      </c>
      <c r="G103" s="1371" t="str">
        <f>$B$1</f>
        <v>IN 96</v>
      </c>
    </row>
    <row r="104" spans="1:14" x14ac:dyDescent="0.25">
      <c r="A104" s="346" t="s">
        <v>1566</v>
      </c>
      <c r="B104" s="402"/>
      <c r="C104" s="1305" t="e">
        <f>VLOOKUP(B104,Doppler1430_Flow[],2)</f>
        <v>#N/A</v>
      </c>
      <c r="E104" s="1289" t="s">
        <v>1590</v>
      </c>
      <c r="F104" s="1370" t="e">
        <f>ROUNDUP(ABS(C104-C105)/C104,3)</f>
        <v>#N/A</v>
      </c>
      <c r="G104" s="1268" t="str">
        <f>IFERROR(IF(F104&gt;F103,"Não","Sim"),"NA")</f>
        <v>NA</v>
      </c>
    </row>
    <row r="105" spans="1:14" x14ac:dyDescent="0.25">
      <c r="A105" s="835" t="s">
        <v>1567</v>
      </c>
      <c r="B105" s="346" t="s">
        <v>240</v>
      </c>
      <c r="C105" s="402"/>
      <c r="E105" s="343" t="str">
        <f>"*Segundo especificações do fabricante do equipamento e simulador ("&amp;$B$1&amp;")"</f>
        <v>*Segundo especificações do fabricante do equipamento e simulador (IN 96)</v>
      </c>
    </row>
    <row r="106" spans="1:14" ht="15.75" thickBot="1" x14ac:dyDescent="0.3"/>
    <row r="107" spans="1:14" ht="14.45" customHeight="1" thickBot="1" x14ac:dyDescent="0.3">
      <c r="A107" s="2960" t="s">
        <v>1591</v>
      </c>
      <c r="B107" s="2961"/>
      <c r="C107" s="2961"/>
      <c r="D107" s="2961"/>
      <c r="E107" s="2961"/>
      <c r="F107" s="2961"/>
      <c r="G107" s="2961"/>
      <c r="H107" s="2961"/>
      <c r="I107" s="2961"/>
      <c r="J107" s="2961"/>
      <c r="K107" s="2958"/>
      <c r="L107" s="2959"/>
    </row>
    <row r="108" spans="1:14" x14ac:dyDescent="0.25">
      <c r="A108" s="1824" t="s">
        <v>810</v>
      </c>
      <c r="B108" s="2941" t="s">
        <v>1919</v>
      </c>
      <c r="C108" s="2941"/>
      <c r="D108" s="2942"/>
      <c r="E108" s="2941" t="s">
        <v>1920</v>
      </c>
      <c r="F108" s="2941"/>
      <c r="G108" s="2941"/>
      <c r="H108" s="2947" t="s">
        <v>1921</v>
      </c>
      <c r="I108" s="2948"/>
      <c r="J108" s="2948"/>
    </row>
    <row r="109" spans="1:14" s="1248" customFormat="1" ht="30" x14ac:dyDescent="0.25">
      <c r="A109" s="1819" t="s">
        <v>1564</v>
      </c>
      <c r="B109" s="345" t="s">
        <v>902</v>
      </c>
      <c r="C109" s="1275" t="s">
        <v>1569</v>
      </c>
      <c r="D109" s="1295" t="str">
        <f>G103</f>
        <v>IN 96</v>
      </c>
      <c r="E109" s="1820" t="s">
        <v>902</v>
      </c>
      <c r="F109" s="1823" t="s">
        <v>1569</v>
      </c>
      <c r="G109" s="1098" t="str">
        <f>G103</f>
        <v>IN 96</v>
      </c>
      <c r="H109" s="1298" t="s">
        <v>902</v>
      </c>
      <c r="I109" s="1275" t="s">
        <v>1569</v>
      </c>
      <c r="J109" s="1098" t="str">
        <f>G103</f>
        <v>IN 96</v>
      </c>
    </row>
    <row r="110" spans="1:14" ht="30" hidden="1" x14ac:dyDescent="0.25">
      <c r="A110" s="1275" t="s">
        <v>1592</v>
      </c>
      <c r="B110" s="402"/>
      <c r="C110" s="402"/>
      <c r="D110" s="1303" t="str">
        <f>IFERROR(IF(ABS(C110/B110-1)&gt;0.1,"DIFERENTE","-"),"-")</f>
        <v>-</v>
      </c>
      <c r="E110" s="1819"/>
      <c r="F110" s="1819"/>
      <c r="G110" s="1821" t="str">
        <f>IFERROR(IF(ABS(F110/E110-1)&gt;0.1,"DIFERENTE","-"),"-")</f>
        <v>-</v>
      </c>
      <c r="H110" s="1280"/>
      <c r="I110" s="402"/>
      <c r="J110" s="1304" t="str">
        <f>IFERROR(IF(ABS(I110/H110-1)&gt;0.1,"DIFERENTE","-"),"-")</f>
        <v>-</v>
      </c>
    </row>
    <row r="111" spans="1:14" ht="30" x14ac:dyDescent="0.25">
      <c r="A111" s="1275" t="s">
        <v>1926</v>
      </c>
      <c r="B111" s="1819" t="s">
        <v>1923</v>
      </c>
      <c r="C111" s="1819"/>
      <c r="D111" s="1267" t="str">
        <f>IFERROR(IF(ABS(C111/B111-1)&lt;D112,"Sim","Não"),"NPA")</f>
        <v>NPA</v>
      </c>
      <c r="E111" s="1831" t="s">
        <v>1923</v>
      </c>
      <c r="F111" s="1819"/>
      <c r="G111" s="1267" t="str">
        <f>IFERROR(IF(ABS(F111/E111-1)&lt;G112,"Sim","Não"),"NPA")</f>
        <v>NPA</v>
      </c>
      <c r="H111" s="1831" t="s">
        <v>1923</v>
      </c>
      <c r="I111" s="1819"/>
      <c r="J111" s="1267" t="str">
        <f>IFERROR(IF(ABS(I111/H111-1)&lt;J112,"Sim","Não"),"NPA")</f>
        <v>NPA</v>
      </c>
      <c r="L111" s="1244"/>
      <c r="M111" s="1250"/>
      <c r="N111" s="1244"/>
    </row>
    <row r="112" spans="1:14" x14ac:dyDescent="0.25">
      <c r="A112" s="1260" t="s">
        <v>1631</v>
      </c>
      <c r="B112" s="1275" t="s">
        <v>240</v>
      </c>
      <c r="C112" s="1275" t="s">
        <v>240</v>
      </c>
      <c r="D112" s="1297">
        <v>0.1</v>
      </c>
      <c r="E112" s="1823" t="s">
        <v>240</v>
      </c>
      <c r="F112" s="1823" t="s">
        <v>240</v>
      </c>
      <c r="G112" s="1294">
        <f>D112</f>
        <v>0.1</v>
      </c>
      <c r="H112" s="1270" t="s">
        <v>240</v>
      </c>
      <c r="I112" s="1275" t="s">
        <v>240</v>
      </c>
      <c r="J112" s="1294">
        <f>D112</f>
        <v>0.1</v>
      </c>
      <c r="K112" s="343" t="str">
        <f>"*Segundo especificações do fabricante do equipamento e simulador ("&amp;$B$1&amp;")"</f>
        <v>*Segundo especificações do fabricante do equipamento e simulador (IN 96)</v>
      </c>
    </row>
    <row r="113" spans="1:10" hidden="1" x14ac:dyDescent="0.25">
      <c r="A113" s="1275" t="s">
        <v>1568</v>
      </c>
      <c r="B113" s="1819"/>
      <c r="C113" s="1819"/>
      <c r="D113" s="1296" t="s">
        <v>142</v>
      </c>
      <c r="E113" s="1819"/>
      <c r="F113" s="1819"/>
      <c r="G113" s="1267" t="s">
        <v>142</v>
      </c>
      <c r="H113" s="1819"/>
      <c r="I113" s="1819"/>
      <c r="J113" s="1267" t="s">
        <v>142</v>
      </c>
    </row>
    <row r="114" spans="1:10" hidden="1" x14ac:dyDescent="0.25">
      <c r="A114" s="1260" t="s">
        <v>1593</v>
      </c>
      <c r="B114" s="402"/>
      <c r="C114" s="402"/>
      <c r="D114" s="1286" t="e">
        <f>ABS(B114-C114)/B114</f>
        <v>#DIV/0!</v>
      </c>
      <c r="E114" s="1819"/>
      <c r="F114" s="1819"/>
      <c r="G114" s="1821" t="e">
        <f>ABS(E114-F114)/E114</f>
        <v>#DIV/0!</v>
      </c>
      <c r="H114" s="1280"/>
      <c r="I114" s="402"/>
      <c r="J114" s="346" t="e">
        <f>ABS(H114-I114)/H114</f>
        <v>#DIV/0!</v>
      </c>
    </row>
    <row r="115" spans="1:10" hidden="1" x14ac:dyDescent="0.25">
      <c r="A115" s="1260" t="s">
        <v>1594</v>
      </c>
      <c r="B115" s="402"/>
      <c r="C115" s="402"/>
      <c r="D115" s="1286" t="e">
        <f>ABS(B115-C115)/B115</f>
        <v>#DIV/0!</v>
      </c>
      <c r="E115" s="1819"/>
      <c r="F115" s="1819"/>
      <c r="G115" s="1821" t="e">
        <f>ABS(E115-F115)/E115</f>
        <v>#DIV/0!</v>
      </c>
      <c r="H115" s="1280"/>
      <c r="I115" s="402"/>
      <c r="J115" s="346" t="e">
        <f>ABS(H115-I115)/H115</f>
        <v>#DIV/0!</v>
      </c>
    </row>
    <row r="116" spans="1:10" hidden="1" x14ac:dyDescent="0.25">
      <c r="A116" s="1260" t="s">
        <v>1595</v>
      </c>
      <c r="B116" s="402"/>
      <c r="C116" s="402"/>
      <c r="D116" s="1286" t="e">
        <f>ABS(B116-C116)/B116</f>
        <v>#DIV/0!</v>
      </c>
      <c r="E116" s="1819"/>
      <c r="F116" s="1819"/>
      <c r="G116" s="1821" t="e">
        <f>ABS(E116-F116)/E116</f>
        <v>#DIV/0!</v>
      </c>
      <c r="H116" s="1280"/>
      <c r="I116" s="402"/>
      <c r="J116" s="346" t="e">
        <f>ABS(H116-I116)/H116</f>
        <v>#DIV/0!</v>
      </c>
    </row>
    <row r="117" spans="1:10" hidden="1" x14ac:dyDescent="0.25">
      <c r="A117" s="1260" t="s">
        <v>1596</v>
      </c>
      <c r="B117" s="402"/>
      <c r="C117" s="402"/>
      <c r="D117" s="1286" t="e">
        <f>ABS(B117-C117)/B117</f>
        <v>#DIV/0!</v>
      </c>
      <c r="E117" s="1819"/>
      <c r="F117" s="1819"/>
      <c r="G117" s="1821" t="e">
        <f>ABS(E117-F117)/E117</f>
        <v>#DIV/0!</v>
      </c>
      <c r="H117" s="1280"/>
      <c r="I117" s="402"/>
      <c r="J117" s="346" t="e">
        <f>ABS(H117-I117)/H117</f>
        <v>#DIV/0!</v>
      </c>
    </row>
    <row r="118" spans="1:10" x14ac:dyDescent="0.25">
      <c r="A118" s="1293"/>
      <c r="B118" s="1293"/>
      <c r="C118" s="1293"/>
      <c r="E118" s="1271"/>
      <c r="F118" s="1262"/>
    </row>
    <row r="119" spans="1:10" x14ac:dyDescent="0.25">
      <c r="A119" s="1293"/>
      <c r="B119" s="1293"/>
      <c r="C119" s="1293"/>
      <c r="E119" s="1271"/>
      <c r="F119" s="1262"/>
    </row>
    <row r="120" spans="1:10" x14ac:dyDescent="0.25">
      <c r="A120" s="1293"/>
      <c r="B120" s="1293"/>
      <c r="C120" s="1293"/>
      <c r="E120" s="1271"/>
      <c r="F120" s="1262"/>
    </row>
    <row r="121" spans="1:10" ht="15.75" thickBot="1" x14ac:dyDescent="0.3">
      <c r="A121" s="1293"/>
      <c r="B121" s="1293"/>
      <c r="C121" s="1293"/>
      <c r="E121" s="1271"/>
      <c r="F121" s="1262"/>
    </row>
    <row r="122" spans="1:10" ht="15.75" thickBot="1" x14ac:dyDescent="0.3">
      <c r="A122" s="1314" t="s">
        <v>1600</v>
      </c>
      <c r="B122" s="1315">
        <f>B24+1</f>
        <v>2</v>
      </c>
      <c r="C122" s="1316"/>
      <c r="D122" s="1316"/>
      <c r="E122" s="1316"/>
      <c r="F122" s="1317"/>
    </row>
    <row r="123" spans="1:10" x14ac:dyDescent="0.25">
      <c r="A123" s="1250" t="s">
        <v>336</v>
      </c>
      <c r="B123" s="1250" t="s">
        <v>119</v>
      </c>
      <c r="C123" s="1250" t="s">
        <v>120</v>
      </c>
      <c r="D123" s="1250" t="s">
        <v>1536</v>
      </c>
      <c r="E123" s="2950" t="s">
        <v>1621</v>
      </c>
      <c r="F123" s="2950"/>
    </row>
    <row r="124" spans="1:10" x14ac:dyDescent="0.25">
      <c r="A124" s="834">
        <f>B122</f>
        <v>2</v>
      </c>
      <c r="B124" s="834" t="s">
        <v>1632</v>
      </c>
      <c r="C124" s="834" t="s">
        <v>1633</v>
      </c>
      <c r="D124" s="834" t="s">
        <v>1633</v>
      </c>
      <c r="E124" s="2951" t="s">
        <v>1634</v>
      </c>
      <c r="F124" s="2951"/>
    </row>
    <row r="125" spans="1:10" ht="15.75" thickBot="1" x14ac:dyDescent="0.3">
      <c r="D125" s="1250"/>
    </row>
    <row r="126" spans="1:10" ht="17.25" customHeight="1" thickBot="1" x14ac:dyDescent="0.3">
      <c r="A126" s="2952" t="s">
        <v>1501</v>
      </c>
      <c r="B126" s="2953"/>
      <c r="C126" s="2953"/>
      <c r="D126" s="2953"/>
      <c r="E126" s="2953"/>
      <c r="F126" s="2954"/>
    </row>
    <row r="127" spans="1:10" ht="15.75" thickBot="1" x14ac:dyDescent="0.3">
      <c r="D127" s="1250"/>
    </row>
    <row r="128" spans="1:10" ht="15.75" customHeight="1" thickBot="1" x14ac:dyDescent="0.3">
      <c r="A128" s="2420" t="s">
        <v>1538</v>
      </c>
      <c r="B128" s="2421"/>
      <c r="C128" s="2421"/>
      <c r="D128" s="2421"/>
      <c r="E128" s="2421"/>
      <c r="F128" s="2422"/>
    </row>
    <row r="129" spans="1:6" ht="15.6" customHeight="1" x14ac:dyDescent="0.25">
      <c r="A129" s="1251" t="s">
        <v>1539</v>
      </c>
      <c r="B129" s="1252"/>
      <c r="C129" s="1252"/>
      <c r="D129" s="834"/>
      <c r="E129" s="1338" t="str">
        <f>IF(D129="s","Sim",IF(D129="n","Não","NPA"))</f>
        <v>NPA</v>
      </c>
      <c r="F129" s="1252"/>
    </row>
    <row r="130" spans="1:6" s="1253" customFormat="1" x14ac:dyDescent="0.25">
      <c r="A130" s="1253" t="s">
        <v>1622</v>
      </c>
      <c r="D130" s="834"/>
    </row>
    <row r="131" spans="1:6" x14ac:dyDescent="0.25">
      <c r="A131" s="1244" t="s">
        <v>1540</v>
      </c>
      <c r="B131" s="1254"/>
      <c r="C131" s="1255"/>
      <c r="D131" s="834"/>
      <c r="E131" s="1255"/>
      <c r="F131" s="1256"/>
    </row>
    <row r="132" spans="1:6" ht="15" hidden="1" customHeight="1" x14ac:dyDescent="0.25">
      <c r="B132" s="1257"/>
      <c r="C132" s="1258"/>
      <c r="D132" s="1258"/>
      <c r="E132" s="1258"/>
      <c r="F132" s="1259"/>
    </row>
    <row r="133" spans="1:6" ht="17.25" hidden="1" customHeight="1" x14ac:dyDescent="0.25">
      <c r="A133" s="1338" t="s">
        <v>1502</v>
      </c>
      <c r="B133" s="1335" t="s">
        <v>902</v>
      </c>
      <c r="C133" s="1335">
        <v>1</v>
      </c>
      <c r="D133" s="1335">
        <v>2</v>
      </c>
      <c r="E133" s="1345" t="str">
        <f>"Tolerância ("&amp;$B$1&amp;")"</f>
        <v>Tolerância (IN 96)</v>
      </c>
    </row>
    <row r="134" spans="1:6" ht="32.25" hidden="1" customHeight="1" x14ac:dyDescent="0.25">
      <c r="A134" s="1335" t="s">
        <v>1503</v>
      </c>
      <c r="B134" s="402"/>
      <c r="C134" s="402"/>
      <c r="D134" s="402"/>
      <c r="E134" s="1335" t="s">
        <v>1504</v>
      </c>
    </row>
    <row r="135" spans="1:6" hidden="1" x14ac:dyDescent="0.25">
      <c r="A135" s="1267" t="str">
        <f>$B$1</f>
        <v>IN 96</v>
      </c>
      <c r="B135" s="1268" t="str">
        <f>IF(AND(C135=0,D135=0),E129,IF(OR(C135&lt;4,D135&lt;4),"Sim","Não"))</f>
        <v>NPA</v>
      </c>
      <c r="C135" s="1287">
        <f>ABS(C134-B134)</f>
        <v>0</v>
      </c>
      <c r="D135" s="1287">
        <f>ABS(D134-B134)</f>
        <v>0</v>
      </c>
    </row>
    <row r="136" spans="1:6" ht="15.75" thickBot="1" x14ac:dyDescent="0.3">
      <c r="A136" s="333"/>
      <c r="B136" s="1254"/>
      <c r="C136" s="1255"/>
      <c r="D136" s="1255"/>
      <c r="E136" s="1255"/>
      <c r="F136" s="1256"/>
    </row>
    <row r="137" spans="1:6" s="1245" customFormat="1" ht="15.75" thickBot="1" x14ac:dyDescent="0.3">
      <c r="A137" s="2420" t="s">
        <v>1924</v>
      </c>
      <c r="B137" s="2421"/>
      <c r="C137" s="2421"/>
      <c r="D137" s="2421"/>
      <c r="E137" s="2422"/>
    </row>
    <row r="138" spans="1:6" ht="30" x14ac:dyDescent="0.25">
      <c r="A138" s="1272" t="s">
        <v>1542</v>
      </c>
      <c r="B138" s="835"/>
      <c r="C138" s="1273"/>
      <c r="D138" s="835"/>
      <c r="E138" s="2955" t="str">
        <f>E133</f>
        <v>Tolerância (IN 96)</v>
      </c>
    </row>
    <row r="139" spans="1:6" x14ac:dyDescent="0.25">
      <c r="A139" s="1829" t="s">
        <v>186</v>
      </c>
      <c r="B139" s="1828" t="s">
        <v>1505</v>
      </c>
      <c r="C139" s="1828" t="s">
        <v>1506</v>
      </c>
      <c r="D139" s="1828" t="s">
        <v>1507</v>
      </c>
      <c r="E139" s="2956"/>
    </row>
    <row r="140" spans="1:6" ht="14.45" customHeight="1" x14ac:dyDescent="0.25">
      <c r="A140" s="1829" t="s">
        <v>1508</v>
      </c>
      <c r="B140" s="835"/>
      <c r="C140" s="1831"/>
      <c r="D140" s="835"/>
      <c r="E140" s="2941" t="s">
        <v>1625</v>
      </c>
    </row>
    <row r="141" spans="1:6" x14ac:dyDescent="0.25">
      <c r="A141" s="1828" t="s">
        <v>1509</v>
      </c>
      <c r="B141" s="835"/>
      <c r="C141" s="1831"/>
      <c r="D141" s="835"/>
      <c r="E141" s="2941"/>
    </row>
    <row r="142" spans="1:6" x14ac:dyDescent="0.25">
      <c r="A142" s="1828" t="s">
        <v>1510</v>
      </c>
      <c r="B142" s="835"/>
      <c r="C142" s="1831"/>
      <c r="D142" s="835"/>
      <c r="E142" s="2941"/>
    </row>
    <row r="143" spans="1:6" x14ac:dyDescent="0.25">
      <c r="A143" s="1828" t="s">
        <v>1511</v>
      </c>
      <c r="B143" s="835"/>
      <c r="C143" s="1831"/>
      <c r="D143" s="835"/>
      <c r="E143" s="2941"/>
    </row>
    <row r="144" spans="1:6" ht="30" x14ac:dyDescent="0.25">
      <c r="A144" s="1828" t="s">
        <v>1541</v>
      </c>
      <c r="B144" s="835"/>
      <c r="C144" s="835" t="str">
        <f>IF(MAX(B152,D152,F152)=0,"",MAX(B152,D152,F152))</f>
        <v/>
      </c>
      <c r="D144" s="835"/>
      <c r="E144" s="2941"/>
    </row>
    <row r="145" spans="1:9" x14ac:dyDescent="0.25">
      <c r="A145" s="1266" t="s">
        <v>546</v>
      </c>
      <c r="B145" s="835">
        <f>ABS(B144-B138)</f>
        <v>0</v>
      </c>
      <c r="C145" s="835" t="e">
        <f>ABS(C144-C138)</f>
        <v>#VALUE!</v>
      </c>
      <c r="D145" s="835">
        <f>ABS(D144-D138)</f>
        <v>0</v>
      </c>
      <c r="E145" s="2941"/>
    </row>
    <row r="146" spans="1:9" x14ac:dyDescent="0.25">
      <c r="A146" s="1267" t="str">
        <f>$B$1</f>
        <v>IN 96</v>
      </c>
      <c r="B146" s="1274" t="str">
        <f>IF(B144="","NA",IF(B145&lt;0.6,"Sim","Não"))</f>
        <v>NA</v>
      </c>
      <c r="C146" s="1274" t="str">
        <f>IF(C144="","NA",IF(C145&lt;0.6,"Sim","Não"))</f>
        <v>NA</v>
      </c>
      <c r="D146" s="1274" t="str">
        <f>IF(D144="","NA",IF(D145&lt;0.6,"Sim","Não"))</f>
        <v>NA</v>
      </c>
      <c r="E146" s="2941"/>
    </row>
    <row r="147" spans="1:9" ht="15.75" thickBot="1" x14ac:dyDescent="0.3">
      <c r="A147" s="333"/>
      <c r="B147" s="1254"/>
      <c r="C147" s="1255"/>
      <c r="D147" s="1255"/>
      <c r="E147" s="1255"/>
      <c r="F147" s="1256"/>
    </row>
    <row r="148" spans="1:9" ht="15.75" thickBot="1" x14ac:dyDescent="0.3">
      <c r="A148" s="2420" t="s">
        <v>1543</v>
      </c>
      <c r="B148" s="2421"/>
      <c r="C148" s="2421"/>
      <c r="D148" s="2421"/>
      <c r="E148" s="2421"/>
      <c r="F148" s="2421"/>
      <c r="G148" s="2421"/>
      <c r="H148" s="2422"/>
    </row>
    <row r="149" spans="1:9" x14ac:dyDescent="0.25">
      <c r="A149" s="1282" t="s">
        <v>1513</v>
      </c>
      <c r="B149" s="1283" t="s">
        <v>372</v>
      </c>
      <c r="C149" s="1284" t="s">
        <v>902</v>
      </c>
      <c r="D149" s="1283" t="s">
        <v>1514</v>
      </c>
      <c r="E149" s="1284" t="s">
        <v>902</v>
      </c>
      <c r="F149" s="1283" t="s">
        <v>1515</v>
      </c>
      <c r="G149" s="1284" t="s">
        <v>902</v>
      </c>
      <c r="H149" s="1277" t="s">
        <v>660</v>
      </c>
    </row>
    <row r="150" spans="1:9" ht="14.45" customHeight="1" x14ac:dyDescent="0.25">
      <c r="A150" s="1335" t="s">
        <v>1516</v>
      </c>
      <c r="B150" s="1273"/>
      <c r="C150" s="1273"/>
      <c r="D150" s="402"/>
      <c r="E150" s="402"/>
      <c r="F150" s="402"/>
      <c r="G150" s="402"/>
      <c r="H150" s="2943" t="s">
        <v>1517</v>
      </c>
    </row>
    <row r="151" spans="1:9" x14ac:dyDescent="0.25">
      <c r="A151" s="1341" t="s">
        <v>1518</v>
      </c>
      <c r="B151" s="402"/>
      <c r="C151" s="1281">
        <v>20</v>
      </c>
      <c r="D151" s="402"/>
      <c r="E151" s="1281">
        <v>10</v>
      </c>
      <c r="F151" s="402"/>
      <c r="G151" s="1281">
        <v>20</v>
      </c>
      <c r="H151" s="2944"/>
    </row>
    <row r="152" spans="1:9" ht="30" x14ac:dyDescent="0.25">
      <c r="A152" s="1335" t="s">
        <v>1519</v>
      </c>
      <c r="B152" s="402"/>
      <c r="C152" s="1281">
        <f>C151*C150</f>
        <v>0</v>
      </c>
      <c r="D152" s="402"/>
      <c r="E152" s="1281">
        <f>E151*E150</f>
        <v>0</v>
      </c>
      <c r="F152" s="402"/>
      <c r="G152" s="1281">
        <f>G151*G150</f>
        <v>0</v>
      </c>
      <c r="H152" s="2944"/>
    </row>
    <row r="153" spans="1:9" x14ac:dyDescent="0.25">
      <c r="A153" s="1335" t="s">
        <v>1520</v>
      </c>
      <c r="B153" s="834"/>
      <c r="C153" s="1281" t="s">
        <v>240</v>
      </c>
      <c r="D153" s="834"/>
      <c r="E153" s="1281" t="s">
        <v>240</v>
      </c>
      <c r="F153" s="834"/>
      <c r="G153" s="1281" t="s">
        <v>240</v>
      </c>
      <c r="H153" s="2944"/>
    </row>
    <row r="154" spans="1:9" x14ac:dyDescent="0.25">
      <c r="A154" s="1335" t="s">
        <v>1521</v>
      </c>
      <c r="B154" s="834"/>
      <c r="C154" s="1281" t="s">
        <v>240</v>
      </c>
      <c r="D154" s="834"/>
      <c r="E154" s="1281" t="s">
        <v>240</v>
      </c>
      <c r="F154" s="834"/>
      <c r="G154" s="1281" t="s">
        <v>240</v>
      </c>
      <c r="H154" s="2944"/>
    </row>
    <row r="155" spans="1:9" ht="15" customHeight="1" x14ac:dyDescent="0.25">
      <c r="A155" s="1267" t="str">
        <f>$B$1</f>
        <v>IN 96</v>
      </c>
      <c r="B155" s="1285" t="str">
        <f>IF(B150&lt;C150,IFERROR(IF(OR(ABS(B151-C151)/C151&gt;C155,ABS(B152-C152)/C152&gt;C155),"Não","Sim"),0),"Sim")</f>
        <v>Sim</v>
      </c>
      <c r="C155" s="1278">
        <v>0.1</v>
      </c>
      <c r="D155" s="1285" t="str">
        <f>IF(D150&lt;E150,IFERROR(IF(OR(ABS(D151-E151)/E151&gt;E155,ABS(D152-E152)/E152&gt;E155),"Não","Sim"),0),"Sim")</f>
        <v>Sim</v>
      </c>
      <c r="E155" s="1278">
        <v>0.1</v>
      </c>
      <c r="F155" s="1285" t="str">
        <f>IF(F150&lt;G150,IFERROR(IF(OR(ABS(F151-G151)/G151&gt;G155,ABS(F152-G152)/G152&gt;G155),"Não","Sim"),0),"Sim")</f>
        <v>Sim</v>
      </c>
      <c r="G155" s="1279">
        <v>0.1</v>
      </c>
      <c r="H155" s="2945"/>
      <c r="I155" s="343" t="str">
        <f>"Segundo especificações do fabricante do equipamento e simulador ("&amp;$B$1&amp;")"</f>
        <v>Segundo especificações do fabricante do equipamento e simulador (IN 96)</v>
      </c>
    </row>
    <row r="156" spans="1:9" ht="15.75" thickBot="1" x14ac:dyDescent="0.3">
      <c r="B156" s="1254"/>
      <c r="C156" s="1255"/>
      <c r="D156" s="1255"/>
      <c r="E156" s="1255"/>
      <c r="F156" s="1256"/>
    </row>
    <row r="157" spans="1:9" ht="15.75" thickBot="1" x14ac:dyDescent="0.3">
      <c r="A157" s="2420" t="s">
        <v>1547</v>
      </c>
      <c r="B157" s="2421"/>
      <c r="C157" s="2421"/>
      <c r="D157" s="2421"/>
      <c r="E157" s="2422"/>
      <c r="G157" s="1244"/>
    </row>
    <row r="158" spans="1:9" ht="30" x14ac:dyDescent="0.25">
      <c r="A158" s="1345" t="s">
        <v>1546</v>
      </c>
      <c r="B158" s="1343" t="s">
        <v>1522</v>
      </c>
      <c r="C158" s="1343" t="s">
        <v>1544</v>
      </c>
      <c r="D158" s="1343" t="s">
        <v>1545</v>
      </c>
      <c r="E158" s="1276" t="str">
        <f>$B$1</f>
        <v>IN 96</v>
      </c>
      <c r="F158" s="1258"/>
      <c r="G158" s="1244"/>
    </row>
    <row r="159" spans="1:9" x14ac:dyDescent="0.25">
      <c r="A159" s="402"/>
      <c r="B159" s="402"/>
      <c r="C159" s="402"/>
      <c r="D159" s="835">
        <f>B159+1</f>
        <v>1</v>
      </c>
      <c r="E159" s="1268" t="str">
        <f>IF(D159&gt;IF(A159&lt;=3,7,IF(A159&lt;=7,5,3)),"Não","Sim")</f>
        <v>Sim</v>
      </c>
      <c r="F159" s="1258"/>
      <c r="G159" s="1244"/>
    </row>
    <row r="160" spans="1:9" x14ac:dyDescent="0.25">
      <c r="A160" s="1345" t="str">
        <f>"Tolerância ("&amp;$B$1&amp;")"</f>
        <v>Tolerância (IN 96)</v>
      </c>
      <c r="B160" s="2941" t="s">
        <v>1601</v>
      </c>
      <c r="C160" s="2941"/>
      <c r="D160" s="2941"/>
      <c r="E160" s="2941"/>
      <c r="F160" s="1258"/>
      <c r="G160" s="1244"/>
    </row>
    <row r="161" spans="1:7" ht="15.75" thickBot="1" x14ac:dyDescent="0.3">
      <c r="A161" s="1263"/>
      <c r="B161" s="1258"/>
      <c r="C161" s="1258"/>
      <c r="D161" s="1258"/>
      <c r="E161" s="1258"/>
      <c r="F161" s="1258"/>
      <c r="G161" s="1244"/>
    </row>
    <row r="162" spans="1:7" ht="15.75" thickBot="1" x14ac:dyDescent="0.3">
      <c r="A162" s="2420" t="s">
        <v>1548</v>
      </c>
      <c r="B162" s="2421"/>
      <c r="C162" s="2421"/>
      <c r="D162" s="2422"/>
      <c r="G162" s="1244"/>
    </row>
    <row r="163" spans="1:7" x14ac:dyDescent="0.25">
      <c r="A163" s="2946" t="s">
        <v>810</v>
      </c>
      <c r="B163" s="2946"/>
      <c r="C163" s="1340" t="s">
        <v>1523</v>
      </c>
      <c r="D163" s="1340" t="s">
        <v>1524</v>
      </c>
      <c r="E163" s="1258"/>
      <c r="F163" s="1259"/>
      <c r="G163" s="1244"/>
    </row>
    <row r="164" spans="1:7" x14ac:dyDescent="0.25">
      <c r="A164" s="2935" t="s">
        <v>1549</v>
      </c>
      <c r="B164" s="2935"/>
      <c r="C164" s="402"/>
      <c r="D164" s="402"/>
      <c r="G164" s="1244"/>
    </row>
    <row r="165" spans="1:7" x14ac:dyDescent="0.25">
      <c r="A165" s="2935" t="s">
        <v>1550</v>
      </c>
      <c r="B165" s="2935"/>
      <c r="C165" s="402"/>
      <c r="D165" s="402"/>
      <c r="G165" s="1244"/>
    </row>
    <row r="166" spans="1:7" x14ac:dyDescent="0.25">
      <c r="A166" s="2963" t="s">
        <v>1551</v>
      </c>
      <c r="B166" s="2963"/>
      <c r="C166" s="402"/>
      <c r="D166" s="402"/>
    </row>
    <row r="167" spans="1:7" x14ac:dyDescent="0.25">
      <c r="A167" s="2935" t="s">
        <v>1552</v>
      </c>
      <c r="B167" s="2935"/>
      <c r="C167" s="402"/>
      <c r="D167" s="402"/>
    </row>
    <row r="168" spans="1:7" x14ac:dyDescent="0.25">
      <c r="A168" s="2936" t="s">
        <v>1553</v>
      </c>
      <c r="B168" s="2937"/>
      <c r="C168" s="1337" t="str">
        <f>IFERROR(ROUND(C166/C165,1),"")</f>
        <v/>
      </c>
      <c r="D168" s="1337" t="str">
        <f>IFERROR(ROUND(D166/D165,1),"")</f>
        <v/>
      </c>
    </row>
    <row r="169" spans="1:7" x14ac:dyDescent="0.25">
      <c r="A169" s="2935" t="str">
        <f>"Tolerância ("&amp;$B$1&amp;")"</f>
        <v>Tolerância (IN 96)</v>
      </c>
      <c r="B169" s="2935"/>
      <c r="C169" s="1338">
        <v>1.5</v>
      </c>
      <c r="D169" s="350">
        <v>2</v>
      </c>
    </row>
    <row r="170" spans="1:7" x14ac:dyDescent="0.25">
      <c r="A170" s="2949" t="str">
        <f>$B$1</f>
        <v>IN 96</v>
      </c>
      <c r="B170" s="2949"/>
      <c r="C170" s="1339" t="str">
        <f>IFERROR(IF(LARGE(C167:C168,1)-10&gt;C169,"Não","Sim"),"NPA")</f>
        <v>NPA</v>
      </c>
      <c r="D170" s="1339" t="str">
        <f>IFERROR(IF(LARGE(D167:D168,1)-10&gt;D169,"Não","Sim"),"NPA")</f>
        <v>NPA</v>
      </c>
    </row>
    <row r="171" spans="1:7" ht="15.75" thickBot="1" x14ac:dyDescent="0.3"/>
    <row r="172" spans="1:7" ht="14.45" customHeight="1" thickBot="1" x14ac:dyDescent="0.3">
      <c r="A172" s="2420" t="s">
        <v>1554</v>
      </c>
      <c r="B172" s="2421"/>
      <c r="C172" s="2421"/>
      <c r="D172" s="2421"/>
      <c r="E172" s="2422"/>
    </row>
    <row r="173" spans="1:7" ht="14.45" customHeight="1" x14ac:dyDescent="0.25">
      <c r="A173" s="2938" t="s">
        <v>1917</v>
      </c>
      <c r="B173" s="2939"/>
      <c r="C173" s="2940"/>
      <c r="D173" s="1273"/>
    </row>
    <row r="174" spans="1:7" x14ac:dyDescent="0.25">
      <c r="A174" s="2938" t="s">
        <v>1556</v>
      </c>
      <c r="B174" s="2939"/>
      <c r="C174" s="2940"/>
      <c r="D174" s="1273">
        <f>D173/1000</f>
        <v>0</v>
      </c>
      <c r="E174" s="1342">
        <f>D174</f>
        <v>0</v>
      </c>
      <c r="F174" s="1264"/>
    </row>
    <row r="175" spans="1:7" ht="17.25" customHeight="1" x14ac:dyDescent="0.25">
      <c r="A175" s="2946" t="s">
        <v>810</v>
      </c>
      <c r="B175" s="2946"/>
      <c r="C175" s="2946"/>
      <c r="D175" s="1345" t="s">
        <v>1525</v>
      </c>
      <c r="E175" s="1343" t="s">
        <v>1526</v>
      </c>
    </row>
    <row r="176" spans="1:7" x14ac:dyDescent="0.25">
      <c r="A176" s="2935" t="s">
        <v>1555</v>
      </c>
      <c r="B176" s="2935"/>
      <c r="C176" s="2935"/>
      <c r="D176" s="402"/>
      <c r="E176" s="402"/>
    </row>
    <row r="177" spans="1:7" ht="14.45" customHeight="1" x14ac:dyDescent="0.25">
      <c r="A177" s="2941" t="str">
        <f>"Tolerância ("&amp;$B$1&amp;") ≤"</f>
        <v>Tolerância (IN 96) ≤</v>
      </c>
      <c r="B177" s="2941"/>
      <c r="C177" s="2941"/>
      <c r="D177" s="1287">
        <f>IF(D174&gt;4,1,2)</f>
        <v>2</v>
      </c>
      <c r="E177" s="1287">
        <f>IF(E174&gt;=5,1.5,IF(E174&gt;=3.5,3,4))</f>
        <v>4</v>
      </c>
    </row>
    <row r="178" spans="1:7" x14ac:dyDescent="0.25">
      <c r="A178" s="2949" t="str">
        <f>$B$1</f>
        <v>IN 96</v>
      </c>
      <c r="B178" s="2949"/>
      <c r="C178" s="2949"/>
      <c r="D178" s="1268" t="str">
        <f>IF(D176&lt;=D177,"Sim","Não")</f>
        <v>Sim</v>
      </c>
      <c r="E178" s="1268" t="str">
        <f>IF(E176&lt;=E177,"Sim","Não")</f>
        <v>Sim</v>
      </c>
      <c r="F178" s="1265"/>
    </row>
    <row r="179" spans="1:7" ht="15.75" thickBot="1" x14ac:dyDescent="0.3">
      <c r="A179" s="1245"/>
      <c r="B179" s="1263"/>
      <c r="C179" s="1247"/>
      <c r="D179" s="1247"/>
      <c r="E179" s="1265"/>
      <c r="F179" s="1265"/>
    </row>
    <row r="180" spans="1:7" ht="15.75" thickBot="1" x14ac:dyDescent="0.3">
      <c r="A180" s="2420" t="s">
        <v>1557</v>
      </c>
      <c r="B180" s="2421"/>
      <c r="C180" s="2421"/>
      <c r="D180" s="2421"/>
      <c r="E180" s="2421"/>
      <c r="F180" s="2422"/>
    </row>
    <row r="181" spans="1:7" x14ac:dyDescent="0.25">
      <c r="A181" s="1345" t="s">
        <v>1527</v>
      </c>
      <c r="B181" s="1343">
        <v>1</v>
      </c>
      <c r="C181" s="1343">
        <v>2</v>
      </c>
      <c r="D181" s="1343">
        <v>3</v>
      </c>
      <c r="E181" s="1343">
        <v>4</v>
      </c>
      <c r="F181" s="1343">
        <v>5</v>
      </c>
    </row>
    <row r="182" spans="1:7" x14ac:dyDescent="0.25">
      <c r="A182" s="1344" t="s">
        <v>1511</v>
      </c>
      <c r="B182" s="402"/>
      <c r="C182" s="402"/>
      <c r="D182" s="402"/>
      <c r="E182" s="402"/>
      <c r="F182" s="402"/>
    </row>
    <row r="183" spans="1:7" x14ac:dyDescent="0.25">
      <c r="A183" s="1344" t="s">
        <v>1559</v>
      </c>
      <c r="B183" s="402"/>
      <c r="C183" s="402"/>
      <c r="D183" s="402"/>
      <c r="E183" s="402"/>
      <c r="F183" s="402"/>
    </row>
    <row r="184" spans="1:7" x14ac:dyDescent="0.25">
      <c r="A184" s="1344" t="s">
        <v>1512</v>
      </c>
      <c r="B184" s="402"/>
      <c r="C184" s="402"/>
      <c r="D184" s="402"/>
      <c r="E184" s="402"/>
      <c r="F184" s="402"/>
    </row>
    <row r="185" spans="1:7" ht="30" x14ac:dyDescent="0.25">
      <c r="A185" s="1344" t="s">
        <v>1558</v>
      </c>
      <c r="B185" s="402"/>
      <c r="C185" s="402"/>
      <c r="D185" s="402"/>
      <c r="E185" s="402"/>
      <c r="F185" s="402"/>
    </row>
    <row r="186" spans="1:7" x14ac:dyDescent="0.25">
      <c r="A186" s="1266" t="s">
        <v>660</v>
      </c>
      <c r="B186" s="1279">
        <v>0.1</v>
      </c>
      <c r="C186" s="1279">
        <v>0.1</v>
      </c>
      <c r="D186" s="1279">
        <v>0.1</v>
      </c>
      <c r="E186" s="1279">
        <v>0.1</v>
      </c>
      <c r="F186" s="1279">
        <v>0.1</v>
      </c>
      <c r="G186" s="343" t="str">
        <f>"Segundo especificações do fabricante do equipamento e simulador ("&amp;$B$1&amp;")"</f>
        <v>Segundo especificações do fabricante do equipamento e simulador (IN 96)</v>
      </c>
    </row>
    <row r="187" spans="1:7" ht="14.45" customHeight="1" x14ac:dyDescent="0.25">
      <c r="A187" s="1371" t="str">
        <f>$B$1</f>
        <v>IN 96</v>
      </c>
      <c r="B187" s="1339" t="str">
        <f>IFERROR(IF(OR(ABS(B182-B184)/B182&gt;B186,ABS(B183-B185)/B183&gt;B186),"Não","Sim"),"NA")</f>
        <v>NA</v>
      </c>
      <c r="C187" s="1339" t="str">
        <f>IFERROR(IF(OR(ABS(C182-C184)/C182&gt;C186,ABS(C183-C185)/C183&gt;C186),"Não","Sim"),"NA")</f>
        <v>NA</v>
      </c>
      <c r="D187" s="1339" t="str">
        <f>IFERROR(IF(OR(ABS(D182-D184)/D182&gt;D186,ABS(D183-D185)/D183&gt;D186),"Não","Sim"),"NA")</f>
        <v>NA</v>
      </c>
      <c r="E187" s="1339" t="str">
        <f>IFERROR(IF(OR(ABS(E182-E184)/E182&gt;E186,ABS(E183-E185)/E183&gt;E186),"Não","Sim"),"NA")</f>
        <v>NA</v>
      </c>
      <c r="F187" s="1339" t="str">
        <f>IFERROR(IF(OR(ABS(F182-F184)/F182&gt;F186,ABS(F183-F185)/F183&gt;F186),"Não","Sim"),"NA")</f>
        <v>NA</v>
      </c>
    </row>
    <row r="188" spans="1:7" ht="15.75" thickBot="1" x14ac:dyDescent="0.3">
      <c r="A188" s="1263"/>
      <c r="B188" s="1263"/>
      <c r="C188" s="1265"/>
      <c r="D188" s="1265"/>
      <c r="E188" s="1265"/>
      <c r="F188" s="1265"/>
    </row>
    <row r="189" spans="1:7" ht="15.75" thickBot="1" x14ac:dyDescent="0.3">
      <c r="A189" s="2420" t="s">
        <v>1560</v>
      </c>
      <c r="B189" s="2421"/>
      <c r="C189" s="2421"/>
      <c r="D189" s="2421"/>
      <c r="E189" s="2422"/>
    </row>
    <row r="190" spans="1:7" x14ac:dyDescent="0.25">
      <c r="A190" s="1269" t="s">
        <v>1528</v>
      </c>
      <c r="B190" s="1236" t="s">
        <v>1529</v>
      </c>
      <c r="C190" s="1236" t="s">
        <v>1530</v>
      </c>
      <c r="D190" s="1236" t="s">
        <v>1531</v>
      </c>
      <c r="E190" s="1236" t="s">
        <v>1532</v>
      </c>
    </row>
    <row r="191" spans="1:7" x14ac:dyDescent="0.25">
      <c r="A191" s="1336" t="s">
        <v>1562</v>
      </c>
      <c r="B191" s="1399" t="s">
        <v>142</v>
      </c>
      <c r="C191" s="1399" t="s">
        <v>142</v>
      </c>
      <c r="D191" s="1399" t="s">
        <v>142</v>
      </c>
      <c r="E191" s="1399" t="s">
        <v>142</v>
      </c>
    </row>
    <row r="192" spans="1:7" x14ac:dyDescent="0.25">
      <c r="A192" s="1336" t="s">
        <v>1561</v>
      </c>
      <c r="B192" s="1399"/>
      <c r="C192" s="1399"/>
      <c r="D192" s="1399"/>
      <c r="E192" s="1399"/>
    </row>
    <row r="193" spans="1:14" x14ac:dyDescent="0.25">
      <c r="A193" s="1236" t="s">
        <v>1563</v>
      </c>
      <c r="B193" s="1278">
        <v>0.1</v>
      </c>
      <c r="C193" s="1278">
        <f>B193</f>
        <v>0.1</v>
      </c>
      <c r="D193" s="1278">
        <f>C193</f>
        <v>0.1</v>
      </c>
      <c r="E193" s="1278">
        <f>D193</f>
        <v>0.1</v>
      </c>
      <c r="F193" s="343" t="str">
        <f>"Segundo especificações do fabricante do equipamento e simulador ("&amp;$B$1&amp;")"</f>
        <v>Segundo especificações do fabricante do equipamento e simulador (IN 96)</v>
      </c>
    </row>
    <row r="194" spans="1:14" x14ac:dyDescent="0.25">
      <c r="A194" s="1371" t="str">
        <f>$B$1</f>
        <v>IN 96</v>
      </c>
      <c r="B194" s="1267" t="str">
        <f>IF(B192="s","Sim",IF(B192="n",IF(B191="s","Não","Sim"),"Sim"))</f>
        <v>Sim</v>
      </c>
      <c r="C194" s="1267" t="str">
        <f>IF(C192="s","Sim",IF(C192="n",IF(C191="s","Não","Sim"),"Sim"))</f>
        <v>Sim</v>
      </c>
      <c r="D194" s="1267" t="str">
        <f>IF(D192="s","Sim",IF(D192="n",IF(D191="s","Não","Sim"),"Sim"))</f>
        <v>Sim</v>
      </c>
      <c r="E194" s="1267" t="str">
        <f>IF(E192="s","Sim",IF(E192="n",IF(E191="s","Não","Sim"),"Sim"))</f>
        <v>Sim</v>
      </c>
    </row>
    <row r="196" spans="1:14" ht="15.75" thickBot="1" x14ac:dyDescent="0.3"/>
    <row r="197" spans="1:14" ht="15.6" customHeight="1" thickBot="1" x14ac:dyDescent="0.3">
      <c r="A197" s="2952" t="s">
        <v>1533</v>
      </c>
      <c r="B197" s="2953"/>
      <c r="C197" s="2953"/>
      <c r="D197" s="2953"/>
      <c r="E197" s="2953"/>
      <c r="F197" s="2953"/>
      <c r="G197" s="1246"/>
      <c r="H197" s="1246"/>
      <c r="I197" s="1246"/>
      <c r="J197" s="1246"/>
      <c r="K197" s="1246"/>
      <c r="L197" s="1299"/>
    </row>
    <row r="198" spans="1:14" ht="15.75" thickBot="1" x14ac:dyDescent="0.3">
      <c r="A198" s="2957" t="s">
        <v>1618</v>
      </c>
      <c r="B198" s="2958"/>
      <c r="C198" s="2958"/>
      <c r="D198" s="2958"/>
      <c r="E198" s="2958"/>
      <c r="F198" s="2958"/>
      <c r="G198" s="2959"/>
    </row>
    <row r="199" spans="1:14" x14ac:dyDescent="0.25">
      <c r="A199" s="1292" t="s">
        <v>686</v>
      </c>
      <c r="B199" s="1334" t="s">
        <v>1564</v>
      </c>
      <c r="C199" s="1334" t="s">
        <v>1565</v>
      </c>
      <c r="D199" s="1258"/>
      <c r="E199" s="1300" t="s">
        <v>660</v>
      </c>
      <c r="F199" s="1301">
        <v>0.1</v>
      </c>
      <c r="G199" s="1371" t="str">
        <f>$B$1</f>
        <v>IN 96</v>
      </c>
    </row>
    <row r="200" spans="1:14" x14ac:dyDescent="0.25">
      <c r="A200" s="1338" t="s">
        <v>1566</v>
      </c>
      <c r="B200" s="402"/>
      <c r="C200" s="1337" t="e">
        <f>VLOOKUP(B200,Doppler1430_Flow[],2)</f>
        <v>#N/A</v>
      </c>
      <c r="E200" s="1289" t="s">
        <v>1590</v>
      </c>
      <c r="F200" s="1370" t="e">
        <f>ROUNDUP(ABS(C200-C201)/C200,3)</f>
        <v>#N/A</v>
      </c>
      <c r="G200" s="1268" t="str">
        <f>IFERROR(IF(F200&gt;F199,"Não","Sim"),"NA")</f>
        <v>NA</v>
      </c>
    </row>
    <row r="201" spans="1:14" x14ac:dyDescent="0.25">
      <c r="A201" s="835" t="s">
        <v>1567</v>
      </c>
      <c r="B201" s="1338" t="s">
        <v>240</v>
      </c>
      <c r="C201" s="402"/>
      <c r="E201" s="343" t="str">
        <f>"Segundo especificações do fabricante do equipamento e simulador ("&amp;$B$1&amp;")"</f>
        <v>Segundo especificações do fabricante do equipamento e simulador (IN 96)</v>
      </c>
    </row>
    <row r="202" spans="1:14" ht="15.75" thickBot="1" x14ac:dyDescent="0.3"/>
    <row r="203" spans="1:14" ht="14.45" customHeight="1" thickBot="1" x14ac:dyDescent="0.3">
      <c r="A203" s="2960" t="s">
        <v>1591</v>
      </c>
      <c r="B203" s="2961"/>
      <c r="C203" s="2961"/>
      <c r="D203" s="2961"/>
      <c r="E203" s="2961"/>
      <c r="F203" s="2961"/>
      <c r="G203" s="2961"/>
      <c r="H203" s="2961"/>
      <c r="I203" s="2961"/>
      <c r="J203" s="2961"/>
      <c r="K203" s="2958"/>
      <c r="L203" s="2959"/>
    </row>
    <row r="204" spans="1:14" x14ac:dyDescent="0.25">
      <c r="A204" s="1827" t="s">
        <v>810</v>
      </c>
      <c r="B204" s="2941" t="s">
        <v>1919</v>
      </c>
      <c r="C204" s="2941"/>
      <c r="D204" s="2942"/>
      <c r="E204" s="2941" t="s">
        <v>1920</v>
      </c>
      <c r="F204" s="2941"/>
      <c r="G204" s="2941"/>
      <c r="H204" s="2947" t="s">
        <v>1921</v>
      </c>
      <c r="I204" s="2948"/>
      <c r="J204" s="2948"/>
    </row>
    <row r="205" spans="1:14" s="1248" customFormat="1" ht="30" x14ac:dyDescent="0.25">
      <c r="A205" s="1831" t="s">
        <v>1564</v>
      </c>
      <c r="B205" s="1833" t="s">
        <v>902</v>
      </c>
      <c r="C205" s="1832" t="s">
        <v>1569</v>
      </c>
      <c r="D205" s="1295" t="str">
        <f>G199</f>
        <v>IN 96</v>
      </c>
      <c r="E205" s="1833" t="s">
        <v>902</v>
      </c>
      <c r="F205" s="1832" t="s">
        <v>1569</v>
      </c>
      <c r="G205" s="1098" t="str">
        <f>G199</f>
        <v>IN 96</v>
      </c>
      <c r="H205" s="1298" t="s">
        <v>902</v>
      </c>
      <c r="I205" s="1832" t="s">
        <v>1569</v>
      </c>
      <c r="J205" s="1098" t="str">
        <f>G199</f>
        <v>IN 96</v>
      </c>
    </row>
    <row r="206" spans="1:14" ht="30" hidden="1" x14ac:dyDescent="0.25">
      <c r="A206" s="1832" t="s">
        <v>1592</v>
      </c>
      <c r="B206" s="1831"/>
      <c r="C206" s="1831"/>
      <c r="D206" s="1830" t="str">
        <f>IFERROR(IF(ABS(C206/B206-1)&gt;0.1,"DIFERENTE","-"),"-")</f>
        <v>-</v>
      </c>
      <c r="E206" s="1831"/>
      <c r="F206" s="1831"/>
      <c r="G206" s="1829" t="str">
        <f>IFERROR(IF(ABS(F206/E206-1)&gt;0.1,"DIFERENTE","-"),"-")</f>
        <v>-</v>
      </c>
      <c r="H206" s="1280"/>
      <c r="I206" s="1831"/>
      <c r="J206" s="1829" t="str">
        <f>IFERROR(IF(ABS(I206/H206-1)&gt;0.1,"DIFERENTE","-"),"-")</f>
        <v>-</v>
      </c>
    </row>
    <row r="207" spans="1:14" ht="30" x14ac:dyDescent="0.25">
      <c r="A207" s="1832" t="s">
        <v>1926</v>
      </c>
      <c r="B207" s="1831" t="s">
        <v>1923</v>
      </c>
      <c r="C207" s="1831"/>
      <c r="D207" s="1267" t="str">
        <f>IFERROR(IF(ABS(C207/B207-1)&lt;D208,"Sim","Não"),"NPA")</f>
        <v>NPA</v>
      </c>
      <c r="E207" s="1831" t="s">
        <v>1923</v>
      </c>
      <c r="F207" s="1831"/>
      <c r="G207" s="1267" t="str">
        <f>IFERROR(IF(ABS(F207/E207-1)&lt;G208,"Sim","Não"),"NPA")</f>
        <v>NPA</v>
      </c>
      <c r="H207" s="1831" t="s">
        <v>1923</v>
      </c>
      <c r="I207" s="1831"/>
      <c r="J207" s="1267" t="str">
        <f>IFERROR(IF(ABS(I207/H207-1)&lt;J208,"Sim","Não"),"NPA")</f>
        <v>NPA</v>
      </c>
      <c r="L207" s="1244"/>
      <c r="M207" s="1250"/>
      <c r="N207" s="1244"/>
    </row>
    <row r="208" spans="1:14" x14ac:dyDescent="0.25">
      <c r="A208" s="1828" t="s">
        <v>1631</v>
      </c>
      <c r="B208" s="1832" t="s">
        <v>240</v>
      </c>
      <c r="C208" s="1832" t="s">
        <v>240</v>
      </c>
      <c r="D208" s="1297">
        <v>0.1</v>
      </c>
      <c r="E208" s="1832" t="s">
        <v>240</v>
      </c>
      <c r="F208" s="1832" t="s">
        <v>240</v>
      </c>
      <c r="G208" s="1294">
        <f>D208</f>
        <v>0.1</v>
      </c>
      <c r="H208" s="1270" t="s">
        <v>240</v>
      </c>
      <c r="I208" s="1832" t="s">
        <v>240</v>
      </c>
      <c r="J208" s="1294">
        <f>D208</f>
        <v>0.1</v>
      </c>
      <c r="K208" s="343" t="str">
        <f>"*Segundo especificações do fabricante do equipamento e simulador ("&amp;$B$1&amp;")"</f>
        <v>*Segundo especificações do fabricante do equipamento e simulador (IN 96)</v>
      </c>
    </row>
    <row r="209" spans="1:6" x14ac:dyDescent="0.25">
      <c r="A209" s="1293"/>
      <c r="B209" s="1293"/>
      <c r="C209" s="1293"/>
      <c r="E209" s="1271"/>
      <c r="F209" s="1262"/>
    </row>
    <row r="210" spans="1:6" x14ac:dyDescent="0.25">
      <c r="A210" s="1293"/>
      <c r="B210" s="1293"/>
      <c r="C210" s="1293"/>
      <c r="E210" s="1271"/>
      <c r="F210" s="1262"/>
    </row>
    <row r="211" spans="1:6" x14ac:dyDescent="0.25">
      <c r="A211" s="1293"/>
      <c r="B211" s="1293"/>
      <c r="C211" s="1293"/>
      <c r="E211" s="1271"/>
      <c r="F211" s="1262"/>
    </row>
    <row r="212" spans="1:6" ht="15.75" thickBot="1" x14ac:dyDescent="0.3">
      <c r="A212" s="1293"/>
      <c r="B212" s="1293"/>
      <c r="C212" s="1293"/>
      <c r="E212" s="1271"/>
      <c r="F212" s="1262"/>
    </row>
    <row r="213" spans="1:6" ht="15.75" thickBot="1" x14ac:dyDescent="0.3">
      <c r="A213" s="1314" t="s">
        <v>1600</v>
      </c>
      <c r="B213" s="1315">
        <f>B122+1</f>
        <v>3</v>
      </c>
      <c r="C213" s="1316"/>
      <c r="D213" s="1316"/>
      <c r="E213" s="1316"/>
      <c r="F213" s="1317"/>
    </row>
    <row r="214" spans="1:6" x14ac:dyDescent="0.25">
      <c r="A214" s="1250" t="s">
        <v>336</v>
      </c>
      <c r="B214" s="1250" t="s">
        <v>119</v>
      </c>
      <c r="C214" s="1250" t="s">
        <v>120</v>
      </c>
      <c r="D214" s="1250" t="s">
        <v>1536</v>
      </c>
      <c r="E214" s="2950" t="s">
        <v>1621</v>
      </c>
      <c r="F214" s="2950"/>
    </row>
    <row r="215" spans="1:6" x14ac:dyDescent="0.25">
      <c r="A215" s="834">
        <f>B213</f>
        <v>3</v>
      </c>
      <c r="B215" s="834" t="s">
        <v>1632</v>
      </c>
      <c r="C215" s="834" t="s">
        <v>1633</v>
      </c>
      <c r="D215" s="834" t="s">
        <v>1633</v>
      </c>
      <c r="E215" s="2951" t="s">
        <v>1634</v>
      </c>
      <c r="F215" s="2951"/>
    </row>
    <row r="216" spans="1:6" ht="15.75" thickBot="1" x14ac:dyDescent="0.3">
      <c r="D216" s="1250"/>
    </row>
    <row r="217" spans="1:6" ht="17.25" customHeight="1" thickBot="1" x14ac:dyDescent="0.3">
      <c r="A217" s="2952" t="s">
        <v>1501</v>
      </c>
      <c r="B217" s="2953"/>
      <c r="C217" s="2953"/>
      <c r="D217" s="2953"/>
      <c r="E217" s="2953"/>
      <c r="F217" s="2954"/>
    </row>
    <row r="218" spans="1:6" ht="15.75" thickBot="1" x14ac:dyDescent="0.3">
      <c r="D218" s="1250"/>
    </row>
    <row r="219" spans="1:6" ht="15.75" customHeight="1" thickBot="1" x14ac:dyDescent="0.3">
      <c r="A219" s="2420" t="s">
        <v>1538</v>
      </c>
      <c r="B219" s="2421"/>
      <c r="C219" s="2421"/>
      <c r="D219" s="2421"/>
      <c r="E219" s="2421"/>
      <c r="F219" s="2422"/>
    </row>
    <row r="220" spans="1:6" ht="15.6" customHeight="1" x14ac:dyDescent="0.25">
      <c r="A220" s="1251" t="s">
        <v>1539</v>
      </c>
      <c r="B220" s="1252"/>
      <c r="C220" s="1252"/>
      <c r="D220" s="834"/>
      <c r="E220" s="1338" t="str">
        <f>IF(D220="s","Sim",IF(D220="n","Não","NPA"))</f>
        <v>NPA</v>
      </c>
      <c r="F220" s="1252"/>
    </row>
    <row r="221" spans="1:6" s="1253" customFormat="1" x14ac:dyDescent="0.25">
      <c r="A221" s="1253" t="s">
        <v>1622</v>
      </c>
      <c r="D221" s="834"/>
    </row>
    <row r="222" spans="1:6" x14ac:dyDescent="0.25">
      <c r="A222" s="1244" t="s">
        <v>1540</v>
      </c>
      <c r="B222" s="1254"/>
      <c r="C222" s="1255"/>
      <c r="D222" s="834"/>
      <c r="E222" s="1255"/>
      <c r="F222" s="1256"/>
    </row>
    <row r="223" spans="1:6" ht="15" hidden="1" customHeight="1" x14ac:dyDescent="0.25">
      <c r="B223" s="1257"/>
      <c r="C223" s="1258"/>
      <c r="D223" s="1258"/>
      <c r="E223" s="1258"/>
      <c r="F223" s="1259"/>
    </row>
    <row r="224" spans="1:6" ht="17.25" hidden="1" customHeight="1" x14ac:dyDescent="0.25">
      <c r="A224" s="1338" t="s">
        <v>1502</v>
      </c>
      <c r="B224" s="1335" t="s">
        <v>902</v>
      </c>
      <c r="C224" s="1335">
        <v>1</v>
      </c>
      <c r="D224" s="1335">
        <v>2</v>
      </c>
      <c r="E224" s="1345" t="str">
        <f>"Tolerância ("&amp;$B$1&amp;")"</f>
        <v>Tolerância (IN 96)</v>
      </c>
    </row>
    <row r="225" spans="1:8" ht="32.25" hidden="1" customHeight="1" x14ac:dyDescent="0.25">
      <c r="A225" s="1335" t="s">
        <v>1503</v>
      </c>
      <c r="B225" s="402"/>
      <c r="C225" s="402"/>
      <c r="D225" s="402"/>
      <c r="E225" s="1335" t="s">
        <v>1504</v>
      </c>
    </row>
    <row r="226" spans="1:8" hidden="1" x14ac:dyDescent="0.25">
      <c r="A226" s="1267" t="str">
        <f>$B$1</f>
        <v>IN 96</v>
      </c>
      <c r="B226" s="1268" t="str">
        <f>IF(AND(C226=0,D226=0),E220,IF(OR(C226&lt;4,D226&lt;4),"Sim","Não"))</f>
        <v>NPA</v>
      </c>
      <c r="C226" s="1287">
        <f>ABS(C225-B225)</f>
        <v>0</v>
      </c>
      <c r="D226" s="1287">
        <f>ABS(D225-B225)</f>
        <v>0</v>
      </c>
    </row>
    <row r="227" spans="1:8" ht="15.75" thickBot="1" x14ac:dyDescent="0.3">
      <c r="A227" s="333"/>
      <c r="B227" s="1254"/>
      <c r="C227" s="1255"/>
      <c r="D227" s="1255"/>
      <c r="E227" s="1255"/>
      <c r="F227" s="1256"/>
    </row>
    <row r="228" spans="1:8" s="1245" customFormat="1" ht="15.75" thickBot="1" x14ac:dyDescent="0.3">
      <c r="A228" s="2420" t="s">
        <v>1924</v>
      </c>
      <c r="B228" s="2421"/>
      <c r="C228" s="2421"/>
      <c r="D228" s="2421"/>
      <c r="E228" s="2422"/>
    </row>
    <row r="229" spans="1:8" ht="30" x14ac:dyDescent="0.25">
      <c r="A229" s="1272" t="s">
        <v>1542</v>
      </c>
      <c r="B229" s="835"/>
      <c r="C229" s="1273"/>
      <c r="D229" s="835"/>
      <c r="E229" s="2955" t="str">
        <f>E224</f>
        <v>Tolerância (IN 96)</v>
      </c>
    </row>
    <row r="230" spans="1:8" x14ac:dyDescent="0.25">
      <c r="A230" s="1829" t="s">
        <v>186</v>
      </c>
      <c r="B230" s="1828" t="s">
        <v>1505</v>
      </c>
      <c r="C230" s="1828" t="s">
        <v>1506</v>
      </c>
      <c r="D230" s="1828" t="s">
        <v>1507</v>
      </c>
      <c r="E230" s="2956"/>
    </row>
    <row r="231" spans="1:8" ht="14.45" customHeight="1" x14ac:dyDescent="0.25">
      <c r="A231" s="1829" t="s">
        <v>1508</v>
      </c>
      <c r="B231" s="835"/>
      <c r="C231" s="1831"/>
      <c r="D231" s="835"/>
      <c r="E231" s="2941" t="s">
        <v>1625</v>
      </c>
    </row>
    <row r="232" spans="1:8" x14ac:dyDescent="0.25">
      <c r="A232" s="1828" t="s">
        <v>1509</v>
      </c>
      <c r="B232" s="835"/>
      <c r="C232" s="1831"/>
      <c r="D232" s="835"/>
      <c r="E232" s="2941"/>
    </row>
    <row r="233" spans="1:8" x14ac:dyDescent="0.25">
      <c r="A233" s="1828" t="s">
        <v>1510</v>
      </c>
      <c r="B233" s="835"/>
      <c r="C233" s="1831"/>
      <c r="D233" s="835"/>
      <c r="E233" s="2941"/>
    </row>
    <row r="234" spans="1:8" x14ac:dyDescent="0.25">
      <c r="A234" s="1828" t="s">
        <v>1511</v>
      </c>
      <c r="B234" s="835"/>
      <c r="C234" s="1831"/>
      <c r="D234" s="835"/>
      <c r="E234" s="2941"/>
    </row>
    <row r="235" spans="1:8" ht="30" x14ac:dyDescent="0.25">
      <c r="A235" s="1828" t="s">
        <v>1541</v>
      </c>
      <c r="B235" s="835"/>
      <c r="C235" s="835" t="str">
        <f>IF(MAX(B243,D243,F243)=0,"",MAX(B243,D243,F243))</f>
        <v/>
      </c>
      <c r="D235" s="835"/>
      <c r="E235" s="2941"/>
    </row>
    <row r="236" spans="1:8" x14ac:dyDescent="0.25">
      <c r="A236" s="1266" t="s">
        <v>546</v>
      </c>
      <c r="B236" s="835">
        <f>ABS(B235-B229)</f>
        <v>0</v>
      </c>
      <c r="C236" s="835" t="e">
        <f>ABS(C235-C229)</f>
        <v>#VALUE!</v>
      </c>
      <c r="D236" s="835">
        <f>ABS(D235-D229)</f>
        <v>0</v>
      </c>
      <c r="E236" s="2941"/>
    </row>
    <row r="237" spans="1:8" x14ac:dyDescent="0.25">
      <c r="A237" s="1267" t="str">
        <f>$B$1</f>
        <v>IN 96</v>
      </c>
      <c r="B237" s="1274" t="str">
        <f>IF(B235="","NA",IF(B236&lt;0.6,"Sim","Não"))</f>
        <v>NA</v>
      </c>
      <c r="C237" s="1274" t="str">
        <f>IF(C235="","NA",IF(C236&lt;0.6,"Sim","Não"))</f>
        <v>NA</v>
      </c>
      <c r="D237" s="1274" t="str">
        <f>IF(D235="","NA",IF(D236&lt;0.6,"Sim","Não"))</f>
        <v>NA</v>
      </c>
      <c r="E237" s="2941"/>
    </row>
    <row r="238" spans="1:8" ht="15.75" thickBot="1" x14ac:dyDescent="0.3">
      <c r="A238" s="333"/>
      <c r="B238" s="1254"/>
      <c r="C238" s="1255"/>
      <c r="D238" s="1255"/>
      <c r="E238" s="1255"/>
      <c r="F238" s="1256"/>
    </row>
    <row r="239" spans="1:8" ht="15.75" thickBot="1" x14ac:dyDescent="0.3">
      <c r="A239" s="2420" t="s">
        <v>1543</v>
      </c>
      <c r="B239" s="2421"/>
      <c r="C239" s="2421"/>
      <c r="D239" s="2421"/>
      <c r="E239" s="2421"/>
      <c r="F239" s="2421"/>
      <c r="G239" s="2421"/>
      <c r="H239" s="2422"/>
    </row>
    <row r="240" spans="1:8" x14ac:dyDescent="0.25">
      <c r="A240" s="1282" t="s">
        <v>1513</v>
      </c>
      <c r="B240" s="1283" t="s">
        <v>372</v>
      </c>
      <c r="C240" s="1284" t="s">
        <v>902</v>
      </c>
      <c r="D240" s="1283" t="s">
        <v>1514</v>
      </c>
      <c r="E240" s="1284" t="s">
        <v>902</v>
      </c>
      <c r="F240" s="1283" t="s">
        <v>1515</v>
      </c>
      <c r="G240" s="1284" t="s">
        <v>902</v>
      </c>
      <c r="H240" s="1277" t="s">
        <v>660</v>
      </c>
    </row>
    <row r="241" spans="1:9" ht="14.45" customHeight="1" x14ac:dyDescent="0.25">
      <c r="A241" s="1335" t="s">
        <v>1516</v>
      </c>
      <c r="B241" s="1273"/>
      <c r="C241" s="1273"/>
      <c r="D241" s="402"/>
      <c r="E241" s="402"/>
      <c r="F241" s="402"/>
      <c r="G241" s="402"/>
      <c r="H241" s="2943" t="s">
        <v>1517</v>
      </c>
    </row>
    <row r="242" spans="1:9" x14ac:dyDescent="0.25">
      <c r="A242" s="1341" t="s">
        <v>1518</v>
      </c>
      <c r="B242" s="402"/>
      <c r="C242" s="1281">
        <v>20</v>
      </c>
      <c r="D242" s="402"/>
      <c r="E242" s="1281">
        <v>10</v>
      </c>
      <c r="F242" s="402"/>
      <c r="G242" s="1281">
        <v>20</v>
      </c>
      <c r="H242" s="2944"/>
    </row>
    <row r="243" spans="1:9" ht="30" x14ac:dyDescent="0.25">
      <c r="A243" s="1335" t="s">
        <v>1519</v>
      </c>
      <c r="B243" s="402"/>
      <c r="C243" s="1281">
        <f>C242*C241</f>
        <v>0</v>
      </c>
      <c r="D243" s="402"/>
      <c r="E243" s="1281">
        <f>E242*E241</f>
        <v>0</v>
      </c>
      <c r="F243" s="402"/>
      <c r="G243" s="1281">
        <f>G242*G241</f>
        <v>0</v>
      </c>
      <c r="H243" s="2944"/>
    </row>
    <row r="244" spans="1:9" x14ac:dyDescent="0.25">
      <c r="A244" s="1335" t="s">
        <v>1520</v>
      </c>
      <c r="B244" s="834"/>
      <c r="C244" s="1281" t="s">
        <v>240</v>
      </c>
      <c r="D244" s="834"/>
      <c r="E244" s="1281" t="s">
        <v>240</v>
      </c>
      <c r="F244" s="834"/>
      <c r="G244" s="1281" t="s">
        <v>240</v>
      </c>
      <c r="H244" s="2944"/>
    </row>
    <row r="245" spans="1:9" x14ac:dyDescent="0.25">
      <c r="A245" s="1335" t="s">
        <v>1521</v>
      </c>
      <c r="B245" s="834"/>
      <c r="C245" s="1281" t="s">
        <v>240</v>
      </c>
      <c r="D245" s="834"/>
      <c r="E245" s="1281" t="s">
        <v>240</v>
      </c>
      <c r="F245" s="834"/>
      <c r="G245" s="1281" t="s">
        <v>240</v>
      </c>
      <c r="H245" s="2944"/>
    </row>
    <row r="246" spans="1:9" ht="15" customHeight="1" x14ac:dyDescent="0.25">
      <c r="A246" s="1267" t="str">
        <f>$B$1</f>
        <v>IN 96</v>
      </c>
      <c r="B246" s="1285" t="str">
        <f>IF(B241&lt;C241,IFERROR(IF(OR(ABS(B242-C242)/C242&gt;C246,ABS(B243-C243)/C243&gt;C246),"Não","Sim"),0),"Sim")</f>
        <v>Sim</v>
      </c>
      <c r="C246" s="1278">
        <v>0.1</v>
      </c>
      <c r="D246" s="1285" t="str">
        <f>IF(D241&lt;E241,IFERROR(IF(OR(ABS(D242-E242)/E242&gt;E246,ABS(D243-E243)/E243&gt;E246),"Não","Sim"),0),"Sim")</f>
        <v>Sim</v>
      </c>
      <c r="E246" s="1278">
        <v>0.1</v>
      </c>
      <c r="F246" s="1285" t="str">
        <f>IF(F241&lt;G241,IFERROR(IF(OR(ABS(F242-G242)/G242&gt;G246,ABS(F243-G243)/G243&gt;G246),"Não","Sim"),0),"Sim")</f>
        <v>Sim</v>
      </c>
      <c r="G246" s="1279">
        <v>0.1</v>
      </c>
      <c r="H246" s="2945"/>
      <c r="I246" s="343" t="str">
        <f>"Segundo especificações do fabricante do equipamento e simulador ("&amp;$B$1&amp;")"</f>
        <v>Segundo especificações do fabricante do equipamento e simulador (IN 96)</v>
      </c>
    </row>
    <row r="247" spans="1:9" ht="15.75" thickBot="1" x14ac:dyDescent="0.3">
      <c r="B247" s="1254"/>
      <c r="C247" s="1255"/>
      <c r="D247" s="1255"/>
      <c r="E247" s="1255"/>
      <c r="F247" s="1256"/>
    </row>
    <row r="248" spans="1:9" ht="15.75" thickBot="1" x14ac:dyDescent="0.3">
      <c r="A248" s="2420" t="s">
        <v>1547</v>
      </c>
      <c r="B248" s="2421"/>
      <c r="C248" s="2421"/>
      <c r="D248" s="2421"/>
      <c r="E248" s="2422"/>
      <c r="G248" s="1244"/>
    </row>
    <row r="249" spans="1:9" ht="30" x14ac:dyDescent="0.25">
      <c r="A249" s="1345" t="s">
        <v>1546</v>
      </c>
      <c r="B249" s="1343" t="s">
        <v>1522</v>
      </c>
      <c r="C249" s="1343" t="s">
        <v>1544</v>
      </c>
      <c r="D249" s="1343" t="s">
        <v>1545</v>
      </c>
      <c r="E249" s="1276" t="str">
        <f>$B$1</f>
        <v>IN 96</v>
      </c>
      <c r="F249" s="1258"/>
      <c r="G249" s="1244"/>
    </row>
    <row r="250" spans="1:9" x14ac:dyDescent="0.25">
      <c r="A250" s="402"/>
      <c r="B250" s="402"/>
      <c r="C250" s="402"/>
      <c r="D250" s="835">
        <f>B250+1</f>
        <v>1</v>
      </c>
      <c r="E250" s="1268" t="str">
        <f>IF(D250&gt;IF(A250&lt;=3,7,IF(A250&lt;=7,5,3)),"Não","Sim")</f>
        <v>Sim</v>
      </c>
      <c r="F250" s="1258"/>
      <c r="G250" s="1244"/>
    </row>
    <row r="251" spans="1:9" x14ac:dyDescent="0.25">
      <c r="A251" s="1345" t="str">
        <f>"Tolerância ("&amp;$B$1&amp;")"</f>
        <v>Tolerância (IN 96)</v>
      </c>
      <c r="B251" s="2941" t="s">
        <v>1601</v>
      </c>
      <c r="C251" s="2941"/>
      <c r="D251" s="2941"/>
      <c r="E251" s="2941"/>
      <c r="F251" s="1258"/>
      <c r="G251" s="1244"/>
    </row>
    <row r="252" spans="1:9" ht="15.75" thickBot="1" x14ac:dyDescent="0.3">
      <c r="A252" s="1263"/>
      <c r="B252" s="1258"/>
      <c r="C252" s="1258"/>
      <c r="D252" s="1258"/>
      <c r="E252" s="1258"/>
      <c r="F252" s="1258"/>
      <c r="G252" s="1244"/>
    </row>
    <row r="253" spans="1:9" ht="15.75" thickBot="1" x14ac:dyDescent="0.3">
      <c r="A253" s="2420" t="s">
        <v>1548</v>
      </c>
      <c r="B253" s="2421"/>
      <c r="C253" s="2421"/>
      <c r="D253" s="2422"/>
      <c r="G253" s="1244"/>
    </row>
    <row r="254" spans="1:9" x14ac:dyDescent="0.25">
      <c r="A254" s="2946" t="s">
        <v>810</v>
      </c>
      <c r="B254" s="2946"/>
      <c r="C254" s="1340" t="s">
        <v>1523</v>
      </c>
      <c r="D254" s="1340" t="s">
        <v>1524</v>
      </c>
      <c r="E254" s="1258"/>
      <c r="F254" s="1259"/>
      <c r="G254" s="1244"/>
    </row>
    <row r="255" spans="1:9" x14ac:dyDescent="0.25">
      <c r="A255" s="2935" t="s">
        <v>1549</v>
      </c>
      <c r="B255" s="2935"/>
      <c r="C255" s="402"/>
      <c r="D255" s="402"/>
      <c r="G255" s="1244"/>
    </row>
    <row r="256" spans="1:9" x14ac:dyDescent="0.25">
      <c r="A256" s="2935" t="s">
        <v>1550</v>
      </c>
      <c r="B256" s="2935"/>
      <c r="C256" s="402"/>
      <c r="D256" s="402"/>
      <c r="G256" s="1244"/>
    </row>
    <row r="257" spans="1:6" x14ac:dyDescent="0.25">
      <c r="A257" s="2963" t="s">
        <v>1551</v>
      </c>
      <c r="B257" s="2963"/>
      <c r="C257" s="402"/>
      <c r="D257" s="402"/>
    </row>
    <row r="258" spans="1:6" x14ac:dyDescent="0.25">
      <c r="A258" s="2935" t="s">
        <v>1552</v>
      </c>
      <c r="B258" s="2935"/>
      <c r="C258" s="402"/>
      <c r="D258" s="402"/>
    </row>
    <row r="259" spans="1:6" x14ac:dyDescent="0.25">
      <c r="A259" s="2936" t="s">
        <v>1553</v>
      </c>
      <c r="B259" s="2937"/>
      <c r="C259" s="1337" t="str">
        <f>IFERROR(ROUND(C257/C256,1),"")</f>
        <v/>
      </c>
      <c r="D259" s="1337" t="str">
        <f>IFERROR(ROUND(D257/D256,1),"")</f>
        <v/>
      </c>
    </row>
    <row r="260" spans="1:6" x14ac:dyDescent="0.25">
      <c r="A260" s="2935" t="str">
        <f>"Tolerância ("&amp;$B$1&amp;")"</f>
        <v>Tolerância (IN 96)</v>
      </c>
      <c r="B260" s="2935"/>
      <c r="C260" s="1338">
        <v>1.5</v>
      </c>
      <c r="D260" s="350">
        <v>2</v>
      </c>
    </row>
    <row r="261" spans="1:6" x14ac:dyDescent="0.25">
      <c r="A261" s="2949" t="str">
        <f>$B$1</f>
        <v>IN 96</v>
      </c>
      <c r="B261" s="2949"/>
      <c r="C261" s="1339" t="str">
        <f>IFERROR(IF(LARGE(C258:C259,1)-10&gt;C260,"Não","Sim"),"NPA")</f>
        <v>NPA</v>
      </c>
      <c r="D261" s="1339" t="str">
        <f>IFERROR(IF(LARGE(D258:D259,1)-10&gt;D260,"Não","Sim"),"NPA")</f>
        <v>NPA</v>
      </c>
    </row>
    <row r="262" spans="1:6" ht="15.75" thickBot="1" x14ac:dyDescent="0.3"/>
    <row r="263" spans="1:6" ht="14.45" customHeight="1" thickBot="1" x14ac:dyDescent="0.3">
      <c r="A263" s="2420" t="s">
        <v>1554</v>
      </c>
      <c r="B263" s="2421"/>
      <c r="C263" s="2421"/>
      <c r="D263" s="2421"/>
      <c r="E263" s="2422"/>
    </row>
    <row r="264" spans="1:6" ht="14.45" customHeight="1" x14ac:dyDescent="0.25">
      <c r="A264" s="2938" t="s">
        <v>1917</v>
      </c>
      <c r="B264" s="2939"/>
      <c r="C264" s="2940"/>
      <c r="D264" s="1273"/>
    </row>
    <row r="265" spans="1:6" x14ac:dyDescent="0.25">
      <c r="A265" s="2938" t="s">
        <v>1556</v>
      </c>
      <c r="B265" s="2939"/>
      <c r="C265" s="2940"/>
      <c r="D265" s="1273">
        <f>D264/1000</f>
        <v>0</v>
      </c>
      <c r="E265" s="1342">
        <f>D265</f>
        <v>0</v>
      </c>
      <c r="F265" s="1264"/>
    </row>
    <row r="266" spans="1:6" ht="17.25" customHeight="1" x14ac:dyDescent="0.25">
      <c r="A266" s="2946" t="s">
        <v>810</v>
      </c>
      <c r="B266" s="2946"/>
      <c r="C266" s="2946"/>
      <c r="D266" s="1345" t="s">
        <v>1525</v>
      </c>
      <c r="E266" s="1343" t="s">
        <v>1526</v>
      </c>
    </row>
    <row r="267" spans="1:6" x14ac:dyDescent="0.25">
      <c r="A267" s="2935" t="s">
        <v>1555</v>
      </c>
      <c r="B267" s="2935"/>
      <c r="C267" s="2935"/>
      <c r="D267" s="402"/>
      <c r="E267" s="402"/>
    </row>
    <row r="268" spans="1:6" ht="14.45" customHeight="1" x14ac:dyDescent="0.25">
      <c r="A268" s="2941" t="str">
        <f>"Tolerância ("&amp;$B$1&amp;") ≤"</f>
        <v>Tolerância (IN 96) ≤</v>
      </c>
      <c r="B268" s="2941"/>
      <c r="C268" s="2941"/>
      <c r="D268" s="1287">
        <f>IF(D265&gt;4,1,2)</f>
        <v>2</v>
      </c>
      <c r="E268" s="1287">
        <f>IF(E265&gt;=5,1.5,IF(E265&gt;=3.5,3,4))</f>
        <v>4</v>
      </c>
    </row>
    <row r="269" spans="1:6" x14ac:dyDescent="0.25">
      <c r="A269" s="2949" t="str">
        <f>$B$1</f>
        <v>IN 96</v>
      </c>
      <c r="B269" s="2949"/>
      <c r="C269" s="2949"/>
      <c r="D269" s="1268" t="str">
        <f>IF(D267&lt;=D268,"Sim","Não")</f>
        <v>Sim</v>
      </c>
      <c r="E269" s="1268" t="str">
        <f>IF(E267&lt;=E268,"Sim","Não")</f>
        <v>Sim</v>
      </c>
      <c r="F269" s="1265"/>
    </row>
    <row r="270" spans="1:6" ht="15.75" thickBot="1" x14ac:dyDescent="0.3">
      <c r="A270" s="1245"/>
      <c r="B270" s="1263"/>
      <c r="C270" s="1247"/>
      <c r="D270" s="1247"/>
      <c r="E270" s="1265"/>
      <c r="F270" s="1265"/>
    </row>
    <row r="271" spans="1:6" ht="15.75" thickBot="1" x14ac:dyDescent="0.3">
      <c r="A271" s="2420" t="s">
        <v>1557</v>
      </c>
      <c r="B271" s="2421"/>
      <c r="C271" s="2421"/>
      <c r="D271" s="2421"/>
      <c r="E271" s="2421"/>
      <c r="F271" s="2422"/>
    </row>
    <row r="272" spans="1:6" x14ac:dyDescent="0.25">
      <c r="A272" s="1345" t="s">
        <v>1527</v>
      </c>
      <c r="B272" s="1343">
        <v>1</v>
      </c>
      <c r="C272" s="1343">
        <v>2</v>
      </c>
      <c r="D272" s="1343">
        <v>3</v>
      </c>
      <c r="E272" s="1343">
        <v>4</v>
      </c>
      <c r="F272" s="1343">
        <v>5</v>
      </c>
    </row>
    <row r="273" spans="1:12" x14ac:dyDescent="0.25">
      <c r="A273" s="1344" t="s">
        <v>1511</v>
      </c>
      <c r="B273" s="402"/>
      <c r="C273" s="402"/>
      <c r="D273" s="402"/>
      <c r="E273" s="402"/>
      <c r="F273" s="402"/>
    </row>
    <row r="274" spans="1:12" x14ac:dyDescent="0.25">
      <c r="A274" s="1344" t="s">
        <v>1559</v>
      </c>
      <c r="B274" s="402"/>
      <c r="C274" s="402"/>
      <c r="D274" s="402"/>
      <c r="E274" s="402"/>
      <c r="F274" s="402"/>
    </row>
    <row r="275" spans="1:12" x14ac:dyDescent="0.25">
      <c r="A275" s="1344" t="s">
        <v>1512</v>
      </c>
      <c r="B275" s="402"/>
      <c r="C275" s="402"/>
      <c r="D275" s="402"/>
      <c r="E275" s="402"/>
      <c r="F275" s="402"/>
    </row>
    <row r="276" spans="1:12" ht="30" x14ac:dyDescent="0.25">
      <c r="A276" s="1344" t="s">
        <v>1558</v>
      </c>
      <c r="B276" s="402"/>
      <c r="C276" s="402"/>
      <c r="D276" s="402"/>
      <c r="E276" s="402"/>
      <c r="F276" s="402"/>
    </row>
    <row r="277" spans="1:12" x14ac:dyDescent="0.25">
      <c r="A277" s="1266" t="s">
        <v>660</v>
      </c>
      <c r="B277" s="1279">
        <v>0.1</v>
      </c>
      <c r="C277" s="1279">
        <v>0.1</v>
      </c>
      <c r="D277" s="1279">
        <v>0.1</v>
      </c>
      <c r="E277" s="1279">
        <v>0.1</v>
      </c>
      <c r="F277" s="1279">
        <v>0.1</v>
      </c>
      <c r="G277" s="343" t="str">
        <f>"Segundo especificações do fabricante do equipamento e simulador ("&amp;$B$1&amp;")"</f>
        <v>Segundo especificações do fabricante do equipamento e simulador (IN 96)</v>
      </c>
    </row>
    <row r="278" spans="1:12" ht="14.45" customHeight="1" x14ac:dyDescent="0.25">
      <c r="A278" s="1371" t="str">
        <f>$B$1</f>
        <v>IN 96</v>
      </c>
      <c r="B278" s="1339" t="str">
        <f>IFERROR(IF(OR(ABS(B273-B275)/B273&gt;B277,ABS(B274-B276)/B274&gt;B277),"Não","Sim"),"NA")</f>
        <v>NA</v>
      </c>
      <c r="C278" s="1339" t="str">
        <f>IFERROR(IF(OR(ABS(C273-C275)/C273&gt;C277,ABS(C274-C276)/C274&gt;C277),"Não","Sim"),"NA")</f>
        <v>NA</v>
      </c>
      <c r="D278" s="1339" t="str">
        <f>IFERROR(IF(OR(ABS(D273-D275)/D273&gt;D277,ABS(D274-D276)/D274&gt;D277),"Não","Sim"),"NA")</f>
        <v>NA</v>
      </c>
      <c r="E278" s="1339" t="str">
        <f>IFERROR(IF(OR(ABS(E273-E275)/E273&gt;E277,ABS(E274-E276)/E274&gt;E277),"Não","Sim"),"NA")</f>
        <v>NA</v>
      </c>
      <c r="F278" s="1339" t="str">
        <f>IFERROR(IF(OR(ABS(F273-F275)/F273&gt;F277,ABS(F274-F276)/F274&gt;F277),"Não","Sim"),"NA")</f>
        <v>NA</v>
      </c>
    </row>
    <row r="279" spans="1:12" ht="15.75" thickBot="1" x14ac:dyDescent="0.3">
      <c r="A279" s="1263"/>
      <c r="B279" s="1263"/>
      <c r="C279" s="1265"/>
      <c r="D279" s="1265"/>
      <c r="E279" s="1265"/>
      <c r="F279" s="1265"/>
    </row>
    <row r="280" spans="1:12" ht="15.75" thickBot="1" x14ac:dyDescent="0.3">
      <c r="A280" s="2420" t="s">
        <v>1560</v>
      </c>
      <c r="B280" s="2421"/>
      <c r="C280" s="2421"/>
      <c r="D280" s="2421"/>
      <c r="E280" s="2422"/>
    </row>
    <row r="281" spans="1:12" x14ac:dyDescent="0.25">
      <c r="A281" s="1269" t="s">
        <v>1528</v>
      </c>
      <c r="B281" s="1236" t="s">
        <v>1529</v>
      </c>
      <c r="C281" s="1236" t="s">
        <v>1530</v>
      </c>
      <c r="D281" s="1236" t="s">
        <v>1531</v>
      </c>
      <c r="E281" s="1236" t="s">
        <v>1532</v>
      </c>
    </row>
    <row r="282" spans="1:12" x14ac:dyDescent="0.25">
      <c r="A282" s="1336" t="s">
        <v>1562</v>
      </c>
      <c r="B282" s="1399" t="s">
        <v>142</v>
      </c>
      <c r="C282" s="1399" t="s">
        <v>142</v>
      </c>
      <c r="D282" s="1399" t="s">
        <v>142</v>
      </c>
      <c r="E282" s="1399" t="s">
        <v>142</v>
      </c>
    </row>
    <row r="283" spans="1:12" x14ac:dyDescent="0.25">
      <c r="A283" s="1336" t="s">
        <v>1561</v>
      </c>
      <c r="B283" s="1399"/>
      <c r="C283" s="1399"/>
      <c r="D283" s="1399"/>
      <c r="E283" s="1399"/>
    </row>
    <row r="284" spans="1:12" x14ac:dyDescent="0.25">
      <c r="A284" s="1236" t="s">
        <v>1563</v>
      </c>
      <c r="B284" s="1278">
        <v>0.1</v>
      </c>
      <c r="C284" s="1278">
        <f>B284</f>
        <v>0.1</v>
      </c>
      <c r="D284" s="1278">
        <f>C284</f>
        <v>0.1</v>
      </c>
      <c r="E284" s="1278">
        <f>D284</f>
        <v>0.1</v>
      </c>
      <c r="F284" s="343" t="str">
        <f>"Segundo especificações do fabricante do equipamento e simulador ("&amp;$B$1&amp;")"</f>
        <v>Segundo especificações do fabricante do equipamento e simulador (IN 96)</v>
      </c>
    </row>
    <row r="285" spans="1:12" x14ac:dyDescent="0.25">
      <c r="A285" s="1371" t="str">
        <f>$B$1</f>
        <v>IN 96</v>
      </c>
      <c r="B285" s="1267" t="str">
        <f>IF(B283="s","Sim",IF(B283="n",IF(B282="s","Não","Sim"),"Sim"))</f>
        <v>Sim</v>
      </c>
      <c r="C285" s="1267" t="str">
        <f>IF(C283="s","Sim",IF(C283="n",IF(C282="s","Não","Sim"),"Sim"))</f>
        <v>Sim</v>
      </c>
      <c r="D285" s="1267" t="str">
        <f>IF(D283="s","Sim",IF(D283="n",IF(D282="s","Não","Sim"),"Sim"))</f>
        <v>Sim</v>
      </c>
      <c r="E285" s="1267" t="str">
        <f>IF(E283="s","Sim",IF(E283="n",IF(E282="s","Não","Sim"),"Sim"))</f>
        <v>Sim</v>
      </c>
    </row>
    <row r="287" spans="1:12" ht="15.75" thickBot="1" x14ac:dyDescent="0.3"/>
    <row r="288" spans="1:12" ht="15.6" customHeight="1" thickBot="1" x14ac:dyDescent="0.3">
      <c r="A288" s="2952" t="s">
        <v>1533</v>
      </c>
      <c r="B288" s="2953"/>
      <c r="C288" s="2953"/>
      <c r="D288" s="2953"/>
      <c r="E288" s="2953"/>
      <c r="F288" s="2953"/>
      <c r="G288" s="1246"/>
      <c r="H288" s="1246"/>
      <c r="I288" s="1246"/>
      <c r="J288" s="1246"/>
      <c r="K288" s="1246"/>
      <c r="L288" s="1299"/>
    </row>
    <row r="289" spans="1:14" ht="15.75" thickBot="1" x14ac:dyDescent="0.3">
      <c r="A289" s="2957" t="s">
        <v>1618</v>
      </c>
      <c r="B289" s="2958"/>
      <c r="C289" s="2958"/>
      <c r="D289" s="2958"/>
      <c r="E289" s="2958"/>
      <c r="F289" s="2958"/>
      <c r="G289" s="2959"/>
    </row>
    <row r="290" spans="1:14" x14ac:dyDescent="0.25">
      <c r="A290" s="1292" t="s">
        <v>686</v>
      </c>
      <c r="B290" s="1334" t="s">
        <v>1564</v>
      </c>
      <c r="C290" s="1334" t="s">
        <v>1565</v>
      </c>
      <c r="D290" s="1258"/>
      <c r="E290" s="1300" t="s">
        <v>660</v>
      </c>
      <c r="F290" s="1301">
        <v>0.1</v>
      </c>
      <c r="G290" s="1371" t="str">
        <f>$B$1</f>
        <v>IN 96</v>
      </c>
    </row>
    <row r="291" spans="1:14" x14ac:dyDescent="0.25">
      <c r="A291" s="1338" t="s">
        <v>1566</v>
      </c>
      <c r="B291" s="402"/>
      <c r="C291" s="1337" t="e">
        <f>VLOOKUP(B291,Doppler1430_Flow[],2)</f>
        <v>#N/A</v>
      </c>
      <c r="E291" s="1289" t="s">
        <v>1590</v>
      </c>
      <c r="F291" s="1370" t="e">
        <f>ROUNDUP(ABS(C291-C292)/C291,3)</f>
        <v>#N/A</v>
      </c>
      <c r="G291" s="1268" t="str">
        <f>IFERROR(IF(F291&gt;F290,"Não","Sim"),"NA")</f>
        <v>NA</v>
      </c>
    </row>
    <row r="292" spans="1:14" x14ac:dyDescent="0.25">
      <c r="A292" s="835" t="s">
        <v>1567</v>
      </c>
      <c r="B292" s="1338" t="s">
        <v>240</v>
      </c>
      <c r="C292" s="402"/>
      <c r="E292" s="343" t="str">
        <f>"Segundo especificações do fabricante do equipamento e simulador ("&amp;$B$1&amp;")"</f>
        <v>Segundo especificações do fabricante do equipamento e simulador (IN 96)</v>
      </c>
    </row>
    <row r="293" spans="1:14" ht="15.75" thickBot="1" x14ac:dyDescent="0.3"/>
    <row r="294" spans="1:14" ht="14.45" customHeight="1" thickBot="1" x14ac:dyDescent="0.3">
      <c r="A294" s="2960" t="s">
        <v>1591</v>
      </c>
      <c r="B294" s="2961"/>
      <c r="C294" s="2961"/>
      <c r="D294" s="2961"/>
      <c r="E294" s="2961"/>
      <c r="F294" s="2961"/>
      <c r="G294" s="2961"/>
      <c r="H294" s="2961"/>
      <c r="I294" s="2961"/>
      <c r="J294" s="2961"/>
      <c r="K294" s="2958"/>
      <c r="L294" s="2959"/>
    </row>
    <row r="295" spans="1:14" x14ac:dyDescent="0.25">
      <c r="A295" s="1827" t="s">
        <v>810</v>
      </c>
      <c r="B295" s="2941" t="s">
        <v>1919</v>
      </c>
      <c r="C295" s="2941"/>
      <c r="D295" s="2942"/>
      <c r="E295" s="2941" t="s">
        <v>1920</v>
      </c>
      <c r="F295" s="2941"/>
      <c r="G295" s="2941"/>
      <c r="H295" s="2947" t="s">
        <v>1921</v>
      </c>
      <c r="I295" s="2948"/>
      <c r="J295" s="2948"/>
    </row>
    <row r="296" spans="1:14" s="1248" customFormat="1" ht="30" x14ac:dyDescent="0.25">
      <c r="A296" s="1831" t="s">
        <v>1564</v>
      </c>
      <c r="B296" s="1833" t="s">
        <v>902</v>
      </c>
      <c r="C296" s="1832" t="s">
        <v>1569</v>
      </c>
      <c r="D296" s="1295" t="str">
        <f>G290</f>
        <v>IN 96</v>
      </c>
      <c r="E296" s="1833" t="s">
        <v>902</v>
      </c>
      <c r="F296" s="1832" t="s">
        <v>1569</v>
      </c>
      <c r="G296" s="1098" t="str">
        <f>G290</f>
        <v>IN 96</v>
      </c>
      <c r="H296" s="1298" t="s">
        <v>902</v>
      </c>
      <c r="I296" s="1832" t="s">
        <v>1569</v>
      </c>
      <c r="J296" s="1098" t="str">
        <f>G290</f>
        <v>IN 96</v>
      </c>
    </row>
    <row r="297" spans="1:14" ht="30" hidden="1" x14ac:dyDescent="0.25">
      <c r="A297" s="1832" t="s">
        <v>1592</v>
      </c>
      <c r="B297" s="1831"/>
      <c r="C297" s="1831"/>
      <c r="D297" s="1830" t="str">
        <f>IFERROR(IF(ABS(C297/B297-1)&gt;0.1,"DIFERENTE","-"),"-")</f>
        <v>-</v>
      </c>
      <c r="E297" s="1831"/>
      <c r="F297" s="1831"/>
      <c r="G297" s="1829" t="str">
        <f>IFERROR(IF(ABS(F297/E297-1)&gt;0.1,"DIFERENTE","-"),"-")</f>
        <v>-</v>
      </c>
      <c r="H297" s="1280"/>
      <c r="I297" s="1831"/>
      <c r="J297" s="1829" t="str">
        <f>IFERROR(IF(ABS(I297/H297-1)&gt;0.1,"DIFERENTE","-"),"-")</f>
        <v>-</v>
      </c>
    </row>
    <row r="298" spans="1:14" ht="30" x14ac:dyDescent="0.25">
      <c r="A298" s="1832" t="s">
        <v>1926</v>
      </c>
      <c r="B298" s="1831" t="s">
        <v>1923</v>
      </c>
      <c r="C298" s="1831"/>
      <c r="D298" s="1267" t="str">
        <f>IFERROR(IF(ABS(C298/B298-1)&lt;D299,"Sim","Não"),"NPA")</f>
        <v>NPA</v>
      </c>
      <c r="E298" s="1831" t="s">
        <v>1923</v>
      </c>
      <c r="F298" s="1831"/>
      <c r="G298" s="1267" t="str">
        <f>IFERROR(IF(ABS(F298/E298-1)&lt;G299,"Sim","Não"),"NPA")</f>
        <v>NPA</v>
      </c>
      <c r="H298" s="1831" t="s">
        <v>1923</v>
      </c>
      <c r="I298" s="1831"/>
      <c r="J298" s="1267" t="str">
        <f>IFERROR(IF(ABS(I298/H298-1)&lt;J299,"Sim","Não"),"NPA")</f>
        <v>NPA</v>
      </c>
      <c r="L298" s="1244"/>
      <c r="M298" s="1250"/>
      <c r="N298" s="1244"/>
    </row>
    <row r="299" spans="1:14" x14ac:dyDescent="0.25">
      <c r="A299" s="1828" t="s">
        <v>1631</v>
      </c>
      <c r="B299" s="1832" t="s">
        <v>240</v>
      </c>
      <c r="C299" s="1832" t="s">
        <v>240</v>
      </c>
      <c r="D299" s="1297">
        <v>0.1</v>
      </c>
      <c r="E299" s="1832" t="s">
        <v>240</v>
      </c>
      <c r="F299" s="1832" t="s">
        <v>240</v>
      </c>
      <c r="G299" s="1294">
        <f>D299</f>
        <v>0.1</v>
      </c>
      <c r="H299" s="1270" t="s">
        <v>240</v>
      </c>
      <c r="I299" s="1832" t="s">
        <v>240</v>
      </c>
      <c r="J299" s="1294">
        <f>D299</f>
        <v>0.1</v>
      </c>
      <c r="K299" s="343" t="str">
        <f>"*Segundo especificações do fabricante do equipamento e simulador ("&amp;$B$1&amp;")"</f>
        <v>*Segundo especificações do fabricante do equipamento e simulador (IN 96)</v>
      </c>
    </row>
    <row r="300" spans="1:14" x14ac:dyDescent="0.25">
      <c r="A300" s="1293"/>
      <c r="B300" s="1293"/>
      <c r="C300" s="1293"/>
      <c r="E300" s="1271"/>
      <c r="F300" s="1262"/>
    </row>
    <row r="301" spans="1:14" x14ac:dyDescent="0.25">
      <c r="A301" s="1293"/>
      <c r="B301" s="1293"/>
      <c r="C301" s="1293"/>
      <c r="E301" s="1271"/>
      <c r="F301" s="1262"/>
    </row>
    <row r="302" spans="1:14" x14ac:dyDescent="0.25">
      <c r="A302" s="1293"/>
      <c r="B302" s="1293"/>
      <c r="C302" s="1293"/>
      <c r="E302" s="1271"/>
      <c r="F302" s="1262"/>
    </row>
    <row r="303" spans="1:14" ht="15.75" thickBot="1" x14ac:dyDescent="0.3">
      <c r="A303" s="1293"/>
      <c r="B303" s="1293"/>
      <c r="C303" s="1293"/>
      <c r="E303" s="1271"/>
      <c r="F303" s="1262"/>
    </row>
    <row r="304" spans="1:14" ht="15.75" thickBot="1" x14ac:dyDescent="0.3">
      <c r="A304" s="1314" t="s">
        <v>1600</v>
      </c>
      <c r="B304" s="1315">
        <f>B213+1</f>
        <v>4</v>
      </c>
      <c r="C304" s="1316"/>
      <c r="D304" s="1316"/>
      <c r="E304" s="1316"/>
      <c r="F304" s="1317"/>
    </row>
    <row r="305" spans="1:6" x14ac:dyDescent="0.25">
      <c r="A305" s="1250" t="s">
        <v>336</v>
      </c>
      <c r="B305" s="1250" t="s">
        <v>119</v>
      </c>
      <c r="C305" s="1250" t="s">
        <v>120</v>
      </c>
      <c r="D305" s="1250" t="s">
        <v>1536</v>
      </c>
      <c r="E305" s="2950" t="s">
        <v>1621</v>
      </c>
      <c r="F305" s="2950"/>
    </row>
    <row r="306" spans="1:6" x14ac:dyDescent="0.25">
      <c r="A306" s="834">
        <f>B304</f>
        <v>4</v>
      </c>
      <c r="B306" s="834" t="s">
        <v>1632</v>
      </c>
      <c r="C306" s="834" t="s">
        <v>1633</v>
      </c>
      <c r="D306" s="834" t="s">
        <v>1633</v>
      </c>
      <c r="E306" s="2951" t="s">
        <v>1634</v>
      </c>
      <c r="F306" s="2951"/>
    </row>
    <row r="307" spans="1:6" ht="15.75" thickBot="1" x14ac:dyDescent="0.3">
      <c r="D307" s="1250"/>
    </row>
    <row r="308" spans="1:6" ht="17.25" customHeight="1" thickBot="1" x14ac:dyDescent="0.3">
      <c r="A308" s="2952" t="s">
        <v>1501</v>
      </c>
      <c r="B308" s="2953"/>
      <c r="C308" s="2953"/>
      <c r="D308" s="2953"/>
      <c r="E308" s="2953"/>
      <c r="F308" s="2954"/>
    </row>
    <row r="309" spans="1:6" ht="15.75" thickBot="1" x14ac:dyDescent="0.3">
      <c r="D309" s="1250"/>
    </row>
    <row r="310" spans="1:6" ht="15.75" customHeight="1" thickBot="1" x14ac:dyDescent="0.3">
      <c r="A310" s="2420" t="s">
        <v>1538</v>
      </c>
      <c r="B310" s="2421"/>
      <c r="C310" s="2421"/>
      <c r="D310" s="2421"/>
      <c r="E310" s="2421"/>
      <c r="F310" s="2422"/>
    </row>
    <row r="311" spans="1:6" ht="15.6" customHeight="1" x14ac:dyDescent="0.25">
      <c r="A311" s="1251" t="s">
        <v>1539</v>
      </c>
      <c r="B311" s="1252"/>
      <c r="C311" s="1252"/>
      <c r="D311" s="834"/>
      <c r="E311" s="1338" t="str">
        <f>IF(D311="s","Sim",IF(D311="n","Não","NPA"))</f>
        <v>NPA</v>
      </c>
      <c r="F311" s="1252"/>
    </row>
    <row r="312" spans="1:6" s="1253" customFormat="1" x14ac:dyDescent="0.25">
      <c r="A312" s="1253" t="s">
        <v>1622</v>
      </c>
      <c r="D312" s="834"/>
    </row>
    <row r="313" spans="1:6" x14ac:dyDescent="0.25">
      <c r="A313" s="1244" t="s">
        <v>1540</v>
      </c>
      <c r="B313" s="1254"/>
      <c r="C313" s="1255"/>
      <c r="D313" s="834"/>
      <c r="E313" s="1255"/>
      <c r="F313" s="1256"/>
    </row>
    <row r="314" spans="1:6" ht="15" hidden="1" customHeight="1" x14ac:dyDescent="0.25">
      <c r="B314" s="1257"/>
      <c r="C314" s="1258"/>
      <c r="D314" s="1258"/>
      <c r="E314" s="1258"/>
      <c r="F314" s="1259"/>
    </row>
    <row r="315" spans="1:6" ht="17.25" hidden="1" customHeight="1" x14ac:dyDescent="0.25">
      <c r="A315" s="1338" t="s">
        <v>1502</v>
      </c>
      <c r="B315" s="1335" t="s">
        <v>902</v>
      </c>
      <c r="C315" s="1335">
        <v>1</v>
      </c>
      <c r="D315" s="1335">
        <v>2</v>
      </c>
      <c r="E315" s="1345" t="str">
        <f>"Tolerância ("&amp;$B$1&amp;")"</f>
        <v>Tolerância (IN 96)</v>
      </c>
    </row>
    <row r="316" spans="1:6" ht="32.25" hidden="1" customHeight="1" x14ac:dyDescent="0.25">
      <c r="A316" s="1335" t="s">
        <v>1503</v>
      </c>
      <c r="B316" s="402"/>
      <c r="C316" s="402"/>
      <c r="D316" s="402"/>
      <c r="E316" s="1335" t="s">
        <v>1504</v>
      </c>
    </row>
    <row r="317" spans="1:6" hidden="1" x14ac:dyDescent="0.25">
      <c r="A317" s="1267" t="str">
        <f>$B$1</f>
        <v>IN 96</v>
      </c>
      <c r="B317" s="1268" t="str">
        <f>IF(AND(C317=0,D317=0),E311,IF(OR(C317&lt;4,D317&lt;4),"Sim","Não"))</f>
        <v>NPA</v>
      </c>
      <c r="C317" s="1287">
        <f>ABS(C316-B316)</f>
        <v>0</v>
      </c>
      <c r="D317" s="1287">
        <f>ABS(D316-B316)</f>
        <v>0</v>
      </c>
    </row>
    <row r="318" spans="1:6" ht="15.75" thickBot="1" x14ac:dyDescent="0.3">
      <c r="A318" s="333"/>
      <c r="B318" s="1254"/>
      <c r="C318" s="1255"/>
      <c r="D318" s="1255"/>
      <c r="E318" s="1255"/>
      <c r="F318" s="1256"/>
    </row>
    <row r="319" spans="1:6" s="1245" customFormat="1" ht="15.75" thickBot="1" x14ac:dyDescent="0.3">
      <c r="A319" s="2420" t="s">
        <v>1924</v>
      </c>
      <c r="B319" s="2421"/>
      <c r="C319" s="2421"/>
      <c r="D319" s="2421"/>
      <c r="E319" s="2422"/>
    </row>
    <row r="320" spans="1:6" ht="30" x14ac:dyDescent="0.25">
      <c r="A320" s="1272" t="s">
        <v>1542</v>
      </c>
      <c r="B320" s="835"/>
      <c r="C320" s="1273"/>
      <c r="D320" s="835"/>
      <c r="E320" s="2955" t="str">
        <f>E315</f>
        <v>Tolerância (IN 96)</v>
      </c>
    </row>
    <row r="321" spans="1:8" x14ac:dyDescent="0.25">
      <c r="A321" s="1829" t="s">
        <v>186</v>
      </c>
      <c r="B321" s="1828" t="s">
        <v>1505</v>
      </c>
      <c r="C321" s="1828" t="s">
        <v>1506</v>
      </c>
      <c r="D321" s="1828" t="s">
        <v>1507</v>
      </c>
      <c r="E321" s="2956"/>
    </row>
    <row r="322" spans="1:8" ht="14.45" customHeight="1" x14ac:dyDescent="0.25">
      <c r="A322" s="1829" t="s">
        <v>1508</v>
      </c>
      <c r="B322" s="835"/>
      <c r="C322" s="1831"/>
      <c r="D322" s="835"/>
      <c r="E322" s="2941" t="s">
        <v>1625</v>
      </c>
    </row>
    <row r="323" spans="1:8" x14ac:dyDescent="0.25">
      <c r="A323" s="1828" t="s">
        <v>1509</v>
      </c>
      <c r="B323" s="835"/>
      <c r="C323" s="1831"/>
      <c r="D323" s="835"/>
      <c r="E323" s="2941"/>
    </row>
    <row r="324" spans="1:8" x14ac:dyDescent="0.25">
      <c r="A324" s="1828" t="s">
        <v>1510</v>
      </c>
      <c r="B324" s="835"/>
      <c r="C324" s="1831"/>
      <c r="D324" s="835"/>
      <c r="E324" s="2941"/>
    </row>
    <row r="325" spans="1:8" x14ac:dyDescent="0.25">
      <c r="A325" s="1828" t="s">
        <v>1511</v>
      </c>
      <c r="B325" s="835"/>
      <c r="C325" s="1831"/>
      <c r="D325" s="835"/>
      <c r="E325" s="2941"/>
    </row>
    <row r="326" spans="1:8" ht="30" x14ac:dyDescent="0.25">
      <c r="A326" s="1828" t="s">
        <v>1541</v>
      </c>
      <c r="B326" s="835"/>
      <c r="C326" s="835" t="str">
        <f>IF(MAX(B334,D334,F334)=0,"",MAX(B334,D334,F334))</f>
        <v/>
      </c>
      <c r="D326" s="835"/>
      <c r="E326" s="2941"/>
    </row>
    <row r="327" spans="1:8" x14ac:dyDescent="0.25">
      <c r="A327" s="1266" t="s">
        <v>546</v>
      </c>
      <c r="B327" s="835">
        <f>ABS(B326-B320)</f>
        <v>0</v>
      </c>
      <c r="C327" s="835" t="e">
        <f>ABS(C326-C320)</f>
        <v>#VALUE!</v>
      </c>
      <c r="D327" s="835">
        <f>ABS(D326-D320)</f>
        <v>0</v>
      </c>
      <c r="E327" s="2941"/>
    </row>
    <row r="328" spans="1:8" x14ac:dyDescent="0.25">
      <c r="A328" s="1267" t="str">
        <f>$B$1</f>
        <v>IN 96</v>
      </c>
      <c r="B328" s="1274" t="str">
        <f>IF(B326="","NA",IF(B327&lt;0.6,"Sim","Não"))</f>
        <v>NA</v>
      </c>
      <c r="C328" s="1274" t="str">
        <f>IF(C326="","NA",IF(C327&lt;0.6,"Sim","Não"))</f>
        <v>NA</v>
      </c>
      <c r="D328" s="1274" t="str">
        <f>IF(D326="","NA",IF(D327&lt;0.6,"Sim","Não"))</f>
        <v>NA</v>
      </c>
      <c r="E328" s="2941"/>
    </row>
    <row r="329" spans="1:8" ht="15.75" thickBot="1" x14ac:dyDescent="0.3">
      <c r="A329" s="333"/>
      <c r="B329" s="1254"/>
      <c r="C329" s="1255"/>
      <c r="D329" s="1255"/>
      <c r="E329" s="1255"/>
      <c r="F329" s="1256"/>
    </row>
    <row r="330" spans="1:8" ht="15.75" thickBot="1" x14ac:dyDescent="0.3">
      <c r="A330" s="2420" t="s">
        <v>1543</v>
      </c>
      <c r="B330" s="2421"/>
      <c r="C330" s="2421"/>
      <c r="D330" s="2421"/>
      <c r="E330" s="2421"/>
      <c r="F330" s="2421"/>
      <c r="G330" s="2421"/>
      <c r="H330" s="2422"/>
    </row>
    <row r="331" spans="1:8" x14ac:dyDescent="0.25">
      <c r="A331" s="1282" t="s">
        <v>1513</v>
      </c>
      <c r="B331" s="1283" t="s">
        <v>372</v>
      </c>
      <c r="C331" s="1284" t="s">
        <v>902</v>
      </c>
      <c r="D331" s="1283" t="s">
        <v>1514</v>
      </c>
      <c r="E331" s="1284" t="s">
        <v>902</v>
      </c>
      <c r="F331" s="1283" t="s">
        <v>1515</v>
      </c>
      <c r="G331" s="1284" t="s">
        <v>902</v>
      </c>
      <c r="H331" s="1277" t="s">
        <v>660</v>
      </c>
    </row>
    <row r="332" spans="1:8" ht="14.45" customHeight="1" x14ac:dyDescent="0.25">
      <c r="A332" s="1335" t="s">
        <v>1516</v>
      </c>
      <c r="B332" s="1273"/>
      <c r="C332" s="1273"/>
      <c r="D332" s="402"/>
      <c r="E332" s="402"/>
      <c r="F332" s="402"/>
      <c r="G332" s="402"/>
      <c r="H332" s="2943" t="s">
        <v>1517</v>
      </c>
    </row>
    <row r="333" spans="1:8" x14ac:dyDescent="0.25">
      <c r="A333" s="1341" t="s">
        <v>1518</v>
      </c>
      <c r="B333" s="402"/>
      <c r="C333" s="1281">
        <v>20</v>
      </c>
      <c r="D333" s="402"/>
      <c r="E333" s="1281">
        <v>10</v>
      </c>
      <c r="F333" s="402"/>
      <c r="G333" s="1281">
        <v>20</v>
      </c>
      <c r="H333" s="2944"/>
    </row>
    <row r="334" spans="1:8" ht="30" x14ac:dyDescent="0.25">
      <c r="A334" s="1335" t="s">
        <v>1519</v>
      </c>
      <c r="B334" s="402"/>
      <c r="C334" s="1281">
        <f>C333*C332</f>
        <v>0</v>
      </c>
      <c r="D334" s="402"/>
      <c r="E334" s="1281">
        <f>E333*E332</f>
        <v>0</v>
      </c>
      <c r="F334" s="402"/>
      <c r="G334" s="1281">
        <f>G333*G332</f>
        <v>0</v>
      </c>
      <c r="H334" s="2944"/>
    </row>
    <row r="335" spans="1:8" x14ac:dyDescent="0.25">
      <c r="A335" s="1335" t="s">
        <v>1520</v>
      </c>
      <c r="B335" s="834"/>
      <c r="C335" s="1281" t="s">
        <v>240</v>
      </c>
      <c r="D335" s="834"/>
      <c r="E335" s="1281" t="s">
        <v>240</v>
      </c>
      <c r="F335" s="834"/>
      <c r="G335" s="1281" t="s">
        <v>240</v>
      </c>
      <c r="H335" s="2944"/>
    </row>
    <row r="336" spans="1:8" x14ac:dyDescent="0.25">
      <c r="A336" s="1335" t="s">
        <v>1521</v>
      </c>
      <c r="B336" s="834"/>
      <c r="C336" s="1281" t="s">
        <v>240</v>
      </c>
      <c r="D336" s="834"/>
      <c r="E336" s="1281" t="s">
        <v>240</v>
      </c>
      <c r="F336" s="834"/>
      <c r="G336" s="1281" t="s">
        <v>240</v>
      </c>
      <c r="H336" s="2944"/>
    </row>
    <row r="337" spans="1:9" ht="15" customHeight="1" x14ac:dyDescent="0.25">
      <c r="A337" s="1267" t="str">
        <f>$B$1</f>
        <v>IN 96</v>
      </c>
      <c r="B337" s="1285" t="str">
        <f>IF(B332&lt;C332,IFERROR(IF(OR(ABS(B333-C333)/C333&gt;C337,ABS(B334-C334)/C334&gt;C337),"Não","Sim"),0),"Sim")</f>
        <v>Sim</v>
      </c>
      <c r="C337" s="1278">
        <v>0.1</v>
      </c>
      <c r="D337" s="1285" t="str">
        <f>IF(D332&lt;E332,IFERROR(IF(OR(ABS(D333-E333)/E333&gt;E337,ABS(D334-E334)/E334&gt;E337),"Não","Sim"),0),"Sim")</f>
        <v>Sim</v>
      </c>
      <c r="E337" s="1278">
        <v>0.1</v>
      </c>
      <c r="F337" s="1285" t="str">
        <f>IF(F332&lt;G332,IFERROR(IF(OR(ABS(F333-G333)/G333&gt;G337,ABS(F334-G334)/G334&gt;G337),"Não","Sim"),0),"Sim")</f>
        <v>Sim</v>
      </c>
      <c r="G337" s="1279">
        <v>0.1</v>
      </c>
      <c r="H337" s="2945"/>
      <c r="I337" s="343" t="str">
        <f>"Segundo especificações do fabricante do equipamento e simulador ("&amp;$B$1&amp;")"</f>
        <v>Segundo especificações do fabricante do equipamento e simulador (IN 96)</v>
      </c>
    </row>
    <row r="338" spans="1:9" ht="15.75" thickBot="1" x14ac:dyDescent="0.3">
      <c r="B338" s="1254"/>
      <c r="C338" s="1255"/>
      <c r="D338" s="1255"/>
      <c r="E338" s="1255"/>
      <c r="F338" s="1256"/>
    </row>
    <row r="339" spans="1:9" ht="15.75" thickBot="1" x14ac:dyDescent="0.3">
      <c r="A339" s="2420" t="s">
        <v>1547</v>
      </c>
      <c r="B339" s="2421"/>
      <c r="C339" s="2421"/>
      <c r="D339" s="2421"/>
      <c r="E339" s="2422"/>
      <c r="G339" s="1244"/>
    </row>
    <row r="340" spans="1:9" ht="30" x14ac:dyDescent="0.25">
      <c r="A340" s="1345" t="s">
        <v>1546</v>
      </c>
      <c r="B340" s="1343" t="s">
        <v>1522</v>
      </c>
      <c r="C340" s="1343" t="s">
        <v>1544</v>
      </c>
      <c r="D340" s="1343" t="s">
        <v>1545</v>
      </c>
      <c r="E340" s="1276" t="str">
        <f>$B$1</f>
        <v>IN 96</v>
      </c>
      <c r="F340" s="1258"/>
      <c r="G340" s="1244"/>
    </row>
    <row r="341" spans="1:9" x14ac:dyDescent="0.25">
      <c r="A341" s="402"/>
      <c r="B341" s="402"/>
      <c r="C341" s="402"/>
      <c r="D341" s="835">
        <f>B341+1</f>
        <v>1</v>
      </c>
      <c r="E341" s="1268" t="str">
        <f>IF(D341&gt;IF(A341&lt;=3,7,IF(A341&lt;=7,5,3)),"Não","Sim")</f>
        <v>Sim</v>
      </c>
      <c r="F341" s="1258"/>
      <c r="G341" s="1244"/>
    </row>
    <row r="342" spans="1:9" x14ac:dyDescent="0.25">
      <c r="A342" s="1345" t="str">
        <f>"Tolerância ("&amp;$B$1&amp;")"</f>
        <v>Tolerância (IN 96)</v>
      </c>
      <c r="B342" s="2941" t="s">
        <v>1601</v>
      </c>
      <c r="C342" s="2941"/>
      <c r="D342" s="2941"/>
      <c r="E342" s="2941"/>
      <c r="F342" s="1258"/>
      <c r="G342" s="1244"/>
    </row>
    <row r="343" spans="1:9" ht="15.75" thickBot="1" x14ac:dyDescent="0.3">
      <c r="A343" s="1263"/>
      <c r="B343" s="1258"/>
      <c r="C343" s="1258"/>
      <c r="D343" s="1258"/>
      <c r="E343" s="1258"/>
      <c r="F343" s="1258"/>
      <c r="G343" s="1244"/>
    </row>
    <row r="344" spans="1:9" ht="15.75" thickBot="1" x14ac:dyDescent="0.3">
      <c r="A344" s="2420" t="s">
        <v>1548</v>
      </c>
      <c r="B344" s="2421"/>
      <c r="C344" s="2421"/>
      <c r="D344" s="2422"/>
      <c r="G344" s="1244"/>
    </row>
    <row r="345" spans="1:9" x14ac:dyDescent="0.25">
      <c r="A345" s="2946" t="s">
        <v>810</v>
      </c>
      <c r="B345" s="2946"/>
      <c r="C345" s="1340" t="s">
        <v>1523</v>
      </c>
      <c r="D345" s="1340" t="s">
        <v>1524</v>
      </c>
      <c r="E345" s="1258"/>
      <c r="F345" s="1259"/>
      <c r="G345" s="1244"/>
    </row>
    <row r="346" spans="1:9" x14ac:dyDescent="0.25">
      <c r="A346" s="2935" t="s">
        <v>1549</v>
      </c>
      <c r="B346" s="2935"/>
      <c r="C346" s="402"/>
      <c r="D346" s="402"/>
      <c r="G346" s="1244"/>
    </row>
    <row r="347" spans="1:9" x14ac:dyDescent="0.25">
      <c r="A347" s="2935" t="s">
        <v>1550</v>
      </c>
      <c r="B347" s="2935"/>
      <c r="C347" s="402"/>
      <c r="D347" s="402"/>
      <c r="G347" s="1244"/>
    </row>
    <row r="348" spans="1:9" x14ac:dyDescent="0.25">
      <c r="A348" s="2963" t="s">
        <v>1551</v>
      </c>
      <c r="B348" s="2963"/>
      <c r="C348" s="402"/>
      <c r="D348" s="402"/>
    </row>
    <row r="349" spans="1:9" x14ac:dyDescent="0.25">
      <c r="A349" s="2935" t="s">
        <v>1552</v>
      </c>
      <c r="B349" s="2935"/>
      <c r="C349" s="402"/>
      <c r="D349" s="402"/>
    </row>
    <row r="350" spans="1:9" x14ac:dyDescent="0.25">
      <c r="A350" s="2936" t="s">
        <v>1553</v>
      </c>
      <c r="B350" s="2937"/>
      <c r="C350" s="1337" t="str">
        <f>IFERROR(ROUND(C348/C347,1),"")</f>
        <v/>
      </c>
      <c r="D350" s="1337" t="str">
        <f>IFERROR(ROUND(D348/D347,1),"")</f>
        <v/>
      </c>
    </row>
    <row r="351" spans="1:9" x14ac:dyDescent="0.25">
      <c r="A351" s="2935" t="str">
        <f>"Tolerância ("&amp;$B$1&amp;")"</f>
        <v>Tolerância (IN 96)</v>
      </c>
      <c r="B351" s="2935"/>
      <c r="C351" s="1338">
        <v>1.5</v>
      </c>
      <c r="D351" s="350">
        <v>2</v>
      </c>
    </row>
    <row r="352" spans="1:9" x14ac:dyDescent="0.25">
      <c r="A352" s="2949" t="str">
        <f>$B$1</f>
        <v>IN 96</v>
      </c>
      <c r="B352" s="2949"/>
      <c r="C352" s="1339" t="str">
        <f>IFERROR(IF(LARGE(C349:C350,1)-10&gt;C351,"Não","Sim"),"NPA")</f>
        <v>NPA</v>
      </c>
      <c r="D352" s="1339" t="str">
        <f>IFERROR(IF(LARGE(D349:D350,1)-10&gt;D351,"Não","Sim"),"NPA")</f>
        <v>NPA</v>
      </c>
    </row>
    <row r="353" spans="1:7" ht="15.75" thickBot="1" x14ac:dyDescent="0.3"/>
    <row r="354" spans="1:7" ht="14.45" customHeight="1" thickBot="1" x14ac:dyDescent="0.3">
      <c r="A354" s="2420" t="s">
        <v>1554</v>
      </c>
      <c r="B354" s="2421"/>
      <c r="C354" s="2421"/>
      <c r="D354" s="2421"/>
      <c r="E354" s="2422"/>
    </row>
    <row r="355" spans="1:7" ht="14.45" customHeight="1" x14ac:dyDescent="0.25">
      <c r="A355" s="2938" t="s">
        <v>1917</v>
      </c>
      <c r="B355" s="2939"/>
      <c r="C355" s="2940"/>
      <c r="D355" s="1273"/>
    </row>
    <row r="356" spans="1:7" x14ac:dyDescent="0.25">
      <c r="A356" s="2938" t="s">
        <v>1556</v>
      </c>
      <c r="B356" s="2939"/>
      <c r="C356" s="2940"/>
      <c r="D356" s="1273">
        <f>D355/1000</f>
        <v>0</v>
      </c>
      <c r="E356" s="1342">
        <f>D356</f>
        <v>0</v>
      </c>
      <c r="F356" s="1264"/>
    </row>
    <row r="357" spans="1:7" ht="17.25" customHeight="1" x14ac:dyDescent="0.25">
      <c r="A357" s="2946" t="s">
        <v>810</v>
      </c>
      <c r="B357" s="2946"/>
      <c r="C357" s="2946"/>
      <c r="D357" s="1345" t="s">
        <v>1525</v>
      </c>
      <c r="E357" s="1343" t="s">
        <v>1526</v>
      </c>
    </row>
    <row r="358" spans="1:7" x14ac:dyDescent="0.25">
      <c r="A358" s="2935" t="s">
        <v>1555</v>
      </c>
      <c r="B358" s="2935"/>
      <c r="C358" s="2935"/>
      <c r="D358" s="402"/>
      <c r="E358" s="402"/>
    </row>
    <row r="359" spans="1:7" ht="14.45" customHeight="1" x14ac:dyDescent="0.25">
      <c r="A359" s="2941" t="str">
        <f>"Tolerância ("&amp;$B$1&amp;") ≤"</f>
        <v>Tolerância (IN 96) ≤</v>
      </c>
      <c r="B359" s="2941"/>
      <c r="C359" s="2941"/>
      <c r="D359" s="1287">
        <f>IF(D356&gt;4,1,2)</f>
        <v>2</v>
      </c>
      <c r="E359" s="1287">
        <f>IF(E356&gt;=5,1.5,IF(E356&gt;=3.5,3,4))</f>
        <v>4</v>
      </c>
    </row>
    <row r="360" spans="1:7" x14ac:dyDescent="0.25">
      <c r="A360" s="2949" t="str">
        <f>$B$1</f>
        <v>IN 96</v>
      </c>
      <c r="B360" s="2949"/>
      <c r="C360" s="2949"/>
      <c r="D360" s="1268" t="str">
        <f>IF(D358&lt;=D359,"Sim","Não")</f>
        <v>Sim</v>
      </c>
      <c r="E360" s="1268" t="str">
        <f>IF(E358&lt;=E359,"Sim","Não")</f>
        <v>Sim</v>
      </c>
      <c r="F360" s="1265"/>
    </row>
    <row r="361" spans="1:7" ht="15.75" thickBot="1" x14ac:dyDescent="0.3">
      <c r="A361" s="1245"/>
      <c r="B361" s="1263"/>
      <c r="C361" s="1247"/>
      <c r="D361" s="1247"/>
      <c r="E361" s="1265"/>
      <c r="F361" s="1265"/>
    </row>
    <row r="362" spans="1:7" ht="15.75" thickBot="1" x14ac:dyDescent="0.3">
      <c r="A362" s="2420" t="s">
        <v>1557</v>
      </c>
      <c r="B362" s="2421"/>
      <c r="C362" s="2421"/>
      <c r="D362" s="2421"/>
      <c r="E362" s="2421"/>
      <c r="F362" s="2422"/>
    </row>
    <row r="363" spans="1:7" x14ac:dyDescent="0.25">
      <c r="A363" s="1345" t="s">
        <v>1527</v>
      </c>
      <c r="B363" s="1343">
        <v>1</v>
      </c>
      <c r="C363" s="1343">
        <v>2</v>
      </c>
      <c r="D363" s="1343">
        <v>3</v>
      </c>
      <c r="E363" s="1343">
        <v>4</v>
      </c>
      <c r="F363" s="1343">
        <v>5</v>
      </c>
    </row>
    <row r="364" spans="1:7" x14ac:dyDescent="0.25">
      <c r="A364" s="1344" t="s">
        <v>1511</v>
      </c>
      <c r="B364" s="402"/>
      <c r="C364" s="402"/>
      <c r="D364" s="402"/>
      <c r="E364" s="402"/>
      <c r="F364" s="402"/>
    </row>
    <row r="365" spans="1:7" x14ac:dyDescent="0.25">
      <c r="A365" s="1344" t="s">
        <v>1559</v>
      </c>
      <c r="B365" s="402"/>
      <c r="C365" s="402"/>
      <c r="D365" s="402"/>
      <c r="E365" s="402"/>
      <c r="F365" s="402"/>
    </row>
    <row r="366" spans="1:7" x14ac:dyDescent="0.25">
      <c r="A366" s="1344" t="s">
        <v>1512</v>
      </c>
      <c r="B366" s="402"/>
      <c r="C366" s="402"/>
      <c r="D366" s="402"/>
      <c r="E366" s="402"/>
      <c r="F366" s="402"/>
    </row>
    <row r="367" spans="1:7" ht="30" x14ac:dyDescent="0.25">
      <c r="A367" s="1344" t="s">
        <v>1558</v>
      </c>
      <c r="B367" s="402"/>
      <c r="C367" s="402"/>
      <c r="D367" s="402"/>
      <c r="E367" s="402"/>
      <c r="F367" s="402"/>
    </row>
    <row r="368" spans="1:7" x14ac:dyDescent="0.25">
      <c r="A368" s="1266" t="s">
        <v>660</v>
      </c>
      <c r="B368" s="1279">
        <v>0.1</v>
      </c>
      <c r="C368" s="1279">
        <v>0.1</v>
      </c>
      <c r="D368" s="1279">
        <v>0.1</v>
      </c>
      <c r="E368" s="1279">
        <v>0.1</v>
      </c>
      <c r="F368" s="1279">
        <v>0.1</v>
      </c>
      <c r="G368" s="343" t="str">
        <f>"Segundo especificações do fabricante do equipamento e simulador ("&amp;$B$1&amp;")"</f>
        <v>Segundo especificações do fabricante do equipamento e simulador (IN 96)</v>
      </c>
    </row>
    <row r="369" spans="1:12" ht="14.45" customHeight="1" x14ac:dyDescent="0.25">
      <c r="A369" s="1371" t="str">
        <f>$B$1</f>
        <v>IN 96</v>
      </c>
      <c r="B369" s="1339" t="str">
        <f>IFERROR(IF(OR(ABS(B364-B366)/B364&gt;B368,ABS(B365-B367)/B365&gt;B368),"Não","Sim"),"NA")</f>
        <v>NA</v>
      </c>
      <c r="C369" s="1339" t="str">
        <f>IFERROR(IF(OR(ABS(C364-C366)/C364&gt;C368,ABS(C365-C367)/C365&gt;C368),"Não","Sim"),"NA")</f>
        <v>NA</v>
      </c>
      <c r="D369" s="1339" t="str">
        <f>IFERROR(IF(OR(ABS(D364-D366)/D364&gt;D368,ABS(D365-D367)/D365&gt;D368),"Não","Sim"),"NA")</f>
        <v>NA</v>
      </c>
      <c r="E369" s="1339" t="str">
        <f>IFERROR(IF(OR(ABS(E364-E366)/E364&gt;E368,ABS(E365-E367)/E365&gt;E368),"Não","Sim"),"NA")</f>
        <v>NA</v>
      </c>
      <c r="F369" s="1339" t="str">
        <f>IFERROR(IF(OR(ABS(F364-F366)/F364&gt;F368,ABS(F365-F367)/F365&gt;F368),"Não","Sim"),"NA")</f>
        <v>NA</v>
      </c>
    </row>
    <row r="370" spans="1:12" ht="15.75" thickBot="1" x14ac:dyDescent="0.3">
      <c r="A370" s="1263"/>
      <c r="B370" s="1263"/>
      <c r="C370" s="1265"/>
      <c r="D370" s="1265"/>
      <c r="E370" s="1265"/>
      <c r="F370" s="1265"/>
    </row>
    <row r="371" spans="1:12" ht="15.75" thickBot="1" x14ac:dyDescent="0.3">
      <c r="A371" s="2420" t="s">
        <v>1560</v>
      </c>
      <c r="B371" s="2421"/>
      <c r="C371" s="2421"/>
      <c r="D371" s="2421"/>
      <c r="E371" s="2422"/>
    </row>
    <row r="372" spans="1:12" x14ac:dyDescent="0.25">
      <c r="A372" s="1269" t="s">
        <v>1528</v>
      </c>
      <c r="B372" s="1236" t="s">
        <v>1529</v>
      </c>
      <c r="C372" s="1236" t="s">
        <v>1530</v>
      </c>
      <c r="D372" s="1236" t="s">
        <v>1531</v>
      </c>
      <c r="E372" s="1236" t="s">
        <v>1532</v>
      </c>
    </row>
    <row r="373" spans="1:12" x14ac:dyDescent="0.25">
      <c r="A373" s="1336" t="s">
        <v>1562</v>
      </c>
      <c r="B373" s="1399" t="s">
        <v>142</v>
      </c>
      <c r="C373" s="1399" t="s">
        <v>142</v>
      </c>
      <c r="D373" s="1399" t="s">
        <v>142</v>
      </c>
      <c r="E373" s="1399" t="s">
        <v>142</v>
      </c>
    </row>
    <row r="374" spans="1:12" x14ac:dyDescent="0.25">
      <c r="A374" s="1336" t="s">
        <v>1561</v>
      </c>
      <c r="B374" s="1399"/>
      <c r="C374" s="1399"/>
      <c r="D374" s="1399"/>
      <c r="E374" s="1399"/>
    </row>
    <row r="375" spans="1:12" x14ac:dyDescent="0.25">
      <c r="A375" s="1236" t="s">
        <v>1563</v>
      </c>
      <c r="B375" s="1278">
        <v>0.1</v>
      </c>
      <c r="C375" s="1278">
        <f>B375</f>
        <v>0.1</v>
      </c>
      <c r="D375" s="1278">
        <f>C375</f>
        <v>0.1</v>
      </c>
      <c r="E375" s="1278">
        <f>D375</f>
        <v>0.1</v>
      </c>
      <c r="F375" s="343" t="str">
        <f>"Segundo especificações do fabricante do equipamento e simulador ("&amp;$B$1&amp;")"</f>
        <v>Segundo especificações do fabricante do equipamento e simulador (IN 96)</v>
      </c>
    </row>
    <row r="376" spans="1:12" x14ac:dyDescent="0.25">
      <c r="A376" s="1371" t="str">
        <f>$B$1</f>
        <v>IN 96</v>
      </c>
      <c r="B376" s="1267" t="str">
        <f>IF(B374="s","Sim",IF(B374="n",IF(B373="s","Não","Sim"),"Sim"))</f>
        <v>Sim</v>
      </c>
      <c r="C376" s="1267" t="str">
        <f>IF(C374="s","Sim",IF(C374="n",IF(C373="s","Não","Sim"),"Sim"))</f>
        <v>Sim</v>
      </c>
      <c r="D376" s="1267" t="str">
        <f>IF(D374="s","Sim",IF(D374="n",IF(D373="s","Não","Sim"),"Sim"))</f>
        <v>Sim</v>
      </c>
      <c r="E376" s="1267" t="str">
        <f>IF(E374="s","Sim",IF(E374="n",IF(E373="s","Não","Sim"),"Sim"))</f>
        <v>Sim</v>
      </c>
    </row>
    <row r="378" spans="1:12" ht="15.75" thickBot="1" x14ac:dyDescent="0.3"/>
    <row r="379" spans="1:12" ht="15.6" customHeight="1" thickBot="1" x14ac:dyDescent="0.3">
      <c r="A379" s="2952" t="s">
        <v>1533</v>
      </c>
      <c r="B379" s="2953"/>
      <c r="C379" s="2953"/>
      <c r="D379" s="2953"/>
      <c r="E379" s="2953"/>
      <c r="F379" s="2953"/>
      <c r="G379" s="1246"/>
      <c r="H379" s="1246"/>
      <c r="I379" s="1246"/>
      <c r="J379" s="1246"/>
      <c r="K379" s="1246"/>
      <c r="L379" s="1299"/>
    </row>
    <row r="380" spans="1:12" ht="15.75" thickBot="1" x14ac:dyDescent="0.3">
      <c r="A380" s="2957" t="s">
        <v>1618</v>
      </c>
      <c r="B380" s="2958"/>
      <c r="C380" s="2958"/>
      <c r="D380" s="2958"/>
      <c r="E380" s="2958"/>
      <c r="F380" s="2958"/>
      <c r="G380" s="2959"/>
    </row>
    <row r="381" spans="1:12" x14ac:dyDescent="0.25">
      <c r="A381" s="1292" t="s">
        <v>686</v>
      </c>
      <c r="B381" s="1334" t="s">
        <v>1564</v>
      </c>
      <c r="C381" s="1334" t="s">
        <v>1565</v>
      </c>
      <c r="D381" s="1258"/>
      <c r="E381" s="1300" t="s">
        <v>660</v>
      </c>
      <c r="F381" s="1301">
        <v>0.1</v>
      </c>
      <c r="G381" s="1371" t="str">
        <f>$B$1</f>
        <v>IN 96</v>
      </c>
    </row>
    <row r="382" spans="1:12" x14ac:dyDescent="0.25">
      <c r="A382" s="1338" t="s">
        <v>1566</v>
      </c>
      <c r="B382" s="402"/>
      <c r="C382" s="1337" t="e">
        <f>VLOOKUP(B382,Doppler1430_Flow[],2)</f>
        <v>#N/A</v>
      </c>
      <c r="E382" s="1289" t="s">
        <v>1590</v>
      </c>
      <c r="F382" s="1370" t="e">
        <f>ROUNDUP(ABS(C382-C383)/C382,3)</f>
        <v>#N/A</v>
      </c>
      <c r="G382" s="1268" t="str">
        <f>IFERROR(IF(F382&gt;F381,"Não","Sim"),"NA")</f>
        <v>NA</v>
      </c>
    </row>
    <row r="383" spans="1:12" x14ac:dyDescent="0.25">
      <c r="A383" s="835" t="s">
        <v>1567</v>
      </c>
      <c r="B383" s="1338" t="s">
        <v>240</v>
      </c>
      <c r="C383" s="402"/>
      <c r="E383" s="343" t="str">
        <f>"Segundo especificações do fabricante do equipamento e simulador ("&amp;$B$1&amp;")"</f>
        <v>Segundo especificações do fabricante do equipamento e simulador (IN 96)</v>
      </c>
    </row>
    <row r="384" spans="1:12" ht="15.75" thickBot="1" x14ac:dyDescent="0.3"/>
    <row r="385" spans="1:14" ht="14.45" customHeight="1" thickBot="1" x14ac:dyDescent="0.3">
      <c r="A385" s="2960" t="s">
        <v>1591</v>
      </c>
      <c r="B385" s="2961"/>
      <c r="C385" s="2961"/>
      <c r="D385" s="2961"/>
      <c r="E385" s="2961"/>
      <c r="F385" s="2961"/>
      <c r="G385" s="2961"/>
      <c r="H385" s="2961"/>
      <c r="I385" s="2961"/>
      <c r="J385" s="2961"/>
      <c r="K385" s="2958"/>
      <c r="L385" s="2959"/>
    </row>
    <row r="386" spans="1:14" x14ac:dyDescent="0.25">
      <c r="A386" s="1827" t="s">
        <v>810</v>
      </c>
      <c r="B386" s="2941" t="s">
        <v>1919</v>
      </c>
      <c r="C386" s="2941"/>
      <c r="D386" s="2942"/>
      <c r="E386" s="2941" t="s">
        <v>1920</v>
      </c>
      <c r="F386" s="2941"/>
      <c r="G386" s="2941"/>
      <c r="H386" s="2947" t="s">
        <v>1921</v>
      </c>
      <c r="I386" s="2948"/>
      <c r="J386" s="2948"/>
    </row>
    <row r="387" spans="1:14" s="1248" customFormat="1" ht="30" x14ac:dyDescent="0.25">
      <c r="A387" s="1831" t="s">
        <v>1564</v>
      </c>
      <c r="B387" s="1833" t="s">
        <v>902</v>
      </c>
      <c r="C387" s="1832" t="s">
        <v>1569</v>
      </c>
      <c r="D387" s="1295" t="str">
        <f>G381</f>
        <v>IN 96</v>
      </c>
      <c r="E387" s="1833" t="s">
        <v>902</v>
      </c>
      <c r="F387" s="1832" t="s">
        <v>1569</v>
      </c>
      <c r="G387" s="1098" t="str">
        <f>G381</f>
        <v>IN 96</v>
      </c>
      <c r="H387" s="1298" t="s">
        <v>902</v>
      </c>
      <c r="I387" s="1832" t="s">
        <v>1569</v>
      </c>
      <c r="J387" s="1098" t="str">
        <f>G381</f>
        <v>IN 96</v>
      </c>
    </row>
    <row r="388" spans="1:14" ht="30" hidden="1" x14ac:dyDescent="0.25">
      <c r="A388" s="1832" t="s">
        <v>1592</v>
      </c>
      <c r="B388" s="1831"/>
      <c r="C388" s="1831"/>
      <c r="D388" s="1830" t="str">
        <f>IFERROR(IF(ABS(C388/B388-1)&gt;0.1,"DIFERENTE","-"),"-")</f>
        <v>-</v>
      </c>
      <c r="E388" s="1831"/>
      <c r="F388" s="1831"/>
      <c r="G388" s="1829" t="str">
        <f>IFERROR(IF(ABS(F388/E388-1)&gt;0.1,"DIFERENTE","-"),"-")</f>
        <v>-</v>
      </c>
      <c r="H388" s="1280"/>
      <c r="I388" s="1831"/>
      <c r="J388" s="1829" t="str">
        <f>IFERROR(IF(ABS(I388/H388-1)&gt;0.1,"DIFERENTE","-"),"-")</f>
        <v>-</v>
      </c>
    </row>
    <row r="389" spans="1:14" ht="30" x14ac:dyDescent="0.25">
      <c r="A389" s="1832" t="s">
        <v>1926</v>
      </c>
      <c r="B389" s="1831" t="s">
        <v>1923</v>
      </c>
      <c r="C389" s="1831"/>
      <c r="D389" s="1267" t="str">
        <f>IFERROR(IF(ABS(C389/B389-1)&lt;D390,"Sim","Não"),"NPA")</f>
        <v>NPA</v>
      </c>
      <c r="E389" s="1831" t="s">
        <v>1923</v>
      </c>
      <c r="F389" s="1831"/>
      <c r="G389" s="1267" t="str">
        <f>IFERROR(IF(ABS(F389/E389-1)&lt;G390,"Sim","Não"),"NPA")</f>
        <v>NPA</v>
      </c>
      <c r="H389" s="1831" t="s">
        <v>1923</v>
      </c>
      <c r="I389" s="1831"/>
      <c r="J389" s="1267" t="str">
        <f>IFERROR(IF(ABS(I389/H389-1)&lt;J390,"Sim","Não"),"NPA")</f>
        <v>NPA</v>
      </c>
      <c r="L389" s="1244"/>
      <c r="M389" s="1250"/>
      <c r="N389" s="1244"/>
    </row>
    <row r="390" spans="1:14" x14ac:dyDescent="0.25">
      <c r="A390" s="1828" t="s">
        <v>1631</v>
      </c>
      <c r="B390" s="1832" t="s">
        <v>240</v>
      </c>
      <c r="C390" s="1832" t="s">
        <v>240</v>
      </c>
      <c r="D390" s="1297">
        <v>0.1</v>
      </c>
      <c r="E390" s="1832" t="s">
        <v>240</v>
      </c>
      <c r="F390" s="1832" t="s">
        <v>240</v>
      </c>
      <c r="G390" s="1294">
        <f>D390</f>
        <v>0.1</v>
      </c>
      <c r="H390" s="1270" t="s">
        <v>240</v>
      </c>
      <c r="I390" s="1832" t="s">
        <v>240</v>
      </c>
      <c r="J390" s="1294">
        <f>D390</f>
        <v>0.1</v>
      </c>
      <c r="K390" s="343" t="str">
        <f>"*Segundo especificações do fabricante do equipamento e simulador ("&amp;$B$1&amp;")"</f>
        <v>*Segundo especificações do fabricante do equipamento e simulador (IN 96)</v>
      </c>
    </row>
    <row r="391" spans="1:14" x14ac:dyDescent="0.25">
      <c r="A391" s="1293"/>
      <c r="B391" s="1293"/>
      <c r="C391" s="1293"/>
      <c r="E391" s="1271"/>
      <c r="F391" s="1262"/>
    </row>
    <row r="392" spans="1:14" x14ac:dyDescent="0.25">
      <c r="A392" s="1293"/>
      <c r="B392" s="1293"/>
      <c r="C392" s="1293"/>
      <c r="E392" s="1271"/>
      <c r="F392" s="1262"/>
    </row>
    <row r="393" spans="1:14" x14ac:dyDescent="0.25">
      <c r="A393" s="1293"/>
      <c r="B393" s="1293"/>
      <c r="C393" s="1293"/>
      <c r="E393" s="1271"/>
      <c r="F393" s="1262"/>
    </row>
    <row r="394" spans="1:14" ht="15.75" thickBot="1" x14ac:dyDescent="0.3">
      <c r="A394" s="1293"/>
      <c r="B394" s="1293"/>
      <c r="C394" s="1293"/>
      <c r="E394" s="1271"/>
      <c r="F394" s="1262"/>
    </row>
    <row r="395" spans="1:14" ht="15.75" thickBot="1" x14ac:dyDescent="0.3">
      <c r="A395" s="1314" t="s">
        <v>1600</v>
      </c>
      <c r="B395" s="1315">
        <f>B304+1</f>
        <v>5</v>
      </c>
      <c r="C395" s="1316"/>
      <c r="D395" s="1316"/>
      <c r="E395" s="1316"/>
      <c r="F395" s="1317"/>
    </row>
    <row r="396" spans="1:14" x14ac:dyDescent="0.25">
      <c r="A396" s="1250" t="s">
        <v>336</v>
      </c>
      <c r="B396" s="1250" t="s">
        <v>119</v>
      </c>
      <c r="C396" s="1250" t="s">
        <v>120</v>
      </c>
      <c r="D396" s="1250" t="s">
        <v>1536</v>
      </c>
      <c r="E396" s="2950" t="s">
        <v>1621</v>
      </c>
      <c r="F396" s="2950"/>
    </row>
    <row r="397" spans="1:14" x14ac:dyDescent="0.25">
      <c r="A397" s="834">
        <f>B395</f>
        <v>5</v>
      </c>
      <c r="B397" s="834" t="s">
        <v>1632</v>
      </c>
      <c r="C397" s="834" t="s">
        <v>1633</v>
      </c>
      <c r="D397" s="834" t="s">
        <v>1633</v>
      </c>
      <c r="E397" s="2951" t="s">
        <v>1634</v>
      </c>
      <c r="F397" s="2951"/>
    </row>
    <row r="398" spans="1:14" ht="15.75" thickBot="1" x14ac:dyDescent="0.3">
      <c r="D398" s="1250"/>
    </row>
    <row r="399" spans="1:14" ht="17.25" customHeight="1" thickBot="1" x14ac:dyDescent="0.3">
      <c r="A399" s="2952" t="s">
        <v>1501</v>
      </c>
      <c r="B399" s="2953"/>
      <c r="C399" s="2953"/>
      <c r="D399" s="2953"/>
      <c r="E399" s="2953"/>
      <c r="F399" s="2954"/>
    </row>
    <row r="400" spans="1:14" ht="15.75" thickBot="1" x14ac:dyDescent="0.3">
      <c r="D400" s="1250"/>
    </row>
    <row r="401" spans="1:6" ht="15.75" customHeight="1" thickBot="1" x14ac:dyDescent="0.3">
      <c r="A401" s="2420" t="s">
        <v>1538</v>
      </c>
      <c r="B401" s="2421"/>
      <c r="C401" s="2421"/>
      <c r="D401" s="2421"/>
      <c r="E401" s="2421"/>
      <c r="F401" s="2422"/>
    </row>
    <row r="402" spans="1:6" ht="15.6" customHeight="1" x14ac:dyDescent="0.25">
      <c r="A402" s="1251" t="s">
        <v>1539</v>
      </c>
      <c r="B402" s="1252"/>
      <c r="C402" s="1252"/>
      <c r="D402" s="834"/>
      <c r="E402" s="1338" t="str">
        <f>IF(D402="s","Sim",IF(D402="n","Não","NPA"))</f>
        <v>NPA</v>
      </c>
      <c r="F402" s="1252"/>
    </row>
    <row r="403" spans="1:6" s="1253" customFormat="1" x14ac:dyDescent="0.25">
      <c r="A403" s="1253" t="s">
        <v>1622</v>
      </c>
      <c r="D403" s="834"/>
    </row>
    <row r="404" spans="1:6" x14ac:dyDescent="0.25">
      <c r="A404" s="1244" t="s">
        <v>1540</v>
      </c>
      <c r="B404" s="1254"/>
      <c r="C404" s="1255"/>
      <c r="D404" s="834"/>
      <c r="E404" s="1255"/>
      <c r="F404" s="1256"/>
    </row>
    <row r="405" spans="1:6" ht="15" hidden="1" customHeight="1" x14ac:dyDescent="0.25">
      <c r="B405" s="1257"/>
      <c r="C405" s="1258"/>
      <c r="D405" s="1258"/>
      <c r="E405" s="1258"/>
      <c r="F405" s="1259"/>
    </row>
    <row r="406" spans="1:6" ht="17.25" hidden="1" customHeight="1" x14ac:dyDescent="0.25">
      <c r="A406" s="1338" t="s">
        <v>1502</v>
      </c>
      <c r="B406" s="1335" t="s">
        <v>902</v>
      </c>
      <c r="C406" s="1335">
        <v>1</v>
      </c>
      <c r="D406" s="1335">
        <v>2</v>
      </c>
      <c r="E406" s="1345" t="str">
        <f>"Tolerância ("&amp;$B$1&amp;")"</f>
        <v>Tolerância (IN 96)</v>
      </c>
    </row>
    <row r="407" spans="1:6" ht="32.25" hidden="1" customHeight="1" x14ac:dyDescent="0.25">
      <c r="A407" s="1335" t="s">
        <v>1503</v>
      </c>
      <c r="B407" s="402"/>
      <c r="C407" s="402"/>
      <c r="D407" s="402"/>
      <c r="E407" s="1335" t="s">
        <v>1504</v>
      </c>
    </row>
    <row r="408" spans="1:6" hidden="1" x14ac:dyDescent="0.25">
      <c r="A408" s="1267" t="str">
        <f>$B$1</f>
        <v>IN 96</v>
      </c>
      <c r="B408" s="1268" t="str">
        <f>IF(AND(C408=0,D408=0),E402,IF(OR(C408&lt;4,D408&lt;4),"Sim","Não"))</f>
        <v>NPA</v>
      </c>
      <c r="C408" s="1287">
        <f>ABS(C407-B407)</f>
        <v>0</v>
      </c>
      <c r="D408" s="1287">
        <f>ABS(D407-B407)</f>
        <v>0</v>
      </c>
    </row>
    <row r="409" spans="1:6" ht="15.75" thickBot="1" x14ac:dyDescent="0.3">
      <c r="A409" s="333"/>
      <c r="B409" s="1254"/>
      <c r="C409" s="1255"/>
      <c r="D409" s="1255"/>
      <c r="E409" s="1255"/>
      <c r="F409" s="1256"/>
    </row>
    <row r="410" spans="1:6" s="1245" customFormat="1" ht="15.75" thickBot="1" x14ac:dyDescent="0.3">
      <c r="A410" s="2420" t="s">
        <v>1924</v>
      </c>
      <c r="B410" s="2421"/>
      <c r="C410" s="2421"/>
      <c r="D410" s="2421"/>
      <c r="E410" s="2422"/>
    </row>
    <row r="411" spans="1:6" ht="30" x14ac:dyDescent="0.25">
      <c r="A411" s="1272" t="s">
        <v>1542</v>
      </c>
      <c r="B411" s="835"/>
      <c r="C411" s="1273"/>
      <c r="D411" s="835"/>
      <c r="E411" s="2955" t="str">
        <f>E406</f>
        <v>Tolerância (IN 96)</v>
      </c>
    </row>
    <row r="412" spans="1:6" x14ac:dyDescent="0.25">
      <c r="A412" s="1829" t="s">
        <v>186</v>
      </c>
      <c r="B412" s="1828" t="s">
        <v>1505</v>
      </c>
      <c r="C412" s="1828" t="s">
        <v>1506</v>
      </c>
      <c r="D412" s="1828" t="s">
        <v>1507</v>
      </c>
      <c r="E412" s="2956"/>
    </row>
    <row r="413" spans="1:6" ht="14.45" customHeight="1" x14ac:dyDescent="0.25">
      <c r="A413" s="1829" t="s">
        <v>1508</v>
      </c>
      <c r="B413" s="835"/>
      <c r="C413" s="1831"/>
      <c r="D413" s="835"/>
      <c r="E413" s="2941" t="s">
        <v>1625</v>
      </c>
    </row>
    <row r="414" spans="1:6" x14ac:dyDescent="0.25">
      <c r="A414" s="1828" t="s">
        <v>1509</v>
      </c>
      <c r="B414" s="835"/>
      <c r="C414" s="1831"/>
      <c r="D414" s="835"/>
      <c r="E414" s="2941"/>
    </row>
    <row r="415" spans="1:6" x14ac:dyDescent="0.25">
      <c r="A415" s="1828" t="s">
        <v>1510</v>
      </c>
      <c r="B415" s="835"/>
      <c r="C415" s="1831"/>
      <c r="D415" s="835"/>
      <c r="E415" s="2941"/>
    </row>
    <row r="416" spans="1:6" x14ac:dyDescent="0.25">
      <c r="A416" s="1828" t="s">
        <v>1511</v>
      </c>
      <c r="B416" s="835"/>
      <c r="C416" s="1831"/>
      <c r="D416" s="835"/>
      <c r="E416" s="2941"/>
    </row>
    <row r="417" spans="1:9" ht="30" x14ac:dyDescent="0.25">
      <c r="A417" s="1828" t="s">
        <v>1541</v>
      </c>
      <c r="B417" s="835"/>
      <c r="C417" s="835" t="str">
        <f>IF(MAX(B425,D425,F425)=0,"",MAX(B425,D425,F425))</f>
        <v/>
      </c>
      <c r="D417" s="835"/>
      <c r="E417" s="2941"/>
    </row>
    <row r="418" spans="1:9" x14ac:dyDescent="0.25">
      <c r="A418" s="1266" t="s">
        <v>546</v>
      </c>
      <c r="B418" s="835">
        <f>ABS(B417-B411)</f>
        <v>0</v>
      </c>
      <c r="C418" s="835" t="e">
        <f>ABS(C417-C411)</f>
        <v>#VALUE!</v>
      </c>
      <c r="D418" s="835">
        <f>ABS(D417-D411)</f>
        <v>0</v>
      </c>
      <c r="E418" s="2941"/>
    </row>
    <row r="419" spans="1:9" x14ac:dyDescent="0.25">
      <c r="A419" s="1267" t="str">
        <f>$B$1</f>
        <v>IN 96</v>
      </c>
      <c r="B419" s="1274" t="str">
        <f>IF(B417="","NA",IF(B418&lt;0.6,"Sim","Não"))</f>
        <v>NA</v>
      </c>
      <c r="C419" s="1274" t="str">
        <f>IF(C417="","NA",IF(C418&lt;0.6,"Sim","Não"))</f>
        <v>NA</v>
      </c>
      <c r="D419" s="1274" t="str">
        <f>IF(D417="","NA",IF(D418&lt;0.6,"Sim","Não"))</f>
        <v>NA</v>
      </c>
      <c r="E419" s="2941"/>
    </row>
    <row r="420" spans="1:9" ht="15.75" thickBot="1" x14ac:dyDescent="0.3">
      <c r="A420" s="333"/>
      <c r="B420" s="1254"/>
      <c r="C420" s="1255"/>
      <c r="D420" s="1255"/>
      <c r="E420" s="1255"/>
      <c r="F420" s="1256"/>
    </row>
    <row r="421" spans="1:9" ht="15.75" thickBot="1" x14ac:dyDescent="0.3">
      <c r="A421" s="2420" t="s">
        <v>1543</v>
      </c>
      <c r="B421" s="2421"/>
      <c r="C421" s="2421"/>
      <c r="D421" s="2421"/>
      <c r="E421" s="2421"/>
      <c r="F421" s="2421"/>
      <c r="G421" s="2421"/>
      <c r="H421" s="2422"/>
    </row>
    <row r="422" spans="1:9" x14ac:dyDescent="0.25">
      <c r="A422" s="1282" t="s">
        <v>1513</v>
      </c>
      <c r="B422" s="1283" t="s">
        <v>372</v>
      </c>
      <c r="C422" s="1284" t="s">
        <v>902</v>
      </c>
      <c r="D422" s="1283" t="s">
        <v>1514</v>
      </c>
      <c r="E422" s="1284" t="s">
        <v>902</v>
      </c>
      <c r="F422" s="1283" t="s">
        <v>1515</v>
      </c>
      <c r="G422" s="1284" t="s">
        <v>902</v>
      </c>
      <c r="H422" s="1277" t="s">
        <v>660</v>
      </c>
    </row>
    <row r="423" spans="1:9" ht="14.45" customHeight="1" x14ac:dyDescent="0.25">
      <c r="A423" s="1335" t="s">
        <v>1516</v>
      </c>
      <c r="B423" s="1273"/>
      <c r="C423" s="1273"/>
      <c r="D423" s="402"/>
      <c r="E423" s="402"/>
      <c r="F423" s="402"/>
      <c r="G423" s="402"/>
      <c r="H423" s="2943" t="s">
        <v>1517</v>
      </c>
    </row>
    <row r="424" spans="1:9" x14ac:dyDescent="0.25">
      <c r="A424" s="1341" t="s">
        <v>1518</v>
      </c>
      <c r="B424" s="402"/>
      <c r="C424" s="1281">
        <v>20</v>
      </c>
      <c r="D424" s="402"/>
      <c r="E424" s="1281">
        <v>10</v>
      </c>
      <c r="F424" s="402"/>
      <c r="G424" s="1281">
        <v>20</v>
      </c>
      <c r="H424" s="2944"/>
    </row>
    <row r="425" spans="1:9" ht="30" x14ac:dyDescent="0.25">
      <c r="A425" s="1335" t="s">
        <v>1519</v>
      </c>
      <c r="B425" s="402"/>
      <c r="C425" s="1281">
        <f>C424*C423</f>
        <v>0</v>
      </c>
      <c r="D425" s="402"/>
      <c r="E425" s="1281">
        <f>E424*E423</f>
        <v>0</v>
      </c>
      <c r="F425" s="402"/>
      <c r="G425" s="1281">
        <f>G424*G423</f>
        <v>0</v>
      </c>
      <c r="H425" s="2944"/>
    </row>
    <row r="426" spans="1:9" x14ac:dyDescent="0.25">
      <c r="A426" s="1335" t="s">
        <v>1520</v>
      </c>
      <c r="B426" s="834"/>
      <c r="C426" s="1281" t="s">
        <v>240</v>
      </c>
      <c r="D426" s="834"/>
      <c r="E426" s="1281" t="s">
        <v>240</v>
      </c>
      <c r="F426" s="834"/>
      <c r="G426" s="1281" t="s">
        <v>240</v>
      </c>
      <c r="H426" s="2944"/>
    </row>
    <row r="427" spans="1:9" x14ac:dyDescent="0.25">
      <c r="A427" s="1335" t="s">
        <v>1521</v>
      </c>
      <c r="B427" s="834"/>
      <c r="C427" s="1281" t="s">
        <v>240</v>
      </c>
      <c r="D427" s="834"/>
      <c r="E427" s="1281" t="s">
        <v>240</v>
      </c>
      <c r="F427" s="834"/>
      <c r="G427" s="1281" t="s">
        <v>240</v>
      </c>
      <c r="H427" s="2944"/>
    </row>
    <row r="428" spans="1:9" ht="15" customHeight="1" x14ac:dyDescent="0.25">
      <c r="A428" s="1267" t="str">
        <f>$B$1</f>
        <v>IN 96</v>
      </c>
      <c r="B428" s="1285" t="str">
        <f>IF(B423&lt;C423,IFERROR(IF(OR(ABS(B424-C424)/C424&gt;C428,ABS(B425-C425)/C425&gt;C428),"Não","Sim"),0),"Sim")</f>
        <v>Sim</v>
      </c>
      <c r="C428" s="1278">
        <v>0.1</v>
      </c>
      <c r="D428" s="1285" t="str">
        <f>IF(D423&lt;E423,IFERROR(IF(OR(ABS(D424-E424)/E424&gt;E428,ABS(D425-E425)/E425&gt;E428),"Não","Sim"),0),"Sim")</f>
        <v>Sim</v>
      </c>
      <c r="E428" s="1278">
        <v>0.1</v>
      </c>
      <c r="F428" s="1285" t="str">
        <f>IF(F423&lt;G423,IFERROR(IF(OR(ABS(F424-G424)/G424&gt;G428,ABS(F425-G425)/G425&gt;G428),"Não","Sim"),0),"Sim")</f>
        <v>Sim</v>
      </c>
      <c r="G428" s="1279">
        <v>0.1</v>
      </c>
      <c r="H428" s="2945"/>
      <c r="I428" s="343" t="str">
        <f>"Segundo especificações do fabricante do equipamento e simulador ("&amp;$B$1&amp;")"</f>
        <v>Segundo especificações do fabricante do equipamento e simulador (IN 96)</v>
      </c>
    </row>
    <row r="429" spans="1:9" ht="15.75" thickBot="1" x14ac:dyDescent="0.3">
      <c r="B429" s="1254"/>
      <c r="C429" s="1255"/>
      <c r="D429" s="1255"/>
      <c r="E429" s="1255"/>
      <c r="F429" s="1256"/>
    </row>
    <row r="430" spans="1:9" ht="15.75" thickBot="1" x14ac:dyDescent="0.3">
      <c r="A430" s="2420" t="s">
        <v>1547</v>
      </c>
      <c r="B430" s="2421"/>
      <c r="C430" s="2421"/>
      <c r="D430" s="2421"/>
      <c r="E430" s="2422"/>
      <c r="G430" s="1244"/>
    </row>
    <row r="431" spans="1:9" ht="30" x14ac:dyDescent="0.25">
      <c r="A431" s="1345" t="s">
        <v>1546</v>
      </c>
      <c r="B431" s="1343" t="s">
        <v>1522</v>
      </c>
      <c r="C431" s="1343" t="s">
        <v>1544</v>
      </c>
      <c r="D431" s="1343" t="s">
        <v>1545</v>
      </c>
      <c r="E431" s="1276" t="str">
        <f>$B$1</f>
        <v>IN 96</v>
      </c>
      <c r="F431" s="1258"/>
      <c r="G431" s="1244"/>
    </row>
    <row r="432" spans="1:9" x14ac:dyDescent="0.25">
      <c r="A432" s="402"/>
      <c r="B432" s="402"/>
      <c r="C432" s="402"/>
      <c r="D432" s="835">
        <f>B432+1</f>
        <v>1</v>
      </c>
      <c r="E432" s="1268" t="str">
        <f>IF(D432&gt;IF(A432&lt;=3,7,IF(A432&lt;=7,5,3)),"Não","Sim")</f>
        <v>Sim</v>
      </c>
      <c r="F432" s="1258"/>
      <c r="G432" s="1244"/>
    </row>
    <row r="433" spans="1:7" x14ac:dyDescent="0.25">
      <c r="A433" s="1345" t="str">
        <f>"Tolerância ("&amp;$B$1&amp;")"</f>
        <v>Tolerância (IN 96)</v>
      </c>
      <c r="B433" s="2941" t="s">
        <v>1601</v>
      </c>
      <c r="C433" s="2941"/>
      <c r="D433" s="2941"/>
      <c r="E433" s="2941"/>
      <c r="F433" s="1258"/>
      <c r="G433" s="1244"/>
    </row>
    <row r="434" spans="1:7" ht="15.75" thickBot="1" x14ac:dyDescent="0.3">
      <c r="A434" s="1263"/>
      <c r="B434" s="1258"/>
      <c r="C434" s="1258"/>
      <c r="D434" s="1258"/>
      <c r="E434" s="1258"/>
      <c r="F434" s="1258"/>
      <c r="G434" s="1244"/>
    </row>
    <row r="435" spans="1:7" ht="15.75" thickBot="1" x14ac:dyDescent="0.3">
      <c r="A435" s="2420" t="s">
        <v>1548</v>
      </c>
      <c r="B435" s="2421"/>
      <c r="C435" s="2421"/>
      <c r="D435" s="2422"/>
      <c r="G435" s="1244"/>
    </row>
    <row r="436" spans="1:7" x14ac:dyDescent="0.25">
      <c r="A436" s="2946" t="s">
        <v>810</v>
      </c>
      <c r="B436" s="2946"/>
      <c r="C436" s="1340" t="s">
        <v>1523</v>
      </c>
      <c r="D436" s="1340" t="s">
        <v>1524</v>
      </c>
      <c r="E436" s="1258"/>
      <c r="F436" s="1259"/>
      <c r="G436" s="1244"/>
    </row>
    <row r="437" spans="1:7" x14ac:dyDescent="0.25">
      <c r="A437" s="2935" t="s">
        <v>1549</v>
      </c>
      <c r="B437" s="2935"/>
      <c r="C437" s="402"/>
      <c r="D437" s="402"/>
      <c r="G437" s="1244"/>
    </row>
    <row r="438" spans="1:7" x14ac:dyDescent="0.25">
      <c r="A438" s="2935" t="s">
        <v>1550</v>
      </c>
      <c r="B438" s="2935"/>
      <c r="C438" s="402"/>
      <c r="D438" s="402"/>
      <c r="G438" s="1244"/>
    </row>
    <row r="439" spans="1:7" x14ac:dyDescent="0.25">
      <c r="A439" s="2963" t="s">
        <v>1551</v>
      </c>
      <c r="B439" s="2963"/>
      <c r="C439" s="402"/>
      <c r="D439" s="402"/>
    </row>
    <row r="440" spans="1:7" x14ac:dyDescent="0.25">
      <c r="A440" s="2935" t="s">
        <v>1552</v>
      </c>
      <c r="B440" s="2935"/>
      <c r="C440" s="402"/>
      <c r="D440" s="402"/>
    </row>
    <row r="441" spans="1:7" x14ac:dyDescent="0.25">
      <c r="A441" s="2936" t="s">
        <v>1553</v>
      </c>
      <c r="B441" s="2937"/>
      <c r="C441" s="1337" t="str">
        <f>IFERROR(ROUND(C439/C438,1),"")</f>
        <v/>
      </c>
      <c r="D441" s="1337" t="str">
        <f>IFERROR(ROUND(D439/D438,1),"")</f>
        <v/>
      </c>
    </row>
    <row r="442" spans="1:7" x14ac:dyDescent="0.25">
      <c r="A442" s="2935" t="str">
        <f>"Tolerância ("&amp;$B$1&amp;")"</f>
        <v>Tolerância (IN 96)</v>
      </c>
      <c r="B442" s="2935"/>
      <c r="C442" s="1338">
        <v>1.5</v>
      </c>
      <c r="D442" s="350">
        <v>2</v>
      </c>
    </row>
    <row r="443" spans="1:7" x14ac:dyDescent="0.25">
      <c r="A443" s="2949" t="str">
        <f>$B$1</f>
        <v>IN 96</v>
      </c>
      <c r="B443" s="2949"/>
      <c r="C443" s="1339" t="str">
        <f>IFERROR(IF(LARGE(C440:C441,1)-10&gt;C442,"Não","Sim"),"NPA")</f>
        <v>NPA</v>
      </c>
      <c r="D443" s="1339" t="str">
        <f>IFERROR(IF(LARGE(D440:D441,1)-10&gt;D442,"Não","Sim"),"NPA")</f>
        <v>NPA</v>
      </c>
    </row>
    <row r="444" spans="1:7" ht="15.75" thickBot="1" x14ac:dyDescent="0.3"/>
    <row r="445" spans="1:7" ht="14.45" customHeight="1" thickBot="1" x14ac:dyDescent="0.3">
      <c r="A445" s="2420" t="s">
        <v>1554</v>
      </c>
      <c r="B445" s="2421"/>
      <c r="C445" s="2421"/>
      <c r="D445" s="2421"/>
      <c r="E445" s="2422"/>
    </row>
    <row r="446" spans="1:7" ht="14.45" customHeight="1" x14ac:dyDescent="0.25">
      <c r="A446" s="2938" t="s">
        <v>1917</v>
      </c>
      <c r="B446" s="2939"/>
      <c r="C446" s="2940"/>
      <c r="D446" s="1273"/>
    </row>
    <row r="447" spans="1:7" x14ac:dyDescent="0.25">
      <c r="A447" s="2938" t="s">
        <v>1556</v>
      </c>
      <c r="B447" s="2939"/>
      <c r="C447" s="2940"/>
      <c r="D447" s="1273">
        <f>D446/1000</f>
        <v>0</v>
      </c>
      <c r="E447" s="1342">
        <f>D447</f>
        <v>0</v>
      </c>
      <c r="F447" s="1264"/>
    </row>
    <row r="448" spans="1:7" ht="17.25" customHeight="1" x14ac:dyDescent="0.25">
      <c r="A448" s="2946" t="s">
        <v>810</v>
      </c>
      <c r="B448" s="2946"/>
      <c r="C448" s="2946"/>
      <c r="D448" s="1345" t="s">
        <v>1525</v>
      </c>
      <c r="E448" s="1343" t="s">
        <v>1526</v>
      </c>
    </row>
    <row r="449" spans="1:7" x14ac:dyDescent="0.25">
      <c r="A449" s="2935" t="s">
        <v>1555</v>
      </c>
      <c r="B449" s="2935"/>
      <c r="C449" s="2935"/>
      <c r="D449" s="402"/>
      <c r="E449" s="402"/>
    </row>
    <row r="450" spans="1:7" ht="14.45" customHeight="1" x14ac:dyDescent="0.25">
      <c r="A450" s="2941" t="str">
        <f>"Tolerância ("&amp;$B$1&amp;") ≤"</f>
        <v>Tolerância (IN 96) ≤</v>
      </c>
      <c r="B450" s="2941"/>
      <c r="C450" s="2941"/>
      <c r="D450" s="1287">
        <f>IF(D447&gt;4,1,2)</f>
        <v>2</v>
      </c>
      <c r="E450" s="1287">
        <f>IF(E447&gt;=5,1.5,IF(E447&gt;=3.5,3,4))</f>
        <v>4</v>
      </c>
    </row>
    <row r="451" spans="1:7" x14ac:dyDescent="0.25">
      <c r="A451" s="2949" t="str">
        <f>$B$1</f>
        <v>IN 96</v>
      </c>
      <c r="B451" s="2949"/>
      <c r="C451" s="2949"/>
      <c r="D451" s="1268" t="str">
        <f>IF(D449&lt;=D450,"Sim","Não")</f>
        <v>Sim</v>
      </c>
      <c r="E451" s="1268" t="str">
        <f>IF(E449&lt;=E450,"Sim","Não")</f>
        <v>Sim</v>
      </c>
      <c r="F451" s="1265"/>
    </row>
    <row r="452" spans="1:7" ht="15.75" thickBot="1" x14ac:dyDescent="0.3">
      <c r="A452" s="1245"/>
      <c r="B452" s="1263"/>
      <c r="C452" s="1247"/>
      <c r="D452" s="1247"/>
      <c r="E452" s="1265"/>
      <c r="F452" s="1265"/>
    </row>
    <row r="453" spans="1:7" ht="15.75" thickBot="1" x14ac:dyDescent="0.3">
      <c r="A453" s="2420" t="s">
        <v>1557</v>
      </c>
      <c r="B453" s="2421"/>
      <c r="C453" s="2421"/>
      <c r="D453" s="2421"/>
      <c r="E453" s="2421"/>
      <c r="F453" s="2422"/>
    </row>
    <row r="454" spans="1:7" x14ac:dyDescent="0.25">
      <c r="A454" s="1345" t="s">
        <v>1527</v>
      </c>
      <c r="B454" s="1343">
        <v>1</v>
      </c>
      <c r="C454" s="1343">
        <v>2</v>
      </c>
      <c r="D454" s="1343">
        <v>3</v>
      </c>
      <c r="E454" s="1343">
        <v>4</v>
      </c>
      <c r="F454" s="1343">
        <v>5</v>
      </c>
    </row>
    <row r="455" spans="1:7" x14ac:dyDescent="0.25">
      <c r="A455" s="1344" t="s">
        <v>1511</v>
      </c>
      <c r="B455" s="402"/>
      <c r="C455" s="402"/>
      <c r="D455" s="402"/>
      <c r="E455" s="402"/>
      <c r="F455" s="402"/>
    </row>
    <row r="456" spans="1:7" x14ac:dyDescent="0.25">
      <c r="A456" s="1344" t="s">
        <v>1559</v>
      </c>
      <c r="B456" s="402"/>
      <c r="C456" s="402"/>
      <c r="D456" s="402"/>
      <c r="E456" s="402"/>
      <c r="F456" s="402"/>
    </row>
    <row r="457" spans="1:7" x14ac:dyDescent="0.25">
      <c r="A457" s="1344" t="s">
        <v>1512</v>
      </c>
      <c r="B457" s="402"/>
      <c r="C457" s="402"/>
      <c r="D457" s="402"/>
      <c r="E457" s="402"/>
      <c r="F457" s="402"/>
    </row>
    <row r="458" spans="1:7" ht="30" x14ac:dyDescent="0.25">
      <c r="A458" s="1344" t="s">
        <v>1558</v>
      </c>
      <c r="B458" s="402"/>
      <c r="C458" s="402"/>
      <c r="D458" s="402"/>
      <c r="E458" s="402"/>
      <c r="F458" s="402"/>
    </row>
    <row r="459" spans="1:7" x14ac:dyDescent="0.25">
      <c r="A459" s="1266" t="s">
        <v>660</v>
      </c>
      <c r="B459" s="1279">
        <v>0.1</v>
      </c>
      <c r="C459" s="1279">
        <v>0.1</v>
      </c>
      <c r="D459" s="1279">
        <v>0.1</v>
      </c>
      <c r="E459" s="1279">
        <v>0.1</v>
      </c>
      <c r="F459" s="1279">
        <v>0.1</v>
      </c>
      <c r="G459" s="343" t="str">
        <f>"Segundo especificações do fabricante do equipamento e simulador ("&amp;$B$1&amp;")"</f>
        <v>Segundo especificações do fabricante do equipamento e simulador (IN 96)</v>
      </c>
    </row>
    <row r="460" spans="1:7" ht="14.45" customHeight="1" x14ac:dyDescent="0.25">
      <c r="A460" s="1371" t="str">
        <f>$B$1</f>
        <v>IN 96</v>
      </c>
      <c r="B460" s="1339" t="str">
        <f>IFERROR(IF(OR(ABS(B455-B457)/B455&gt;B459,ABS(B456-B458)/B456&gt;B459),"Não","Sim"),"NA")</f>
        <v>NA</v>
      </c>
      <c r="C460" s="1339" t="str">
        <f>IFERROR(IF(OR(ABS(C455-C457)/C455&gt;C459,ABS(C456-C458)/C456&gt;C459),"Não","Sim"),"NA")</f>
        <v>NA</v>
      </c>
      <c r="D460" s="1339" t="str">
        <f>IFERROR(IF(OR(ABS(D455-D457)/D455&gt;D459,ABS(D456-D458)/D456&gt;D459),"Não","Sim"),"NA")</f>
        <v>NA</v>
      </c>
      <c r="E460" s="1339" t="str">
        <f>IFERROR(IF(OR(ABS(E455-E457)/E455&gt;E459,ABS(E456-E458)/E456&gt;E459),"Não","Sim"),"NA")</f>
        <v>NA</v>
      </c>
      <c r="F460" s="1339" t="str">
        <f>IFERROR(IF(OR(ABS(F455-F457)/F455&gt;F459,ABS(F456-F458)/F456&gt;F459),"Não","Sim"),"NA")</f>
        <v>NA</v>
      </c>
    </row>
    <row r="461" spans="1:7" ht="15.75" thickBot="1" x14ac:dyDescent="0.3">
      <c r="A461" s="1263"/>
      <c r="B461" s="1263"/>
      <c r="C461" s="1265"/>
      <c r="D461" s="1265"/>
      <c r="E461" s="1265"/>
      <c r="F461" s="1265"/>
    </row>
    <row r="462" spans="1:7" ht="15.75" thickBot="1" x14ac:dyDescent="0.3">
      <c r="A462" s="2420" t="s">
        <v>1560</v>
      </c>
      <c r="B462" s="2421"/>
      <c r="C462" s="2421"/>
      <c r="D462" s="2421"/>
      <c r="E462" s="2422"/>
    </row>
    <row r="463" spans="1:7" x14ac:dyDescent="0.25">
      <c r="A463" s="1269" t="s">
        <v>1528</v>
      </c>
      <c r="B463" s="1236" t="s">
        <v>1529</v>
      </c>
      <c r="C463" s="1236" t="s">
        <v>1530</v>
      </c>
      <c r="D463" s="1236" t="s">
        <v>1531</v>
      </c>
      <c r="E463" s="1236" t="s">
        <v>1532</v>
      </c>
    </row>
    <row r="464" spans="1:7" x14ac:dyDescent="0.25">
      <c r="A464" s="1336" t="s">
        <v>1562</v>
      </c>
      <c r="B464" s="1399" t="s">
        <v>142</v>
      </c>
      <c r="C464" s="1399" t="s">
        <v>142</v>
      </c>
      <c r="D464" s="1399" t="s">
        <v>142</v>
      </c>
      <c r="E464" s="1399" t="s">
        <v>142</v>
      </c>
    </row>
    <row r="465" spans="1:14" x14ac:dyDescent="0.25">
      <c r="A465" s="1336" t="s">
        <v>1561</v>
      </c>
      <c r="B465" s="1399"/>
      <c r="C465" s="1399"/>
      <c r="D465" s="1399"/>
      <c r="E465" s="1399"/>
    </row>
    <row r="466" spans="1:14" x14ac:dyDescent="0.25">
      <c r="A466" s="1236" t="s">
        <v>1563</v>
      </c>
      <c r="B466" s="1278">
        <v>0.1</v>
      </c>
      <c r="C466" s="1278">
        <f>B466</f>
        <v>0.1</v>
      </c>
      <c r="D466" s="1278">
        <f>C466</f>
        <v>0.1</v>
      </c>
      <c r="E466" s="1278">
        <f>D466</f>
        <v>0.1</v>
      </c>
      <c r="F466" s="343" t="str">
        <f>"Segundo especificações do fabricante do equipamento e simulador ("&amp;$B$1&amp;")"</f>
        <v>Segundo especificações do fabricante do equipamento e simulador (IN 96)</v>
      </c>
    </row>
    <row r="467" spans="1:14" x14ac:dyDescent="0.25">
      <c r="A467" s="1371" t="str">
        <f>$B$1</f>
        <v>IN 96</v>
      </c>
      <c r="B467" s="1267" t="str">
        <f>IF(B465="s","Sim",IF(B465="n",IF(B464="s","Não","Sim"),"Sim"))</f>
        <v>Sim</v>
      </c>
      <c r="C467" s="1267" t="str">
        <f>IF(C465="s","Sim",IF(C465="n",IF(C464="s","Não","Sim"),"Sim"))</f>
        <v>Sim</v>
      </c>
      <c r="D467" s="1267" t="str">
        <f>IF(D465="s","Sim",IF(D465="n",IF(D464="s","Não","Sim"),"Sim"))</f>
        <v>Sim</v>
      </c>
      <c r="E467" s="1267" t="str">
        <f>IF(E465="s","Sim",IF(E465="n",IF(E464="s","Não","Sim"),"Sim"))</f>
        <v>Sim</v>
      </c>
    </row>
    <row r="469" spans="1:14" ht="15.75" thickBot="1" x14ac:dyDescent="0.3"/>
    <row r="470" spans="1:14" ht="15.6" customHeight="1" thickBot="1" x14ac:dyDescent="0.3">
      <c r="A470" s="2952" t="s">
        <v>1533</v>
      </c>
      <c r="B470" s="2953"/>
      <c r="C470" s="2953"/>
      <c r="D470" s="2953"/>
      <c r="E470" s="2953"/>
      <c r="F470" s="2953"/>
      <c r="G470" s="1246"/>
      <c r="H470" s="1246"/>
      <c r="I470" s="1246"/>
      <c r="J470" s="1246"/>
      <c r="K470" s="1246"/>
      <c r="L470" s="1299"/>
    </row>
    <row r="471" spans="1:14" ht="15.75" thickBot="1" x14ac:dyDescent="0.3">
      <c r="A471" s="2957" t="s">
        <v>1618</v>
      </c>
      <c r="B471" s="2958"/>
      <c r="C471" s="2958"/>
      <c r="D471" s="2958"/>
      <c r="E471" s="2958"/>
      <c r="F471" s="2958"/>
      <c r="G471" s="2959"/>
    </row>
    <row r="472" spans="1:14" x14ac:dyDescent="0.25">
      <c r="A472" s="1292" t="s">
        <v>686</v>
      </c>
      <c r="B472" s="1334" t="s">
        <v>1564</v>
      </c>
      <c r="C472" s="1334" t="s">
        <v>1565</v>
      </c>
      <c r="D472" s="1258"/>
      <c r="E472" s="1300" t="s">
        <v>660</v>
      </c>
      <c r="F472" s="1301">
        <v>0.1</v>
      </c>
      <c r="G472" s="1371" t="str">
        <f>$B$1</f>
        <v>IN 96</v>
      </c>
    </row>
    <row r="473" spans="1:14" x14ac:dyDescent="0.25">
      <c r="A473" s="1338" t="s">
        <v>1566</v>
      </c>
      <c r="B473" s="402"/>
      <c r="C473" s="1337" t="e">
        <f>VLOOKUP(B473,Doppler1430_Flow[],2)</f>
        <v>#N/A</v>
      </c>
      <c r="E473" s="1289" t="s">
        <v>1590</v>
      </c>
      <c r="F473" s="1370" t="e">
        <f>ROUNDUP(ABS(C473-C474)/C473,3)</f>
        <v>#N/A</v>
      </c>
      <c r="G473" s="1268" t="str">
        <f>IFERROR(IF(F473&gt;F472,"Não","Sim"),"NA")</f>
        <v>NA</v>
      </c>
    </row>
    <row r="474" spans="1:14" x14ac:dyDescent="0.25">
      <c r="A474" s="835" t="s">
        <v>1567</v>
      </c>
      <c r="B474" s="1338" t="s">
        <v>240</v>
      </c>
      <c r="C474" s="402"/>
      <c r="E474" s="343" t="str">
        <f>"Segundo especificações do fabricante do equipamento e simulador ("&amp;$B$1&amp;")"</f>
        <v>Segundo especificações do fabricante do equipamento e simulador (IN 96)</v>
      </c>
    </row>
    <row r="475" spans="1:14" ht="15.75" thickBot="1" x14ac:dyDescent="0.3"/>
    <row r="476" spans="1:14" ht="14.45" customHeight="1" thickBot="1" x14ac:dyDescent="0.3">
      <c r="A476" s="2960" t="s">
        <v>1591</v>
      </c>
      <c r="B476" s="2961"/>
      <c r="C476" s="2961"/>
      <c r="D476" s="2961"/>
      <c r="E476" s="2961"/>
      <c r="F476" s="2961"/>
      <c r="G476" s="2961"/>
      <c r="H476" s="2961"/>
      <c r="I476" s="2961"/>
      <c r="J476" s="2961"/>
      <c r="K476" s="2958"/>
      <c r="L476" s="2959"/>
    </row>
    <row r="477" spans="1:14" x14ac:dyDescent="0.25">
      <c r="A477" s="1827" t="s">
        <v>810</v>
      </c>
      <c r="B477" s="2941" t="s">
        <v>1919</v>
      </c>
      <c r="C477" s="2941"/>
      <c r="D477" s="2942"/>
      <c r="E477" s="2941" t="s">
        <v>1920</v>
      </c>
      <c r="F477" s="2941"/>
      <c r="G477" s="2941"/>
      <c r="H477" s="2947" t="s">
        <v>1921</v>
      </c>
      <c r="I477" s="2948"/>
      <c r="J477" s="2948"/>
    </row>
    <row r="478" spans="1:14" s="1248" customFormat="1" ht="30" x14ac:dyDescent="0.25">
      <c r="A478" s="1831" t="s">
        <v>1564</v>
      </c>
      <c r="B478" s="1833" t="s">
        <v>902</v>
      </c>
      <c r="C478" s="1832" t="s">
        <v>1569</v>
      </c>
      <c r="D478" s="1295" t="str">
        <f>G472</f>
        <v>IN 96</v>
      </c>
      <c r="E478" s="1833" t="s">
        <v>902</v>
      </c>
      <c r="F478" s="1832" t="s">
        <v>1569</v>
      </c>
      <c r="G478" s="1098" t="str">
        <f>G472</f>
        <v>IN 96</v>
      </c>
      <c r="H478" s="1298" t="s">
        <v>902</v>
      </c>
      <c r="I478" s="1832" t="s">
        <v>1569</v>
      </c>
      <c r="J478" s="1098" t="str">
        <f>G472</f>
        <v>IN 96</v>
      </c>
    </row>
    <row r="479" spans="1:14" ht="30" hidden="1" x14ac:dyDescent="0.25">
      <c r="A479" s="1832" t="s">
        <v>1592</v>
      </c>
      <c r="B479" s="1831"/>
      <c r="C479" s="1831"/>
      <c r="D479" s="1830" t="str">
        <f>IFERROR(IF(ABS(C479/B479-1)&gt;0.1,"DIFERENTE","-"),"-")</f>
        <v>-</v>
      </c>
      <c r="E479" s="1831"/>
      <c r="F479" s="1831"/>
      <c r="G479" s="1829" t="str">
        <f>IFERROR(IF(ABS(F479/E479-1)&gt;0.1,"DIFERENTE","-"),"-")</f>
        <v>-</v>
      </c>
      <c r="H479" s="1280"/>
      <c r="I479" s="1831"/>
      <c r="J479" s="1829" t="str">
        <f>IFERROR(IF(ABS(I479/H479-1)&gt;0.1,"DIFERENTE","-"),"-")</f>
        <v>-</v>
      </c>
    </row>
    <row r="480" spans="1:14" ht="30" x14ac:dyDescent="0.25">
      <c r="A480" s="1832" t="s">
        <v>1926</v>
      </c>
      <c r="B480" s="1831" t="s">
        <v>1923</v>
      </c>
      <c r="C480" s="1831"/>
      <c r="D480" s="1267" t="str">
        <f>IFERROR(IF(ABS(C480/B480-1)&lt;D481,"Sim","Não"),"NPA")</f>
        <v>NPA</v>
      </c>
      <c r="E480" s="1831" t="s">
        <v>1923</v>
      </c>
      <c r="F480" s="1831"/>
      <c r="G480" s="1267" t="str">
        <f>IFERROR(IF(ABS(F480/E480-1)&lt;G481,"Sim","Não"),"NPA")</f>
        <v>NPA</v>
      </c>
      <c r="H480" s="1831" t="s">
        <v>1923</v>
      </c>
      <c r="I480" s="1831"/>
      <c r="J480" s="1267" t="str">
        <f>IFERROR(IF(ABS(I480/H480-1)&lt;J481,"Sim","Não"),"NPA")</f>
        <v>NPA</v>
      </c>
      <c r="L480" s="1244"/>
      <c r="M480" s="1250"/>
      <c r="N480" s="1244"/>
    </row>
    <row r="481" spans="1:11" x14ac:dyDescent="0.25">
      <c r="A481" s="1828" t="s">
        <v>1631</v>
      </c>
      <c r="B481" s="1832" t="s">
        <v>240</v>
      </c>
      <c r="C481" s="1832" t="s">
        <v>240</v>
      </c>
      <c r="D481" s="1297">
        <v>0.1</v>
      </c>
      <c r="E481" s="1832" t="s">
        <v>240</v>
      </c>
      <c r="F481" s="1832" t="s">
        <v>240</v>
      </c>
      <c r="G481" s="1294">
        <f>D481</f>
        <v>0.1</v>
      </c>
      <c r="H481" s="1270" t="s">
        <v>240</v>
      </c>
      <c r="I481" s="1832" t="s">
        <v>240</v>
      </c>
      <c r="J481" s="1294">
        <f>D481</f>
        <v>0.1</v>
      </c>
      <c r="K481" s="343" t="str">
        <f>"*Segundo especificações do fabricante do equipamento e simulador ("&amp;$B$1&amp;")"</f>
        <v>*Segundo especificações do fabricante do equipamento e simulador (IN 96)</v>
      </c>
    </row>
    <row r="482" spans="1:11" x14ac:dyDescent="0.25">
      <c r="A482" s="1293"/>
      <c r="B482" s="1293"/>
      <c r="C482" s="1293"/>
      <c r="E482" s="1271"/>
      <c r="F482" s="1262"/>
    </row>
    <row r="483" spans="1:11" x14ac:dyDescent="0.25">
      <c r="A483" s="1293"/>
      <c r="B483" s="1293"/>
      <c r="C483" s="1293"/>
      <c r="E483" s="1271"/>
      <c r="F483" s="1262"/>
    </row>
    <row r="484" spans="1:11" x14ac:dyDescent="0.25">
      <c r="A484" s="1293"/>
      <c r="B484" s="1293"/>
      <c r="C484" s="1293"/>
      <c r="E484" s="1271"/>
      <c r="F484" s="1262"/>
    </row>
    <row r="485" spans="1:11" ht="15.75" thickBot="1" x14ac:dyDescent="0.3">
      <c r="A485" s="1293"/>
      <c r="B485" s="1293"/>
      <c r="C485" s="1293"/>
      <c r="E485" s="1271"/>
      <c r="F485" s="1262"/>
    </row>
    <row r="486" spans="1:11" ht="15.75" thickBot="1" x14ac:dyDescent="0.3">
      <c r="A486" s="1314" t="s">
        <v>1600</v>
      </c>
      <c r="B486" s="1315">
        <f>B395+1</f>
        <v>6</v>
      </c>
      <c r="C486" s="1316"/>
      <c r="D486" s="1316"/>
      <c r="E486" s="1316"/>
      <c r="F486" s="1317"/>
    </row>
    <row r="487" spans="1:11" x14ac:dyDescent="0.25">
      <c r="A487" s="1250" t="s">
        <v>336</v>
      </c>
      <c r="B487" s="1250" t="s">
        <v>119</v>
      </c>
      <c r="C487" s="1250" t="s">
        <v>120</v>
      </c>
      <c r="D487" s="1250" t="s">
        <v>1536</v>
      </c>
      <c r="E487" s="2950" t="s">
        <v>1621</v>
      </c>
      <c r="F487" s="2950"/>
    </row>
    <row r="488" spans="1:11" x14ac:dyDescent="0.25">
      <c r="A488" s="834">
        <f>B486</f>
        <v>6</v>
      </c>
      <c r="B488" s="834" t="s">
        <v>1632</v>
      </c>
      <c r="C488" s="834" t="s">
        <v>1633</v>
      </c>
      <c r="D488" s="834" t="s">
        <v>1633</v>
      </c>
      <c r="E488" s="2951" t="s">
        <v>1634</v>
      </c>
      <c r="F488" s="2951"/>
    </row>
    <row r="489" spans="1:11" ht="15.75" thickBot="1" x14ac:dyDescent="0.3">
      <c r="D489" s="1250"/>
    </row>
    <row r="490" spans="1:11" ht="17.25" customHeight="1" thickBot="1" x14ac:dyDescent="0.3">
      <c r="A490" s="2952" t="s">
        <v>1501</v>
      </c>
      <c r="B490" s="2953"/>
      <c r="C490" s="2953"/>
      <c r="D490" s="2953"/>
      <c r="E490" s="2953"/>
      <c r="F490" s="2954"/>
    </row>
    <row r="491" spans="1:11" ht="15.75" thickBot="1" x14ac:dyDescent="0.3">
      <c r="D491" s="1250"/>
    </row>
    <row r="492" spans="1:11" ht="15.75" customHeight="1" thickBot="1" x14ac:dyDescent="0.3">
      <c r="A492" s="2420" t="s">
        <v>1538</v>
      </c>
      <c r="B492" s="2421"/>
      <c r="C492" s="2421"/>
      <c r="D492" s="2421"/>
      <c r="E492" s="2421"/>
      <c r="F492" s="2422"/>
    </row>
    <row r="493" spans="1:11" ht="15.6" customHeight="1" x14ac:dyDescent="0.25">
      <c r="A493" s="1251" t="s">
        <v>1539</v>
      </c>
      <c r="B493" s="1252"/>
      <c r="C493" s="1252"/>
      <c r="D493" s="834"/>
      <c r="E493" s="1338" t="str">
        <f>IF(D493="s","Sim",IF(D493="n","Não","NPA"))</f>
        <v>NPA</v>
      </c>
      <c r="F493" s="1252"/>
    </row>
    <row r="494" spans="1:11" s="1253" customFormat="1" x14ac:dyDescent="0.25">
      <c r="A494" s="1253" t="s">
        <v>1622</v>
      </c>
      <c r="D494" s="834"/>
    </row>
    <row r="495" spans="1:11" x14ac:dyDescent="0.25">
      <c r="A495" s="1244" t="s">
        <v>1540</v>
      </c>
      <c r="B495" s="1254"/>
      <c r="C495" s="1255"/>
      <c r="D495" s="834"/>
      <c r="E495" s="1255"/>
      <c r="F495" s="1256"/>
    </row>
    <row r="496" spans="1:11" ht="15" hidden="1" customHeight="1" x14ac:dyDescent="0.25">
      <c r="B496" s="1257"/>
      <c r="C496" s="1258"/>
      <c r="D496" s="1258"/>
      <c r="E496" s="1258"/>
      <c r="F496" s="1259"/>
    </row>
    <row r="497" spans="1:8" ht="17.25" hidden="1" customHeight="1" x14ac:dyDescent="0.25">
      <c r="A497" s="1338" t="s">
        <v>1502</v>
      </c>
      <c r="B497" s="1335" t="s">
        <v>902</v>
      </c>
      <c r="C497" s="1335">
        <v>1</v>
      </c>
      <c r="D497" s="1335">
        <v>2</v>
      </c>
      <c r="E497" s="1345" t="str">
        <f>"Tolerância ("&amp;$B$1&amp;")"</f>
        <v>Tolerância (IN 96)</v>
      </c>
    </row>
    <row r="498" spans="1:8" ht="32.25" hidden="1" customHeight="1" x14ac:dyDescent="0.25">
      <c r="A498" s="1335" t="s">
        <v>1503</v>
      </c>
      <c r="B498" s="402"/>
      <c r="C498" s="402"/>
      <c r="D498" s="402"/>
      <c r="E498" s="1335" t="s">
        <v>1504</v>
      </c>
    </row>
    <row r="499" spans="1:8" hidden="1" x14ac:dyDescent="0.25">
      <c r="A499" s="1267" t="str">
        <f>$B$1</f>
        <v>IN 96</v>
      </c>
      <c r="B499" s="1268" t="str">
        <f>IF(AND(C499=0,D499=0),E493,IF(OR(C499&lt;4,D499&lt;4),"Sim","Não"))</f>
        <v>NPA</v>
      </c>
      <c r="C499" s="1287">
        <f>ABS(C498-B498)</f>
        <v>0</v>
      </c>
      <c r="D499" s="1287">
        <f>ABS(D498-B498)</f>
        <v>0</v>
      </c>
    </row>
    <row r="500" spans="1:8" ht="15.75" thickBot="1" x14ac:dyDescent="0.3">
      <c r="A500" s="333"/>
      <c r="B500" s="1254"/>
      <c r="C500" s="1255"/>
      <c r="D500" s="1255"/>
      <c r="E500" s="1255"/>
      <c r="F500" s="1256"/>
    </row>
    <row r="501" spans="1:8" s="1245" customFormat="1" ht="15.75" thickBot="1" x14ac:dyDescent="0.3">
      <c r="A501" s="2420" t="s">
        <v>1924</v>
      </c>
      <c r="B501" s="2421"/>
      <c r="C501" s="2421"/>
      <c r="D501" s="2421"/>
      <c r="E501" s="2422"/>
    </row>
    <row r="502" spans="1:8" ht="30" x14ac:dyDescent="0.25">
      <c r="A502" s="1272" t="s">
        <v>1542</v>
      </c>
      <c r="B502" s="835"/>
      <c r="C502" s="1273"/>
      <c r="D502" s="835"/>
      <c r="E502" s="2955" t="str">
        <f>E497</f>
        <v>Tolerância (IN 96)</v>
      </c>
    </row>
    <row r="503" spans="1:8" x14ac:dyDescent="0.25">
      <c r="A503" s="1829" t="s">
        <v>186</v>
      </c>
      <c r="B503" s="1828" t="s">
        <v>1505</v>
      </c>
      <c r="C503" s="1828" t="s">
        <v>1506</v>
      </c>
      <c r="D503" s="1828" t="s">
        <v>1507</v>
      </c>
      <c r="E503" s="2956"/>
    </row>
    <row r="504" spans="1:8" ht="14.45" customHeight="1" x14ac:dyDescent="0.25">
      <c r="A504" s="1829" t="s">
        <v>1508</v>
      </c>
      <c r="B504" s="835"/>
      <c r="C504" s="1831"/>
      <c r="D504" s="835"/>
      <c r="E504" s="2941" t="s">
        <v>1625</v>
      </c>
    </row>
    <row r="505" spans="1:8" x14ac:dyDescent="0.25">
      <c r="A505" s="1828" t="s">
        <v>1509</v>
      </c>
      <c r="B505" s="835"/>
      <c r="C505" s="1831"/>
      <c r="D505" s="835"/>
      <c r="E505" s="2941"/>
    </row>
    <row r="506" spans="1:8" x14ac:dyDescent="0.25">
      <c r="A506" s="1828" t="s">
        <v>1510</v>
      </c>
      <c r="B506" s="835"/>
      <c r="C506" s="1831"/>
      <c r="D506" s="835"/>
      <c r="E506" s="2941"/>
    </row>
    <row r="507" spans="1:8" x14ac:dyDescent="0.25">
      <c r="A507" s="1828" t="s">
        <v>1511</v>
      </c>
      <c r="B507" s="835"/>
      <c r="C507" s="1831"/>
      <c r="D507" s="835"/>
      <c r="E507" s="2941"/>
    </row>
    <row r="508" spans="1:8" ht="30" x14ac:dyDescent="0.25">
      <c r="A508" s="1828" t="s">
        <v>1541</v>
      </c>
      <c r="B508" s="835"/>
      <c r="C508" s="835" t="str">
        <f>IF(MAX(B516,D516,F516)=0,"",MAX(B516,D516,F516))</f>
        <v/>
      </c>
      <c r="D508" s="835"/>
      <c r="E508" s="2941"/>
    </row>
    <row r="509" spans="1:8" x14ac:dyDescent="0.25">
      <c r="A509" s="1266" t="s">
        <v>546</v>
      </c>
      <c r="B509" s="835">
        <f>ABS(B508-B502)</f>
        <v>0</v>
      </c>
      <c r="C509" s="835" t="e">
        <f>ABS(C508-C502)</f>
        <v>#VALUE!</v>
      </c>
      <c r="D509" s="835">
        <f>ABS(D508-D502)</f>
        <v>0</v>
      </c>
      <c r="E509" s="2941"/>
    </row>
    <row r="510" spans="1:8" x14ac:dyDescent="0.25">
      <c r="A510" s="1267" t="str">
        <f>$B$1</f>
        <v>IN 96</v>
      </c>
      <c r="B510" s="1274" t="str">
        <f>IF(B508="","NA",IF(B509&lt;0.6,"Sim","Não"))</f>
        <v>NA</v>
      </c>
      <c r="C510" s="1274" t="str">
        <f>IF(C508="","NA",IF(C509&lt;0.6,"Sim","Não"))</f>
        <v>NA</v>
      </c>
      <c r="D510" s="1274" t="str">
        <f>IF(D508="","NA",IF(D509&lt;0.6,"Sim","Não"))</f>
        <v>NA</v>
      </c>
      <c r="E510" s="2941"/>
    </row>
    <row r="511" spans="1:8" ht="15.75" thickBot="1" x14ac:dyDescent="0.3">
      <c r="A511" s="333"/>
      <c r="B511" s="1254"/>
      <c r="C511" s="1255"/>
      <c r="D511" s="1255"/>
      <c r="E511" s="1255"/>
      <c r="F511" s="1256"/>
    </row>
    <row r="512" spans="1:8" ht="15.75" thickBot="1" x14ac:dyDescent="0.3">
      <c r="A512" s="2420" t="s">
        <v>1543</v>
      </c>
      <c r="B512" s="2421"/>
      <c r="C512" s="2421"/>
      <c r="D512" s="2421"/>
      <c r="E512" s="2421"/>
      <c r="F512" s="2421"/>
      <c r="G512" s="2421"/>
      <c r="H512" s="2422"/>
    </row>
    <row r="513" spans="1:9" x14ac:dyDescent="0.25">
      <c r="A513" s="1282" t="s">
        <v>1513</v>
      </c>
      <c r="B513" s="1283" t="s">
        <v>372</v>
      </c>
      <c r="C513" s="1284" t="s">
        <v>902</v>
      </c>
      <c r="D513" s="1283" t="s">
        <v>1514</v>
      </c>
      <c r="E513" s="1284" t="s">
        <v>902</v>
      </c>
      <c r="F513" s="1283" t="s">
        <v>1515</v>
      </c>
      <c r="G513" s="1284" t="s">
        <v>902</v>
      </c>
      <c r="H513" s="1277" t="s">
        <v>660</v>
      </c>
    </row>
    <row r="514" spans="1:9" ht="14.45" customHeight="1" x14ac:dyDescent="0.25">
      <c r="A514" s="1335" t="s">
        <v>1516</v>
      </c>
      <c r="B514" s="1273"/>
      <c r="C514" s="1273"/>
      <c r="D514" s="402"/>
      <c r="E514" s="402"/>
      <c r="F514" s="402"/>
      <c r="G514" s="402"/>
      <c r="H514" s="2943" t="s">
        <v>1517</v>
      </c>
    </row>
    <row r="515" spans="1:9" x14ac:dyDescent="0.25">
      <c r="A515" s="1341" t="s">
        <v>1518</v>
      </c>
      <c r="B515" s="402"/>
      <c r="C515" s="1281">
        <v>20</v>
      </c>
      <c r="D515" s="402"/>
      <c r="E515" s="1281">
        <v>10</v>
      </c>
      <c r="F515" s="402"/>
      <c r="G515" s="1281">
        <v>20</v>
      </c>
      <c r="H515" s="2944"/>
    </row>
    <row r="516" spans="1:9" ht="30" x14ac:dyDescent="0.25">
      <c r="A516" s="1335" t="s">
        <v>1519</v>
      </c>
      <c r="B516" s="402"/>
      <c r="C516" s="1281">
        <f>C515*C514</f>
        <v>0</v>
      </c>
      <c r="D516" s="402"/>
      <c r="E516" s="1281">
        <f>E515*E514</f>
        <v>0</v>
      </c>
      <c r="F516" s="402"/>
      <c r="G516" s="1281">
        <f>G515*G514</f>
        <v>0</v>
      </c>
      <c r="H516" s="2944"/>
    </row>
    <row r="517" spans="1:9" x14ac:dyDescent="0.25">
      <c r="A517" s="1335" t="s">
        <v>1520</v>
      </c>
      <c r="B517" s="834"/>
      <c r="C517" s="1281" t="s">
        <v>240</v>
      </c>
      <c r="D517" s="834"/>
      <c r="E517" s="1281" t="s">
        <v>240</v>
      </c>
      <c r="F517" s="834"/>
      <c r="G517" s="1281" t="s">
        <v>240</v>
      </c>
      <c r="H517" s="2944"/>
    </row>
    <row r="518" spans="1:9" x14ac:dyDescent="0.25">
      <c r="A518" s="1335" t="s">
        <v>1521</v>
      </c>
      <c r="B518" s="834"/>
      <c r="C518" s="1281" t="s">
        <v>240</v>
      </c>
      <c r="D518" s="834"/>
      <c r="E518" s="1281" t="s">
        <v>240</v>
      </c>
      <c r="F518" s="834"/>
      <c r="G518" s="1281" t="s">
        <v>240</v>
      </c>
      <c r="H518" s="2944"/>
    </row>
    <row r="519" spans="1:9" ht="15" customHeight="1" x14ac:dyDescent="0.25">
      <c r="A519" s="1267" t="str">
        <f>$B$1</f>
        <v>IN 96</v>
      </c>
      <c r="B519" s="1285" t="str">
        <f>IF(B514&lt;C514,IFERROR(IF(OR(ABS(B515-C515)/C515&gt;C519,ABS(B516-C516)/C516&gt;C519),"Não","Sim"),0),"Sim")</f>
        <v>Sim</v>
      </c>
      <c r="C519" s="1278">
        <v>0.1</v>
      </c>
      <c r="D519" s="1285" t="str">
        <f>IF(D514&lt;E514,IFERROR(IF(OR(ABS(D515-E515)/E515&gt;E519,ABS(D516-E516)/E516&gt;E519),"Não","Sim"),0),"Sim")</f>
        <v>Sim</v>
      </c>
      <c r="E519" s="1278">
        <v>0.1</v>
      </c>
      <c r="F519" s="1285" t="str">
        <f>IF(F514&lt;G514,IFERROR(IF(OR(ABS(F515-G515)/G515&gt;G519,ABS(F516-G516)/G516&gt;G519),"Não","Sim"),0),"Sim")</f>
        <v>Sim</v>
      </c>
      <c r="G519" s="1279">
        <v>0.1</v>
      </c>
      <c r="H519" s="2945"/>
      <c r="I519" s="343" t="str">
        <f>"Segundo especificações do fabricante do equipamento e simulador ("&amp;$B$1&amp;")"</f>
        <v>Segundo especificações do fabricante do equipamento e simulador (IN 96)</v>
      </c>
    </row>
    <row r="520" spans="1:9" ht="15.75" thickBot="1" x14ac:dyDescent="0.3">
      <c r="B520" s="1254"/>
      <c r="C520" s="1255"/>
      <c r="D520" s="1255"/>
      <c r="E520" s="1255"/>
      <c r="F520" s="1256"/>
    </row>
    <row r="521" spans="1:9" ht="15.75" thickBot="1" x14ac:dyDescent="0.3">
      <c r="A521" s="2420" t="s">
        <v>1547</v>
      </c>
      <c r="B521" s="2421"/>
      <c r="C521" s="2421"/>
      <c r="D521" s="2421"/>
      <c r="E521" s="2422"/>
      <c r="G521" s="1244"/>
    </row>
    <row r="522" spans="1:9" ht="30" x14ac:dyDescent="0.25">
      <c r="A522" s="1345" t="s">
        <v>1546</v>
      </c>
      <c r="B522" s="1343" t="s">
        <v>1522</v>
      </c>
      <c r="C522" s="1343" t="s">
        <v>1544</v>
      </c>
      <c r="D522" s="1343" t="s">
        <v>1545</v>
      </c>
      <c r="E522" s="1276" t="str">
        <f>$B$1</f>
        <v>IN 96</v>
      </c>
      <c r="F522" s="1258"/>
      <c r="G522" s="1244"/>
    </row>
    <row r="523" spans="1:9" x14ac:dyDescent="0.25">
      <c r="A523" s="402"/>
      <c r="B523" s="402"/>
      <c r="C523" s="402"/>
      <c r="D523" s="835">
        <f>B523+1</f>
        <v>1</v>
      </c>
      <c r="E523" s="1268" t="str">
        <f>IF(D523&gt;IF(A523&lt;=3,7,IF(A523&lt;=7,5,3)),"Não","Sim")</f>
        <v>Sim</v>
      </c>
      <c r="F523" s="1258"/>
      <c r="G523" s="1244"/>
    </row>
    <row r="524" spans="1:9" x14ac:dyDescent="0.25">
      <c r="A524" s="1345" t="str">
        <f>"Tolerância ("&amp;$B$1&amp;")"</f>
        <v>Tolerância (IN 96)</v>
      </c>
      <c r="B524" s="2941" t="s">
        <v>1601</v>
      </c>
      <c r="C524" s="2941"/>
      <c r="D524" s="2941"/>
      <c r="E524" s="2941"/>
      <c r="F524" s="1258"/>
      <c r="G524" s="1244"/>
    </row>
    <row r="525" spans="1:9" ht="15.75" thickBot="1" x14ac:dyDescent="0.3">
      <c r="A525" s="1263"/>
      <c r="B525" s="1258"/>
      <c r="C525" s="1258"/>
      <c r="D525" s="1258"/>
      <c r="E525" s="1258"/>
      <c r="F525" s="1258"/>
      <c r="G525" s="1244"/>
    </row>
    <row r="526" spans="1:9" ht="15.75" thickBot="1" x14ac:dyDescent="0.3">
      <c r="A526" s="2420" t="s">
        <v>1548</v>
      </c>
      <c r="B526" s="2421"/>
      <c r="C526" s="2421"/>
      <c r="D526" s="2422"/>
      <c r="G526" s="1244"/>
    </row>
    <row r="527" spans="1:9" x14ac:dyDescent="0.25">
      <c r="A527" s="2946" t="s">
        <v>810</v>
      </c>
      <c r="B527" s="2946"/>
      <c r="C527" s="1340" t="s">
        <v>1523</v>
      </c>
      <c r="D527" s="1340" t="s">
        <v>1524</v>
      </c>
      <c r="E527" s="1258"/>
      <c r="F527" s="1259"/>
      <c r="G527" s="1244"/>
    </row>
    <row r="528" spans="1:9" x14ac:dyDescent="0.25">
      <c r="A528" s="2935" t="s">
        <v>1549</v>
      </c>
      <c r="B528" s="2935"/>
      <c r="C528" s="402"/>
      <c r="D528" s="402"/>
      <c r="G528" s="1244"/>
    </row>
    <row r="529" spans="1:7" x14ac:dyDescent="0.25">
      <c r="A529" s="2935" t="s">
        <v>1550</v>
      </c>
      <c r="B529" s="2935"/>
      <c r="C529" s="402"/>
      <c r="D529" s="402"/>
      <c r="G529" s="1244"/>
    </row>
    <row r="530" spans="1:7" x14ac:dyDescent="0.25">
      <c r="A530" s="2963" t="s">
        <v>1551</v>
      </c>
      <c r="B530" s="2963"/>
      <c r="C530" s="402"/>
      <c r="D530" s="402"/>
    </row>
    <row r="531" spans="1:7" x14ac:dyDescent="0.25">
      <c r="A531" s="2935" t="s">
        <v>1552</v>
      </c>
      <c r="B531" s="2935"/>
      <c r="C531" s="402"/>
      <c r="D531" s="402"/>
    </row>
    <row r="532" spans="1:7" x14ac:dyDescent="0.25">
      <c r="A532" s="2936" t="s">
        <v>1553</v>
      </c>
      <c r="B532" s="2937"/>
      <c r="C532" s="1337" t="str">
        <f>IFERROR(ROUND(C530/C529,1),"")</f>
        <v/>
      </c>
      <c r="D532" s="1337" t="str">
        <f>IFERROR(ROUND(D530/D529,1),"")</f>
        <v/>
      </c>
    </row>
    <row r="533" spans="1:7" x14ac:dyDescent="0.25">
      <c r="A533" s="2935" t="str">
        <f>"Tolerância ("&amp;$B$1&amp;")"</f>
        <v>Tolerância (IN 96)</v>
      </c>
      <c r="B533" s="2935"/>
      <c r="C533" s="1338">
        <v>1.5</v>
      </c>
      <c r="D533" s="350">
        <v>2</v>
      </c>
    </row>
    <row r="534" spans="1:7" x14ac:dyDescent="0.25">
      <c r="A534" s="2949" t="str">
        <f>$B$1</f>
        <v>IN 96</v>
      </c>
      <c r="B534" s="2949"/>
      <c r="C534" s="1339" t="str">
        <f>IFERROR(IF(LARGE(C531:C532,1)-10&gt;C533,"Não","Sim"),"NPA")</f>
        <v>NPA</v>
      </c>
      <c r="D534" s="1339" t="str">
        <f>IFERROR(IF(LARGE(D531:D532,1)-10&gt;D533,"Não","Sim"),"NPA")</f>
        <v>NPA</v>
      </c>
    </row>
    <row r="535" spans="1:7" ht="15.75" thickBot="1" x14ac:dyDescent="0.3"/>
    <row r="536" spans="1:7" ht="14.45" customHeight="1" thickBot="1" x14ac:dyDescent="0.3">
      <c r="A536" s="2420" t="s">
        <v>1554</v>
      </c>
      <c r="B536" s="2421"/>
      <c r="C536" s="2421"/>
      <c r="D536" s="2421"/>
      <c r="E536" s="2422"/>
    </row>
    <row r="537" spans="1:7" ht="14.45" customHeight="1" x14ac:dyDescent="0.25">
      <c r="A537" s="2938" t="s">
        <v>1917</v>
      </c>
      <c r="B537" s="2939"/>
      <c r="C537" s="2940"/>
      <c r="D537" s="1273"/>
    </row>
    <row r="538" spans="1:7" x14ac:dyDescent="0.25">
      <c r="A538" s="2938" t="s">
        <v>1556</v>
      </c>
      <c r="B538" s="2939"/>
      <c r="C538" s="2940"/>
      <c r="D538" s="1273">
        <f>D537/1000</f>
        <v>0</v>
      </c>
      <c r="E538" s="1342">
        <f>D538</f>
        <v>0</v>
      </c>
      <c r="F538" s="1264"/>
    </row>
    <row r="539" spans="1:7" ht="17.25" customHeight="1" x14ac:dyDescent="0.25">
      <c r="A539" s="2946" t="s">
        <v>810</v>
      </c>
      <c r="B539" s="2946"/>
      <c r="C539" s="2946"/>
      <c r="D539" s="1345" t="s">
        <v>1525</v>
      </c>
      <c r="E539" s="1343" t="s">
        <v>1526</v>
      </c>
    </row>
    <row r="540" spans="1:7" x14ac:dyDescent="0.25">
      <c r="A540" s="2935" t="s">
        <v>1555</v>
      </c>
      <c r="B540" s="2935"/>
      <c r="C540" s="2935"/>
      <c r="D540" s="402"/>
      <c r="E540" s="402"/>
    </row>
    <row r="541" spans="1:7" ht="14.45" customHeight="1" x14ac:dyDescent="0.25">
      <c r="A541" s="2941" t="str">
        <f>"Tolerância ("&amp;$B$1&amp;") ≤"</f>
        <v>Tolerância (IN 96) ≤</v>
      </c>
      <c r="B541" s="2941"/>
      <c r="C541" s="2941"/>
      <c r="D541" s="1287">
        <f>IF(D538&gt;4,1,2)</f>
        <v>2</v>
      </c>
      <c r="E541" s="1287">
        <f>IF(E538&gt;=5,1.5,IF(E538&gt;=3.5,3,4))</f>
        <v>4</v>
      </c>
    </row>
    <row r="542" spans="1:7" x14ac:dyDescent="0.25">
      <c r="A542" s="2949" t="str">
        <f>$B$1</f>
        <v>IN 96</v>
      </c>
      <c r="B542" s="2949"/>
      <c r="C542" s="2949"/>
      <c r="D542" s="1268" t="str">
        <f>IF(D540&lt;=D541,"Sim","Não")</f>
        <v>Sim</v>
      </c>
      <c r="E542" s="1268" t="str">
        <f>IF(E540&lt;=E541,"Sim","Não")</f>
        <v>Sim</v>
      </c>
      <c r="F542" s="1265"/>
    </row>
    <row r="543" spans="1:7" ht="15.75" thickBot="1" x14ac:dyDescent="0.3">
      <c r="A543" s="1245"/>
      <c r="B543" s="1263"/>
      <c r="C543" s="1247"/>
      <c r="D543" s="1247"/>
      <c r="E543" s="1265"/>
      <c r="F543" s="1265"/>
    </row>
    <row r="544" spans="1:7" ht="15.75" thickBot="1" x14ac:dyDescent="0.3">
      <c r="A544" s="2420" t="s">
        <v>1557</v>
      </c>
      <c r="B544" s="2421"/>
      <c r="C544" s="2421"/>
      <c r="D544" s="2421"/>
      <c r="E544" s="2421"/>
      <c r="F544" s="2422"/>
    </row>
    <row r="545" spans="1:15" x14ac:dyDescent="0.25">
      <c r="A545" s="1345" t="s">
        <v>1527</v>
      </c>
      <c r="B545" s="1343">
        <v>1</v>
      </c>
      <c r="C545" s="1343">
        <v>2</v>
      </c>
      <c r="D545" s="1343">
        <v>3</v>
      </c>
      <c r="E545" s="1343">
        <v>4</v>
      </c>
      <c r="F545" s="1343">
        <v>5</v>
      </c>
    </row>
    <row r="546" spans="1:15" x14ac:dyDescent="0.25">
      <c r="A546" s="1344" t="s">
        <v>1511</v>
      </c>
      <c r="B546" s="402"/>
      <c r="C546" s="402"/>
      <c r="D546" s="402"/>
      <c r="E546" s="402"/>
      <c r="F546" s="402"/>
    </row>
    <row r="547" spans="1:15" x14ac:dyDescent="0.25">
      <c r="A547" s="1344" t="s">
        <v>1559</v>
      </c>
      <c r="B547" s="402"/>
      <c r="C547" s="402"/>
      <c r="D547" s="402"/>
      <c r="E547" s="402"/>
      <c r="F547" s="402"/>
    </row>
    <row r="548" spans="1:15" x14ac:dyDescent="0.25">
      <c r="A548" s="1344" t="s">
        <v>1512</v>
      </c>
      <c r="B548" s="402"/>
      <c r="C548" s="402"/>
      <c r="D548" s="402"/>
      <c r="E548" s="402"/>
      <c r="F548" s="402"/>
    </row>
    <row r="549" spans="1:15" ht="30" x14ac:dyDescent="0.25">
      <c r="A549" s="1344" t="s">
        <v>1558</v>
      </c>
      <c r="B549" s="402"/>
      <c r="C549" s="402"/>
      <c r="D549" s="402"/>
      <c r="E549" s="402"/>
      <c r="F549" s="402"/>
    </row>
    <row r="550" spans="1:15" x14ac:dyDescent="0.25">
      <c r="A550" s="1266" t="s">
        <v>660</v>
      </c>
      <c r="B550" s="1279">
        <v>0.1</v>
      </c>
      <c r="C550" s="1279">
        <v>0.1</v>
      </c>
      <c r="D550" s="1279">
        <v>0.1</v>
      </c>
      <c r="E550" s="1279">
        <v>0.1</v>
      </c>
      <c r="F550" s="1279">
        <v>0.1</v>
      </c>
      <c r="G550" s="343" t="str">
        <f>"Segundo especificações do fabricante do equipamento e simulador ("&amp;$B$1&amp;")"</f>
        <v>Segundo especificações do fabricante do equipamento e simulador (IN 96)</v>
      </c>
    </row>
    <row r="551" spans="1:15" ht="14.45" customHeight="1" x14ac:dyDescent="0.25">
      <c r="A551" s="1371" t="str">
        <f>$B$1</f>
        <v>IN 96</v>
      </c>
      <c r="B551" s="1339" t="str">
        <f>IFERROR(IF(OR(ABS(B546-B548)/B546&gt;B550,ABS(B547-B549)/B547&gt;B550),"Não","Sim"),"NA")</f>
        <v>NA</v>
      </c>
      <c r="C551" s="1339" t="str">
        <f>IFERROR(IF(OR(ABS(C546-C548)/C546&gt;C550,ABS(C547-C549)/C547&gt;C550),"Não","Sim"),"NA")</f>
        <v>NA</v>
      </c>
      <c r="D551" s="1339" t="str">
        <f>IFERROR(IF(OR(ABS(D546-D548)/D546&gt;D550,ABS(D547-D549)/D547&gt;D550),"Não","Sim"),"NA")</f>
        <v>NA</v>
      </c>
      <c r="E551" s="1339" t="str">
        <f>IFERROR(IF(OR(ABS(E546-E548)/E546&gt;E550,ABS(E547-E549)/E547&gt;E550),"Não","Sim"),"NA")</f>
        <v>NA</v>
      </c>
      <c r="F551" s="1339" t="str">
        <f>IFERROR(IF(OR(ABS(F546-F548)/F546&gt;F550,ABS(F547-F549)/F547&gt;F550),"Não","Sim"),"NA")</f>
        <v>NA</v>
      </c>
    </row>
    <row r="552" spans="1:15" ht="15.75" thickBot="1" x14ac:dyDescent="0.3">
      <c r="A552" s="1263"/>
      <c r="B552" s="1263"/>
      <c r="C552" s="1265"/>
      <c r="D552" s="1265"/>
      <c r="E552" s="1265"/>
      <c r="F552" s="1265"/>
    </row>
    <row r="553" spans="1:15" ht="15.75" thickBot="1" x14ac:dyDescent="0.3">
      <c r="A553" s="2420" t="s">
        <v>1560</v>
      </c>
      <c r="B553" s="2421"/>
      <c r="C553" s="2421"/>
      <c r="D553" s="2421"/>
      <c r="E553" s="2422"/>
    </row>
    <row r="554" spans="1:15" x14ac:dyDescent="0.25">
      <c r="A554" s="1269" t="s">
        <v>1528</v>
      </c>
      <c r="B554" s="1236" t="s">
        <v>1529</v>
      </c>
      <c r="C554" s="1236" t="s">
        <v>1530</v>
      </c>
      <c r="D554" s="1236" t="s">
        <v>1531</v>
      </c>
      <c r="E554" s="1236" t="s">
        <v>1532</v>
      </c>
    </row>
    <row r="555" spans="1:15" x14ac:dyDescent="0.25">
      <c r="A555" s="1336" t="s">
        <v>1562</v>
      </c>
      <c r="B555" s="1399" t="s">
        <v>142</v>
      </c>
      <c r="C555" s="1399" t="s">
        <v>142</v>
      </c>
      <c r="D555" s="1399" t="s">
        <v>142</v>
      </c>
      <c r="E555" s="1399" t="s">
        <v>142</v>
      </c>
      <c r="O555" s="1838"/>
    </row>
    <row r="556" spans="1:15" x14ac:dyDescent="0.25">
      <c r="A556" s="1336" t="s">
        <v>1561</v>
      </c>
      <c r="B556" s="1399"/>
      <c r="C556" s="1399"/>
      <c r="D556" s="1399"/>
      <c r="E556" s="1399"/>
      <c r="O556" s="1838"/>
    </row>
    <row r="557" spans="1:15" x14ac:dyDescent="0.25">
      <c r="A557" s="1236" t="s">
        <v>1563</v>
      </c>
      <c r="B557" s="1278">
        <v>0.1</v>
      </c>
      <c r="C557" s="1278">
        <f>B557</f>
        <v>0.1</v>
      </c>
      <c r="D557" s="1278">
        <f>C557</f>
        <v>0.1</v>
      </c>
      <c r="E557" s="1278">
        <f>D557</f>
        <v>0.1</v>
      </c>
      <c r="F557" s="343" t="str">
        <f>"Segundo especificações do fabricante do equipamento e simulador ("&amp;$B$1&amp;")"</f>
        <v>Segundo especificações do fabricante do equipamento e simulador (IN 96)</v>
      </c>
    </row>
    <row r="558" spans="1:15" x14ac:dyDescent="0.25">
      <c r="A558" s="1371" t="str">
        <f>$B$1</f>
        <v>IN 96</v>
      </c>
      <c r="B558" s="1267" t="str">
        <f>IF(B556="s","Sim",IF(B556="n",IF(B555="s","Não","Sim"),"Sim"))</f>
        <v>Sim</v>
      </c>
      <c r="C558" s="1267" t="str">
        <f>IF(C556="s","Sim",IF(C556="n",IF(C555="s","Não","Sim"),"Sim"))</f>
        <v>Sim</v>
      </c>
      <c r="D558" s="1267" t="str">
        <f>IF(D556="s","Sim",IF(D556="n",IF(D555="s","Não","Sim"),"Sim"))</f>
        <v>Sim</v>
      </c>
      <c r="E558" s="1267" t="str">
        <f>IF(E556="s","Sim",IF(E556="n",IF(E555="s","Não","Sim"),"Sim"))</f>
        <v>Sim</v>
      </c>
    </row>
    <row r="560" spans="1:15" ht="15.75" thickBot="1" x14ac:dyDescent="0.3"/>
    <row r="561" spans="1:14" ht="15.6" customHeight="1" thickBot="1" x14ac:dyDescent="0.3">
      <c r="A561" s="2952" t="s">
        <v>1533</v>
      </c>
      <c r="B561" s="2953"/>
      <c r="C561" s="2953"/>
      <c r="D561" s="2953"/>
      <c r="E561" s="2953"/>
      <c r="F561" s="2953"/>
      <c r="G561" s="1246"/>
      <c r="H561" s="1246"/>
      <c r="I561" s="1246"/>
      <c r="J561" s="1246"/>
      <c r="K561" s="1246"/>
      <c r="L561" s="1299"/>
    </row>
    <row r="562" spans="1:14" ht="15.75" thickBot="1" x14ac:dyDescent="0.3">
      <c r="A562" s="2957" t="s">
        <v>1618</v>
      </c>
      <c r="B562" s="2958"/>
      <c r="C562" s="2958"/>
      <c r="D562" s="2958"/>
      <c r="E562" s="2958"/>
      <c r="F562" s="2958"/>
      <c r="G562" s="2959"/>
    </row>
    <row r="563" spans="1:14" x14ac:dyDescent="0.25">
      <c r="A563" s="1292" t="s">
        <v>686</v>
      </c>
      <c r="B563" s="1334" t="s">
        <v>1564</v>
      </c>
      <c r="C563" s="1334" t="s">
        <v>1565</v>
      </c>
      <c r="D563" s="1258"/>
      <c r="E563" s="1300" t="s">
        <v>660</v>
      </c>
      <c r="F563" s="1301">
        <v>0.1</v>
      </c>
      <c r="G563" s="1371" t="str">
        <f>$B$1</f>
        <v>IN 96</v>
      </c>
    </row>
    <row r="564" spans="1:14" x14ac:dyDescent="0.25">
      <c r="A564" s="1338" t="s">
        <v>1566</v>
      </c>
      <c r="B564" s="402"/>
      <c r="C564" s="1337" t="e">
        <f>VLOOKUP(B564,Doppler1430_Flow[],2)</f>
        <v>#N/A</v>
      </c>
      <c r="E564" s="1289" t="s">
        <v>1590</v>
      </c>
      <c r="F564" s="1370" t="e">
        <f>ROUNDUP(ABS(C564-C565)/C564,3)</f>
        <v>#N/A</v>
      </c>
      <c r="G564" s="1268" t="str">
        <f>IFERROR(IF(F564&gt;F563,"Não","Sim"),"NA")</f>
        <v>NA</v>
      </c>
    </row>
    <row r="565" spans="1:14" x14ac:dyDescent="0.25">
      <c r="A565" s="835" t="s">
        <v>1567</v>
      </c>
      <c r="B565" s="1338" t="s">
        <v>240</v>
      </c>
      <c r="C565" s="402"/>
      <c r="E565" s="343" t="str">
        <f>"Segundo especificações do fabricante do equipamento e simulador ("&amp;$B$1&amp;")"</f>
        <v>Segundo especificações do fabricante do equipamento e simulador (IN 96)</v>
      </c>
    </row>
    <row r="566" spans="1:14" ht="15.75" thickBot="1" x14ac:dyDescent="0.3"/>
    <row r="567" spans="1:14" ht="14.45" customHeight="1" x14ac:dyDescent="0.25">
      <c r="A567" s="2960" t="s">
        <v>1591</v>
      </c>
      <c r="B567" s="2961"/>
      <c r="C567" s="2961"/>
      <c r="D567" s="2961"/>
      <c r="E567" s="2961"/>
      <c r="F567" s="2961"/>
      <c r="G567" s="2961"/>
      <c r="H567" s="2961"/>
      <c r="I567" s="2961"/>
      <c r="J567" s="2961"/>
      <c r="K567" s="2961"/>
      <c r="L567" s="2962"/>
    </row>
    <row r="568" spans="1:14" x14ac:dyDescent="0.25">
      <c r="A568" s="1827" t="s">
        <v>810</v>
      </c>
      <c r="B568" s="2941" t="s">
        <v>1919</v>
      </c>
      <c r="C568" s="2941"/>
      <c r="D568" s="2942"/>
      <c r="E568" s="2941" t="s">
        <v>1920</v>
      </c>
      <c r="F568" s="2941"/>
      <c r="G568" s="2941"/>
      <c r="H568" s="2947" t="s">
        <v>1921</v>
      </c>
      <c r="I568" s="2948"/>
      <c r="J568" s="2948"/>
    </row>
    <row r="569" spans="1:14" s="1248" customFormat="1" ht="30" x14ac:dyDescent="0.25">
      <c r="A569" s="1831" t="s">
        <v>1564</v>
      </c>
      <c r="B569" s="1833" t="s">
        <v>902</v>
      </c>
      <c r="C569" s="1832" t="s">
        <v>1569</v>
      </c>
      <c r="D569" s="1295" t="str">
        <f>G563</f>
        <v>IN 96</v>
      </c>
      <c r="E569" s="1833" t="s">
        <v>902</v>
      </c>
      <c r="F569" s="1832" t="s">
        <v>1569</v>
      </c>
      <c r="G569" s="1098" t="str">
        <f>G563</f>
        <v>IN 96</v>
      </c>
      <c r="H569" s="1298" t="s">
        <v>902</v>
      </c>
      <c r="I569" s="1832" t="s">
        <v>1569</v>
      </c>
      <c r="J569" s="1098" t="str">
        <f>G563</f>
        <v>IN 96</v>
      </c>
    </row>
    <row r="570" spans="1:14" ht="30" hidden="1" x14ac:dyDescent="0.25">
      <c r="A570" s="1832" t="s">
        <v>1592</v>
      </c>
      <c r="B570" s="1831"/>
      <c r="C570" s="1831"/>
      <c r="D570" s="1830" t="str">
        <f>IFERROR(IF(ABS(C570/B570-1)&gt;0.1,"DIFERENTE","-"),"-")</f>
        <v>-</v>
      </c>
      <c r="E570" s="1831"/>
      <c r="F570" s="1831"/>
      <c r="G570" s="1829" t="str">
        <f>IFERROR(IF(ABS(F570/E570-1)&gt;0.1,"DIFERENTE","-"),"-")</f>
        <v>-</v>
      </c>
      <c r="H570" s="1280"/>
      <c r="I570" s="1831"/>
      <c r="J570" s="1829" t="str">
        <f>IFERROR(IF(ABS(I570/H570-1)&gt;0.1,"DIFERENTE","-"),"-")</f>
        <v>-</v>
      </c>
    </row>
    <row r="571" spans="1:14" ht="30" x14ac:dyDescent="0.25">
      <c r="A571" s="1832" t="s">
        <v>1926</v>
      </c>
      <c r="B571" s="1831" t="s">
        <v>1923</v>
      </c>
      <c r="C571" s="1831"/>
      <c r="D571" s="1267" t="str">
        <f>IFERROR(IF(ABS(C571/B571-1)&lt;D572,"Sim","Não"),"NPA")</f>
        <v>NPA</v>
      </c>
      <c r="E571" s="1831" t="s">
        <v>1923</v>
      </c>
      <c r="F571" s="1831"/>
      <c r="G571" s="1267" t="str">
        <f>IFERROR(IF(ABS(F571/E571-1)&lt;G572,"Sim","Não"),"NPA")</f>
        <v>NPA</v>
      </c>
      <c r="H571" s="1831" t="s">
        <v>1923</v>
      </c>
      <c r="I571" s="1831"/>
      <c r="J571" s="1267" t="str">
        <f>IFERROR(IF(ABS(I571/H571-1)&lt;J572,"Sim","Não"),"NPA")</f>
        <v>NPA</v>
      </c>
      <c r="L571" s="1244"/>
      <c r="M571" s="1250"/>
      <c r="N571" s="1244"/>
    </row>
    <row r="572" spans="1:14" x14ac:dyDescent="0.25">
      <c r="A572" s="1828" t="s">
        <v>1631</v>
      </c>
      <c r="B572" s="1832" t="s">
        <v>240</v>
      </c>
      <c r="C572" s="1832" t="s">
        <v>240</v>
      </c>
      <c r="D572" s="1297">
        <v>0.1</v>
      </c>
      <c r="E572" s="1832" t="s">
        <v>240</v>
      </c>
      <c r="F572" s="1832" t="s">
        <v>240</v>
      </c>
      <c r="G572" s="1294">
        <f>D572</f>
        <v>0.1</v>
      </c>
      <c r="H572" s="1270" t="s">
        <v>240</v>
      </c>
      <c r="I572" s="1832" t="s">
        <v>240</v>
      </c>
      <c r="J572" s="1294">
        <f>D572</f>
        <v>0.1</v>
      </c>
      <c r="K572" s="343" t="str">
        <f>"*Segundo especificações do fabricante do equipamento e simulador ("&amp;$B$1&amp;")"</f>
        <v>*Segundo especificações do fabricante do equipamento e simulador (IN 96)</v>
      </c>
    </row>
    <row r="573" spans="1:14" x14ac:dyDescent="0.25">
      <c r="A573" s="1293"/>
      <c r="B573" s="1293"/>
      <c r="C573" s="1293"/>
      <c r="E573" s="1271"/>
      <c r="F573" s="1262"/>
    </row>
    <row r="574" spans="1:14" x14ac:dyDescent="0.25">
      <c r="A574" s="1293"/>
      <c r="B574" s="1293"/>
      <c r="C574" s="1293"/>
      <c r="E574" s="1271"/>
      <c r="F574" s="1262"/>
    </row>
    <row r="575" spans="1:14" x14ac:dyDescent="0.25">
      <c r="A575" s="1293"/>
      <c r="B575" s="1293"/>
      <c r="C575" s="1293"/>
      <c r="E575" s="1271"/>
      <c r="F575" s="1262"/>
    </row>
    <row r="576" spans="1:14" ht="15.75" thickBot="1" x14ac:dyDescent="0.3">
      <c r="A576" s="1293"/>
      <c r="B576" s="1293"/>
      <c r="C576" s="1293"/>
      <c r="E576" s="1271"/>
      <c r="F576" s="1262"/>
    </row>
    <row r="577" spans="1:6" ht="15.75" thickBot="1" x14ac:dyDescent="0.3">
      <c r="A577" s="1314" t="s">
        <v>1600</v>
      </c>
      <c r="B577" s="1315">
        <f>B486+1</f>
        <v>7</v>
      </c>
      <c r="C577" s="1316"/>
      <c r="D577" s="1316"/>
      <c r="E577" s="1316"/>
      <c r="F577" s="1317"/>
    </row>
    <row r="578" spans="1:6" x14ac:dyDescent="0.25">
      <c r="A578" s="1250" t="s">
        <v>336</v>
      </c>
      <c r="B578" s="1250" t="s">
        <v>119</v>
      </c>
      <c r="C578" s="1250" t="s">
        <v>120</v>
      </c>
      <c r="D578" s="1250" t="s">
        <v>1536</v>
      </c>
      <c r="E578" s="2950" t="s">
        <v>1621</v>
      </c>
      <c r="F578" s="2950"/>
    </row>
    <row r="579" spans="1:6" x14ac:dyDescent="0.25">
      <c r="A579" s="834">
        <f>B577</f>
        <v>7</v>
      </c>
      <c r="B579" s="834" t="s">
        <v>1632</v>
      </c>
      <c r="C579" s="834" t="s">
        <v>1633</v>
      </c>
      <c r="D579" s="834" t="s">
        <v>1633</v>
      </c>
      <c r="E579" s="2951" t="s">
        <v>1634</v>
      </c>
      <c r="F579" s="2951"/>
    </row>
    <row r="580" spans="1:6" ht="15.75" thickBot="1" x14ac:dyDescent="0.3">
      <c r="D580" s="1250"/>
    </row>
    <row r="581" spans="1:6" ht="17.25" customHeight="1" thickBot="1" x14ac:dyDescent="0.3">
      <c r="A581" s="2952" t="s">
        <v>1501</v>
      </c>
      <c r="B581" s="2953"/>
      <c r="C581" s="2953"/>
      <c r="D581" s="2953"/>
      <c r="E581" s="2953"/>
      <c r="F581" s="2954"/>
    </row>
    <row r="582" spans="1:6" ht="15.75" thickBot="1" x14ac:dyDescent="0.3">
      <c r="D582" s="1250"/>
    </row>
    <row r="583" spans="1:6" ht="15.75" customHeight="1" thickBot="1" x14ac:dyDescent="0.3">
      <c r="A583" s="2420" t="s">
        <v>1538</v>
      </c>
      <c r="B583" s="2421"/>
      <c r="C583" s="2421"/>
      <c r="D583" s="2421"/>
      <c r="E583" s="2421"/>
      <c r="F583" s="2422"/>
    </row>
    <row r="584" spans="1:6" ht="15.6" customHeight="1" x14ac:dyDescent="0.25">
      <c r="A584" s="1251" t="s">
        <v>1539</v>
      </c>
      <c r="B584" s="1252"/>
      <c r="C584" s="1252"/>
      <c r="D584" s="834"/>
      <c r="E584" s="1338" t="str">
        <f>IF(D584="s","Sim",IF(D584="n","Não","NPA"))</f>
        <v>NPA</v>
      </c>
      <c r="F584" s="1252"/>
    </row>
    <row r="585" spans="1:6" s="1253" customFormat="1" x14ac:dyDescent="0.25">
      <c r="A585" s="1253" t="s">
        <v>1622</v>
      </c>
      <c r="D585" s="834"/>
    </row>
    <row r="586" spans="1:6" x14ac:dyDescent="0.25">
      <c r="A586" s="1244" t="s">
        <v>1540</v>
      </c>
      <c r="B586" s="1254"/>
      <c r="C586" s="1255"/>
      <c r="D586" s="834"/>
      <c r="E586" s="1255"/>
      <c r="F586" s="1256"/>
    </row>
    <row r="587" spans="1:6" ht="15" hidden="1" customHeight="1" x14ac:dyDescent="0.25">
      <c r="B587" s="1257"/>
      <c r="C587" s="1258"/>
      <c r="D587" s="1258"/>
      <c r="E587" s="1258"/>
      <c r="F587" s="1259"/>
    </row>
    <row r="588" spans="1:6" ht="17.25" hidden="1" customHeight="1" x14ac:dyDescent="0.25">
      <c r="A588" s="1338" t="s">
        <v>1502</v>
      </c>
      <c r="B588" s="1335" t="s">
        <v>902</v>
      </c>
      <c r="C588" s="1335">
        <v>1</v>
      </c>
      <c r="D588" s="1335">
        <v>2</v>
      </c>
      <c r="E588" s="1345" t="str">
        <f>"Tolerância ("&amp;$B$1&amp;")"</f>
        <v>Tolerância (IN 96)</v>
      </c>
    </row>
    <row r="589" spans="1:6" ht="32.25" hidden="1" customHeight="1" x14ac:dyDescent="0.25">
      <c r="A589" s="1335" t="s">
        <v>1503</v>
      </c>
      <c r="B589" s="402"/>
      <c r="C589" s="402"/>
      <c r="D589" s="402"/>
      <c r="E589" s="1335" t="s">
        <v>1504</v>
      </c>
    </row>
    <row r="590" spans="1:6" hidden="1" x14ac:dyDescent="0.25">
      <c r="A590" s="1267" t="str">
        <f>$B$1</f>
        <v>IN 96</v>
      </c>
      <c r="B590" s="1268" t="str">
        <f>IF(AND(C590=0,D590=0),E584,IF(OR(C590&lt;4,D590&lt;4),"Sim","Não"))</f>
        <v>NPA</v>
      </c>
      <c r="C590" s="1287">
        <f>ABS(C589-B589)</f>
        <v>0</v>
      </c>
      <c r="D590" s="1287">
        <f>ABS(D589-B589)</f>
        <v>0</v>
      </c>
    </row>
    <row r="591" spans="1:6" ht="15.75" thickBot="1" x14ac:dyDescent="0.3">
      <c r="A591" s="333"/>
      <c r="B591" s="1254"/>
      <c r="C591" s="1255"/>
      <c r="D591" s="1255"/>
      <c r="E591" s="1255"/>
      <c r="F591" s="1256"/>
    </row>
    <row r="592" spans="1:6" s="1245" customFormat="1" ht="15.75" thickBot="1" x14ac:dyDescent="0.3">
      <c r="A592" s="2420" t="s">
        <v>1924</v>
      </c>
      <c r="B592" s="2421"/>
      <c r="C592" s="2421"/>
      <c r="D592" s="2421"/>
      <c r="E592" s="2422"/>
    </row>
    <row r="593" spans="1:8" ht="30" x14ac:dyDescent="0.25">
      <c r="A593" s="1272" t="s">
        <v>1542</v>
      </c>
      <c r="B593" s="835"/>
      <c r="C593" s="1273"/>
      <c r="D593" s="835"/>
      <c r="E593" s="2955" t="str">
        <f>E588</f>
        <v>Tolerância (IN 96)</v>
      </c>
    </row>
    <row r="594" spans="1:8" x14ac:dyDescent="0.25">
      <c r="A594" s="1829" t="s">
        <v>186</v>
      </c>
      <c r="B594" s="1828" t="s">
        <v>1505</v>
      </c>
      <c r="C594" s="1828" t="s">
        <v>1506</v>
      </c>
      <c r="D594" s="1828" t="s">
        <v>1507</v>
      </c>
      <c r="E594" s="2956"/>
    </row>
    <row r="595" spans="1:8" ht="14.45" customHeight="1" x14ac:dyDescent="0.25">
      <c r="A595" s="1829" t="s">
        <v>1508</v>
      </c>
      <c r="B595" s="835"/>
      <c r="C595" s="1831"/>
      <c r="D595" s="835"/>
      <c r="E595" s="2941" t="s">
        <v>1625</v>
      </c>
    </row>
    <row r="596" spans="1:8" x14ac:dyDescent="0.25">
      <c r="A596" s="1828" t="s">
        <v>1509</v>
      </c>
      <c r="B596" s="835"/>
      <c r="C596" s="1831"/>
      <c r="D596" s="835"/>
      <c r="E596" s="2941"/>
    </row>
    <row r="597" spans="1:8" x14ac:dyDescent="0.25">
      <c r="A597" s="1828" t="s">
        <v>1510</v>
      </c>
      <c r="B597" s="835"/>
      <c r="C597" s="1831"/>
      <c r="D597" s="835"/>
      <c r="E597" s="2941"/>
    </row>
    <row r="598" spans="1:8" x14ac:dyDescent="0.25">
      <c r="A598" s="1828" t="s">
        <v>1511</v>
      </c>
      <c r="B598" s="835"/>
      <c r="C598" s="1831"/>
      <c r="D598" s="835"/>
      <c r="E598" s="2941"/>
    </row>
    <row r="599" spans="1:8" ht="30" x14ac:dyDescent="0.25">
      <c r="A599" s="1828" t="s">
        <v>1541</v>
      </c>
      <c r="B599" s="835"/>
      <c r="C599" s="835" t="str">
        <f>IF(MAX(B607,D607,F607)=0,"",MAX(B607,D607,F607))</f>
        <v/>
      </c>
      <c r="D599" s="835"/>
      <c r="E599" s="2941"/>
    </row>
    <row r="600" spans="1:8" x14ac:dyDescent="0.25">
      <c r="A600" s="1266" t="s">
        <v>546</v>
      </c>
      <c r="B600" s="835">
        <f>ABS(B599-B593)</f>
        <v>0</v>
      </c>
      <c r="C600" s="835" t="e">
        <f>ABS(C599-C593)</f>
        <v>#VALUE!</v>
      </c>
      <c r="D600" s="835">
        <f>ABS(D599-D593)</f>
        <v>0</v>
      </c>
      <c r="E600" s="2941"/>
    </row>
    <row r="601" spans="1:8" x14ac:dyDescent="0.25">
      <c r="A601" s="1267" t="str">
        <f>$B$1</f>
        <v>IN 96</v>
      </c>
      <c r="B601" s="1274" t="str">
        <f>IF(B599="","NA",IF(B600&lt;0.6,"Sim","Não"))</f>
        <v>NA</v>
      </c>
      <c r="C601" s="1274" t="str">
        <f>IF(C599="","NA",IF(C600&lt;0.6,"Sim","Não"))</f>
        <v>NA</v>
      </c>
      <c r="D601" s="1274" t="str">
        <f>IF(D599="","NA",IF(D600&lt;0.6,"Sim","Não"))</f>
        <v>NA</v>
      </c>
      <c r="E601" s="2941"/>
    </row>
    <row r="602" spans="1:8" ht="15.75" thickBot="1" x14ac:dyDescent="0.3">
      <c r="A602" s="333"/>
      <c r="B602" s="1254"/>
      <c r="C602" s="1255"/>
      <c r="D602" s="1255"/>
      <c r="E602" s="1255"/>
      <c r="F602" s="1256"/>
    </row>
    <row r="603" spans="1:8" ht="15.75" thickBot="1" x14ac:dyDescent="0.3">
      <c r="A603" s="2420" t="s">
        <v>1543</v>
      </c>
      <c r="B603" s="2421"/>
      <c r="C603" s="2421"/>
      <c r="D603" s="2421"/>
      <c r="E603" s="2421"/>
      <c r="F603" s="2421"/>
      <c r="G603" s="2421"/>
      <c r="H603" s="2422"/>
    </row>
    <row r="604" spans="1:8" x14ac:dyDescent="0.25">
      <c r="A604" s="1282" t="s">
        <v>1513</v>
      </c>
      <c r="B604" s="1283" t="s">
        <v>372</v>
      </c>
      <c r="C604" s="1284" t="s">
        <v>902</v>
      </c>
      <c r="D604" s="1283" t="s">
        <v>1514</v>
      </c>
      <c r="E604" s="1284" t="s">
        <v>902</v>
      </c>
      <c r="F604" s="1283" t="s">
        <v>1515</v>
      </c>
      <c r="G604" s="1284" t="s">
        <v>902</v>
      </c>
      <c r="H604" s="1277" t="s">
        <v>660</v>
      </c>
    </row>
    <row r="605" spans="1:8" ht="14.45" customHeight="1" x14ac:dyDescent="0.25">
      <c r="A605" s="1335" t="s">
        <v>1516</v>
      </c>
      <c r="B605" s="1273"/>
      <c r="C605" s="1273"/>
      <c r="D605" s="402"/>
      <c r="E605" s="402"/>
      <c r="F605" s="402"/>
      <c r="G605" s="402"/>
      <c r="H605" s="2943" t="s">
        <v>1517</v>
      </c>
    </row>
    <row r="606" spans="1:8" x14ac:dyDescent="0.25">
      <c r="A606" s="1341" t="s">
        <v>1518</v>
      </c>
      <c r="B606" s="402"/>
      <c r="C606" s="1281">
        <v>20</v>
      </c>
      <c r="D606" s="402"/>
      <c r="E606" s="1281">
        <v>10</v>
      </c>
      <c r="F606" s="402"/>
      <c r="G606" s="1281">
        <v>20</v>
      </c>
      <c r="H606" s="2944"/>
    </row>
    <row r="607" spans="1:8" ht="30" x14ac:dyDescent="0.25">
      <c r="A607" s="1335" t="s">
        <v>1519</v>
      </c>
      <c r="B607" s="402"/>
      <c r="C607" s="1281">
        <f>C606*C605</f>
        <v>0</v>
      </c>
      <c r="D607" s="402"/>
      <c r="E607" s="1281">
        <f>E606*E605</f>
        <v>0</v>
      </c>
      <c r="F607" s="402"/>
      <c r="G607" s="1281">
        <f>G606*G605</f>
        <v>0</v>
      </c>
      <c r="H607" s="2944"/>
    </row>
    <row r="608" spans="1:8" x14ac:dyDescent="0.25">
      <c r="A608" s="1335" t="s">
        <v>1520</v>
      </c>
      <c r="B608" s="834"/>
      <c r="C608" s="1281" t="s">
        <v>240</v>
      </c>
      <c r="D608" s="834"/>
      <c r="E608" s="1281" t="s">
        <v>240</v>
      </c>
      <c r="F608" s="834"/>
      <c r="G608" s="1281" t="s">
        <v>240</v>
      </c>
      <c r="H608" s="2944"/>
    </row>
    <row r="609" spans="1:9" x14ac:dyDescent="0.25">
      <c r="A609" s="1335" t="s">
        <v>1521</v>
      </c>
      <c r="B609" s="834"/>
      <c r="C609" s="1281" t="s">
        <v>240</v>
      </c>
      <c r="D609" s="834"/>
      <c r="E609" s="1281" t="s">
        <v>240</v>
      </c>
      <c r="F609" s="834"/>
      <c r="G609" s="1281" t="s">
        <v>240</v>
      </c>
      <c r="H609" s="2944"/>
    </row>
    <row r="610" spans="1:9" ht="15" customHeight="1" x14ac:dyDescent="0.25">
      <c r="A610" s="1267" t="str">
        <f>$B$1</f>
        <v>IN 96</v>
      </c>
      <c r="B610" s="1285" t="str">
        <f>IF(B605&lt;C605,IFERROR(IF(OR(ABS(B606-C606)/C606&gt;C610,ABS(B607-C607)/C607&gt;C610),"Não","Sim"),0),"Sim")</f>
        <v>Sim</v>
      </c>
      <c r="C610" s="1278">
        <v>0.1</v>
      </c>
      <c r="D610" s="1285" t="str">
        <f>IF(D605&lt;E605,IFERROR(IF(OR(ABS(D606-E606)/E606&gt;E610,ABS(D607-E607)/E607&gt;E610),"Não","Sim"),0),"Sim")</f>
        <v>Sim</v>
      </c>
      <c r="E610" s="1278">
        <v>0.1</v>
      </c>
      <c r="F610" s="1285" t="str">
        <f>IF(F605&lt;G605,IFERROR(IF(OR(ABS(F606-G606)/G606&gt;G610,ABS(F607-G607)/G607&gt;G610),"Não","Sim"),0),"Sim")</f>
        <v>Sim</v>
      </c>
      <c r="G610" s="1279">
        <v>0.1</v>
      </c>
      <c r="H610" s="2945"/>
      <c r="I610" s="343" t="str">
        <f>"Segundo especificações do fabricante do equipamento e simulador ("&amp;$B$1&amp;")"</f>
        <v>Segundo especificações do fabricante do equipamento e simulador (IN 96)</v>
      </c>
    </row>
    <row r="611" spans="1:9" ht="15.75" thickBot="1" x14ac:dyDescent="0.3">
      <c r="B611" s="1254"/>
      <c r="C611" s="1255"/>
      <c r="D611" s="1255"/>
      <c r="E611" s="1255"/>
      <c r="F611" s="1256"/>
    </row>
    <row r="612" spans="1:9" ht="15.75" thickBot="1" x14ac:dyDescent="0.3">
      <c r="A612" s="2420" t="s">
        <v>1547</v>
      </c>
      <c r="B612" s="2421"/>
      <c r="C612" s="2421"/>
      <c r="D612" s="2421"/>
      <c r="E612" s="2422"/>
      <c r="G612" s="1244"/>
    </row>
    <row r="613" spans="1:9" ht="30" x14ac:dyDescent="0.25">
      <c r="A613" s="1345" t="s">
        <v>1546</v>
      </c>
      <c r="B613" s="1343" t="s">
        <v>1522</v>
      </c>
      <c r="C613" s="1343" t="s">
        <v>1544</v>
      </c>
      <c r="D613" s="1343" t="s">
        <v>1545</v>
      </c>
      <c r="E613" s="1276" t="str">
        <f>$B$1</f>
        <v>IN 96</v>
      </c>
      <c r="F613" s="1258"/>
      <c r="G613" s="1244"/>
    </row>
    <row r="614" spans="1:9" x14ac:dyDescent="0.25">
      <c r="A614" s="402"/>
      <c r="B614" s="402"/>
      <c r="C614" s="402"/>
      <c r="D614" s="835">
        <f>B614+1</f>
        <v>1</v>
      </c>
      <c r="E614" s="1268" t="str">
        <f>IF(D614&gt;IF(A614&lt;=3,7,IF(A614&lt;=7,5,3)),"Não","Sim")</f>
        <v>Sim</v>
      </c>
      <c r="F614" s="1258"/>
      <c r="G614" s="1244"/>
    </row>
    <row r="615" spans="1:9" x14ac:dyDescent="0.25">
      <c r="A615" s="1345" t="str">
        <f>"Tolerância ("&amp;$B$1&amp;")"</f>
        <v>Tolerância (IN 96)</v>
      </c>
      <c r="B615" s="2941" t="s">
        <v>1601</v>
      </c>
      <c r="C615" s="2941"/>
      <c r="D615" s="2941"/>
      <c r="E615" s="2941"/>
      <c r="F615" s="1258"/>
      <c r="G615" s="1244"/>
    </row>
    <row r="616" spans="1:9" ht="15.75" thickBot="1" x14ac:dyDescent="0.3">
      <c r="A616" s="1263"/>
      <c r="B616" s="1258"/>
      <c r="C616" s="1258"/>
      <c r="D616" s="1258"/>
      <c r="E616" s="1258"/>
      <c r="F616" s="1258"/>
      <c r="G616" s="1244"/>
    </row>
    <row r="617" spans="1:9" ht="15.75" thickBot="1" x14ac:dyDescent="0.3">
      <c r="A617" s="2420" t="s">
        <v>1548</v>
      </c>
      <c r="B617" s="2421"/>
      <c r="C617" s="2421"/>
      <c r="D617" s="2422"/>
      <c r="G617" s="1244"/>
    </row>
    <row r="618" spans="1:9" x14ac:dyDescent="0.25">
      <c r="A618" s="2946" t="s">
        <v>810</v>
      </c>
      <c r="B618" s="2946"/>
      <c r="C618" s="1340" t="s">
        <v>1523</v>
      </c>
      <c r="D618" s="1340" t="s">
        <v>1524</v>
      </c>
      <c r="E618" s="1258"/>
      <c r="F618" s="1259"/>
      <c r="G618" s="1244"/>
    </row>
    <row r="619" spans="1:9" x14ac:dyDescent="0.25">
      <c r="A619" s="2935" t="s">
        <v>1549</v>
      </c>
      <c r="B619" s="2935"/>
      <c r="C619" s="402"/>
      <c r="D619" s="402"/>
      <c r="G619" s="1244"/>
    </row>
    <row r="620" spans="1:9" x14ac:dyDescent="0.25">
      <c r="A620" s="2935" t="s">
        <v>1550</v>
      </c>
      <c r="B620" s="2935"/>
      <c r="C620" s="402"/>
      <c r="D620" s="402"/>
      <c r="G620" s="1244"/>
    </row>
    <row r="621" spans="1:9" x14ac:dyDescent="0.25">
      <c r="A621" s="2963" t="s">
        <v>1551</v>
      </c>
      <c r="B621" s="2963"/>
      <c r="C621" s="402"/>
      <c r="D621" s="402"/>
    </row>
    <row r="622" spans="1:9" x14ac:dyDescent="0.25">
      <c r="A622" s="2935" t="s">
        <v>1552</v>
      </c>
      <c r="B622" s="2935"/>
      <c r="C622" s="402"/>
      <c r="D622" s="402"/>
    </row>
    <row r="623" spans="1:9" x14ac:dyDescent="0.25">
      <c r="A623" s="2936" t="s">
        <v>1553</v>
      </c>
      <c r="B623" s="2937"/>
      <c r="C623" s="1337" t="str">
        <f>IFERROR(ROUND(C621/C620,1),"")</f>
        <v/>
      </c>
      <c r="D623" s="1337" t="str">
        <f>IFERROR(ROUND(D621/D620,1),"")</f>
        <v/>
      </c>
    </row>
    <row r="624" spans="1:9" x14ac:dyDescent="0.25">
      <c r="A624" s="2935" t="str">
        <f>"Tolerância ("&amp;$B$1&amp;")"</f>
        <v>Tolerância (IN 96)</v>
      </c>
      <c r="B624" s="2935"/>
      <c r="C624" s="1338">
        <v>1.5</v>
      </c>
      <c r="D624" s="350">
        <v>2</v>
      </c>
    </row>
    <row r="625" spans="1:6" x14ac:dyDescent="0.25">
      <c r="A625" s="2949" t="str">
        <f>$B$1</f>
        <v>IN 96</v>
      </c>
      <c r="B625" s="2949"/>
      <c r="C625" s="1339" t="str">
        <f>IFERROR(IF(LARGE(C622:C623,1)-10&gt;C624,"Não","Sim"),"NPA")</f>
        <v>NPA</v>
      </c>
      <c r="D625" s="1339" t="str">
        <f>IFERROR(IF(LARGE(D622:D623,1)-10&gt;D624,"Não","Sim"),"NPA")</f>
        <v>NPA</v>
      </c>
    </row>
    <row r="626" spans="1:6" ht="15.75" thickBot="1" x14ac:dyDescent="0.3"/>
    <row r="627" spans="1:6" ht="14.45" customHeight="1" thickBot="1" x14ac:dyDescent="0.3">
      <c r="A627" s="2420" t="s">
        <v>1554</v>
      </c>
      <c r="B627" s="2421"/>
      <c r="C627" s="2421"/>
      <c r="D627" s="2421"/>
      <c r="E627" s="2422"/>
    </row>
    <row r="628" spans="1:6" ht="14.45" customHeight="1" x14ac:dyDescent="0.25">
      <c r="A628" s="2938" t="s">
        <v>1917</v>
      </c>
      <c r="B628" s="2939"/>
      <c r="C628" s="2940"/>
      <c r="D628" s="1273"/>
    </row>
    <row r="629" spans="1:6" x14ac:dyDescent="0.25">
      <c r="A629" s="2938" t="s">
        <v>1556</v>
      </c>
      <c r="B629" s="2939"/>
      <c r="C629" s="2940"/>
      <c r="D629" s="1273">
        <f>D628/1000</f>
        <v>0</v>
      </c>
      <c r="E629" s="1342">
        <f>D629</f>
        <v>0</v>
      </c>
      <c r="F629" s="1264"/>
    </row>
    <row r="630" spans="1:6" ht="17.25" customHeight="1" x14ac:dyDescent="0.25">
      <c r="A630" s="2946" t="s">
        <v>810</v>
      </c>
      <c r="B630" s="2946"/>
      <c r="C630" s="2946"/>
      <c r="D630" s="1345" t="s">
        <v>1525</v>
      </c>
      <c r="E630" s="1343" t="s">
        <v>1526</v>
      </c>
    </row>
    <row r="631" spans="1:6" x14ac:dyDescent="0.25">
      <c r="A631" s="2935" t="s">
        <v>1555</v>
      </c>
      <c r="B631" s="2935"/>
      <c r="C631" s="2935"/>
      <c r="D631" s="402"/>
      <c r="E631" s="402"/>
    </row>
    <row r="632" spans="1:6" ht="14.45" customHeight="1" x14ac:dyDescent="0.25">
      <c r="A632" s="2941" t="str">
        <f>"Tolerância ("&amp;$B$1&amp;") ≤"</f>
        <v>Tolerância (IN 96) ≤</v>
      </c>
      <c r="B632" s="2941"/>
      <c r="C632" s="2941"/>
      <c r="D632" s="1287">
        <f>IF(D629&gt;4,1,2)</f>
        <v>2</v>
      </c>
      <c r="E632" s="1287">
        <f>IF(E629&gt;=5,1.5,IF(E629&gt;=3.5,3,4))</f>
        <v>4</v>
      </c>
    </row>
    <row r="633" spans="1:6" x14ac:dyDescent="0.25">
      <c r="A633" s="2949" t="str">
        <f>$B$1</f>
        <v>IN 96</v>
      </c>
      <c r="B633" s="2949"/>
      <c r="C633" s="2949"/>
      <c r="D633" s="1268" t="str">
        <f>IF(D631&lt;=D632,"Sim","Não")</f>
        <v>Sim</v>
      </c>
      <c r="E633" s="1268" t="str">
        <f>IF(E631&lt;=E632,"Sim","Não")</f>
        <v>Sim</v>
      </c>
      <c r="F633" s="1265"/>
    </row>
    <row r="634" spans="1:6" ht="15.75" thickBot="1" x14ac:dyDescent="0.3">
      <c r="A634" s="1245"/>
      <c r="B634" s="1263"/>
      <c r="C634" s="1247"/>
      <c r="D634" s="1247"/>
      <c r="E634" s="1265"/>
      <c r="F634" s="1265"/>
    </row>
    <row r="635" spans="1:6" ht="15.75" thickBot="1" x14ac:dyDescent="0.3">
      <c r="A635" s="2420" t="s">
        <v>1557</v>
      </c>
      <c r="B635" s="2421"/>
      <c r="C635" s="2421"/>
      <c r="D635" s="2421"/>
      <c r="E635" s="2421"/>
      <c r="F635" s="2422"/>
    </row>
    <row r="636" spans="1:6" x14ac:dyDescent="0.25">
      <c r="A636" s="1345" t="s">
        <v>1527</v>
      </c>
      <c r="B636" s="1343">
        <v>1</v>
      </c>
      <c r="C636" s="1343">
        <v>2</v>
      </c>
      <c r="D636" s="1343">
        <v>3</v>
      </c>
      <c r="E636" s="1343">
        <v>4</v>
      </c>
      <c r="F636" s="1343">
        <v>5</v>
      </c>
    </row>
    <row r="637" spans="1:6" x14ac:dyDescent="0.25">
      <c r="A637" s="1344" t="s">
        <v>1511</v>
      </c>
      <c r="B637" s="402"/>
      <c r="C637" s="402"/>
      <c r="D637" s="402"/>
      <c r="E637" s="402"/>
      <c r="F637" s="402"/>
    </row>
    <row r="638" spans="1:6" x14ac:dyDescent="0.25">
      <c r="A638" s="1344" t="s">
        <v>1559</v>
      </c>
      <c r="B638" s="402"/>
      <c r="C638" s="402"/>
      <c r="D638" s="402"/>
      <c r="E638" s="402"/>
      <c r="F638" s="402"/>
    </row>
    <row r="639" spans="1:6" x14ac:dyDescent="0.25">
      <c r="A639" s="1344" t="s">
        <v>1512</v>
      </c>
      <c r="B639" s="402"/>
      <c r="C639" s="402"/>
      <c r="D639" s="402"/>
      <c r="E639" s="402"/>
      <c r="F639" s="402"/>
    </row>
    <row r="640" spans="1:6" ht="30" x14ac:dyDescent="0.25">
      <c r="A640" s="1344" t="s">
        <v>1558</v>
      </c>
      <c r="B640" s="402"/>
      <c r="C640" s="402"/>
      <c r="D640" s="402"/>
      <c r="E640" s="402"/>
      <c r="F640" s="402"/>
    </row>
    <row r="641" spans="1:12" x14ac:dyDescent="0.25">
      <c r="A641" s="1266" t="s">
        <v>660</v>
      </c>
      <c r="B641" s="1279">
        <v>0.1</v>
      </c>
      <c r="C641" s="1279">
        <v>0.1</v>
      </c>
      <c r="D641" s="1279">
        <v>0.1</v>
      </c>
      <c r="E641" s="1279">
        <v>0.1</v>
      </c>
      <c r="F641" s="1279">
        <v>0.1</v>
      </c>
      <c r="G641" s="343" t="str">
        <f>"Segundo especificações do fabricante do equipamento e simulador ("&amp;$B$1&amp;")"</f>
        <v>Segundo especificações do fabricante do equipamento e simulador (IN 96)</v>
      </c>
    </row>
    <row r="642" spans="1:12" ht="14.45" customHeight="1" x14ac:dyDescent="0.25">
      <c r="A642" s="1371" t="str">
        <f>$B$1</f>
        <v>IN 96</v>
      </c>
      <c r="B642" s="1339" t="str">
        <f>IFERROR(IF(OR(ABS(B637-B639)/B637&gt;B641,ABS(B638-B640)/B638&gt;B641),"Não","Sim"),"NA")</f>
        <v>NA</v>
      </c>
      <c r="C642" s="1339" t="str">
        <f>IFERROR(IF(OR(ABS(C637-C639)/C637&gt;C641,ABS(C638-C640)/C638&gt;C641),"Não","Sim"),"NA")</f>
        <v>NA</v>
      </c>
      <c r="D642" s="1339" t="str">
        <f>IFERROR(IF(OR(ABS(D637-D639)/D637&gt;D641,ABS(D638-D640)/D638&gt;D641),"Não","Sim"),"NA")</f>
        <v>NA</v>
      </c>
      <c r="E642" s="1339" t="str">
        <f>IFERROR(IF(OR(ABS(E637-E639)/E637&gt;E641,ABS(E638-E640)/E638&gt;E641),"Não","Sim"),"NA")</f>
        <v>NA</v>
      </c>
      <c r="F642" s="1339" t="str">
        <f>IFERROR(IF(OR(ABS(F637-F639)/F637&gt;F641,ABS(F638-F640)/F638&gt;F641),"Não","Sim"),"NA")</f>
        <v>NA</v>
      </c>
    </row>
    <row r="643" spans="1:12" ht="15.75" thickBot="1" x14ac:dyDescent="0.3">
      <c r="A643" s="1263"/>
      <c r="B643" s="1263"/>
      <c r="C643" s="1265"/>
      <c r="D643" s="1265"/>
      <c r="E643" s="1265"/>
      <c r="F643" s="1265"/>
    </row>
    <row r="644" spans="1:12" ht="15.75" thickBot="1" x14ac:dyDescent="0.3">
      <c r="A644" s="2420" t="s">
        <v>1560</v>
      </c>
      <c r="B644" s="2421"/>
      <c r="C644" s="2421"/>
      <c r="D644" s="2421"/>
      <c r="E644" s="2422"/>
    </row>
    <row r="645" spans="1:12" x14ac:dyDescent="0.25">
      <c r="A645" s="1269" t="s">
        <v>1528</v>
      </c>
      <c r="B645" s="1236" t="s">
        <v>1529</v>
      </c>
      <c r="C645" s="1236" t="s">
        <v>1530</v>
      </c>
      <c r="D645" s="1236" t="s">
        <v>1531</v>
      </c>
      <c r="E645" s="1236" t="s">
        <v>1532</v>
      </c>
    </row>
    <row r="646" spans="1:12" x14ac:dyDescent="0.25">
      <c r="A646" s="1336" t="s">
        <v>1562</v>
      </c>
      <c r="B646" s="1399" t="s">
        <v>142</v>
      </c>
      <c r="C646" s="1399" t="s">
        <v>142</v>
      </c>
      <c r="D646" s="1399" t="s">
        <v>142</v>
      </c>
      <c r="E646" s="1399" t="s">
        <v>142</v>
      </c>
    </row>
    <row r="647" spans="1:12" x14ac:dyDescent="0.25">
      <c r="A647" s="1336" t="s">
        <v>1561</v>
      </c>
      <c r="B647" s="1399"/>
      <c r="C647" s="1399"/>
      <c r="D647" s="1399"/>
      <c r="E647" s="1399"/>
    </row>
    <row r="648" spans="1:12" x14ac:dyDescent="0.25">
      <c r="A648" s="1236" t="s">
        <v>1563</v>
      </c>
      <c r="B648" s="1278">
        <v>0.1</v>
      </c>
      <c r="C648" s="1278">
        <f>B648</f>
        <v>0.1</v>
      </c>
      <c r="D648" s="1278">
        <f>C648</f>
        <v>0.1</v>
      </c>
      <c r="E648" s="1278">
        <f>D648</f>
        <v>0.1</v>
      </c>
      <c r="F648" s="343" t="str">
        <f>"Segundo especificações do fabricante do equipamento e simulador ("&amp;$B$1&amp;")"</f>
        <v>Segundo especificações do fabricante do equipamento e simulador (IN 96)</v>
      </c>
    </row>
    <row r="649" spans="1:12" x14ac:dyDescent="0.25">
      <c r="A649" s="1371" t="str">
        <f>$B$1</f>
        <v>IN 96</v>
      </c>
      <c r="B649" s="1267" t="str">
        <f>IF(B647="s","Sim",IF(B647="n",IF(B646="s","Não","Sim"),"Sim"))</f>
        <v>Sim</v>
      </c>
      <c r="C649" s="1267" t="str">
        <f>IF(C647="s","Sim",IF(C647="n",IF(C646="s","Não","Sim"),"Sim"))</f>
        <v>Sim</v>
      </c>
      <c r="D649" s="1267" t="str">
        <f>IF(D647="s","Sim",IF(D647="n",IF(D646="s","Não","Sim"),"Sim"))</f>
        <v>Sim</v>
      </c>
      <c r="E649" s="1267" t="str">
        <f>IF(E647="s","Sim",IF(E647="n",IF(E646="s","Não","Sim"),"Sim"))</f>
        <v>Sim</v>
      </c>
    </row>
    <row r="651" spans="1:12" ht="15.75" thickBot="1" x14ac:dyDescent="0.3"/>
    <row r="652" spans="1:12" ht="15.6" customHeight="1" thickBot="1" x14ac:dyDescent="0.3">
      <c r="A652" s="2952" t="s">
        <v>1533</v>
      </c>
      <c r="B652" s="2953"/>
      <c r="C652" s="2953"/>
      <c r="D652" s="2953"/>
      <c r="E652" s="2953"/>
      <c r="F652" s="2953"/>
      <c r="G652" s="1246"/>
      <c r="H652" s="1246"/>
      <c r="I652" s="1246"/>
      <c r="J652" s="1246"/>
      <c r="K652" s="1246"/>
      <c r="L652" s="1299"/>
    </row>
    <row r="653" spans="1:12" ht="15.75" thickBot="1" x14ac:dyDescent="0.3">
      <c r="A653" s="2957" t="s">
        <v>1618</v>
      </c>
      <c r="B653" s="2958"/>
      <c r="C653" s="2958"/>
      <c r="D653" s="2958"/>
      <c r="E653" s="2958"/>
      <c r="F653" s="2958"/>
      <c r="G653" s="2959"/>
    </row>
    <row r="654" spans="1:12" x14ac:dyDescent="0.25">
      <c r="A654" s="1292" t="s">
        <v>686</v>
      </c>
      <c r="B654" s="1334" t="s">
        <v>1564</v>
      </c>
      <c r="C654" s="1334" t="s">
        <v>1565</v>
      </c>
      <c r="D654" s="1258"/>
      <c r="E654" s="1300" t="s">
        <v>660</v>
      </c>
      <c r="F654" s="1301">
        <v>0.1</v>
      </c>
      <c r="G654" s="1371" t="str">
        <f>$B$1</f>
        <v>IN 96</v>
      </c>
    </row>
    <row r="655" spans="1:12" x14ac:dyDescent="0.25">
      <c r="A655" s="1338" t="s">
        <v>1566</v>
      </c>
      <c r="B655" s="402"/>
      <c r="C655" s="1337" t="e">
        <f>VLOOKUP(B655,Doppler1430_Flow[],2)</f>
        <v>#N/A</v>
      </c>
      <c r="E655" s="1289" t="s">
        <v>1590</v>
      </c>
      <c r="F655" s="1370" t="e">
        <f>ROUNDUP(ABS(C655-C656)/C655,3)</f>
        <v>#N/A</v>
      </c>
      <c r="G655" s="1268" t="str">
        <f>IFERROR(IF(F655&gt;F654,"Não","Sim"),"NA")</f>
        <v>NA</v>
      </c>
    </row>
    <row r="656" spans="1:12" x14ac:dyDescent="0.25">
      <c r="A656" s="835" t="s">
        <v>1567</v>
      </c>
      <c r="B656" s="1338" t="s">
        <v>240</v>
      </c>
      <c r="C656" s="402"/>
      <c r="E656" s="343" t="str">
        <f>"Segundo especificações do fabricante do equipamento e simulador ("&amp;$B$1&amp;")"</f>
        <v>Segundo especificações do fabricante do equipamento e simulador (IN 96)</v>
      </c>
    </row>
    <row r="657" spans="1:14" ht="15.75" thickBot="1" x14ac:dyDescent="0.3"/>
    <row r="658" spans="1:14" ht="14.45" customHeight="1" x14ac:dyDescent="0.25">
      <c r="A658" s="2960" t="s">
        <v>1591</v>
      </c>
      <c r="B658" s="2961"/>
      <c r="C658" s="2961"/>
      <c r="D658" s="2961"/>
      <c r="E658" s="2961"/>
      <c r="F658" s="2961"/>
      <c r="G658" s="2961"/>
      <c r="H658" s="2961"/>
      <c r="I658" s="2961"/>
      <c r="J658" s="2961"/>
      <c r="K658" s="2961"/>
      <c r="L658" s="2962"/>
    </row>
    <row r="659" spans="1:14" x14ac:dyDescent="0.25">
      <c r="A659" s="1827" t="s">
        <v>810</v>
      </c>
      <c r="B659" s="2941" t="s">
        <v>1919</v>
      </c>
      <c r="C659" s="2941"/>
      <c r="D659" s="2942"/>
      <c r="E659" s="2941" t="s">
        <v>1920</v>
      </c>
      <c r="F659" s="2941"/>
      <c r="G659" s="2941"/>
      <c r="H659" s="2947" t="s">
        <v>1921</v>
      </c>
      <c r="I659" s="2948"/>
      <c r="J659" s="2948"/>
    </row>
    <row r="660" spans="1:14" s="1248" customFormat="1" ht="30" x14ac:dyDescent="0.25">
      <c r="A660" s="1831" t="s">
        <v>1564</v>
      </c>
      <c r="B660" s="1833" t="s">
        <v>902</v>
      </c>
      <c r="C660" s="1832" t="s">
        <v>1569</v>
      </c>
      <c r="D660" s="1295" t="str">
        <f>G654</f>
        <v>IN 96</v>
      </c>
      <c r="E660" s="1833" t="s">
        <v>902</v>
      </c>
      <c r="F660" s="1832" t="s">
        <v>1569</v>
      </c>
      <c r="G660" s="1098" t="str">
        <f>G654</f>
        <v>IN 96</v>
      </c>
      <c r="H660" s="1298" t="s">
        <v>902</v>
      </c>
      <c r="I660" s="1832" t="s">
        <v>1569</v>
      </c>
      <c r="J660" s="1098" t="str">
        <f>G654</f>
        <v>IN 96</v>
      </c>
    </row>
    <row r="661" spans="1:14" ht="30" hidden="1" x14ac:dyDescent="0.25">
      <c r="A661" s="1832" t="s">
        <v>1592</v>
      </c>
      <c r="B661" s="1831"/>
      <c r="C661" s="1831"/>
      <c r="D661" s="1830" t="str">
        <f>IFERROR(IF(ABS(C661/B661-1)&gt;0.1,"DIFERENTE","-"),"-")</f>
        <v>-</v>
      </c>
      <c r="E661" s="1831"/>
      <c r="F661" s="1831"/>
      <c r="G661" s="1829" t="str">
        <f>IFERROR(IF(ABS(F661/E661-1)&gt;0.1,"DIFERENTE","-"),"-")</f>
        <v>-</v>
      </c>
      <c r="H661" s="1280"/>
      <c r="I661" s="1831"/>
      <c r="J661" s="1829" t="str">
        <f>IFERROR(IF(ABS(I661/H661-1)&gt;0.1,"DIFERENTE","-"),"-")</f>
        <v>-</v>
      </c>
    </row>
    <row r="662" spans="1:14" ht="30" x14ac:dyDescent="0.25">
      <c r="A662" s="1832" t="s">
        <v>1926</v>
      </c>
      <c r="B662" s="1831" t="s">
        <v>1923</v>
      </c>
      <c r="C662" s="1831"/>
      <c r="D662" s="1267" t="str">
        <f>IFERROR(IF(ABS(C662/B662-1)&lt;D663,"Sim","Não"),"NPA")</f>
        <v>NPA</v>
      </c>
      <c r="E662" s="1831" t="s">
        <v>1923</v>
      </c>
      <c r="F662" s="1831"/>
      <c r="G662" s="1267" t="str">
        <f>IFERROR(IF(ABS(F662/E662-1)&lt;G663,"Sim","Não"),"NPA")</f>
        <v>NPA</v>
      </c>
      <c r="H662" s="1831" t="s">
        <v>1923</v>
      </c>
      <c r="I662" s="1831"/>
      <c r="J662" s="1267" t="str">
        <f>IFERROR(IF(ABS(I662/H662-1)&lt;J663,"Sim","Não"),"NPA")</f>
        <v>NPA</v>
      </c>
      <c r="L662" s="1244"/>
      <c r="M662" s="1250"/>
      <c r="N662" s="1244"/>
    </row>
    <row r="663" spans="1:14" x14ac:dyDescent="0.25">
      <c r="A663" s="1828" t="s">
        <v>1631</v>
      </c>
      <c r="B663" s="1832" t="s">
        <v>240</v>
      </c>
      <c r="C663" s="1832" t="s">
        <v>240</v>
      </c>
      <c r="D663" s="1297">
        <v>0.1</v>
      </c>
      <c r="E663" s="1832" t="s">
        <v>240</v>
      </c>
      <c r="F663" s="1832" t="s">
        <v>240</v>
      </c>
      <c r="G663" s="1294">
        <f>D663</f>
        <v>0.1</v>
      </c>
      <c r="H663" s="1270" t="s">
        <v>240</v>
      </c>
      <c r="I663" s="1832" t="s">
        <v>240</v>
      </c>
      <c r="J663" s="1294">
        <f>D663</f>
        <v>0.1</v>
      </c>
      <c r="K663" s="343" t="str">
        <f>"*Segundo especificações do fabricante do equipamento e simulador ("&amp;$B$1&amp;")"</f>
        <v>*Segundo especificações do fabricante do equipamento e simulador (IN 96)</v>
      </c>
    </row>
    <row r="664" spans="1:14" x14ac:dyDescent="0.25">
      <c r="A664" s="1293"/>
      <c r="B664" s="1293"/>
      <c r="C664" s="1293"/>
      <c r="E664" s="1271"/>
      <c r="F664" s="1262"/>
    </row>
    <row r="665" spans="1:14" x14ac:dyDescent="0.25">
      <c r="A665" s="1293"/>
      <c r="B665" s="1293"/>
      <c r="C665" s="1293"/>
      <c r="E665" s="1271"/>
      <c r="F665" s="1262"/>
    </row>
    <row r="666" spans="1:14" x14ac:dyDescent="0.25">
      <c r="A666" s="1293"/>
      <c r="B666" s="1293"/>
      <c r="C666" s="1293"/>
      <c r="E666" s="1271"/>
      <c r="F666" s="1262"/>
    </row>
    <row r="667" spans="1:14" ht="15.75" thickBot="1" x14ac:dyDescent="0.3">
      <c r="A667" s="1293"/>
      <c r="B667" s="1293"/>
      <c r="C667" s="1293"/>
      <c r="E667" s="1271"/>
      <c r="F667" s="1262"/>
    </row>
    <row r="668" spans="1:14" ht="15.75" thickBot="1" x14ac:dyDescent="0.3">
      <c r="A668" s="1314" t="s">
        <v>1600</v>
      </c>
      <c r="B668" s="1315">
        <f>B577+1</f>
        <v>8</v>
      </c>
      <c r="C668" s="1316"/>
      <c r="D668" s="1316"/>
      <c r="E668" s="1316"/>
      <c r="F668" s="1317"/>
    </row>
    <row r="669" spans="1:14" x14ac:dyDescent="0.25">
      <c r="A669" s="1250" t="s">
        <v>336</v>
      </c>
      <c r="B669" s="1250" t="s">
        <v>119</v>
      </c>
      <c r="C669" s="1250" t="s">
        <v>120</v>
      </c>
      <c r="D669" s="1250" t="s">
        <v>1536</v>
      </c>
      <c r="E669" s="2950" t="s">
        <v>1621</v>
      </c>
      <c r="F669" s="2950"/>
    </row>
    <row r="670" spans="1:14" x14ac:dyDescent="0.25">
      <c r="A670" s="834">
        <f>B668</f>
        <v>8</v>
      </c>
      <c r="B670" s="834" t="s">
        <v>1632</v>
      </c>
      <c r="C670" s="834" t="s">
        <v>1633</v>
      </c>
      <c r="D670" s="834" t="s">
        <v>1633</v>
      </c>
      <c r="E670" s="2951" t="s">
        <v>1634</v>
      </c>
      <c r="F670" s="2951"/>
    </row>
    <row r="671" spans="1:14" ht="15.75" thickBot="1" x14ac:dyDescent="0.3">
      <c r="D671" s="1250"/>
    </row>
    <row r="672" spans="1:14" ht="17.25" customHeight="1" thickBot="1" x14ac:dyDescent="0.3">
      <c r="A672" s="2952" t="s">
        <v>1501</v>
      </c>
      <c r="B672" s="2953"/>
      <c r="C672" s="2953"/>
      <c r="D672" s="2953"/>
      <c r="E672" s="2953"/>
      <c r="F672" s="2954"/>
    </row>
    <row r="673" spans="1:6" ht="15.75" thickBot="1" x14ac:dyDescent="0.3">
      <c r="D673" s="1250"/>
    </row>
    <row r="674" spans="1:6" ht="15.75" customHeight="1" thickBot="1" x14ac:dyDescent="0.3">
      <c r="A674" s="2420" t="s">
        <v>1538</v>
      </c>
      <c r="B674" s="2421"/>
      <c r="C674" s="2421"/>
      <c r="D674" s="2421"/>
      <c r="E674" s="2421"/>
      <c r="F674" s="2422"/>
    </row>
    <row r="675" spans="1:6" ht="15.6" customHeight="1" x14ac:dyDescent="0.25">
      <c r="A675" s="1251" t="s">
        <v>1539</v>
      </c>
      <c r="B675" s="1252"/>
      <c r="C675" s="1252"/>
      <c r="D675" s="834"/>
      <c r="E675" s="1338" t="str">
        <f>IF(D675="s","Sim",IF(D675="n","Não","NPA"))</f>
        <v>NPA</v>
      </c>
      <c r="F675" s="1252"/>
    </row>
    <row r="676" spans="1:6" s="1253" customFormat="1" x14ac:dyDescent="0.25">
      <c r="A676" s="1253" t="s">
        <v>1622</v>
      </c>
      <c r="D676" s="834"/>
    </row>
    <row r="677" spans="1:6" x14ac:dyDescent="0.25">
      <c r="A677" s="1244" t="s">
        <v>1540</v>
      </c>
      <c r="B677" s="1254"/>
      <c r="C677" s="1255"/>
      <c r="D677" s="834"/>
      <c r="E677" s="1255"/>
      <c r="F677" s="1256"/>
    </row>
    <row r="678" spans="1:6" ht="15" hidden="1" customHeight="1" x14ac:dyDescent="0.25">
      <c r="B678" s="1257"/>
      <c r="C678" s="1258"/>
      <c r="D678" s="1258"/>
      <c r="E678" s="1258"/>
      <c r="F678" s="1259"/>
    </row>
    <row r="679" spans="1:6" ht="17.25" hidden="1" customHeight="1" x14ac:dyDescent="0.25">
      <c r="A679" s="1338" t="s">
        <v>1502</v>
      </c>
      <c r="B679" s="1335" t="s">
        <v>902</v>
      </c>
      <c r="C679" s="1335">
        <v>1</v>
      </c>
      <c r="D679" s="1335">
        <v>2</v>
      </c>
      <c r="E679" s="1345" t="str">
        <f>"Tolerância ("&amp;$B$1&amp;")"</f>
        <v>Tolerância (IN 96)</v>
      </c>
    </row>
    <row r="680" spans="1:6" ht="32.25" hidden="1" customHeight="1" x14ac:dyDescent="0.25">
      <c r="A680" s="1335" t="s">
        <v>1503</v>
      </c>
      <c r="B680" s="402"/>
      <c r="C680" s="402"/>
      <c r="D680" s="402"/>
      <c r="E680" s="1335" t="s">
        <v>1504</v>
      </c>
    </row>
    <row r="681" spans="1:6" hidden="1" x14ac:dyDescent="0.25">
      <c r="A681" s="1267" t="str">
        <f>$B$1</f>
        <v>IN 96</v>
      </c>
      <c r="B681" s="1268" t="str">
        <f>IF(AND(C681=0,D681=0),E675,IF(OR(C681&lt;4,D681&lt;4),"Sim","Não"))</f>
        <v>NPA</v>
      </c>
      <c r="C681" s="1287">
        <f>ABS(C680-B680)</f>
        <v>0</v>
      </c>
      <c r="D681" s="1287">
        <f>ABS(D680-B680)</f>
        <v>0</v>
      </c>
    </row>
    <row r="682" spans="1:6" ht="15.75" thickBot="1" x14ac:dyDescent="0.3">
      <c r="A682" s="333"/>
      <c r="B682" s="1254"/>
      <c r="C682" s="1255"/>
      <c r="D682" s="1255"/>
      <c r="E682" s="1255"/>
      <c r="F682" s="1256"/>
    </row>
    <row r="683" spans="1:6" s="1245" customFormat="1" ht="15.75" thickBot="1" x14ac:dyDescent="0.3">
      <c r="A683" s="2420" t="s">
        <v>1924</v>
      </c>
      <c r="B683" s="2421"/>
      <c r="C683" s="2421"/>
      <c r="D683" s="2421"/>
      <c r="E683" s="2422"/>
    </row>
    <row r="684" spans="1:6" ht="30" x14ac:dyDescent="0.25">
      <c r="A684" s="1272" t="s">
        <v>1542</v>
      </c>
      <c r="B684" s="835"/>
      <c r="C684" s="1273"/>
      <c r="D684" s="835"/>
      <c r="E684" s="2955" t="str">
        <f>E679</f>
        <v>Tolerância (IN 96)</v>
      </c>
    </row>
    <row r="685" spans="1:6" x14ac:dyDescent="0.25">
      <c r="A685" s="1829" t="s">
        <v>186</v>
      </c>
      <c r="B685" s="1828" t="s">
        <v>1505</v>
      </c>
      <c r="C685" s="1828" t="s">
        <v>1506</v>
      </c>
      <c r="D685" s="1828" t="s">
        <v>1507</v>
      </c>
      <c r="E685" s="2956"/>
    </row>
    <row r="686" spans="1:6" ht="14.45" customHeight="1" x14ac:dyDescent="0.25">
      <c r="A686" s="1829" t="s">
        <v>1508</v>
      </c>
      <c r="B686" s="835"/>
      <c r="C686" s="1831"/>
      <c r="D686" s="835"/>
      <c r="E686" s="2941" t="s">
        <v>1625</v>
      </c>
    </row>
    <row r="687" spans="1:6" x14ac:dyDescent="0.25">
      <c r="A687" s="1828" t="s">
        <v>1509</v>
      </c>
      <c r="B687" s="835"/>
      <c r="C687" s="1831"/>
      <c r="D687" s="835"/>
      <c r="E687" s="2941"/>
    </row>
    <row r="688" spans="1:6" x14ac:dyDescent="0.25">
      <c r="A688" s="1828" t="s">
        <v>1510</v>
      </c>
      <c r="B688" s="835"/>
      <c r="C688" s="1831"/>
      <c r="D688" s="835"/>
      <c r="E688" s="2941"/>
    </row>
    <row r="689" spans="1:9" x14ac:dyDescent="0.25">
      <c r="A689" s="1828" t="s">
        <v>1511</v>
      </c>
      <c r="B689" s="835"/>
      <c r="C689" s="1831"/>
      <c r="D689" s="835"/>
      <c r="E689" s="2941"/>
    </row>
    <row r="690" spans="1:9" ht="30" x14ac:dyDescent="0.25">
      <c r="A690" s="1828" t="s">
        <v>1541</v>
      </c>
      <c r="B690" s="835"/>
      <c r="C690" s="835" t="str">
        <f>IF(MAX(B698,D698,F698)=0,"",MAX(B698,D698,F698))</f>
        <v/>
      </c>
      <c r="D690" s="835"/>
      <c r="E690" s="2941"/>
    </row>
    <row r="691" spans="1:9" x14ac:dyDescent="0.25">
      <c r="A691" s="1266" t="s">
        <v>546</v>
      </c>
      <c r="B691" s="835">
        <f>ABS(B690-B684)</f>
        <v>0</v>
      </c>
      <c r="C691" s="835" t="e">
        <f>ABS(C690-C684)</f>
        <v>#VALUE!</v>
      </c>
      <c r="D691" s="835">
        <f>ABS(D690-D684)</f>
        <v>0</v>
      </c>
      <c r="E691" s="2941"/>
    </row>
    <row r="692" spans="1:9" x14ac:dyDescent="0.25">
      <c r="A692" s="1267" t="str">
        <f>$B$1</f>
        <v>IN 96</v>
      </c>
      <c r="B692" s="1274" t="str">
        <f>IF(B690="","NA",IF(B691&lt;0.6,"Sim","Não"))</f>
        <v>NA</v>
      </c>
      <c r="C692" s="1274" t="str">
        <f>IF(C690="","NA",IF(C691&lt;0.6,"Sim","Não"))</f>
        <v>NA</v>
      </c>
      <c r="D692" s="1274" t="str">
        <f>IF(D690="","NA",IF(D691&lt;0.6,"Sim","Não"))</f>
        <v>NA</v>
      </c>
      <c r="E692" s="2941"/>
    </row>
    <row r="693" spans="1:9" ht="15.75" thickBot="1" x14ac:dyDescent="0.3">
      <c r="A693" s="333"/>
      <c r="B693" s="1254"/>
      <c r="C693" s="1255"/>
      <c r="D693" s="1255"/>
      <c r="E693" s="1255"/>
      <c r="F693" s="1256"/>
    </row>
    <row r="694" spans="1:9" ht="15.75" thickBot="1" x14ac:dyDescent="0.3">
      <c r="A694" s="2420" t="s">
        <v>1543</v>
      </c>
      <c r="B694" s="2421"/>
      <c r="C694" s="2421"/>
      <c r="D694" s="2421"/>
      <c r="E694" s="2421"/>
      <c r="F694" s="2421"/>
      <c r="G694" s="2421"/>
      <c r="H694" s="2422"/>
    </row>
    <row r="695" spans="1:9" x14ac:dyDescent="0.25">
      <c r="A695" s="1282" t="s">
        <v>1513</v>
      </c>
      <c r="B695" s="1283" t="s">
        <v>372</v>
      </c>
      <c r="C695" s="1284" t="s">
        <v>902</v>
      </c>
      <c r="D695" s="1283" t="s">
        <v>1514</v>
      </c>
      <c r="E695" s="1284" t="s">
        <v>902</v>
      </c>
      <c r="F695" s="1283" t="s">
        <v>1515</v>
      </c>
      <c r="G695" s="1284" t="s">
        <v>902</v>
      </c>
      <c r="H695" s="1277" t="s">
        <v>660</v>
      </c>
    </row>
    <row r="696" spans="1:9" ht="14.45" customHeight="1" x14ac:dyDescent="0.25">
      <c r="A696" s="1335" t="s">
        <v>1516</v>
      </c>
      <c r="B696" s="1273"/>
      <c r="C696" s="1273"/>
      <c r="D696" s="402"/>
      <c r="E696" s="402"/>
      <c r="F696" s="402"/>
      <c r="G696" s="402"/>
      <c r="H696" s="2943" t="s">
        <v>1517</v>
      </c>
    </row>
    <row r="697" spans="1:9" x14ac:dyDescent="0.25">
      <c r="A697" s="1341" t="s">
        <v>1518</v>
      </c>
      <c r="B697" s="402"/>
      <c r="C697" s="1281">
        <v>20</v>
      </c>
      <c r="D697" s="402"/>
      <c r="E697" s="1281">
        <v>10</v>
      </c>
      <c r="F697" s="402"/>
      <c r="G697" s="1281">
        <v>20</v>
      </c>
      <c r="H697" s="2944"/>
    </row>
    <row r="698" spans="1:9" ht="30" x14ac:dyDescent="0.25">
      <c r="A698" s="1335" t="s">
        <v>1519</v>
      </c>
      <c r="B698" s="402"/>
      <c r="C698" s="1281">
        <f>C697*C696</f>
        <v>0</v>
      </c>
      <c r="D698" s="402"/>
      <c r="E698" s="1281">
        <f>E697*E696</f>
        <v>0</v>
      </c>
      <c r="F698" s="402"/>
      <c r="G698" s="1281">
        <f>G697*G696</f>
        <v>0</v>
      </c>
      <c r="H698" s="2944"/>
    </row>
    <row r="699" spans="1:9" x14ac:dyDescent="0.25">
      <c r="A699" s="1335" t="s">
        <v>1520</v>
      </c>
      <c r="B699" s="834"/>
      <c r="C699" s="1281" t="s">
        <v>240</v>
      </c>
      <c r="D699" s="834"/>
      <c r="E699" s="1281" t="s">
        <v>240</v>
      </c>
      <c r="F699" s="834"/>
      <c r="G699" s="1281" t="s">
        <v>240</v>
      </c>
      <c r="H699" s="2944"/>
    </row>
    <row r="700" spans="1:9" x14ac:dyDescent="0.25">
      <c r="A700" s="1335" t="s">
        <v>1521</v>
      </c>
      <c r="B700" s="834"/>
      <c r="C700" s="1281" t="s">
        <v>240</v>
      </c>
      <c r="D700" s="834"/>
      <c r="E700" s="1281" t="s">
        <v>240</v>
      </c>
      <c r="F700" s="834"/>
      <c r="G700" s="1281" t="s">
        <v>240</v>
      </c>
      <c r="H700" s="2944"/>
    </row>
    <row r="701" spans="1:9" ht="15" customHeight="1" x14ac:dyDescent="0.25">
      <c r="A701" s="1267" t="str">
        <f>$B$1</f>
        <v>IN 96</v>
      </c>
      <c r="B701" s="1285" t="str">
        <f>IF(B696&lt;C696,IFERROR(IF(OR(ABS(B697-C697)/C697&gt;C701,ABS(B698-C698)/C698&gt;C701),"Não","Sim"),0),"Sim")</f>
        <v>Sim</v>
      </c>
      <c r="C701" s="1278">
        <v>0.1</v>
      </c>
      <c r="D701" s="1285" t="str">
        <f>IF(D696&lt;E696,IFERROR(IF(OR(ABS(D697-E697)/E697&gt;E701,ABS(D698-E698)/E698&gt;E701),"Não","Sim"),0),"Sim")</f>
        <v>Sim</v>
      </c>
      <c r="E701" s="1278">
        <v>0.1</v>
      </c>
      <c r="F701" s="1285" t="str">
        <f>IF(F696&lt;G696,IFERROR(IF(OR(ABS(F697-G697)/G697&gt;G701,ABS(F698-G698)/G698&gt;G701),"Não","Sim"),0),"Sim")</f>
        <v>Sim</v>
      </c>
      <c r="G701" s="1279">
        <v>0.1</v>
      </c>
      <c r="H701" s="2945"/>
      <c r="I701" s="343" t="str">
        <f>"Segundo especificações do fabricante do equipamento e simulador ("&amp;$B$1&amp;")"</f>
        <v>Segundo especificações do fabricante do equipamento e simulador (IN 96)</v>
      </c>
    </row>
    <row r="702" spans="1:9" ht="15.75" thickBot="1" x14ac:dyDescent="0.3">
      <c r="B702" s="1254"/>
      <c r="C702" s="1255"/>
      <c r="D702" s="1255"/>
      <c r="E702" s="1255"/>
      <c r="F702" s="1256"/>
    </row>
    <row r="703" spans="1:9" ht="15.75" thickBot="1" x14ac:dyDescent="0.3">
      <c r="A703" s="2420" t="s">
        <v>1547</v>
      </c>
      <c r="B703" s="2421"/>
      <c r="C703" s="2421"/>
      <c r="D703" s="2421"/>
      <c r="E703" s="2422"/>
      <c r="G703" s="1244"/>
    </row>
    <row r="704" spans="1:9" ht="30" x14ac:dyDescent="0.25">
      <c r="A704" s="1345" t="s">
        <v>1546</v>
      </c>
      <c r="B704" s="1343" t="s">
        <v>1522</v>
      </c>
      <c r="C704" s="1343" t="s">
        <v>1544</v>
      </c>
      <c r="D704" s="1343" t="s">
        <v>1545</v>
      </c>
      <c r="E704" s="1276" t="str">
        <f>$B$1</f>
        <v>IN 96</v>
      </c>
      <c r="F704" s="1258"/>
      <c r="G704" s="1244"/>
    </row>
    <row r="705" spans="1:7" x14ac:dyDescent="0.25">
      <c r="A705" s="402"/>
      <c r="B705" s="402"/>
      <c r="C705" s="402"/>
      <c r="D705" s="835">
        <f>B705+1</f>
        <v>1</v>
      </c>
      <c r="E705" s="1268" t="str">
        <f>IF(D705&gt;IF(A705&lt;=3,7,IF(A705&lt;=7,5,3)),"Não","Sim")</f>
        <v>Sim</v>
      </c>
      <c r="F705" s="1258"/>
      <c r="G705" s="1244"/>
    </row>
    <row r="706" spans="1:7" x14ac:dyDescent="0.25">
      <c r="A706" s="1345" t="str">
        <f>"Tolerância ("&amp;$B$1&amp;")"</f>
        <v>Tolerância (IN 96)</v>
      </c>
      <c r="B706" s="2941" t="s">
        <v>1601</v>
      </c>
      <c r="C706" s="2941"/>
      <c r="D706" s="2941"/>
      <c r="E706" s="2941"/>
      <c r="F706" s="1258"/>
      <c r="G706" s="1244"/>
    </row>
    <row r="707" spans="1:7" ht="15.75" thickBot="1" x14ac:dyDescent="0.3">
      <c r="A707" s="1263"/>
      <c r="B707" s="1258"/>
      <c r="C707" s="1258"/>
      <c r="D707" s="1258"/>
      <c r="E707" s="1258"/>
      <c r="F707" s="1258"/>
      <c r="G707" s="1244"/>
    </row>
    <row r="708" spans="1:7" ht="15.75" thickBot="1" x14ac:dyDescent="0.3">
      <c r="A708" s="2420" t="s">
        <v>1548</v>
      </c>
      <c r="B708" s="2421"/>
      <c r="C708" s="2421"/>
      <c r="D708" s="2422"/>
      <c r="G708" s="1244"/>
    </row>
    <row r="709" spans="1:7" x14ac:dyDescent="0.25">
      <c r="A709" s="2946" t="s">
        <v>810</v>
      </c>
      <c r="B709" s="2946"/>
      <c r="C709" s="1340" t="s">
        <v>1523</v>
      </c>
      <c r="D709" s="1340" t="s">
        <v>1524</v>
      </c>
      <c r="E709" s="1258"/>
      <c r="F709" s="1259"/>
      <c r="G709" s="1244"/>
    </row>
    <row r="710" spans="1:7" x14ac:dyDescent="0.25">
      <c r="A710" s="2935" t="s">
        <v>1549</v>
      </c>
      <c r="B710" s="2935"/>
      <c r="C710" s="402"/>
      <c r="D710" s="402"/>
      <c r="G710" s="1244"/>
    </row>
    <row r="711" spans="1:7" x14ac:dyDescent="0.25">
      <c r="A711" s="2935" t="s">
        <v>1550</v>
      </c>
      <c r="B711" s="2935"/>
      <c r="C711" s="402"/>
      <c r="D711" s="402"/>
      <c r="G711" s="1244"/>
    </row>
    <row r="712" spans="1:7" x14ac:dyDescent="0.25">
      <c r="A712" s="2963" t="s">
        <v>1551</v>
      </c>
      <c r="B712" s="2963"/>
      <c r="C712" s="402"/>
      <c r="D712" s="402"/>
    </row>
    <row r="713" spans="1:7" x14ac:dyDescent="0.25">
      <c r="A713" s="2935" t="s">
        <v>1552</v>
      </c>
      <c r="B713" s="2935"/>
      <c r="C713" s="402"/>
      <c r="D713" s="402"/>
    </row>
    <row r="714" spans="1:7" x14ac:dyDescent="0.25">
      <c r="A714" s="2936" t="s">
        <v>1553</v>
      </c>
      <c r="B714" s="2937"/>
      <c r="C714" s="1337" t="str">
        <f>IFERROR(ROUND(C712/C711,1),"")</f>
        <v/>
      </c>
      <c r="D714" s="1337" t="str">
        <f>IFERROR(ROUND(D712/D711,1),"")</f>
        <v/>
      </c>
    </row>
    <row r="715" spans="1:7" x14ac:dyDescent="0.25">
      <c r="A715" s="2935" t="str">
        <f>"Tolerância ("&amp;$B$1&amp;")"</f>
        <v>Tolerância (IN 96)</v>
      </c>
      <c r="B715" s="2935"/>
      <c r="C715" s="1338">
        <v>1.5</v>
      </c>
      <c r="D715" s="350">
        <v>2</v>
      </c>
    </row>
    <row r="716" spans="1:7" x14ac:dyDescent="0.25">
      <c r="A716" s="2949" t="str">
        <f>$B$1</f>
        <v>IN 96</v>
      </c>
      <c r="B716" s="2949"/>
      <c r="C716" s="1339" t="str">
        <f>IFERROR(IF(LARGE(C713:C714,1)-10&gt;C715,"Não","Sim"),"NPA")</f>
        <v>NPA</v>
      </c>
      <c r="D716" s="1339" t="str">
        <f>IFERROR(IF(LARGE(D713:D714,1)-10&gt;D715,"Não","Sim"),"NPA")</f>
        <v>NPA</v>
      </c>
    </row>
    <row r="717" spans="1:7" ht="15.75" thickBot="1" x14ac:dyDescent="0.3"/>
    <row r="718" spans="1:7" ht="14.45" customHeight="1" thickBot="1" x14ac:dyDescent="0.3">
      <c r="A718" s="2420" t="s">
        <v>1554</v>
      </c>
      <c r="B718" s="2421"/>
      <c r="C718" s="2421"/>
      <c r="D718" s="2421"/>
      <c r="E718" s="2422"/>
    </row>
    <row r="719" spans="1:7" ht="14.45" customHeight="1" x14ac:dyDescent="0.25">
      <c r="A719" s="2938" t="s">
        <v>1917</v>
      </c>
      <c r="B719" s="2939"/>
      <c r="C719" s="2940"/>
      <c r="D719" s="1273"/>
    </row>
    <row r="720" spans="1:7" x14ac:dyDescent="0.25">
      <c r="A720" s="2938" t="s">
        <v>1556</v>
      </c>
      <c r="B720" s="2939"/>
      <c r="C720" s="2940"/>
      <c r="D720" s="1273">
        <f>D719/1000</f>
        <v>0</v>
      </c>
      <c r="E720" s="1342">
        <f>D720</f>
        <v>0</v>
      </c>
      <c r="F720" s="1264"/>
    </row>
    <row r="721" spans="1:7" ht="17.25" customHeight="1" x14ac:dyDescent="0.25">
      <c r="A721" s="2946" t="s">
        <v>810</v>
      </c>
      <c r="B721" s="2946"/>
      <c r="C721" s="2946"/>
      <c r="D721" s="1345" t="s">
        <v>1525</v>
      </c>
      <c r="E721" s="1343" t="s">
        <v>1526</v>
      </c>
    </row>
    <row r="722" spans="1:7" x14ac:dyDescent="0.25">
      <c r="A722" s="2935" t="s">
        <v>1555</v>
      </c>
      <c r="B722" s="2935"/>
      <c r="C722" s="2935"/>
      <c r="D722" s="402"/>
      <c r="E722" s="402"/>
    </row>
    <row r="723" spans="1:7" ht="14.45" customHeight="1" x14ac:dyDescent="0.25">
      <c r="A723" s="2941" t="str">
        <f>"Tolerância ("&amp;$B$1&amp;") ≤"</f>
        <v>Tolerância (IN 96) ≤</v>
      </c>
      <c r="B723" s="2941"/>
      <c r="C723" s="2941"/>
      <c r="D723" s="1287">
        <f>IF(D720&gt;4,1,2)</f>
        <v>2</v>
      </c>
      <c r="E723" s="1287">
        <f>IF(E720&gt;=5,1.5,IF(E720&gt;=3.5,3,4))</f>
        <v>4</v>
      </c>
    </row>
    <row r="724" spans="1:7" x14ac:dyDescent="0.25">
      <c r="A724" s="2949" t="str">
        <f>$B$1</f>
        <v>IN 96</v>
      </c>
      <c r="B724" s="2949"/>
      <c r="C724" s="2949"/>
      <c r="D724" s="1268" t="str">
        <f>IF(D722&lt;=D723,"Sim","Não")</f>
        <v>Sim</v>
      </c>
      <c r="E724" s="1268" t="str">
        <f>IF(E722&lt;=E723,"Sim","Não")</f>
        <v>Sim</v>
      </c>
      <c r="F724" s="1265"/>
    </row>
    <row r="725" spans="1:7" ht="15.75" thickBot="1" x14ac:dyDescent="0.3">
      <c r="A725" s="1245"/>
      <c r="B725" s="1263"/>
      <c r="C725" s="1247"/>
      <c r="D725" s="1247"/>
      <c r="E725" s="1265"/>
      <c r="F725" s="1265"/>
    </row>
    <row r="726" spans="1:7" ht="15.75" thickBot="1" x14ac:dyDescent="0.3">
      <c r="A726" s="2420" t="s">
        <v>1557</v>
      </c>
      <c r="B726" s="2421"/>
      <c r="C726" s="2421"/>
      <c r="D726" s="2421"/>
      <c r="E726" s="2421"/>
      <c r="F726" s="2422"/>
    </row>
    <row r="727" spans="1:7" x14ac:dyDescent="0.25">
      <c r="A727" s="1345" t="s">
        <v>1527</v>
      </c>
      <c r="B727" s="1343">
        <v>1</v>
      </c>
      <c r="C727" s="1343">
        <v>2</v>
      </c>
      <c r="D727" s="1343">
        <v>3</v>
      </c>
      <c r="E727" s="1343">
        <v>4</v>
      </c>
      <c r="F727" s="1343">
        <v>5</v>
      </c>
    </row>
    <row r="728" spans="1:7" x14ac:dyDescent="0.25">
      <c r="A728" s="1344" t="s">
        <v>1511</v>
      </c>
      <c r="B728" s="402"/>
      <c r="C728" s="402"/>
      <c r="D728" s="402"/>
      <c r="E728" s="402"/>
      <c r="F728" s="402"/>
    </row>
    <row r="729" spans="1:7" x14ac:dyDescent="0.25">
      <c r="A729" s="1344" t="s">
        <v>1559</v>
      </c>
      <c r="B729" s="402"/>
      <c r="C729" s="402"/>
      <c r="D729" s="402"/>
      <c r="E729" s="402"/>
      <c r="F729" s="402"/>
    </row>
    <row r="730" spans="1:7" x14ac:dyDescent="0.25">
      <c r="A730" s="1344" t="s">
        <v>1512</v>
      </c>
      <c r="B730" s="402"/>
      <c r="C730" s="402"/>
      <c r="D730" s="402"/>
      <c r="E730" s="402"/>
      <c r="F730" s="402"/>
    </row>
    <row r="731" spans="1:7" ht="30" x14ac:dyDescent="0.25">
      <c r="A731" s="1344" t="s">
        <v>1558</v>
      </c>
      <c r="B731" s="402"/>
      <c r="C731" s="402"/>
      <c r="D731" s="402"/>
      <c r="E731" s="402"/>
      <c r="F731" s="402"/>
    </row>
    <row r="732" spans="1:7" x14ac:dyDescent="0.25">
      <c r="A732" s="1266" t="s">
        <v>660</v>
      </c>
      <c r="B732" s="1279">
        <v>0.1</v>
      </c>
      <c r="C732" s="1279">
        <v>0.1</v>
      </c>
      <c r="D732" s="1279">
        <v>0.1</v>
      </c>
      <c r="E732" s="1279">
        <v>0.1</v>
      </c>
      <c r="F732" s="1279">
        <v>0.1</v>
      </c>
      <c r="G732" s="343" t="str">
        <f>"Segundo especificações do fabricante do equipamento e simulador ("&amp;$B$1&amp;")"</f>
        <v>Segundo especificações do fabricante do equipamento e simulador (IN 96)</v>
      </c>
    </row>
    <row r="733" spans="1:7" ht="14.45" customHeight="1" x14ac:dyDescent="0.25">
      <c r="A733" s="1371" t="str">
        <f>$B$1</f>
        <v>IN 96</v>
      </c>
      <c r="B733" s="1339" t="str">
        <f>IFERROR(IF(OR(ABS(B728-B730)/B728&gt;B732,ABS(B729-B731)/B729&gt;B732),"Não","Sim"),"NA")</f>
        <v>NA</v>
      </c>
      <c r="C733" s="1339" t="str">
        <f>IFERROR(IF(OR(ABS(C728-C730)/C728&gt;C732,ABS(C729-C731)/C729&gt;C732),"Não","Sim"),"NA")</f>
        <v>NA</v>
      </c>
      <c r="D733" s="1339" t="str">
        <f>IFERROR(IF(OR(ABS(D728-D730)/D728&gt;D732,ABS(D729-D731)/D729&gt;D732),"Não","Sim"),"NA")</f>
        <v>NA</v>
      </c>
      <c r="E733" s="1339" t="str">
        <f>IFERROR(IF(OR(ABS(E728-E730)/E728&gt;E732,ABS(E729-E731)/E729&gt;E732),"Não","Sim"),"NA")</f>
        <v>NA</v>
      </c>
      <c r="F733" s="1339" t="str">
        <f>IFERROR(IF(OR(ABS(F728-F730)/F728&gt;F732,ABS(F729-F731)/F729&gt;F732),"Não","Sim"),"NA")</f>
        <v>NA</v>
      </c>
    </row>
    <row r="734" spans="1:7" ht="15.75" thickBot="1" x14ac:dyDescent="0.3">
      <c r="A734" s="1263"/>
      <c r="B734" s="1263"/>
      <c r="C734" s="1265"/>
      <c r="D734" s="1265"/>
      <c r="E734" s="1265"/>
      <c r="F734" s="1265"/>
    </row>
    <row r="735" spans="1:7" ht="15.75" thickBot="1" x14ac:dyDescent="0.3">
      <c r="A735" s="2420" t="s">
        <v>1560</v>
      </c>
      <c r="B735" s="2421"/>
      <c r="C735" s="2421"/>
      <c r="D735" s="2421"/>
      <c r="E735" s="2422"/>
    </row>
    <row r="736" spans="1:7" x14ac:dyDescent="0.25">
      <c r="A736" s="1269" t="s">
        <v>1528</v>
      </c>
      <c r="B736" s="1236" t="s">
        <v>1529</v>
      </c>
      <c r="C736" s="1236" t="s">
        <v>1530</v>
      </c>
      <c r="D736" s="1236" t="s">
        <v>1531</v>
      </c>
      <c r="E736" s="1236" t="s">
        <v>1532</v>
      </c>
    </row>
    <row r="737" spans="1:12" x14ac:dyDescent="0.25">
      <c r="A737" s="1336" t="s">
        <v>1562</v>
      </c>
      <c r="B737" s="1399" t="s">
        <v>142</v>
      </c>
      <c r="C737" s="1399" t="s">
        <v>142</v>
      </c>
      <c r="D737" s="1399" t="s">
        <v>142</v>
      </c>
      <c r="E737" s="1399" t="s">
        <v>142</v>
      </c>
    </row>
    <row r="738" spans="1:12" x14ac:dyDescent="0.25">
      <c r="A738" s="1336" t="s">
        <v>1561</v>
      </c>
      <c r="B738" s="1399"/>
      <c r="C738" s="1399"/>
      <c r="D738" s="1399"/>
      <c r="E738" s="1399"/>
    </row>
    <row r="739" spans="1:12" x14ac:dyDescent="0.25">
      <c r="A739" s="1236" t="s">
        <v>1563</v>
      </c>
      <c r="B739" s="1278">
        <v>0.1</v>
      </c>
      <c r="C739" s="1278">
        <f>B739</f>
        <v>0.1</v>
      </c>
      <c r="D739" s="1278">
        <f>C739</f>
        <v>0.1</v>
      </c>
      <c r="E739" s="1278">
        <f>D739</f>
        <v>0.1</v>
      </c>
      <c r="F739" s="343" t="str">
        <f>"Segundo especificações do fabricante do equipamento e simulador ("&amp;$B$1&amp;")"</f>
        <v>Segundo especificações do fabricante do equipamento e simulador (IN 96)</v>
      </c>
    </row>
    <row r="740" spans="1:12" x14ac:dyDescent="0.25">
      <c r="A740" s="1371" t="str">
        <f>$B$1</f>
        <v>IN 96</v>
      </c>
      <c r="B740" s="1267" t="str">
        <f>IF(B738="s","Sim",IF(B738="n",IF(B737="s","Não","Sim"),"Sim"))</f>
        <v>Sim</v>
      </c>
      <c r="C740" s="1267" t="str">
        <f>IF(C738="s","Sim",IF(C738="n",IF(C737="s","Não","Sim"),"Sim"))</f>
        <v>Sim</v>
      </c>
      <c r="D740" s="1267" t="str">
        <f>IF(D738="s","Sim",IF(D738="n",IF(D737="s","Não","Sim"),"Sim"))</f>
        <v>Sim</v>
      </c>
      <c r="E740" s="1267" t="str">
        <f>IF(E738="s","Sim",IF(E738="n",IF(E737="s","Não","Sim"),"Sim"))</f>
        <v>Sim</v>
      </c>
    </row>
    <row r="742" spans="1:12" ht="15.75" thickBot="1" x14ac:dyDescent="0.3"/>
    <row r="743" spans="1:12" ht="15.6" customHeight="1" thickBot="1" x14ac:dyDescent="0.3">
      <c r="A743" s="2952" t="s">
        <v>1533</v>
      </c>
      <c r="B743" s="2953"/>
      <c r="C743" s="2953"/>
      <c r="D743" s="2953"/>
      <c r="E743" s="2953"/>
      <c r="F743" s="2953"/>
      <c r="G743" s="1246"/>
      <c r="H743" s="1246"/>
      <c r="I743" s="1246"/>
      <c r="J743" s="1246"/>
      <c r="K743" s="1246"/>
      <c r="L743" s="1299"/>
    </row>
    <row r="744" spans="1:12" ht="15.75" thickBot="1" x14ac:dyDescent="0.3">
      <c r="A744" s="2957" t="s">
        <v>1618</v>
      </c>
      <c r="B744" s="2958"/>
      <c r="C744" s="2958"/>
      <c r="D744" s="2958"/>
      <c r="E744" s="2958"/>
      <c r="F744" s="2958"/>
      <c r="G744" s="2959"/>
    </row>
    <row r="745" spans="1:12" x14ac:dyDescent="0.25">
      <c r="A745" s="1292" t="s">
        <v>686</v>
      </c>
      <c r="B745" s="1334" t="s">
        <v>1564</v>
      </c>
      <c r="C745" s="1334" t="s">
        <v>1565</v>
      </c>
      <c r="D745" s="1258"/>
      <c r="E745" s="1300" t="s">
        <v>660</v>
      </c>
      <c r="F745" s="1301">
        <v>0.1</v>
      </c>
      <c r="G745" s="1371" t="str">
        <f>$B$1</f>
        <v>IN 96</v>
      </c>
    </row>
    <row r="746" spans="1:12" x14ac:dyDescent="0.25">
      <c r="A746" s="1338" t="s">
        <v>1566</v>
      </c>
      <c r="B746" s="402"/>
      <c r="C746" s="1337" t="e">
        <f>VLOOKUP(B746,Doppler1430_Flow[],2)</f>
        <v>#N/A</v>
      </c>
      <c r="E746" s="1289" t="s">
        <v>1590</v>
      </c>
      <c r="F746" s="1370" t="e">
        <f>ROUNDUP(ABS(C746-C747)/C746,3)</f>
        <v>#N/A</v>
      </c>
      <c r="G746" s="1268" t="str">
        <f>IFERROR(IF(F746&gt;F745,"Não","Sim"),"NA")</f>
        <v>NA</v>
      </c>
    </row>
    <row r="747" spans="1:12" x14ac:dyDescent="0.25">
      <c r="A747" s="835" t="s">
        <v>1567</v>
      </c>
      <c r="B747" s="1338" t="s">
        <v>240</v>
      </c>
      <c r="C747" s="402"/>
      <c r="E747" s="343" t="str">
        <f>"Segundo especificações do fabricante do equipamento e simulador ("&amp;$B$1&amp;")"</f>
        <v>Segundo especificações do fabricante do equipamento e simulador (IN 96)</v>
      </c>
    </row>
    <row r="748" spans="1:12" ht="15.75" thickBot="1" x14ac:dyDescent="0.3"/>
    <row r="749" spans="1:12" ht="14.45" customHeight="1" x14ac:dyDescent="0.25">
      <c r="A749" s="2960" t="s">
        <v>1591</v>
      </c>
      <c r="B749" s="2961"/>
      <c r="C749" s="2961"/>
      <c r="D749" s="2961"/>
      <c r="E749" s="2961"/>
      <c r="F749" s="2961"/>
      <c r="G749" s="2961"/>
      <c r="H749" s="2961"/>
      <c r="I749" s="2961"/>
      <c r="J749" s="2961"/>
      <c r="K749" s="2961"/>
      <c r="L749" s="2962"/>
    </row>
    <row r="750" spans="1:12" x14ac:dyDescent="0.25">
      <c r="A750" s="1827" t="s">
        <v>810</v>
      </c>
      <c r="B750" s="2941" t="s">
        <v>1919</v>
      </c>
      <c r="C750" s="2941"/>
      <c r="D750" s="2942"/>
      <c r="E750" s="2941" t="s">
        <v>1920</v>
      </c>
      <c r="F750" s="2941"/>
      <c r="G750" s="2941"/>
      <c r="H750" s="2947" t="s">
        <v>1921</v>
      </c>
      <c r="I750" s="2948"/>
      <c r="J750" s="2948"/>
    </row>
    <row r="751" spans="1:12" s="1248" customFormat="1" ht="30" x14ac:dyDescent="0.25">
      <c r="A751" s="1831" t="s">
        <v>1564</v>
      </c>
      <c r="B751" s="1833" t="s">
        <v>902</v>
      </c>
      <c r="C751" s="1832" t="s">
        <v>1569</v>
      </c>
      <c r="D751" s="1295" t="str">
        <f>G745</f>
        <v>IN 96</v>
      </c>
      <c r="E751" s="1833" t="s">
        <v>902</v>
      </c>
      <c r="F751" s="1832" t="s">
        <v>1569</v>
      </c>
      <c r="G751" s="1098" t="str">
        <f>G745</f>
        <v>IN 96</v>
      </c>
      <c r="H751" s="1298" t="s">
        <v>902</v>
      </c>
      <c r="I751" s="1832" t="s">
        <v>1569</v>
      </c>
      <c r="J751" s="1098" t="str">
        <f>G745</f>
        <v>IN 96</v>
      </c>
    </row>
    <row r="752" spans="1:12" ht="30" hidden="1" x14ac:dyDescent="0.25">
      <c r="A752" s="1832" t="s">
        <v>1592</v>
      </c>
      <c r="B752" s="1831"/>
      <c r="C752" s="1831"/>
      <c r="D752" s="1830" t="str">
        <f>IFERROR(IF(ABS(C752/B752-1)&gt;0.1,"DIFERENTE","-"),"-")</f>
        <v>-</v>
      </c>
      <c r="E752" s="1831"/>
      <c r="F752" s="1831"/>
      <c r="G752" s="1829" t="str">
        <f>IFERROR(IF(ABS(F752/E752-1)&gt;0.1,"DIFERENTE","-"),"-")</f>
        <v>-</v>
      </c>
      <c r="H752" s="1280"/>
      <c r="I752" s="1831"/>
      <c r="J752" s="1829" t="str">
        <f>IFERROR(IF(ABS(I752/H752-1)&gt;0.1,"DIFERENTE","-"),"-")</f>
        <v>-</v>
      </c>
    </row>
    <row r="753" spans="1:14" ht="30" x14ac:dyDescent="0.25">
      <c r="A753" s="1832" t="s">
        <v>1926</v>
      </c>
      <c r="B753" s="1831" t="s">
        <v>1923</v>
      </c>
      <c r="C753" s="1831"/>
      <c r="D753" s="1267" t="str">
        <f>IFERROR(IF(ABS(C753/B753-1)&lt;D754,"Sim","Não"),"NPA")</f>
        <v>NPA</v>
      </c>
      <c r="E753" s="1831" t="s">
        <v>1923</v>
      </c>
      <c r="F753" s="1831"/>
      <c r="G753" s="1267" t="str">
        <f>IFERROR(IF(ABS(F753/E753-1)&lt;G754,"Sim","Não"),"NPA")</f>
        <v>NPA</v>
      </c>
      <c r="H753" s="1831" t="s">
        <v>1923</v>
      </c>
      <c r="I753" s="1831"/>
      <c r="J753" s="1267" t="str">
        <f>IFERROR(IF(ABS(I753/H753-1)&lt;J754,"Sim","Não"),"NPA")</f>
        <v>NPA</v>
      </c>
      <c r="L753" s="1244"/>
      <c r="M753" s="1250"/>
      <c r="N753" s="1244"/>
    </row>
    <row r="754" spans="1:14" x14ac:dyDescent="0.25">
      <c r="A754" s="1828" t="s">
        <v>1631</v>
      </c>
      <c r="B754" s="1832" t="s">
        <v>240</v>
      </c>
      <c r="C754" s="1832" t="s">
        <v>240</v>
      </c>
      <c r="D754" s="1297">
        <v>0.1</v>
      </c>
      <c r="E754" s="1832" t="s">
        <v>240</v>
      </c>
      <c r="F754" s="1832" t="s">
        <v>240</v>
      </c>
      <c r="G754" s="1294">
        <f>D754</f>
        <v>0.1</v>
      </c>
      <c r="H754" s="1270" t="s">
        <v>240</v>
      </c>
      <c r="I754" s="1832" t="s">
        <v>240</v>
      </c>
      <c r="J754" s="1294">
        <f>D754</f>
        <v>0.1</v>
      </c>
      <c r="K754" s="343" t="str">
        <f>"*Segundo especificações do fabricante do equipamento e simulador ("&amp;$B$1&amp;")"</f>
        <v>*Segundo especificações do fabricante do equipamento e simulador (IN 96)</v>
      </c>
    </row>
    <row r="755" spans="1:14" x14ac:dyDescent="0.25">
      <c r="A755" s="1293"/>
      <c r="B755" s="1293"/>
      <c r="C755" s="1293"/>
      <c r="E755" s="1271"/>
      <c r="F755" s="1262"/>
    </row>
    <row r="756" spans="1:14" x14ac:dyDescent="0.25">
      <c r="A756" s="1293"/>
      <c r="B756" s="1293"/>
      <c r="C756" s="1293"/>
      <c r="E756" s="1271"/>
      <c r="F756" s="1262"/>
    </row>
    <row r="757" spans="1:14" x14ac:dyDescent="0.25">
      <c r="A757" s="1293"/>
      <c r="B757" s="1293"/>
      <c r="C757" s="1293"/>
      <c r="E757" s="1271"/>
      <c r="F757" s="1262"/>
    </row>
    <row r="758" spans="1:14" ht="15.75" thickBot="1" x14ac:dyDescent="0.3">
      <c r="A758" s="1293"/>
      <c r="B758" s="1293"/>
      <c r="C758" s="1293"/>
      <c r="E758" s="1271"/>
      <c r="F758" s="1262"/>
    </row>
    <row r="759" spans="1:14" ht="15.75" thickBot="1" x14ac:dyDescent="0.3">
      <c r="A759" s="1314" t="s">
        <v>1600</v>
      </c>
      <c r="B759" s="1315">
        <f>B668+1</f>
        <v>9</v>
      </c>
      <c r="C759" s="1316"/>
      <c r="D759" s="1316"/>
      <c r="E759" s="1316"/>
      <c r="F759" s="1317"/>
    </row>
    <row r="760" spans="1:14" x14ac:dyDescent="0.25">
      <c r="A760" s="1250" t="s">
        <v>336</v>
      </c>
      <c r="B760" s="1250" t="s">
        <v>119</v>
      </c>
      <c r="C760" s="1250" t="s">
        <v>120</v>
      </c>
      <c r="D760" s="1250" t="s">
        <v>1536</v>
      </c>
      <c r="E760" s="2950" t="s">
        <v>1621</v>
      </c>
      <c r="F760" s="2950"/>
    </row>
    <row r="761" spans="1:14" x14ac:dyDescent="0.25">
      <c r="A761" s="834">
        <f>B759</f>
        <v>9</v>
      </c>
      <c r="B761" s="834" t="s">
        <v>1632</v>
      </c>
      <c r="C761" s="834" t="s">
        <v>1633</v>
      </c>
      <c r="D761" s="834" t="s">
        <v>1633</v>
      </c>
      <c r="E761" s="2951" t="s">
        <v>1634</v>
      </c>
      <c r="F761" s="2951"/>
    </row>
    <row r="762" spans="1:14" ht="15.75" thickBot="1" x14ac:dyDescent="0.3">
      <c r="D762" s="1250"/>
    </row>
    <row r="763" spans="1:14" ht="17.25" customHeight="1" thickBot="1" x14ac:dyDescent="0.3">
      <c r="A763" s="2952" t="s">
        <v>1501</v>
      </c>
      <c r="B763" s="2953"/>
      <c r="C763" s="2953"/>
      <c r="D763" s="2953"/>
      <c r="E763" s="2953"/>
      <c r="F763" s="2954"/>
    </row>
    <row r="764" spans="1:14" ht="15.75" thickBot="1" x14ac:dyDescent="0.3">
      <c r="D764" s="1250"/>
    </row>
    <row r="765" spans="1:14" ht="15.75" customHeight="1" thickBot="1" x14ac:dyDescent="0.3">
      <c r="A765" s="2420" t="s">
        <v>1538</v>
      </c>
      <c r="B765" s="2421"/>
      <c r="C765" s="2421"/>
      <c r="D765" s="2421"/>
      <c r="E765" s="2421"/>
      <c r="F765" s="2422"/>
    </row>
    <row r="766" spans="1:14" ht="15.6" customHeight="1" x14ac:dyDescent="0.25">
      <c r="A766" s="1251" t="s">
        <v>1539</v>
      </c>
      <c r="B766" s="1252"/>
      <c r="C766" s="1252"/>
      <c r="D766" s="834"/>
      <c r="E766" s="1338" t="str">
        <f>IF(D766="s","Sim",IF(D766="n","Não","NPA"))</f>
        <v>NPA</v>
      </c>
      <c r="F766" s="1252"/>
    </row>
    <row r="767" spans="1:14" s="1253" customFormat="1" x14ac:dyDescent="0.25">
      <c r="A767" s="1253" t="s">
        <v>1622</v>
      </c>
      <c r="D767" s="834"/>
    </row>
    <row r="768" spans="1:14" x14ac:dyDescent="0.25">
      <c r="A768" s="1244" t="s">
        <v>1540</v>
      </c>
      <c r="B768" s="1254"/>
      <c r="C768" s="1255"/>
      <c r="D768" s="834"/>
      <c r="E768" s="1255"/>
      <c r="F768" s="1256"/>
    </row>
    <row r="769" spans="1:6" ht="15" hidden="1" customHeight="1" x14ac:dyDescent="0.25">
      <c r="B769" s="1257"/>
      <c r="C769" s="1258"/>
      <c r="D769" s="1258"/>
      <c r="E769" s="1258"/>
      <c r="F769" s="1259"/>
    </row>
    <row r="770" spans="1:6" ht="17.25" hidden="1" customHeight="1" x14ac:dyDescent="0.25">
      <c r="A770" s="1338" t="s">
        <v>1502</v>
      </c>
      <c r="B770" s="1335" t="s">
        <v>902</v>
      </c>
      <c r="C770" s="1335">
        <v>1</v>
      </c>
      <c r="D770" s="1335">
        <v>2</v>
      </c>
      <c r="E770" s="1345" t="str">
        <f>"Tolerância ("&amp;$B$1&amp;")"</f>
        <v>Tolerância (IN 96)</v>
      </c>
    </row>
    <row r="771" spans="1:6" ht="32.25" hidden="1" customHeight="1" x14ac:dyDescent="0.25">
      <c r="A771" s="1335" t="s">
        <v>1503</v>
      </c>
      <c r="B771" s="402"/>
      <c r="C771" s="402"/>
      <c r="D771" s="402"/>
      <c r="E771" s="1335" t="s">
        <v>1504</v>
      </c>
    </row>
    <row r="772" spans="1:6" hidden="1" x14ac:dyDescent="0.25">
      <c r="A772" s="1267" t="str">
        <f>$B$1</f>
        <v>IN 96</v>
      </c>
      <c r="B772" s="1268" t="str">
        <f>IF(AND(C772=0,D772=0),E766,IF(OR(C772&lt;4,D772&lt;4),"Sim","Não"))</f>
        <v>NPA</v>
      </c>
      <c r="C772" s="1287">
        <f>ABS(C771-B771)</f>
        <v>0</v>
      </c>
      <c r="D772" s="1287">
        <f>ABS(D771-B771)</f>
        <v>0</v>
      </c>
    </row>
    <row r="773" spans="1:6" ht="15.75" thickBot="1" x14ac:dyDescent="0.3">
      <c r="A773" s="333"/>
      <c r="B773" s="1254"/>
      <c r="C773" s="1255"/>
      <c r="D773" s="1255"/>
      <c r="E773" s="1255"/>
      <c r="F773" s="1256"/>
    </row>
    <row r="774" spans="1:6" s="1245" customFormat="1" ht="15.75" thickBot="1" x14ac:dyDescent="0.3">
      <c r="A774" s="2420" t="s">
        <v>1924</v>
      </c>
      <c r="B774" s="2421"/>
      <c r="C774" s="2421"/>
      <c r="D774" s="2421"/>
      <c r="E774" s="2422"/>
    </row>
    <row r="775" spans="1:6" ht="30" x14ac:dyDescent="0.25">
      <c r="A775" s="1272" t="s">
        <v>1542</v>
      </c>
      <c r="B775" s="835"/>
      <c r="C775" s="1273"/>
      <c r="D775" s="835"/>
      <c r="E775" s="2955" t="str">
        <f>E770</f>
        <v>Tolerância (IN 96)</v>
      </c>
    </row>
    <row r="776" spans="1:6" x14ac:dyDescent="0.25">
      <c r="A776" s="1829" t="s">
        <v>186</v>
      </c>
      <c r="B776" s="1828" t="s">
        <v>1505</v>
      </c>
      <c r="C776" s="1828" t="s">
        <v>1506</v>
      </c>
      <c r="D776" s="1828" t="s">
        <v>1507</v>
      </c>
      <c r="E776" s="2956"/>
    </row>
    <row r="777" spans="1:6" ht="14.45" customHeight="1" x14ac:dyDescent="0.25">
      <c r="A777" s="1829" t="s">
        <v>1508</v>
      </c>
      <c r="B777" s="835"/>
      <c r="C777" s="1831"/>
      <c r="D777" s="835"/>
      <c r="E777" s="2941" t="s">
        <v>1625</v>
      </c>
    </row>
    <row r="778" spans="1:6" x14ac:dyDescent="0.25">
      <c r="A778" s="1828" t="s">
        <v>1509</v>
      </c>
      <c r="B778" s="835"/>
      <c r="C778" s="1831"/>
      <c r="D778" s="835"/>
      <c r="E778" s="2941"/>
    </row>
    <row r="779" spans="1:6" x14ac:dyDescent="0.25">
      <c r="A779" s="1828" t="s">
        <v>1510</v>
      </c>
      <c r="B779" s="835"/>
      <c r="C779" s="1831"/>
      <c r="D779" s="835"/>
      <c r="E779" s="2941"/>
    </row>
    <row r="780" spans="1:6" x14ac:dyDescent="0.25">
      <c r="A780" s="1828" t="s">
        <v>1511</v>
      </c>
      <c r="B780" s="835"/>
      <c r="C780" s="1831"/>
      <c r="D780" s="835"/>
      <c r="E780" s="2941"/>
    </row>
    <row r="781" spans="1:6" ht="30" x14ac:dyDescent="0.25">
      <c r="A781" s="1828" t="s">
        <v>1541</v>
      </c>
      <c r="B781" s="835"/>
      <c r="C781" s="835" t="str">
        <f>IF(MAX(B789,D789,F789)=0,"",MAX(B789,D789,F789))</f>
        <v/>
      </c>
      <c r="D781" s="835"/>
      <c r="E781" s="2941"/>
    </row>
    <row r="782" spans="1:6" x14ac:dyDescent="0.25">
      <c r="A782" s="1266" t="s">
        <v>546</v>
      </c>
      <c r="B782" s="835">
        <f>ABS(B781-B775)</f>
        <v>0</v>
      </c>
      <c r="C782" s="835" t="e">
        <f>ABS(C781-C775)</f>
        <v>#VALUE!</v>
      </c>
      <c r="D782" s="835">
        <f>ABS(D781-D775)</f>
        <v>0</v>
      </c>
      <c r="E782" s="2941"/>
    </row>
    <row r="783" spans="1:6" x14ac:dyDescent="0.25">
      <c r="A783" s="1267" t="str">
        <f>$B$1</f>
        <v>IN 96</v>
      </c>
      <c r="B783" s="1274" t="str">
        <f>IF(B781="","NA",IF(B782&lt;0.6,"Sim","Não"))</f>
        <v>NA</v>
      </c>
      <c r="C783" s="1274" t="str">
        <f>IF(C781="","NA",IF(C782&lt;0.6,"Sim","Não"))</f>
        <v>NA</v>
      </c>
      <c r="D783" s="1274" t="str">
        <f>IF(D781="","NA",IF(D782&lt;0.6,"Sim","Não"))</f>
        <v>NA</v>
      </c>
      <c r="E783" s="2941"/>
    </row>
    <row r="784" spans="1:6" ht="15.75" thickBot="1" x14ac:dyDescent="0.3">
      <c r="A784" s="333"/>
      <c r="B784" s="1254"/>
      <c r="C784" s="1255"/>
      <c r="D784" s="1255"/>
      <c r="E784" s="1255"/>
      <c r="F784" s="1256"/>
    </row>
    <row r="785" spans="1:9" ht="15.75" thickBot="1" x14ac:dyDescent="0.3">
      <c r="A785" s="2420" t="s">
        <v>1543</v>
      </c>
      <c r="B785" s="2421"/>
      <c r="C785" s="2421"/>
      <c r="D785" s="2421"/>
      <c r="E785" s="2421"/>
      <c r="F785" s="2421"/>
      <c r="G785" s="2421"/>
      <c r="H785" s="2422"/>
    </row>
    <row r="786" spans="1:9" x14ac:dyDescent="0.25">
      <c r="A786" s="1282" t="s">
        <v>1513</v>
      </c>
      <c r="B786" s="1283" t="s">
        <v>372</v>
      </c>
      <c r="C786" s="1284" t="s">
        <v>902</v>
      </c>
      <c r="D786" s="1283" t="s">
        <v>1514</v>
      </c>
      <c r="E786" s="1284" t="s">
        <v>902</v>
      </c>
      <c r="F786" s="1283" t="s">
        <v>1515</v>
      </c>
      <c r="G786" s="1284" t="s">
        <v>902</v>
      </c>
      <c r="H786" s="1277" t="s">
        <v>660</v>
      </c>
    </row>
    <row r="787" spans="1:9" ht="14.45" customHeight="1" x14ac:dyDescent="0.25">
      <c r="A787" s="1335" t="s">
        <v>1516</v>
      </c>
      <c r="B787" s="1273"/>
      <c r="C787" s="1273"/>
      <c r="D787" s="402"/>
      <c r="E787" s="402"/>
      <c r="F787" s="402"/>
      <c r="G787" s="402"/>
      <c r="H787" s="2943" t="s">
        <v>1517</v>
      </c>
    </row>
    <row r="788" spans="1:9" x14ac:dyDescent="0.25">
      <c r="A788" s="1341" t="s">
        <v>1518</v>
      </c>
      <c r="B788" s="402"/>
      <c r="C788" s="1281">
        <v>20</v>
      </c>
      <c r="D788" s="402"/>
      <c r="E788" s="1281">
        <v>10</v>
      </c>
      <c r="F788" s="402"/>
      <c r="G788" s="1281">
        <v>20</v>
      </c>
      <c r="H788" s="2944"/>
    </row>
    <row r="789" spans="1:9" ht="30" x14ac:dyDescent="0.25">
      <c r="A789" s="1335" t="s">
        <v>1519</v>
      </c>
      <c r="B789" s="402"/>
      <c r="C789" s="1281">
        <f>C788*C787</f>
        <v>0</v>
      </c>
      <c r="D789" s="402"/>
      <c r="E789" s="1281">
        <f>E788*E787</f>
        <v>0</v>
      </c>
      <c r="F789" s="402"/>
      <c r="G789" s="1281">
        <f>G788*G787</f>
        <v>0</v>
      </c>
      <c r="H789" s="2944"/>
    </row>
    <row r="790" spans="1:9" x14ac:dyDescent="0.25">
      <c r="A790" s="1335" t="s">
        <v>1520</v>
      </c>
      <c r="B790" s="834"/>
      <c r="C790" s="1281" t="s">
        <v>240</v>
      </c>
      <c r="D790" s="834"/>
      <c r="E790" s="1281" t="s">
        <v>240</v>
      </c>
      <c r="F790" s="834"/>
      <c r="G790" s="1281" t="s">
        <v>240</v>
      </c>
      <c r="H790" s="2944"/>
    </row>
    <row r="791" spans="1:9" x14ac:dyDescent="0.25">
      <c r="A791" s="1335" t="s">
        <v>1521</v>
      </c>
      <c r="B791" s="834"/>
      <c r="C791" s="1281" t="s">
        <v>240</v>
      </c>
      <c r="D791" s="834"/>
      <c r="E791" s="1281" t="s">
        <v>240</v>
      </c>
      <c r="F791" s="834"/>
      <c r="G791" s="1281" t="s">
        <v>240</v>
      </c>
      <c r="H791" s="2944"/>
    </row>
    <row r="792" spans="1:9" ht="15" customHeight="1" x14ac:dyDescent="0.25">
      <c r="A792" s="1267" t="str">
        <f>$B$1</f>
        <v>IN 96</v>
      </c>
      <c r="B792" s="1285" t="str">
        <f>IF(B787&lt;C787,IFERROR(IF(OR(ABS(B788-C788)/C788&gt;C792,ABS(B789-C789)/C789&gt;C792),"Não","Sim"),0),"Sim")</f>
        <v>Sim</v>
      </c>
      <c r="C792" s="1278">
        <v>0.1</v>
      </c>
      <c r="D792" s="1285" t="str">
        <f>IF(D787&lt;E787,IFERROR(IF(OR(ABS(D788-E788)/E788&gt;E792,ABS(D789-E789)/E789&gt;E792),"Não","Sim"),0),"Sim")</f>
        <v>Sim</v>
      </c>
      <c r="E792" s="1278">
        <v>0.1</v>
      </c>
      <c r="F792" s="1285" t="str">
        <f>IF(F787&lt;G787,IFERROR(IF(OR(ABS(F788-G788)/G788&gt;G792,ABS(F789-G789)/G789&gt;G792),"Não","Sim"),0),"Sim")</f>
        <v>Sim</v>
      </c>
      <c r="G792" s="1279">
        <v>0.1</v>
      </c>
      <c r="H792" s="2945"/>
      <c r="I792" s="343" t="str">
        <f>"Segundo especificações do fabricante do equipamento e simulador ("&amp;$B$1&amp;")"</f>
        <v>Segundo especificações do fabricante do equipamento e simulador (IN 96)</v>
      </c>
    </row>
    <row r="793" spans="1:9" ht="15.75" thickBot="1" x14ac:dyDescent="0.3">
      <c r="B793" s="1254"/>
      <c r="C793" s="1255"/>
      <c r="D793" s="1255"/>
      <c r="E793" s="1255"/>
      <c r="F793" s="1256"/>
    </row>
    <row r="794" spans="1:9" ht="15.75" thickBot="1" x14ac:dyDescent="0.3">
      <c r="A794" s="2420" t="s">
        <v>1547</v>
      </c>
      <c r="B794" s="2421"/>
      <c r="C794" s="2421"/>
      <c r="D794" s="2421"/>
      <c r="E794" s="2422"/>
      <c r="G794" s="1244"/>
    </row>
    <row r="795" spans="1:9" ht="30" x14ac:dyDescent="0.25">
      <c r="A795" s="1345" t="s">
        <v>1546</v>
      </c>
      <c r="B795" s="1343" t="s">
        <v>1522</v>
      </c>
      <c r="C795" s="1343" t="s">
        <v>1544</v>
      </c>
      <c r="D795" s="1343" t="s">
        <v>1545</v>
      </c>
      <c r="E795" s="1276" t="str">
        <f>$B$1</f>
        <v>IN 96</v>
      </c>
      <c r="F795" s="1258"/>
      <c r="G795" s="1244"/>
    </row>
    <row r="796" spans="1:9" x14ac:dyDescent="0.25">
      <c r="A796" s="402"/>
      <c r="B796" s="402"/>
      <c r="C796" s="402"/>
      <c r="D796" s="835">
        <f>B796+1</f>
        <v>1</v>
      </c>
      <c r="E796" s="1268" t="str">
        <f>IF(D796&gt;IF(A796&lt;=3,7,IF(A796&lt;=7,5,3)),"Não","Sim")</f>
        <v>Sim</v>
      </c>
      <c r="F796" s="1258"/>
      <c r="G796" s="1244"/>
    </row>
    <row r="797" spans="1:9" x14ac:dyDescent="0.25">
      <c r="A797" s="1345" t="str">
        <f>"Tolerância ("&amp;$B$1&amp;")"</f>
        <v>Tolerância (IN 96)</v>
      </c>
      <c r="B797" s="2941" t="s">
        <v>1601</v>
      </c>
      <c r="C797" s="2941"/>
      <c r="D797" s="2941"/>
      <c r="E797" s="2941"/>
      <c r="F797" s="1258"/>
      <c r="G797" s="1244"/>
    </row>
    <row r="798" spans="1:9" ht="15.75" thickBot="1" x14ac:dyDescent="0.3">
      <c r="A798" s="1263"/>
      <c r="B798" s="1258"/>
      <c r="C798" s="1258"/>
      <c r="D798" s="1258"/>
      <c r="E798" s="1258"/>
      <c r="F798" s="1258"/>
      <c r="G798" s="1244"/>
    </row>
    <row r="799" spans="1:9" ht="15.75" thickBot="1" x14ac:dyDescent="0.3">
      <c r="A799" s="2420" t="s">
        <v>1548</v>
      </c>
      <c r="B799" s="2421"/>
      <c r="C799" s="2421"/>
      <c r="D799" s="2422"/>
      <c r="G799" s="1244"/>
    </row>
    <row r="800" spans="1:9" x14ac:dyDescent="0.25">
      <c r="A800" s="2946" t="s">
        <v>810</v>
      </c>
      <c r="B800" s="2946"/>
      <c r="C800" s="1340" t="s">
        <v>1523</v>
      </c>
      <c r="D800" s="1340" t="s">
        <v>1524</v>
      </c>
      <c r="E800" s="1258"/>
      <c r="F800" s="1259"/>
      <c r="G800" s="1244"/>
    </row>
    <row r="801" spans="1:7" x14ac:dyDescent="0.25">
      <c r="A801" s="2935" t="s">
        <v>1549</v>
      </c>
      <c r="B801" s="2935"/>
      <c r="C801" s="402"/>
      <c r="D801" s="402"/>
      <c r="G801" s="1244"/>
    </row>
    <row r="802" spans="1:7" x14ac:dyDescent="0.25">
      <c r="A802" s="2935" t="s">
        <v>1550</v>
      </c>
      <c r="B802" s="2935"/>
      <c r="C802" s="402"/>
      <c r="D802" s="402"/>
      <c r="G802" s="1244"/>
    </row>
    <row r="803" spans="1:7" x14ac:dyDescent="0.25">
      <c r="A803" s="2963" t="s">
        <v>1551</v>
      </c>
      <c r="B803" s="2963"/>
      <c r="C803" s="402"/>
      <c r="D803" s="402"/>
    </row>
    <row r="804" spans="1:7" x14ac:dyDescent="0.25">
      <c r="A804" s="2935" t="s">
        <v>1552</v>
      </c>
      <c r="B804" s="2935"/>
      <c r="C804" s="402"/>
      <c r="D804" s="402"/>
    </row>
    <row r="805" spans="1:7" x14ac:dyDescent="0.25">
      <c r="A805" s="2936" t="s">
        <v>1553</v>
      </c>
      <c r="B805" s="2937"/>
      <c r="C805" s="1337" t="str">
        <f>IFERROR(ROUND(C803/C802,1),"")</f>
        <v/>
      </c>
      <c r="D805" s="1337" t="str">
        <f>IFERROR(ROUND(D803/D802,1),"")</f>
        <v/>
      </c>
    </row>
    <row r="806" spans="1:7" x14ac:dyDescent="0.25">
      <c r="A806" s="2935" t="str">
        <f>"Tolerância ("&amp;$B$1&amp;")"</f>
        <v>Tolerância (IN 96)</v>
      </c>
      <c r="B806" s="2935"/>
      <c r="C806" s="1338">
        <v>1.5</v>
      </c>
      <c r="D806" s="350">
        <v>2</v>
      </c>
    </row>
    <row r="807" spans="1:7" x14ac:dyDescent="0.25">
      <c r="A807" s="2949" t="str">
        <f>$B$1</f>
        <v>IN 96</v>
      </c>
      <c r="B807" s="2949"/>
      <c r="C807" s="1339" t="str">
        <f>IFERROR(IF(LARGE(C804:C805,1)-10&gt;C806,"Não","Sim"),"NPA")</f>
        <v>NPA</v>
      </c>
      <c r="D807" s="1339" t="str">
        <f>IFERROR(IF(LARGE(D804:D805,1)-10&gt;D806,"Não","Sim"),"NPA")</f>
        <v>NPA</v>
      </c>
    </row>
    <row r="808" spans="1:7" ht="15.75" thickBot="1" x14ac:dyDescent="0.3"/>
    <row r="809" spans="1:7" ht="14.45" customHeight="1" thickBot="1" x14ac:dyDescent="0.3">
      <c r="A809" s="2420" t="s">
        <v>1554</v>
      </c>
      <c r="B809" s="2421"/>
      <c r="C809" s="2421"/>
      <c r="D809" s="2421"/>
      <c r="E809" s="2422"/>
    </row>
    <row r="810" spans="1:7" ht="14.45" customHeight="1" x14ac:dyDescent="0.25">
      <c r="A810" s="2938" t="s">
        <v>1917</v>
      </c>
      <c r="B810" s="2939"/>
      <c r="C810" s="2940"/>
      <c r="D810" s="1273"/>
    </row>
    <row r="811" spans="1:7" x14ac:dyDescent="0.25">
      <c r="A811" s="2938" t="s">
        <v>1556</v>
      </c>
      <c r="B811" s="2939"/>
      <c r="C811" s="2940"/>
      <c r="D811" s="1273">
        <f>D810/1000</f>
        <v>0</v>
      </c>
      <c r="E811" s="1342">
        <f>D811</f>
        <v>0</v>
      </c>
      <c r="F811" s="1264"/>
    </row>
    <row r="812" spans="1:7" ht="17.25" customHeight="1" x14ac:dyDescent="0.25">
      <c r="A812" s="2946" t="s">
        <v>810</v>
      </c>
      <c r="B812" s="2946"/>
      <c r="C812" s="2946"/>
      <c r="D812" s="1345" t="s">
        <v>1525</v>
      </c>
      <c r="E812" s="1343" t="s">
        <v>1526</v>
      </c>
    </row>
    <row r="813" spans="1:7" x14ac:dyDescent="0.25">
      <c r="A813" s="2935" t="s">
        <v>1555</v>
      </c>
      <c r="B813" s="2935"/>
      <c r="C813" s="2935"/>
      <c r="D813" s="402"/>
      <c r="E813" s="402"/>
    </row>
    <row r="814" spans="1:7" ht="14.45" customHeight="1" x14ac:dyDescent="0.25">
      <c r="A814" s="2941" t="str">
        <f>"Tolerância ("&amp;$B$1&amp;") ≤"</f>
        <v>Tolerância (IN 96) ≤</v>
      </c>
      <c r="B814" s="2941"/>
      <c r="C814" s="2941"/>
      <c r="D814" s="1287">
        <f>IF(D811&gt;4,1,2)</f>
        <v>2</v>
      </c>
      <c r="E814" s="1287">
        <f>IF(E811&gt;=5,1.5,IF(E811&gt;=3.5,3,4))</f>
        <v>4</v>
      </c>
    </row>
    <row r="815" spans="1:7" x14ac:dyDescent="0.25">
      <c r="A815" s="2949" t="str">
        <f>$B$1</f>
        <v>IN 96</v>
      </c>
      <c r="B815" s="2949"/>
      <c r="C815" s="2949"/>
      <c r="D815" s="1268" t="str">
        <f>IF(D813&lt;=D814,"Sim","Não")</f>
        <v>Sim</v>
      </c>
      <c r="E815" s="1268" t="str">
        <f>IF(E813&lt;=E814,"Sim","Não")</f>
        <v>Sim</v>
      </c>
      <c r="F815" s="1265"/>
    </row>
    <row r="816" spans="1:7" ht="15.75" thickBot="1" x14ac:dyDescent="0.3">
      <c r="A816" s="1245"/>
      <c r="B816" s="1263"/>
      <c r="C816" s="1247"/>
      <c r="D816" s="1247"/>
      <c r="E816" s="1265"/>
      <c r="F816" s="1265"/>
    </row>
    <row r="817" spans="1:7" ht="15.75" thickBot="1" x14ac:dyDescent="0.3">
      <c r="A817" s="2420" t="s">
        <v>1557</v>
      </c>
      <c r="B817" s="2421"/>
      <c r="C817" s="2421"/>
      <c r="D817" s="2421"/>
      <c r="E817" s="2421"/>
      <c r="F817" s="2422"/>
    </row>
    <row r="818" spans="1:7" x14ac:dyDescent="0.25">
      <c r="A818" s="1345" t="s">
        <v>1527</v>
      </c>
      <c r="B818" s="1343">
        <v>1</v>
      </c>
      <c r="C818" s="1343">
        <v>2</v>
      </c>
      <c r="D818" s="1343">
        <v>3</v>
      </c>
      <c r="E818" s="1343">
        <v>4</v>
      </c>
      <c r="F818" s="1343">
        <v>5</v>
      </c>
    </row>
    <row r="819" spans="1:7" x14ac:dyDescent="0.25">
      <c r="A819" s="1344" t="s">
        <v>1511</v>
      </c>
      <c r="B819" s="402"/>
      <c r="C819" s="402"/>
      <c r="D819" s="402"/>
      <c r="E819" s="402"/>
      <c r="F819" s="402"/>
    </row>
    <row r="820" spans="1:7" x14ac:dyDescent="0.25">
      <c r="A820" s="1344" t="s">
        <v>1559</v>
      </c>
      <c r="B820" s="402"/>
      <c r="C820" s="402"/>
      <c r="D820" s="402"/>
      <c r="E820" s="402"/>
      <c r="F820" s="402"/>
    </row>
    <row r="821" spans="1:7" x14ac:dyDescent="0.25">
      <c r="A821" s="1344" t="s">
        <v>1512</v>
      </c>
      <c r="B821" s="402"/>
      <c r="C821" s="402"/>
      <c r="D821" s="402"/>
      <c r="E821" s="402"/>
      <c r="F821" s="402"/>
    </row>
    <row r="822" spans="1:7" ht="30" x14ac:dyDescent="0.25">
      <c r="A822" s="1344" t="s">
        <v>1558</v>
      </c>
      <c r="B822" s="402"/>
      <c r="C822" s="402"/>
      <c r="D822" s="402"/>
      <c r="E822" s="402"/>
      <c r="F822" s="402"/>
    </row>
    <row r="823" spans="1:7" x14ac:dyDescent="0.25">
      <c r="A823" s="1266" t="s">
        <v>660</v>
      </c>
      <c r="B823" s="1279">
        <v>0.1</v>
      </c>
      <c r="C823" s="1279">
        <v>0.1</v>
      </c>
      <c r="D823" s="1279">
        <v>0.1</v>
      </c>
      <c r="E823" s="1279">
        <v>0.1</v>
      </c>
      <c r="F823" s="1279">
        <v>0.1</v>
      </c>
      <c r="G823" s="343" t="str">
        <f>"Segundo especificações do fabricante do equipamento e simulador ("&amp;$B$1&amp;")"</f>
        <v>Segundo especificações do fabricante do equipamento e simulador (IN 96)</v>
      </c>
    </row>
    <row r="824" spans="1:7" ht="14.45" customHeight="1" x14ac:dyDescent="0.25">
      <c r="A824" s="1371" t="str">
        <f>$B$1</f>
        <v>IN 96</v>
      </c>
      <c r="B824" s="1339" t="str">
        <f>IFERROR(IF(OR(ABS(B819-B821)/B819&gt;B823,ABS(B820-B822)/B820&gt;B823),"Não","Sim"),"NA")</f>
        <v>NA</v>
      </c>
      <c r="C824" s="1339" t="str">
        <f>IFERROR(IF(OR(ABS(C819-C821)/C819&gt;C823,ABS(C820-C822)/C820&gt;C823),"Não","Sim"),"NA")</f>
        <v>NA</v>
      </c>
      <c r="D824" s="1339" t="str">
        <f>IFERROR(IF(OR(ABS(D819-D821)/D819&gt;D823,ABS(D820-D822)/D820&gt;D823),"Não","Sim"),"NA")</f>
        <v>NA</v>
      </c>
      <c r="E824" s="1339" t="str">
        <f>IFERROR(IF(OR(ABS(E819-E821)/E819&gt;E823,ABS(E820-E822)/E820&gt;E823),"Não","Sim"),"NA")</f>
        <v>NA</v>
      </c>
      <c r="F824" s="1339" t="str">
        <f>IFERROR(IF(OR(ABS(F819-F821)/F819&gt;F823,ABS(F820-F822)/F820&gt;F823),"Não","Sim"),"NA")</f>
        <v>NA</v>
      </c>
    </row>
    <row r="825" spans="1:7" ht="15.75" thickBot="1" x14ac:dyDescent="0.3">
      <c r="A825" s="1263"/>
      <c r="B825" s="1263"/>
      <c r="C825" s="1265"/>
      <c r="D825" s="1265"/>
      <c r="E825" s="1265"/>
      <c r="F825" s="1265"/>
    </row>
    <row r="826" spans="1:7" ht="15.75" thickBot="1" x14ac:dyDescent="0.3">
      <c r="A826" s="2420" t="s">
        <v>1560</v>
      </c>
      <c r="B826" s="2421"/>
      <c r="C826" s="2421"/>
      <c r="D826" s="2421"/>
      <c r="E826" s="2422"/>
    </row>
    <row r="827" spans="1:7" x14ac:dyDescent="0.25">
      <c r="A827" s="1269" t="s">
        <v>1528</v>
      </c>
      <c r="B827" s="1236" t="s">
        <v>1529</v>
      </c>
      <c r="C827" s="1236" t="s">
        <v>1530</v>
      </c>
      <c r="D827" s="1236" t="s">
        <v>1531</v>
      </c>
      <c r="E827" s="1236" t="s">
        <v>1532</v>
      </c>
    </row>
    <row r="828" spans="1:7" x14ac:dyDescent="0.25">
      <c r="A828" s="1336" t="s">
        <v>1562</v>
      </c>
      <c r="B828" s="1399" t="s">
        <v>142</v>
      </c>
      <c r="C828" s="1399" t="s">
        <v>142</v>
      </c>
      <c r="D828" s="1399" t="s">
        <v>142</v>
      </c>
      <c r="E828" s="1399" t="s">
        <v>142</v>
      </c>
    </row>
    <row r="829" spans="1:7" x14ac:dyDescent="0.25">
      <c r="A829" s="1336" t="s">
        <v>1561</v>
      </c>
      <c r="B829" s="1399"/>
      <c r="C829" s="1399"/>
      <c r="D829" s="1399"/>
      <c r="E829" s="1399"/>
    </row>
    <row r="830" spans="1:7" x14ac:dyDescent="0.25">
      <c r="A830" s="1236" t="s">
        <v>1563</v>
      </c>
      <c r="B830" s="1278">
        <v>0.1</v>
      </c>
      <c r="C830" s="1278">
        <f>B830</f>
        <v>0.1</v>
      </c>
      <c r="D830" s="1278">
        <f>C830</f>
        <v>0.1</v>
      </c>
      <c r="E830" s="1278">
        <f>D830</f>
        <v>0.1</v>
      </c>
      <c r="F830" s="343" t="str">
        <f>"Segundo especificações do fabricante do equipamento e simulador ("&amp;$B$1&amp;")"</f>
        <v>Segundo especificações do fabricante do equipamento e simulador (IN 96)</v>
      </c>
    </row>
    <row r="831" spans="1:7" x14ac:dyDescent="0.25">
      <c r="A831" s="1371" t="str">
        <f>$B$1</f>
        <v>IN 96</v>
      </c>
      <c r="B831" s="1267" t="str">
        <f>IF(B829="s","Sim",IF(B829="n",IF(B828="s","Não","Sim"),"Sim"))</f>
        <v>Sim</v>
      </c>
      <c r="C831" s="1267" t="str">
        <f>IF(C829="s","Sim",IF(C829="n",IF(C828="s","Não","Sim"),"Sim"))</f>
        <v>Sim</v>
      </c>
      <c r="D831" s="1267" t="str">
        <f>IF(D829="s","Sim",IF(D829="n",IF(D828="s","Não","Sim"),"Sim"))</f>
        <v>Sim</v>
      </c>
      <c r="E831" s="1267" t="str">
        <f>IF(E829="s","Sim",IF(E829="n",IF(E828="s","Não","Sim"),"Sim"))</f>
        <v>Sim</v>
      </c>
    </row>
    <row r="833" spans="1:14" ht="15.75" thickBot="1" x14ac:dyDescent="0.3"/>
    <row r="834" spans="1:14" ht="15.6" customHeight="1" thickBot="1" x14ac:dyDescent="0.3">
      <c r="A834" s="2952" t="s">
        <v>1533</v>
      </c>
      <c r="B834" s="2953"/>
      <c r="C834" s="2953"/>
      <c r="D834" s="2953"/>
      <c r="E834" s="2953"/>
      <c r="F834" s="2953"/>
      <c r="G834" s="1246"/>
      <c r="H834" s="1246"/>
      <c r="I834" s="1246"/>
      <c r="J834" s="1246"/>
      <c r="K834" s="1246"/>
      <c r="L834" s="1299"/>
    </row>
    <row r="835" spans="1:14" ht="15.75" thickBot="1" x14ac:dyDescent="0.3">
      <c r="A835" s="2957" t="s">
        <v>1618</v>
      </c>
      <c r="B835" s="2958"/>
      <c r="C835" s="2958"/>
      <c r="D835" s="2958"/>
      <c r="E835" s="2958"/>
      <c r="F835" s="2958"/>
      <c r="G835" s="2959"/>
    </row>
    <row r="836" spans="1:14" x14ac:dyDescent="0.25">
      <c r="A836" s="1292" t="s">
        <v>686</v>
      </c>
      <c r="B836" s="1334" t="s">
        <v>1564</v>
      </c>
      <c r="C836" s="1334" t="s">
        <v>1565</v>
      </c>
      <c r="D836" s="1258"/>
      <c r="E836" s="1300" t="s">
        <v>660</v>
      </c>
      <c r="F836" s="1301">
        <v>0.1</v>
      </c>
      <c r="G836" s="1371" t="str">
        <f>$B$1</f>
        <v>IN 96</v>
      </c>
    </row>
    <row r="837" spans="1:14" x14ac:dyDescent="0.25">
      <c r="A837" s="1338" t="s">
        <v>1566</v>
      </c>
      <c r="B837" s="402"/>
      <c r="C837" s="1337" t="e">
        <f>VLOOKUP(B837,Doppler1430_Flow[],2)</f>
        <v>#N/A</v>
      </c>
      <c r="E837" s="1289" t="s">
        <v>1590</v>
      </c>
      <c r="F837" s="1370" t="e">
        <f>ROUNDUP(ABS(C837-C838)/C837,3)</f>
        <v>#N/A</v>
      </c>
      <c r="G837" s="1268" t="str">
        <f>IFERROR(IF(F837&gt;F836,"Não","Sim"),"NA")</f>
        <v>NA</v>
      </c>
    </row>
    <row r="838" spans="1:14" x14ac:dyDescent="0.25">
      <c r="A838" s="835" t="s">
        <v>1567</v>
      </c>
      <c r="B838" s="1338" t="s">
        <v>240</v>
      </c>
      <c r="C838" s="402"/>
      <c r="E838" s="343" t="str">
        <f>"Segundo especificações do fabricante do equipamento e simulador ("&amp;$B$1&amp;")"</f>
        <v>Segundo especificações do fabricante do equipamento e simulador (IN 96)</v>
      </c>
    </row>
    <row r="839" spans="1:14" ht="15.75" thickBot="1" x14ac:dyDescent="0.3"/>
    <row r="840" spans="1:14" ht="14.45" customHeight="1" x14ac:dyDescent="0.25">
      <c r="A840" s="2960" t="s">
        <v>1591</v>
      </c>
      <c r="B840" s="2961"/>
      <c r="C840" s="2961"/>
      <c r="D840" s="2961"/>
      <c r="E840" s="2961"/>
      <c r="F840" s="2961"/>
      <c r="G840" s="2961"/>
      <c r="H840" s="2961"/>
      <c r="I840" s="2961"/>
      <c r="J840" s="2961"/>
      <c r="K840" s="2961"/>
      <c r="L840" s="2962"/>
    </row>
    <row r="841" spans="1:14" x14ac:dyDescent="0.25">
      <c r="A841" s="1827" t="s">
        <v>810</v>
      </c>
      <c r="B841" s="2941" t="s">
        <v>1919</v>
      </c>
      <c r="C841" s="2941"/>
      <c r="D841" s="2942"/>
      <c r="E841" s="2941" t="s">
        <v>1920</v>
      </c>
      <c r="F841" s="2941"/>
      <c r="G841" s="2941"/>
      <c r="H841" s="2947" t="s">
        <v>1921</v>
      </c>
      <c r="I841" s="2948"/>
      <c r="J841" s="2948"/>
    </row>
    <row r="842" spans="1:14" s="1248" customFormat="1" ht="30" x14ac:dyDescent="0.25">
      <c r="A842" s="1831" t="s">
        <v>1564</v>
      </c>
      <c r="B842" s="1833" t="s">
        <v>902</v>
      </c>
      <c r="C842" s="1832" t="s">
        <v>1569</v>
      </c>
      <c r="D842" s="1295" t="str">
        <f>G836</f>
        <v>IN 96</v>
      </c>
      <c r="E842" s="1833" t="s">
        <v>902</v>
      </c>
      <c r="F842" s="1832" t="s">
        <v>1569</v>
      </c>
      <c r="G842" s="1098" t="str">
        <f>G836</f>
        <v>IN 96</v>
      </c>
      <c r="H842" s="1298" t="s">
        <v>902</v>
      </c>
      <c r="I842" s="1832" t="s">
        <v>1569</v>
      </c>
      <c r="J842" s="1098" t="str">
        <f>G836</f>
        <v>IN 96</v>
      </c>
    </row>
    <row r="843" spans="1:14" ht="30" hidden="1" x14ac:dyDescent="0.25">
      <c r="A843" s="1832" t="s">
        <v>1592</v>
      </c>
      <c r="B843" s="1831"/>
      <c r="C843" s="1831"/>
      <c r="D843" s="1830" t="str">
        <f>IFERROR(IF(ABS(C843/B843-1)&gt;0.1,"DIFERENTE","-"),"-")</f>
        <v>-</v>
      </c>
      <c r="E843" s="1831"/>
      <c r="F843" s="1831"/>
      <c r="G843" s="1829" t="str">
        <f>IFERROR(IF(ABS(F843/E843-1)&gt;0.1,"DIFERENTE","-"),"-")</f>
        <v>-</v>
      </c>
      <c r="H843" s="1280"/>
      <c r="I843" s="1831"/>
      <c r="J843" s="1829" t="str">
        <f>IFERROR(IF(ABS(I843/H843-1)&gt;0.1,"DIFERENTE","-"),"-")</f>
        <v>-</v>
      </c>
    </row>
    <row r="844" spans="1:14" ht="30" x14ac:dyDescent="0.25">
      <c r="A844" s="1832" t="s">
        <v>1926</v>
      </c>
      <c r="B844" s="1831" t="s">
        <v>1923</v>
      </c>
      <c r="C844" s="1831"/>
      <c r="D844" s="1267" t="str">
        <f>IFERROR(IF(ABS(C844/B844-1)&lt;D845,"Sim","Não"),"NPA")</f>
        <v>NPA</v>
      </c>
      <c r="E844" s="1831" t="s">
        <v>1923</v>
      </c>
      <c r="F844" s="1831"/>
      <c r="G844" s="1267" t="str">
        <f>IFERROR(IF(ABS(F844/E844-1)&lt;G845,"Sim","Não"),"NPA")</f>
        <v>NPA</v>
      </c>
      <c r="H844" s="1831" t="s">
        <v>1923</v>
      </c>
      <c r="I844" s="1831"/>
      <c r="J844" s="1267" t="str">
        <f>IFERROR(IF(ABS(I844/H844-1)&lt;J845,"Sim","Não"),"NPA")</f>
        <v>NPA</v>
      </c>
      <c r="L844" s="1244"/>
      <c r="M844" s="1250"/>
      <c r="N844" s="1244"/>
    </row>
    <row r="845" spans="1:14" x14ac:dyDescent="0.25">
      <c r="A845" s="1828" t="s">
        <v>1631</v>
      </c>
      <c r="B845" s="1832" t="s">
        <v>240</v>
      </c>
      <c r="C845" s="1832" t="s">
        <v>240</v>
      </c>
      <c r="D845" s="1297">
        <v>0.1</v>
      </c>
      <c r="E845" s="1832" t="s">
        <v>240</v>
      </c>
      <c r="F845" s="1832" t="s">
        <v>240</v>
      </c>
      <c r="G845" s="1294">
        <f>D845</f>
        <v>0.1</v>
      </c>
      <c r="H845" s="1270" t="s">
        <v>240</v>
      </c>
      <c r="I845" s="1832" t="s">
        <v>240</v>
      </c>
      <c r="J845" s="1294">
        <f>D845</f>
        <v>0.1</v>
      </c>
      <c r="K845" s="343" t="str">
        <f>"*Segundo especificações do fabricante do equipamento e simulador ("&amp;$B$1&amp;")"</f>
        <v>*Segundo especificações do fabricante do equipamento e simulador (IN 96)</v>
      </c>
    </row>
    <row r="846" spans="1:14" x14ac:dyDescent="0.25">
      <c r="A846" s="1293"/>
      <c r="B846" s="1293"/>
      <c r="C846" s="1293"/>
      <c r="E846" s="1271"/>
      <c r="F846" s="1262"/>
    </row>
    <row r="847" spans="1:14" x14ac:dyDescent="0.25">
      <c r="A847" s="1293"/>
      <c r="B847" s="1293"/>
      <c r="C847" s="1293"/>
      <c r="E847" s="1271"/>
      <c r="F847" s="1262"/>
    </row>
    <row r="848" spans="1:14" x14ac:dyDescent="0.25">
      <c r="A848" s="1293"/>
      <c r="B848" s="1293"/>
      <c r="C848" s="1293"/>
      <c r="E848" s="1271"/>
      <c r="F848" s="1262"/>
    </row>
    <row r="849" spans="1:6" ht="15.75" thickBot="1" x14ac:dyDescent="0.3">
      <c r="A849" s="1293"/>
      <c r="B849" s="1293"/>
      <c r="C849" s="1293"/>
      <c r="E849" s="1271"/>
      <c r="F849" s="1262"/>
    </row>
    <row r="850" spans="1:6" ht="15.75" thickBot="1" x14ac:dyDescent="0.3">
      <c r="A850" s="1314" t="s">
        <v>1600</v>
      </c>
      <c r="B850" s="1315">
        <f>B759+1</f>
        <v>10</v>
      </c>
      <c r="C850" s="1316"/>
      <c r="D850" s="1316"/>
      <c r="E850" s="1316"/>
      <c r="F850" s="1317"/>
    </row>
    <row r="851" spans="1:6" x14ac:dyDescent="0.25">
      <c r="A851" s="1250" t="s">
        <v>336</v>
      </c>
      <c r="B851" s="1250" t="s">
        <v>119</v>
      </c>
      <c r="C851" s="1250" t="s">
        <v>120</v>
      </c>
      <c r="D851" s="1250" t="s">
        <v>1536</v>
      </c>
      <c r="E851" s="2950" t="s">
        <v>1621</v>
      </c>
      <c r="F851" s="2950"/>
    </row>
    <row r="852" spans="1:6" x14ac:dyDescent="0.25">
      <c r="A852" s="834">
        <f>B850</f>
        <v>10</v>
      </c>
      <c r="B852" s="834" t="s">
        <v>1632</v>
      </c>
      <c r="C852" s="834" t="s">
        <v>1633</v>
      </c>
      <c r="D852" s="834" t="s">
        <v>1633</v>
      </c>
      <c r="E852" s="2951" t="s">
        <v>1634</v>
      </c>
      <c r="F852" s="2951"/>
    </row>
    <row r="853" spans="1:6" ht="15.75" thickBot="1" x14ac:dyDescent="0.3">
      <c r="D853" s="1250"/>
    </row>
    <row r="854" spans="1:6" ht="17.25" customHeight="1" thickBot="1" x14ac:dyDescent="0.3">
      <c r="A854" s="2952" t="s">
        <v>1501</v>
      </c>
      <c r="B854" s="2953"/>
      <c r="C854" s="2953"/>
      <c r="D854" s="2953"/>
      <c r="E854" s="2953"/>
      <c r="F854" s="2954"/>
    </row>
    <row r="855" spans="1:6" ht="15.75" thickBot="1" x14ac:dyDescent="0.3">
      <c r="D855" s="1250"/>
    </row>
    <row r="856" spans="1:6" ht="15.75" customHeight="1" thickBot="1" x14ac:dyDescent="0.3">
      <c r="A856" s="2420" t="s">
        <v>1538</v>
      </c>
      <c r="B856" s="2421"/>
      <c r="C856" s="2421"/>
      <c r="D856" s="2421"/>
      <c r="E856" s="2421"/>
      <c r="F856" s="2422"/>
    </row>
    <row r="857" spans="1:6" ht="15.6" customHeight="1" x14ac:dyDescent="0.25">
      <c r="A857" s="1251" t="s">
        <v>1539</v>
      </c>
      <c r="B857" s="1252"/>
      <c r="C857" s="1252"/>
      <c r="D857" s="834"/>
      <c r="E857" s="1338" t="str">
        <f>IF(D857="s","Sim",IF(D857="n","Não","NPA"))</f>
        <v>NPA</v>
      </c>
      <c r="F857" s="1252"/>
    </row>
    <row r="858" spans="1:6" s="1253" customFormat="1" x14ac:dyDescent="0.25">
      <c r="A858" s="1253" t="s">
        <v>1622</v>
      </c>
      <c r="D858" s="834"/>
    </row>
    <row r="859" spans="1:6" x14ac:dyDescent="0.25">
      <c r="A859" s="1244" t="s">
        <v>1540</v>
      </c>
      <c r="B859" s="1254"/>
      <c r="C859" s="1255"/>
      <c r="D859" s="834"/>
      <c r="E859" s="1255"/>
      <c r="F859" s="1256"/>
    </row>
    <row r="860" spans="1:6" ht="15" hidden="1" customHeight="1" x14ac:dyDescent="0.25">
      <c r="B860" s="1257"/>
      <c r="C860" s="1258"/>
      <c r="D860" s="1258"/>
      <c r="E860" s="1258"/>
      <c r="F860" s="1259"/>
    </row>
    <row r="861" spans="1:6" ht="17.25" hidden="1" customHeight="1" x14ac:dyDescent="0.25">
      <c r="A861" s="1338" t="s">
        <v>1502</v>
      </c>
      <c r="B861" s="1335" t="s">
        <v>902</v>
      </c>
      <c r="C861" s="1335">
        <v>1</v>
      </c>
      <c r="D861" s="1335">
        <v>2</v>
      </c>
      <c r="E861" s="1345" t="str">
        <f>"Tolerância ("&amp;$B$1&amp;")"</f>
        <v>Tolerância (IN 96)</v>
      </c>
    </row>
    <row r="862" spans="1:6" ht="32.25" hidden="1" customHeight="1" x14ac:dyDescent="0.25">
      <c r="A862" s="1335" t="s">
        <v>1503</v>
      </c>
      <c r="B862" s="402"/>
      <c r="C862" s="402"/>
      <c r="D862" s="402"/>
      <c r="E862" s="1335" t="s">
        <v>1504</v>
      </c>
    </row>
    <row r="863" spans="1:6" hidden="1" x14ac:dyDescent="0.25">
      <c r="A863" s="1267" t="str">
        <f>$B$1</f>
        <v>IN 96</v>
      </c>
      <c r="B863" s="1268" t="str">
        <f>IF(AND(C863=0,D863=0),E857,IF(OR(C863&lt;4,D863&lt;4),"Sim","Não"))</f>
        <v>NPA</v>
      </c>
      <c r="C863" s="1287">
        <f>ABS(C862-B862)</f>
        <v>0</v>
      </c>
      <c r="D863" s="1287">
        <f>ABS(D862-B862)</f>
        <v>0</v>
      </c>
    </row>
    <row r="864" spans="1:6" ht="15.75" thickBot="1" x14ac:dyDescent="0.3">
      <c r="A864" s="333"/>
      <c r="B864" s="1254"/>
      <c r="C864" s="1255"/>
      <c r="D864" s="1255"/>
      <c r="E864" s="1255"/>
      <c r="F864" s="1256"/>
    </row>
    <row r="865" spans="1:8" s="1245" customFormat="1" ht="15.75" thickBot="1" x14ac:dyDescent="0.3">
      <c r="A865" s="2420" t="s">
        <v>1924</v>
      </c>
      <c r="B865" s="2421"/>
      <c r="C865" s="2421"/>
      <c r="D865" s="2421"/>
      <c r="E865" s="2422"/>
    </row>
    <row r="866" spans="1:8" ht="30" x14ac:dyDescent="0.25">
      <c r="A866" s="1272" t="s">
        <v>1542</v>
      </c>
      <c r="B866" s="835"/>
      <c r="C866" s="1273"/>
      <c r="D866" s="835"/>
      <c r="E866" s="2955" t="str">
        <f>E861</f>
        <v>Tolerância (IN 96)</v>
      </c>
    </row>
    <row r="867" spans="1:8" x14ac:dyDescent="0.25">
      <c r="A867" s="1829" t="s">
        <v>186</v>
      </c>
      <c r="B867" s="1828" t="s">
        <v>1505</v>
      </c>
      <c r="C867" s="1828" t="s">
        <v>1506</v>
      </c>
      <c r="D867" s="1828" t="s">
        <v>1507</v>
      </c>
      <c r="E867" s="2956"/>
    </row>
    <row r="868" spans="1:8" ht="14.45" customHeight="1" x14ac:dyDescent="0.25">
      <c r="A868" s="1829" t="s">
        <v>1508</v>
      </c>
      <c r="B868" s="835"/>
      <c r="C868" s="1831"/>
      <c r="D868" s="835"/>
      <c r="E868" s="2941" t="s">
        <v>1625</v>
      </c>
    </row>
    <row r="869" spans="1:8" x14ac:dyDescent="0.25">
      <c r="A869" s="1828" t="s">
        <v>1509</v>
      </c>
      <c r="B869" s="835"/>
      <c r="C869" s="1831"/>
      <c r="D869" s="835"/>
      <c r="E869" s="2941"/>
    </row>
    <row r="870" spans="1:8" x14ac:dyDescent="0.25">
      <c r="A870" s="1828" t="s">
        <v>1510</v>
      </c>
      <c r="B870" s="835"/>
      <c r="C870" s="1831"/>
      <c r="D870" s="835"/>
      <c r="E870" s="2941"/>
    </row>
    <row r="871" spans="1:8" x14ac:dyDescent="0.25">
      <c r="A871" s="1828" t="s">
        <v>1511</v>
      </c>
      <c r="B871" s="835"/>
      <c r="C871" s="1831"/>
      <c r="D871" s="835"/>
      <c r="E871" s="2941"/>
    </row>
    <row r="872" spans="1:8" ht="30" x14ac:dyDescent="0.25">
      <c r="A872" s="1828" t="s">
        <v>1541</v>
      </c>
      <c r="B872" s="835"/>
      <c r="C872" s="835" t="str">
        <f>IF(MAX(B880,D880,F880)=0,"",MAX(B880,D880,F880))</f>
        <v/>
      </c>
      <c r="D872" s="835"/>
      <c r="E872" s="2941"/>
    </row>
    <row r="873" spans="1:8" x14ac:dyDescent="0.25">
      <c r="A873" s="1266" t="s">
        <v>546</v>
      </c>
      <c r="B873" s="835">
        <f>ABS(B872-B866)</f>
        <v>0</v>
      </c>
      <c r="C873" s="835" t="e">
        <f>ABS(C872-C866)</f>
        <v>#VALUE!</v>
      </c>
      <c r="D873" s="835">
        <f>ABS(D872-D866)</f>
        <v>0</v>
      </c>
      <c r="E873" s="2941"/>
    </row>
    <row r="874" spans="1:8" x14ac:dyDescent="0.25">
      <c r="A874" s="1267" t="str">
        <f>$B$1</f>
        <v>IN 96</v>
      </c>
      <c r="B874" s="1274" t="str">
        <f>IF(B872="","NA",IF(B873&lt;0.6,"Sim","Não"))</f>
        <v>NA</v>
      </c>
      <c r="C874" s="1274" t="str">
        <f>IF(C872="","NA",IF(C873&lt;0.6,"Sim","Não"))</f>
        <v>NA</v>
      </c>
      <c r="D874" s="1274" t="str">
        <f>IF(D872="","NA",IF(D873&lt;0.6,"Sim","Não"))</f>
        <v>NA</v>
      </c>
      <c r="E874" s="2941"/>
    </row>
    <row r="875" spans="1:8" ht="15.75" thickBot="1" x14ac:dyDescent="0.3">
      <c r="A875" s="333"/>
      <c r="B875" s="1254"/>
      <c r="C875" s="1255"/>
      <c r="D875" s="1255"/>
      <c r="E875" s="1255"/>
      <c r="F875" s="1256"/>
    </row>
    <row r="876" spans="1:8" ht="15.75" thickBot="1" x14ac:dyDescent="0.3">
      <c r="A876" s="2420" t="s">
        <v>1543</v>
      </c>
      <c r="B876" s="2421"/>
      <c r="C876" s="2421"/>
      <c r="D876" s="2421"/>
      <c r="E876" s="2421"/>
      <c r="F876" s="2421"/>
      <c r="G876" s="2421"/>
      <c r="H876" s="2422"/>
    </row>
    <row r="877" spans="1:8" x14ac:dyDescent="0.25">
      <c r="A877" s="1282" t="s">
        <v>1513</v>
      </c>
      <c r="B877" s="1283" t="s">
        <v>372</v>
      </c>
      <c r="C877" s="1284" t="s">
        <v>902</v>
      </c>
      <c r="D877" s="1283" t="s">
        <v>1514</v>
      </c>
      <c r="E877" s="1284" t="s">
        <v>902</v>
      </c>
      <c r="F877" s="1283" t="s">
        <v>1515</v>
      </c>
      <c r="G877" s="1284" t="s">
        <v>902</v>
      </c>
      <c r="H877" s="1277" t="s">
        <v>660</v>
      </c>
    </row>
    <row r="878" spans="1:8" ht="14.45" customHeight="1" x14ac:dyDescent="0.25">
      <c r="A878" s="1335" t="s">
        <v>1516</v>
      </c>
      <c r="B878" s="1273"/>
      <c r="C878" s="1273"/>
      <c r="D878" s="402"/>
      <c r="E878" s="402"/>
      <c r="F878" s="402"/>
      <c r="G878" s="402"/>
      <c r="H878" s="2943" t="s">
        <v>1517</v>
      </c>
    </row>
    <row r="879" spans="1:8" x14ac:dyDescent="0.25">
      <c r="A879" s="1341" t="s">
        <v>1518</v>
      </c>
      <c r="B879" s="402"/>
      <c r="C879" s="1281">
        <v>20</v>
      </c>
      <c r="D879" s="402"/>
      <c r="E879" s="1281">
        <v>10</v>
      </c>
      <c r="F879" s="402"/>
      <c r="G879" s="1281">
        <v>20</v>
      </c>
      <c r="H879" s="2944"/>
    </row>
    <row r="880" spans="1:8" ht="30" x14ac:dyDescent="0.25">
      <c r="A880" s="1335" t="s">
        <v>1519</v>
      </c>
      <c r="B880" s="402"/>
      <c r="C880" s="1281">
        <f>C879*C878</f>
        <v>0</v>
      </c>
      <c r="D880" s="402"/>
      <c r="E880" s="1281">
        <f>E879*E878</f>
        <v>0</v>
      </c>
      <c r="F880" s="402"/>
      <c r="G880" s="1281">
        <f>G879*G878</f>
        <v>0</v>
      </c>
      <c r="H880" s="2944"/>
    </row>
    <row r="881" spans="1:9" x14ac:dyDescent="0.25">
      <c r="A881" s="1335" t="s">
        <v>1520</v>
      </c>
      <c r="B881" s="834"/>
      <c r="C881" s="1281" t="s">
        <v>240</v>
      </c>
      <c r="D881" s="834"/>
      <c r="E881" s="1281" t="s">
        <v>240</v>
      </c>
      <c r="F881" s="834"/>
      <c r="G881" s="1281" t="s">
        <v>240</v>
      </c>
      <c r="H881" s="2944"/>
    </row>
    <row r="882" spans="1:9" x14ac:dyDescent="0.25">
      <c r="A882" s="1335" t="s">
        <v>1521</v>
      </c>
      <c r="B882" s="834"/>
      <c r="C882" s="1281" t="s">
        <v>240</v>
      </c>
      <c r="D882" s="834"/>
      <c r="E882" s="1281" t="s">
        <v>240</v>
      </c>
      <c r="F882" s="834"/>
      <c r="G882" s="1281" t="s">
        <v>240</v>
      </c>
      <c r="H882" s="2944"/>
    </row>
    <row r="883" spans="1:9" ht="15" customHeight="1" x14ac:dyDescent="0.25">
      <c r="A883" s="1267" t="str">
        <f>$B$1</f>
        <v>IN 96</v>
      </c>
      <c r="B883" s="1285" t="str">
        <f>IF(B878&lt;C878,IFERROR(IF(OR(ABS(B879-C879)/C879&gt;C883,ABS(B880-C880)/C880&gt;C883),"Não","Sim"),0),"Sim")</f>
        <v>Sim</v>
      </c>
      <c r="C883" s="1278">
        <v>0.1</v>
      </c>
      <c r="D883" s="1285" t="str">
        <f>IF(D878&lt;E878,IFERROR(IF(OR(ABS(D879-E879)/E879&gt;E883,ABS(D880-E880)/E880&gt;E883),"Não","Sim"),0),"Sim")</f>
        <v>Sim</v>
      </c>
      <c r="E883" s="1278">
        <v>0.1</v>
      </c>
      <c r="F883" s="1285" t="str">
        <f>IF(F878&lt;G878,IFERROR(IF(OR(ABS(F879-G879)/G879&gt;G883,ABS(F880-G880)/G880&gt;G883),"Não","Sim"),0),"Sim")</f>
        <v>Sim</v>
      </c>
      <c r="G883" s="1279">
        <v>0.1</v>
      </c>
      <c r="H883" s="2945"/>
      <c r="I883" s="343" t="str">
        <f>"Segundo especificações do fabricante do equipamento e simulador ("&amp;$B$1&amp;")"</f>
        <v>Segundo especificações do fabricante do equipamento e simulador (IN 96)</v>
      </c>
    </row>
    <row r="884" spans="1:9" ht="15.75" thickBot="1" x14ac:dyDescent="0.3">
      <c r="B884" s="1254"/>
      <c r="C884" s="1255"/>
      <c r="D884" s="1255"/>
      <c r="E884" s="1255"/>
      <c r="F884" s="1256"/>
    </row>
    <row r="885" spans="1:9" ht="15.75" thickBot="1" x14ac:dyDescent="0.3">
      <c r="A885" s="2420" t="s">
        <v>1547</v>
      </c>
      <c r="B885" s="2421"/>
      <c r="C885" s="2421"/>
      <c r="D885" s="2421"/>
      <c r="E885" s="2422"/>
      <c r="G885" s="1244"/>
    </row>
    <row r="886" spans="1:9" ht="30" x14ac:dyDescent="0.25">
      <c r="A886" s="1345" t="s">
        <v>1546</v>
      </c>
      <c r="B886" s="1343" t="s">
        <v>1522</v>
      </c>
      <c r="C886" s="1343" t="s">
        <v>1544</v>
      </c>
      <c r="D886" s="1343" t="s">
        <v>1545</v>
      </c>
      <c r="E886" s="1276" t="str">
        <f>$B$1</f>
        <v>IN 96</v>
      </c>
      <c r="F886" s="1258"/>
      <c r="G886" s="1244"/>
    </row>
    <row r="887" spans="1:9" x14ac:dyDescent="0.25">
      <c r="A887" s="402"/>
      <c r="B887" s="402"/>
      <c r="C887" s="402"/>
      <c r="D887" s="835">
        <f>B887+1</f>
        <v>1</v>
      </c>
      <c r="E887" s="1268" t="str">
        <f>IF(D887&gt;IF(A887&lt;=3,7,IF(A887&lt;=7,5,3)),"Não","Sim")</f>
        <v>Sim</v>
      </c>
      <c r="F887" s="1258"/>
      <c r="G887" s="1244"/>
    </row>
    <row r="888" spans="1:9" x14ac:dyDescent="0.25">
      <c r="A888" s="1345" t="str">
        <f>"Tolerância ("&amp;$B$1&amp;")"</f>
        <v>Tolerância (IN 96)</v>
      </c>
      <c r="B888" s="2941" t="s">
        <v>1601</v>
      </c>
      <c r="C888" s="2941"/>
      <c r="D888" s="2941"/>
      <c r="E888" s="2941"/>
      <c r="F888" s="1258"/>
      <c r="G888" s="1244"/>
    </row>
    <row r="889" spans="1:9" ht="15.75" thickBot="1" x14ac:dyDescent="0.3">
      <c r="A889" s="1263"/>
      <c r="B889" s="1258"/>
      <c r="C889" s="1258"/>
      <c r="D889" s="1258"/>
      <c r="E889" s="1258"/>
      <c r="F889" s="1258"/>
      <c r="G889" s="1244"/>
    </row>
    <row r="890" spans="1:9" ht="15.75" thickBot="1" x14ac:dyDescent="0.3">
      <c r="A890" s="2420" t="s">
        <v>1548</v>
      </c>
      <c r="B890" s="2421"/>
      <c r="C890" s="2421"/>
      <c r="D890" s="2422"/>
      <c r="G890" s="1244"/>
    </row>
    <row r="891" spans="1:9" x14ac:dyDescent="0.25">
      <c r="A891" s="2946" t="s">
        <v>810</v>
      </c>
      <c r="B891" s="2946"/>
      <c r="C891" s="1340" t="s">
        <v>1523</v>
      </c>
      <c r="D891" s="1340" t="s">
        <v>1524</v>
      </c>
      <c r="E891" s="1258"/>
      <c r="F891" s="1259"/>
      <c r="G891" s="1244"/>
    </row>
    <row r="892" spans="1:9" x14ac:dyDescent="0.25">
      <c r="A892" s="2935" t="s">
        <v>1549</v>
      </c>
      <c r="B892" s="2935"/>
      <c r="C892" s="402"/>
      <c r="D892" s="402"/>
      <c r="G892" s="1244"/>
    </row>
    <row r="893" spans="1:9" x14ac:dyDescent="0.25">
      <c r="A893" s="2935" t="s">
        <v>1550</v>
      </c>
      <c r="B893" s="2935"/>
      <c r="C893" s="402"/>
      <c r="D893" s="402"/>
      <c r="G893" s="1244"/>
    </row>
    <row r="894" spans="1:9" x14ac:dyDescent="0.25">
      <c r="A894" s="2963" t="s">
        <v>1551</v>
      </c>
      <c r="B894" s="2963"/>
      <c r="C894" s="402"/>
      <c r="D894" s="402"/>
    </row>
    <row r="895" spans="1:9" x14ac:dyDescent="0.25">
      <c r="A895" s="2935" t="s">
        <v>1552</v>
      </c>
      <c r="B895" s="2935"/>
      <c r="C895" s="402"/>
      <c r="D895" s="402"/>
    </row>
    <row r="896" spans="1:9" x14ac:dyDescent="0.25">
      <c r="A896" s="2936" t="s">
        <v>1553</v>
      </c>
      <c r="B896" s="2937"/>
      <c r="C896" s="1337" t="str">
        <f>IFERROR(ROUND(C894/C893,1),"")</f>
        <v/>
      </c>
      <c r="D896" s="1337" t="str">
        <f>IFERROR(ROUND(D894/D893,1),"")</f>
        <v/>
      </c>
    </row>
    <row r="897" spans="1:6" x14ac:dyDescent="0.25">
      <c r="A897" s="2935" t="str">
        <f>"Tolerância ("&amp;$B$1&amp;")"</f>
        <v>Tolerância (IN 96)</v>
      </c>
      <c r="B897" s="2935"/>
      <c r="C897" s="1338">
        <v>1.5</v>
      </c>
      <c r="D897" s="350">
        <v>2</v>
      </c>
    </row>
    <row r="898" spans="1:6" x14ac:dyDescent="0.25">
      <c r="A898" s="2949" t="str">
        <f>$B$1</f>
        <v>IN 96</v>
      </c>
      <c r="B898" s="2949"/>
      <c r="C898" s="1339" t="str">
        <f>IFERROR(IF(LARGE(C895:C896,1)-10&gt;C897,"Não","Sim"),"NPA")</f>
        <v>NPA</v>
      </c>
      <c r="D898" s="1339" t="str">
        <f>IFERROR(IF(LARGE(D895:D896,1)-10&gt;D897,"Não","Sim"),"NPA")</f>
        <v>NPA</v>
      </c>
    </row>
    <row r="899" spans="1:6" ht="15.75" thickBot="1" x14ac:dyDescent="0.3"/>
    <row r="900" spans="1:6" ht="14.45" customHeight="1" thickBot="1" x14ac:dyDescent="0.3">
      <c r="A900" s="2420" t="s">
        <v>1554</v>
      </c>
      <c r="B900" s="2421"/>
      <c r="C900" s="2421"/>
      <c r="D900" s="2421"/>
      <c r="E900" s="2422"/>
    </row>
    <row r="901" spans="1:6" ht="14.45" customHeight="1" x14ac:dyDescent="0.25">
      <c r="A901" s="2938" t="s">
        <v>1917</v>
      </c>
      <c r="B901" s="2939"/>
      <c r="C901" s="2940"/>
      <c r="D901" s="1273"/>
    </row>
    <row r="902" spans="1:6" x14ac:dyDescent="0.25">
      <c r="A902" s="2938" t="s">
        <v>1556</v>
      </c>
      <c r="B902" s="2939"/>
      <c r="C902" s="2940"/>
      <c r="D902" s="1273">
        <f>D901/1000</f>
        <v>0</v>
      </c>
      <c r="E902" s="1342">
        <f>D902</f>
        <v>0</v>
      </c>
      <c r="F902" s="1264"/>
    </row>
    <row r="903" spans="1:6" ht="17.25" customHeight="1" x14ac:dyDescent="0.25">
      <c r="A903" s="2946" t="s">
        <v>810</v>
      </c>
      <c r="B903" s="2946"/>
      <c r="C903" s="2946"/>
      <c r="D903" s="1345" t="s">
        <v>1525</v>
      </c>
      <c r="E903" s="1343" t="s">
        <v>1526</v>
      </c>
    </row>
    <row r="904" spans="1:6" x14ac:dyDescent="0.25">
      <c r="A904" s="2935" t="s">
        <v>1555</v>
      </c>
      <c r="B904" s="2935"/>
      <c r="C904" s="2935"/>
      <c r="D904" s="402"/>
      <c r="E904" s="402"/>
    </row>
    <row r="905" spans="1:6" ht="14.45" customHeight="1" x14ac:dyDescent="0.25">
      <c r="A905" s="2941" t="str">
        <f>"Tolerância ("&amp;$B$1&amp;") ≤"</f>
        <v>Tolerância (IN 96) ≤</v>
      </c>
      <c r="B905" s="2941"/>
      <c r="C905" s="2941"/>
      <c r="D905" s="1287">
        <f>IF(D902&gt;4,1,2)</f>
        <v>2</v>
      </c>
      <c r="E905" s="1287">
        <f>IF(E902&gt;=5,1.5,IF(E902&gt;=3.5,3,4))</f>
        <v>4</v>
      </c>
    </row>
    <row r="906" spans="1:6" x14ac:dyDescent="0.25">
      <c r="A906" s="2949" t="str">
        <f>$B$1</f>
        <v>IN 96</v>
      </c>
      <c r="B906" s="2949"/>
      <c r="C906" s="2949"/>
      <c r="D906" s="1268" t="str">
        <f>IF(D904&lt;=D905,"Sim","Não")</f>
        <v>Sim</v>
      </c>
      <c r="E906" s="1268" t="str">
        <f>IF(E904&lt;=E905,"Sim","Não")</f>
        <v>Sim</v>
      </c>
      <c r="F906" s="1265"/>
    </row>
    <row r="907" spans="1:6" ht="15.75" thickBot="1" x14ac:dyDescent="0.3">
      <c r="A907" s="1245"/>
      <c r="B907" s="1263"/>
      <c r="C907" s="1247"/>
      <c r="D907" s="1247"/>
      <c r="E907" s="1265"/>
      <c r="F907" s="1265"/>
    </row>
    <row r="908" spans="1:6" ht="15.75" thickBot="1" x14ac:dyDescent="0.3">
      <c r="A908" s="2420" t="s">
        <v>1557</v>
      </c>
      <c r="B908" s="2421"/>
      <c r="C908" s="2421"/>
      <c r="D908" s="2421"/>
      <c r="E908" s="2421"/>
      <c r="F908" s="2422"/>
    </row>
    <row r="909" spans="1:6" x14ac:dyDescent="0.25">
      <c r="A909" s="1345" t="s">
        <v>1527</v>
      </c>
      <c r="B909" s="1343">
        <v>1</v>
      </c>
      <c r="C909" s="1343">
        <v>2</v>
      </c>
      <c r="D909" s="1343">
        <v>3</v>
      </c>
      <c r="E909" s="1343">
        <v>4</v>
      </c>
      <c r="F909" s="1343">
        <v>5</v>
      </c>
    </row>
    <row r="910" spans="1:6" x14ac:dyDescent="0.25">
      <c r="A910" s="1344" t="s">
        <v>1511</v>
      </c>
      <c r="B910" s="402"/>
      <c r="C910" s="402"/>
      <c r="D910" s="402"/>
      <c r="E910" s="402"/>
      <c r="F910" s="402"/>
    </row>
    <row r="911" spans="1:6" x14ac:dyDescent="0.25">
      <c r="A911" s="1344" t="s">
        <v>1559</v>
      </c>
      <c r="B911" s="402"/>
      <c r="C911" s="402"/>
      <c r="D911" s="402"/>
      <c r="E911" s="402"/>
      <c r="F911" s="402"/>
    </row>
    <row r="912" spans="1:6" x14ac:dyDescent="0.25">
      <c r="A912" s="1344" t="s">
        <v>1512</v>
      </c>
      <c r="B912" s="402"/>
      <c r="C912" s="402"/>
      <c r="D912" s="402"/>
      <c r="E912" s="402"/>
      <c r="F912" s="402"/>
    </row>
    <row r="913" spans="1:12" ht="30" x14ac:dyDescent="0.25">
      <c r="A913" s="1344" t="s">
        <v>1558</v>
      </c>
      <c r="B913" s="402"/>
      <c r="C913" s="402"/>
      <c r="D913" s="402"/>
      <c r="E913" s="402"/>
      <c r="F913" s="402"/>
    </row>
    <row r="914" spans="1:12" x14ac:dyDescent="0.25">
      <c r="A914" s="1266" t="s">
        <v>660</v>
      </c>
      <c r="B914" s="1279">
        <v>0.1</v>
      </c>
      <c r="C914" s="1279">
        <v>0.1</v>
      </c>
      <c r="D914" s="1279">
        <v>0.1</v>
      </c>
      <c r="E914" s="1279">
        <v>0.1</v>
      </c>
      <c r="F914" s="1279">
        <v>0.1</v>
      </c>
      <c r="G914" s="343" t="str">
        <f>"Segundo especificações do fabricante do equipamento e simulador ("&amp;$B$1&amp;")"</f>
        <v>Segundo especificações do fabricante do equipamento e simulador (IN 96)</v>
      </c>
    </row>
    <row r="915" spans="1:12" ht="14.45" customHeight="1" x14ac:dyDescent="0.25">
      <c r="A915" s="1371" t="str">
        <f>$B$1</f>
        <v>IN 96</v>
      </c>
      <c r="B915" s="1339" t="str">
        <f>IFERROR(IF(OR(ABS(B910-B912)/B910&gt;B914,ABS(B911-B913)/B911&gt;B914),"Não","Sim"),"NA")</f>
        <v>NA</v>
      </c>
      <c r="C915" s="1339" t="str">
        <f>IFERROR(IF(OR(ABS(C910-C912)/C910&gt;C914,ABS(C911-C913)/C911&gt;C914),"Não","Sim"),"NA")</f>
        <v>NA</v>
      </c>
      <c r="D915" s="1339" t="str">
        <f>IFERROR(IF(OR(ABS(D910-D912)/D910&gt;D914,ABS(D911-D913)/D911&gt;D914),"Não","Sim"),"NA")</f>
        <v>NA</v>
      </c>
      <c r="E915" s="1339" t="str">
        <f>IFERROR(IF(OR(ABS(E910-E912)/E910&gt;E914,ABS(E911-E913)/E911&gt;E914),"Não","Sim"),"NA")</f>
        <v>NA</v>
      </c>
      <c r="F915" s="1339" t="str">
        <f>IFERROR(IF(OR(ABS(F910-F912)/F910&gt;F914,ABS(F911-F913)/F911&gt;F914),"Não","Sim"),"NA")</f>
        <v>NA</v>
      </c>
    </row>
    <row r="916" spans="1:12" ht="15.75" thickBot="1" x14ac:dyDescent="0.3">
      <c r="A916" s="1263"/>
      <c r="B916" s="1263"/>
      <c r="C916" s="1265"/>
      <c r="D916" s="1265"/>
      <c r="E916" s="1265"/>
      <c r="F916" s="1265"/>
    </row>
    <row r="917" spans="1:12" ht="15.75" thickBot="1" x14ac:dyDescent="0.3">
      <c r="A917" s="2420" t="s">
        <v>1560</v>
      </c>
      <c r="B917" s="2421"/>
      <c r="C917" s="2421"/>
      <c r="D917" s="2421"/>
      <c r="E917" s="2422"/>
    </row>
    <row r="918" spans="1:12" x14ac:dyDescent="0.25">
      <c r="A918" s="1269" t="s">
        <v>1528</v>
      </c>
      <c r="B918" s="1236" t="s">
        <v>1529</v>
      </c>
      <c r="C918" s="1236" t="s">
        <v>1530</v>
      </c>
      <c r="D918" s="1236" t="s">
        <v>1531</v>
      </c>
      <c r="E918" s="1236" t="s">
        <v>1532</v>
      </c>
    </row>
    <row r="919" spans="1:12" x14ac:dyDescent="0.25">
      <c r="A919" s="1336" t="s">
        <v>1562</v>
      </c>
      <c r="B919" s="1399" t="s">
        <v>142</v>
      </c>
      <c r="C919" s="1399" t="s">
        <v>142</v>
      </c>
      <c r="D919" s="1399" t="s">
        <v>142</v>
      </c>
      <c r="E919" s="1399" t="s">
        <v>142</v>
      </c>
    </row>
    <row r="920" spans="1:12" x14ac:dyDescent="0.25">
      <c r="A920" s="1336" t="s">
        <v>1561</v>
      </c>
      <c r="B920" s="1399"/>
      <c r="C920" s="1399"/>
      <c r="D920" s="1399"/>
      <c r="E920" s="1399"/>
    </row>
    <row r="921" spans="1:12" x14ac:dyDescent="0.25">
      <c r="A921" s="1236" t="s">
        <v>1563</v>
      </c>
      <c r="B921" s="1278">
        <v>0.1</v>
      </c>
      <c r="C921" s="1278">
        <f>B921</f>
        <v>0.1</v>
      </c>
      <c r="D921" s="1278">
        <f>C921</f>
        <v>0.1</v>
      </c>
      <c r="E921" s="1278">
        <f>D921</f>
        <v>0.1</v>
      </c>
      <c r="F921" s="343" t="str">
        <f>"Segundo especificações do fabricante do equipamento e simulador ("&amp;$B$1&amp;")"</f>
        <v>Segundo especificações do fabricante do equipamento e simulador (IN 96)</v>
      </c>
    </row>
    <row r="922" spans="1:12" x14ac:dyDescent="0.25">
      <c r="A922" s="1371" t="str">
        <f>$B$1</f>
        <v>IN 96</v>
      </c>
      <c r="B922" s="1267" t="str">
        <f>IF(B920="s","Sim",IF(B920="n",IF(B919="s","Não","Sim"),"Sim"))</f>
        <v>Sim</v>
      </c>
      <c r="C922" s="1267" t="str">
        <f>IF(C920="s","Sim",IF(C920="n",IF(C919="s","Não","Sim"),"Sim"))</f>
        <v>Sim</v>
      </c>
      <c r="D922" s="1267" t="str">
        <f>IF(D920="s","Sim",IF(D920="n",IF(D919="s","Não","Sim"),"Sim"))</f>
        <v>Sim</v>
      </c>
      <c r="E922" s="1267" t="str">
        <f>IF(E920="s","Sim",IF(E920="n",IF(E919="s","Não","Sim"),"Sim"))</f>
        <v>Sim</v>
      </c>
    </row>
    <row r="924" spans="1:12" ht="15.75" thickBot="1" x14ac:dyDescent="0.3"/>
    <row r="925" spans="1:12" ht="15.6" customHeight="1" thickBot="1" x14ac:dyDescent="0.3">
      <c r="A925" s="2952" t="s">
        <v>1533</v>
      </c>
      <c r="B925" s="2953"/>
      <c r="C925" s="2953"/>
      <c r="D925" s="2953"/>
      <c r="E925" s="2953"/>
      <c r="F925" s="2953"/>
      <c r="G925" s="1246"/>
      <c r="H925" s="1246"/>
      <c r="I925" s="1246"/>
      <c r="J925" s="1246"/>
      <c r="K925" s="1246"/>
      <c r="L925" s="1299"/>
    </row>
    <row r="926" spans="1:12" ht="15.75" thickBot="1" x14ac:dyDescent="0.3">
      <c r="A926" s="2957" t="s">
        <v>1618</v>
      </c>
      <c r="B926" s="2958"/>
      <c r="C926" s="2958"/>
      <c r="D926" s="2958"/>
      <c r="E926" s="2958"/>
      <c r="F926" s="2958"/>
      <c r="G926" s="2959"/>
    </row>
    <row r="927" spans="1:12" x14ac:dyDescent="0.25">
      <c r="A927" s="1292" t="s">
        <v>686</v>
      </c>
      <c r="B927" s="1334" t="s">
        <v>1564</v>
      </c>
      <c r="C927" s="1334" t="s">
        <v>1565</v>
      </c>
      <c r="D927" s="1258"/>
      <c r="E927" s="1300" t="s">
        <v>660</v>
      </c>
      <c r="F927" s="1301">
        <v>0.1</v>
      </c>
      <c r="G927" s="1371" t="str">
        <f>$B$1</f>
        <v>IN 96</v>
      </c>
    </row>
    <row r="928" spans="1:12" x14ac:dyDescent="0.25">
      <c r="A928" s="1338" t="s">
        <v>1566</v>
      </c>
      <c r="B928" s="402"/>
      <c r="C928" s="1337" t="e">
        <f>VLOOKUP(B928,Doppler1430_Flow[],2)</f>
        <v>#N/A</v>
      </c>
      <c r="E928" s="1289" t="s">
        <v>1590</v>
      </c>
      <c r="F928" s="1370" t="e">
        <f>ROUNDUP(ABS(C928-C929)/C928,3)</f>
        <v>#N/A</v>
      </c>
      <c r="G928" s="1268" t="str">
        <f>IFERROR(IF(F928&gt;F927,"Não","Sim"),"NA")</f>
        <v>NA</v>
      </c>
    </row>
    <row r="929" spans="1:14" x14ac:dyDescent="0.25">
      <c r="A929" s="835" t="s">
        <v>1567</v>
      </c>
      <c r="B929" s="1338" t="s">
        <v>240</v>
      </c>
      <c r="C929" s="402"/>
      <c r="E929" s="343" t="str">
        <f>"Segundo especificações do fabricante do equipamento e simulador ("&amp;$B$1&amp;")"</f>
        <v>Segundo especificações do fabricante do equipamento e simulador (IN 96)</v>
      </c>
    </row>
    <row r="930" spans="1:14" ht="15.75" thickBot="1" x14ac:dyDescent="0.3"/>
    <row r="931" spans="1:14" ht="14.45" customHeight="1" x14ac:dyDescent="0.25">
      <c r="A931" s="2960" t="s">
        <v>1591</v>
      </c>
      <c r="B931" s="2961"/>
      <c r="C931" s="2961"/>
      <c r="D931" s="2961"/>
      <c r="E931" s="2961"/>
      <c r="F931" s="2961"/>
      <c r="G931" s="2961"/>
      <c r="H931" s="2961"/>
      <c r="I931" s="2961"/>
      <c r="J931" s="2961"/>
      <c r="K931" s="2961"/>
      <c r="L931" s="2962"/>
    </row>
    <row r="932" spans="1:14" x14ac:dyDescent="0.25">
      <c r="A932" s="1827" t="s">
        <v>810</v>
      </c>
      <c r="B932" s="2941" t="s">
        <v>1919</v>
      </c>
      <c r="C932" s="2941"/>
      <c r="D932" s="2942"/>
      <c r="E932" s="2941" t="s">
        <v>1920</v>
      </c>
      <c r="F932" s="2941"/>
      <c r="G932" s="2941"/>
      <c r="H932" s="2947" t="s">
        <v>1921</v>
      </c>
      <c r="I932" s="2948"/>
      <c r="J932" s="2948"/>
    </row>
    <row r="933" spans="1:14" s="1248" customFormat="1" ht="30" x14ac:dyDescent="0.25">
      <c r="A933" s="1831" t="s">
        <v>1564</v>
      </c>
      <c r="B933" s="1833" t="s">
        <v>902</v>
      </c>
      <c r="C933" s="1832" t="s">
        <v>1569</v>
      </c>
      <c r="D933" s="1295" t="str">
        <f>G927</f>
        <v>IN 96</v>
      </c>
      <c r="E933" s="1833" t="s">
        <v>902</v>
      </c>
      <c r="F933" s="1832" t="s">
        <v>1569</v>
      </c>
      <c r="G933" s="1098" t="str">
        <f>G927</f>
        <v>IN 96</v>
      </c>
      <c r="H933" s="1298" t="s">
        <v>902</v>
      </c>
      <c r="I933" s="1832" t="s">
        <v>1569</v>
      </c>
      <c r="J933" s="1098" t="str">
        <f>G927</f>
        <v>IN 96</v>
      </c>
    </row>
    <row r="934" spans="1:14" ht="30" hidden="1" x14ac:dyDescent="0.25">
      <c r="A934" s="1832" t="s">
        <v>1592</v>
      </c>
      <c r="B934" s="1831"/>
      <c r="C934" s="1831"/>
      <c r="D934" s="1830" t="str">
        <f>IFERROR(IF(ABS(C934/B934-1)&gt;0.1,"DIFERENTE","-"),"-")</f>
        <v>-</v>
      </c>
      <c r="E934" s="1831"/>
      <c r="F934" s="1831"/>
      <c r="G934" s="1829" t="str">
        <f>IFERROR(IF(ABS(F934/E934-1)&gt;0.1,"DIFERENTE","-"),"-")</f>
        <v>-</v>
      </c>
      <c r="H934" s="1280"/>
      <c r="I934" s="1831"/>
      <c r="J934" s="1829" t="str">
        <f>IFERROR(IF(ABS(I934/H934-1)&gt;0.1,"DIFERENTE","-"),"-")</f>
        <v>-</v>
      </c>
    </row>
    <row r="935" spans="1:14" ht="30" x14ac:dyDescent="0.25">
      <c r="A935" s="1832" t="s">
        <v>1926</v>
      </c>
      <c r="B935" s="1831" t="s">
        <v>1923</v>
      </c>
      <c r="C935" s="1831"/>
      <c r="D935" s="1267" t="str">
        <f>IFERROR(IF(ABS(C935/B935-1)&lt;D936,"Sim","Não"),"NPA")</f>
        <v>NPA</v>
      </c>
      <c r="E935" s="1831" t="s">
        <v>1923</v>
      </c>
      <c r="F935" s="1831"/>
      <c r="G935" s="1267" t="str">
        <f>IFERROR(IF(ABS(F935/E935-1)&lt;G936,"Sim","Não"),"NPA")</f>
        <v>NPA</v>
      </c>
      <c r="H935" s="1831" t="s">
        <v>1923</v>
      </c>
      <c r="I935" s="1831"/>
      <c r="J935" s="1267" t="str">
        <f>IFERROR(IF(ABS(I935/H935-1)&lt;J936,"Sim","Não"),"NPA")</f>
        <v>NPA</v>
      </c>
      <c r="L935" s="1244"/>
      <c r="M935" s="1250"/>
      <c r="N935" s="1244"/>
    </row>
    <row r="936" spans="1:14" x14ac:dyDescent="0.25">
      <c r="A936" s="1828" t="s">
        <v>1631</v>
      </c>
      <c r="B936" s="1832" t="s">
        <v>240</v>
      </c>
      <c r="C936" s="1832" t="s">
        <v>240</v>
      </c>
      <c r="D936" s="1297">
        <v>0.1</v>
      </c>
      <c r="E936" s="1832" t="s">
        <v>240</v>
      </c>
      <c r="F936" s="1832" t="s">
        <v>240</v>
      </c>
      <c r="G936" s="1294">
        <f>D936</f>
        <v>0.1</v>
      </c>
      <c r="H936" s="1270" t="s">
        <v>240</v>
      </c>
      <c r="I936" s="1832" t="s">
        <v>240</v>
      </c>
      <c r="J936" s="1294">
        <f>D936</f>
        <v>0.1</v>
      </c>
      <c r="K936" s="343" t="str">
        <f>"*Segundo especificações do fabricante do equipamento e simulador ("&amp;$B$1&amp;")"</f>
        <v>*Segundo especificações do fabricante do equipamento e simulador (IN 96)</v>
      </c>
    </row>
    <row r="937" spans="1:14" x14ac:dyDescent="0.25">
      <c r="A937" s="1293"/>
      <c r="B937" s="1293"/>
      <c r="C937" s="1293"/>
      <c r="E937" s="1271"/>
      <c r="F937" s="1262"/>
    </row>
    <row r="938" spans="1:14" x14ac:dyDescent="0.25">
      <c r="A938" s="1293"/>
      <c r="B938" s="1293"/>
      <c r="C938" s="1293"/>
      <c r="E938" s="1271"/>
      <c r="F938" s="1262"/>
    </row>
    <row r="939" spans="1:14" x14ac:dyDescent="0.25">
      <c r="A939" s="1293"/>
      <c r="B939" s="1293"/>
      <c r="C939" s="1293"/>
      <c r="E939" s="1271"/>
      <c r="F939" s="1262"/>
    </row>
    <row r="940" spans="1:14" ht="15.75" thickBot="1" x14ac:dyDescent="0.3">
      <c r="A940" s="1293"/>
      <c r="B940" s="1293"/>
      <c r="C940" s="1293"/>
      <c r="E940" s="1271"/>
      <c r="F940" s="1262"/>
    </row>
    <row r="941" spans="1:14" ht="15.75" thickBot="1" x14ac:dyDescent="0.3">
      <c r="A941" s="1314" t="s">
        <v>1600</v>
      </c>
      <c r="B941" s="1315">
        <f>B850+1</f>
        <v>11</v>
      </c>
      <c r="C941" s="1316"/>
      <c r="D941" s="1316"/>
      <c r="E941" s="1316"/>
      <c r="F941" s="1317"/>
    </row>
  </sheetData>
  <sheetProtection sheet="1" objects="1" scenarios="1" selectLockedCells="1" autoFilter="0"/>
  <mergeCells count="368">
    <mergeCell ref="A2:E2"/>
    <mergeCell ref="A22:F22"/>
    <mergeCell ref="A30:F30"/>
    <mergeCell ref="A6:D6"/>
    <mergeCell ref="A20:D20"/>
    <mergeCell ref="A83:C83"/>
    <mergeCell ref="A47:E47"/>
    <mergeCell ref="A18:D18"/>
    <mergeCell ref="E25:F25"/>
    <mergeCell ref="E26:F26"/>
    <mergeCell ref="A4:D4"/>
    <mergeCell ref="A7:D7"/>
    <mergeCell ref="A11:D11"/>
    <mergeCell ref="A12:D12"/>
    <mergeCell ref="A73:B73"/>
    <mergeCell ref="A13:D13"/>
    <mergeCell ref="A8:D8"/>
    <mergeCell ref="A9:D9"/>
    <mergeCell ref="A10:D10"/>
    <mergeCell ref="A5:D5"/>
    <mergeCell ref="A17:D17"/>
    <mergeCell ref="A14:D14"/>
    <mergeCell ref="A15:D15"/>
    <mergeCell ref="A16:D16"/>
    <mergeCell ref="A28:F28"/>
    <mergeCell ref="A74:B74"/>
    <mergeCell ref="A75:B75"/>
    <mergeCell ref="A76:B76"/>
    <mergeCell ref="A77:B77"/>
    <mergeCell ref="A107:L107"/>
    <mergeCell ref="B108:D108"/>
    <mergeCell ref="E108:G108"/>
    <mergeCell ref="H108:J108"/>
    <mergeCell ref="A101:F101"/>
    <mergeCell ref="A102:G102"/>
    <mergeCell ref="A39:E39"/>
    <mergeCell ref="A91:F91"/>
    <mergeCell ref="A85:C85"/>
    <mergeCell ref="A86:C86"/>
    <mergeCell ref="A87:C87"/>
    <mergeCell ref="A88:C88"/>
    <mergeCell ref="A79:B79"/>
    <mergeCell ref="A80:B80"/>
    <mergeCell ref="A78:B78"/>
    <mergeCell ref="A82:E82"/>
    <mergeCell ref="A84:C84"/>
    <mergeCell ref="H60:H65"/>
    <mergeCell ref="B70:E70"/>
    <mergeCell ref="A72:D72"/>
    <mergeCell ref="A67:E67"/>
    <mergeCell ref="E50:E56"/>
    <mergeCell ref="A58:H58"/>
    <mergeCell ref="E48:E49"/>
    <mergeCell ref="A248:E248"/>
    <mergeCell ref="B251:E251"/>
    <mergeCell ref="A126:F126"/>
    <mergeCell ref="A166:B166"/>
    <mergeCell ref="A165:B165"/>
    <mergeCell ref="A164:B164"/>
    <mergeCell ref="A163:B163"/>
    <mergeCell ref="E124:F124"/>
    <mergeCell ref="A168:B168"/>
    <mergeCell ref="A167:B167"/>
    <mergeCell ref="A177:C177"/>
    <mergeCell ref="A176:C176"/>
    <mergeCell ref="A175:C175"/>
    <mergeCell ref="A174:C174"/>
    <mergeCell ref="A162:D162"/>
    <mergeCell ref="A172:E172"/>
    <mergeCell ref="A180:F180"/>
    <mergeCell ref="A189:E189"/>
    <mergeCell ref="A197:F197"/>
    <mergeCell ref="A198:G198"/>
    <mergeCell ref="A203:L203"/>
    <mergeCell ref="A169:B169"/>
    <mergeCell ref="A170:B170"/>
    <mergeCell ref="A178:C178"/>
    <mergeCell ref="A308:F308"/>
    <mergeCell ref="E305:F305"/>
    <mergeCell ref="E306:F306"/>
    <mergeCell ref="A255:B255"/>
    <mergeCell ref="A256:B256"/>
    <mergeCell ref="A257:B257"/>
    <mergeCell ref="A253:D253"/>
    <mergeCell ref="A261:B261"/>
    <mergeCell ref="A271:F271"/>
    <mergeCell ref="A280:E280"/>
    <mergeCell ref="A294:L294"/>
    <mergeCell ref="A265:C265"/>
    <mergeCell ref="A266:C266"/>
    <mergeCell ref="A267:C267"/>
    <mergeCell ref="A268:C268"/>
    <mergeCell ref="A269:C269"/>
    <mergeCell ref="A288:F288"/>
    <mergeCell ref="A289:G289"/>
    <mergeCell ref="A264:C264"/>
    <mergeCell ref="A263:E263"/>
    <mergeCell ref="A258:B258"/>
    <mergeCell ref="A259:B259"/>
    <mergeCell ref="A260:B260"/>
    <mergeCell ref="A254:B254"/>
    <mergeCell ref="H332:H337"/>
    <mergeCell ref="A339:E339"/>
    <mergeCell ref="B342:E342"/>
    <mergeCell ref="A344:D344"/>
    <mergeCell ref="A345:B345"/>
    <mergeCell ref="A310:F310"/>
    <mergeCell ref="A319:E319"/>
    <mergeCell ref="E320:E321"/>
    <mergeCell ref="E322:E328"/>
    <mergeCell ref="A330:H330"/>
    <mergeCell ref="A371:E371"/>
    <mergeCell ref="A385:L385"/>
    <mergeCell ref="E396:F396"/>
    <mergeCell ref="H386:J386"/>
    <mergeCell ref="E397:F397"/>
    <mergeCell ref="A399:F399"/>
    <mergeCell ref="A379:F379"/>
    <mergeCell ref="A380:G380"/>
    <mergeCell ref="A346:B346"/>
    <mergeCell ref="A347:B347"/>
    <mergeCell ref="A348:B348"/>
    <mergeCell ref="A349:B349"/>
    <mergeCell ref="A350:B350"/>
    <mergeCell ref="A358:C358"/>
    <mergeCell ref="A359:C359"/>
    <mergeCell ref="A360:C360"/>
    <mergeCell ref="A351:B351"/>
    <mergeCell ref="A352:B352"/>
    <mergeCell ref="A354:E354"/>
    <mergeCell ref="A356:C356"/>
    <mergeCell ref="A357:C357"/>
    <mergeCell ref="A362:F362"/>
    <mergeCell ref="E386:G386"/>
    <mergeCell ref="A355:C355"/>
    <mergeCell ref="A492:F492"/>
    <mergeCell ref="A462:E462"/>
    <mergeCell ref="A470:F470"/>
    <mergeCell ref="A471:G471"/>
    <mergeCell ref="A476:L476"/>
    <mergeCell ref="E487:F487"/>
    <mergeCell ref="E488:F488"/>
    <mergeCell ref="A490:F490"/>
    <mergeCell ref="A401:F401"/>
    <mergeCell ref="A410:E410"/>
    <mergeCell ref="E411:E412"/>
    <mergeCell ref="E413:E419"/>
    <mergeCell ref="B477:D477"/>
    <mergeCell ref="E477:G477"/>
    <mergeCell ref="H477:J477"/>
    <mergeCell ref="A446:C446"/>
    <mergeCell ref="A450:C450"/>
    <mergeCell ref="A451:C451"/>
    <mergeCell ref="A442:B442"/>
    <mergeCell ref="A443:B443"/>
    <mergeCell ref="A448:C448"/>
    <mergeCell ref="A437:B437"/>
    <mergeCell ref="A438:B438"/>
    <mergeCell ref="A439:B439"/>
    <mergeCell ref="A529:B529"/>
    <mergeCell ref="A501:E501"/>
    <mergeCell ref="E502:E503"/>
    <mergeCell ref="E504:E510"/>
    <mergeCell ref="A512:H512"/>
    <mergeCell ref="H514:H519"/>
    <mergeCell ref="A521:E521"/>
    <mergeCell ref="B524:E524"/>
    <mergeCell ref="A526:D526"/>
    <mergeCell ref="A527:B527"/>
    <mergeCell ref="A528:B528"/>
    <mergeCell ref="E593:E594"/>
    <mergeCell ref="E595:E601"/>
    <mergeCell ref="A603:H603"/>
    <mergeCell ref="H605:H610"/>
    <mergeCell ref="B568:D568"/>
    <mergeCell ref="E568:G568"/>
    <mergeCell ref="H568:J568"/>
    <mergeCell ref="A541:C541"/>
    <mergeCell ref="A530:B530"/>
    <mergeCell ref="A531:B531"/>
    <mergeCell ref="A532:B532"/>
    <mergeCell ref="A533:B533"/>
    <mergeCell ref="A534:B534"/>
    <mergeCell ref="A536:E536"/>
    <mergeCell ref="A538:C538"/>
    <mergeCell ref="A539:C539"/>
    <mergeCell ref="A537:C537"/>
    <mergeCell ref="A553:E553"/>
    <mergeCell ref="A561:F561"/>
    <mergeCell ref="A562:G562"/>
    <mergeCell ref="A567:L567"/>
    <mergeCell ref="E578:F578"/>
    <mergeCell ref="E579:F579"/>
    <mergeCell ref="A581:F581"/>
    <mergeCell ref="A583:F583"/>
    <mergeCell ref="A592:E592"/>
    <mergeCell ref="E760:F760"/>
    <mergeCell ref="A726:F726"/>
    <mergeCell ref="H750:J750"/>
    <mergeCell ref="A712:B712"/>
    <mergeCell ref="A718:E718"/>
    <mergeCell ref="E669:F669"/>
    <mergeCell ref="E670:F670"/>
    <mergeCell ref="A672:F672"/>
    <mergeCell ref="A674:F674"/>
    <mergeCell ref="A683:E683"/>
    <mergeCell ref="E684:E685"/>
    <mergeCell ref="E686:E692"/>
    <mergeCell ref="A694:H694"/>
    <mergeCell ref="A735:E735"/>
    <mergeCell ref="A743:F743"/>
    <mergeCell ref="A744:G744"/>
    <mergeCell ref="A749:L749"/>
    <mergeCell ref="A720:C720"/>
    <mergeCell ref="A721:C721"/>
    <mergeCell ref="A722:C722"/>
    <mergeCell ref="A723:C723"/>
    <mergeCell ref="A714:B714"/>
    <mergeCell ref="A715:B715"/>
    <mergeCell ref="A716:B716"/>
    <mergeCell ref="A835:G835"/>
    <mergeCell ref="A840:L840"/>
    <mergeCell ref="E851:F851"/>
    <mergeCell ref="H841:J841"/>
    <mergeCell ref="A809:E809"/>
    <mergeCell ref="E761:F761"/>
    <mergeCell ref="A763:F763"/>
    <mergeCell ref="A765:F765"/>
    <mergeCell ref="A774:E774"/>
    <mergeCell ref="E775:E776"/>
    <mergeCell ref="E777:E783"/>
    <mergeCell ref="A785:H785"/>
    <mergeCell ref="A805:B805"/>
    <mergeCell ref="A806:B806"/>
    <mergeCell ref="A807:B807"/>
    <mergeCell ref="H787:H792"/>
    <mergeCell ref="A794:E794"/>
    <mergeCell ref="B797:E797"/>
    <mergeCell ref="A799:D799"/>
    <mergeCell ref="A800:B800"/>
    <mergeCell ref="A801:B801"/>
    <mergeCell ref="A802:B802"/>
    <mergeCell ref="A803:B803"/>
    <mergeCell ref="A804:B804"/>
    <mergeCell ref="B932:D932"/>
    <mergeCell ref="E932:G932"/>
    <mergeCell ref="H932:J932"/>
    <mergeCell ref="A897:B897"/>
    <mergeCell ref="A865:E865"/>
    <mergeCell ref="E866:E867"/>
    <mergeCell ref="E868:E874"/>
    <mergeCell ref="A876:H876"/>
    <mergeCell ref="H878:H883"/>
    <mergeCell ref="A885:E885"/>
    <mergeCell ref="B888:E888"/>
    <mergeCell ref="A890:D890"/>
    <mergeCell ref="A891:B891"/>
    <mergeCell ref="A892:B892"/>
    <mergeCell ref="A893:B893"/>
    <mergeCell ref="A894:B894"/>
    <mergeCell ref="A895:B895"/>
    <mergeCell ref="A896:B896"/>
    <mergeCell ref="H204:J204"/>
    <mergeCell ref="A917:E917"/>
    <mergeCell ref="A925:F925"/>
    <mergeCell ref="A926:G926"/>
    <mergeCell ref="A931:L931"/>
    <mergeCell ref="A898:B898"/>
    <mergeCell ref="A900:E900"/>
    <mergeCell ref="A902:C902"/>
    <mergeCell ref="A903:C903"/>
    <mergeCell ref="A904:C904"/>
    <mergeCell ref="A905:C905"/>
    <mergeCell ref="A906:C906"/>
    <mergeCell ref="A908:F908"/>
    <mergeCell ref="E852:F852"/>
    <mergeCell ref="A854:F854"/>
    <mergeCell ref="A856:F856"/>
    <mergeCell ref="A811:C811"/>
    <mergeCell ref="A812:C812"/>
    <mergeCell ref="A813:C813"/>
    <mergeCell ref="A814:C814"/>
    <mergeCell ref="A815:C815"/>
    <mergeCell ref="A817:F817"/>
    <mergeCell ref="A826:E826"/>
    <mergeCell ref="A834:F834"/>
    <mergeCell ref="A173:C173"/>
    <mergeCell ref="E123:F123"/>
    <mergeCell ref="A128:F128"/>
    <mergeCell ref="A137:E137"/>
    <mergeCell ref="E138:E139"/>
    <mergeCell ref="E140:E146"/>
    <mergeCell ref="A148:H148"/>
    <mergeCell ref="H150:H155"/>
    <mergeCell ref="A157:E157"/>
    <mergeCell ref="B160:E160"/>
    <mergeCell ref="A724:C724"/>
    <mergeCell ref="A719:C719"/>
    <mergeCell ref="E214:F214"/>
    <mergeCell ref="E215:F215"/>
    <mergeCell ref="A217:F217"/>
    <mergeCell ref="A219:F219"/>
    <mergeCell ref="A228:E228"/>
    <mergeCell ref="E229:E230"/>
    <mergeCell ref="E231:E237"/>
    <mergeCell ref="A239:H239"/>
    <mergeCell ref="H241:H246"/>
    <mergeCell ref="A652:F652"/>
    <mergeCell ref="A653:G653"/>
    <mergeCell ref="A658:L658"/>
    <mergeCell ref="H659:J659"/>
    <mergeCell ref="A632:C632"/>
    <mergeCell ref="A621:B621"/>
    <mergeCell ref="A622:B622"/>
    <mergeCell ref="A623:B623"/>
    <mergeCell ref="A624:B624"/>
    <mergeCell ref="A625:B625"/>
    <mergeCell ref="A627:E627"/>
    <mergeCell ref="A629:C629"/>
    <mergeCell ref="A630:C630"/>
    <mergeCell ref="A449:C449"/>
    <mergeCell ref="H295:J295"/>
    <mergeCell ref="B386:D386"/>
    <mergeCell ref="A713:B713"/>
    <mergeCell ref="H696:H701"/>
    <mergeCell ref="A703:E703"/>
    <mergeCell ref="B706:E706"/>
    <mergeCell ref="A708:D708"/>
    <mergeCell ref="A709:B709"/>
    <mergeCell ref="A710:B710"/>
    <mergeCell ref="A711:B711"/>
    <mergeCell ref="A631:C631"/>
    <mergeCell ref="A633:C633"/>
    <mergeCell ref="A635:F635"/>
    <mergeCell ref="A644:E644"/>
    <mergeCell ref="A628:C628"/>
    <mergeCell ref="A612:E612"/>
    <mergeCell ref="B615:E615"/>
    <mergeCell ref="A617:D617"/>
    <mergeCell ref="A618:B618"/>
    <mergeCell ref="A619:B619"/>
    <mergeCell ref="A620:B620"/>
    <mergeCell ref="A542:C542"/>
    <mergeCell ref="A544:F544"/>
    <mergeCell ref="A440:B440"/>
    <mergeCell ref="A441:B441"/>
    <mergeCell ref="A540:C540"/>
    <mergeCell ref="A810:C810"/>
    <mergeCell ref="A901:C901"/>
    <mergeCell ref="B204:D204"/>
    <mergeCell ref="E204:G204"/>
    <mergeCell ref="B295:D295"/>
    <mergeCell ref="E295:G295"/>
    <mergeCell ref="B659:D659"/>
    <mergeCell ref="E659:G659"/>
    <mergeCell ref="B750:D750"/>
    <mergeCell ref="E750:G750"/>
    <mergeCell ref="B841:D841"/>
    <mergeCell ref="E841:G841"/>
    <mergeCell ref="A421:H421"/>
    <mergeCell ref="H423:H428"/>
    <mergeCell ref="A430:E430"/>
    <mergeCell ref="B433:E433"/>
    <mergeCell ref="A435:D435"/>
    <mergeCell ref="A436:B436"/>
    <mergeCell ref="A445:E445"/>
    <mergeCell ref="A447:C447"/>
    <mergeCell ref="A453:F453"/>
  </mergeCells>
  <conditionalFormatting sqref="D110">
    <cfRule type="cellIs" dxfId="580" priority="90" operator="equal">
      <formula>"DIFERENTE"</formula>
    </cfRule>
  </conditionalFormatting>
  <conditionalFormatting sqref="G110">
    <cfRule type="cellIs" dxfId="579" priority="89" operator="equal">
      <formula>"DIFERENTE"</formula>
    </cfRule>
  </conditionalFormatting>
  <conditionalFormatting sqref="J110">
    <cfRule type="cellIs" dxfId="578" priority="88" operator="equal">
      <formula>"DIFERENTE"</formula>
    </cfRule>
  </conditionalFormatting>
  <conditionalFormatting sqref="D206">
    <cfRule type="cellIs" dxfId="577" priority="27" operator="equal">
      <formula>"DIFERENTE"</formula>
    </cfRule>
  </conditionalFormatting>
  <conditionalFormatting sqref="G206">
    <cfRule type="cellIs" dxfId="576" priority="26" operator="equal">
      <formula>"DIFERENTE"</formula>
    </cfRule>
  </conditionalFormatting>
  <conditionalFormatting sqref="J206">
    <cfRule type="cellIs" dxfId="575" priority="25" operator="equal">
      <formula>"DIFERENTE"</formula>
    </cfRule>
  </conditionalFormatting>
  <conditionalFormatting sqref="D297">
    <cfRule type="cellIs" dxfId="574" priority="24" operator="equal">
      <formula>"DIFERENTE"</formula>
    </cfRule>
  </conditionalFormatting>
  <conditionalFormatting sqref="G297">
    <cfRule type="cellIs" dxfId="573" priority="23" operator="equal">
      <formula>"DIFERENTE"</formula>
    </cfRule>
  </conditionalFormatting>
  <conditionalFormatting sqref="J297">
    <cfRule type="cellIs" dxfId="572" priority="22" operator="equal">
      <formula>"DIFERENTE"</formula>
    </cfRule>
  </conditionalFormatting>
  <conditionalFormatting sqref="D388">
    <cfRule type="cellIs" dxfId="571" priority="21" operator="equal">
      <formula>"DIFERENTE"</formula>
    </cfRule>
  </conditionalFormatting>
  <conditionalFormatting sqref="G388">
    <cfRule type="cellIs" dxfId="570" priority="20" operator="equal">
      <formula>"DIFERENTE"</formula>
    </cfRule>
  </conditionalFormatting>
  <conditionalFormatting sqref="J388">
    <cfRule type="cellIs" dxfId="569" priority="19" operator="equal">
      <formula>"DIFERENTE"</formula>
    </cfRule>
  </conditionalFormatting>
  <conditionalFormatting sqref="D479">
    <cfRule type="cellIs" dxfId="568" priority="18" operator="equal">
      <formula>"DIFERENTE"</formula>
    </cfRule>
  </conditionalFormatting>
  <conditionalFormatting sqref="G479">
    <cfRule type="cellIs" dxfId="567" priority="17" operator="equal">
      <formula>"DIFERENTE"</formula>
    </cfRule>
  </conditionalFormatting>
  <conditionalFormatting sqref="J479">
    <cfRule type="cellIs" dxfId="566" priority="16" operator="equal">
      <formula>"DIFERENTE"</formula>
    </cfRule>
  </conditionalFormatting>
  <conditionalFormatting sqref="D570">
    <cfRule type="cellIs" dxfId="565" priority="15" operator="equal">
      <formula>"DIFERENTE"</formula>
    </cfRule>
  </conditionalFormatting>
  <conditionalFormatting sqref="G570">
    <cfRule type="cellIs" dxfId="564" priority="14" operator="equal">
      <formula>"DIFERENTE"</formula>
    </cfRule>
  </conditionalFormatting>
  <conditionalFormatting sqref="J570">
    <cfRule type="cellIs" dxfId="563" priority="13" operator="equal">
      <formula>"DIFERENTE"</formula>
    </cfRule>
  </conditionalFormatting>
  <conditionalFormatting sqref="D661">
    <cfRule type="cellIs" dxfId="562" priority="12" operator="equal">
      <formula>"DIFERENTE"</formula>
    </cfRule>
  </conditionalFormatting>
  <conditionalFormatting sqref="G661">
    <cfRule type="cellIs" dxfId="561" priority="11" operator="equal">
      <formula>"DIFERENTE"</formula>
    </cfRule>
  </conditionalFormatting>
  <conditionalFormatting sqref="J661">
    <cfRule type="cellIs" dxfId="560" priority="10" operator="equal">
      <formula>"DIFERENTE"</formula>
    </cfRule>
  </conditionalFormatting>
  <conditionalFormatting sqref="D752">
    <cfRule type="cellIs" dxfId="559" priority="9" operator="equal">
      <formula>"DIFERENTE"</formula>
    </cfRule>
  </conditionalFormatting>
  <conditionalFormatting sqref="G752">
    <cfRule type="cellIs" dxfId="558" priority="8" operator="equal">
      <formula>"DIFERENTE"</formula>
    </cfRule>
  </conditionalFormatting>
  <conditionalFormatting sqref="J752">
    <cfRule type="cellIs" dxfId="557" priority="7" operator="equal">
      <formula>"DIFERENTE"</formula>
    </cfRule>
  </conditionalFormatting>
  <conditionalFormatting sqref="D843">
    <cfRule type="cellIs" dxfId="556" priority="6" operator="equal">
      <formula>"DIFERENTE"</formula>
    </cfRule>
  </conditionalFormatting>
  <conditionalFormatting sqref="G843">
    <cfRule type="cellIs" dxfId="555" priority="5" operator="equal">
      <formula>"DIFERENTE"</formula>
    </cfRule>
  </conditionalFormatting>
  <conditionalFormatting sqref="J843">
    <cfRule type="cellIs" dxfId="554" priority="4" operator="equal">
      <formula>"DIFERENTE"</formula>
    </cfRule>
  </conditionalFormatting>
  <conditionalFormatting sqref="D934">
    <cfRule type="cellIs" dxfId="553" priority="3" operator="equal">
      <formula>"DIFERENTE"</formula>
    </cfRule>
  </conditionalFormatting>
  <conditionalFormatting sqref="G934">
    <cfRule type="cellIs" dxfId="552" priority="2" operator="equal">
      <formula>"DIFERENTE"</formula>
    </cfRule>
  </conditionalFormatting>
  <conditionalFormatting sqref="J934">
    <cfRule type="cellIs" dxfId="551" priority="1" operator="equal">
      <formula>"DIFERENTE"</formula>
    </cfRule>
  </conditionalFormatting>
  <dataValidations count="8">
    <dataValidation type="list" allowBlank="1" showInputMessage="1" showErrorMessage="1" sqref="E6:E16">
      <formula1>"s,n,na"</formula1>
    </dataValidation>
    <dataValidation type="list" allowBlank="1" showInputMessage="1" showErrorMessage="1" sqref="D31:D33 F63:F64 B63:B64 D63:D64 B829:E829 D129:D131 F153:F154 B153:B154 D153:D154 B42:E42 D220:D222 F244:F245 B244:B245 D244:D245 B192:E192 D311:D313 F335:F336 B335:B336 D335:D336 B283:E283 D402:D404 F426:F427 B426:B427 D426:D427 B374:E374 D493:D495 F517:F518 B517:B518 D517:D518 B465:E465 D584:D586 F608:F609 B608:B609 D608:D609 B556:E556 D675:D677 F699:F700 B699:B700 D699:D700 B647:E647 D766:D768 F790:F791 B790:B791 D790:D791 B738:E738 D857:D859 F881:F882 B881:B882 D881:D882 B920:E920 E20">
      <formula1>"s,n"</formula1>
    </dataValidation>
    <dataValidation type="list" allowBlank="1" showInputMessage="1" showErrorMessage="1" sqref="B69 B159 B250 B341 B432 B523 B614 B705 B796 B887">
      <formula1>"1,2,3,4,5,6,7,8,9"</formula1>
    </dataValidation>
    <dataValidation type="whole" operator="greaterThanOrEqual" allowBlank="1" showInputMessage="1" showErrorMessage="1" sqref="E4">
      <formula1>1</formula1>
    </dataValidation>
    <dataValidation type="list" allowBlank="1" showInputMessage="1" showErrorMessage="1" sqref="E26 E124 E215 E306 E397 E488 E579 E670 E761 E852">
      <formula1>"Boa,Apresenta falha"</formula1>
    </dataValidation>
    <dataValidation type="decimal" operator="greaterThan" allowBlank="1" showInputMessage="1" showErrorMessage="1" errorTitle="ERRO" error="Digite um número decimal" promptTitle="Frequência" prompt="Digite um número decimal" sqref="B51:D51 A69 A887 A159 B141:D141 A250 B232:D232 A341 B323:D323 A432 B414:D414 A523 B505:D505 A614 B596:D596 A705 B687:D687 A796 B778:D778 B869:D869">
      <formula1>0</formula1>
    </dataValidation>
    <dataValidation type="list" allowBlank="1" showInputMessage="1" showErrorMessage="1" promptTitle="Visualização de referência:" prompt="NA: Não existe referência._x000a_N: referência é &quot;Não visualizado&quot;_x000a_S: referência é &quot;Visualizado&quot;" sqref="B41:E41 B191:E191 B282:E282 B373:E373 B464:E464 B555:E555 B646:E646 B737:E737 B828:E828 B919:E919">
      <formula1>"s,n,NA"</formula1>
    </dataValidation>
    <dataValidation type="list" allowBlank="1" showInputMessage="1" showErrorMessage="1" sqref="A109 A205 A296 A387 A478 A569 A660 A751 A842 A933">
      <formula1>"cm/s,ml/s"</formula1>
    </dataValidation>
  </dataValidations>
  <pageMargins left="0.511811024" right="0.511811024" top="0.78740157499999996" bottom="0.78740157499999996" header="0.31496062000000002" footer="0.31496062000000002"/>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067"/>
  <sheetViews>
    <sheetView view="pageBreakPreview" zoomScale="118" zoomScaleNormal="100" zoomScaleSheetLayoutView="118" workbookViewId="0">
      <pane ySplit="1" topLeftCell="A1008" activePane="bottomLeft" state="frozen"/>
      <selection activeCell="C12" sqref="C12:J13"/>
      <selection pane="bottomLeft" activeCell="C12" sqref="C12:J13"/>
    </sheetView>
  </sheetViews>
  <sheetFormatPr defaultColWidth="9.140625" defaultRowHeight="15" x14ac:dyDescent="0.25"/>
  <cols>
    <col min="1" max="10" width="9.140625" style="1240" customWidth="1"/>
    <col min="11" max="12" width="9.85546875" style="1240" bestFit="1" customWidth="1"/>
    <col min="13" max="19" width="9.140625" style="1240"/>
    <col min="20" max="20" width="54" style="1240" bestFit="1" customWidth="1"/>
    <col min="21" max="16384" width="9.140625" style="1240"/>
  </cols>
  <sheetData>
    <row r="1" spans="1:13" s="1239" customFormat="1" ht="15" customHeight="1" x14ac:dyDescent="0.25">
      <c r="A1" s="3019" t="e">
        <f>Cabeçalho!B6</f>
        <v>#N/A</v>
      </c>
      <c r="B1" s="3019"/>
      <c r="C1" s="3019"/>
      <c r="D1" s="3019"/>
      <c r="E1" s="3020" t="e">
        <f>IF(Cabeçalho!$B$15="",CONCATENATE(LOOKUP(Cabeçalho!$B$14,Tabelas2!$A$23:$A$32,Tabelas2!$B$23:$B$32),IF(Cabeçalho!$B$16&lt;&gt;0," - ",""),UPPER(Cabeçalho!$B$16)),CONCATENATE(LOOKUP(Cabeçalho!$B$14,Tabelas2!$A$23:$A$32,Tabelas2!$B$23:$B$32)," - ",Cabeçalho!$B$15," - ",UPPER(Cabeçalho!$B$16)))</f>
        <v>#N/A</v>
      </c>
      <c r="F1" s="3020"/>
      <c r="G1" s="3020"/>
      <c r="H1" s="3020"/>
      <c r="I1" s="1238" t="s">
        <v>112</v>
      </c>
      <c r="J1" s="1414" t="e">
        <f>IF(Cabeçalho!B12="","",Cabeçalho!B12)</f>
        <v>#N/A</v>
      </c>
      <c r="K1" s="1327"/>
    </row>
    <row r="2" spans="1:13" x14ac:dyDescent="0.25">
      <c r="L2" s="3010" t="s">
        <v>1612</v>
      </c>
      <c r="M2" s="3010"/>
    </row>
    <row r="3" spans="1:13" ht="15" customHeight="1" x14ac:dyDescent="0.25">
      <c r="A3" s="2676" t="s">
        <v>1490</v>
      </c>
      <c r="B3" s="2676"/>
      <c r="C3" s="2676"/>
      <c r="D3" s="2676"/>
      <c r="E3" s="2676"/>
      <c r="F3" s="2676"/>
      <c r="G3" s="2676"/>
      <c r="H3" s="2676"/>
      <c r="I3" s="2676"/>
      <c r="J3" s="2676"/>
      <c r="L3" s="3010"/>
      <c r="M3" s="3010"/>
    </row>
    <row r="4" spans="1:13" x14ac:dyDescent="0.25">
      <c r="L4" s="3010"/>
      <c r="M4" s="3010"/>
    </row>
    <row r="5" spans="1:13" ht="15" customHeight="1" x14ac:dyDescent="0.25">
      <c r="A5" s="2676" t="s">
        <v>114</v>
      </c>
      <c r="B5" s="2676"/>
      <c r="C5" s="2676"/>
      <c r="D5" s="2676"/>
      <c r="E5" s="2676"/>
      <c r="F5" s="2676"/>
      <c r="G5" s="2676"/>
      <c r="H5" s="2676"/>
      <c r="I5" s="2676"/>
      <c r="J5" s="2676"/>
      <c r="L5" s="3010"/>
      <c r="M5" s="3010"/>
    </row>
    <row r="6" spans="1:13" x14ac:dyDescent="0.25">
      <c r="L6" s="3009" t="str">
        <f>"São "&amp;Ultrassom!$E$4&amp;" Transdutores"</f>
        <v>São 1 Transdutores</v>
      </c>
      <c r="M6" s="3009"/>
    </row>
    <row r="9" spans="1:13" ht="15" customHeight="1" x14ac:dyDescent="0.25">
      <c r="C9" s="3021" t="e">
        <f>Cabeçalho!B6</f>
        <v>#N/A</v>
      </c>
      <c r="D9" s="3021"/>
      <c r="E9" s="3021"/>
      <c r="F9" s="3021"/>
      <c r="G9" s="3021"/>
      <c r="H9" s="3021"/>
      <c r="I9" s="3021"/>
      <c r="J9" s="3021"/>
    </row>
    <row r="10" spans="1:13" ht="15" customHeight="1" x14ac:dyDescent="0.25">
      <c r="C10" s="3021"/>
      <c r="D10" s="3021"/>
      <c r="E10" s="3021"/>
      <c r="F10" s="3021"/>
      <c r="G10" s="3021"/>
      <c r="H10" s="3021"/>
      <c r="I10" s="3021"/>
      <c r="J10" s="3021"/>
    </row>
    <row r="11" spans="1:13" ht="15" customHeight="1" x14ac:dyDescent="0.25">
      <c r="B11" s="700"/>
      <c r="C11" s="700"/>
      <c r="D11" s="700"/>
      <c r="E11" s="700"/>
      <c r="F11" s="700"/>
      <c r="G11" s="700"/>
    </row>
    <row r="12" spans="1:13" ht="15" customHeight="1" x14ac:dyDescent="0.25">
      <c r="C12" s="3022" t="e">
        <f>Cabeçalho!B7</f>
        <v>#N/A</v>
      </c>
      <c r="D12" s="3022"/>
      <c r="E12" s="3022"/>
      <c r="F12" s="3022"/>
      <c r="G12" s="3022"/>
      <c r="H12" s="3022"/>
      <c r="I12" s="3022"/>
      <c r="J12" s="3022"/>
    </row>
    <row r="13" spans="1:13" ht="15" customHeight="1" x14ac:dyDescent="0.25">
      <c r="B13" s="700"/>
      <c r="C13" s="3022"/>
      <c r="D13" s="3022"/>
      <c r="E13" s="3022"/>
      <c r="F13" s="3022"/>
      <c r="G13" s="3022"/>
      <c r="H13" s="3022"/>
      <c r="I13" s="3022"/>
      <c r="J13" s="3022"/>
    </row>
    <row r="14" spans="1:13" ht="15" customHeight="1" x14ac:dyDescent="0.25">
      <c r="B14" s="700"/>
      <c r="C14" s="700"/>
      <c r="D14" s="700"/>
      <c r="E14" s="700"/>
      <c r="F14" s="700"/>
      <c r="G14" s="700"/>
    </row>
    <row r="15" spans="1:13" ht="15" customHeight="1" x14ac:dyDescent="0.25">
      <c r="C15" s="1235" t="e">
        <f>Cabeçalho!B8</f>
        <v>#N/A</v>
      </c>
      <c r="E15" s="700" t="e">
        <f>CONCATENATE(Cabeçalho!B9,", ",Cabeçalho!B10)</f>
        <v>#N/A</v>
      </c>
      <c r="F15" s="700"/>
      <c r="G15" s="700"/>
    </row>
    <row r="17" spans="1:11" ht="30" customHeight="1" x14ac:dyDescent="0.25">
      <c r="A17" s="1369" t="s">
        <v>115</v>
      </c>
      <c r="C17" s="3027" t="e">
        <f>Cabeçalho!B4</f>
        <v>#N/A</v>
      </c>
      <c r="D17" s="3027"/>
      <c r="E17" s="3027"/>
      <c r="F17" s="3027"/>
      <c r="G17" s="3027"/>
      <c r="H17" s="3027"/>
      <c r="I17" s="3027"/>
      <c r="J17" s="3027"/>
    </row>
    <row r="18" spans="1:11" ht="15" customHeight="1" x14ac:dyDescent="0.25">
      <c r="C18" s="1235" t="e">
        <f>Cabeçalho!B5</f>
        <v>#N/A</v>
      </c>
    </row>
    <row r="19" spans="1:11" ht="15" customHeight="1" x14ac:dyDescent="0.25">
      <c r="C19" s="700"/>
    </row>
    <row r="20" spans="1:11" ht="15" customHeight="1" x14ac:dyDescent="0.25">
      <c r="C20" s="1241"/>
    </row>
    <row r="21" spans="1:11" ht="15" customHeight="1" x14ac:dyDescent="0.25">
      <c r="A21" s="281" t="s">
        <v>116</v>
      </c>
    </row>
    <row r="22" spans="1:11" ht="15" customHeight="1" x14ac:dyDescent="0.25">
      <c r="A22" s="3017" t="str">
        <f>IntroRDC</f>
        <v xml:space="preserve">               Este Laudo Técnico é parte do Programa de Garantia da Qualidade, conforme Resolução da Diretoria Colegiada - RDC 611/2022 da ANVISA.</v>
      </c>
      <c r="B22" s="3017"/>
      <c r="C22" s="3017"/>
      <c r="D22" s="3017"/>
      <c r="E22" s="3017"/>
      <c r="F22" s="3017"/>
      <c r="G22" s="3017"/>
      <c r="H22" s="3017"/>
      <c r="I22" s="3017"/>
      <c r="J22" s="3017"/>
    </row>
    <row r="23" spans="1:11" ht="15" customHeight="1" x14ac:dyDescent="0.25">
      <c r="A23" s="3017"/>
      <c r="B23" s="3017"/>
      <c r="C23" s="3017"/>
      <c r="D23" s="3017"/>
      <c r="E23" s="3017"/>
      <c r="F23" s="3017"/>
      <c r="G23" s="3017"/>
      <c r="H23" s="3017"/>
      <c r="I23" s="3017"/>
      <c r="J23" s="3017"/>
    </row>
    <row r="24" spans="1:11" s="1715" customFormat="1" ht="15" customHeight="1" x14ac:dyDescent="0.25">
      <c r="A24" s="3017" t="str">
        <f>IntroProtocolo</f>
        <v xml:space="preserve">               A metodologia utilizada atende aos "Protocolos para Execução de Testes em Sistemas de Radiologia Diagnóstica e Intervencionista" do CONFEA.</v>
      </c>
      <c r="B24" s="3017"/>
      <c r="C24" s="3017"/>
      <c r="D24" s="3017"/>
      <c r="E24" s="3017"/>
      <c r="F24" s="3017"/>
      <c r="G24" s="3017"/>
      <c r="H24" s="3017"/>
      <c r="I24" s="3017"/>
      <c r="J24" s="3017"/>
    </row>
    <row r="25" spans="1:11" s="1715" customFormat="1" ht="15" customHeight="1" x14ac:dyDescent="0.25">
      <c r="A25" s="3017"/>
      <c r="B25" s="3017"/>
      <c r="C25" s="3017"/>
      <c r="D25" s="3017"/>
      <c r="E25" s="3017"/>
      <c r="F25" s="3017"/>
      <c r="G25" s="3017"/>
      <c r="H25" s="3017"/>
      <c r="I25" s="3017"/>
      <c r="J25" s="3017"/>
    </row>
    <row r="27" spans="1:11" ht="15" customHeight="1" x14ac:dyDescent="0.25">
      <c r="A27" s="281" t="s">
        <v>117</v>
      </c>
    </row>
    <row r="28" spans="1:11" ht="15" customHeight="1" x14ac:dyDescent="0.25">
      <c r="A28" s="3017" t="str">
        <f>"                 Verificar parâmetros técnicos e condições de desempenho do equipamento de ultrassom e de seus transdutores e a conformidade dos mesmos com a Instrução Normativa "&amp;VLOOKUP("Ultrassom",IN_ANVISA[],2)&amp;"/"&amp;VLOOKUP("Ultrassom",IN_ANVISA[],3)&amp;" da ANVISA."</f>
        <v xml:space="preserve">                 Verificar parâmetros técnicos e condições de desempenho do equipamento de ultrassom e de seus transdutores e a conformidade dos mesmos com a Instrução Normativa 96/2021 da ANVISA.</v>
      </c>
      <c r="B28" s="3017"/>
      <c r="C28" s="3017"/>
      <c r="D28" s="3017"/>
      <c r="E28" s="3017"/>
      <c r="F28" s="3017"/>
      <c r="G28" s="3017"/>
      <c r="H28" s="3017"/>
      <c r="I28" s="3017"/>
      <c r="J28" s="3017"/>
    </row>
    <row r="29" spans="1:11" ht="15" customHeight="1" x14ac:dyDescent="0.25">
      <c r="A29" s="3017"/>
      <c r="B29" s="3017"/>
      <c r="C29" s="3017"/>
      <c r="D29" s="3017"/>
      <c r="E29" s="3017"/>
      <c r="F29" s="3017"/>
      <c r="G29" s="3017"/>
      <c r="H29" s="3017"/>
      <c r="I29" s="3017"/>
      <c r="J29" s="3017"/>
    </row>
    <row r="30" spans="1:11" ht="15" customHeight="1" x14ac:dyDescent="0.25">
      <c r="A30" s="3017" t="str">
        <f>OBJETIVO</f>
        <v xml:space="preserve">                Fornecer elementos para aceitação ou rejeição do equipamento, bem como para corrigir eventuais desvios, falhas e anomalias.</v>
      </c>
      <c r="B30" s="3017"/>
      <c r="C30" s="3017"/>
      <c r="D30" s="3017"/>
      <c r="E30" s="3017"/>
      <c r="F30" s="3017"/>
      <c r="G30" s="3017"/>
      <c r="H30" s="3017"/>
      <c r="I30" s="3017"/>
      <c r="J30" s="3017"/>
    </row>
    <row r="31" spans="1:11" ht="15" customHeight="1" x14ac:dyDescent="0.25">
      <c r="A31" s="3017"/>
      <c r="B31" s="3017"/>
      <c r="C31" s="3017"/>
      <c r="D31" s="3017"/>
      <c r="E31" s="3017"/>
      <c r="F31" s="3017"/>
      <c r="G31" s="3017"/>
      <c r="H31" s="3017"/>
      <c r="I31" s="3017"/>
      <c r="J31" s="3017"/>
    </row>
    <row r="32" spans="1:11" s="1939" customFormat="1" ht="15" customHeight="1" x14ac:dyDescent="0.25">
      <c r="A32" s="3017" t="str">
        <f>ObjetivoCorreções</f>
        <v xml:space="preserve">               Verificar possíveis correções realizadas após o laudo de 00/01/00 deste mesmo equipamento.</v>
      </c>
      <c r="B32" s="3017"/>
      <c r="C32" s="3017"/>
      <c r="D32" s="3017"/>
      <c r="E32" s="3017"/>
      <c r="F32" s="3017"/>
      <c r="G32" s="3017"/>
      <c r="H32" s="3017"/>
      <c r="I32" s="3017"/>
      <c r="J32" s="3017"/>
      <c r="K32" s="1240" t="str">
        <f>IF(Cabeçalho!B17="","x","")</f>
        <v>x</v>
      </c>
    </row>
    <row r="33" spans="1:11" ht="15" customHeight="1" x14ac:dyDescent="0.25">
      <c r="A33" s="3017"/>
      <c r="B33" s="3017"/>
      <c r="C33" s="3017"/>
      <c r="D33" s="3017"/>
      <c r="E33" s="3017"/>
      <c r="F33" s="3017"/>
      <c r="G33" s="3017"/>
      <c r="H33" s="3017"/>
      <c r="I33" s="3017"/>
      <c r="J33" s="3017"/>
      <c r="K33" s="1240" t="str">
        <f>K32</f>
        <v>x</v>
      </c>
    </row>
    <row r="34" spans="1:11" ht="15" customHeight="1" x14ac:dyDescent="0.25">
      <c r="A34" s="1242"/>
      <c r="B34" s="1242"/>
      <c r="C34" s="1242"/>
      <c r="D34" s="1242"/>
      <c r="E34" s="1242"/>
      <c r="F34" s="1242"/>
      <c r="G34" s="1242"/>
      <c r="H34" s="1242"/>
      <c r="I34" s="1242"/>
      <c r="J34" s="1242"/>
    </row>
    <row r="35" spans="1:11" ht="15" customHeight="1" x14ac:dyDescent="0.25">
      <c r="A35" s="281" t="s">
        <v>118</v>
      </c>
    </row>
    <row r="36" spans="1:11" ht="15" customHeight="1" x14ac:dyDescent="0.25">
      <c r="A36" s="2984" t="s">
        <v>119</v>
      </c>
      <c r="B36" s="2984"/>
      <c r="C36" s="2984"/>
      <c r="D36" s="2984" t="s">
        <v>120</v>
      </c>
      <c r="E36" s="2984"/>
      <c r="F36" s="2984"/>
      <c r="G36" s="2984" t="s">
        <v>121</v>
      </c>
      <c r="H36" s="2984"/>
      <c r="I36" s="2984" t="s">
        <v>475</v>
      </c>
      <c r="J36" s="2984"/>
    </row>
    <row r="37" spans="1:11" ht="15" customHeight="1" x14ac:dyDescent="0.25">
      <c r="A37" s="3023" t="str">
        <f>IF(Cabeçalho!G3="","*",Cabeçalho!G3)</f>
        <v>*</v>
      </c>
      <c r="B37" s="3023"/>
      <c r="C37" s="3023"/>
      <c r="D37" s="3024" t="str">
        <f>IF(Cabeçalho!G4="","*",Cabeçalho!G4)</f>
        <v>*</v>
      </c>
      <c r="E37" s="3024"/>
      <c r="F37" s="3024"/>
      <c r="G37" s="3024" t="str">
        <f>IF(Cabeçalho!G5="","*",Cabeçalho!G5)</f>
        <v>*</v>
      </c>
      <c r="H37" s="3024"/>
      <c r="I37" s="3024" t="str">
        <f>IF(Cabeçalho!G6="","*",Cabeçalho!G6)</f>
        <v>*</v>
      </c>
      <c r="J37" s="3024"/>
    </row>
    <row r="38" spans="1:11" ht="15" customHeight="1" x14ac:dyDescent="0.25">
      <c r="A38" s="3023"/>
      <c r="B38" s="3023"/>
      <c r="C38" s="3023"/>
      <c r="D38" s="3024"/>
      <c r="E38" s="3024"/>
      <c r="F38" s="3024"/>
      <c r="G38" s="3024"/>
      <c r="H38" s="3024"/>
      <c r="I38" s="3024"/>
      <c r="J38" s="3024"/>
    </row>
    <row r="39" spans="1:11" ht="15" customHeight="1" x14ac:dyDescent="0.25">
      <c r="A39" s="1349" t="s">
        <v>1616</v>
      </c>
    </row>
    <row r="40" spans="1:11" s="1347" customFormat="1" ht="15" customHeight="1" x14ac:dyDescent="0.25">
      <c r="A40" s="1349"/>
    </row>
    <row r="41" spans="1:11" ht="15" customHeight="1" x14ac:dyDescent="0.25">
      <c r="A41" s="3025" t="s">
        <v>124</v>
      </c>
      <c r="B41" s="3025"/>
      <c r="C41" s="3025"/>
      <c r="D41" s="3025"/>
      <c r="E41" s="3026" t="s">
        <v>1491</v>
      </c>
      <c r="F41" s="3026"/>
      <c r="G41" s="3026"/>
      <c r="H41" s="3026"/>
      <c r="I41" s="3026"/>
      <c r="J41" s="3026"/>
    </row>
    <row r="42" spans="1:11" s="2152" customFormat="1" ht="15" customHeight="1" x14ac:dyDescent="0.25">
      <c r="E42" s="2153"/>
      <c r="F42" s="2153"/>
      <c r="G42" s="2153"/>
      <c r="H42" s="2153"/>
      <c r="I42" s="2153"/>
      <c r="J42" s="2153"/>
    </row>
    <row r="43" spans="1:11" s="2152" customFormat="1" ht="15" customHeight="1" x14ac:dyDescent="0.25">
      <c r="A43" s="2473" t="s">
        <v>2353</v>
      </c>
      <c r="B43" s="2473"/>
      <c r="C43" s="2473"/>
      <c r="D43" s="2473"/>
      <c r="E43" s="2075" t="str">
        <f>IF(Cabeçalho!E22&lt;&gt;"",Cabeçalho!E22,"NI")</f>
        <v>NI</v>
      </c>
      <c r="F43" s="2153"/>
      <c r="G43" s="2153"/>
      <c r="H43" s="2153"/>
      <c r="I43" s="2153"/>
      <c r="J43" s="2153"/>
    </row>
    <row r="44" spans="1:11" s="2152" customFormat="1" ht="15" customHeight="1" x14ac:dyDescent="0.25">
      <c r="A44" s="2473" t="s">
        <v>2354</v>
      </c>
      <c r="B44" s="2473"/>
      <c r="C44" s="2473"/>
      <c r="D44" s="2473"/>
      <c r="E44" s="2075" t="str">
        <f>IF(Cabeçalho!E23&lt;&gt;"",Cabeçalho!E23,"NI")</f>
        <v>NI</v>
      </c>
      <c r="F44" s="2153"/>
      <c r="G44" s="2153"/>
      <c r="H44" s="2153"/>
      <c r="I44" s="2153"/>
      <c r="J44" s="2153"/>
    </row>
    <row r="45" spans="1:11" s="2152" customFormat="1" ht="15" customHeight="1" x14ac:dyDescent="0.25">
      <c r="A45" s="2473" t="s">
        <v>2355</v>
      </c>
      <c r="B45" s="2473"/>
      <c r="C45" s="2473"/>
      <c r="D45" s="2473"/>
      <c r="E45" s="2075" t="str">
        <f>IF(Cabeçalho!B15&lt;&gt;"",Cabeçalho!B15,"NI")</f>
        <v>NI</v>
      </c>
      <c r="F45" s="2153"/>
      <c r="G45" s="2153"/>
      <c r="H45" s="2153"/>
      <c r="I45" s="2153"/>
      <c r="J45" s="2153"/>
    </row>
    <row r="46" spans="1:11" s="2152" customFormat="1" ht="15" customHeight="1" x14ac:dyDescent="0.25">
      <c r="A46" s="2162" t="s">
        <v>2678</v>
      </c>
      <c r="B46" s="2137"/>
      <c r="C46" s="2137"/>
      <c r="D46" s="2137"/>
      <c r="E46" s="2153"/>
      <c r="F46" s="2153"/>
      <c r="G46" s="2153"/>
      <c r="H46" s="2153"/>
      <c r="I46" s="2153"/>
      <c r="J46" s="2153"/>
    </row>
    <row r="47" spans="1:11" s="2168" customFormat="1" ht="15" customHeight="1" x14ac:dyDescent="0.25">
      <c r="A47" s="1349"/>
      <c r="E47" s="2173"/>
      <c r="F47" s="2173"/>
      <c r="G47" s="2173"/>
      <c r="H47" s="2173"/>
      <c r="I47" s="2173"/>
    </row>
    <row r="48" spans="1:11" s="2168" customFormat="1" ht="15" customHeight="1" x14ac:dyDescent="0.25">
      <c r="A48" s="2216" t="s">
        <v>1572</v>
      </c>
    </row>
    <row r="49" spans="1:28" s="2168" customFormat="1" ht="15" customHeight="1" x14ac:dyDescent="0.25">
      <c r="A49" s="2465" t="s">
        <v>1573</v>
      </c>
      <c r="B49" s="2465"/>
      <c r="C49" s="2465"/>
      <c r="D49" s="2465"/>
      <c r="E49" s="2465"/>
      <c r="F49" s="2465"/>
      <c r="G49" s="2465" t="s">
        <v>1574</v>
      </c>
      <c r="H49" s="2465"/>
      <c r="I49" s="2465"/>
      <c r="J49" s="2465"/>
    </row>
    <row r="50" spans="1:28" ht="15" customHeight="1" x14ac:dyDescent="0.25">
      <c r="A50" s="2989" t="str">
        <f>Ultrassom!A7</f>
        <v>Cabos de alimentação e plugues possuem rachaduras?</v>
      </c>
      <c r="B50" s="2989"/>
      <c r="C50" s="2989"/>
      <c r="D50" s="2989"/>
      <c r="E50" s="2989"/>
      <c r="F50" s="2989"/>
      <c r="G50" s="2974" t="str">
        <f>IF(Ultrassom!E7="n","Bom",IF(Ultrassom!E7="na","Não aplicável","Sim. Recomenda-se a troca do cabo."))</f>
        <v>Sim. Recomenda-se a troca do cabo.</v>
      </c>
      <c r="H50" s="2974"/>
      <c r="I50" s="2974"/>
      <c r="J50" s="2974"/>
    </row>
    <row r="51" spans="1:28" ht="15" customHeight="1" x14ac:dyDescent="0.25">
      <c r="A51" s="2989" t="str">
        <f>Ultrassom!A8</f>
        <v xml:space="preserve">Cabos de alimentação e plugues estão descoloridos? </v>
      </c>
      <c r="B51" s="2989"/>
      <c r="C51" s="2989"/>
      <c r="D51" s="2989"/>
      <c r="E51" s="2989"/>
      <c r="F51" s="2989"/>
      <c r="G51" s="2990" t="str">
        <f>IF(Ultrassom!E8="n","Bom",IF(Ultrassom!E8="na","Não aplicável","Sim. Recomenda-se não sobreaquecer."))</f>
        <v>Sim. Recomenda-se não sobreaquecer.</v>
      </c>
      <c r="H51" s="2991"/>
      <c r="I51" s="2991"/>
      <c r="J51" s="2992"/>
    </row>
    <row r="52" spans="1:28" ht="15" customHeight="1" x14ac:dyDescent="0.25">
      <c r="A52" s="2989" t="str">
        <f>Ultrassom!A9</f>
        <v>Filtros estão sujos ou com poeira?</v>
      </c>
      <c r="B52" s="2989"/>
      <c r="C52" s="2989"/>
      <c r="D52" s="2989"/>
      <c r="E52" s="2989"/>
      <c r="F52" s="2989"/>
      <c r="G52" s="2974" t="str">
        <f>IF(Ultrassom!E9="n","Bom",IF(Ultrassom!E9="na","Não aplicável","Sim. Recomenda-se a limpeza."))</f>
        <v>Sim. Recomenda-se a limpeza.</v>
      </c>
      <c r="H52" s="2974"/>
      <c r="I52" s="2974"/>
      <c r="J52" s="2974"/>
    </row>
    <row r="53" spans="1:28" ht="15" customHeight="1" x14ac:dyDescent="0.25">
      <c r="A53" s="2989" t="str">
        <f>Ultrassom!A10</f>
        <v>Os botões e interruptores estão íntegros e limpos?</v>
      </c>
      <c r="B53" s="2989"/>
      <c r="C53" s="2989"/>
      <c r="D53" s="2989"/>
      <c r="E53" s="2989"/>
      <c r="F53" s="2989"/>
      <c r="G53" s="2974" t="str">
        <f>IF(Ultrassom!E10="s","Bom",IF(Ultrassom!E10="na","Não aplicável","Não. Recomenda-se a manutenção."))</f>
        <v>Bom</v>
      </c>
      <c r="H53" s="2974"/>
      <c r="I53" s="2974"/>
      <c r="J53" s="2974"/>
    </row>
    <row r="54" spans="1:28" ht="15" customHeight="1" x14ac:dyDescent="0.25">
      <c r="A54" s="2989" t="str">
        <f>Ultrassom!A11</f>
        <v>As rodas estão funcionais?</v>
      </c>
      <c r="B54" s="2989"/>
      <c r="C54" s="2989"/>
      <c r="D54" s="2989"/>
      <c r="E54" s="2989"/>
      <c r="F54" s="2989"/>
      <c r="G54" s="2974" t="str">
        <f>IF(Ultrassom!E11="s","Bom",IF(Ultrassom!E11="na","Não aplicável","Não. Recomenda-se a manutenção."))</f>
        <v>Bom</v>
      </c>
      <c r="H54" s="2974"/>
      <c r="I54" s="2974"/>
      <c r="J54" s="2974"/>
    </row>
    <row r="55" spans="1:28" ht="15" customHeight="1" x14ac:dyDescent="0.25">
      <c r="A55" s="2989" t="str">
        <f>Ultrassom!A12</f>
        <v>O sistema de travamento das rodas está funcionando?</v>
      </c>
      <c r="B55" s="2989"/>
      <c r="C55" s="2989"/>
      <c r="D55" s="2989"/>
      <c r="E55" s="2989"/>
      <c r="F55" s="2989"/>
      <c r="G55" s="2974" t="str">
        <f>IF(Ultrassom!E12="s","Bom",IF(Ultrassom!E12="na","Não aplicável","Não. Recomenda-se a manutenção."))</f>
        <v>Bom</v>
      </c>
      <c r="H55" s="2974"/>
      <c r="I55" s="2974"/>
      <c r="J55" s="2974"/>
    </row>
    <row r="56" spans="1:28" ht="15" customHeight="1" x14ac:dyDescent="0.25">
      <c r="A56" s="2989" t="str">
        <f>Ultrassom!A13</f>
        <v>A tela está limpa e sem arranhões?</v>
      </c>
      <c r="B56" s="2989"/>
      <c r="C56" s="2989"/>
      <c r="D56" s="2989"/>
      <c r="E56" s="2989"/>
      <c r="F56" s="2989"/>
      <c r="G56" s="2974" t="str">
        <f>IF(Ultrassom!E13="s","Bom",IF(Ultrassom!E13="na","Não aplicável","Não. Recomenda-se a manutenção."))</f>
        <v>Bom</v>
      </c>
      <c r="H56" s="2974"/>
      <c r="I56" s="2974"/>
      <c r="J56" s="2974"/>
    </row>
    <row r="57" spans="1:28" ht="15" customHeight="1" x14ac:dyDescent="0.25">
      <c r="A57" s="2989" t="str">
        <f>Ultrassom!A14</f>
        <v>O equipamento tem controle de brilho e contraste?</v>
      </c>
      <c r="B57" s="2989"/>
      <c r="C57" s="2989"/>
      <c r="D57" s="2989"/>
      <c r="E57" s="2989"/>
      <c r="F57" s="2989"/>
      <c r="G57" s="2974" t="str">
        <f>IF(Ultrassom!E14="s","Sim",IF(Ultrassom!E14="na","Não aplicável","Não"))</f>
        <v>Sim</v>
      </c>
      <c r="H57" s="2974"/>
      <c r="I57" s="2974"/>
      <c r="J57" s="2974"/>
    </row>
    <row r="58" spans="1:28" ht="15" customHeight="1" x14ac:dyDescent="0.25">
      <c r="A58" s="2989" t="str">
        <f>Ultrassom!A15</f>
        <v>O console está íntegro?</v>
      </c>
      <c r="B58" s="2989"/>
      <c r="C58" s="2989"/>
      <c r="D58" s="2989"/>
      <c r="E58" s="2989"/>
      <c r="F58" s="2989"/>
      <c r="G58" s="2974" t="str">
        <f>IF(Ultrassom!E15="s","Bom",IF(Ultrassom!E15="na","Não aplicável","Não. Recomenda-se a manutenção."))</f>
        <v>Bom</v>
      </c>
      <c r="H58" s="2974"/>
      <c r="I58" s="2974"/>
      <c r="J58" s="2974"/>
    </row>
    <row r="59" spans="1:28" ht="15" customHeight="1" x14ac:dyDescent="0.25">
      <c r="A59" s="2989" t="str">
        <f>Ultrassom!A16</f>
        <v>Os transdutores estão íntegros?</v>
      </c>
      <c r="B59" s="2989"/>
      <c r="C59" s="2989"/>
      <c r="D59" s="2989"/>
      <c r="E59" s="2989"/>
      <c r="F59" s="2989"/>
      <c r="G59" s="2974" t="str">
        <f>IF(Ultrassom!E16="s","Bom",IF(Ultrassom!E16="na","Não aplicável","Não. Recomenda-se a manutenção."))</f>
        <v>Bom</v>
      </c>
      <c r="H59" s="2974"/>
      <c r="I59" s="2974"/>
      <c r="J59" s="2974"/>
    </row>
    <row r="60" spans="1:28" s="1311" customFormat="1" ht="15" customHeight="1" x14ac:dyDescent="0.25">
      <c r="A60" s="2989" t="str">
        <f>Ultrassom!A17</f>
        <v>Equipamento possui ferramenta ROI?</v>
      </c>
      <c r="B60" s="2989"/>
      <c r="C60" s="2989"/>
      <c r="D60" s="2989"/>
      <c r="E60" s="2989"/>
      <c r="F60" s="2989"/>
      <c r="G60" s="2974" t="str">
        <f>IF(Ultrassom!E17="s","Sim","Não")</f>
        <v>Não</v>
      </c>
      <c r="H60" s="2974"/>
      <c r="I60" s="2974"/>
      <c r="J60" s="2974"/>
    </row>
    <row r="61" spans="1:28" s="1347" customFormat="1" ht="15" customHeight="1" x14ac:dyDescent="0.25">
      <c r="A61" s="2989" t="str">
        <f>Ultrassom!A18</f>
        <v>Equipamento possui modo doppler?</v>
      </c>
      <c r="B61" s="2989"/>
      <c r="C61" s="2989"/>
      <c r="D61" s="2989"/>
      <c r="E61" s="2989"/>
      <c r="F61" s="2989"/>
      <c r="G61" s="2974" t="str">
        <f>IF(Ultrassom!E18="s","Sim","Não")</f>
        <v>Não</v>
      </c>
      <c r="H61" s="2974"/>
      <c r="I61" s="2974"/>
      <c r="J61" s="2974"/>
    </row>
    <row r="63" spans="1:28" ht="15" customHeight="1" x14ac:dyDescent="0.25">
      <c r="A63" s="281" t="s">
        <v>1599</v>
      </c>
      <c r="U63" s="2984" t="s">
        <v>2757</v>
      </c>
      <c r="V63" s="2984"/>
      <c r="W63" s="2984"/>
      <c r="X63" s="2984"/>
      <c r="Y63" s="2984"/>
      <c r="Z63" s="2984"/>
      <c r="AA63" s="2984"/>
      <c r="AB63" s="2984"/>
    </row>
    <row r="64" spans="1:28" s="2109" customFormat="1" ht="15" customHeight="1" x14ac:dyDescent="0.25">
      <c r="A64" s="2984" t="s">
        <v>1576</v>
      </c>
      <c r="B64" s="2984"/>
      <c r="C64" s="2984"/>
      <c r="D64" s="2984"/>
      <c r="E64" s="2984" t="s">
        <v>2066</v>
      </c>
      <c r="F64" s="2984"/>
      <c r="G64" s="2984"/>
      <c r="H64" s="2132" t="s">
        <v>2457</v>
      </c>
      <c r="I64" s="2984" t="s">
        <v>660</v>
      </c>
      <c r="J64" s="2984"/>
      <c r="Q64" s="1372"/>
      <c r="R64" s="1372"/>
      <c r="S64" s="1372"/>
      <c r="T64" s="2149" t="s">
        <v>146</v>
      </c>
      <c r="U64" s="2149">
        <v>1</v>
      </c>
      <c r="V64" s="2149">
        <v>2</v>
      </c>
      <c r="W64" s="2149">
        <v>3</v>
      </c>
      <c r="X64" s="2149">
        <v>4</v>
      </c>
      <c r="Y64" s="2149">
        <v>5</v>
      </c>
      <c r="Z64" s="2149">
        <v>6</v>
      </c>
      <c r="AA64" s="2149">
        <v>7</v>
      </c>
      <c r="AB64" s="2149">
        <v>8</v>
      </c>
    </row>
    <row r="65" spans="1:29" s="2109" customFormat="1" ht="29.25" customHeight="1" x14ac:dyDescent="0.25">
      <c r="A65" s="2974" t="s">
        <v>1619</v>
      </c>
      <c r="B65" s="2974"/>
      <c r="C65" s="2974"/>
      <c r="D65" s="2974"/>
      <c r="E65" s="2985" t="s">
        <v>2640</v>
      </c>
      <c r="F65" s="2985"/>
      <c r="G65" s="2985"/>
      <c r="H65" s="2325" t="s">
        <v>2359</v>
      </c>
      <c r="I65" s="2985" t="s">
        <v>2544</v>
      </c>
      <c r="J65" s="2985"/>
      <c r="K65" s="2131"/>
      <c r="Q65" s="2220"/>
      <c r="R65" s="2220"/>
      <c r="S65" s="2220"/>
      <c r="T65" s="2217" t="s">
        <v>1619</v>
      </c>
      <c r="U65" s="2151" t="str">
        <f>I88</f>
        <v>NA</v>
      </c>
      <c r="V65" s="2151" t="str">
        <f>I184</f>
        <v>NA</v>
      </c>
      <c r="W65" s="2151" t="str">
        <f>I280</f>
        <v>NA</v>
      </c>
      <c r="X65" s="2151" t="str">
        <f>I376</f>
        <v>NA</v>
      </c>
      <c r="Y65" s="2151" t="str">
        <f>I472</f>
        <v>NA</v>
      </c>
      <c r="Z65" s="2151" t="str">
        <f>I568</f>
        <v>NA</v>
      </c>
      <c r="AA65" s="2151" t="str">
        <f>I664</f>
        <v>NA</v>
      </c>
      <c r="AB65" s="2151" t="str">
        <f>I760</f>
        <v>NA</v>
      </c>
      <c r="AC65" s="2150" t="str">
        <f>IF(COUNTIF(U65:AB65,"Não")&lt;&gt;0,"Não conforme",IF(COUNTIF(U65:AB65,"Sim")&lt;&gt;0,"Conforme",IF(COUNTIF(U65:AB65,"NPA")&lt;&gt;0,"NPA","NA")))</f>
        <v>NA</v>
      </c>
    </row>
    <row r="66" spans="1:29" s="2109" customFormat="1" ht="31.5" customHeight="1" x14ac:dyDescent="0.25">
      <c r="A66" s="2974" t="s">
        <v>1538</v>
      </c>
      <c r="B66" s="2974"/>
      <c r="C66" s="2974"/>
      <c r="D66" s="2974"/>
      <c r="E66" s="2466" t="s">
        <v>2641</v>
      </c>
      <c r="F66" s="2466"/>
      <c r="G66" s="2466"/>
      <c r="H66" s="2325" t="s">
        <v>2359</v>
      </c>
      <c r="I66" s="2985" t="s">
        <v>2663</v>
      </c>
      <c r="J66" s="2985"/>
      <c r="Q66" s="2220"/>
      <c r="R66" s="2220"/>
      <c r="S66" s="2220"/>
      <c r="T66" s="2217" t="s">
        <v>1538</v>
      </c>
      <c r="U66" s="2151" t="str">
        <f t="shared" ref="U66:U90" si="0">I89</f>
        <v>NPA</v>
      </c>
      <c r="V66" s="2151" t="str">
        <f t="shared" ref="V66:V90" si="1">I185</f>
        <v>NPA</v>
      </c>
      <c r="W66" s="2151" t="str">
        <f t="shared" ref="W66:W90" si="2">I281</f>
        <v>NPA</v>
      </c>
      <c r="X66" s="2151" t="str">
        <f t="shared" ref="X66:X90" si="3">I377</f>
        <v>NPA</v>
      </c>
      <c r="Y66" s="2151" t="str">
        <f t="shared" ref="Y66:Y90" si="4">I473</f>
        <v>NPA</v>
      </c>
      <c r="Z66" s="2151" t="str">
        <f t="shared" ref="Z66:Z90" si="5">I569</f>
        <v>NPA</v>
      </c>
      <c r="AA66" s="2151" t="str">
        <f t="shared" ref="AA66:AA90" si="6">I665</f>
        <v>NPA</v>
      </c>
      <c r="AB66" s="2151" t="str">
        <f t="shared" ref="AB66:AB90" si="7">I761</f>
        <v>NPA</v>
      </c>
      <c r="AC66" s="2150" t="str">
        <f t="shared" ref="AC66:AC90" si="8">IF(COUNTIF(U66:AB66,"Não")&lt;&gt;0,"Não conforme",IF(COUNTIF(U66:AB66,"Sim")&lt;&gt;0,"Conforme",IF(COUNTIF(U66:AB66,"NPA")&lt;&gt;0,"NPA","NA")))</f>
        <v>NPA</v>
      </c>
    </row>
    <row r="67" spans="1:29" s="2109" customFormat="1" ht="29.25" customHeight="1" x14ac:dyDescent="0.25">
      <c r="A67" s="2974" t="s">
        <v>1578</v>
      </c>
      <c r="B67" s="2974"/>
      <c r="C67" s="2974"/>
      <c r="D67" s="2974"/>
      <c r="E67" s="2329" t="s">
        <v>2642</v>
      </c>
      <c r="F67" s="2329"/>
      <c r="G67" s="2329"/>
      <c r="H67" s="2325" t="s">
        <v>2359</v>
      </c>
      <c r="I67" s="2985" t="s">
        <v>2643</v>
      </c>
      <c r="J67" s="2985"/>
      <c r="Q67" s="2220"/>
      <c r="R67" s="2220"/>
      <c r="S67" s="2220"/>
      <c r="T67" s="2217" t="s">
        <v>1579</v>
      </c>
      <c r="U67" s="2151" t="str">
        <f t="shared" si="0"/>
        <v>NA</v>
      </c>
      <c r="V67" s="2151" t="str">
        <f t="shared" si="1"/>
        <v>NA</v>
      </c>
      <c r="W67" s="2151" t="str">
        <f t="shared" si="2"/>
        <v>NA</v>
      </c>
      <c r="X67" s="2151" t="str">
        <f t="shared" si="3"/>
        <v>NA</v>
      </c>
      <c r="Y67" s="2151" t="str">
        <f t="shared" si="4"/>
        <v>NA</v>
      </c>
      <c r="Z67" s="2151" t="str">
        <f t="shared" si="5"/>
        <v>NA</v>
      </c>
      <c r="AA67" s="2151" t="str">
        <f t="shared" si="6"/>
        <v>NA</v>
      </c>
      <c r="AB67" s="2151" t="str">
        <f t="shared" si="7"/>
        <v>NA</v>
      </c>
      <c r="AC67" s="2150" t="str">
        <f t="shared" si="8"/>
        <v>NA</v>
      </c>
    </row>
    <row r="68" spans="1:29" s="2109" customFormat="1" ht="29.25" customHeight="1" x14ac:dyDescent="0.25">
      <c r="A68" s="2974" t="s">
        <v>1580</v>
      </c>
      <c r="B68" s="2974"/>
      <c r="C68" s="2974"/>
      <c r="D68" s="2974"/>
      <c r="E68" s="2985" t="s">
        <v>2644</v>
      </c>
      <c r="F68" s="2985"/>
      <c r="G68" s="2985"/>
      <c r="H68" s="2325" t="s">
        <v>2359</v>
      </c>
      <c r="I68" s="2985" t="s">
        <v>2662</v>
      </c>
      <c r="J68" s="2985"/>
      <c r="Q68" s="2220"/>
      <c r="R68" s="2220"/>
      <c r="S68" s="2220"/>
      <c r="T68" s="2217" t="s">
        <v>1577</v>
      </c>
      <c r="U68" s="2151" t="str">
        <f t="shared" si="0"/>
        <v>NA</v>
      </c>
      <c r="V68" s="2151" t="str">
        <f t="shared" si="1"/>
        <v>NA</v>
      </c>
      <c r="W68" s="2151" t="str">
        <f t="shared" si="2"/>
        <v>NA</v>
      </c>
      <c r="X68" s="2151" t="str">
        <f t="shared" si="3"/>
        <v>NA</v>
      </c>
      <c r="Y68" s="2151" t="str">
        <f t="shared" si="4"/>
        <v>NA</v>
      </c>
      <c r="Z68" s="2151" t="str">
        <f t="shared" si="5"/>
        <v>NA</v>
      </c>
      <c r="AA68" s="2151" t="str">
        <f t="shared" si="6"/>
        <v>NA</v>
      </c>
      <c r="AB68" s="2151" t="str">
        <f t="shared" si="7"/>
        <v>NA</v>
      </c>
      <c r="AC68" s="2150" t="str">
        <f t="shared" si="8"/>
        <v>NA</v>
      </c>
    </row>
    <row r="69" spans="1:29" s="2109" customFormat="1" ht="34.5" customHeight="1" x14ac:dyDescent="0.25">
      <c r="A69" s="2974" t="s">
        <v>1581</v>
      </c>
      <c r="B69" s="2974"/>
      <c r="C69" s="2974"/>
      <c r="D69" s="2974"/>
      <c r="E69" s="2985" t="s">
        <v>2644</v>
      </c>
      <c r="F69" s="2985"/>
      <c r="G69" s="2985"/>
      <c r="H69" s="2325" t="s">
        <v>2359</v>
      </c>
      <c r="I69" s="2985" t="s">
        <v>2662</v>
      </c>
      <c r="J69" s="2985"/>
      <c r="Q69" s="2220"/>
      <c r="R69" s="2220"/>
      <c r="S69" s="2220"/>
      <c r="T69" s="2217" t="s">
        <v>1578</v>
      </c>
      <c r="U69" s="2151" t="str">
        <f t="shared" si="0"/>
        <v>Sim</v>
      </c>
      <c r="V69" s="2151" t="str">
        <f t="shared" si="1"/>
        <v>NA</v>
      </c>
      <c r="W69" s="2151" t="str">
        <f t="shared" si="2"/>
        <v>NA</v>
      </c>
      <c r="X69" s="2151" t="str">
        <f t="shared" si="3"/>
        <v>NA</v>
      </c>
      <c r="Y69" s="2151" t="str">
        <f t="shared" si="4"/>
        <v>NA</v>
      </c>
      <c r="Z69" s="2151" t="str">
        <f t="shared" si="5"/>
        <v>NA</v>
      </c>
      <c r="AA69" s="2151" t="str">
        <f t="shared" si="6"/>
        <v>NA</v>
      </c>
      <c r="AB69" s="2151" t="str">
        <f t="shared" si="7"/>
        <v>NA</v>
      </c>
      <c r="AC69" s="2150" t="str">
        <f t="shared" si="8"/>
        <v>Conforme</v>
      </c>
    </row>
    <row r="70" spans="1:29" s="2109" customFormat="1" ht="29.25" customHeight="1" x14ac:dyDescent="0.25">
      <c r="A70" s="2974" t="s">
        <v>1582</v>
      </c>
      <c r="B70" s="2974"/>
      <c r="C70" s="2974"/>
      <c r="D70" s="2974"/>
      <c r="E70" s="2985" t="s">
        <v>2644</v>
      </c>
      <c r="F70" s="2985"/>
      <c r="G70" s="2985"/>
      <c r="H70" s="2325" t="s">
        <v>2359</v>
      </c>
      <c r="I70" s="2985" t="s">
        <v>2662</v>
      </c>
      <c r="J70" s="2985"/>
      <c r="Q70" s="2220"/>
      <c r="R70" s="2220"/>
      <c r="S70" s="2220"/>
      <c r="T70" s="2217" t="s">
        <v>1580</v>
      </c>
      <c r="U70" s="2151" t="str">
        <f t="shared" si="0"/>
        <v>Sim</v>
      </c>
      <c r="V70" s="2151" t="str">
        <f t="shared" si="1"/>
        <v>Sim</v>
      </c>
      <c r="W70" s="2151" t="str">
        <f t="shared" si="2"/>
        <v>Sim</v>
      </c>
      <c r="X70" s="2151" t="str">
        <f t="shared" si="3"/>
        <v>Sim</v>
      </c>
      <c r="Y70" s="2151" t="str">
        <f t="shared" si="4"/>
        <v>Sim</v>
      </c>
      <c r="Z70" s="2151" t="str">
        <f t="shared" si="5"/>
        <v>Sim</v>
      </c>
      <c r="AA70" s="2151" t="str">
        <f t="shared" si="6"/>
        <v>Sim</v>
      </c>
      <c r="AB70" s="2151" t="str">
        <f t="shared" si="7"/>
        <v>Sim</v>
      </c>
      <c r="AC70" s="2150" t="str">
        <f t="shared" si="8"/>
        <v>Conforme</v>
      </c>
    </row>
    <row r="71" spans="1:29" s="2109" customFormat="1" ht="50.25" customHeight="1" x14ac:dyDescent="0.25">
      <c r="A71" s="2974" t="s">
        <v>2637</v>
      </c>
      <c r="B71" s="2974"/>
      <c r="C71" s="2974"/>
      <c r="D71" s="2974"/>
      <c r="E71" s="2985" t="s">
        <v>2645</v>
      </c>
      <c r="F71" s="2985"/>
      <c r="G71" s="2985"/>
      <c r="H71" s="2325" t="s">
        <v>2359</v>
      </c>
      <c r="I71" s="2985" t="s">
        <v>2646</v>
      </c>
      <c r="J71" s="2985"/>
      <c r="Q71" s="2220"/>
      <c r="R71" s="2220"/>
      <c r="S71" s="2220"/>
      <c r="T71" s="2217" t="s">
        <v>1581</v>
      </c>
      <c r="U71" s="2151" t="str">
        <f t="shared" si="0"/>
        <v>Sim</v>
      </c>
      <c r="V71" s="2151" t="str">
        <f t="shared" si="1"/>
        <v>Sim</v>
      </c>
      <c r="W71" s="2151" t="str">
        <f t="shared" si="2"/>
        <v>Sim</v>
      </c>
      <c r="X71" s="2151" t="str">
        <f t="shared" si="3"/>
        <v>Sim</v>
      </c>
      <c r="Y71" s="2151" t="str">
        <f t="shared" si="4"/>
        <v>Sim</v>
      </c>
      <c r="Z71" s="2151" t="str">
        <f t="shared" si="5"/>
        <v>Sim</v>
      </c>
      <c r="AA71" s="2151" t="str">
        <f t="shared" si="6"/>
        <v>Sim</v>
      </c>
      <c r="AB71" s="2151" t="str">
        <f t="shared" si="7"/>
        <v>Sim</v>
      </c>
      <c r="AC71" s="2150" t="str">
        <f t="shared" si="8"/>
        <v>Conforme</v>
      </c>
    </row>
    <row r="72" spans="1:29" s="2109" customFormat="1" ht="29.25" customHeight="1" x14ac:dyDescent="0.25">
      <c r="A72" s="2974" t="s">
        <v>1583</v>
      </c>
      <c r="B72" s="2974"/>
      <c r="C72" s="2974"/>
      <c r="D72" s="2974"/>
      <c r="E72" s="2985" t="s">
        <v>2647</v>
      </c>
      <c r="F72" s="2985"/>
      <c r="G72" s="2985"/>
      <c r="H72" s="2325" t="s">
        <v>2359</v>
      </c>
      <c r="I72" s="2985" t="s">
        <v>2648</v>
      </c>
      <c r="J72" s="2985"/>
      <c r="Q72" s="2220"/>
      <c r="R72" s="2220"/>
      <c r="S72" s="2220"/>
      <c r="T72" s="2217" t="s">
        <v>1582</v>
      </c>
      <c r="U72" s="2151" t="str">
        <f t="shared" si="0"/>
        <v>Sim</v>
      </c>
      <c r="V72" s="2151" t="str">
        <f t="shared" si="1"/>
        <v>Sim</v>
      </c>
      <c r="W72" s="2151" t="str">
        <f t="shared" si="2"/>
        <v>Sim</v>
      </c>
      <c r="X72" s="2151" t="str">
        <f t="shared" si="3"/>
        <v>Sim</v>
      </c>
      <c r="Y72" s="2151" t="str">
        <f t="shared" si="4"/>
        <v>Sim</v>
      </c>
      <c r="Z72" s="2151" t="str">
        <f t="shared" si="5"/>
        <v>Sim</v>
      </c>
      <c r="AA72" s="2151" t="str">
        <f t="shared" si="6"/>
        <v>Sim</v>
      </c>
      <c r="AB72" s="2151" t="str">
        <f t="shared" si="7"/>
        <v>Sim</v>
      </c>
      <c r="AC72" s="2150" t="str">
        <f t="shared" si="8"/>
        <v>Conforme</v>
      </c>
    </row>
    <row r="73" spans="1:29" s="2109" customFormat="1" ht="29.25" customHeight="1" x14ac:dyDescent="0.25">
      <c r="A73" s="2974" t="s">
        <v>1584</v>
      </c>
      <c r="B73" s="2974"/>
      <c r="C73" s="2974"/>
      <c r="D73" s="2974"/>
      <c r="E73" s="2985" t="s">
        <v>2649</v>
      </c>
      <c r="F73" s="2985"/>
      <c r="G73" s="2985"/>
      <c r="H73" s="2325" t="s">
        <v>2359</v>
      </c>
      <c r="I73" s="2985" t="s">
        <v>2650</v>
      </c>
      <c r="J73" s="2985"/>
      <c r="Q73" s="2220"/>
      <c r="R73" s="2220"/>
      <c r="S73" s="2220"/>
      <c r="T73" s="2219" t="str">
        <f>"Zona morta @ "&amp;ROUND(Ultrassom!T46,1)&amp;" MHz"</f>
        <v>Zona morta @ 0 MHz</v>
      </c>
      <c r="U73" s="2151" t="str">
        <f t="shared" si="0"/>
        <v>Sim</v>
      </c>
      <c r="V73" s="2151" t="str">
        <f t="shared" si="1"/>
        <v>Sim</v>
      </c>
      <c r="W73" s="2151" t="str">
        <f t="shared" si="2"/>
        <v>Sim</v>
      </c>
      <c r="X73" s="2151" t="str">
        <f t="shared" si="3"/>
        <v>Sim</v>
      </c>
      <c r="Y73" s="2151" t="str">
        <f t="shared" si="4"/>
        <v>Sim</v>
      </c>
      <c r="Z73" s="2151" t="str">
        <f t="shared" si="5"/>
        <v>Sim</v>
      </c>
      <c r="AA73" s="2151" t="str">
        <f t="shared" si="6"/>
        <v>Sim</v>
      </c>
      <c r="AB73" s="2151" t="str">
        <f t="shared" si="7"/>
        <v>Sim</v>
      </c>
      <c r="AC73" s="2150" t="str">
        <f t="shared" si="8"/>
        <v>Conforme</v>
      </c>
    </row>
    <row r="74" spans="1:29" s="2109" customFormat="1" ht="33" customHeight="1" x14ac:dyDescent="0.25">
      <c r="A74" s="2974" t="s">
        <v>2638</v>
      </c>
      <c r="B74" s="2974"/>
      <c r="C74" s="2974"/>
      <c r="D74" s="2974"/>
      <c r="E74" s="2985" t="s">
        <v>2651</v>
      </c>
      <c r="F74" s="2985"/>
      <c r="G74" s="2985"/>
      <c r="H74" s="2325" t="s">
        <v>2359</v>
      </c>
      <c r="I74" s="2879" t="s">
        <v>2652</v>
      </c>
      <c r="J74" s="2879"/>
      <c r="Q74" s="2220"/>
      <c r="R74" s="2220"/>
      <c r="S74" s="2220"/>
      <c r="T74" s="2221" t="s">
        <v>1583</v>
      </c>
      <c r="U74" s="2151" t="str">
        <f t="shared" si="0"/>
        <v>NPA</v>
      </c>
      <c r="V74" s="2151" t="str">
        <f t="shared" si="1"/>
        <v>NPA</v>
      </c>
      <c r="W74" s="2151" t="str">
        <f t="shared" si="2"/>
        <v>NPA</v>
      </c>
      <c r="X74" s="2151" t="str">
        <f t="shared" si="3"/>
        <v>NPA</v>
      </c>
      <c r="Y74" s="2151" t="str">
        <f t="shared" si="4"/>
        <v>NPA</v>
      </c>
      <c r="Z74" s="2151" t="str">
        <f t="shared" si="5"/>
        <v>NPA</v>
      </c>
      <c r="AA74" s="2151" t="str">
        <f t="shared" si="6"/>
        <v>NPA</v>
      </c>
      <c r="AB74" s="2151" t="str">
        <f t="shared" si="7"/>
        <v>NPA</v>
      </c>
      <c r="AC74" s="2150" t="str">
        <f t="shared" si="8"/>
        <v>NPA</v>
      </c>
    </row>
    <row r="75" spans="1:29" s="2109" customFormat="1" ht="36" customHeight="1" x14ac:dyDescent="0.25">
      <c r="A75" s="2974" t="s">
        <v>2639</v>
      </c>
      <c r="B75" s="2974"/>
      <c r="C75" s="2974"/>
      <c r="D75" s="2974"/>
      <c r="E75" s="2985" t="s">
        <v>2653</v>
      </c>
      <c r="F75" s="2985"/>
      <c r="G75" s="2985"/>
      <c r="H75" s="2325" t="s">
        <v>2359</v>
      </c>
      <c r="I75" s="2879" t="s">
        <v>2654</v>
      </c>
      <c r="J75" s="2879"/>
      <c r="Q75" s="2220"/>
      <c r="R75" s="2220"/>
      <c r="S75" s="2220"/>
      <c r="T75" s="2221" t="s">
        <v>1584</v>
      </c>
      <c r="U75" s="2151" t="str">
        <f t="shared" si="0"/>
        <v>NPA</v>
      </c>
      <c r="V75" s="2151" t="str">
        <f t="shared" si="1"/>
        <v>NPA</v>
      </c>
      <c r="W75" s="2151" t="str">
        <f t="shared" si="2"/>
        <v>NPA</v>
      </c>
      <c r="X75" s="2151" t="str">
        <f t="shared" si="3"/>
        <v>NPA</v>
      </c>
      <c r="Y75" s="2151" t="str">
        <f t="shared" si="4"/>
        <v>NPA</v>
      </c>
      <c r="Z75" s="2151" t="str">
        <f t="shared" si="5"/>
        <v>NPA</v>
      </c>
      <c r="AA75" s="2151" t="str">
        <f t="shared" si="6"/>
        <v>NPA</v>
      </c>
      <c r="AB75" s="2151" t="str">
        <f t="shared" si="7"/>
        <v>NPA</v>
      </c>
      <c r="AC75" s="2150" t="str">
        <f t="shared" si="8"/>
        <v>NPA</v>
      </c>
    </row>
    <row r="76" spans="1:29" s="2109" customFormat="1" ht="29.25" customHeight="1" x14ac:dyDescent="0.25">
      <c r="A76" s="2974" t="s">
        <v>1585</v>
      </c>
      <c r="B76" s="2974"/>
      <c r="C76" s="2974"/>
      <c r="D76" s="2974"/>
      <c r="E76" s="2985" t="s">
        <v>2655</v>
      </c>
      <c r="F76" s="2985"/>
      <c r="G76" s="2985"/>
      <c r="H76" s="2325" t="s">
        <v>2359</v>
      </c>
      <c r="I76" s="2985" t="s">
        <v>2662</v>
      </c>
      <c r="J76" s="2985"/>
      <c r="Q76" s="2220"/>
      <c r="R76" s="2220"/>
      <c r="S76" s="2220"/>
      <c r="T76" s="2218" t="str">
        <f>"Resolução axial @ "&amp;ROUND(Ultrassom!W61,1)&amp;" MHz"</f>
        <v>Resolução axial @ 0 MHz</v>
      </c>
      <c r="U76" s="2151" t="str">
        <f t="shared" si="0"/>
        <v>Sim</v>
      </c>
      <c r="V76" s="2151" t="str">
        <f t="shared" si="1"/>
        <v>Sim</v>
      </c>
      <c r="W76" s="2151" t="str">
        <f t="shared" si="2"/>
        <v>Sim</v>
      </c>
      <c r="X76" s="2151" t="str">
        <f t="shared" si="3"/>
        <v>Sim</v>
      </c>
      <c r="Y76" s="2151" t="str">
        <f t="shared" si="4"/>
        <v>Sim</v>
      </c>
      <c r="Z76" s="2151" t="str">
        <f t="shared" si="5"/>
        <v>Sim</v>
      </c>
      <c r="AA76" s="2151" t="str">
        <f t="shared" si="6"/>
        <v>Sim</v>
      </c>
      <c r="AB76" s="2151" t="str">
        <f t="shared" si="7"/>
        <v>Sim</v>
      </c>
      <c r="AC76" s="2150" t="str">
        <f t="shared" si="8"/>
        <v>Conforme</v>
      </c>
    </row>
    <row r="77" spans="1:29" s="2109" customFormat="1" ht="29.25" customHeight="1" x14ac:dyDescent="0.25">
      <c r="A77" s="2974" t="s">
        <v>1586</v>
      </c>
      <c r="B77" s="2974"/>
      <c r="C77" s="2974"/>
      <c r="D77" s="2974"/>
      <c r="E77" s="2985" t="s">
        <v>2656</v>
      </c>
      <c r="F77" s="2985"/>
      <c r="G77" s="2985"/>
      <c r="H77" s="2325" t="s">
        <v>2359</v>
      </c>
      <c r="I77" s="2985" t="s">
        <v>2662</v>
      </c>
      <c r="J77" s="2985"/>
      <c r="Q77" s="2220"/>
      <c r="R77" s="2220"/>
      <c r="S77" s="2220"/>
      <c r="T77" s="2218" t="str">
        <f>"Resolução lateral @ "&amp;ROUND(Ultrassom!X61,1)&amp;" MHz"</f>
        <v>Resolução lateral @ 0 MHz</v>
      </c>
      <c r="U77" s="2151" t="str">
        <f t="shared" si="0"/>
        <v>Sim</v>
      </c>
      <c r="V77" s="2151" t="str">
        <f t="shared" si="1"/>
        <v>Sim</v>
      </c>
      <c r="W77" s="2151" t="str">
        <f t="shared" si="2"/>
        <v>Sim</v>
      </c>
      <c r="X77" s="2151" t="str">
        <f t="shared" si="3"/>
        <v>Sim</v>
      </c>
      <c r="Y77" s="2151" t="str">
        <f t="shared" si="4"/>
        <v>Sim</v>
      </c>
      <c r="Z77" s="2151" t="str">
        <f t="shared" si="5"/>
        <v>Sim</v>
      </c>
      <c r="AA77" s="2151" t="str">
        <f t="shared" si="6"/>
        <v>Sim</v>
      </c>
      <c r="AB77" s="2151" t="str">
        <f t="shared" si="7"/>
        <v>Sim</v>
      </c>
      <c r="AC77" s="2150" t="str">
        <f t="shared" si="8"/>
        <v>Conforme</v>
      </c>
    </row>
    <row r="78" spans="1:29" s="2109" customFormat="1" ht="30.75" customHeight="1" x14ac:dyDescent="0.25">
      <c r="A78" s="2974" t="s">
        <v>1587</v>
      </c>
      <c r="B78" s="2974"/>
      <c r="C78" s="2974"/>
      <c r="D78" s="2974"/>
      <c r="E78" s="2985" t="s">
        <v>2657</v>
      </c>
      <c r="F78" s="2985"/>
      <c r="G78" s="2985"/>
      <c r="H78" s="2325" t="s">
        <v>2359</v>
      </c>
      <c r="I78" s="2985" t="s">
        <v>2662</v>
      </c>
      <c r="J78" s="2985"/>
      <c r="Q78" s="2220"/>
      <c r="R78" s="2220"/>
      <c r="S78" s="2220"/>
      <c r="T78" s="2218" t="str">
        <f>"Zona focal - foco @ "&amp;Ultrassom!U70&amp;" cm"</f>
        <v>Zona focal - foco @  cm</v>
      </c>
      <c r="U78" s="2151" t="str">
        <f t="shared" si="0"/>
        <v>NA</v>
      </c>
      <c r="V78" s="2151" t="str">
        <f t="shared" si="1"/>
        <v>NA</v>
      </c>
      <c r="W78" s="2151" t="str">
        <f t="shared" si="2"/>
        <v>NA</v>
      </c>
      <c r="X78" s="2151" t="str">
        <f t="shared" si="3"/>
        <v>NA</v>
      </c>
      <c r="Y78" s="2151" t="str">
        <f t="shared" si="4"/>
        <v>NA</v>
      </c>
      <c r="Z78" s="2151" t="str">
        <f t="shared" si="5"/>
        <v>NA</v>
      </c>
      <c r="AA78" s="2151" t="str">
        <f t="shared" si="6"/>
        <v>NA</v>
      </c>
      <c r="AB78" s="2151" t="str">
        <f t="shared" si="7"/>
        <v>NA</v>
      </c>
      <c r="AC78" s="2150" t="str">
        <f t="shared" si="8"/>
        <v>NA</v>
      </c>
    </row>
    <row r="79" spans="1:29" s="2109" customFormat="1" ht="30.75" customHeight="1" x14ac:dyDescent="0.25">
      <c r="A79" s="2974" t="s">
        <v>1588</v>
      </c>
      <c r="B79" s="2974"/>
      <c r="C79" s="2974"/>
      <c r="D79" s="2974"/>
      <c r="E79" s="2985" t="s">
        <v>2658</v>
      </c>
      <c r="F79" s="2985"/>
      <c r="G79" s="2985"/>
      <c r="H79" s="2325" t="s">
        <v>2359</v>
      </c>
      <c r="I79" s="2985" t="s">
        <v>2662</v>
      </c>
      <c r="J79" s="2985"/>
      <c r="Q79" s="2220"/>
      <c r="R79" s="2220"/>
      <c r="S79" s="2220"/>
      <c r="T79" s="2218" t="str">
        <f>"Zona focal - foco @ "&amp;Ultrassom!V70&amp;" cm"</f>
        <v>Zona focal - foco @  cm</v>
      </c>
      <c r="U79" s="2151" t="str">
        <f t="shared" si="0"/>
        <v>NA</v>
      </c>
      <c r="V79" s="2151" t="str">
        <f t="shared" si="1"/>
        <v>NA</v>
      </c>
      <c r="W79" s="2151" t="str">
        <f t="shared" si="2"/>
        <v>NA</v>
      </c>
      <c r="X79" s="2151" t="str">
        <f t="shared" si="3"/>
        <v>NA</v>
      </c>
      <c r="Y79" s="2151" t="str">
        <f t="shared" si="4"/>
        <v>NA</v>
      </c>
      <c r="Z79" s="2151" t="str">
        <f t="shared" si="5"/>
        <v>NA</v>
      </c>
      <c r="AA79" s="2151" t="str">
        <f t="shared" si="6"/>
        <v>NA</v>
      </c>
      <c r="AB79" s="2151" t="str">
        <f t="shared" si="7"/>
        <v>NA</v>
      </c>
      <c r="AC79" s="2150" t="str">
        <f t="shared" si="8"/>
        <v>NA</v>
      </c>
    </row>
    <row r="80" spans="1:29" s="2109" customFormat="1" ht="30.75" customHeight="1" x14ac:dyDescent="0.25">
      <c r="A80" s="2974" t="s">
        <v>1589</v>
      </c>
      <c r="B80" s="2974"/>
      <c r="C80" s="2974"/>
      <c r="D80" s="2974"/>
      <c r="E80" s="2985" t="s">
        <v>2659</v>
      </c>
      <c r="F80" s="2985"/>
      <c r="G80" s="2985"/>
      <c r="H80" s="2325" t="s">
        <v>2359</v>
      </c>
      <c r="I80" s="2985" t="s">
        <v>2662</v>
      </c>
      <c r="J80" s="2985"/>
      <c r="Q80" s="2220"/>
      <c r="R80" s="2220"/>
      <c r="S80" s="2220"/>
      <c r="T80" s="2218" t="str">
        <f>"Zona focal - foco @ "&amp;Ultrassom!W70&amp;" cm"</f>
        <v>Zona focal - foco @  cm</v>
      </c>
      <c r="U80" s="2151" t="str">
        <f t="shared" si="0"/>
        <v>NA</v>
      </c>
      <c r="V80" s="2151" t="str">
        <f t="shared" si="1"/>
        <v>NA</v>
      </c>
      <c r="W80" s="2151" t="str">
        <f t="shared" si="2"/>
        <v>NA</v>
      </c>
      <c r="X80" s="2151" t="str">
        <f t="shared" si="3"/>
        <v>NA</v>
      </c>
      <c r="Y80" s="2151" t="str">
        <f t="shared" si="4"/>
        <v>NA</v>
      </c>
      <c r="Z80" s="2151" t="str">
        <f t="shared" si="5"/>
        <v>NA</v>
      </c>
      <c r="AA80" s="2151" t="str">
        <f t="shared" si="6"/>
        <v>NA</v>
      </c>
      <c r="AB80" s="2151" t="str">
        <f t="shared" si="7"/>
        <v>NA</v>
      </c>
      <c r="AC80" s="2150" t="str">
        <f t="shared" si="8"/>
        <v>NA</v>
      </c>
    </row>
    <row r="81" spans="1:29" s="2109" customFormat="1" ht="30.75" customHeight="1" x14ac:dyDescent="0.25">
      <c r="A81" s="2974" t="s">
        <v>2660</v>
      </c>
      <c r="B81" s="2974"/>
      <c r="C81" s="2974"/>
      <c r="D81" s="2974"/>
      <c r="E81" s="2985" t="s">
        <v>2661</v>
      </c>
      <c r="F81" s="2985"/>
      <c r="G81" s="2985"/>
      <c r="H81" s="2325" t="s">
        <v>2359</v>
      </c>
      <c r="I81" s="2985" t="s">
        <v>2662</v>
      </c>
      <c r="J81" s="2985"/>
      <c r="Q81" s="2220"/>
      <c r="R81" s="2220"/>
      <c r="S81" s="2220"/>
      <c r="T81" s="2218" t="str">
        <f>"Zona focal - foco @ "&amp;Ultrassom!X70&amp;" cm"</f>
        <v>Zona focal - foco @  cm</v>
      </c>
      <c r="U81" s="2151" t="str">
        <f t="shared" si="0"/>
        <v>NA</v>
      </c>
      <c r="V81" s="2151" t="str">
        <f t="shared" si="1"/>
        <v>NA</v>
      </c>
      <c r="W81" s="2151" t="str">
        <f t="shared" si="2"/>
        <v>NA</v>
      </c>
      <c r="X81" s="2151" t="str">
        <f t="shared" si="3"/>
        <v>NA</v>
      </c>
      <c r="Y81" s="2151" t="str">
        <f t="shared" si="4"/>
        <v>NA</v>
      </c>
      <c r="Z81" s="2151" t="str">
        <f t="shared" si="5"/>
        <v>NA</v>
      </c>
      <c r="AA81" s="2151" t="str">
        <f t="shared" si="6"/>
        <v>NA</v>
      </c>
      <c r="AB81" s="2151" t="str">
        <f t="shared" si="7"/>
        <v>NA</v>
      </c>
      <c r="AC81" s="2150" t="str">
        <f t="shared" si="8"/>
        <v>NA</v>
      </c>
    </row>
    <row r="82" spans="1:29" s="2109" customFormat="1" ht="15" customHeight="1" x14ac:dyDescent="0.25">
      <c r="A82" s="281"/>
      <c r="Q82" s="1372"/>
      <c r="R82" s="1372"/>
      <c r="S82" s="1372"/>
      <c r="T82" s="2218" t="str">
        <f>"Zona focal - foco @ "&amp;Ultrassom!Y70&amp;" cm"</f>
        <v>Zona focal - foco @  cm</v>
      </c>
      <c r="U82" s="2151" t="str">
        <f t="shared" si="0"/>
        <v>NA</v>
      </c>
      <c r="V82" s="2151" t="str">
        <f t="shared" si="1"/>
        <v>NA</v>
      </c>
      <c r="W82" s="2151" t="str">
        <f t="shared" si="2"/>
        <v>NA</v>
      </c>
      <c r="X82" s="2151" t="str">
        <f t="shared" si="3"/>
        <v>NA</v>
      </c>
      <c r="Y82" s="2151" t="str">
        <f t="shared" si="4"/>
        <v>NA</v>
      </c>
      <c r="Z82" s="2151" t="str">
        <f t="shared" si="5"/>
        <v>NA</v>
      </c>
      <c r="AA82" s="2151" t="str">
        <f t="shared" si="6"/>
        <v>NA</v>
      </c>
      <c r="AB82" s="2151" t="str">
        <f t="shared" si="7"/>
        <v>NA</v>
      </c>
      <c r="AC82" s="2150" t="str">
        <f t="shared" si="8"/>
        <v>NA</v>
      </c>
    </row>
    <row r="83" spans="1:29" s="2109" customFormat="1" ht="15" customHeight="1" x14ac:dyDescent="0.25">
      <c r="A83" s="281"/>
      <c r="Q83" s="1372"/>
      <c r="R83" s="1372"/>
      <c r="S83" s="1372"/>
      <c r="T83" s="2218" t="s">
        <v>1585</v>
      </c>
      <c r="U83" s="2151" t="str">
        <f t="shared" si="0"/>
        <v>Sim</v>
      </c>
      <c r="V83" s="2151" t="str">
        <f t="shared" si="1"/>
        <v>Sim</v>
      </c>
      <c r="W83" s="2151" t="str">
        <f t="shared" si="2"/>
        <v>Sim</v>
      </c>
      <c r="X83" s="2151" t="str">
        <f t="shared" si="3"/>
        <v>Sim</v>
      </c>
      <c r="Y83" s="2151" t="str">
        <f t="shared" si="4"/>
        <v>Sim</v>
      </c>
      <c r="Z83" s="2151" t="str">
        <f t="shared" si="5"/>
        <v>Sim</v>
      </c>
      <c r="AA83" s="2151" t="str">
        <f t="shared" si="6"/>
        <v>Sim</v>
      </c>
      <c r="AB83" s="2151" t="str">
        <f t="shared" si="7"/>
        <v>Sim</v>
      </c>
      <c r="AC83" s="2150" t="str">
        <f t="shared" si="8"/>
        <v>Conforme</v>
      </c>
    </row>
    <row r="84" spans="1:29" ht="15" customHeight="1" x14ac:dyDescent="0.25">
      <c r="A84" s="2988" t="str">
        <f>"Transdutor "&amp;Ultrassom!A26&amp;" - marca "&amp;Ultrassom!B26&amp;", modelo "&amp;Ultrassom!C26&amp;", n° série "&amp;Ultrassom!D26</f>
        <v>Transdutor 1 - marca não informada, modelo não informado, n° série não informado</v>
      </c>
      <c r="B84" s="2988"/>
      <c r="C84" s="2988"/>
      <c r="D84" s="2988"/>
      <c r="E84" s="2988"/>
      <c r="F84" s="2988"/>
      <c r="G84" s="2988"/>
      <c r="H84" s="2988"/>
      <c r="I84" s="2988"/>
      <c r="J84" s="2988"/>
      <c r="K84" s="1240" t="str">
        <f>IF(Ultrassom!B24&lt;=Ultrassom!$E$4,"","x")</f>
        <v/>
      </c>
      <c r="L84" s="1240" t="str">
        <f>Ultrassom!A24&amp;Ultrassom!B24</f>
        <v>TRANSDUTOR: 1</v>
      </c>
      <c r="Q84" s="1372"/>
      <c r="R84" s="1372"/>
      <c r="S84" s="1372"/>
      <c r="T84" s="2218" t="s">
        <v>1586</v>
      </c>
      <c r="U84" s="2151" t="str">
        <f t="shared" si="0"/>
        <v>Sim</v>
      </c>
      <c r="V84" s="2151" t="str">
        <f t="shared" si="1"/>
        <v>Sim</v>
      </c>
      <c r="W84" s="2151" t="str">
        <f t="shared" si="2"/>
        <v>Sim</v>
      </c>
      <c r="X84" s="2151" t="str">
        <f t="shared" si="3"/>
        <v>Sim</v>
      </c>
      <c r="Y84" s="2151" t="str">
        <f t="shared" si="4"/>
        <v>Sim</v>
      </c>
      <c r="Z84" s="2151" t="str">
        <f t="shared" si="5"/>
        <v>Sim</v>
      </c>
      <c r="AA84" s="2151" t="str">
        <f t="shared" si="6"/>
        <v>Sim</v>
      </c>
      <c r="AB84" s="2151" t="str">
        <f t="shared" si="7"/>
        <v>Sim</v>
      </c>
      <c r="AC84" s="2150" t="str">
        <f t="shared" si="8"/>
        <v>Conforme</v>
      </c>
    </row>
    <row r="85" spans="1:29" ht="15" customHeight="1" x14ac:dyDescent="0.25">
      <c r="A85" s="2988"/>
      <c r="B85" s="2988"/>
      <c r="C85" s="2988"/>
      <c r="D85" s="2988"/>
      <c r="E85" s="2988"/>
      <c r="F85" s="2988"/>
      <c r="G85" s="2988"/>
      <c r="H85" s="2988"/>
      <c r="I85" s="2988"/>
      <c r="J85" s="2988"/>
      <c r="K85" s="1240" t="str">
        <f>K84</f>
        <v/>
      </c>
      <c r="Q85" s="1372"/>
      <c r="R85" s="1372"/>
      <c r="S85" s="1372"/>
      <c r="T85" s="2218" t="s">
        <v>1587</v>
      </c>
      <c r="U85" s="2151" t="str">
        <f t="shared" si="0"/>
        <v>Sim</v>
      </c>
      <c r="V85" s="2151" t="str">
        <f t="shared" si="1"/>
        <v>Sim</v>
      </c>
      <c r="W85" s="2151" t="str">
        <f t="shared" si="2"/>
        <v>Sim</v>
      </c>
      <c r="X85" s="2151" t="str">
        <f t="shared" si="3"/>
        <v>Sim</v>
      </c>
      <c r="Y85" s="2151" t="str">
        <f t="shared" si="4"/>
        <v>Sim</v>
      </c>
      <c r="Z85" s="2151" t="str">
        <f t="shared" si="5"/>
        <v>Sim</v>
      </c>
      <c r="AA85" s="2151" t="str">
        <f t="shared" si="6"/>
        <v>Sim</v>
      </c>
      <c r="AB85" s="2151" t="str">
        <f t="shared" si="7"/>
        <v>Sim</v>
      </c>
      <c r="AC85" s="2150" t="str">
        <f t="shared" si="8"/>
        <v>Conforme</v>
      </c>
    </row>
    <row r="86" spans="1:29" s="1347" customFormat="1" ht="15" customHeight="1" x14ac:dyDescent="0.25">
      <c r="A86" s="1346"/>
      <c r="B86" s="1346"/>
      <c r="C86" s="1346"/>
      <c r="D86" s="1346"/>
      <c r="E86" s="1346"/>
      <c r="F86" s="1346"/>
      <c r="G86" s="1346"/>
      <c r="H86" s="1346"/>
      <c r="I86" s="1346"/>
      <c r="J86" s="1346"/>
      <c r="K86" s="1347" t="str">
        <f>K85</f>
        <v/>
      </c>
      <c r="Q86" s="1372"/>
      <c r="R86" s="1372"/>
      <c r="S86" s="1372"/>
      <c r="T86" s="2218" t="s">
        <v>1588</v>
      </c>
      <c r="U86" s="2151" t="str">
        <f t="shared" si="0"/>
        <v>Sim</v>
      </c>
      <c r="V86" s="2151" t="str">
        <f t="shared" si="1"/>
        <v>Sim</v>
      </c>
      <c r="W86" s="2151" t="str">
        <f t="shared" si="2"/>
        <v>Sim</v>
      </c>
      <c r="X86" s="2151" t="str">
        <f t="shared" si="3"/>
        <v>Sim</v>
      </c>
      <c r="Y86" s="2151" t="str">
        <f t="shared" si="4"/>
        <v>Sim</v>
      </c>
      <c r="Z86" s="2151" t="str">
        <f t="shared" si="5"/>
        <v>Sim</v>
      </c>
      <c r="AA86" s="2151" t="str">
        <f t="shared" si="6"/>
        <v>Sim</v>
      </c>
      <c r="AB86" s="2151" t="str">
        <f t="shared" si="7"/>
        <v>Sim</v>
      </c>
      <c r="AC86" s="2150" t="str">
        <f t="shared" si="8"/>
        <v>Conforme</v>
      </c>
    </row>
    <row r="87" spans="1:29" ht="15" customHeight="1" x14ac:dyDescent="0.25">
      <c r="A87" s="2984" t="s">
        <v>1576</v>
      </c>
      <c r="B87" s="2984"/>
      <c r="C87" s="2984"/>
      <c r="D87" s="2984"/>
      <c r="E87" s="2984"/>
      <c r="F87" s="2984"/>
      <c r="G87" s="2848" t="s">
        <v>369</v>
      </c>
      <c r="H87" s="3014"/>
      <c r="I87" s="1234" t="str">
        <f>"IN "&amp;VLOOKUP("Ultrassom",IN_ANVISA[],2)</f>
        <v>IN 96</v>
      </c>
      <c r="K87" s="1347" t="str">
        <f>K86</f>
        <v/>
      </c>
      <c r="Q87" s="1372"/>
      <c r="R87" s="1372"/>
      <c r="S87" s="1372"/>
      <c r="T87" s="2218" t="s">
        <v>1589</v>
      </c>
      <c r="U87" s="2151" t="str">
        <f t="shared" si="0"/>
        <v>NA</v>
      </c>
      <c r="V87" s="2151" t="str">
        <f t="shared" si="1"/>
        <v>NA</v>
      </c>
      <c r="W87" s="2151" t="str">
        <f t="shared" si="2"/>
        <v>NA</v>
      </c>
      <c r="X87" s="2151" t="str">
        <f t="shared" si="3"/>
        <v>NA</v>
      </c>
      <c r="Y87" s="2151" t="str">
        <f t="shared" si="4"/>
        <v>NA</v>
      </c>
      <c r="Z87" s="2151" t="str">
        <f t="shared" si="5"/>
        <v>NA</v>
      </c>
      <c r="AA87" s="2151" t="str">
        <f t="shared" si="6"/>
        <v>NA</v>
      </c>
      <c r="AB87" s="2151" t="str">
        <f t="shared" si="7"/>
        <v>NA</v>
      </c>
      <c r="AC87" s="2150" t="str">
        <f t="shared" si="8"/>
        <v>NA</v>
      </c>
    </row>
    <row r="88" spans="1:29" s="1347" customFormat="1" ht="15" customHeight="1" x14ac:dyDescent="0.25">
      <c r="A88" s="3002" t="s">
        <v>1619</v>
      </c>
      <c r="B88" s="3018"/>
      <c r="C88" s="3018"/>
      <c r="D88" s="3018"/>
      <c r="E88" s="3018"/>
      <c r="F88" s="3003"/>
      <c r="G88" s="2990" t="str">
        <f>Ultrassom!E26</f>
        <v>Boa</v>
      </c>
      <c r="H88" s="2992"/>
      <c r="I88" s="1237" t="s">
        <v>142</v>
      </c>
      <c r="K88" s="1347" t="str">
        <f>K87</f>
        <v/>
      </c>
      <c r="L88" s="1347" t="str">
        <f>IF(G88&lt;&gt;"Boa",A88,"")</f>
        <v/>
      </c>
      <c r="Q88" s="1372"/>
      <c r="R88" s="1372"/>
      <c r="S88" s="1372"/>
      <c r="T88" s="2222" t="str">
        <f>"Sensibilidade do modo doppler @ "&amp;Ultrassom!U85&amp;" (ref. "&amp;Ultrassom!U88&amp;" "&amp;Ultrassom!$A$109&amp;")"</f>
        <v>Sensibilidade do modo doppler @  (ref.  ml/s)</v>
      </c>
      <c r="U88" s="2151" t="str">
        <f t="shared" si="0"/>
        <v>NPA</v>
      </c>
      <c r="V88" s="2151" t="str">
        <f t="shared" si="1"/>
        <v>NPA</v>
      </c>
      <c r="W88" s="2151" t="str">
        <f t="shared" si="2"/>
        <v>NPA</v>
      </c>
      <c r="X88" s="2151" t="str">
        <f t="shared" si="3"/>
        <v>NPA</v>
      </c>
      <c r="Y88" s="2151" t="str">
        <f t="shared" si="4"/>
        <v>NPA</v>
      </c>
      <c r="Z88" s="2151" t="str">
        <f t="shared" si="5"/>
        <v>NPA</v>
      </c>
      <c r="AA88" s="2151" t="str">
        <f t="shared" si="6"/>
        <v>NPA</v>
      </c>
      <c r="AB88" s="2151" t="str">
        <f t="shared" si="7"/>
        <v>NPA</v>
      </c>
      <c r="AC88" s="2150" t="str">
        <f t="shared" si="8"/>
        <v>NPA</v>
      </c>
    </row>
    <row r="89" spans="1:29" ht="15" customHeight="1" x14ac:dyDescent="0.25">
      <c r="A89" s="3002" t="s">
        <v>1538</v>
      </c>
      <c r="B89" s="3018"/>
      <c r="C89" s="3018"/>
      <c r="D89" s="3018"/>
      <c r="E89" s="3018"/>
      <c r="F89" s="3003"/>
      <c r="G89" s="3002" t="str">
        <f>IF(LARGE(Ultrassom!C37:D37,1)=0,IF(Ultrassom!D31="s","Uniforme","Não uniforme"),ROUNDDOWN(LARGE(Ultrassom!C37:D37,1),1)&amp;" dB")</f>
        <v>Não uniforme</v>
      </c>
      <c r="H89" s="3003"/>
      <c r="I89" s="1237" t="str">
        <f>Ultrassom!B37</f>
        <v>NPA</v>
      </c>
      <c r="K89" s="1347" t="str">
        <f>K88</f>
        <v/>
      </c>
      <c r="L89" s="1240" t="str">
        <f>IF(I89="Não",A89,"")</f>
        <v/>
      </c>
      <c r="Q89" s="1372"/>
      <c r="R89" s="1372"/>
      <c r="S89" s="1372"/>
      <c r="T89" s="2222" t="str">
        <f>"Sensibilidade do modo doppler @ "&amp;Ultrassom!X85&amp;" (ref. "&amp;Ultrassom!X88&amp;" "&amp;Ultrassom!$A$109&amp;")"</f>
        <v>Sensibilidade do modo doppler @  (ref.  ml/s)</v>
      </c>
      <c r="U89" s="2151" t="str">
        <f t="shared" si="0"/>
        <v>NPA</v>
      </c>
      <c r="V89" s="2151" t="str">
        <f t="shared" si="1"/>
        <v>NPA</v>
      </c>
      <c r="W89" s="2151" t="str">
        <f t="shared" si="2"/>
        <v>NPA</v>
      </c>
      <c r="X89" s="2151" t="str">
        <f t="shared" si="3"/>
        <v>NPA</v>
      </c>
      <c r="Y89" s="2151" t="str">
        <f t="shared" si="4"/>
        <v>NPA</v>
      </c>
      <c r="Z89" s="2151" t="str">
        <f t="shared" si="5"/>
        <v>NPA</v>
      </c>
      <c r="AA89" s="2151" t="str">
        <f t="shared" si="6"/>
        <v>NPA</v>
      </c>
      <c r="AB89" s="2151" t="str">
        <f t="shared" si="7"/>
        <v>NPA</v>
      </c>
      <c r="AC89" s="2150" t="str">
        <f t="shared" si="8"/>
        <v>NPA</v>
      </c>
    </row>
    <row r="90" spans="1:29" ht="15" customHeight="1" x14ac:dyDescent="0.25">
      <c r="A90" s="3002" t="s">
        <v>1579</v>
      </c>
      <c r="B90" s="3018"/>
      <c r="C90" s="3018"/>
      <c r="D90" s="3018"/>
      <c r="E90" s="3018"/>
      <c r="F90" s="3003"/>
      <c r="G90" s="3002" t="str">
        <f>Ultrassom!D54&amp;" cm"</f>
        <v xml:space="preserve"> cm</v>
      </c>
      <c r="H90" s="3003"/>
      <c r="I90" s="1237" t="str">
        <f>Ultrassom!D56</f>
        <v>NA</v>
      </c>
      <c r="K90" s="1240" t="str">
        <f>IF(I90="NA","x","")</f>
        <v>x</v>
      </c>
      <c r="L90" s="1309" t="str">
        <f>IF(I90="Não",A90,"")</f>
        <v/>
      </c>
      <c r="Q90" s="1372"/>
      <c r="R90" s="1372"/>
      <c r="S90" s="1372"/>
      <c r="T90" s="2222" t="str">
        <f>"Sensibilidade do modo doppler @ "&amp;Ultrassom!AA85&amp;" (ref. "&amp;Ultrassom!AA88&amp;" "&amp;Ultrassom!$A$109&amp;")"</f>
        <v>Sensibilidade do modo doppler @  (ref.  ml/s)</v>
      </c>
      <c r="U90" s="2151" t="str">
        <f t="shared" si="0"/>
        <v>NPA</v>
      </c>
      <c r="V90" s="2151" t="str">
        <f t="shared" si="1"/>
        <v>NPA</v>
      </c>
      <c r="W90" s="2151" t="str">
        <f t="shared" si="2"/>
        <v>NPA</v>
      </c>
      <c r="X90" s="2151" t="str">
        <f t="shared" si="3"/>
        <v>NPA</v>
      </c>
      <c r="Y90" s="2151" t="str">
        <f t="shared" si="4"/>
        <v>NPA</v>
      </c>
      <c r="Z90" s="2151" t="str">
        <f t="shared" si="5"/>
        <v>NPA</v>
      </c>
      <c r="AA90" s="2151" t="str">
        <f t="shared" si="6"/>
        <v>NPA</v>
      </c>
      <c r="AB90" s="2151" t="str">
        <f t="shared" si="7"/>
        <v>NPA</v>
      </c>
      <c r="AC90" s="2150" t="str">
        <f t="shared" si="8"/>
        <v>NPA</v>
      </c>
    </row>
    <row r="91" spans="1:29" ht="15" customHeight="1" x14ac:dyDescent="0.25">
      <c r="A91" s="3002" t="s">
        <v>1577</v>
      </c>
      <c r="B91" s="3018"/>
      <c r="C91" s="3018"/>
      <c r="D91" s="3018"/>
      <c r="E91" s="3018"/>
      <c r="F91" s="3003"/>
      <c r="G91" s="2591" t="str">
        <f>Ultrassom!B54&amp;" cm"</f>
        <v xml:space="preserve"> cm</v>
      </c>
      <c r="H91" s="2593"/>
      <c r="I91" s="1243" t="str">
        <f>Ultrassom!B56</f>
        <v>NA</v>
      </c>
      <c r="K91" s="1240" t="str">
        <f>IF(I91="NA","x","")</f>
        <v>x</v>
      </c>
      <c r="L91" s="1309" t="str">
        <f>IF(I91="Não",A91,"")</f>
        <v/>
      </c>
      <c r="Q91" s="1372"/>
      <c r="R91" s="1372"/>
      <c r="S91" s="1372"/>
      <c r="T91" s="1372"/>
      <c r="U91" s="1372"/>
    </row>
    <row r="92" spans="1:29" ht="15" customHeight="1" x14ac:dyDescent="0.25">
      <c r="A92" s="3002" t="s">
        <v>1578</v>
      </c>
      <c r="B92" s="3018"/>
      <c r="C92" s="3018"/>
      <c r="D92" s="3018"/>
      <c r="E92" s="3018"/>
      <c r="F92" s="3003"/>
      <c r="G92" s="2591" t="str">
        <f>Ultrassom!C54&amp;" cm"</f>
        <v>0 cm</v>
      </c>
      <c r="H92" s="2593"/>
      <c r="I92" s="1243" t="str">
        <f>Ultrassom!C56</f>
        <v>Sim</v>
      </c>
      <c r="K92" s="1240" t="str">
        <f>IF(I92="NA","x","")</f>
        <v/>
      </c>
      <c r="L92" s="1309" t="str">
        <f>IF(I92="Não",A92,"")</f>
        <v/>
      </c>
      <c r="Q92" s="1372"/>
      <c r="R92" s="1372"/>
      <c r="S92" s="1372"/>
      <c r="T92" s="1372"/>
      <c r="U92" s="1372"/>
    </row>
    <row r="93" spans="1:29" ht="15" customHeight="1" x14ac:dyDescent="0.25">
      <c r="A93" s="3002" t="s">
        <v>1580</v>
      </c>
      <c r="B93" s="3018"/>
      <c r="C93" s="3018"/>
      <c r="D93" s="3018"/>
      <c r="E93" s="3018"/>
      <c r="F93" s="3003"/>
      <c r="G93" s="2990" t="str">
        <f>Ultrassom!B60&amp;" objetos, "&amp;IF(Ultrassom!B63="s","BD","BND")&amp;" "&amp;IF(Ultrassom!B64="s","AC","ANC")</f>
        <v xml:space="preserve"> objetos, BND ANC</v>
      </c>
      <c r="H93" s="2992"/>
      <c r="I93" s="1237" t="str">
        <f>Ultrassom!B65</f>
        <v>Sim</v>
      </c>
      <c r="K93" s="1240" t="str">
        <f>K84</f>
        <v/>
      </c>
      <c r="L93" s="1309" t="str">
        <f>IF(I93="Não","Visualização de objetos anecóicos","")</f>
        <v/>
      </c>
      <c r="Q93" s="1372"/>
      <c r="R93" s="1372"/>
      <c r="S93" s="1372"/>
      <c r="T93" s="1372"/>
      <c r="U93" s="1372"/>
    </row>
    <row r="94" spans="1:29" ht="15" customHeight="1" x14ac:dyDescent="0.25">
      <c r="A94" s="3002" t="s">
        <v>1581</v>
      </c>
      <c r="B94" s="3018"/>
      <c r="C94" s="3018"/>
      <c r="D94" s="3018"/>
      <c r="E94" s="3018"/>
      <c r="F94" s="3003"/>
      <c r="G94" s="3002" t="str">
        <f>Ultrassom!D60&amp;" objetos, "&amp;IF(Ultrassom!D63="s","BD","BND")&amp;" "&amp;IF(Ultrassom!D64="s","AC","ANC")</f>
        <v xml:space="preserve"> objetos, BND ANC</v>
      </c>
      <c r="H94" s="3003"/>
      <c r="I94" s="1237" t="str">
        <f>Ultrassom!D65</f>
        <v>Sim</v>
      </c>
      <c r="K94" s="1240" t="str">
        <f>K93</f>
        <v/>
      </c>
      <c r="L94" s="1309" t="str">
        <f>IF(I94="Não","Visualização de objetos anecóicos","")</f>
        <v/>
      </c>
      <c r="Q94" s="1372"/>
      <c r="R94" s="1372"/>
      <c r="S94" s="1372"/>
      <c r="T94" s="1372"/>
      <c r="U94" s="1372"/>
    </row>
    <row r="95" spans="1:29" ht="15" customHeight="1" x14ac:dyDescent="0.25">
      <c r="A95" s="3002" t="s">
        <v>1582</v>
      </c>
      <c r="B95" s="3018"/>
      <c r="C95" s="3018"/>
      <c r="D95" s="3018"/>
      <c r="E95" s="3018"/>
      <c r="F95" s="3003"/>
      <c r="G95" s="3002" t="str">
        <f>Ultrassom!F60&amp;" objetos, "&amp;IF(Ultrassom!F63="s","BD","BND")&amp;" "&amp;IF(Ultrassom!F64="s","AC","ANC")</f>
        <v xml:space="preserve"> objetos, BND ANC</v>
      </c>
      <c r="H95" s="3003"/>
      <c r="I95" s="1237" t="str">
        <f>Ultrassom!F65</f>
        <v>Sim</v>
      </c>
      <c r="K95" s="1347" t="str">
        <f t="shared" ref="K95:K100" si="9">K94</f>
        <v/>
      </c>
      <c r="L95" s="1309" t="str">
        <f>IF(I95="Não","Visualização de objetos anecóicos","")</f>
        <v/>
      </c>
      <c r="Q95" s="1372"/>
      <c r="R95" s="1372"/>
      <c r="S95" s="1372"/>
      <c r="T95" s="1372"/>
      <c r="U95" s="1372"/>
    </row>
    <row r="96" spans="1:29" ht="15" customHeight="1" x14ac:dyDescent="0.25">
      <c r="A96" s="3002" t="str">
        <f>"Zona morta @ "&amp;ROUND(Ultrassom!A69,1)&amp;" MHz"</f>
        <v>Zona morta @ 0 MHz</v>
      </c>
      <c r="B96" s="3018"/>
      <c r="C96" s="3018"/>
      <c r="D96" s="3018"/>
      <c r="E96" s="3018"/>
      <c r="F96" s="3003"/>
      <c r="G96" s="2975" t="str">
        <f>Ultrassom!C69&amp;" mm"</f>
        <v xml:space="preserve"> mm</v>
      </c>
      <c r="H96" s="2998"/>
      <c r="I96" s="1237" t="str">
        <f>Ultrassom!E69</f>
        <v>Sim</v>
      </c>
      <c r="K96" s="1347" t="str">
        <f t="shared" si="9"/>
        <v/>
      </c>
      <c r="L96" s="1309" t="str">
        <f>IF(I96="Não","Zona morta","")</f>
        <v/>
      </c>
    </row>
    <row r="97" spans="1:12" s="940" customFormat="1" ht="15" customHeight="1" x14ac:dyDescent="0.25">
      <c r="A97" s="3002" t="s">
        <v>1583</v>
      </c>
      <c r="B97" s="3018"/>
      <c r="C97" s="3018"/>
      <c r="D97" s="3018"/>
      <c r="E97" s="3018"/>
      <c r="F97" s="3003"/>
      <c r="G97" s="2975" t="e">
        <f>LARGE(Ultrassom!C77:C78,1)&amp;" mm"</f>
        <v>#NUM!</v>
      </c>
      <c r="H97" s="2998"/>
      <c r="I97" s="1237" t="str">
        <f>Ultrassom!C80</f>
        <v>NPA</v>
      </c>
      <c r="K97" s="1347" t="str">
        <f t="shared" si="9"/>
        <v/>
      </c>
      <c r="L97" s="1309" t="str">
        <f>IF(I97="Não",A97,"")</f>
        <v/>
      </c>
    </row>
    <row r="98" spans="1:12" s="940" customFormat="1" ht="15" customHeight="1" x14ac:dyDescent="0.25">
      <c r="A98" s="3002" t="s">
        <v>1584</v>
      </c>
      <c r="B98" s="3018"/>
      <c r="C98" s="3018"/>
      <c r="D98" s="3018"/>
      <c r="E98" s="3018"/>
      <c r="F98" s="3003"/>
      <c r="G98" s="2975" t="e">
        <f>LARGE(Ultrassom!D77:D78,1)&amp;" mm"</f>
        <v>#NUM!</v>
      </c>
      <c r="H98" s="2998"/>
      <c r="I98" s="1237" t="str">
        <f>Ultrassom!D80</f>
        <v>NPA</v>
      </c>
      <c r="K98" s="1347" t="str">
        <f t="shared" si="9"/>
        <v/>
      </c>
      <c r="L98" s="1309" t="str">
        <f>IF(I98="Não",A98,"")</f>
        <v/>
      </c>
    </row>
    <row r="99" spans="1:12" s="940" customFormat="1" ht="15" customHeight="1" x14ac:dyDescent="0.25">
      <c r="A99" s="3002" t="str">
        <f>"Resolução axial @ "&amp;ROUND(Ultrassom!D84,1)&amp;" MHz"</f>
        <v>Resolução axial @ 0 MHz</v>
      </c>
      <c r="B99" s="3018"/>
      <c r="C99" s="3018"/>
      <c r="D99" s="3018"/>
      <c r="E99" s="3018"/>
      <c r="F99" s="3003"/>
      <c r="G99" s="3007">
        <f>Ultrassom!D86</f>
        <v>0</v>
      </c>
      <c r="H99" s="3008"/>
      <c r="I99" s="1237" t="str">
        <f>Ultrassom!D88</f>
        <v>Sim</v>
      </c>
      <c r="K99" s="1347" t="str">
        <f t="shared" si="9"/>
        <v/>
      </c>
      <c r="L99" s="1309" t="str">
        <f>IF(I99="Não","Resolução axial","")</f>
        <v/>
      </c>
    </row>
    <row r="100" spans="1:12" s="940" customFormat="1" ht="15" customHeight="1" x14ac:dyDescent="0.25">
      <c r="A100" s="3002" t="str">
        <f>"Resolução lateral @ "&amp;ROUND(Ultrassom!E84,1)&amp;" MHz"</f>
        <v>Resolução lateral @ 0 MHz</v>
      </c>
      <c r="B100" s="3018"/>
      <c r="C100" s="3018"/>
      <c r="D100" s="3018"/>
      <c r="E100" s="3018"/>
      <c r="F100" s="3003"/>
      <c r="G100" s="3007">
        <f>Ultrassom!E86</f>
        <v>0</v>
      </c>
      <c r="H100" s="3008"/>
      <c r="I100" s="1237" t="str">
        <f>Ultrassom!E88</f>
        <v>Sim</v>
      </c>
      <c r="K100" s="1347" t="str">
        <f t="shared" si="9"/>
        <v/>
      </c>
      <c r="L100" s="1309" t="str">
        <f>IF(I100="Não","Resolução lateral","")</f>
        <v/>
      </c>
    </row>
    <row r="101" spans="1:12" s="940" customFormat="1" ht="15" customHeight="1" x14ac:dyDescent="0.25">
      <c r="A101" s="3002" t="str">
        <f>"Zona focal - foco @ "&amp;Ultrassom!B93&amp;" cm"</f>
        <v>Zona focal - foco @  cm</v>
      </c>
      <c r="B101" s="3018"/>
      <c r="C101" s="3018"/>
      <c r="D101" s="3018"/>
      <c r="E101" s="3018"/>
      <c r="F101" s="3003"/>
      <c r="G101" s="2975" t="str">
        <f>Ultrassom!B95&amp;" cm"</f>
        <v xml:space="preserve"> cm</v>
      </c>
      <c r="H101" s="2998"/>
      <c r="I101" s="1237" t="str">
        <f>Ultrassom!B98</f>
        <v>NA</v>
      </c>
      <c r="K101" s="1240" t="str">
        <f>IF(I101="NA","x","")</f>
        <v>x</v>
      </c>
      <c r="L101" s="1309" t="str">
        <f>IF(I101="Não","Zona focal","")</f>
        <v/>
      </c>
    </row>
    <row r="102" spans="1:12" s="940" customFormat="1" ht="15" customHeight="1" x14ac:dyDescent="0.25">
      <c r="A102" s="3002" t="str">
        <f>"Zona focal - foco @ "&amp;Ultrassom!C93&amp;" cm"</f>
        <v>Zona focal - foco @  cm</v>
      </c>
      <c r="B102" s="3018"/>
      <c r="C102" s="3018"/>
      <c r="D102" s="3018"/>
      <c r="E102" s="3018"/>
      <c r="F102" s="3003"/>
      <c r="G102" s="2975" t="str">
        <f>Ultrassom!C95&amp;" cm"</f>
        <v xml:space="preserve"> cm</v>
      </c>
      <c r="H102" s="2998"/>
      <c r="I102" s="1237" t="str">
        <f>Ultrassom!C98</f>
        <v>NA</v>
      </c>
      <c r="K102" s="1347" t="str">
        <f>IF(I102="NA","x","")</f>
        <v>x</v>
      </c>
      <c r="L102" s="1309" t="str">
        <f>IF(I102="Não","Zona focal","")</f>
        <v/>
      </c>
    </row>
    <row r="103" spans="1:12" s="940" customFormat="1" ht="15" customHeight="1" x14ac:dyDescent="0.25">
      <c r="A103" s="3002" t="str">
        <f>"Zona focal - foco @ "&amp;Ultrassom!D93&amp;" cm"</f>
        <v>Zona focal - foco @  cm</v>
      </c>
      <c r="B103" s="3018"/>
      <c r="C103" s="3018"/>
      <c r="D103" s="3018"/>
      <c r="E103" s="3018"/>
      <c r="F103" s="3003"/>
      <c r="G103" s="2996" t="str">
        <f>Ultrassom!D95&amp;" cm"</f>
        <v xml:space="preserve"> cm</v>
      </c>
      <c r="H103" s="2997"/>
      <c r="I103" s="1243" t="str">
        <f>Ultrassom!D98</f>
        <v>NA</v>
      </c>
      <c r="K103" s="1347" t="str">
        <f>IF(I103="NA","x","")</f>
        <v>x</v>
      </c>
      <c r="L103" s="1309" t="str">
        <f>IF(I103="Não","Zona focal","")</f>
        <v/>
      </c>
    </row>
    <row r="104" spans="1:12" s="940" customFormat="1" ht="15" customHeight="1" x14ac:dyDescent="0.25">
      <c r="A104" s="3002" t="str">
        <f>"Zona focal - foco @ "&amp;Ultrassom!E93&amp;" cm"</f>
        <v>Zona focal - foco @  cm</v>
      </c>
      <c r="B104" s="3018"/>
      <c r="C104" s="3018"/>
      <c r="D104" s="3018"/>
      <c r="E104" s="3018"/>
      <c r="F104" s="3003"/>
      <c r="G104" s="2996" t="str">
        <f>Ultrassom!E95&amp;" cm"</f>
        <v xml:space="preserve"> cm</v>
      </c>
      <c r="H104" s="2997"/>
      <c r="I104" s="1243" t="str">
        <f>Ultrassom!E98</f>
        <v>NA</v>
      </c>
      <c r="K104" s="1347" t="str">
        <f>IF(I104="NA","x","")</f>
        <v>x</v>
      </c>
      <c r="L104" s="1309" t="str">
        <f>IF(I104="Não","Zona focal","")</f>
        <v/>
      </c>
    </row>
    <row r="105" spans="1:12" s="940" customFormat="1" ht="15" customHeight="1" x14ac:dyDescent="0.25">
      <c r="A105" s="3002" t="str">
        <f>"Zona focal - foco @ "&amp;Ultrassom!F93&amp;" cm"</f>
        <v>Zona focal - foco @  cm</v>
      </c>
      <c r="B105" s="3018"/>
      <c r="C105" s="3018"/>
      <c r="D105" s="3018"/>
      <c r="E105" s="3018"/>
      <c r="F105" s="3003"/>
      <c r="G105" s="2975" t="str">
        <f>Ultrassom!F95&amp;" cm"</f>
        <v xml:space="preserve"> cm</v>
      </c>
      <c r="H105" s="2998"/>
      <c r="I105" s="1237" t="str">
        <f>Ultrassom!F98</f>
        <v>NA</v>
      </c>
      <c r="K105" s="1347" t="str">
        <f>IF(I105="NA","x","")</f>
        <v>x</v>
      </c>
      <c r="L105" s="1309" t="str">
        <f>IF(I105="Não","Zona focal","")</f>
        <v/>
      </c>
    </row>
    <row r="106" spans="1:12" s="940" customFormat="1" ht="15" customHeight="1" x14ac:dyDescent="0.25">
      <c r="A106" s="3002" t="s">
        <v>1585</v>
      </c>
      <c r="B106" s="3018"/>
      <c r="C106" s="3018"/>
      <c r="D106" s="3018"/>
      <c r="E106" s="3018"/>
      <c r="F106" s="3003"/>
      <c r="G106" s="2999" t="str">
        <f>IF(Ultrassom!B42="s","Visualizado","Não visualizado")</f>
        <v>Não visualizado</v>
      </c>
      <c r="H106" s="3000"/>
      <c r="I106" s="1243" t="str">
        <f>Ultrassom!B44</f>
        <v>Sim</v>
      </c>
      <c r="K106" s="940" t="str">
        <f>K84</f>
        <v/>
      </c>
      <c r="L106" s="940" t="str">
        <f>IF(I106="Não","Limiar de sensibilidade a baixo contraste","")</f>
        <v/>
      </c>
    </row>
    <row r="107" spans="1:12" s="940" customFormat="1" ht="15" customHeight="1" x14ac:dyDescent="0.25">
      <c r="A107" s="3002" t="s">
        <v>1586</v>
      </c>
      <c r="B107" s="3018"/>
      <c r="C107" s="3018"/>
      <c r="D107" s="3018"/>
      <c r="E107" s="3018"/>
      <c r="F107" s="3003"/>
      <c r="G107" s="2999" t="str">
        <f>IF(Ultrassom!C42="s","Visualizado","Não visualizado")</f>
        <v>Não visualizado</v>
      </c>
      <c r="H107" s="3000"/>
      <c r="I107" s="1243" t="str">
        <f>Ultrassom!C44</f>
        <v>Sim</v>
      </c>
      <c r="K107" s="940" t="str">
        <f>K106</f>
        <v/>
      </c>
      <c r="L107" s="940" t="str">
        <f>IF(I107="Não","Limiar de sensibilidade a baixo contraste","")</f>
        <v/>
      </c>
    </row>
    <row r="108" spans="1:12" s="940" customFormat="1" ht="15" customHeight="1" x14ac:dyDescent="0.25">
      <c r="A108" s="3002" t="s">
        <v>1587</v>
      </c>
      <c r="B108" s="3018"/>
      <c r="C108" s="3018"/>
      <c r="D108" s="3018"/>
      <c r="E108" s="3018"/>
      <c r="F108" s="3003"/>
      <c r="G108" s="2999" t="str">
        <f>IF(Ultrassom!D42="s","Visualizado","Não visualizado")</f>
        <v>Não visualizado</v>
      </c>
      <c r="H108" s="3000"/>
      <c r="I108" s="1243" t="str">
        <f>Ultrassom!D44</f>
        <v>Sim</v>
      </c>
      <c r="K108" s="940" t="str">
        <f>K107</f>
        <v/>
      </c>
      <c r="L108" s="940" t="str">
        <f>IF(I108="Não","Limiar de sensibilidade a baixo contraste","")</f>
        <v/>
      </c>
    </row>
    <row r="109" spans="1:12" s="940" customFormat="1" ht="15" customHeight="1" x14ac:dyDescent="0.25">
      <c r="A109" s="3002" t="s">
        <v>1588</v>
      </c>
      <c r="B109" s="3018"/>
      <c r="C109" s="3018"/>
      <c r="D109" s="3018"/>
      <c r="E109" s="3018"/>
      <c r="F109" s="3003"/>
      <c r="G109" s="2999" t="str">
        <f>IF(Ultrassom!E42="s","Visualizado","Não visualizado")</f>
        <v>Não visualizado</v>
      </c>
      <c r="H109" s="3000"/>
      <c r="I109" s="1243" t="str">
        <f>Ultrassom!E44</f>
        <v>Sim</v>
      </c>
      <c r="K109" s="940" t="str">
        <f>K108</f>
        <v/>
      </c>
      <c r="L109" s="940" t="str">
        <f>IF(I109="Não","Limiar de sensibilidade a baixo contraste","")</f>
        <v/>
      </c>
    </row>
    <row r="110" spans="1:12" s="940" customFormat="1" ht="15" customHeight="1" x14ac:dyDescent="0.25">
      <c r="A110" s="3002" t="s">
        <v>1589</v>
      </c>
      <c r="B110" s="3018"/>
      <c r="C110" s="3018"/>
      <c r="D110" s="3018"/>
      <c r="E110" s="3018"/>
      <c r="F110" s="3003"/>
      <c r="G110" s="3002" t="str">
        <f>IFERROR(Ultrassom!F104*100&amp;" %","NPA")</f>
        <v>NPA</v>
      </c>
      <c r="H110" s="3003"/>
      <c r="I110" s="1237" t="str">
        <f>Ultrassom!G104</f>
        <v>NA</v>
      </c>
      <c r="K110" s="1381" t="str">
        <f>K109</f>
        <v/>
      </c>
      <c r="L110" s="1309" t="str">
        <f>IF(I110="Não",A110,"")</f>
        <v/>
      </c>
    </row>
    <row r="111" spans="1:12" s="940" customFormat="1" ht="15" customHeight="1" x14ac:dyDescent="0.25">
      <c r="A111" s="3002" t="str">
        <f>"Sensibilidade do modo doppler @ "&amp;Ultrassom!B108&amp;" (ref. "&amp;Ultrassom!B111&amp;" "&amp;Ultrassom!$A$109&amp;")"</f>
        <v>Sensibilidade do modo doppler @ fluxo baixo (ref. NI ml/s)</v>
      </c>
      <c r="B111" s="3018"/>
      <c r="C111" s="3018"/>
      <c r="D111" s="3018"/>
      <c r="E111" s="3018"/>
      <c r="F111" s="3003"/>
      <c r="G111" s="3002" t="str">
        <f>IFERROR(ROUNDDOWN(Ultrassom!C111,1)&amp;" "&amp;Ultrassom!$A$109,"NPA")</f>
        <v>0 ml/s</v>
      </c>
      <c r="H111" s="3003"/>
      <c r="I111" s="1237" t="str">
        <f>Ultrassom!D111</f>
        <v>NPA</v>
      </c>
      <c r="K111" s="1347" t="str">
        <f>IF(G111="0 ml/s","x","")</f>
        <v>x</v>
      </c>
      <c r="L111" s="1309" t="str">
        <f>IF(I111="Não","Sensibilidade do modo doppler","")</f>
        <v/>
      </c>
    </row>
    <row r="112" spans="1:12" s="940" customFormat="1" ht="15" customHeight="1" x14ac:dyDescent="0.25">
      <c r="A112" s="3002" t="str">
        <f>"Sensibilidade do modo doppler @ "&amp;Ultrassom!E108&amp;" (ref. "&amp;Ultrassom!E111&amp;" "&amp;Ultrassom!$A$109&amp;")"</f>
        <v>Sensibilidade do modo doppler @ fluxo médio (ref. NI ml/s)</v>
      </c>
      <c r="B112" s="3018"/>
      <c r="C112" s="3018"/>
      <c r="D112" s="3018"/>
      <c r="E112" s="3018"/>
      <c r="F112" s="3003"/>
      <c r="G112" s="3002" t="str">
        <f>IFERROR(ROUNDDOWN(Ultrassom!F111,1)&amp;" "&amp;Ultrassom!$A$109,"NPA")</f>
        <v>0 ml/s</v>
      </c>
      <c r="H112" s="3003"/>
      <c r="I112" s="1237" t="str">
        <f>Ultrassom!G111</f>
        <v>NPA</v>
      </c>
      <c r="K112" s="1835" t="str">
        <f t="shared" ref="K112:K113" si="10">IF(G112="0 ml/s","x","")</f>
        <v>x</v>
      </c>
      <c r="L112" s="1309" t="str">
        <f>IF(I112="Não","Sensibilidade do modo doppler","")</f>
        <v/>
      </c>
    </row>
    <row r="113" spans="1:12" s="940" customFormat="1" ht="15" customHeight="1" x14ac:dyDescent="0.25">
      <c r="A113" s="3002" t="str">
        <f>"Sensibilidade do modo doppler @ "&amp;Ultrassom!H108&amp;" (ref. "&amp;Ultrassom!H111&amp;" "&amp;Ultrassom!$A$109&amp;")"</f>
        <v>Sensibilidade do modo doppler @ fluxo alto (ref. NI ml/s)</v>
      </c>
      <c r="B113" s="3018"/>
      <c r="C113" s="3018"/>
      <c r="D113" s="3018"/>
      <c r="E113" s="3018"/>
      <c r="F113" s="3003"/>
      <c r="G113" s="3002" t="str">
        <f>IFERROR(ROUNDDOWN(Ultrassom!I111,1)&amp;" "&amp;Ultrassom!$A$109,"NPA")</f>
        <v>0 ml/s</v>
      </c>
      <c r="H113" s="3003"/>
      <c r="I113" s="1237" t="str">
        <f>Ultrassom!J111</f>
        <v>NPA</v>
      </c>
      <c r="K113" s="1835" t="str">
        <f t="shared" si="10"/>
        <v>x</v>
      </c>
      <c r="L113" s="1309" t="str">
        <f>IF(I113="Não","Sensibilidade do modo doppler","")</f>
        <v/>
      </c>
    </row>
    <row r="114" spans="1:12" ht="15" customHeight="1" x14ac:dyDescent="0.25">
      <c r="A114" s="2986" t="s">
        <v>1922</v>
      </c>
      <c r="B114" s="2986"/>
      <c r="C114" s="2986"/>
      <c r="D114" s="2986"/>
      <c r="E114" s="2986"/>
      <c r="F114" s="2986"/>
      <c r="G114" s="2986"/>
      <c r="H114" s="2986"/>
      <c r="I114" s="2986"/>
      <c r="J114" s="2986"/>
      <c r="K114" s="1240" t="str">
        <f>K84</f>
        <v/>
      </c>
    </row>
    <row r="115" spans="1:12" x14ac:dyDescent="0.25">
      <c r="A115" s="2986"/>
      <c r="B115" s="2986"/>
      <c r="C115" s="2986"/>
      <c r="D115" s="2986"/>
      <c r="E115" s="2986"/>
      <c r="F115" s="2986"/>
      <c r="G115" s="2986"/>
      <c r="H115" s="2986"/>
      <c r="I115" s="2986"/>
      <c r="J115" s="2986"/>
      <c r="K115" s="1240" t="str">
        <f>K114</f>
        <v/>
      </c>
    </row>
    <row r="116" spans="1:12" x14ac:dyDescent="0.25">
      <c r="K116" s="1309" t="str">
        <f>K115</f>
        <v/>
      </c>
      <c r="L116" s="1240" t="s">
        <v>1607</v>
      </c>
    </row>
    <row r="117" spans="1:12" x14ac:dyDescent="0.25">
      <c r="K117" s="1309" t="s">
        <v>649</v>
      </c>
    </row>
    <row r="118" spans="1:12" s="1372" customFormat="1" x14ac:dyDescent="0.25">
      <c r="K118" s="1347" t="s">
        <v>649</v>
      </c>
    </row>
    <row r="119" spans="1:12" s="1372" customFormat="1" x14ac:dyDescent="0.25">
      <c r="K119" s="1347" t="s">
        <v>649</v>
      </c>
    </row>
    <row r="120" spans="1:12" s="1372" customFormat="1" x14ac:dyDescent="0.25">
      <c r="K120" s="1347" t="s">
        <v>649</v>
      </c>
    </row>
    <row r="121" spans="1:12" s="1372" customFormat="1" x14ac:dyDescent="0.25">
      <c r="K121" s="1347" t="s">
        <v>649</v>
      </c>
    </row>
    <row r="122" spans="1:12" s="1372" customFormat="1" x14ac:dyDescent="0.25">
      <c r="K122" s="1347" t="s">
        <v>649</v>
      </c>
    </row>
    <row r="123" spans="1:12" s="1372" customFormat="1" x14ac:dyDescent="0.25">
      <c r="K123" s="1347" t="s">
        <v>649</v>
      </c>
    </row>
    <row r="124" spans="1:12" s="1372" customFormat="1" x14ac:dyDescent="0.25">
      <c r="K124" s="1347" t="s">
        <v>649</v>
      </c>
    </row>
    <row r="125" spans="1:12" s="1372" customFormat="1" x14ac:dyDescent="0.25">
      <c r="K125" s="1347" t="s">
        <v>649</v>
      </c>
    </row>
    <row r="126" spans="1:12" s="1372" customFormat="1" x14ac:dyDescent="0.25">
      <c r="K126" s="1347" t="s">
        <v>649</v>
      </c>
    </row>
    <row r="127" spans="1:12" s="1372" customFormat="1" x14ac:dyDescent="0.25">
      <c r="K127" s="1347" t="s">
        <v>649</v>
      </c>
    </row>
    <row r="128" spans="1:12" s="1372" customFormat="1" x14ac:dyDescent="0.25">
      <c r="K128" s="1347" t="s">
        <v>649</v>
      </c>
    </row>
    <row r="129" spans="11:11" s="1372" customFormat="1" x14ac:dyDescent="0.25">
      <c r="K129" s="1347" t="s">
        <v>649</v>
      </c>
    </row>
    <row r="130" spans="11:11" s="1372" customFormat="1" x14ac:dyDescent="0.25">
      <c r="K130" s="1347" t="s">
        <v>649</v>
      </c>
    </row>
    <row r="131" spans="11:11" s="1372" customFormat="1" x14ac:dyDescent="0.25">
      <c r="K131" s="1347" t="s">
        <v>649</v>
      </c>
    </row>
    <row r="132" spans="11:11" s="1372" customFormat="1" x14ac:dyDescent="0.25">
      <c r="K132" s="1347" t="s">
        <v>649</v>
      </c>
    </row>
    <row r="133" spans="11:11" s="1372" customFormat="1" x14ac:dyDescent="0.25">
      <c r="K133" s="1347" t="s">
        <v>649</v>
      </c>
    </row>
    <row r="134" spans="11:11" s="1372" customFormat="1" x14ac:dyDescent="0.25">
      <c r="K134" s="1347" t="s">
        <v>649</v>
      </c>
    </row>
    <row r="135" spans="11:11" s="1372" customFormat="1" x14ac:dyDescent="0.25">
      <c r="K135" s="1347" t="s">
        <v>649</v>
      </c>
    </row>
    <row r="136" spans="11:11" s="1372" customFormat="1" x14ac:dyDescent="0.25">
      <c r="K136" s="1347" t="s">
        <v>649</v>
      </c>
    </row>
    <row r="137" spans="11:11" s="1372" customFormat="1" x14ac:dyDescent="0.25">
      <c r="K137" s="1347" t="s">
        <v>649</v>
      </c>
    </row>
    <row r="138" spans="11:11" s="1372" customFormat="1" x14ac:dyDescent="0.25">
      <c r="K138" s="1347" t="s">
        <v>649</v>
      </c>
    </row>
    <row r="139" spans="11:11" s="1372" customFormat="1" x14ac:dyDescent="0.25">
      <c r="K139" s="1347" t="s">
        <v>649</v>
      </c>
    </row>
    <row r="140" spans="11:11" s="1372" customFormat="1" x14ac:dyDescent="0.25">
      <c r="K140" s="1347" t="s">
        <v>649</v>
      </c>
    </row>
    <row r="141" spans="11:11" s="1372" customFormat="1" x14ac:dyDescent="0.25">
      <c r="K141" s="1347" t="s">
        <v>649</v>
      </c>
    </row>
    <row r="142" spans="11:11" s="1372" customFormat="1" x14ac:dyDescent="0.25">
      <c r="K142" s="1347" t="s">
        <v>649</v>
      </c>
    </row>
    <row r="143" spans="11:11" s="1372" customFormat="1" x14ac:dyDescent="0.25">
      <c r="K143" s="1347" t="s">
        <v>649</v>
      </c>
    </row>
    <row r="144" spans="11:11" s="1372" customFormat="1" x14ac:dyDescent="0.25">
      <c r="K144" s="1347" t="s">
        <v>649</v>
      </c>
    </row>
    <row r="145" spans="11:12" s="1372" customFormat="1" x14ac:dyDescent="0.25">
      <c r="K145" s="1347" t="s">
        <v>649</v>
      </c>
      <c r="L145" s="1347"/>
    </row>
    <row r="146" spans="11:12" s="1372" customFormat="1" x14ac:dyDescent="0.25">
      <c r="K146" s="1347" t="s">
        <v>649</v>
      </c>
      <c r="L146" s="1347"/>
    </row>
    <row r="147" spans="11:12" s="1372" customFormat="1" x14ac:dyDescent="0.25">
      <c r="K147" s="1347" t="s">
        <v>649</v>
      </c>
      <c r="L147" s="1347"/>
    </row>
    <row r="148" spans="11:12" s="1372" customFormat="1" x14ac:dyDescent="0.25">
      <c r="K148" s="1347" t="s">
        <v>649</v>
      </c>
      <c r="L148" s="1347"/>
    </row>
    <row r="149" spans="11:12" s="1372" customFormat="1" x14ac:dyDescent="0.25">
      <c r="K149" s="1347" t="s">
        <v>649</v>
      </c>
      <c r="L149" s="1347"/>
    </row>
    <row r="150" spans="11:12" s="1372" customFormat="1" x14ac:dyDescent="0.25">
      <c r="K150" s="1347" t="s">
        <v>649</v>
      </c>
      <c r="L150" s="1347"/>
    </row>
    <row r="151" spans="11:12" s="1372" customFormat="1" x14ac:dyDescent="0.25">
      <c r="K151" s="1347" t="s">
        <v>649</v>
      </c>
      <c r="L151" s="1347"/>
    </row>
    <row r="152" spans="11:12" s="1372" customFormat="1" x14ac:dyDescent="0.25">
      <c r="K152" s="1347" t="s">
        <v>649</v>
      </c>
      <c r="L152" s="1347"/>
    </row>
    <row r="153" spans="11:12" s="1372" customFormat="1" x14ac:dyDescent="0.25">
      <c r="K153" s="1347" t="s">
        <v>649</v>
      </c>
      <c r="L153" s="1347"/>
    </row>
    <row r="154" spans="11:12" s="1372" customFormat="1" x14ac:dyDescent="0.25">
      <c r="K154" s="1347" t="s">
        <v>649</v>
      </c>
      <c r="L154" s="1347"/>
    </row>
    <row r="155" spans="11:12" s="1372" customFormat="1" x14ac:dyDescent="0.25">
      <c r="K155" s="1347" t="s">
        <v>649</v>
      </c>
      <c r="L155" s="1347"/>
    </row>
    <row r="156" spans="11:12" s="1372" customFormat="1" x14ac:dyDescent="0.25">
      <c r="K156" s="1347" t="s">
        <v>649</v>
      </c>
      <c r="L156" s="1347"/>
    </row>
    <row r="157" spans="11:12" s="1372" customFormat="1" x14ac:dyDescent="0.25">
      <c r="K157" s="1347" t="s">
        <v>649</v>
      </c>
      <c r="L157" s="1347"/>
    </row>
    <row r="158" spans="11:12" s="1372" customFormat="1" x14ac:dyDescent="0.25">
      <c r="K158" s="1347" t="s">
        <v>649</v>
      </c>
      <c r="L158" s="1347"/>
    </row>
    <row r="159" spans="11:12" s="1372" customFormat="1" x14ac:dyDescent="0.25">
      <c r="K159" s="1347" t="s">
        <v>649</v>
      </c>
      <c r="L159" s="1347"/>
    </row>
    <row r="160" spans="11:12" s="1372" customFormat="1" x14ac:dyDescent="0.25">
      <c r="K160" s="1347" t="s">
        <v>649</v>
      </c>
      <c r="L160" s="1347"/>
    </row>
    <row r="161" spans="11:12" s="1372" customFormat="1" x14ac:dyDescent="0.25">
      <c r="K161" s="1347" t="s">
        <v>649</v>
      </c>
      <c r="L161" s="1347"/>
    </row>
    <row r="162" spans="11:12" s="1372" customFormat="1" x14ac:dyDescent="0.25">
      <c r="K162" s="1347" t="s">
        <v>649</v>
      </c>
      <c r="L162" s="1347"/>
    </row>
    <row r="163" spans="11:12" s="1372" customFormat="1" x14ac:dyDescent="0.25">
      <c r="K163" s="1347" t="s">
        <v>649</v>
      </c>
      <c r="L163" s="1347"/>
    </row>
    <row r="164" spans="11:12" s="1372" customFormat="1" x14ac:dyDescent="0.25">
      <c r="K164" s="1347" t="s">
        <v>649</v>
      </c>
      <c r="L164" s="1347"/>
    </row>
    <row r="165" spans="11:12" s="1372" customFormat="1" x14ac:dyDescent="0.25">
      <c r="K165" s="1347" t="s">
        <v>649</v>
      </c>
      <c r="L165" s="1347"/>
    </row>
    <row r="166" spans="11:12" s="1372" customFormat="1" x14ac:dyDescent="0.25">
      <c r="K166" s="1347" t="s">
        <v>649</v>
      </c>
      <c r="L166" s="1347"/>
    </row>
    <row r="167" spans="11:12" s="1372" customFormat="1" x14ac:dyDescent="0.25">
      <c r="K167" s="1347" t="s">
        <v>649</v>
      </c>
      <c r="L167" s="1347"/>
    </row>
    <row r="168" spans="11:12" s="1372" customFormat="1" x14ac:dyDescent="0.25">
      <c r="K168" s="1347" t="s">
        <v>649</v>
      </c>
      <c r="L168" s="1347"/>
    </row>
    <row r="169" spans="11:12" s="1372" customFormat="1" x14ac:dyDescent="0.25">
      <c r="K169" s="1347" t="s">
        <v>649</v>
      </c>
      <c r="L169" s="1347"/>
    </row>
    <row r="170" spans="11:12" s="1372" customFormat="1" x14ac:dyDescent="0.25">
      <c r="K170" s="1347" t="s">
        <v>649</v>
      </c>
      <c r="L170" s="1347"/>
    </row>
    <row r="171" spans="11:12" s="1372" customFormat="1" x14ac:dyDescent="0.25">
      <c r="K171" s="1347" t="s">
        <v>649</v>
      </c>
      <c r="L171" s="1347"/>
    </row>
    <row r="172" spans="11:12" s="1372" customFormat="1" x14ac:dyDescent="0.25">
      <c r="K172" s="1347" t="s">
        <v>649</v>
      </c>
      <c r="L172" s="1347"/>
    </row>
    <row r="173" spans="11:12" s="1372" customFormat="1" x14ac:dyDescent="0.25">
      <c r="K173" s="1347" t="s">
        <v>649</v>
      </c>
      <c r="L173" s="1347"/>
    </row>
    <row r="174" spans="11:12" s="1372" customFormat="1" x14ac:dyDescent="0.25">
      <c r="K174" s="1347" t="s">
        <v>649</v>
      </c>
      <c r="L174" s="1347"/>
    </row>
    <row r="175" spans="11:12" s="1372" customFormat="1" x14ac:dyDescent="0.25">
      <c r="K175" s="1347" t="s">
        <v>649</v>
      </c>
      <c r="L175" s="1347"/>
    </row>
    <row r="176" spans="11:12" s="1372" customFormat="1" x14ac:dyDescent="0.25">
      <c r="K176" s="1347" t="s">
        <v>649</v>
      </c>
      <c r="L176" s="1347"/>
    </row>
    <row r="177" spans="1:12" s="1372" customFormat="1" x14ac:dyDescent="0.25">
      <c r="K177" s="1347" t="s">
        <v>649</v>
      </c>
      <c r="L177" s="1347"/>
    </row>
    <row r="178" spans="1:12" s="1374" customFormat="1" x14ac:dyDescent="0.25">
      <c r="A178" s="1373"/>
      <c r="B178" s="1373"/>
      <c r="C178" s="1373"/>
      <c r="D178" s="1373"/>
      <c r="E178" s="1373"/>
      <c r="F178" s="1373"/>
      <c r="G178" s="1373"/>
      <c r="H178" s="1373"/>
      <c r="I178" s="1373"/>
      <c r="J178" s="1373"/>
      <c r="K178" s="1347" t="s">
        <v>649</v>
      </c>
      <c r="L178" s="1347"/>
    </row>
    <row r="179" spans="1:12" s="1372" customFormat="1" ht="15" customHeight="1" x14ac:dyDescent="0.25">
      <c r="A179" s="704"/>
      <c r="B179" s="704"/>
      <c r="C179" s="704"/>
      <c r="D179" s="704"/>
      <c r="E179" s="704"/>
      <c r="F179" s="704"/>
      <c r="G179" s="704"/>
      <c r="H179" s="704"/>
      <c r="I179" s="704"/>
      <c r="J179" s="704"/>
      <c r="K179" s="1347" t="s">
        <v>649</v>
      </c>
      <c r="L179" s="1347"/>
    </row>
    <row r="180" spans="1:12" s="1347" customFormat="1" ht="15" customHeight="1" x14ac:dyDescent="0.25">
      <c r="A180" s="2988" t="str">
        <f>"Transdutor "&amp;Ultrassom!A124&amp;" - marca "&amp;Ultrassom!B124&amp;", modelo "&amp;Ultrassom!C124&amp;", n° série "&amp;Ultrassom!D124</f>
        <v>Transdutor 2 - marca não informada, modelo não informado, n° série não informado</v>
      </c>
      <c r="B180" s="2988"/>
      <c r="C180" s="2988"/>
      <c r="D180" s="2988"/>
      <c r="E180" s="2988"/>
      <c r="F180" s="2988"/>
      <c r="G180" s="2988"/>
      <c r="H180" s="2988"/>
      <c r="I180" s="2988"/>
      <c r="J180" s="2988"/>
      <c r="K180" s="1347" t="str">
        <f>IF(Ultrassom!B122&lt;=Ultrassom!$E$4,"","x")</f>
        <v>x</v>
      </c>
      <c r="L180" s="1347" t="str">
        <f>Ultrassom!A122&amp;Ultrassom!B122</f>
        <v>TRANSDUTOR: 2</v>
      </c>
    </row>
    <row r="181" spans="1:12" s="1347" customFormat="1" ht="15" customHeight="1" x14ac:dyDescent="0.25">
      <c r="A181" s="2988"/>
      <c r="B181" s="2988"/>
      <c r="C181" s="2988"/>
      <c r="D181" s="2988"/>
      <c r="E181" s="2988"/>
      <c r="F181" s="2988"/>
      <c r="G181" s="2988"/>
      <c r="H181" s="2988"/>
      <c r="I181" s="2988"/>
      <c r="J181" s="2988"/>
      <c r="K181" s="1347" t="str">
        <f>K180</f>
        <v>x</v>
      </c>
    </row>
    <row r="182" spans="1:12" s="1347" customFormat="1" ht="15" customHeight="1" x14ac:dyDescent="0.25">
      <c r="A182" s="1346"/>
      <c r="B182" s="1346"/>
      <c r="C182" s="1346"/>
      <c r="D182" s="1346"/>
      <c r="E182" s="1346"/>
      <c r="F182" s="1346"/>
      <c r="G182" s="1346"/>
      <c r="H182" s="1346"/>
      <c r="I182" s="1346"/>
      <c r="J182" s="1346"/>
      <c r="K182" s="1347" t="str">
        <f>K181</f>
        <v>x</v>
      </c>
    </row>
    <row r="183" spans="1:12" s="1347" customFormat="1" ht="15" customHeight="1" x14ac:dyDescent="0.25">
      <c r="A183" s="2984" t="s">
        <v>1576</v>
      </c>
      <c r="B183" s="2984"/>
      <c r="C183" s="2984"/>
      <c r="D183" s="2984"/>
      <c r="E183" s="2984"/>
      <c r="F183" s="2984"/>
      <c r="G183" s="2848" t="s">
        <v>369</v>
      </c>
      <c r="H183" s="3014"/>
      <c r="I183" s="1333" t="str">
        <f>"IN "&amp;VLOOKUP("Ultrassom",IN_ANVISA[],2)</f>
        <v>IN 96</v>
      </c>
      <c r="K183" s="1347" t="str">
        <f>K182</f>
        <v>x</v>
      </c>
    </row>
    <row r="184" spans="1:12" s="1347" customFormat="1" ht="15" customHeight="1" x14ac:dyDescent="0.25">
      <c r="A184" s="3011" t="s">
        <v>1619</v>
      </c>
      <c r="B184" s="3012"/>
      <c r="C184" s="3012"/>
      <c r="D184" s="3012"/>
      <c r="E184" s="3012"/>
      <c r="F184" s="3013"/>
      <c r="G184" s="2990" t="str">
        <f>Ultrassom!E124</f>
        <v>Boa</v>
      </c>
      <c r="H184" s="2992"/>
      <c r="I184" s="1237" t="s">
        <v>142</v>
      </c>
      <c r="K184" s="1347" t="str">
        <f>K183</f>
        <v>x</v>
      </c>
      <c r="L184" s="1347" t="str">
        <f>IF(G184&lt;&gt;"Boa",A184,"")</f>
        <v/>
      </c>
    </row>
    <row r="185" spans="1:12" s="1347" customFormat="1" ht="15" customHeight="1" x14ac:dyDescent="0.25">
      <c r="A185" s="3001" t="s">
        <v>1538</v>
      </c>
      <c r="B185" s="3001"/>
      <c r="C185" s="3001"/>
      <c r="D185" s="3001"/>
      <c r="E185" s="3001"/>
      <c r="F185" s="3001"/>
      <c r="G185" s="3002" t="str">
        <f>IF(LARGE(Ultrassom!C135:D135,1)=0,IF(Ultrassom!D129="s","Uniforme","Não uniforme"),ROUNDDOWN(LARGE(Ultrassom!C135:D135,1),1)&amp;" dB")</f>
        <v>Não uniforme</v>
      </c>
      <c r="H185" s="3003"/>
      <c r="I185" s="1237" t="str">
        <f>Ultrassom!B135</f>
        <v>NPA</v>
      </c>
      <c r="K185" s="1347" t="str">
        <f>K184</f>
        <v>x</v>
      </c>
      <c r="L185" s="1347" t="str">
        <f>IF(I185="Não",A185,"")</f>
        <v/>
      </c>
    </row>
    <row r="186" spans="1:12" s="1347" customFormat="1" ht="15" customHeight="1" x14ac:dyDescent="0.25">
      <c r="A186" s="3001" t="s">
        <v>1579</v>
      </c>
      <c r="B186" s="3001"/>
      <c r="C186" s="3001"/>
      <c r="D186" s="3001"/>
      <c r="E186" s="3001"/>
      <c r="F186" s="3001"/>
      <c r="G186" s="3002" t="str">
        <f>Ultrassom!D144&amp;" cm"</f>
        <v xml:space="preserve"> cm</v>
      </c>
      <c r="H186" s="3003"/>
      <c r="I186" s="1237" t="str">
        <f>Ultrassom!D146</f>
        <v>NA</v>
      </c>
      <c r="K186" s="1347" t="str">
        <f>IF(I186="NA","x","")</f>
        <v>x</v>
      </c>
      <c r="L186" s="1347" t="str">
        <f>IF(I186="Não",A186,"")</f>
        <v/>
      </c>
    </row>
    <row r="187" spans="1:12" s="1347" customFormat="1" ht="15" customHeight="1" x14ac:dyDescent="0.25">
      <c r="A187" s="3001" t="s">
        <v>1577</v>
      </c>
      <c r="B187" s="3001"/>
      <c r="C187" s="3001"/>
      <c r="D187" s="3001"/>
      <c r="E187" s="3001"/>
      <c r="F187" s="3001"/>
      <c r="G187" s="2591" t="str">
        <f>Ultrassom!B144&amp;" cm"</f>
        <v xml:space="preserve"> cm</v>
      </c>
      <c r="H187" s="2593"/>
      <c r="I187" s="1243" t="str">
        <f>Ultrassom!B146</f>
        <v>NA</v>
      </c>
      <c r="K187" s="1347" t="str">
        <f>IF(I187="NA","x","")</f>
        <v>x</v>
      </c>
      <c r="L187" s="1347" t="str">
        <f>IF(I187="Não",A187,"")</f>
        <v/>
      </c>
    </row>
    <row r="188" spans="1:12" s="1347" customFormat="1" ht="15" customHeight="1" x14ac:dyDescent="0.25">
      <c r="A188" s="3001" t="s">
        <v>1578</v>
      </c>
      <c r="B188" s="3001"/>
      <c r="C188" s="3001"/>
      <c r="D188" s="3001"/>
      <c r="E188" s="3001"/>
      <c r="F188" s="3001"/>
      <c r="G188" s="2591" t="str">
        <f>Ultrassom!C144&amp;" cm"</f>
        <v xml:space="preserve"> cm</v>
      </c>
      <c r="H188" s="2593"/>
      <c r="I188" s="1243" t="str">
        <f>Ultrassom!C146</f>
        <v>NA</v>
      </c>
      <c r="K188" s="1347" t="str">
        <f>IF(I188="NA","x","")</f>
        <v>x</v>
      </c>
      <c r="L188" s="1347" t="str">
        <f>IF(I188="Não",A188,"")</f>
        <v/>
      </c>
    </row>
    <row r="189" spans="1:12" s="1347" customFormat="1" ht="15" customHeight="1" x14ac:dyDescent="0.25">
      <c r="A189" s="3001" t="s">
        <v>1580</v>
      </c>
      <c r="B189" s="3001"/>
      <c r="C189" s="3001"/>
      <c r="D189" s="3001"/>
      <c r="E189" s="3001"/>
      <c r="F189" s="3001"/>
      <c r="G189" s="2990" t="str">
        <f>Ultrassom!B150&amp;" objetos, "&amp;IF(Ultrassom!B153="s","BD","BND")&amp;" "&amp;IF(Ultrassom!B154="s","AC","ANC")</f>
        <v xml:space="preserve"> objetos, BND ANC</v>
      </c>
      <c r="H189" s="2992"/>
      <c r="I189" s="1237" t="str">
        <f>Ultrassom!B155</f>
        <v>Sim</v>
      </c>
      <c r="K189" s="1347" t="str">
        <f>K180</f>
        <v>x</v>
      </c>
      <c r="L189" s="1347" t="str">
        <f>IF(I189="Não","Visualização de objetos anecóicos","")</f>
        <v/>
      </c>
    </row>
    <row r="190" spans="1:12" s="1347" customFormat="1" ht="15" customHeight="1" x14ac:dyDescent="0.25">
      <c r="A190" s="3001" t="s">
        <v>1581</v>
      </c>
      <c r="B190" s="3001"/>
      <c r="C190" s="3001"/>
      <c r="D190" s="3001"/>
      <c r="E190" s="3001"/>
      <c r="F190" s="3001"/>
      <c r="G190" s="3002" t="str">
        <f>Ultrassom!D150&amp;" objetos, "&amp;IF(Ultrassom!D153="s","BD","BND")&amp;" "&amp;IF(Ultrassom!D154="s","AC","ANC")</f>
        <v xml:space="preserve"> objetos, BND ANC</v>
      </c>
      <c r="H190" s="3003"/>
      <c r="I190" s="1237" t="str">
        <f>Ultrassom!D155</f>
        <v>Sim</v>
      </c>
      <c r="K190" s="1347" t="str">
        <f>K189</f>
        <v>x</v>
      </c>
      <c r="L190" s="1347" t="str">
        <f>IF(I190="Não","Visualização de objetos anecóicos","")</f>
        <v/>
      </c>
    </row>
    <row r="191" spans="1:12" s="1347" customFormat="1" ht="15" customHeight="1" x14ac:dyDescent="0.25">
      <c r="A191" s="3001" t="s">
        <v>1582</v>
      </c>
      <c r="B191" s="3001"/>
      <c r="C191" s="3001"/>
      <c r="D191" s="3001"/>
      <c r="E191" s="3001"/>
      <c r="F191" s="3001"/>
      <c r="G191" s="3002" t="str">
        <f>Ultrassom!F150&amp;" objetos, "&amp;IF(Ultrassom!F153="s","BD","BND")&amp;" "&amp;IF(Ultrassom!F154="s","AC","ANC")</f>
        <v xml:space="preserve"> objetos, BND ANC</v>
      </c>
      <c r="H191" s="3003"/>
      <c r="I191" s="1237" t="str">
        <f>Ultrassom!F155</f>
        <v>Sim</v>
      </c>
      <c r="K191" s="1347" t="str">
        <f t="shared" ref="K191:K196" si="11">K190</f>
        <v>x</v>
      </c>
      <c r="L191" s="1347" t="str">
        <f>IF(I191="Não","Visualização de objetos anecóicos","")</f>
        <v/>
      </c>
    </row>
    <row r="192" spans="1:12" s="1347" customFormat="1" x14ac:dyDescent="0.25">
      <c r="A192" s="3004" t="str">
        <f>"Zona morta @ "&amp;ROUND(Ultrassom!A159,1)&amp;" MHz"</f>
        <v>Zona morta @ 0 MHz</v>
      </c>
      <c r="B192" s="3004"/>
      <c r="C192" s="3004"/>
      <c r="D192" s="3004"/>
      <c r="E192" s="3004"/>
      <c r="F192" s="3004"/>
      <c r="G192" s="2975" t="str">
        <f>Ultrassom!C159&amp;" mm"</f>
        <v xml:space="preserve"> mm</v>
      </c>
      <c r="H192" s="2998"/>
      <c r="I192" s="1237" t="str">
        <f>Ultrassom!E159</f>
        <v>Sim</v>
      </c>
      <c r="K192" s="1347" t="str">
        <f t="shared" si="11"/>
        <v>x</v>
      </c>
      <c r="L192" s="1347" t="str">
        <f>IF(I192="Não","Zona morta","")</f>
        <v/>
      </c>
    </row>
    <row r="193" spans="1:12" s="940" customFormat="1" x14ac:dyDescent="0.25">
      <c r="A193" s="3005" t="s">
        <v>1583</v>
      </c>
      <c r="B193" s="3005"/>
      <c r="C193" s="3005"/>
      <c r="D193" s="3005"/>
      <c r="E193" s="3005"/>
      <c r="F193" s="3005"/>
      <c r="G193" s="2975" t="e">
        <f>LARGE(Ultrassom!C167:C168,1)&amp;" mm"</f>
        <v>#NUM!</v>
      </c>
      <c r="H193" s="2998"/>
      <c r="I193" s="1237" t="str">
        <f>Ultrassom!C170</f>
        <v>NPA</v>
      </c>
      <c r="K193" s="1347" t="str">
        <f t="shared" si="11"/>
        <v>x</v>
      </c>
      <c r="L193" s="1347" t="str">
        <f>IF(I193="Não",A193,"")</f>
        <v/>
      </c>
    </row>
    <row r="194" spans="1:12" s="940" customFormat="1" x14ac:dyDescent="0.25">
      <c r="A194" s="3005" t="s">
        <v>1584</v>
      </c>
      <c r="B194" s="3005"/>
      <c r="C194" s="3005"/>
      <c r="D194" s="3005"/>
      <c r="E194" s="3005"/>
      <c r="F194" s="3005"/>
      <c r="G194" s="2975" t="e">
        <f>LARGE(Ultrassom!D167:D168,1)&amp;" mm"</f>
        <v>#NUM!</v>
      </c>
      <c r="H194" s="2998"/>
      <c r="I194" s="1237" t="str">
        <f>Ultrassom!D170</f>
        <v>NPA</v>
      </c>
      <c r="K194" s="1347" t="str">
        <f t="shared" si="11"/>
        <v>x</v>
      </c>
      <c r="L194" s="1347" t="str">
        <f>IF(I194="Não",A194,"")</f>
        <v/>
      </c>
    </row>
    <row r="195" spans="1:12" s="940" customFormat="1" ht="15" customHeight="1" x14ac:dyDescent="0.25">
      <c r="A195" s="3006" t="str">
        <f>"Resolução axial @ "&amp;ROUND(Ultrassom!D174,1)&amp;" MHz"</f>
        <v>Resolução axial @ 0 MHz</v>
      </c>
      <c r="B195" s="3006"/>
      <c r="C195" s="3006"/>
      <c r="D195" s="3006"/>
      <c r="E195" s="3006"/>
      <c r="F195" s="3006"/>
      <c r="G195" s="3007">
        <f>Ultrassom!D176</f>
        <v>0</v>
      </c>
      <c r="H195" s="3008"/>
      <c r="I195" s="1237" t="str">
        <f>Ultrassom!D178</f>
        <v>Sim</v>
      </c>
      <c r="K195" s="1347" t="str">
        <f t="shared" si="11"/>
        <v>x</v>
      </c>
      <c r="L195" s="1347" t="str">
        <f>IF(I195="Não","Resolução axial","")</f>
        <v/>
      </c>
    </row>
    <row r="196" spans="1:12" s="940" customFormat="1" ht="15" customHeight="1" x14ac:dyDescent="0.25">
      <c r="A196" s="3006" t="str">
        <f>"Resolução lateral @ "&amp;ROUND(Ultrassom!E174,1)&amp;" MHz"</f>
        <v>Resolução lateral @ 0 MHz</v>
      </c>
      <c r="B196" s="3006"/>
      <c r="C196" s="3006"/>
      <c r="D196" s="3006"/>
      <c r="E196" s="3006"/>
      <c r="F196" s="3006"/>
      <c r="G196" s="3007">
        <f>Ultrassom!E176</f>
        <v>0</v>
      </c>
      <c r="H196" s="3008"/>
      <c r="I196" s="1237" t="str">
        <f>Ultrassom!E178</f>
        <v>Sim</v>
      </c>
      <c r="K196" s="1347" t="str">
        <f t="shared" si="11"/>
        <v>x</v>
      </c>
      <c r="L196" s="1347" t="str">
        <f>IF(I196="Não","Resolução lateral","")</f>
        <v/>
      </c>
    </row>
    <row r="197" spans="1:12" s="940" customFormat="1" ht="15" customHeight="1" x14ac:dyDescent="0.25">
      <c r="A197" s="2993" t="str">
        <f>"Zona focal - foco @ "&amp;Ultrassom!B182&amp;" cm"</f>
        <v>Zona focal - foco @  cm</v>
      </c>
      <c r="B197" s="2994"/>
      <c r="C197" s="2994"/>
      <c r="D197" s="2994"/>
      <c r="E197" s="2994"/>
      <c r="F197" s="2995"/>
      <c r="G197" s="2975" t="str">
        <f>Ultrassom!B184&amp;" cm"</f>
        <v xml:space="preserve"> cm</v>
      </c>
      <c r="H197" s="2998"/>
      <c r="I197" s="1237" t="str">
        <f>Ultrassom!B187</f>
        <v>NA</v>
      </c>
      <c r="K197" s="1347" t="str">
        <f>IF(I197="NA","x","")</f>
        <v>x</v>
      </c>
      <c r="L197" s="1347" t="str">
        <f>IF(I197="Não","Zona focal","")</f>
        <v/>
      </c>
    </row>
    <row r="198" spans="1:12" s="940" customFormat="1" ht="15" customHeight="1" x14ac:dyDescent="0.25">
      <c r="A198" s="2993" t="str">
        <f>"Zona focal - foco @ "&amp;Ultrassom!C182&amp;" cm"</f>
        <v>Zona focal - foco @  cm</v>
      </c>
      <c r="B198" s="2994"/>
      <c r="C198" s="2994"/>
      <c r="D198" s="2994"/>
      <c r="E198" s="2994"/>
      <c r="F198" s="2995"/>
      <c r="G198" s="2975" t="str">
        <f>Ultrassom!C184&amp;" cm"</f>
        <v xml:space="preserve"> cm</v>
      </c>
      <c r="H198" s="2998"/>
      <c r="I198" s="1237" t="str">
        <f>Ultrassom!C187</f>
        <v>NA</v>
      </c>
      <c r="K198" s="1347" t="str">
        <f>IF(I198="NA","x","")</f>
        <v>x</v>
      </c>
      <c r="L198" s="1347" t="str">
        <f>IF(I198="Não","Zona focal","")</f>
        <v/>
      </c>
    </row>
    <row r="199" spans="1:12" s="940" customFormat="1" ht="15" customHeight="1" x14ac:dyDescent="0.25">
      <c r="A199" s="2993" t="str">
        <f>"Zona focal - foco @ "&amp;Ultrassom!D182&amp;" cm"</f>
        <v>Zona focal - foco @  cm</v>
      </c>
      <c r="B199" s="2994"/>
      <c r="C199" s="2994"/>
      <c r="D199" s="2994"/>
      <c r="E199" s="2994"/>
      <c r="F199" s="2995"/>
      <c r="G199" s="2996" t="str">
        <f>Ultrassom!D184&amp;" cm"</f>
        <v xml:space="preserve"> cm</v>
      </c>
      <c r="H199" s="2997"/>
      <c r="I199" s="1243" t="str">
        <f>Ultrassom!D187</f>
        <v>NA</v>
      </c>
      <c r="K199" s="1347" t="str">
        <f>IF(I199="NA","x","")</f>
        <v>x</v>
      </c>
      <c r="L199" s="1347" t="str">
        <f>IF(I199="Não","Zona focal","")</f>
        <v/>
      </c>
    </row>
    <row r="200" spans="1:12" s="940" customFormat="1" ht="15" customHeight="1" x14ac:dyDescent="0.25">
      <c r="A200" s="2993" t="str">
        <f>"Zona focal - foco @ "&amp;Ultrassom!E182&amp;" cm"</f>
        <v>Zona focal - foco @  cm</v>
      </c>
      <c r="B200" s="2994"/>
      <c r="C200" s="2994"/>
      <c r="D200" s="2994"/>
      <c r="E200" s="2994"/>
      <c r="F200" s="2995"/>
      <c r="G200" s="2996" t="str">
        <f>Ultrassom!E184&amp;" cm"</f>
        <v xml:space="preserve"> cm</v>
      </c>
      <c r="H200" s="2997"/>
      <c r="I200" s="1243" t="str">
        <f>Ultrassom!E187</f>
        <v>NA</v>
      </c>
      <c r="K200" s="1347" t="str">
        <f>IF(I200="NA","x","")</f>
        <v>x</v>
      </c>
      <c r="L200" s="1347" t="str">
        <f>IF(I200="Não","Zona focal","")</f>
        <v/>
      </c>
    </row>
    <row r="201" spans="1:12" s="940" customFormat="1" ht="15" customHeight="1" x14ac:dyDescent="0.25">
      <c r="A201" s="2993" t="str">
        <f>"Zona focal - foco @ "&amp;Ultrassom!F182&amp;" cm"</f>
        <v>Zona focal - foco @  cm</v>
      </c>
      <c r="B201" s="2994"/>
      <c r="C201" s="2994"/>
      <c r="D201" s="2994"/>
      <c r="E201" s="2994"/>
      <c r="F201" s="2995"/>
      <c r="G201" s="2975" t="str">
        <f>Ultrassom!F184&amp;" cm"</f>
        <v xml:space="preserve"> cm</v>
      </c>
      <c r="H201" s="2998"/>
      <c r="I201" s="1237" t="str">
        <f>Ultrassom!F187</f>
        <v>NA</v>
      </c>
      <c r="K201" s="1347" t="str">
        <f>IF(I201="NA","x","")</f>
        <v>x</v>
      </c>
      <c r="L201" s="1347" t="str">
        <f>IF(I201="Não","Zona focal","")</f>
        <v/>
      </c>
    </row>
    <row r="202" spans="1:12" s="940" customFormat="1" ht="15" customHeight="1" x14ac:dyDescent="0.25">
      <c r="A202" s="2993" t="s">
        <v>1585</v>
      </c>
      <c r="B202" s="2994"/>
      <c r="C202" s="2994"/>
      <c r="D202" s="2994"/>
      <c r="E202" s="2994"/>
      <c r="F202" s="2995"/>
      <c r="G202" s="2999" t="str">
        <f>IF(Ultrassom!B192="s","Visualizado","Não visualizado")</f>
        <v>Não visualizado</v>
      </c>
      <c r="H202" s="3000"/>
      <c r="I202" s="1237" t="str">
        <f>Ultrassom!B194</f>
        <v>Sim</v>
      </c>
      <c r="K202" s="1347" t="str">
        <f>K180</f>
        <v>x</v>
      </c>
      <c r="L202" s="1347" t="str">
        <f>IF(I202="Não","Limiar de sensibilidade a baixo contraste","")</f>
        <v/>
      </c>
    </row>
    <row r="203" spans="1:12" s="940" customFormat="1" ht="15" customHeight="1" x14ac:dyDescent="0.25">
      <c r="A203" s="2993" t="s">
        <v>1586</v>
      </c>
      <c r="B203" s="2994"/>
      <c r="C203" s="2994"/>
      <c r="D203" s="2994"/>
      <c r="E203" s="2994"/>
      <c r="F203" s="2995"/>
      <c r="G203" s="2999" t="str">
        <f>IF(Ultrassom!C192="s","Visualizado","Não visualizado")</f>
        <v>Não visualizado</v>
      </c>
      <c r="H203" s="3000"/>
      <c r="I203" s="1237" t="str">
        <f>Ultrassom!C194</f>
        <v>Sim</v>
      </c>
      <c r="K203" s="1347" t="str">
        <f>K202</f>
        <v>x</v>
      </c>
      <c r="L203" s="1347" t="str">
        <f>IF(I203="Não","Limiar de sensibilidade a baixo contraste","")</f>
        <v/>
      </c>
    </row>
    <row r="204" spans="1:12" s="940" customFormat="1" ht="15" customHeight="1" x14ac:dyDescent="0.25">
      <c r="A204" s="2993" t="s">
        <v>1587</v>
      </c>
      <c r="B204" s="2994"/>
      <c r="C204" s="2994"/>
      <c r="D204" s="2994"/>
      <c r="E204" s="2994"/>
      <c r="F204" s="2995"/>
      <c r="G204" s="2999" t="str">
        <f>IF(Ultrassom!D192="s","Visualizado","Não visualizado")</f>
        <v>Não visualizado</v>
      </c>
      <c r="H204" s="3000"/>
      <c r="I204" s="1237" t="str">
        <f>Ultrassom!D194</f>
        <v>Sim</v>
      </c>
      <c r="K204" s="1347" t="str">
        <f>K203</f>
        <v>x</v>
      </c>
      <c r="L204" s="1347" t="str">
        <f>IF(I204="Não","Limiar de sensibilidade a baixo contraste","")</f>
        <v/>
      </c>
    </row>
    <row r="205" spans="1:12" s="940" customFormat="1" ht="15" customHeight="1" x14ac:dyDescent="0.25">
      <c r="A205" s="2993" t="s">
        <v>1588</v>
      </c>
      <c r="B205" s="2994"/>
      <c r="C205" s="2994"/>
      <c r="D205" s="2994"/>
      <c r="E205" s="2994"/>
      <c r="F205" s="2995"/>
      <c r="G205" s="2999" t="str">
        <f>IF(Ultrassom!E192="s","Visualizado","Não visualizado")</f>
        <v>Não visualizado</v>
      </c>
      <c r="H205" s="3000"/>
      <c r="I205" s="1237" t="str">
        <f>Ultrassom!E194</f>
        <v>Sim</v>
      </c>
      <c r="K205" s="1347" t="str">
        <f>K204</f>
        <v>x</v>
      </c>
      <c r="L205" s="1347" t="str">
        <f>IF(I205="Não","Limiar de sensibilidade a baixo contraste","")</f>
        <v/>
      </c>
    </row>
    <row r="206" spans="1:12" s="940" customFormat="1" ht="15" customHeight="1" x14ac:dyDescent="0.25">
      <c r="A206" s="3006" t="s">
        <v>1589</v>
      </c>
      <c r="B206" s="3006"/>
      <c r="C206" s="3006"/>
      <c r="D206" s="3006"/>
      <c r="E206" s="3006"/>
      <c r="F206" s="3006"/>
      <c r="G206" s="3002" t="str">
        <f>IFERROR(Ultrassom!F200*100&amp;" %","NPA")</f>
        <v>NPA</v>
      </c>
      <c r="H206" s="3003"/>
      <c r="I206" s="1237" t="str">
        <f>Ultrassom!G200</f>
        <v>NA</v>
      </c>
      <c r="K206" s="1381" t="str">
        <f>K205</f>
        <v>x</v>
      </c>
      <c r="L206" s="1347" t="str">
        <f>IF(I206="Não",A206,"")</f>
        <v/>
      </c>
    </row>
    <row r="207" spans="1:12" s="940" customFormat="1" ht="15" customHeight="1" x14ac:dyDescent="0.25">
      <c r="A207" s="3006" t="str">
        <f>"Sensibilidade do modo doppler @ "&amp;Ultrassom!B204&amp;" (ref. "&amp;Ultrassom!B207&amp;" "&amp;Ultrassom!$A$205&amp;")"</f>
        <v>Sensibilidade do modo doppler @ fluxo baixo (ref. NI ml/s)</v>
      </c>
      <c r="B207" s="3006"/>
      <c r="C207" s="3006"/>
      <c r="D207" s="3006"/>
      <c r="E207" s="3006"/>
      <c r="F207" s="3006"/>
      <c r="G207" s="3002" t="str">
        <f>IFERROR(ROUNDDOWN(Ultrassom!C207,1)&amp;" "&amp;Ultrassom!$A$205,"NPA")</f>
        <v>0 ml/s</v>
      </c>
      <c r="H207" s="3003"/>
      <c r="I207" s="1237" t="str">
        <f>Ultrassom!D207</f>
        <v>NPA</v>
      </c>
      <c r="K207" s="1835" t="str">
        <f t="shared" ref="K207:K209" si="12">IF(G207="0 ml/s","x","")</f>
        <v>x</v>
      </c>
      <c r="L207" s="1347" t="str">
        <f>IF(I207="Não","Sensibilidade do modo doppler","")</f>
        <v/>
      </c>
    </row>
    <row r="208" spans="1:12" s="940" customFormat="1" ht="15" customHeight="1" x14ac:dyDescent="0.25">
      <c r="A208" s="3006" t="str">
        <f>"Sensibilidade do modo doppler @ "&amp;Ultrassom!E204&amp;" (ref. "&amp;Ultrassom!E207&amp;" "&amp;Ultrassom!$A$205&amp;")"</f>
        <v>Sensibilidade do modo doppler @ fluxo médio (ref. NI ml/s)</v>
      </c>
      <c r="B208" s="3006"/>
      <c r="C208" s="3006"/>
      <c r="D208" s="3006"/>
      <c r="E208" s="3006"/>
      <c r="F208" s="3006"/>
      <c r="G208" s="3002" t="str">
        <f>IFERROR(ROUNDDOWN(Ultrassom!F207,1)&amp;" "&amp;Ultrassom!$A$205,"NPA")</f>
        <v>0 ml/s</v>
      </c>
      <c r="H208" s="3003"/>
      <c r="I208" s="1237" t="str">
        <f>Ultrassom!G207</f>
        <v>NPA</v>
      </c>
      <c r="K208" s="1835" t="str">
        <f t="shared" si="12"/>
        <v>x</v>
      </c>
      <c r="L208" s="1347" t="str">
        <f>IF(I208="Não","Sensibilidade do modo doppler","")</f>
        <v/>
      </c>
    </row>
    <row r="209" spans="1:12" s="940" customFormat="1" ht="15" customHeight="1" x14ac:dyDescent="0.25">
      <c r="A209" s="3006" t="str">
        <f>"Sensibilidade do modo doppler @ "&amp;Ultrassom!H204&amp;" (ref. "&amp;Ultrassom!H207&amp;" "&amp;Ultrassom!$A$205&amp;")"</f>
        <v>Sensibilidade do modo doppler @ fluxo alto (ref. NI ml/s)</v>
      </c>
      <c r="B209" s="3006"/>
      <c r="C209" s="3006"/>
      <c r="D209" s="3006"/>
      <c r="E209" s="3006"/>
      <c r="F209" s="3006"/>
      <c r="G209" s="3002" t="str">
        <f>IFERROR(ROUNDDOWN(Ultrassom!I207,1)&amp;" "&amp;Ultrassom!$A$205,"NPA")</f>
        <v>0 ml/s</v>
      </c>
      <c r="H209" s="3003"/>
      <c r="I209" s="1237" t="str">
        <f>Ultrassom!J207</f>
        <v>NPA</v>
      </c>
      <c r="K209" s="1835" t="str">
        <f t="shared" si="12"/>
        <v>x</v>
      </c>
      <c r="L209" s="1347" t="str">
        <f>IF(I209="Não","Sensibilidade do modo doppler","")</f>
        <v/>
      </c>
    </row>
    <row r="210" spans="1:12" s="1347" customFormat="1" ht="15" customHeight="1" x14ac:dyDescent="0.25">
      <c r="A210" s="2986" t="s">
        <v>1922</v>
      </c>
      <c r="B210" s="2986"/>
      <c r="C210" s="2986"/>
      <c r="D210" s="2986"/>
      <c r="E210" s="2986"/>
      <c r="F210" s="2986"/>
      <c r="G210" s="2986"/>
      <c r="H210" s="2986"/>
      <c r="I210" s="2986"/>
      <c r="J210" s="2986"/>
      <c r="K210" s="1347" t="str">
        <f>K180</f>
        <v>x</v>
      </c>
    </row>
    <row r="211" spans="1:12" s="1347" customFormat="1" x14ac:dyDescent="0.25">
      <c r="A211" s="2986"/>
      <c r="B211" s="2986"/>
      <c r="C211" s="2986"/>
      <c r="D211" s="2986"/>
      <c r="E211" s="2986"/>
      <c r="F211" s="2986"/>
      <c r="G211" s="2986"/>
      <c r="H211" s="2986"/>
      <c r="I211" s="2986"/>
      <c r="J211" s="2986"/>
      <c r="K211" s="1347" t="str">
        <f>K210</f>
        <v>x</v>
      </c>
    </row>
    <row r="212" spans="1:12" s="1347" customFormat="1" x14ac:dyDescent="0.25">
      <c r="K212" s="1347" t="str">
        <f>K211</f>
        <v>x</v>
      </c>
      <c r="L212" s="1347" t="s">
        <v>1607</v>
      </c>
    </row>
    <row r="213" spans="1:12" s="1347" customFormat="1" x14ac:dyDescent="0.25">
      <c r="K213" s="1347" t="s">
        <v>649</v>
      </c>
    </row>
    <row r="214" spans="1:12" s="1372" customFormat="1" x14ac:dyDescent="0.25">
      <c r="K214" s="1347" t="s">
        <v>649</v>
      </c>
    </row>
    <row r="215" spans="1:12" s="1372" customFormat="1" x14ac:dyDescent="0.25">
      <c r="K215" s="1347" t="s">
        <v>649</v>
      </c>
    </row>
    <row r="216" spans="1:12" s="1372" customFormat="1" x14ac:dyDescent="0.25">
      <c r="K216" s="1347" t="s">
        <v>649</v>
      </c>
    </row>
    <row r="217" spans="1:12" s="1372" customFormat="1" x14ac:dyDescent="0.25">
      <c r="K217" s="1347" t="s">
        <v>649</v>
      </c>
    </row>
    <row r="218" spans="1:12" s="1372" customFormat="1" x14ac:dyDescent="0.25">
      <c r="K218" s="1347" t="s">
        <v>649</v>
      </c>
    </row>
    <row r="219" spans="1:12" s="1372" customFormat="1" x14ac:dyDescent="0.25">
      <c r="K219" s="1347" t="s">
        <v>649</v>
      </c>
    </row>
    <row r="220" spans="1:12" s="1372" customFormat="1" x14ac:dyDescent="0.25">
      <c r="K220" s="1347" t="s">
        <v>649</v>
      </c>
    </row>
    <row r="221" spans="1:12" s="1372" customFormat="1" x14ac:dyDescent="0.25">
      <c r="K221" s="1347" t="s">
        <v>649</v>
      </c>
    </row>
    <row r="222" spans="1:12" s="1372" customFormat="1" x14ac:dyDescent="0.25">
      <c r="K222" s="1347" t="s">
        <v>649</v>
      </c>
    </row>
    <row r="223" spans="1:12" s="1372" customFormat="1" x14ac:dyDescent="0.25">
      <c r="K223" s="1347" t="s">
        <v>649</v>
      </c>
    </row>
    <row r="224" spans="1:12" s="1372" customFormat="1" x14ac:dyDescent="0.25">
      <c r="K224" s="1347" t="s">
        <v>649</v>
      </c>
    </row>
    <row r="225" spans="11:11" s="1372" customFormat="1" x14ac:dyDescent="0.25">
      <c r="K225" s="1347" t="s">
        <v>649</v>
      </c>
    </row>
    <row r="226" spans="11:11" s="1372" customFormat="1" x14ac:dyDescent="0.25">
      <c r="K226" s="1347" t="s">
        <v>649</v>
      </c>
    </row>
    <row r="227" spans="11:11" s="1372" customFormat="1" x14ac:dyDescent="0.25">
      <c r="K227" s="1347" t="s">
        <v>649</v>
      </c>
    </row>
    <row r="228" spans="11:11" s="1372" customFormat="1" x14ac:dyDescent="0.25">
      <c r="K228" s="1347" t="s">
        <v>649</v>
      </c>
    </row>
    <row r="229" spans="11:11" s="1372" customFormat="1" x14ac:dyDescent="0.25">
      <c r="K229" s="1347" t="s">
        <v>649</v>
      </c>
    </row>
    <row r="230" spans="11:11" s="1372" customFormat="1" x14ac:dyDescent="0.25">
      <c r="K230" s="1347" t="s">
        <v>649</v>
      </c>
    </row>
    <row r="231" spans="11:11" s="1372" customFormat="1" x14ac:dyDescent="0.25">
      <c r="K231" s="1347" t="s">
        <v>649</v>
      </c>
    </row>
    <row r="232" spans="11:11" s="1372" customFormat="1" x14ac:dyDescent="0.25">
      <c r="K232" s="1347" t="s">
        <v>649</v>
      </c>
    </row>
    <row r="233" spans="11:11" s="1372" customFormat="1" x14ac:dyDescent="0.25">
      <c r="K233" s="1347" t="s">
        <v>649</v>
      </c>
    </row>
    <row r="234" spans="11:11" s="1372" customFormat="1" x14ac:dyDescent="0.25">
      <c r="K234" s="1347" t="s">
        <v>649</v>
      </c>
    </row>
    <row r="235" spans="11:11" s="1372" customFormat="1" x14ac:dyDescent="0.25">
      <c r="K235" s="1347" t="s">
        <v>649</v>
      </c>
    </row>
    <row r="236" spans="11:11" s="1372" customFormat="1" x14ac:dyDescent="0.25">
      <c r="K236" s="1347" t="s">
        <v>649</v>
      </c>
    </row>
    <row r="237" spans="11:11" s="1372" customFormat="1" x14ac:dyDescent="0.25">
      <c r="K237" s="1347" t="s">
        <v>649</v>
      </c>
    </row>
    <row r="238" spans="11:11" s="1372" customFormat="1" x14ac:dyDescent="0.25">
      <c r="K238" s="1347" t="s">
        <v>649</v>
      </c>
    </row>
    <row r="239" spans="11:11" s="1372" customFormat="1" x14ac:dyDescent="0.25">
      <c r="K239" s="1347" t="s">
        <v>649</v>
      </c>
    </row>
    <row r="240" spans="11:11" s="1372" customFormat="1" x14ac:dyDescent="0.25">
      <c r="K240" s="1347" t="s">
        <v>649</v>
      </c>
    </row>
    <row r="241" spans="11:12" s="1372" customFormat="1" x14ac:dyDescent="0.25">
      <c r="K241" s="1347" t="s">
        <v>649</v>
      </c>
      <c r="L241" s="1347"/>
    </row>
    <row r="242" spans="11:12" s="1372" customFormat="1" x14ac:dyDescent="0.25">
      <c r="K242" s="1347" t="s">
        <v>649</v>
      </c>
      <c r="L242" s="1347"/>
    </row>
    <row r="243" spans="11:12" s="1372" customFormat="1" x14ac:dyDescent="0.25">
      <c r="K243" s="1347" t="s">
        <v>649</v>
      </c>
      <c r="L243" s="1347"/>
    </row>
    <row r="244" spans="11:12" s="1372" customFormat="1" x14ac:dyDescent="0.25">
      <c r="K244" s="1347" t="s">
        <v>649</v>
      </c>
      <c r="L244" s="1347"/>
    </row>
    <row r="245" spans="11:12" s="1372" customFormat="1" x14ac:dyDescent="0.25">
      <c r="K245" s="1347" t="s">
        <v>649</v>
      </c>
      <c r="L245" s="1347"/>
    </row>
    <row r="246" spans="11:12" s="1372" customFormat="1" x14ac:dyDescent="0.25">
      <c r="K246" s="1347" t="s">
        <v>649</v>
      </c>
      <c r="L246" s="1347"/>
    </row>
    <row r="247" spans="11:12" s="1372" customFormat="1" x14ac:dyDescent="0.25">
      <c r="K247" s="1347" t="s">
        <v>649</v>
      </c>
      <c r="L247" s="1347"/>
    </row>
    <row r="248" spans="11:12" s="1372" customFormat="1" x14ac:dyDescent="0.25">
      <c r="K248" s="1347" t="s">
        <v>649</v>
      </c>
      <c r="L248" s="1347"/>
    </row>
    <row r="249" spans="11:12" s="1372" customFormat="1" x14ac:dyDescent="0.25">
      <c r="K249" s="1347" t="s">
        <v>649</v>
      </c>
      <c r="L249" s="1347"/>
    </row>
    <row r="250" spans="11:12" s="1372" customFormat="1" x14ac:dyDescent="0.25">
      <c r="K250" s="1347" t="s">
        <v>649</v>
      </c>
      <c r="L250" s="1347"/>
    </row>
    <row r="251" spans="11:12" s="1372" customFormat="1" x14ac:dyDescent="0.25">
      <c r="K251" s="1347" t="s">
        <v>649</v>
      </c>
      <c r="L251" s="1347"/>
    </row>
    <row r="252" spans="11:12" s="1372" customFormat="1" x14ac:dyDescent="0.25">
      <c r="K252" s="1347" t="s">
        <v>649</v>
      </c>
      <c r="L252" s="1347"/>
    </row>
    <row r="253" spans="11:12" s="1372" customFormat="1" x14ac:dyDescent="0.25">
      <c r="K253" s="1347" t="s">
        <v>649</v>
      </c>
      <c r="L253" s="1347"/>
    </row>
    <row r="254" spans="11:12" s="1372" customFormat="1" x14ac:dyDescent="0.25">
      <c r="K254" s="1347" t="s">
        <v>649</v>
      </c>
      <c r="L254" s="1347"/>
    </row>
    <row r="255" spans="11:12" s="1372" customFormat="1" x14ac:dyDescent="0.25">
      <c r="K255" s="1347" t="s">
        <v>649</v>
      </c>
      <c r="L255" s="1347"/>
    </row>
    <row r="256" spans="11:12" s="1372" customFormat="1" x14ac:dyDescent="0.25">
      <c r="K256" s="1347" t="s">
        <v>649</v>
      </c>
      <c r="L256" s="1347"/>
    </row>
    <row r="257" spans="11:12" s="1372" customFormat="1" x14ac:dyDescent="0.25">
      <c r="K257" s="1347" t="s">
        <v>649</v>
      </c>
      <c r="L257" s="1347"/>
    </row>
    <row r="258" spans="11:12" s="1372" customFormat="1" x14ac:dyDescent="0.25">
      <c r="K258" s="1347" t="s">
        <v>649</v>
      </c>
      <c r="L258" s="1347"/>
    </row>
    <row r="259" spans="11:12" s="1372" customFormat="1" x14ac:dyDescent="0.25">
      <c r="K259" s="1347" t="s">
        <v>649</v>
      </c>
      <c r="L259" s="1347"/>
    </row>
    <row r="260" spans="11:12" s="1372" customFormat="1" x14ac:dyDescent="0.25">
      <c r="K260" s="1347" t="s">
        <v>649</v>
      </c>
      <c r="L260" s="1347"/>
    </row>
    <row r="261" spans="11:12" s="1372" customFormat="1" x14ac:dyDescent="0.25">
      <c r="K261" s="1347" t="s">
        <v>649</v>
      </c>
      <c r="L261" s="1347"/>
    </row>
    <row r="262" spans="11:12" s="1372" customFormat="1" x14ac:dyDescent="0.25">
      <c r="K262" s="1347" t="s">
        <v>649</v>
      </c>
      <c r="L262" s="1347"/>
    </row>
    <row r="263" spans="11:12" s="1372" customFormat="1" x14ac:dyDescent="0.25">
      <c r="K263" s="1347" t="s">
        <v>649</v>
      </c>
      <c r="L263" s="1347"/>
    </row>
    <row r="264" spans="11:12" s="1372" customFormat="1" x14ac:dyDescent="0.25">
      <c r="K264" s="1347" t="s">
        <v>649</v>
      </c>
      <c r="L264" s="1347"/>
    </row>
    <row r="265" spans="11:12" s="1372" customFormat="1" x14ac:dyDescent="0.25">
      <c r="K265" s="1347" t="s">
        <v>649</v>
      </c>
      <c r="L265" s="1347"/>
    </row>
    <row r="266" spans="11:12" s="1372" customFormat="1" x14ac:dyDescent="0.25">
      <c r="K266" s="1347" t="s">
        <v>649</v>
      </c>
      <c r="L266" s="1347"/>
    </row>
    <row r="267" spans="11:12" s="1372" customFormat="1" x14ac:dyDescent="0.25">
      <c r="K267" s="1347" t="s">
        <v>649</v>
      </c>
      <c r="L267" s="1347"/>
    </row>
    <row r="268" spans="11:12" s="1372" customFormat="1" x14ac:dyDescent="0.25">
      <c r="K268" s="1347" t="s">
        <v>649</v>
      </c>
      <c r="L268" s="1347"/>
    </row>
    <row r="269" spans="11:12" s="1372" customFormat="1" x14ac:dyDescent="0.25">
      <c r="K269" s="1347" t="s">
        <v>649</v>
      </c>
      <c r="L269" s="1347"/>
    </row>
    <row r="270" spans="11:12" s="1372" customFormat="1" x14ac:dyDescent="0.25">
      <c r="K270" s="1347" t="s">
        <v>649</v>
      </c>
      <c r="L270" s="1347"/>
    </row>
    <row r="271" spans="11:12" s="1372" customFormat="1" x14ac:dyDescent="0.25">
      <c r="K271" s="1347" t="s">
        <v>649</v>
      </c>
      <c r="L271" s="1347"/>
    </row>
    <row r="272" spans="11:12" s="1372" customFormat="1" x14ac:dyDescent="0.25">
      <c r="K272" s="1347" t="s">
        <v>649</v>
      </c>
      <c r="L272" s="1347"/>
    </row>
    <row r="273" spans="1:12" s="1372" customFormat="1" x14ac:dyDescent="0.25">
      <c r="K273" s="1347" t="s">
        <v>649</v>
      </c>
      <c r="L273" s="1347"/>
    </row>
    <row r="274" spans="1:12" s="1374" customFormat="1" x14ac:dyDescent="0.25">
      <c r="A274" s="1373"/>
      <c r="B274" s="1373"/>
      <c r="C274" s="1373"/>
      <c r="D274" s="1373"/>
      <c r="E274" s="1373"/>
      <c r="F274" s="1373"/>
      <c r="G274" s="1373"/>
      <c r="H274" s="1373"/>
      <c r="I274" s="1373"/>
      <c r="J274" s="1373"/>
      <c r="K274" s="1347" t="s">
        <v>649</v>
      </c>
      <c r="L274" s="1347"/>
    </row>
    <row r="275" spans="1:12" s="1372" customFormat="1" ht="15" customHeight="1" x14ac:dyDescent="0.25">
      <c r="A275" s="704"/>
      <c r="B275" s="704"/>
      <c r="C275" s="704"/>
      <c r="D275" s="704"/>
      <c r="E275" s="704"/>
      <c r="F275" s="704"/>
      <c r="G275" s="704"/>
      <c r="H275" s="704"/>
      <c r="I275" s="704"/>
      <c r="J275" s="704"/>
      <c r="K275" s="1347" t="s">
        <v>649</v>
      </c>
      <c r="L275" s="1347"/>
    </row>
    <row r="276" spans="1:12" s="1347" customFormat="1" ht="15" customHeight="1" x14ac:dyDescent="0.25">
      <c r="A276" s="2988" t="str">
        <f>"Transdutor "&amp;Ultrassom!A215&amp;" - marca "&amp;Ultrassom!B215&amp;", modelo "&amp;Ultrassom!C215&amp;", n° série "&amp;Ultrassom!D215</f>
        <v>Transdutor 3 - marca não informada, modelo não informado, n° série não informado</v>
      </c>
      <c r="B276" s="2988"/>
      <c r="C276" s="2988"/>
      <c r="D276" s="2988"/>
      <c r="E276" s="2988"/>
      <c r="F276" s="2988"/>
      <c r="G276" s="2988"/>
      <c r="H276" s="2988"/>
      <c r="I276" s="2988"/>
      <c r="J276" s="2988"/>
      <c r="K276" s="1347" t="str">
        <f>IF(Ultrassom!B213&lt;=Ultrassom!$E$4,"","x")</f>
        <v>x</v>
      </c>
      <c r="L276" s="1347" t="str">
        <f>Ultrassom!A213&amp;Ultrassom!B213</f>
        <v>TRANSDUTOR: 3</v>
      </c>
    </row>
    <row r="277" spans="1:12" s="1347" customFormat="1" ht="15" customHeight="1" x14ac:dyDescent="0.25">
      <c r="A277" s="2988"/>
      <c r="B277" s="2988"/>
      <c r="C277" s="2988"/>
      <c r="D277" s="2988"/>
      <c r="E277" s="2988"/>
      <c r="F277" s="2988"/>
      <c r="G277" s="2988"/>
      <c r="H277" s="2988"/>
      <c r="I277" s="2988"/>
      <c r="J277" s="2988"/>
      <c r="K277" s="1347" t="str">
        <f>K276</f>
        <v>x</v>
      </c>
    </row>
    <row r="278" spans="1:12" s="1347" customFormat="1" ht="15" customHeight="1" x14ac:dyDescent="0.25">
      <c r="A278" s="1346"/>
      <c r="B278" s="1346"/>
      <c r="C278" s="1346"/>
      <c r="D278" s="1346"/>
      <c r="E278" s="1346"/>
      <c r="F278" s="1346"/>
      <c r="G278" s="1346"/>
      <c r="H278" s="1346"/>
      <c r="I278" s="1346"/>
      <c r="J278" s="1346"/>
      <c r="K278" s="1347" t="str">
        <f>K277</f>
        <v>x</v>
      </c>
    </row>
    <row r="279" spans="1:12" s="1347" customFormat="1" ht="15" customHeight="1" x14ac:dyDescent="0.25">
      <c r="A279" s="2984" t="s">
        <v>1576</v>
      </c>
      <c r="B279" s="2984"/>
      <c r="C279" s="2984"/>
      <c r="D279" s="2984"/>
      <c r="E279" s="2984"/>
      <c r="F279" s="2984"/>
      <c r="G279" s="2848" t="s">
        <v>369</v>
      </c>
      <c r="H279" s="3014"/>
      <c r="I279" s="1333" t="str">
        <f>"IN "&amp;VLOOKUP("Ultrassom",IN_ANVISA[],2)</f>
        <v>IN 96</v>
      </c>
      <c r="K279" s="1347" t="str">
        <f>K278</f>
        <v>x</v>
      </c>
    </row>
    <row r="280" spans="1:12" s="1347" customFormat="1" ht="15" customHeight="1" x14ac:dyDescent="0.25">
      <c r="A280" s="3011" t="s">
        <v>1619</v>
      </c>
      <c r="B280" s="3012"/>
      <c r="C280" s="3012"/>
      <c r="D280" s="3012"/>
      <c r="E280" s="3012"/>
      <c r="F280" s="3013"/>
      <c r="G280" s="2990" t="str">
        <f>Ultrassom!E215</f>
        <v>Boa</v>
      </c>
      <c r="H280" s="2992"/>
      <c r="I280" s="1237" t="s">
        <v>142</v>
      </c>
      <c r="K280" s="1347" t="str">
        <f>K279</f>
        <v>x</v>
      </c>
      <c r="L280" s="1347" t="str">
        <f>IF(G280&lt;&gt;"Boa",A280,"")</f>
        <v/>
      </c>
    </row>
    <row r="281" spans="1:12" s="1347" customFormat="1" ht="15" customHeight="1" x14ac:dyDescent="0.25">
      <c r="A281" s="3001" t="s">
        <v>1538</v>
      </c>
      <c r="B281" s="3001"/>
      <c r="C281" s="3001"/>
      <c r="D281" s="3001"/>
      <c r="E281" s="3001"/>
      <c r="F281" s="3001"/>
      <c r="G281" s="3002" t="str">
        <f>IF(LARGE(Ultrassom!C226:D226,1)=0,IF(Ultrassom!D220="s","Uniforme","Não uniforme"),ROUNDDOWN(LARGE(Ultrassom!C226:D226,1),1)&amp;" dB")</f>
        <v>Não uniforme</v>
      </c>
      <c r="H281" s="3003"/>
      <c r="I281" s="1237" t="str">
        <f>Ultrassom!B226</f>
        <v>NPA</v>
      </c>
      <c r="K281" s="1347" t="str">
        <f>K280</f>
        <v>x</v>
      </c>
      <c r="L281" s="1347" t="str">
        <f>IF(I281="Não",A281,"")</f>
        <v/>
      </c>
    </row>
    <row r="282" spans="1:12" s="1347" customFormat="1" ht="15" customHeight="1" x14ac:dyDescent="0.25">
      <c r="A282" s="3001" t="s">
        <v>1579</v>
      </c>
      <c r="B282" s="3001"/>
      <c r="C282" s="3001"/>
      <c r="D282" s="3001"/>
      <c r="E282" s="3001"/>
      <c r="F282" s="3001"/>
      <c r="G282" s="3002" t="str">
        <f>Ultrassom!D235&amp;" cm"</f>
        <v xml:space="preserve"> cm</v>
      </c>
      <c r="H282" s="3003"/>
      <c r="I282" s="1237" t="str">
        <f>Ultrassom!D237</f>
        <v>NA</v>
      </c>
      <c r="K282" s="1347" t="str">
        <f>IF(I282="NA","x","")</f>
        <v>x</v>
      </c>
      <c r="L282" s="1347" t="str">
        <f>IF(I282="Não",A282,"")</f>
        <v/>
      </c>
    </row>
    <row r="283" spans="1:12" s="1347" customFormat="1" ht="15" customHeight="1" x14ac:dyDescent="0.25">
      <c r="A283" s="3001" t="s">
        <v>1577</v>
      </c>
      <c r="B283" s="3001"/>
      <c r="C283" s="3001"/>
      <c r="D283" s="3001"/>
      <c r="E283" s="3001"/>
      <c r="F283" s="3001"/>
      <c r="G283" s="2591" t="str">
        <f>Ultrassom!B235&amp;" cm"</f>
        <v xml:space="preserve"> cm</v>
      </c>
      <c r="H283" s="2593"/>
      <c r="I283" s="1243" t="str">
        <f>Ultrassom!B237</f>
        <v>NA</v>
      </c>
      <c r="K283" s="1347" t="str">
        <f>IF(I283="NA","x","")</f>
        <v>x</v>
      </c>
      <c r="L283" s="1347" t="str">
        <f>IF(I283="Não",A283,"")</f>
        <v/>
      </c>
    </row>
    <row r="284" spans="1:12" s="1347" customFormat="1" ht="15" customHeight="1" x14ac:dyDescent="0.25">
      <c r="A284" s="3001" t="s">
        <v>1578</v>
      </c>
      <c r="B284" s="3001"/>
      <c r="C284" s="3001"/>
      <c r="D284" s="3001"/>
      <c r="E284" s="3001"/>
      <c r="F284" s="3001"/>
      <c r="G284" s="2591" t="str">
        <f>Ultrassom!C235&amp;" cm"</f>
        <v xml:space="preserve"> cm</v>
      </c>
      <c r="H284" s="2593"/>
      <c r="I284" s="1243" t="str">
        <f>Ultrassom!C237</f>
        <v>NA</v>
      </c>
      <c r="K284" s="1347" t="str">
        <f>IF(I284="NA","x","")</f>
        <v>x</v>
      </c>
      <c r="L284" s="1347" t="str">
        <f>IF(I284="Não",A284,"")</f>
        <v/>
      </c>
    </row>
    <row r="285" spans="1:12" s="1347" customFormat="1" ht="15" customHeight="1" x14ac:dyDescent="0.25">
      <c r="A285" s="3001" t="s">
        <v>1580</v>
      </c>
      <c r="B285" s="3001"/>
      <c r="C285" s="3001"/>
      <c r="D285" s="3001"/>
      <c r="E285" s="3001"/>
      <c r="F285" s="3001"/>
      <c r="G285" s="2990" t="str">
        <f>Ultrassom!B241&amp;" objetos, "&amp;IF(Ultrassom!B244="s","BD","BND")&amp;" "&amp;IF(Ultrassom!B245="s","AC","ANC")</f>
        <v xml:space="preserve"> objetos, BND ANC</v>
      </c>
      <c r="H285" s="2992"/>
      <c r="I285" s="1237" t="str">
        <f>Ultrassom!B246</f>
        <v>Sim</v>
      </c>
      <c r="K285" s="1347" t="str">
        <f>K276</f>
        <v>x</v>
      </c>
      <c r="L285" s="1347" t="str">
        <f>IF(I285="Não","Visualização de objetos anecóicos","")</f>
        <v/>
      </c>
    </row>
    <row r="286" spans="1:12" s="1347" customFormat="1" ht="15" customHeight="1" x14ac:dyDescent="0.25">
      <c r="A286" s="3001" t="s">
        <v>1581</v>
      </c>
      <c r="B286" s="3001"/>
      <c r="C286" s="3001"/>
      <c r="D286" s="3001"/>
      <c r="E286" s="3001"/>
      <c r="F286" s="3001"/>
      <c r="G286" s="3002" t="str">
        <f>Ultrassom!D241&amp;" objetos, "&amp;IF(Ultrassom!D244="s","BD","BND")&amp;" "&amp;IF(Ultrassom!D245="s","AC","ANC")</f>
        <v xml:space="preserve"> objetos, BND ANC</v>
      </c>
      <c r="H286" s="3003"/>
      <c r="I286" s="1237" t="str">
        <f>Ultrassom!D246</f>
        <v>Sim</v>
      </c>
      <c r="K286" s="1347" t="str">
        <f>K285</f>
        <v>x</v>
      </c>
      <c r="L286" s="1347" t="str">
        <f>IF(I286="Não","Visualização de objetos anecóicos","")</f>
        <v/>
      </c>
    </row>
    <row r="287" spans="1:12" s="1347" customFormat="1" ht="15" customHeight="1" x14ac:dyDescent="0.25">
      <c r="A287" s="3001" t="s">
        <v>1582</v>
      </c>
      <c r="B287" s="3001"/>
      <c r="C287" s="3001"/>
      <c r="D287" s="3001"/>
      <c r="E287" s="3001"/>
      <c r="F287" s="3001"/>
      <c r="G287" s="3002" t="str">
        <f>Ultrassom!F241&amp;" objetos, "&amp;IF(Ultrassom!F244="s","BD","BND")&amp;" "&amp;IF(Ultrassom!F245="s","AC","ANC")</f>
        <v xml:space="preserve"> objetos, BND ANC</v>
      </c>
      <c r="H287" s="3003"/>
      <c r="I287" s="1237" t="str">
        <f>Ultrassom!F246</f>
        <v>Sim</v>
      </c>
      <c r="K287" s="1347" t="str">
        <f t="shared" ref="K287:K292" si="13">K286</f>
        <v>x</v>
      </c>
      <c r="L287" s="1347" t="str">
        <f>IF(I287="Não","Visualização de objetos anecóicos","")</f>
        <v/>
      </c>
    </row>
    <row r="288" spans="1:12" s="1347" customFormat="1" x14ac:dyDescent="0.25">
      <c r="A288" s="3004" t="str">
        <f>"Zona morta @ "&amp;ROUND(Ultrassom!A250,1)&amp;" MHz"</f>
        <v>Zona morta @ 0 MHz</v>
      </c>
      <c r="B288" s="3004"/>
      <c r="C288" s="3004"/>
      <c r="D288" s="3004"/>
      <c r="E288" s="3004"/>
      <c r="F288" s="3004"/>
      <c r="G288" s="2975" t="str">
        <f>Ultrassom!C250&amp;" mm"</f>
        <v xml:space="preserve"> mm</v>
      </c>
      <c r="H288" s="2998"/>
      <c r="I288" s="1237" t="str">
        <f>Ultrassom!E250</f>
        <v>Sim</v>
      </c>
      <c r="K288" s="1347" t="str">
        <f t="shared" si="13"/>
        <v>x</v>
      </c>
      <c r="L288" s="1347" t="str">
        <f>IF(I288="Não","Zona morta","")</f>
        <v/>
      </c>
    </row>
    <row r="289" spans="1:12" s="940" customFormat="1" x14ac:dyDescent="0.25">
      <c r="A289" s="3005" t="s">
        <v>1583</v>
      </c>
      <c r="B289" s="3005"/>
      <c r="C289" s="3005"/>
      <c r="D289" s="3005"/>
      <c r="E289" s="3005"/>
      <c r="F289" s="3005"/>
      <c r="G289" s="2975" t="e">
        <f>LARGE(Ultrassom!C258:C259,1)&amp;" mm"</f>
        <v>#NUM!</v>
      </c>
      <c r="H289" s="2998"/>
      <c r="I289" s="1237" t="str">
        <f>Ultrassom!C261</f>
        <v>NPA</v>
      </c>
      <c r="K289" s="1347" t="str">
        <f t="shared" si="13"/>
        <v>x</v>
      </c>
      <c r="L289" s="1347" t="str">
        <f>IF(I289="Não",A289,"")</f>
        <v/>
      </c>
    </row>
    <row r="290" spans="1:12" s="940" customFormat="1" x14ac:dyDescent="0.25">
      <c r="A290" s="3005" t="s">
        <v>1584</v>
      </c>
      <c r="B290" s="3005"/>
      <c r="C290" s="3005"/>
      <c r="D290" s="3005"/>
      <c r="E290" s="3005"/>
      <c r="F290" s="3005"/>
      <c r="G290" s="2975" t="e">
        <f>LARGE(Ultrassom!D258:D259,1)&amp;" mm"</f>
        <v>#NUM!</v>
      </c>
      <c r="H290" s="2998"/>
      <c r="I290" s="1237" t="str">
        <f>Ultrassom!D261</f>
        <v>NPA</v>
      </c>
      <c r="K290" s="1347" t="str">
        <f t="shared" si="13"/>
        <v>x</v>
      </c>
      <c r="L290" s="1347" t="str">
        <f>IF(I290="Não",A290,"")</f>
        <v/>
      </c>
    </row>
    <row r="291" spans="1:12" s="940" customFormat="1" ht="15" customHeight="1" x14ac:dyDescent="0.25">
      <c r="A291" s="3006" t="str">
        <f>"Resolução axial @ "&amp;ROUND(Ultrassom!D265,1)&amp;" MHz"</f>
        <v>Resolução axial @ 0 MHz</v>
      </c>
      <c r="B291" s="3006"/>
      <c r="C291" s="3006"/>
      <c r="D291" s="3006"/>
      <c r="E291" s="3006"/>
      <c r="F291" s="3006"/>
      <c r="G291" s="3007">
        <f>Ultrassom!D267</f>
        <v>0</v>
      </c>
      <c r="H291" s="3008"/>
      <c r="I291" s="1237" t="str">
        <f>Ultrassom!D269</f>
        <v>Sim</v>
      </c>
      <c r="K291" s="1347" t="str">
        <f t="shared" si="13"/>
        <v>x</v>
      </c>
      <c r="L291" s="1347" t="str">
        <f>IF(I291="Não","Resolução axial","")</f>
        <v/>
      </c>
    </row>
    <row r="292" spans="1:12" s="940" customFormat="1" ht="15" customHeight="1" x14ac:dyDescent="0.25">
      <c r="A292" s="3006" t="str">
        <f>"Resolução lateral @ "&amp;ROUND(Ultrassom!E265,1)&amp;" MHz"</f>
        <v>Resolução lateral @ 0 MHz</v>
      </c>
      <c r="B292" s="3006"/>
      <c r="C292" s="3006"/>
      <c r="D292" s="3006"/>
      <c r="E292" s="3006"/>
      <c r="F292" s="3006"/>
      <c r="G292" s="3007">
        <f>Ultrassom!E267</f>
        <v>0</v>
      </c>
      <c r="H292" s="3008"/>
      <c r="I292" s="1237" t="str">
        <f>Ultrassom!E269</f>
        <v>Sim</v>
      </c>
      <c r="K292" s="1347" t="str">
        <f t="shared" si="13"/>
        <v>x</v>
      </c>
      <c r="L292" s="1347" t="str">
        <f>IF(I292="Não","Resolução lateral","")</f>
        <v/>
      </c>
    </row>
    <row r="293" spans="1:12" s="940" customFormat="1" ht="15" customHeight="1" x14ac:dyDescent="0.25">
      <c r="A293" s="2993" t="str">
        <f>"Zona focal - foco @ "&amp;Ultrassom!B273&amp;" cm"</f>
        <v>Zona focal - foco @  cm</v>
      </c>
      <c r="B293" s="2994"/>
      <c r="C293" s="2994"/>
      <c r="D293" s="2994"/>
      <c r="E293" s="2994"/>
      <c r="F293" s="2995"/>
      <c r="G293" s="2975" t="str">
        <f>Ultrassom!B275&amp;" cm"</f>
        <v xml:space="preserve"> cm</v>
      </c>
      <c r="H293" s="2998"/>
      <c r="I293" s="1237" t="str">
        <f>Ultrassom!B278</f>
        <v>NA</v>
      </c>
      <c r="K293" s="1347" t="str">
        <f>IF(I293="NA","x","")</f>
        <v>x</v>
      </c>
      <c r="L293" s="1347" t="str">
        <f>IF(I293="Não","Zona focal","")</f>
        <v/>
      </c>
    </row>
    <row r="294" spans="1:12" s="940" customFormat="1" ht="15" customHeight="1" x14ac:dyDescent="0.25">
      <c r="A294" s="2993" t="str">
        <f>"Zona focal - foco @ "&amp;Ultrassom!C273&amp;" cm"</f>
        <v>Zona focal - foco @  cm</v>
      </c>
      <c r="B294" s="2994"/>
      <c r="C294" s="2994"/>
      <c r="D294" s="2994"/>
      <c r="E294" s="2994"/>
      <c r="F294" s="2995"/>
      <c r="G294" s="2975" t="str">
        <f>Ultrassom!C275&amp;" cm"</f>
        <v xml:space="preserve"> cm</v>
      </c>
      <c r="H294" s="2998"/>
      <c r="I294" s="1237" t="str">
        <f>Ultrassom!C278</f>
        <v>NA</v>
      </c>
      <c r="K294" s="1347" t="str">
        <f>IF(I294="NA","x","")</f>
        <v>x</v>
      </c>
      <c r="L294" s="1347" t="str">
        <f>IF(I294="Não","Zona focal","")</f>
        <v/>
      </c>
    </row>
    <row r="295" spans="1:12" s="940" customFormat="1" ht="15" customHeight="1" x14ac:dyDescent="0.25">
      <c r="A295" s="2993" t="str">
        <f>"Zona focal - foco @ "&amp;Ultrassom!D273&amp;" cm"</f>
        <v>Zona focal - foco @  cm</v>
      </c>
      <c r="B295" s="2994"/>
      <c r="C295" s="2994"/>
      <c r="D295" s="2994"/>
      <c r="E295" s="2994"/>
      <c r="F295" s="2995"/>
      <c r="G295" s="2996" t="str">
        <f>Ultrassom!D275&amp;" cm"</f>
        <v xml:space="preserve"> cm</v>
      </c>
      <c r="H295" s="2997"/>
      <c r="I295" s="1243" t="str">
        <f>Ultrassom!D278</f>
        <v>NA</v>
      </c>
      <c r="K295" s="1347" t="str">
        <f>IF(I295="NA","x","")</f>
        <v>x</v>
      </c>
      <c r="L295" s="1347" t="str">
        <f>IF(I295="Não","Zona focal","")</f>
        <v/>
      </c>
    </row>
    <row r="296" spans="1:12" s="940" customFormat="1" ht="15" customHeight="1" x14ac:dyDescent="0.25">
      <c r="A296" s="2993" t="str">
        <f>"Zona focal - foco @ "&amp;Ultrassom!E273&amp;" cm"</f>
        <v>Zona focal - foco @  cm</v>
      </c>
      <c r="B296" s="2994"/>
      <c r="C296" s="2994"/>
      <c r="D296" s="2994"/>
      <c r="E296" s="2994"/>
      <c r="F296" s="2995"/>
      <c r="G296" s="2996" t="str">
        <f>Ultrassom!E275&amp;" cm"</f>
        <v xml:space="preserve"> cm</v>
      </c>
      <c r="H296" s="2997"/>
      <c r="I296" s="1243" t="str">
        <f>Ultrassom!E278</f>
        <v>NA</v>
      </c>
      <c r="K296" s="1347" t="str">
        <f>IF(I296="NA","x","")</f>
        <v>x</v>
      </c>
      <c r="L296" s="1347" t="str">
        <f>IF(I296="Não","Zona focal","")</f>
        <v/>
      </c>
    </row>
    <row r="297" spans="1:12" s="940" customFormat="1" ht="15" customHeight="1" x14ac:dyDescent="0.25">
      <c r="A297" s="2993" t="str">
        <f>"Zona focal - foco @ "&amp;Ultrassom!F273&amp;" cm"</f>
        <v>Zona focal - foco @  cm</v>
      </c>
      <c r="B297" s="2994"/>
      <c r="C297" s="2994"/>
      <c r="D297" s="2994"/>
      <c r="E297" s="2994"/>
      <c r="F297" s="2995"/>
      <c r="G297" s="2975" t="str">
        <f>Ultrassom!F275&amp;" cm"</f>
        <v xml:space="preserve"> cm</v>
      </c>
      <c r="H297" s="2998"/>
      <c r="I297" s="1237" t="str">
        <f>Ultrassom!F278</f>
        <v>NA</v>
      </c>
      <c r="K297" s="1347" t="str">
        <f>IF(I297="NA","x","")</f>
        <v>x</v>
      </c>
      <c r="L297" s="1347" t="str">
        <f>IF(I297="Não","Zona focal","")</f>
        <v/>
      </c>
    </row>
    <row r="298" spans="1:12" s="940" customFormat="1" ht="15" customHeight="1" x14ac:dyDescent="0.25">
      <c r="A298" s="2993" t="s">
        <v>1585</v>
      </c>
      <c r="B298" s="2994"/>
      <c r="C298" s="2994"/>
      <c r="D298" s="2994"/>
      <c r="E298" s="2994"/>
      <c r="F298" s="2995"/>
      <c r="G298" s="2999" t="str">
        <f>IF(Ultrassom!B283="s","Visualizado","Não visualizado")</f>
        <v>Não visualizado</v>
      </c>
      <c r="H298" s="3000"/>
      <c r="I298" s="1237" t="str">
        <f>Ultrassom!B285</f>
        <v>Sim</v>
      </c>
      <c r="K298" s="1347" t="str">
        <f>K276</f>
        <v>x</v>
      </c>
      <c r="L298" s="1347" t="str">
        <f>IF(I298="Não","Limiar de sensibilidade a baixo contraste","")</f>
        <v/>
      </c>
    </row>
    <row r="299" spans="1:12" s="940" customFormat="1" ht="15" customHeight="1" x14ac:dyDescent="0.25">
      <c r="A299" s="2993" t="s">
        <v>1586</v>
      </c>
      <c r="B299" s="2994"/>
      <c r="C299" s="2994"/>
      <c r="D299" s="2994"/>
      <c r="E299" s="2994"/>
      <c r="F299" s="2995"/>
      <c r="G299" s="2999" t="str">
        <f>IF(Ultrassom!C283="s","Visualizado","Não visualizado")</f>
        <v>Não visualizado</v>
      </c>
      <c r="H299" s="3000"/>
      <c r="I299" s="1237" t="str">
        <f>Ultrassom!C285</f>
        <v>Sim</v>
      </c>
      <c r="K299" s="1347" t="str">
        <f>K298</f>
        <v>x</v>
      </c>
      <c r="L299" s="1347" t="str">
        <f>IF(I299="Não","Limiar de sensibilidade a baixo contraste","")</f>
        <v/>
      </c>
    </row>
    <row r="300" spans="1:12" s="940" customFormat="1" ht="15" customHeight="1" x14ac:dyDescent="0.25">
      <c r="A300" s="2993" t="s">
        <v>1587</v>
      </c>
      <c r="B300" s="2994"/>
      <c r="C300" s="2994"/>
      <c r="D300" s="2994"/>
      <c r="E300" s="2994"/>
      <c r="F300" s="2995"/>
      <c r="G300" s="2999" t="str">
        <f>IF(Ultrassom!D283="s","Visualizado","Não visualizado")</f>
        <v>Não visualizado</v>
      </c>
      <c r="H300" s="3000"/>
      <c r="I300" s="1237" t="str">
        <f>Ultrassom!D285</f>
        <v>Sim</v>
      </c>
      <c r="K300" s="1347" t="str">
        <f>K299</f>
        <v>x</v>
      </c>
      <c r="L300" s="1347" t="str">
        <f>IF(I300="Não","Limiar de sensibilidade a baixo contraste","")</f>
        <v/>
      </c>
    </row>
    <row r="301" spans="1:12" s="940" customFormat="1" ht="15" customHeight="1" x14ac:dyDescent="0.25">
      <c r="A301" s="2993" t="s">
        <v>1588</v>
      </c>
      <c r="B301" s="2994"/>
      <c r="C301" s="2994"/>
      <c r="D301" s="2994"/>
      <c r="E301" s="2994"/>
      <c r="F301" s="2995"/>
      <c r="G301" s="2999" t="str">
        <f>IF(Ultrassom!E283="s","Visualizado","Não visualizado")</f>
        <v>Não visualizado</v>
      </c>
      <c r="H301" s="3000"/>
      <c r="I301" s="1237" t="str">
        <f>Ultrassom!E285</f>
        <v>Sim</v>
      </c>
      <c r="K301" s="1347" t="str">
        <f>K300</f>
        <v>x</v>
      </c>
      <c r="L301" s="1347" t="str">
        <f>IF(I301="Não","Limiar de sensibilidade a baixo contraste","")</f>
        <v/>
      </c>
    </row>
    <row r="302" spans="1:12" s="940" customFormat="1" ht="15" customHeight="1" x14ac:dyDescent="0.25">
      <c r="A302" s="3006" t="s">
        <v>1589</v>
      </c>
      <c r="B302" s="3006"/>
      <c r="C302" s="3006"/>
      <c r="D302" s="3006"/>
      <c r="E302" s="3006"/>
      <c r="F302" s="3006"/>
      <c r="G302" s="3002" t="str">
        <f>IFERROR(Ultrassom!F291*100&amp;" %","NPA")</f>
        <v>NPA</v>
      </c>
      <c r="H302" s="3003"/>
      <c r="I302" s="1237" t="str">
        <f>Ultrassom!G291</f>
        <v>NA</v>
      </c>
      <c r="K302" s="1381" t="str">
        <f>K301</f>
        <v>x</v>
      </c>
      <c r="L302" s="1347" t="str">
        <f>IF(I302="Não",A302,"")</f>
        <v/>
      </c>
    </row>
    <row r="303" spans="1:12" s="940" customFormat="1" ht="15" customHeight="1" x14ac:dyDescent="0.25">
      <c r="A303" s="3006" t="str">
        <f>"Sensibilidade do modo doppler @ "&amp;Ultrassom!B295&amp;" (ref. "&amp;Ultrassom!B298&amp;" "&amp;Ultrassom!$A$296&amp;")"</f>
        <v>Sensibilidade do modo doppler @ fluxo baixo (ref. NI ml/s)</v>
      </c>
      <c r="B303" s="3006"/>
      <c r="C303" s="3006"/>
      <c r="D303" s="3006"/>
      <c r="E303" s="3006"/>
      <c r="F303" s="3006"/>
      <c r="G303" s="3002" t="str">
        <f>IFERROR(ROUNDDOWN(Ultrassom!C298,1)&amp;" "&amp;Ultrassom!$A$296,"NPA")</f>
        <v>0 ml/s</v>
      </c>
      <c r="H303" s="3003"/>
      <c r="I303" s="1237" t="str">
        <f>Ultrassom!D298</f>
        <v>NPA</v>
      </c>
      <c r="K303" s="1835" t="str">
        <f t="shared" ref="K303:K305" si="14">IF(G303="0 ml/s","x","")</f>
        <v>x</v>
      </c>
      <c r="L303" s="1347" t="str">
        <f>IF(I303="Não","Sensibilidade do modo doppler","")</f>
        <v/>
      </c>
    </row>
    <row r="304" spans="1:12" s="940" customFormat="1" ht="15" customHeight="1" x14ac:dyDescent="0.25">
      <c r="A304" s="3006" t="str">
        <f>"Sensibilidade do modo doppler @ "&amp;Ultrassom!E295&amp;" (ref. "&amp;Ultrassom!E298&amp;" "&amp;Ultrassom!$A$296&amp;")"</f>
        <v>Sensibilidade do modo doppler @ fluxo médio (ref. NI ml/s)</v>
      </c>
      <c r="B304" s="3006"/>
      <c r="C304" s="3006"/>
      <c r="D304" s="3006"/>
      <c r="E304" s="3006"/>
      <c r="F304" s="3006"/>
      <c r="G304" s="3002" t="str">
        <f>IFERROR(ROUNDDOWN(Ultrassom!F298,1)&amp;" "&amp;Ultrassom!$A$296,"NPA")</f>
        <v>0 ml/s</v>
      </c>
      <c r="H304" s="3003"/>
      <c r="I304" s="1237" t="str">
        <f>Ultrassom!G298</f>
        <v>NPA</v>
      </c>
      <c r="K304" s="1835" t="str">
        <f t="shared" si="14"/>
        <v>x</v>
      </c>
      <c r="L304" s="1347" t="str">
        <f>IF(I304="Não","Sensibilidade do modo doppler","")</f>
        <v/>
      </c>
    </row>
    <row r="305" spans="1:12" s="940" customFormat="1" ht="15" customHeight="1" x14ac:dyDescent="0.25">
      <c r="A305" s="3006" t="str">
        <f>"Sensibilidade do modo doppler @ "&amp;Ultrassom!H295&amp;" (ref. "&amp;Ultrassom!H298&amp;" "&amp;Ultrassom!$A$296&amp;")"</f>
        <v>Sensibilidade do modo doppler @ fluxo alto (ref. NI ml/s)</v>
      </c>
      <c r="B305" s="3006"/>
      <c r="C305" s="3006"/>
      <c r="D305" s="3006"/>
      <c r="E305" s="3006"/>
      <c r="F305" s="3006"/>
      <c r="G305" s="3002" t="str">
        <f>IFERROR(ROUNDDOWN(Ultrassom!I298,1)&amp;" "&amp;Ultrassom!$A$296,"NPA")</f>
        <v>0 ml/s</v>
      </c>
      <c r="H305" s="3003"/>
      <c r="I305" s="1237" t="str">
        <f>Ultrassom!J298</f>
        <v>NPA</v>
      </c>
      <c r="K305" s="1835" t="str">
        <f t="shared" si="14"/>
        <v>x</v>
      </c>
      <c r="L305" s="1347" t="str">
        <f>IF(I305="Não","Sensibilidade do modo doppler","")</f>
        <v/>
      </c>
    </row>
    <row r="306" spans="1:12" s="1347" customFormat="1" ht="15" customHeight="1" x14ac:dyDescent="0.25">
      <c r="A306" s="2986" t="s">
        <v>1922</v>
      </c>
      <c r="B306" s="2986"/>
      <c r="C306" s="2986"/>
      <c r="D306" s="2986"/>
      <c r="E306" s="2986"/>
      <c r="F306" s="2986"/>
      <c r="G306" s="2986"/>
      <c r="H306" s="2986"/>
      <c r="I306" s="2986"/>
      <c r="J306" s="2986"/>
      <c r="K306" s="1347" t="str">
        <f>K276</f>
        <v>x</v>
      </c>
    </row>
    <row r="307" spans="1:12" s="1347" customFormat="1" x14ac:dyDescent="0.25">
      <c r="A307" s="2986"/>
      <c r="B307" s="2986"/>
      <c r="C307" s="2986"/>
      <c r="D307" s="2986"/>
      <c r="E307" s="2986"/>
      <c r="F307" s="2986"/>
      <c r="G307" s="2986"/>
      <c r="H307" s="2986"/>
      <c r="I307" s="2986"/>
      <c r="J307" s="2986"/>
      <c r="K307" s="1347" t="str">
        <f>K306</f>
        <v>x</v>
      </c>
    </row>
    <row r="308" spans="1:12" s="1347" customFormat="1" x14ac:dyDescent="0.25">
      <c r="K308" s="1347" t="str">
        <f>K307</f>
        <v>x</v>
      </c>
      <c r="L308" s="1347" t="s">
        <v>1607</v>
      </c>
    </row>
    <row r="309" spans="1:12" s="1347" customFormat="1" x14ac:dyDescent="0.25">
      <c r="K309" s="1347" t="s">
        <v>649</v>
      </c>
    </row>
    <row r="310" spans="1:12" s="1372" customFormat="1" x14ac:dyDescent="0.25">
      <c r="K310" s="1347" t="s">
        <v>649</v>
      </c>
    </row>
    <row r="311" spans="1:12" s="1372" customFormat="1" x14ac:dyDescent="0.25">
      <c r="K311" s="1347" t="s">
        <v>649</v>
      </c>
    </row>
    <row r="312" spans="1:12" s="1372" customFormat="1" x14ac:dyDescent="0.25">
      <c r="K312" s="1347" t="s">
        <v>649</v>
      </c>
    </row>
    <row r="313" spans="1:12" s="1372" customFormat="1" x14ac:dyDescent="0.25">
      <c r="K313" s="1347" t="s">
        <v>649</v>
      </c>
    </row>
    <row r="314" spans="1:12" s="1372" customFormat="1" x14ac:dyDescent="0.25">
      <c r="K314" s="1347" t="s">
        <v>649</v>
      </c>
    </row>
    <row r="315" spans="1:12" s="1372" customFormat="1" x14ac:dyDescent="0.25">
      <c r="K315" s="1347" t="s">
        <v>649</v>
      </c>
    </row>
    <row r="316" spans="1:12" s="1372" customFormat="1" x14ac:dyDescent="0.25">
      <c r="K316" s="1347" t="s">
        <v>649</v>
      </c>
    </row>
    <row r="317" spans="1:12" s="1372" customFormat="1" x14ac:dyDescent="0.25">
      <c r="K317" s="1347" t="s">
        <v>649</v>
      </c>
    </row>
    <row r="318" spans="1:12" s="1372" customFormat="1" x14ac:dyDescent="0.25">
      <c r="K318" s="1347" t="s">
        <v>649</v>
      </c>
    </row>
    <row r="319" spans="1:12" s="1372" customFormat="1" x14ac:dyDescent="0.25">
      <c r="K319" s="1347" t="s">
        <v>649</v>
      </c>
    </row>
    <row r="320" spans="1:12" s="1372" customFormat="1" x14ac:dyDescent="0.25">
      <c r="K320" s="1347" t="s">
        <v>649</v>
      </c>
    </row>
    <row r="321" spans="11:11" s="1372" customFormat="1" x14ac:dyDescent="0.25">
      <c r="K321" s="1347" t="s">
        <v>649</v>
      </c>
    </row>
    <row r="322" spans="11:11" s="1372" customFormat="1" x14ac:dyDescent="0.25">
      <c r="K322" s="1347" t="s">
        <v>649</v>
      </c>
    </row>
    <row r="323" spans="11:11" s="1372" customFormat="1" x14ac:dyDescent="0.25">
      <c r="K323" s="1347" t="s">
        <v>649</v>
      </c>
    </row>
    <row r="324" spans="11:11" s="1372" customFormat="1" x14ac:dyDescent="0.25">
      <c r="K324" s="1347" t="s">
        <v>649</v>
      </c>
    </row>
    <row r="325" spans="11:11" s="1372" customFormat="1" x14ac:dyDescent="0.25">
      <c r="K325" s="1347" t="s">
        <v>649</v>
      </c>
    </row>
    <row r="326" spans="11:11" s="1372" customFormat="1" x14ac:dyDescent="0.25">
      <c r="K326" s="1347" t="s">
        <v>649</v>
      </c>
    </row>
    <row r="327" spans="11:11" s="1372" customFormat="1" x14ac:dyDescent="0.25">
      <c r="K327" s="1347" t="s">
        <v>649</v>
      </c>
    </row>
    <row r="328" spans="11:11" s="1372" customFormat="1" x14ac:dyDescent="0.25">
      <c r="K328" s="1347" t="s">
        <v>649</v>
      </c>
    </row>
    <row r="329" spans="11:11" s="1372" customFormat="1" x14ac:dyDescent="0.25">
      <c r="K329" s="1347" t="s">
        <v>649</v>
      </c>
    </row>
    <row r="330" spans="11:11" s="1372" customFormat="1" x14ac:dyDescent="0.25">
      <c r="K330" s="1347" t="s">
        <v>649</v>
      </c>
    </row>
    <row r="331" spans="11:11" s="1372" customFormat="1" x14ac:dyDescent="0.25">
      <c r="K331" s="1347" t="s">
        <v>649</v>
      </c>
    </row>
    <row r="332" spans="11:11" s="1372" customFormat="1" x14ac:dyDescent="0.25">
      <c r="K332" s="1347" t="s">
        <v>649</v>
      </c>
    </row>
    <row r="333" spans="11:11" s="1372" customFormat="1" x14ac:dyDescent="0.25">
      <c r="K333" s="1347" t="s">
        <v>649</v>
      </c>
    </row>
    <row r="334" spans="11:11" s="1372" customFormat="1" x14ac:dyDescent="0.25">
      <c r="K334" s="1347" t="s">
        <v>649</v>
      </c>
    </row>
    <row r="335" spans="11:11" s="1372" customFormat="1" x14ac:dyDescent="0.25">
      <c r="K335" s="1347" t="s">
        <v>649</v>
      </c>
    </row>
    <row r="336" spans="11:11" s="1372" customFormat="1" x14ac:dyDescent="0.25">
      <c r="K336" s="1347" t="s">
        <v>649</v>
      </c>
    </row>
    <row r="337" spans="11:12" s="1372" customFormat="1" x14ac:dyDescent="0.25">
      <c r="K337" s="1347" t="s">
        <v>649</v>
      </c>
      <c r="L337" s="1347"/>
    </row>
    <row r="338" spans="11:12" s="1372" customFormat="1" x14ac:dyDescent="0.25">
      <c r="K338" s="1347" t="s">
        <v>649</v>
      </c>
      <c r="L338" s="1347"/>
    </row>
    <row r="339" spans="11:12" s="1372" customFormat="1" x14ac:dyDescent="0.25">
      <c r="K339" s="1347" t="s">
        <v>649</v>
      </c>
      <c r="L339" s="1347"/>
    </row>
    <row r="340" spans="11:12" s="1372" customFormat="1" x14ac:dyDescent="0.25">
      <c r="K340" s="1347" t="s">
        <v>649</v>
      </c>
      <c r="L340" s="1347"/>
    </row>
    <row r="341" spans="11:12" s="1372" customFormat="1" x14ac:dyDescent="0.25">
      <c r="K341" s="1347" t="s">
        <v>649</v>
      </c>
      <c r="L341" s="1347"/>
    </row>
    <row r="342" spans="11:12" s="1372" customFormat="1" x14ac:dyDescent="0.25">
      <c r="K342" s="1347" t="s">
        <v>649</v>
      </c>
      <c r="L342" s="1347"/>
    </row>
    <row r="343" spans="11:12" s="1372" customFormat="1" x14ac:dyDescent="0.25">
      <c r="K343" s="1347" t="s">
        <v>649</v>
      </c>
      <c r="L343" s="1347"/>
    </row>
    <row r="344" spans="11:12" s="1372" customFormat="1" x14ac:dyDescent="0.25">
      <c r="K344" s="1347" t="s">
        <v>649</v>
      </c>
      <c r="L344" s="1347"/>
    </row>
    <row r="345" spans="11:12" s="1372" customFormat="1" x14ac:dyDescent="0.25">
      <c r="K345" s="1347" t="s">
        <v>649</v>
      </c>
      <c r="L345" s="1347"/>
    </row>
    <row r="346" spans="11:12" s="1372" customFormat="1" x14ac:dyDescent="0.25">
      <c r="K346" s="1347" t="s">
        <v>649</v>
      </c>
      <c r="L346" s="1347"/>
    </row>
    <row r="347" spans="11:12" s="1372" customFormat="1" x14ac:dyDescent="0.25">
      <c r="K347" s="1347" t="s">
        <v>649</v>
      </c>
      <c r="L347" s="1347"/>
    </row>
    <row r="348" spans="11:12" s="1372" customFormat="1" x14ac:dyDescent="0.25">
      <c r="K348" s="1347" t="s">
        <v>649</v>
      </c>
      <c r="L348" s="1347"/>
    </row>
    <row r="349" spans="11:12" s="1372" customFormat="1" x14ac:dyDescent="0.25">
      <c r="K349" s="1347" t="s">
        <v>649</v>
      </c>
      <c r="L349" s="1347"/>
    </row>
    <row r="350" spans="11:12" s="1372" customFormat="1" x14ac:dyDescent="0.25">
      <c r="K350" s="1347" t="s">
        <v>649</v>
      </c>
      <c r="L350" s="1347"/>
    </row>
    <row r="351" spans="11:12" s="1372" customFormat="1" x14ac:dyDescent="0.25">
      <c r="K351" s="1347" t="s">
        <v>649</v>
      </c>
      <c r="L351" s="1347"/>
    </row>
    <row r="352" spans="11:12" s="1372" customFormat="1" x14ac:dyDescent="0.25">
      <c r="K352" s="1347" t="s">
        <v>649</v>
      </c>
      <c r="L352" s="1347"/>
    </row>
    <row r="353" spans="11:12" s="1372" customFormat="1" x14ac:dyDescent="0.25">
      <c r="K353" s="1347" t="s">
        <v>649</v>
      </c>
      <c r="L353" s="1347"/>
    </row>
    <row r="354" spans="11:12" s="1372" customFormat="1" x14ac:dyDescent="0.25">
      <c r="K354" s="1347" t="s">
        <v>649</v>
      </c>
      <c r="L354" s="1347"/>
    </row>
    <row r="355" spans="11:12" s="1372" customFormat="1" x14ac:dyDescent="0.25">
      <c r="K355" s="1347" t="s">
        <v>649</v>
      </c>
      <c r="L355" s="1347"/>
    </row>
    <row r="356" spans="11:12" s="1372" customFormat="1" x14ac:dyDescent="0.25">
      <c r="K356" s="1347" t="s">
        <v>649</v>
      </c>
      <c r="L356" s="1347"/>
    </row>
    <row r="357" spans="11:12" s="1372" customFormat="1" x14ac:dyDescent="0.25">
      <c r="K357" s="1347" t="s">
        <v>649</v>
      </c>
      <c r="L357" s="1347"/>
    </row>
    <row r="358" spans="11:12" s="1372" customFormat="1" x14ac:dyDescent="0.25">
      <c r="K358" s="1347" t="s">
        <v>649</v>
      </c>
      <c r="L358" s="1347"/>
    </row>
    <row r="359" spans="11:12" s="1372" customFormat="1" x14ac:dyDescent="0.25">
      <c r="K359" s="1347" t="s">
        <v>649</v>
      </c>
      <c r="L359" s="1347"/>
    </row>
    <row r="360" spans="11:12" s="1372" customFormat="1" x14ac:dyDescent="0.25">
      <c r="K360" s="1347" t="s">
        <v>649</v>
      </c>
      <c r="L360" s="1347"/>
    </row>
    <row r="361" spans="11:12" s="1372" customFormat="1" x14ac:dyDescent="0.25">
      <c r="K361" s="1347" t="s">
        <v>649</v>
      </c>
      <c r="L361" s="1347"/>
    </row>
    <row r="362" spans="11:12" s="1372" customFormat="1" x14ac:dyDescent="0.25">
      <c r="K362" s="1347" t="s">
        <v>649</v>
      </c>
      <c r="L362" s="1347"/>
    </row>
    <row r="363" spans="11:12" s="1372" customFormat="1" x14ac:dyDescent="0.25">
      <c r="K363" s="1347" t="s">
        <v>649</v>
      </c>
      <c r="L363" s="1347"/>
    </row>
    <row r="364" spans="11:12" s="1372" customFormat="1" x14ac:dyDescent="0.25">
      <c r="K364" s="1347" t="s">
        <v>649</v>
      </c>
      <c r="L364" s="1347"/>
    </row>
    <row r="365" spans="11:12" s="1372" customFormat="1" x14ac:dyDescent="0.25">
      <c r="K365" s="1347" t="s">
        <v>649</v>
      </c>
      <c r="L365" s="1347"/>
    </row>
    <row r="366" spans="11:12" s="1372" customFormat="1" x14ac:dyDescent="0.25">
      <c r="K366" s="1347" t="s">
        <v>649</v>
      </c>
      <c r="L366" s="1347"/>
    </row>
    <row r="367" spans="11:12" s="1372" customFormat="1" x14ac:dyDescent="0.25">
      <c r="K367" s="1347" t="s">
        <v>649</v>
      </c>
      <c r="L367" s="1347"/>
    </row>
    <row r="368" spans="11:12" s="1372" customFormat="1" x14ac:dyDescent="0.25">
      <c r="K368" s="1347" t="s">
        <v>649</v>
      </c>
      <c r="L368" s="1347"/>
    </row>
    <row r="369" spans="1:12" s="1372" customFormat="1" x14ac:dyDescent="0.25">
      <c r="K369" s="1347" t="s">
        <v>649</v>
      </c>
      <c r="L369" s="1347"/>
    </row>
    <row r="370" spans="1:12" s="1374" customFormat="1" x14ac:dyDescent="0.25">
      <c r="A370" s="1373"/>
      <c r="B370" s="1373"/>
      <c r="C370" s="1373"/>
      <c r="D370" s="1373"/>
      <c r="E370" s="1373"/>
      <c r="F370" s="1373"/>
      <c r="G370" s="1373"/>
      <c r="H370" s="1373"/>
      <c r="I370" s="1373"/>
      <c r="J370" s="1373"/>
      <c r="K370" s="1347" t="s">
        <v>649</v>
      </c>
      <c r="L370" s="1347"/>
    </row>
    <row r="371" spans="1:12" s="1372" customFormat="1" ht="15" customHeight="1" x14ac:dyDescent="0.25">
      <c r="A371" s="704"/>
      <c r="B371" s="704"/>
      <c r="C371" s="704"/>
      <c r="D371" s="704"/>
      <c r="E371" s="704"/>
      <c r="F371" s="704"/>
      <c r="G371" s="704"/>
      <c r="H371" s="704"/>
      <c r="I371" s="704"/>
      <c r="J371" s="704"/>
      <c r="K371" s="1347" t="s">
        <v>649</v>
      </c>
      <c r="L371" s="1347"/>
    </row>
    <row r="372" spans="1:12" s="1347" customFormat="1" ht="15" customHeight="1" x14ac:dyDescent="0.25">
      <c r="A372" s="2988" t="str">
        <f>"Transdutor "&amp;Ultrassom!A306&amp;" - marca "&amp;Ultrassom!B306&amp;", modelo "&amp;Ultrassom!C306&amp;", n° série "&amp;Ultrassom!D306</f>
        <v>Transdutor 4 - marca não informada, modelo não informado, n° série não informado</v>
      </c>
      <c r="B372" s="2988"/>
      <c r="C372" s="2988"/>
      <c r="D372" s="2988"/>
      <c r="E372" s="2988"/>
      <c r="F372" s="2988"/>
      <c r="G372" s="2988"/>
      <c r="H372" s="2988"/>
      <c r="I372" s="2988"/>
      <c r="J372" s="2988"/>
      <c r="K372" s="1347" t="str">
        <f>IF(Ultrassom!B304&lt;=Ultrassom!$E$4,"","x")</f>
        <v>x</v>
      </c>
      <c r="L372" s="1347" t="str">
        <f>Ultrassom!A304&amp;Ultrassom!B304</f>
        <v>TRANSDUTOR: 4</v>
      </c>
    </row>
    <row r="373" spans="1:12" s="1347" customFormat="1" ht="15" customHeight="1" x14ac:dyDescent="0.25">
      <c r="A373" s="2988"/>
      <c r="B373" s="2988"/>
      <c r="C373" s="2988"/>
      <c r="D373" s="2988"/>
      <c r="E373" s="2988"/>
      <c r="F373" s="2988"/>
      <c r="G373" s="2988"/>
      <c r="H373" s="2988"/>
      <c r="I373" s="2988"/>
      <c r="J373" s="2988"/>
      <c r="K373" s="1347" t="str">
        <f>K372</f>
        <v>x</v>
      </c>
    </row>
    <row r="374" spans="1:12" s="1347" customFormat="1" ht="15" customHeight="1" x14ac:dyDescent="0.25">
      <c r="A374" s="1346"/>
      <c r="B374" s="1346"/>
      <c r="C374" s="1346"/>
      <c r="D374" s="1346"/>
      <c r="E374" s="1346"/>
      <c r="F374" s="1346"/>
      <c r="G374" s="1346"/>
      <c r="H374" s="1346"/>
      <c r="I374" s="1346"/>
      <c r="J374" s="1346"/>
      <c r="K374" s="1347" t="str">
        <f>K373</f>
        <v>x</v>
      </c>
    </row>
    <row r="375" spans="1:12" s="1347" customFormat="1" ht="15" customHeight="1" x14ac:dyDescent="0.25">
      <c r="A375" s="2984" t="s">
        <v>1576</v>
      </c>
      <c r="B375" s="2984"/>
      <c r="C375" s="2984"/>
      <c r="D375" s="2984"/>
      <c r="E375" s="2984"/>
      <c r="F375" s="2984"/>
      <c r="G375" s="2848" t="s">
        <v>369</v>
      </c>
      <c r="H375" s="3014"/>
      <c r="I375" s="1333" t="str">
        <f>"IN "&amp;VLOOKUP("Ultrassom",IN_ANVISA[],2)</f>
        <v>IN 96</v>
      </c>
      <c r="K375" s="1347" t="str">
        <f>K374</f>
        <v>x</v>
      </c>
    </row>
    <row r="376" spans="1:12" s="1347" customFormat="1" ht="15" customHeight="1" x14ac:dyDescent="0.25">
      <c r="A376" s="3011" t="s">
        <v>1619</v>
      </c>
      <c r="B376" s="3012"/>
      <c r="C376" s="3012"/>
      <c r="D376" s="3012"/>
      <c r="E376" s="3012"/>
      <c r="F376" s="3013"/>
      <c r="G376" s="2990" t="str">
        <f>Ultrassom!E306</f>
        <v>Boa</v>
      </c>
      <c r="H376" s="2992"/>
      <c r="I376" s="1237" t="s">
        <v>142</v>
      </c>
      <c r="K376" s="1347" t="str">
        <f>K375</f>
        <v>x</v>
      </c>
      <c r="L376" s="1347" t="str">
        <f>IF(G376&lt;&gt;"Boa",A376,"")</f>
        <v/>
      </c>
    </row>
    <row r="377" spans="1:12" s="1347" customFormat="1" ht="15" customHeight="1" x14ac:dyDescent="0.25">
      <c r="A377" s="3001" t="s">
        <v>1538</v>
      </c>
      <c r="B377" s="3001"/>
      <c r="C377" s="3001"/>
      <c r="D377" s="3001"/>
      <c r="E377" s="3001"/>
      <c r="F377" s="3001"/>
      <c r="G377" s="3002" t="str">
        <f>IF(LARGE(Ultrassom!C317:D317,1)=0,IF(Ultrassom!D311="s","Uniforme","Não uniforme"),ROUNDDOWN(LARGE(Ultrassom!C317:D317,1),1)&amp;" dB")</f>
        <v>Não uniforme</v>
      </c>
      <c r="H377" s="3003"/>
      <c r="I377" s="1237" t="str">
        <f>Ultrassom!B317</f>
        <v>NPA</v>
      </c>
      <c r="K377" s="1347" t="str">
        <f>K376</f>
        <v>x</v>
      </c>
      <c r="L377" s="1347" t="str">
        <f>IF(I377="Não",A377,"")</f>
        <v/>
      </c>
    </row>
    <row r="378" spans="1:12" s="1347" customFormat="1" ht="15" customHeight="1" x14ac:dyDescent="0.25">
      <c r="A378" s="3001" t="s">
        <v>1579</v>
      </c>
      <c r="B378" s="3001"/>
      <c r="C378" s="3001"/>
      <c r="D378" s="3001"/>
      <c r="E378" s="3001"/>
      <c r="F378" s="3001"/>
      <c r="G378" s="3002" t="str">
        <f>Ultrassom!D326&amp;" cm"</f>
        <v xml:space="preserve"> cm</v>
      </c>
      <c r="H378" s="3003"/>
      <c r="I378" s="1237" t="str">
        <f>Ultrassom!D328</f>
        <v>NA</v>
      </c>
      <c r="K378" s="1347" t="str">
        <f>IF(I378="NA","x","")</f>
        <v>x</v>
      </c>
      <c r="L378" s="1347" t="str">
        <f>IF(I378="Não",A378,"")</f>
        <v/>
      </c>
    </row>
    <row r="379" spans="1:12" s="1347" customFormat="1" ht="15" customHeight="1" x14ac:dyDescent="0.25">
      <c r="A379" s="3001" t="s">
        <v>1577</v>
      </c>
      <c r="B379" s="3001"/>
      <c r="C379" s="3001"/>
      <c r="D379" s="3001"/>
      <c r="E379" s="3001"/>
      <c r="F379" s="3001"/>
      <c r="G379" s="2591" t="str">
        <f>Ultrassom!B326&amp;" cm"</f>
        <v xml:space="preserve"> cm</v>
      </c>
      <c r="H379" s="2593"/>
      <c r="I379" s="1243" t="str">
        <f>Ultrassom!B328</f>
        <v>NA</v>
      </c>
      <c r="K379" s="1347" t="str">
        <f>IF(I379="NA","x","")</f>
        <v>x</v>
      </c>
      <c r="L379" s="1347" t="str">
        <f>IF(I379="Não",A379,"")</f>
        <v/>
      </c>
    </row>
    <row r="380" spans="1:12" s="1347" customFormat="1" ht="15" customHeight="1" x14ac:dyDescent="0.25">
      <c r="A380" s="3001" t="s">
        <v>1578</v>
      </c>
      <c r="B380" s="3001"/>
      <c r="C380" s="3001"/>
      <c r="D380" s="3001"/>
      <c r="E380" s="3001"/>
      <c r="F380" s="3001"/>
      <c r="G380" s="2591" t="str">
        <f>Ultrassom!C326&amp;" cm"</f>
        <v xml:space="preserve"> cm</v>
      </c>
      <c r="H380" s="2593"/>
      <c r="I380" s="1243" t="str">
        <f>Ultrassom!C328</f>
        <v>NA</v>
      </c>
      <c r="K380" s="1347" t="str">
        <f>IF(I380="NA","x","")</f>
        <v>x</v>
      </c>
      <c r="L380" s="1347" t="str">
        <f>IF(I380="Não",A380,"")</f>
        <v/>
      </c>
    </row>
    <row r="381" spans="1:12" s="1347" customFormat="1" ht="15" customHeight="1" x14ac:dyDescent="0.25">
      <c r="A381" s="3001" t="s">
        <v>1580</v>
      </c>
      <c r="B381" s="3001"/>
      <c r="C381" s="3001"/>
      <c r="D381" s="3001"/>
      <c r="E381" s="3001"/>
      <c r="F381" s="3001"/>
      <c r="G381" s="2990" t="str">
        <f>Ultrassom!B332&amp;" objetos, "&amp;IF(Ultrassom!B335="s","BD","BND")&amp;" "&amp;IF(Ultrassom!B336="s","AC","ANC")</f>
        <v xml:space="preserve"> objetos, BND ANC</v>
      </c>
      <c r="H381" s="2992"/>
      <c r="I381" s="1237" t="str">
        <f>Ultrassom!B337</f>
        <v>Sim</v>
      </c>
      <c r="K381" s="1347" t="str">
        <f>K372</f>
        <v>x</v>
      </c>
      <c r="L381" s="1347" t="str">
        <f>IF(I381="Não","Visualização de objetos anecóicos","")</f>
        <v/>
      </c>
    </row>
    <row r="382" spans="1:12" s="1347" customFormat="1" ht="15" customHeight="1" x14ac:dyDescent="0.25">
      <c r="A382" s="3001" t="s">
        <v>1581</v>
      </c>
      <c r="B382" s="3001"/>
      <c r="C382" s="3001"/>
      <c r="D382" s="3001"/>
      <c r="E382" s="3001"/>
      <c r="F382" s="3001"/>
      <c r="G382" s="3002" t="str">
        <f>Ultrassom!D332&amp;" objetos, "&amp;IF(Ultrassom!D335="s","BD","BND")&amp;" "&amp;IF(Ultrassom!D336="s","AC","ANC")</f>
        <v xml:space="preserve"> objetos, BND ANC</v>
      </c>
      <c r="H382" s="3003"/>
      <c r="I382" s="1237" t="str">
        <f>Ultrassom!D337</f>
        <v>Sim</v>
      </c>
      <c r="K382" s="1347" t="str">
        <f>K381</f>
        <v>x</v>
      </c>
      <c r="L382" s="1347" t="str">
        <f>IF(I382="Não","Visualização de objetos anecóicos","")</f>
        <v/>
      </c>
    </row>
    <row r="383" spans="1:12" s="1347" customFormat="1" ht="15" customHeight="1" x14ac:dyDescent="0.25">
      <c r="A383" s="3001" t="s">
        <v>1582</v>
      </c>
      <c r="B383" s="3001"/>
      <c r="C383" s="3001"/>
      <c r="D383" s="3001"/>
      <c r="E383" s="3001"/>
      <c r="F383" s="3001"/>
      <c r="G383" s="3002" t="str">
        <f>Ultrassom!F332&amp;" objetos, "&amp;IF(Ultrassom!F335="s","BD","BND")&amp;" "&amp;IF(Ultrassom!F336="s","AC","ANC")</f>
        <v xml:space="preserve"> objetos, BND ANC</v>
      </c>
      <c r="H383" s="3003"/>
      <c r="I383" s="1237" t="str">
        <f>Ultrassom!F337</f>
        <v>Sim</v>
      </c>
      <c r="K383" s="1347" t="str">
        <f t="shared" ref="K383:K388" si="15">K382</f>
        <v>x</v>
      </c>
      <c r="L383" s="1347" t="str">
        <f>IF(I383="Não","Visualização de objetos anecóicos","")</f>
        <v/>
      </c>
    </row>
    <row r="384" spans="1:12" s="1347" customFormat="1" x14ac:dyDescent="0.25">
      <c r="A384" s="3004" t="str">
        <f>"Zona morta @ "&amp;ROUND(Ultrassom!A341,1)&amp;" MHz"</f>
        <v>Zona morta @ 0 MHz</v>
      </c>
      <c r="B384" s="3004"/>
      <c r="C384" s="3004"/>
      <c r="D384" s="3004"/>
      <c r="E384" s="3004"/>
      <c r="F384" s="3004"/>
      <c r="G384" s="2975" t="str">
        <f>Ultrassom!C341&amp;" mm"</f>
        <v xml:space="preserve"> mm</v>
      </c>
      <c r="H384" s="2998"/>
      <c r="I384" s="1237" t="str">
        <f>Ultrassom!E341</f>
        <v>Sim</v>
      </c>
      <c r="K384" s="1347" t="str">
        <f t="shared" si="15"/>
        <v>x</v>
      </c>
      <c r="L384" s="1347" t="str">
        <f>IF(I384="Não","Zona morta","")</f>
        <v/>
      </c>
    </row>
    <row r="385" spans="1:12" s="940" customFormat="1" x14ac:dyDescent="0.25">
      <c r="A385" s="3005" t="s">
        <v>1583</v>
      </c>
      <c r="B385" s="3005"/>
      <c r="C385" s="3005"/>
      <c r="D385" s="3005"/>
      <c r="E385" s="3005"/>
      <c r="F385" s="3005"/>
      <c r="G385" s="2975" t="e">
        <f>LARGE(Ultrassom!C349:C350,1)&amp;" mm"</f>
        <v>#NUM!</v>
      </c>
      <c r="H385" s="2998"/>
      <c r="I385" s="1237" t="str">
        <f>Ultrassom!C352</f>
        <v>NPA</v>
      </c>
      <c r="K385" s="1347" t="str">
        <f t="shared" si="15"/>
        <v>x</v>
      </c>
      <c r="L385" s="1347" t="str">
        <f>IF(I385="Não",A385,"")</f>
        <v/>
      </c>
    </row>
    <row r="386" spans="1:12" s="940" customFormat="1" x14ac:dyDescent="0.25">
      <c r="A386" s="3005" t="s">
        <v>1584</v>
      </c>
      <c r="B386" s="3005"/>
      <c r="C386" s="3005"/>
      <c r="D386" s="3005"/>
      <c r="E386" s="3005"/>
      <c r="F386" s="3005"/>
      <c r="G386" s="2975" t="e">
        <f>LARGE(Ultrassom!D349:D350,1)&amp;" mm"</f>
        <v>#NUM!</v>
      </c>
      <c r="H386" s="2998"/>
      <c r="I386" s="1237" t="str">
        <f>Ultrassom!D352</f>
        <v>NPA</v>
      </c>
      <c r="K386" s="1347" t="str">
        <f t="shared" si="15"/>
        <v>x</v>
      </c>
      <c r="L386" s="1347" t="str">
        <f>IF(I386="Não",A386,"")</f>
        <v/>
      </c>
    </row>
    <row r="387" spans="1:12" s="940" customFormat="1" ht="15" customHeight="1" x14ac:dyDescent="0.25">
      <c r="A387" s="3006" t="str">
        <f>"Resolução axial @ "&amp;ROUND(Ultrassom!D356,1)&amp;" MHz"</f>
        <v>Resolução axial @ 0 MHz</v>
      </c>
      <c r="B387" s="3006"/>
      <c r="C387" s="3006"/>
      <c r="D387" s="3006"/>
      <c r="E387" s="3006"/>
      <c r="F387" s="3006"/>
      <c r="G387" s="3007">
        <f>Ultrassom!D358</f>
        <v>0</v>
      </c>
      <c r="H387" s="3008"/>
      <c r="I387" s="1237" t="str">
        <f>Ultrassom!D360</f>
        <v>Sim</v>
      </c>
      <c r="K387" s="1347" t="str">
        <f t="shared" si="15"/>
        <v>x</v>
      </c>
      <c r="L387" s="1347" t="str">
        <f>IF(I387="Não","Resolução axial","")</f>
        <v/>
      </c>
    </row>
    <row r="388" spans="1:12" s="940" customFormat="1" ht="15" customHeight="1" x14ac:dyDescent="0.25">
      <c r="A388" s="3006" t="str">
        <f>"Resolução lateral @ "&amp;ROUND(Ultrassom!E356,1)&amp;" MHz"</f>
        <v>Resolução lateral @ 0 MHz</v>
      </c>
      <c r="B388" s="3006"/>
      <c r="C388" s="3006"/>
      <c r="D388" s="3006"/>
      <c r="E388" s="3006"/>
      <c r="F388" s="3006"/>
      <c r="G388" s="3007">
        <f>Ultrassom!E358</f>
        <v>0</v>
      </c>
      <c r="H388" s="3008"/>
      <c r="I388" s="1237" t="str">
        <f>Ultrassom!E360</f>
        <v>Sim</v>
      </c>
      <c r="K388" s="1347" t="str">
        <f t="shared" si="15"/>
        <v>x</v>
      </c>
      <c r="L388" s="1347" t="str">
        <f>IF(I388="Não","Resolução lateral","")</f>
        <v/>
      </c>
    </row>
    <row r="389" spans="1:12" s="940" customFormat="1" ht="15" customHeight="1" x14ac:dyDescent="0.25">
      <c r="A389" s="2993" t="str">
        <f>"Zona focal - foco @ "&amp;Ultrassom!B364&amp;" cm"</f>
        <v>Zona focal - foco @  cm</v>
      </c>
      <c r="B389" s="2994"/>
      <c r="C389" s="2994"/>
      <c r="D389" s="2994"/>
      <c r="E389" s="2994"/>
      <c r="F389" s="2995"/>
      <c r="G389" s="2975" t="str">
        <f>Ultrassom!B366&amp;" cm"</f>
        <v xml:space="preserve"> cm</v>
      </c>
      <c r="H389" s="2998"/>
      <c r="I389" s="1237" t="str">
        <f>Ultrassom!B369</f>
        <v>NA</v>
      </c>
      <c r="K389" s="1347" t="str">
        <f>IF(I389="NA","x","")</f>
        <v>x</v>
      </c>
      <c r="L389" s="1347" t="str">
        <f>IF(I389="Não","Zona focal","")</f>
        <v/>
      </c>
    </row>
    <row r="390" spans="1:12" s="940" customFormat="1" ht="15" customHeight="1" x14ac:dyDescent="0.25">
      <c r="A390" s="2993" t="str">
        <f>"Zona focal - foco @ "&amp;Ultrassom!C364&amp;" cm"</f>
        <v>Zona focal - foco @  cm</v>
      </c>
      <c r="B390" s="2994"/>
      <c r="C390" s="2994"/>
      <c r="D390" s="2994"/>
      <c r="E390" s="2994"/>
      <c r="F390" s="2995"/>
      <c r="G390" s="2975" t="str">
        <f>Ultrassom!C366&amp;" cm"</f>
        <v xml:space="preserve"> cm</v>
      </c>
      <c r="H390" s="2998"/>
      <c r="I390" s="1237" t="str">
        <f>Ultrassom!C369</f>
        <v>NA</v>
      </c>
      <c r="K390" s="1347" t="str">
        <f>IF(I390="NA","x","")</f>
        <v>x</v>
      </c>
      <c r="L390" s="1347" t="str">
        <f>IF(I390="Não","Zona focal","")</f>
        <v/>
      </c>
    </row>
    <row r="391" spans="1:12" s="940" customFormat="1" ht="15" customHeight="1" x14ac:dyDescent="0.25">
      <c r="A391" s="2993" t="str">
        <f>"Zona focal - foco @ "&amp;Ultrassom!D364&amp;" cm"</f>
        <v>Zona focal - foco @  cm</v>
      </c>
      <c r="B391" s="2994"/>
      <c r="C391" s="2994"/>
      <c r="D391" s="2994"/>
      <c r="E391" s="2994"/>
      <c r="F391" s="2995"/>
      <c r="G391" s="2996" t="str">
        <f>Ultrassom!D366&amp;" cm"</f>
        <v xml:space="preserve"> cm</v>
      </c>
      <c r="H391" s="2997"/>
      <c r="I391" s="1243" t="str">
        <f>Ultrassom!D369</f>
        <v>NA</v>
      </c>
      <c r="K391" s="1347" t="str">
        <f>IF(I391="NA","x","")</f>
        <v>x</v>
      </c>
      <c r="L391" s="1347" t="str">
        <f>IF(I391="Não","Zona focal","")</f>
        <v/>
      </c>
    </row>
    <row r="392" spans="1:12" s="940" customFormat="1" ht="15" customHeight="1" x14ac:dyDescent="0.25">
      <c r="A392" s="2993" t="str">
        <f>"Zona focal - foco @ "&amp;Ultrassom!E364&amp;" cm"</f>
        <v>Zona focal - foco @  cm</v>
      </c>
      <c r="B392" s="2994"/>
      <c r="C392" s="2994"/>
      <c r="D392" s="2994"/>
      <c r="E392" s="2994"/>
      <c r="F392" s="2995"/>
      <c r="G392" s="2996" t="str">
        <f>Ultrassom!E366&amp;" cm"</f>
        <v xml:space="preserve"> cm</v>
      </c>
      <c r="H392" s="2997"/>
      <c r="I392" s="1243" t="str">
        <f>Ultrassom!E369</f>
        <v>NA</v>
      </c>
      <c r="K392" s="1347" t="str">
        <f>IF(I392="NA","x","")</f>
        <v>x</v>
      </c>
      <c r="L392" s="1347" t="str">
        <f>IF(I392="Não","Zona focal","")</f>
        <v/>
      </c>
    </row>
    <row r="393" spans="1:12" s="940" customFormat="1" ht="15" customHeight="1" x14ac:dyDescent="0.25">
      <c r="A393" s="2993" t="str">
        <f>"Zona focal - foco @ "&amp;Ultrassom!F364&amp;" cm"</f>
        <v>Zona focal - foco @  cm</v>
      </c>
      <c r="B393" s="2994"/>
      <c r="C393" s="2994"/>
      <c r="D393" s="2994"/>
      <c r="E393" s="2994"/>
      <c r="F393" s="2995"/>
      <c r="G393" s="2975" t="str">
        <f>Ultrassom!F366&amp;" cm"</f>
        <v xml:space="preserve"> cm</v>
      </c>
      <c r="H393" s="2998"/>
      <c r="I393" s="1237" t="str">
        <f>Ultrassom!F369</f>
        <v>NA</v>
      </c>
      <c r="K393" s="1347" t="str">
        <f>IF(I393="NA","x","")</f>
        <v>x</v>
      </c>
      <c r="L393" s="1347" t="str">
        <f>IF(I393="Não","Zona focal","")</f>
        <v/>
      </c>
    </row>
    <row r="394" spans="1:12" s="940" customFormat="1" ht="15" customHeight="1" x14ac:dyDescent="0.25">
      <c r="A394" s="2993" t="s">
        <v>1585</v>
      </c>
      <c r="B394" s="2994"/>
      <c r="C394" s="2994"/>
      <c r="D394" s="2994"/>
      <c r="E394" s="2994"/>
      <c r="F394" s="2995"/>
      <c r="G394" s="2999" t="str">
        <f>IF(Ultrassom!B374="s","Visualizado","Não visualizado")</f>
        <v>Não visualizado</v>
      </c>
      <c r="H394" s="3000"/>
      <c r="I394" s="1237" t="str">
        <f>Ultrassom!B376</f>
        <v>Sim</v>
      </c>
      <c r="K394" s="1347" t="str">
        <f>K372</f>
        <v>x</v>
      </c>
      <c r="L394" s="1347" t="str">
        <f>IF(I394="Não","Limiar de sensibilidade a baixo contraste","")</f>
        <v/>
      </c>
    </row>
    <row r="395" spans="1:12" s="940" customFormat="1" ht="15" customHeight="1" x14ac:dyDescent="0.25">
      <c r="A395" s="2993" t="s">
        <v>1586</v>
      </c>
      <c r="B395" s="2994"/>
      <c r="C395" s="2994"/>
      <c r="D395" s="2994"/>
      <c r="E395" s="2994"/>
      <c r="F395" s="2995"/>
      <c r="G395" s="2999" t="str">
        <f>IF(Ultrassom!C374="s","Visualizado","Não visualizado")</f>
        <v>Não visualizado</v>
      </c>
      <c r="H395" s="3000"/>
      <c r="I395" s="1237" t="str">
        <f>Ultrassom!C376</f>
        <v>Sim</v>
      </c>
      <c r="K395" s="1347" t="str">
        <f>K394</f>
        <v>x</v>
      </c>
      <c r="L395" s="1347" t="str">
        <f>IF(I395="Não","Limiar de sensibilidade a baixo contraste","")</f>
        <v/>
      </c>
    </row>
    <row r="396" spans="1:12" s="940" customFormat="1" ht="15" customHeight="1" x14ac:dyDescent="0.25">
      <c r="A396" s="2993" t="s">
        <v>1587</v>
      </c>
      <c r="B396" s="2994"/>
      <c r="C396" s="2994"/>
      <c r="D396" s="2994"/>
      <c r="E396" s="2994"/>
      <c r="F396" s="2995"/>
      <c r="G396" s="2999" t="str">
        <f>IF(Ultrassom!D374="s","Visualizado","Não visualizado")</f>
        <v>Não visualizado</v>
      </c>
      <c r="H396" s="3000"/>
      <c r="I396" s="1237" t="str">
        <f>Ultrassom!D376</f>
        <v>Sim</v>
      </c>
      <c r="K396" s="1347" t="str">
        <f>K395</f>
        <v>x</v>
      </c>
      <c r="L396" s="1347" t="str">
        <f>IF(I396="Não","Limiar de sensibilidade a baixo contraste","")</f>
        <v/>
      </c>
    </row>
    <row r="397" spans="1:12" s="940" customFormat="1" ht="15" customHeight="1" x14ac:dyDescent="0.25">
      <c r="A397" s="2993" t="s">
        <v>1588</v>
      </c>
      <c r="B397" s="2994"/>
      <c r="C397" s="2994"/>
      <c r="D397" s="2994"/>
      <c r="E397" s="2994"/>
      <c r="F397" s="2995"/>
      <c r="G397" s="2999" t="str">
        <f>IF(Ultrassom!E374="s","Visualizado","Não visualizado")</f>
        <v>Não visualizado</v>
      </c>
      <c r="H397" s="3000"/>
      <c r="I397" s="1237" t="str">
        <f>Ultrassom!E376</f>
        <v>Sim</v>
      </c>
      <c r="K397" s="1347" t="str">
        <f>K396</f>
        <v>x</v>
      </c>
      <c r="L397" s="1347" t="str">
        <f>IF(I397="Não","Limiar de sensibilidade a baixo contraste","")</f>
        <v/>
      </c>
    </row>
    <row r="398" spans="1:12" s="940" customFormat="1" ht="15" customHeight="1" x14ac:dyDescent="0.25">
      <c r="A398" s="3006" t="s">
        <v>1589</v>
      </c>
      <c r="B398" s="3006"/>
      <c r="C398" s="3006"/>
      <c r="D398" s="3006"/>
      <c r="E398" s="3006"/>
      <c r="F398" s="3006"/>
      <c r="G398" s="3002" t="str">
        <f>IFERROR(Ultrassom!F382*100&amp;" %","NPA")</f>
        <v>NPA</v>
      </c>
      <c r="H398" s="3003"/>
      <c r="I398" s="1237" t="str">
        <f>Ultrassom!G382</f>
        <v>NA</v>
      </c>
      <c r="K398" s="1381" t="str">
        <f>K397</f>
        <v>x</v>
      </c>
      <c r="L398" s="1347" t="str">
        <f>IF(I398="Não",A398,"")</f>
        <v/>
      </c>
    </row>
    <row r="399" spans="1:12" s="940" customFormat="1" ht="15" customHeight="1" x14ac:dyDescent="0.25">
      <c r="A399" s="3006" t="str">
        <f>"Sensibilidade do modo doppler @ "&amp;Ultrassom!B386&amp;" (ref. "&amp;Ultrassom!B389&amp;" "&amp;Ultrassom!$A$387&amp;")"</f>
        <v>Sensibilidade do modo doppler @ fluxo baixo (ref. NI ml/s)</v>
      </c>
      <c r="B399" s="3006"/>
      <c r="C399" s="3006"/>
      <c r="D399" s="3006"/>
      <c r="E399" s="3006"/>
      <c r="F399" s="3006"/>
      <c r="G399" s="3002" t="str">
        <f>IFERROR(ROUNDDOWN(Ultrassom!C389,1)&amp;" "&amp;Ultrassom!$A$387,"NPA")</f>
        <v>0 ml/s</v>
      </c>
      <c r="H399" s="3003"/>
      <c r="I399" s="1834" t="str">
        <f>Ultrassom!D389</f>
        <v>NPA</v>
      </c>
      <c r="K399" s="1835" t="str">
        <f t="shared" ref="K399:K401" si="16">IF(G399="0 ml/s","x","")</f>
        <v>x</v>
      </c>
      <c r="L399" s="1347" t="str">
        <f>IF(I399="Não","Sensibilidade do modo doppler","")</f>
        <v/>
      </c>
    </row>
    <row r="400" spans="1:12" s="940" customFormat="1" ht="15" customHeight="1" x14ac:dyDescent="0.25">
      <c r="A400" s="3006" t="str">
        <f>"Sensibilidade do modo doppler @ "&amp;Ultrassom!E386&amp;" (ref. "&amp;Ultrassom!E389&amp;" "&amp;Ultrassom!$A$387&amp;")"</f>
        <v>Sensibilidade do modo doppler @ fluxo médio (ref. NI ml/s)</v>
      </c>
      <c r="B400" s="3006"/>
      <c r="C400" s="3006"/>
      <c r="D400" s="3006"/>
      <c r="E400" s="3006"/>
      <c r="F400" s="3006"/>
      <c r="G400" s="3002" t="str">
        <f>IFERROR(ROUNDDOWN(Ultrassom!F389,1)&amp;" "&amp;Ultrassom!$A$387,"NPA")</f>
        <v>0 ml/s</v>
      </c>
      <c r="H400" s="3003"/>
      <c r="I400" s="1834" t="str">
        <f>Ultrassom!G389</f>
        <v>NPA</v>
      </c>
      <c r="K400" s="1835" t="str">
        <f t="shared" si="16"/>
        <v>x</v>
      </c>
      <c r="L400" s="1347" t="str">
        <f>IF(I400="Não","Sensibilidade do modo doppler","")</f>
        <v/>
      </c>
    </row>
    <row r="401" spans="1:12" s="940" customFormat="1" ht="15" customHeight="1" x14ac:dyDescent="0.25">
      <c r="A401" s="3006" t="str">
        <f>"Sensibilidade do modo doppler @ "&amp;Ultrassom!H386&amp;" (ref. "&amp;Ultrassom!H389&amp;" "&amp;Ultrassom!$A$387&amp;")"</f>
        <v>Sensibilidade do modo doppler @ fluxo alto (ref. NI ml/s)</v>
      </c>
      <c r="B401" s="3006"/>
      <c r="C401" s="3006"/>
      <c r="D401" s="3006"/>
      <c r="E401" s="3006"/>
      <c r="F401" s="3006"/>
      <c r="G401" s="3002" t="str">
        <f>IFERROR(ROUNDDOWN(Ultrassom!I389,1)&amp;" "&amp;Ultrassom!$A$387,"NPA")</f>
        <v>0 ml/s</v>
      </c>
      <c r="H401" s="3003"/>
      <c r="I401" s="1834" t="str">
        <f>Ultrassom!J389</f>
        <v>NPA</v>
      </c>
      <c r="K401" s="1835" t="str">
        <f t="shared" si="16"/>
        <v>x</v>
      </c>
      <c r="L401" s="1347" t="str">
        <f>IF(I401="Não","Sensibilidade do modo doppler","")</f>
        <v/>
      </c>
    </row>
    <row r="402" spans="1:12" s="1347" customFormat="1" ht="15" customHeight="1" x14ac:dyDescent="0.25">
      <c r="A402" s="2986" t="s">
        <v>1922</v>
      </c>
      <c r="B402" s="2986"/>
      <c r="C402" s="2986"/>
      <c r="D402" s="2986"/>
      <c r="E402" s="2986"/>
      <c r="F402" s="2986"/>
      <c r="G402" s="2986"/>
      <c r="H402" s="2986"/>
      <c r="I402" s="2986"/>
      <c r="J402" s="2986"/>
      <c r="K402" s="1347" t="str">
        <f>K372</f>
        <v>x</v>
      </c>
    </row>
    <row r="403" spans="1:12" s="1347" customFormat="1" x14ac:dyDescent="0.25">
      <c r="A403" s="2986"/>
      <c r="B403" s="2986"/>
      <c r="C403" s="2986"/>
      <c r="D403" s="2986"/>
      <c r="E403" s="2986"/>
      <c r="F403" s="2986"/>
      <c r="G403" s="2986"/>
      <c r="H403" s="2986"/>
      <c r="I403" s="2986"/>
      <c r="J403" s="2986"/>
      <c r="K403" s="1347" t="str">
        <f>K402</f>
        <v>x</v>
      </c>
    </row>
    <row r="404" spans="1:12" s="1347" customFormat="1" x14ac:dyDescent="0.25">
      <c r="K404" s="1347" t="str">
        <f>K403</f>
        <v>x</v>
      </c>
      <c r="L404" s="1347" t="s">
        <v>1607</v>
      </c>
    </row>
    <row r="405" spans="1:12" s="1347" customFormat="1" x14ac:dyDescent="0.25">
      <c r="K405" s="1347" t="s">
        <v>649</v>
      </c>
    </row>
    <row r="406" spans="1:12" s="1372" customFormat="1" x14ac:dyDescent="0.25">
      <c r="K406" s="1347" t="s">
        <v>649</v>
      </c>
    </row>
    <row r="407" spans="1:12" s="1372" customFormat="1" x14ac:dyDescent="0.25">
      <c r="K407" s="1347" t="s">
        <v>649</v>
      </c>
    </row>
    <row r="408" spans="1:12" s="1372" customFormat="1" x14ac:dyDescent="0.25">
      <c r="K408" s="1347" t="s">
        <v>649</v>
      </c>
    </row>
    <row r="409" spans="1:12" s="1372" customFormat="1" x14ac:dyDescent="0.25">
      <c r="K409" s="1347" t="s">
        <v>649</v>
      </c>
    </row>
    <row r="410" spans="1:12" s="1372" customFormat="1" x14ac:dyDescent="0.25">
      <c r="K410" s="1347" t="s">
        <v>649</v>
      </c>
    </row>
    <row r="411" spans="1:12" s="1372" customFormat="1" x14ac:dyDescent="0.25">
      <c r="K411" s="1347" t="s">
        <v>649</v>
      </c>
    </row>
    <row r="412" spans="1:12" s="1372" customFormat="1" x14ac:dyDescent="0.25">
      <c r="K412" s="1347" t="s">
        <v>649</v>
      </c>
    </row>
    <row r="413" spans="1:12" s="1372" customFormat="1" x14ac:dyDescent="0.25">
      <c r="K413" s="1347" t="s">
        <v>649</v>
      </c>
    </row>
    <row r="414" spans="1:12" s="1372" customFormat="1" x14ac:dyDescent="0.25">
      <c r="K414" s="1347" t="s">
        <v>649</v>
      </c>
    </row>
    <row r="415" spans="1:12" s="1372" customFormat="1" x14ac:dyDescent="0.25">
      <c r="K415" s="1347" t="s">
        <v>649</v>
      </c>
    </row>
    <row r="416" spans="1:12" s="1372" customFormat="1" x14ac:dyDescent="0.25">
      <c r="K416" s="1347" t="s">
        <v>649</v>
      </c>
    </row>
    <row r="417" spans="11:11" s="1372" customFormat="1" x14ac:dyDescent="0.25">
      <c r="K417" s="1347" t="s">
        <v>649</v>
      </c>
    </row>
    <row r="418" spans="11:11" s="1372" customFormat="1" x14ac:dyDescent="0.25">
      <c r="K418" s="1347" t="s">
        <v>649</v>
      </c>
    </row>
    <row r="419" spans="11:11" s="1372" customFormat="1" x14ac:dyDescent="0.25">
      <c r="K419" s="1347" t="s">
        <v>649</v>
      </c>
    </row>
    <row r="420" spans="11:11" s="1372" customFormat="1" x14ac:dyDescent="0.25">
      <c r="K420" s="1347" t="s">
        <v>649</v>
      </c>
    </row>
    <row r="421" spans="11:11" s="1372" customFormat="1" x14ac:dyDescent="0.25">
      <c r="K421" s="1347" t="s">
        <v>649</v>
      </c>
    </row>
    <row r="422" spans="11:11" s="1372" customFormat="1" x14ac:dyDescent="0.25">
      <c r="K422" s="1347" t="s">
        <v>649</v>
      </c>
    </row>
    <row r="423" spans="11:11" s="1372" customFormat="1" x14ac:dyDescent="0.25">
      <c r="K423" s="1347" t="s">
        <v>649</v>
      </c>
    </row>
    <row r="424" spans="11:11" s="1372" customFormat="1" x14ac:dyDescent="0.25">
      <c r="K424" s="1347" t="s">
        <v>649</v>
      </c>
    </row>
    <row r="425" spans="11:11" s="1372" customFormat="1" x14ac:dyDescent="0.25">
      <c r="K425" s="1347" t="s">
        <v>649</v>
      </c>
    </row>
    <row r="426" spans="11:11" s="1372" customFormat="1" x14ac:dyDescent="0.25">
      <c r="K426" s="1347" t="s">
        <v>649</v>
      </c>
    </row>
    <row r="427" spans="11:11" s="1372" customFormat="1" x14ac:dyDescent="0.25">
      <c r="K427" s="1347" t="s">
        <v>649</v>
      </c>
    </row>
    <row r="428" spans="11:11" s="1372" customFormat="1" x14ac:dyDescent="0.25">
      <c r="K428" s="1347" t="s">
        <v>649</v>
      </c>
    </row>
    <row r="429" spans="11:11" s="1372" customFormat="1" x14ac:dyDescent="0.25">
      <c r="K429" s="1347" t="s">
        <v>649</v>
      </c>
    </row>
    <row r="430" spans="11:11" s="1372" customFormat="1" x14ac:dyDescent="0.25">
      <c r="K430" s="1347" t="s">
        <v>649</v>
      </c>
    </row>
    <row r="431" spans="11:11" s="1372" customFormat="1" x14ac:dyDescent="0.25">
      <c r="K431" s="1347" t="s">
        <v>649</v>
      </c>
    </row>
    <row r="432" spans="11:11" s="1372" customFormat="1" x14ac:dyDescent="0.25">
      <c r="K432" s="1347" t="s">
        <v>649</v>
      </c>
    </row>
    <row r="433" spans="11:12" s="1372" customFormat="1" x14ac:dyDescent="0.25">
      <c r="K433" s="1347" t="s">
        <v>649</v>
      </c>
      <c r="L433" s="1347"/>
    </row>
    <row r="434" spans="11:12" s="1372" customFormat="1" x14ac:dyDescent="0.25">
      <c r="K434" s="1347" t="s">
        <v>649</v>
      </c>
      <c r="L434" s="1347"/>
    </row>
    <row r="435" spans="11:12" s="1372" customFormat="1" x14ac:dyDescent="0.25">
      <c r="K435" s="1347" t="s">
        <v>649</v>
      </c>
      <c r="L435" s="1347"/>
    </row>
    <row r="436" spans="11:12" s="1372" customFormat="1" x14ac:dyDescent="0.25">
      <c r="K436" s="1347" t="s">
        <v>649</v>
      </c>
      <c r="L436" s="1347"/>
    </row>
    <row r="437" spans="11:12" s="1372" customFormat="1" x14ac:dyDescent="0.25">
      <c r="K437" s="1347" t="s">
        <v>649</v>
      </c>
      <c r="L437" s="1347"/>
    </row>
    <row r="438" spans="11:12" s="1372" customFormat="1" x14ac:dyDescent="0.25">
      <c r="K438" s="1347" t="s">
        <v>649</v>
      </c>
      <c r="L438" s="1347"/>
    </row>
    <row r="439" spans="11:12" s="1372" customFormat="1" x14ac:dyDescent="0.25">
      <c r="K439" s="1347" t="s">
        <v>649</v>
      </c>
      <c r="L439" s="1347"/>
    </row>
    <row r="440" spans="11:12" s="1372" customFormat="1" x14ac:dyDescent="0.25">
      <c r="K440" s="1347" t="s">
        <v>649</v>
      </c>
      <c r="L440" s="1347"/>
    </row>
    <row r="441" spans="11:12" s="1372" customFormat="1" x14ac:dyDescent="0.25">
      <c r="K441" s="1347" t="s">
        <v>649</v>
      </c>
      <c r="L441" s="1347"/>
    </row>
    <row r="442" spans="11:12" s="1372" customFormat="1" x14ac:dyDescent="0.25">
      <c r="K442" s="1347" t="s">
        <v>649</v>
      </c>
      <c r="L442" s="1347"/>
    </row>
    <row r="443" spans="11:12" s="1372" customFormat="1" x14ac:dyDescent="0.25">
      <c r="K443" s="1347" t="s">
        <v>649</v>
      </c>
      <c r="L443" s="1347"/>
    </row>
    <row r="444" spans="11:12" s="1372" customFormat="1" x14ac:dyDescent="0.25">
      <c r="K444" s="1347" t="s">
        <v>649</v>
      </c>
      <c r="L444" s="1347"/>
    </row>
    <row r="445" spans="11:12" s="1372" customFormat="1" x14ac:dyDescent="0.25">
      <c r="K445" s="1347" t="s">
        <v>649</v>
      </c>
      <c r="L445" s="1347"/>
    </row>
    <row r="446" spans="11:12" s="1372" customFormat="1" x14ac:dyDescent="0.25">
      <c r="K446" s="1347" t="s">
        <v>649</v>
      </c>
      <c r="L446" s="1347"/>
    </row>
    <row r="447" spans="11:12" s="1372" customFormat="1" x14ac:dyDescent="0.25">
      <c r="K447" s="1347" t="s">
        <v>649</v>
      </c>
      <c r="L447" s="1347"/>
    </row>
    <row r="448" spans="11:12" s="1372" customFormat="1" x14ac:dyDescent="0.25">
      <c r="K448" s="1347" t="s">
        <v>649</v>
      </c>
      <c r="L448" s="1347"/>
    </row>
    <row r="449" spans="11:12" s="1372" customFormat="1" x14ac:dyDescent="0.25">
      <c r="K449" s="1347" t="s">
        <v>649</v>
      </c>
      <c r="L449" s="1347"/>
    </row>
    <row r="450" spans="11:12" s="1372" customFormat="1" x14ac:dyDescent="0.25">
      <c r="K450" s="1347" t="s">
        <v>649</v>
      </c>
      <c r="L450" s="1347"/>
    </row>
    <row r="451" spans="11:12" s="1372" customFormat="1" x14ac:dyDescent="0.25">
      <c r="K451" s="1347" t="s">
        <v>649</v>
      </c>
      <c r="L451" s="1347"/>
    </row>
    <row r="452" spans="11:12" s="1372" customFormat="1" x14ac:dyDescent="0.25">
      <c r="K452" s="1347" t="s">
        <v>649</v>
      </c>
      <c r="L452" s="1347"/>
    </row>
    <row r="453" spans="11:12" s="1372" customFormat="1" x14ac:dyDescent="0.25">
      <c r="K453" s="1347" t="s">
        <v>649</v>
      </c>
      <c r="L453" s="1347"/>
    </row>
    <row r="454" spans="11:12" s="1372" customFormat="1" x14ac:dyDescent="0.25">
      <c r="K454" s="1347" t="s">
        <v>649</v>
      </c>
      <c r="L454" s="1347"/>
    </row>
    <row r="455" spans="11:12" s="1372" customFormat="1" x14ac:dyDescent="0.25">
      <c r="K455" s="1347" t="s">
        <v>649</v>
      </c>
      <c r="L455" s="1347"/>
    </row>
    <row r="456" spans="11:12" s="1372" customFormat="1" x14ac:dyDescent="0.25">
      <c r="K456" s="1347" t="s">
        <v>649</v>
      </c>
      <c r="L456" s="1347"/>
    </row>
    <row r="457" spans="11:12" s="1372" customFormat="1" x14ac:dyDescent="0.25">
      <c r="K457" s="1347" t="s">
        <v>649</v>
      </c>
      <c r="L457" s="1347"/>
    </row>
    <row r="458" spans="11:12" s="1372" customFormat="1" x14ac:dyDescent="0.25">
      <c r="K458" s="1347" t="s">
        <v>649</v>
      </c>
      <c r="L458" s="1347"/>
    </row>
    <row r="459" spans="11:12" s="1372" customFormat="1" x14ac:dyDescent="0.25">
      <c r="K459" s="1347" t="s">
        <v>649</v>
      </c>
      <c r="L459" s="1347"/>
    </row>
    <row r="460" spans="11:12" s="1372" customFormat="1" x14ac:dyDescent="0.25">
      <c r="K460" s="1347" t="s">
        <v>649</v>
      </c>
      <c r="L460" s="1347"/>
    </row>
    <row r="461" spans="11:12" s="1372" customFormat="1" x14ac:dyDescent="0.25">
      <c r="K461" s="1347" t="s">
        <v>649</v>
      </c>
      <c r="L461" s="1347"/>
    </row>
    <row r="462" spans="11:12" s="1372" customFormat="1" x14ac:dyDescent="0.25">
      <c r="K462" s="1347" t="s">
        <v>649</v>
      </c>
      <c r="L462" s="1347"/>
    </row>
    <row r="463" spans="11:12" s="1372" customFormat="1" x14ac:dyDescent="0.25">
      <c r="K463" s="1347" t="s">
        <v>649</v>
      </c>
      <c r="L463" s="1347"/>
    </row>
    <row r="464" spans="11:12" s="1372" customFormat="1" x14ac:dyDescent="0.25">
      <c r="K464" s="1347" t="s">
        <v>649</v>
      </c>
      <c r="L464" s="1347"/>
    </row>
    <row r="465" spans="1:12" s="1372" customFormat="1" x14ac:dyDescent="0.25">
      <c r="K465" s="1347" t="s">
        <v>649</v>
      </c>
      <c r="L465" s="1347"/>
    </row>
    <row r="466" spans="1:12" s="1374" customFormat="1" x14ac:dyDescent="0.25">
      <c r="A466" s="1373"/>
      <c r="B466" s="1373"/>
      <c r="C466" s="1373"/>
      <c r="D466" s="1373"/>
      <c r="E466" s="1373"/>
      <c r="F466" s="1373"/>
      <c r="G466" s="1373"/>
      <c r="H466" s="1373"/>
      <c r="I466" s="1373"/>
      <c r="J466" s="1373"/>
      <c r="K466" s="1347" t="s">
        <v>649</v>
      </c>
      <c r="L466" s="1347"/>
    </row>
    <row r="467" spans="1:12" s="1372" customFormat="1" ht="15" customHeight="1" x14ac:dyDescent="0.25">
      <c r="A467" s="704"/>
      <c r="B467" s="704"/>
      <c r="C467" s="704"/>
      <c r="D467" s="704"/>
      <c r="E467" s="704"/>
      <c r="F467" s="704"/>
      <c r="G467" s="704"/>
      <c r="H467" s="704"/>
      <c r="I467" s="704"/>
      <c r="J467" s="704"/>
      <c r="K467" s="1347" t="s">
        <v>649</v>
      </c>
      <c r="L467" s="1347"/>
    </row>
    <row r="468" spans="1:12" s="1347" customFormat="1" ht="15" customHeight="1" x14ac:dyDescent="0.25">
      <c r="A468" s="2988" t="str">
        <f>"Transdutor "&amp;Ultrassom!A397&amp;" - marca "&amp;Ultrassom!B397&amp;", modelo "&amp;Ultrassom!C397&amp;", n° série "&amp;Ultrassom!D397</f>
        <v>Transdutor 5 - marca não informada, modelo não informado, n° série não informado</v>
      </c>
      <c r="B468" s="2988"/>
      <c r="C468" s="2988"/>
      <c r="D468" s="2988"/>
      <c r="E468" s="2988"/>
      <c r="F468" s="2988"/>
      <c r="G468" s="2988"/>
      <c r="H468" s="2988"/>
      <c r="I468" s="2988"/>
      <c r="J468" s="2988"/>
      <c r="K468" s="1347" t="str">
        <f>IF(Ultrassom!B395&lt;=Ultrassom!$E$4,"","x")</f>
        <v>x</v>
      </c>
      <c r="L468" s="1347" t="str">
        <f>Ultrassom!A395&amp;Ultrassom!B395</f>
        <v>TRANSDUTOR: 5</v>
      </c>
    </row>
    <row r="469" spans="1:12" s="1347" customFormat="1" ht="15" customHeight="1" x14ac:dyDescent="0.25">
      <c r="A469" s="2988"/>
      <c r="B469" s="2988"/>
      <c r="C469" s="2988"/>
      <c r="D469" s="2988"/>
      <c r="E469" s="2988"/>
      <c r="F469" s="2988"/>
      <c r="G469" s="2988"/>
      <c r="H469" s="2988"/>
      <c r="I469" s="2988"/>
      <c r="J469" s="2988"/>
      <c r="K469" s="1347" t="str">
        <f>K468</f>
        <v>x</v>
      </c>
    </row>
    <row r="470" spans="1:12" s="1347" customFormat="1" ht="15" customHeight="1" x14ac:dyDescent="0.25">
      <c r="A470" s="1346"/>
      <c r="B470" s="1346"/>
      <c r="C470" s="1346"/>
      <c r="D470" s="1346"/>
      <c r="E470" s="1346"/>
      <c r="F470" s="1346"/>
      <c r="G470" s="1346"/>
      <c r="H470" s="1346"/>
      <c r="I470" s="1346"/>
      <c r="J470" s="1346"/>
      <c r="K470" s="1347" t="str">
        <f>K469</f>
        <v>x</v>
      </c>
    </row>
    <row r="471" spans="1:12" s="1347" customFormat="1" ht="15" customHeight="1" x14ac:dyDescent="0.25">
      <c r="A471" s="2984" t="s">
        <v>1576</v>
      </c>
      <c r="B471" s="2984"/>
      <c r="C471" s="2984"/>
      <c r="D471" s="2984"/>
      <c r="E471" s="2984"/>
      <c r="F471" s="2984"/>
      <c r="G471" s="2848" t="s">
        <v>369</v>
      </c>
      <c r="H471" s="3014"/>
      <c r="I471" s="1333" t="str">
        <f>"IN "&amp;VLOOKUP("Ultrassom",IN_ANVISA[],2)</f>
        <v>IN 96</v>
      </c>
      <c r="K471" s="1347" t="str">
        <f>K470</f>
        <v>x</v>
      </c>
    </row>
    <row r="472" spans="1:12" s="1347" customFormat="1" ht="15" customHeight="1" x14ac:dyDescent="0.25">
      <c r="A472" s="3011" t="s">
        <v>1619</v>
      </c>
      <c r="B472" s="3012"/>
      <c r="C472" s="3012"/>
      <c r="D472" s="3012"/>
      <c r="E472" s="3012"/>
      <c r="F472" s="3013"/>
      <c r="G472" s="2990" t="str">
        <f>Ultrassom!E397</f>
        <v>Boa</v>
      </c>
      <c r="H472" s="2992"/>
      <c r="I472" s="1237" t="s">
        <v>142</v>
      </c>
      <c r="K472" s="1347" t="str">
        <f>K471</f>
        <v>x</v>
      </c>
      <c r="L472" s="1347" t="str">
        <f>IF(G472&lt;&gt;"Boa",A472,"")</f>
        <v/>
      </c>
    </row>
    <row r="473" spans="1:12" s="1347" customFormat="1" ht="15" customHeight="1" x14ac:dyDescent="0.25">
      <c r="A473" s="3001" t="s">
        <v>1538</v>
      </c>
      <c r="B473" s="3001"/>
      <c r="C473" s="3001"/>
      <c r="D473" s="3001"/>
      <c r="E473" s="3001"/>
      <c r="F473" s="3001"/>
      <c r="G473" s="3002" t="str">
        <f>IF(LARGE(Ultrassom!C408:D408,1)=0,IF(Ultrassom!D402="s","Uniforme","Não uniforme"),ROUNDDOWN(LARGE(Ultrassom!C408:D408,1),1)&amp;" dB")</f>
        <v>Não uniforme</v>
      </c>
      <c r="H473" s="3003"/>
      <c r="I473" s="1237" t="str">
        <f>Ultrassom!B408</f>
        <v>NPA</v>
      </c>
      <c r="K473" s="1347" t="str">
        <f>K472</f>
        <v>x</v>
      </c>
      <c r="L473" s="1347" t="str">
        <f>IF(I473="Não",A473,"")</f>
        <v/>
      </c>
    </row>
    <row r="474" spans="1:12" s="1347" customFormat="1" ht="15" customHeight="1" x14ac:dyDescent="0.25">
      <c r="A474" s="3001" t="s">
        <v>1579</v>
      </c>
      <c r="B474" s="3001"/>
      <c r="C474" s="3001"/>
      <c r="D474" s="3001"/>
      <c r="E474" s="3001"/>
      <c r="F474" s="3001"/>
      <c r="G474" s="3002" t="str">
        <f>Ultrassom!D417&amp;" cm"</f>
        <v xml:space="preserve"> cm</v>
      </c>
      <c r="H474" s="3003"/>
      <c r="I474" s="1237" t="str">
        <f>Ultrassom!D419</f>
        <v>NA</v>
      </c>
      <c r="K474" s="1347" t="str">
        <f>IF(I474="NA","x","")</f>
        <v>x</v>
      </c>
      <c r="L474" s="1347" t="str">
        <f>IF(I474="Não",A474,"")</f>
        <v/>
      </c>
    </row>
    <row r="475" spans="1:12" s="1347" customFormat="1" ht="15" customHeight="1" x14ac:dyDescent="0.25">
      <c r="A475" s="3001" t="s">
        <v>1577</v>
      </c>
      <c r="B475" s="3001"/>
      <c r="C475" s="3001"/>
      <c r="D475" s="3001"/>
      <c r="E475" s="3001"/>
      <c r="F475" s="3001"/>
      <c r="G475" s="2591" t="str">
        <f>Ultrassom!B417&amp;" cm"</f>
        <v xml:space="preserve"> cm</v>
      </c>
      <c r="H475" s="2593"/>
      <c r="I475" s="1243" t="str">
        <f>Ultrassom!B419</f>
        <v>NA</v>
      </c>
      <c r="K475" s="1347" t="str">
        <f>IF(I475="NA","x","")</f>
        <v>x</v>
      </c>
      <c r="L475" s="1347" t="str">
        <f>IF(I475="Não",A475,"")</f>
        <v/>
      </c>
    </row>
    <row r="476" spans="1:12" s="1347" customFormat="1" ht="15" customHeight="1" x14ac:dyDescent="0.25">
      <c r="A476" s="3001" t="s">
        <v>1578</v>
      </c>
      <c r="B476" s="3001"/>
      <c r="C476" s="3001"/>
      <c r="D476" s="3001"/>
      <c r="E476" s="3001"/>
      <c r="F476" s="3001"/>
      <c r="G476" s="2591" t="str">
        <f>Ultrassom!C417&amp;" cm"</f>
        <v xml:space="preserve"> cm</v>
      </c>
      <c r="H476" s="2593"/>
      <c r="I476" s="1243" t="str">
        <f>Ultrassom!C419</f>
        <v>NA</v>
      </c>
      <c r="K476" s="1347" t="str">
        <f>IF(I476="NA","x","")</f>
        <v>x</v>
      </c>
      <c r="L476" s="1347" t="str">
        <f>IF(I476="Não",A476,"")</f>
        <v/>
      </c>
    </row>
    <row r="477" spans="1:12" s="1347" customFormat="1" ht="15" customHeight="1" x14ac:dyDescent="0.25">
      <c r="A477" s="3001" t="s">
        <v>1580</v>
      </c>
      <c r="B477" s="3001"/>
      <c r="C477" s="3001"/>
      <c r="D477" s="3001"/>
      <c r="E477" s="3001"/>
      <c r="F477" s="3001"/>
      <c r="G477" s="2990" t="str">
        <f>Ultrassom!B423&amp;" objetos, "&amp;IF(Ultrassom!B426="s","BD","BND")&amp;" "&amp;IF(Ultrassom!B427="s","AC","ANC")</f>
        <v xml:space="preserve"> objetos, BND ANC</v>
      </c>
      <c r="H477" s="2992"/>
      <c r="I477" s="1237" t="str">
        <f>Ultrassom!B428</f>
        <v>Sim</v>
      </c>
      <c r="K477" s="1347" t="str">
        <f>K468</f>
        <v>x</v>
      </c>
      <c r="L477" s="1347" t="str">
        <f>IF(I477="Não","Visualização de objetos anecóicos","")</f>
        <v/>
      </c>
    </row>
    <row r="478" spans="1:12" s="1347" customFormat="1" ht="15" customHeight="1" x14ac:dyDescent="0.25">
      <c r="A478" s="3001" t="s">
        <v>1581</v>
      </c>
      <c r="B478" s="3001"/>
      <c r="C478" s="3001"/>
      <c r="D478" s="3001"/>
      <c r="E478" s="3001"/>
      <c r="F478" s="3001"/>
      <c r="G478" s="3002" t="str">
        <f>Ultrassom!D423&amp;" objetos, "&amp;IF(Ultrassom!D426="s","BD","BND")&amp;" "&amp;IF(Ultrassom!D427="s","AC","ANC")</f>
        <v xml:space="preserve"> objetos, BND ANC</v>
      </c>
      <c r="H478" s="3003"/>
      <c r="I478" s="1237" t="str">
        <f>Ultrassom!D428</f>
        <v>Sim</v>
      </c>
      <c r="K478" s="1347" t="str">
        <f>K477</f>
        <v>x</v>
      </c>
      <c r="L478" s="1347" t="str">
        <f>IF(I478="Não","Visualização de objetos anecóicos","")</f>
        <v/>
      </c>
    </row>
    <row r="479" spans="1:12" s="1347" customFormat="1" ht="15" customHeight="1" x14ac:dyDescent="0.25">
      <c r="A479" s="3001" t="s">
        <v>1582</v>
      </c>
      <c r="B479" s="3001"/>
      <c r="C479" s="3001"/>
      <c r="D479" s="3001"/>
      <c r="E479" s="3001"/>
      <c r="F479" s="3001"/>
      <c r="G479" s="3002" t="str">
        <f>Ultrassom!F423&amp;" objetos, "&amp;IF(Ultrassom!F426="s","BD","BND")&amp;" "&amp;IF(Ultrassom!F427="s","AC","ANC")</f>
        <v xml:space="preserve"> objetos, BND ANC</v>
      </c>
      <c r="H479" s="3003"/>
      <c r="I479" s="1237" t="str">
        <f>Ultrassom!F428</f>
        <v>Sim</v>
      </c>
      <c r="K479" s="1347" t="str">
        <f t="shared" ref="K479:K484" si="17">K478</f>
        <v>x</v>
      </c>
      <c r="L479" s="1347" t="str">
        <f>IF(I479="Não","Visualização de objetos anecóicos","")</f>
        <v/>
      </c>
    </row>
    <row r="480" spans="1:12" s="1347" customFormat="1" x14ac:dyDescent="0.25">
      <c r="A480" s="3004" t="str">
        <f>"Zona morta @ "&amp;ROUND(Ultrassom!A432,1)&amp;" MHz"</f>
        <v>Zona morta @ 0 MHz</v>
      </c>
      <c r="B480" s="3004"/>
      <c r="C480" s="3004"/>
      <c r="D480" s="3004"/>
      <c r="E480" s="3004"/>
      <c r="F480" s="3004"/>
      <c r="G480" s="2975" t="str">
        <f>Ultrassom!C432&amp;" mm"</f>
        <v xml:space="preserve"> mm</v>
      </c>
      <c r="H480" s="2998"/>
      <c r="I480" s="1237" t="str">
        <f>Ultrassom!E432</f>
        <v>Sim</v>
      </c>
      <c r="K480" s="1347" t="str">
        <f t="shared" si="17"/>
        <v>x</v>
      </c>
      <c r="L480" s="1347" t="str">
        <f>IF(I480="Não","Zona morta","")</f>
        <v/>
      </c>
    </row>
    <row r="481" spans="1:12" s="940" customFormat="1" x14ac:dyDescent="0.25">
      <c r="A481" s="3005" t="s">
        <v>1583</v>
      </c>
      <c r="B481" s="3005"/>
      <c r="C481" s="3005"/>
      <c r="D481" s="3005"/>
      <c r="E481" s="3005"/>
      <c r="F481" s="3005"/>
      <c r="G481" s="2975" t="e">
        <f>LARGE(Ultrassom!C440:C441,1)&amp;" mm"</f>
        <v>#NUM!</v>
      </c>
      <c r="H481" s="2998"/>
      <c r="I481" s="1237" t="str">
        <f>Ultrassom!C443</f>
        <v>NPA</v>
      </c>
      <c r="K481" s="1347" t="str">
        <f t="shared" si="17"/>
        <v>x</v>
      </c>
      <c r="L481" s="1347" t="str">
        <f>IF(I481="Não",A481,"")</f>
        <v/>
      </c>
    </row>
    <row r="482" spans="1:12" s="940" customFormat="1" x14ac:dyDescent="0.25">
      <c r="A482" s="3005" t="s">
        <v>1584</v>
      </c>
      <c r="B482" s="3005"/>
      <c r="C482" s="3005"/>
      <c r="D482" s="3005"/>
      <c r="E482" s="3005"/>
      <c r="F482" s="3005"/>
      <c r="G482" s="2975" t="e">
        <f>LARGE(Ultrassom!D440:D441,1)&amp;" mm"</f>
        <v>#NUM!</v>
      </c>
      <c r="H482" s="2998"/>
      <c r="I482" s="1237" t="str">
        <f>Ultrassom!D443</f>
        <v>NPA</v>
      </c>
      <c r="K482" s="1347" t="str">
        <f t="shared" si="17"/>
        <v>x</v>
      </c>
      <c r="L482" s="1347" t="str">
        <f>IF(I482="Não",A482,"")</f>
        <v/>
      </c>
    </row>
    <row r="483" spans="1:12" s="940" customFormat="1" ht="15" customHeight="1" x14ac:dyDescent="0.25">
      <c r="A483" s="3006" t="str">
        <f>"Resolução axial @ "&amp;ROUND(Ultrassom!D447,1)&amp;" MHz"</f>
        <v>Resolução axial @ 0 MHz</v>
      </c>
      <c r="B483" s="3006"/>
      <c r="C483" s="3006"/>
      <c r="D483" s="3006"/>
      <c r="E483" s="3006"/>
      <c r="F483" s="3006"/>
      <c r="G483" s="3007">
        <f>Ultrassom!D449</f>
        <v>0</v>
      </c>
      <c r="H483" s="3008"/>
      <c r="I483" s="1237" t="str">
        <f>Ultrassom!D451</f>
        <v>Sim</v>
      </c>
      <c r="K483" s="1347" t="str">
        <f t="shared" si="17"/>
        <v>x</v>
      </c>
      <c r="L483" s="1347" t="str">
        <f>IF(I483="Não","Resolução axial","")</f>
        <v/>
      </c>
    </row>
    <row r="484" spans="1:12" s="940" customFormat="1" ht="15" customHeight="1" x14ac:dyDescent="0.25">
      <c r="A484" s="3006" t="str">
        <f>"Resolução lateral @ "&amp;ROUND(Ultrassom!E447,1)&amp;" MHz"</f>
        <v>Resolução lateral @ 0 MHz</v>
      </c>
      <c r="B484" s="3006"/>
      <c r="C484" s="3006"/>
      <c r="D484" s="3006"/>
      <c r="E484" s="3006"/>
      <c r="F484" s="3006"/>
      <c r="G484" s="3007">
        <f>Ultrassom!E449</f>
        <v>0</v>
      </c>
      <c r="H484" s="3008"/>
      <c r="I484" s="1237" t="str">
        <f>Ultrassom!E451</f>
        <v>Sim</v>
      </c>
      <c r="K484" s="1347" t="str">
        <f t="shared" si="17"/>
        <v>x</v>
      </c>
      <c r="L484" s="1347" t="str">
        <f>IF(I484="Não","Resolução lateral","")</f>
        <v/>
      </c>
    </row>
    <row r="485" spans="1:12" s="940" customFormat="1" ht="15" customHeight="1" x14ac:dyDescent="0.25">
      <c r="A485" s="2993" t="str">
        <f>"Zona focal - foco @ "&amp;Ultrassom!B455&amp;" cm"</f>
        <v>Zona focal - foco @  cm</v>
      </c>
      <c r="B485" s="2994"/>
      <c r="C485" s="2994"/>
      <c r="D485" s="2994"/>
      <c r="E485" s="2994"/>
      <c r="F485" s="2995"/>
      <c r="G485" s="2975" t="str">
        <f>Ultrassom!B457&amp;" cm"</f>
        <v xml:space="preserve"> cm</v>
      </c>
      <c r="H485" s="2998"/>
      <c r="I485" s="1237" t="str">
        <f>Ultrassom!B460</f>
        <v>NA</v>
      </c>
      <c r="K485" s="1347" t="str">
        <f>IF(I485="NA","x","")</f>
        <v>x</v>
      </c>
      <c r="L485" s="1347" t="str">
        <f>IF(I485="Não","Zona focal","")</f>
        <v/>
      </c>
    </row>
    <row r="486" spans="1:12" s="940" customFormat="1" ht="15" customHeight="1" x14ac:dyDescent="0.25">
      <c r="A486" s="2993" t="str">
        <f>"Zona focal - foco @ "&amp;Ultrassom!C455&amp;" cm"</f>
        <v>Zona focal - foco @  cm</v>
      </c>
      <c r="B486" s="2994"/>
      <c r="C486" s="2994"/>
      <c r="D486" s="2994"/>
      <c r="E486" s="2994"/>
      <c r="F486" s="2995"/>
      <c r="G486" s="2975" t="str">
        <f>Ultrassom!C457&amp;" cm"</f>
        <v xml:space="preserve"> cm</v>
      </c>
      <c r="H486" s="2998"/>
      <c r="I486" s="1237" t="str">
        <f>Ultrassom!C460</f>
        <v>NA</v>
      </c>
      <c r="K486" s="1347" t="str">
        <f>IF(I486="NA","x","")</f>
        <v>x</v>
      </c>
      <c r="L486" s="1347" t="str">
        <f>IF(I486="Não","Zona focal","")</f>
        <v/>
      </c>
    </row>
    <row r="487" spans="1:12" s="940" customFormat="1" ht="15" customHeight="1" x14ac:dyDescent="0.25">
      <c r="A487" s="2993" t="str">
        <f>"Zona focal - foco @ "&amp;Ultrassom!D455&amp;" cm"</f>
        <v>Zona focal - foco @  cm</v>
      </c>
      <c r="B487" s="2994"/>
      <c r="C487" s="2994"/>
      <c r="D487" s="2994"/>
      <c r="E487" s="2994"/>
      <c r="F487" s="2995"/>
      <c r="G487" s="2996" t="str">
        <f>Ultrassom!D457&amp;" cm"</f>
        <v xml:space="preserve"> cm</v>
      </c>
      <c r="H487" s="2997"/>
      <c r="I487" s="1243" t="str">
        <f>Ultrassom!D460</f>
        <v>NA</v>
      </c>
      <c r="K487" s="1347" t="str">
        <f>IF(I487="NA","x","")</f>
        <v>x</v>
      </c>
      <c r="L487" s="1347" t="str">
        <f>IF(I487="Não","Zona focal","")</f>
        <v/>
      </c>
    </row>
    <row r="488" spans="1:12" s="940" customFormat="1" ht="15" customHeight="1" x14ac:dyDescent="0.25">
      <c r="A488" s="2993" t="str">
        <f>"Zona focal - foco @ "&amp;Ultrassom!E455&amp;" cm"</f>
        <v>Zona focal - foco @  cm</v>
      </c>
      <c r="B488" s="2994"/>
      <c r="C488" s="2994"/>
      <c r="D488" s="2994"/>
      <c r="E488" s="2994"/>
      <c r="F488" s="2995"/>
      <c r="G488" s="2996" t="str">
        <f>Ultrassom!E457&amp;" cm"</f>
        <v xml:space="preserve"> cm</v>
      </c>
      <c r="H488" s="2997"/>
      <c r="I488" s="1243" t="str">
        <f>Ultrassom!E460</f>
        <v>NA</v>
      </c>
      <c r="K488" s="1347" t="str">
        <f>IF(I488="NA","x","")</f>
        <v>x</v>
      </c>
      <c r="L488" s="1347" t="str">
        <f>IF(I488="Não","Zona focal","")</f>
        <v/>
      </c>
    </row>
    <row r="489" spans="1:12" s="940" customFormat="1" ht="15" customHeight="1" x14ac:dyDescent="0.25">
      <c r="A489" s="2993" t="str">
        <f>"Zona focal - foco @ "&amp;Ultrassom!F455&amp;" cm"</f>
        <v>Zona focal - foco @  cm</v>
      </c>
      <c r="B489" s="2994"/>
      <c r="C489" s="2994"/>
      <c r="D489" s="2994"/>
      <c r="E489" s="2994"/>
      <c r="F489" s="2995"/>
      <c r="G489" s="2975" t="str">
        <f>Ultrassom!F457&amp;" cm"</f>
        <v xml:space="preserve"> cm</v>
      </c>
      <c r="H489" s="2998"/>
      <c r="I489" s="1237" t="str">
        <f>Ultrassom!F460</f>
        <v>NA</v>
      </c>
      <c r="K489" s="1347" t="str">
        <f>IF(I489="NA","x","")</f>
        <v>x</v>
      </c>
      <c r="L489" s="1347" t="str">
        <f>IF(I489="Não","Zona focal","")</f>
        <v/>
      </c>
    </row>
    <row r="490" spans="1:12" s="940" customFormat="1" ht="15" customHeight="1" x14ac:dyDescent="0.25">
      <c r="A490" s="2993" t="s">
        <v>1585</v>
      </c>
      <c r="B490" s="2994"/>
      <c r="C490" s="2994"/>
      <c r="D490" s="2994"/>
      <c r="E490" s="2994"/>
      <c r="F490" s="2995"/>
      <c r="G490" s="2999" t="str">
        <f>IF(Ultrassom!B465="s","Visualizado","Não visualizado")</f>
        <v>Não visualizado</v>
      </c>
      <c r="H490" s="3000"/>
      <c r="I490" s="1237" t="str">
        <f>Ultrassom!B467</f>
        <v>Sim</v>
      </c>
      <c r="K490" s="1347" t="str">
        <f>K468</f>
        <v>x</v>
      </c>
      <c r="L490" s="1347" t="str">
        <f>IF(I490="Não","Limiar de sensibilidade a baixo contraste","")</f>
        <v/>
      </c>
    </row>
    <row r="491" spans="1:12" s="940" customFormat="1" ht="15" customHeight="1" x14ac:dyDescent="0.25">
      <c r="A491" s="2993" t="s">
        <v>1586</v>
      </c>
      <c r="B491" s="2994"/>
      <c r="C491" s="2994"/>
      <c r="D491" s="2994"/>
      <c r="E491" s="2994"/>
      <c r="F491" s="2995"/>
      <c r="G491" s="2999" t="str">
        <f>IF(Ultrassom!C465="s","Visualizado","Não visualizado")</f>
        <v>Não visualizado</v>
      </c>
      <c r="H491" s="3000"/>
      <c r="I491" s="1237" t="str">
        <f>Ultrassom!C467</f>
        <v>Sim</v>
      </c>
      <c r="K491" s="1347" t="str">
        <f>K490</f>
        <v>x</v>
      </c>
      <c r="L491" s="1347" t="str">
        <f>IF(I491="Não","Limiar de sensibilidade a baixo contraste","")</f>
        <v/>
      </c>
    </row>
    <row r="492" spans="1:12" s="940" customFormat="1" ht="15" customHeight="1" x14ac:dyDescent="0.25">
      <c r="A492" s="2993" t="s">
        <v>1587</v>
      </c>
      <c r="B492" s="2994"/>
      <c r="C492" s="2994"/>
      <c r="D492" s="2994"/>
      <c r="E492" s="2994"/>
      <c r="F492" s="2995"/>
      <c r="G492" s="2999" t="str">
        <f>IF(Ultrassom!D465="s","Visualizado","Não visualizado")</f>
        <v>Não visualizado</v>
      </c>
      <c r="H492" s="3000"/>
      <c r="I492" s="1237" t="str">
        <f>Ultrassom!D467</f>
        <v>Sim</v>
      </c>
      <c r="K492" s="1347" t="str">
        <f>K491</f>
        <v>x</v>
      </c>
      <c r="L492" s="1347" t="str">
        <f>IF(I492="Não","Limiar de sensibilidade a baixo contraste","")</f>
        <v/>
      </c>
    </row>
    <row r="493" spans="1:12" s="940" customFormat="1" ht="15" customHeight="1" x14ac:dyDescent="0.25">
      <c r="A493" s="2993" t="s">
        <v>1588</v>
      </c>
      <c r="B493" s="2994"/>
      <c r="C493" s="2994"/>
      <c r="D493" s="2994"/>
      <c r="E493" s="2994"/>
      <c r="F493" s="2995"/>
      <c r="G493" s="2999" t="str">
        <f>IF(Ultrassom!E465="s","Visualizado","Não visualizado")</f>
        <v>Não visualizado</v>
      </c>
      <c r="H493" s="3000"/>
      <c r="I493" s="1237" t="str">
        <f>Ultrassom!E467</f>
        <v>Sim</v>
      </c>
      <c r="K493" s="1347" t="str">
        <f>K492</f>
        <v>x</v>
      </c>
      <c r="L493" s="1347" t="str">
        <f>IF(I493="Não","Limiar de sensibilidade a baixo contraste","")</f>
        <v/>
      </c>
    </row>
    <row r="494" spans="1:12" s="940" customFormat="1" ht="15" customHeight="1" x14ac:dyDescent="0.25">
      <c r="A494" s="3006" t="s">
        <v>1589</v>
      </c>
      <c r="B494" s="3006"/>
      <c r="C494" s="3006"/>
      <c r="D494" s="3006"/>
      <c r="E494" s="3006"/>
      <c r="F494" s="3006"/>
      <c r="G494" s="3002" t="str">
        <f>IFERROR(Ultrassom!F473*100&amp;" %","NPA")</f>
        <v>NPA</v>
      </c>
      <c r="H494" s="3003"/>
      <c r="I494" s="1237" t="str">
        <f>Ultrassom!G473</f>
        <v>NA</v>
      </c>
      <c r="K494" s="1381" t="str">
        <f>K493</f>
        <v>x</v>
      </c>
      <c r="L494" s="1347" t="str">
        <f>IF(I494="Não",A494,"")</f>
        <v/>
      </c>
    </row>
    <row r="495" spans="1:12" s="940" customFormat="1" ht="15" customHeight="1" x14ac:dyDescent="0.25">
      <c r="A495" s="3006" t="str">
        <f>"Sensibilidade do modo doppler @ "&amp;Ultrassom!B477&amp;" (ref. "&amp;Ultrassom!B480&amp;" "&amp;Ultrassom!$A$478&amp;")"</f>
        <v>Sensibilidade do modo doppler @ fluxo baixo (ref. NI ml/s)</v>
      </c>
      <c r="B495" s="3006"/>
      <c r="C495" s="3006"/>
      <c r="D495" s="3006"/>
      <c r="E495" s="3006"/>
      <c r="F495" s="3006"/>
      <c r="G495" s="3002" t="str">
        <f>IFERROR(ROUNDDOWN(Ultrassom!C480,1)&amp;" "&amp;Ultrassom!$A$478,"NPA")</f>
        <v>0 ml/s</v>
      </c>
      <c r="H495" s="3003"/>
      <c r="I495" s="1834" t="str">
        <f>Ultrassom!D480</f>
        <v>NPA</v>
      </c>
      <c r="K495" s="1835" t="str">
        <f t="shared" ref="K495:K497" si="18">IF(G495="0 ml/s","x","")</f>
        <v>x</v>
      </c>
      <c r="L495" s="1347" t="str">
        <f>IF(I495="Não","Sensibilidade do modo doppler","")</f>
        <v/>
      </c>
    </row>
    <row r="496" spans="1:12" s="940" customFormat="1" ht="15" customHeight="1" x14ac:dyDescent="0.25">
      <c r="A496" s="3006" t="str">
        <f>"Sensibilidade do modo doppler @ "&amp;Ultrassom!E477&amp;" (ref. "&amp;Ultrassom!E480&amp;" "&amp;Ultrassom!$A$478&amp;")"</f>
        <v>Sensibilidade do modo doppler @ fluxo médio (ref. NI ml/s)</v>
      </c>
      <c r="B496" s="3006"/>
      <c r="C496" s="3006"/>
      <c r="D496" s="3006"/>
      <c r="E496" s="3006"/>
      <c r="F496" s="3006"/>
      <c r="G496" s="3002" t="str">
        <f>IFERROR(ROUNDDOWN(Ultrassom!F480,1)&amp;" "&amp;Ultrassom!$A$478,"NPA")</f>
        <v>0 ml/s</v>
      </c>
      <c r="H496" s="3003"/>
      <c r="I496" s="1834" t="str">
        <f>Ultrassom!G480</f>
        <v>NPA</v>
      </c>
      <c r="K496" s="1835" t="str">
        <f t="shared" si="18"/>
        <v>x</v>
      </c>
      <c r="L496" s="1347" t="str">
        <f>IF(I496="Não","Sensibilidade do modo doppler","")</f>
        <v/>
      </c>
    </row>
    <row r="497" spans="1:12" s="940" customFormat="1" ht="15" customHeight="1" x14ac:dyDescent="0.25">
      <c r="A497" s="3006" t="str">
        <f>"Sensibilidade do modo doppler @ "&amp;Ultrassom!H477&amp;" (ref. "&amp;Ultrassom!H480&amp;" "&amp;Ultrassom!$A$478&amp;")"</f>
        <v>Sensibilidade do modo doppler @ fluxo alto (ref. NI ml/s)</v>
      </c>
      <c r="B497" s="3006"/>
      <c r="C497" s="3006"/>
      <c r="D497" s="3006"/>
      <c r="E497" s="3006"/>
      <c r="F497" s="3006"/>
      <c r="G497" s="3002" t="str">
        <f>IFERROR(ROUNDDOWN(Ultrassom!I480,1)&amp;" "&amp;Ultrassom!$A$478,"NPA")</f>
        <v>0 ml/s</v>
      </c>
      <c r="H497" s="3003"/>
      <c r="I497" s="1834" t="str">
        <f>Ultrassom!J480</f>
        <v>NPA</v>
      </c>
      <c r="K497" s="1835" t="str">
        <f t="shared" si="18"/>
        <v>x</v>
      </c>
      <c r="L497" s="1347" t="str">
        <f>IF(I497="Não","Sensibilidade do modo doppler","")</f>
        <v/>
      </c>
    </row>
    <row r="498" spans="1:12" s="1347" customFormat="1" ht="15" customHeight="1" x14ac:dyDescent="0.25">
      <c r="A498" s="2986" t="s">
        <v>1922</v>
      </c>
      <c r="B498" s="2986"/>
      <c r="C498" s="2986"/>
      <c r="D498" s="2986"/>
      <c r="E498" s="2986"/>
      <c r="F498" s="2986"/>
      <c r="G498" s="2986"/>
      <c r="H498" s="2986"/>
      <c r="I498" s="2986"/>
      <c r="J498" s="2986"/>
      <c r="K498" s="1347" t="str">
        <f>K468</f>
        <v>x</v>
      </c>
    </row>
    <row r="499" spans="1:12" s="1347" customFormat="1" x14ac:dyDescent="0.25">
      <c r="A499" s="2986"/>
      <c r="B499" s="2986"/>
      <c r="C499" s="2986"/>
      <c r="D499" s="2986"/>
      <c r="E499" s="2986"/>
      <c r="F499" s="2986"/>
      <c r="G499" s="2986"/>
      <c r="H499" s="2986"/>
      <c r="I499" s="2986"/>
      <c r="J499" s="2986"/>
      <c r="K499" s="1347" t="str">
        <f>K498</f>
        <v>x</v>
      </c>
    </row>
    <row r="500" spans="1:12" s="1347" customFormat="1" x14ac:dyDescent="0.25">
      <c r="K500" s="1347" t="str">
        <f>K499</f>
        <v>x</v>
      </c>
      <c r="L500" s="1347" t="s">
        <v>1607</v>
      </c>
    </row>
    <row r="501" spans="1:12" s="1347" customFormat="1" x14ac:dyDescent="0.25">
      <c r="K501" s="1347" t="s">
        <v>649</v>
      </c>
    </row>
    <row r="502" spans="1:12" s="1372" customFormat="1" x14ac:dyDescent="0.25">
      <c r="K502" s="1347" t="s">
        <v>649</v>
      </c>
    </row>
    <row r="503" spans="1:12" s="1372" customFormat="1" x14ac:dyDescent="0.25">
      <c r="K503" s="1347" t="s">
        <v>649</v>
      </c>
    </row>
    <row r="504" spans="1:12" s="1372" customFormat="1" x14ac:dyDescent="0.25">
      <c r="K504" s="1347" t="s">
        <v>649</v>
      </c>
    </row>
    <row r="505" spans="1:12" s="1372" customFormat="1" x14ac:dyDescent="0.25">
      <c r="K505" s="1347" t="s">
        <v>649</v>
      </c>
    </row>
    <row r="506" spans="1:12" s="1372" customFormat="1" x14ac:dyDescent="0.25">
      <c r="K506" s="1347" t="s">
        <v>649</v>
      </c>
    </row>
    <row r="507" spans="1:12" s="1372" customFormat="1" x14ac:dyDescent="0.25">
      <c r="K507" s="1347" t="s">
        <v>649</v>
      </c>
    </row>
    <row r="508" spans="1:12" s="1372" customFormat="1" x14ac:dyDescent="0.25">
      <c r="K508" s="1347" t="s">
        <v>649</v>
      </c>
    </row>
    <row r="509" spans="1:12" s="1372" customFormat="1" x14ac:dyDescent="0.25">
      <c r="K509" s="1347" t="s">
        <v>649</v>
      </c>
    </row>
    <row r="510" spans="1:12" s="1372" customFormat="1" x14ac:dyDescent="0.25">
      <c r="K510" s="1347" t="s">
        <v>649</v>
      </c>
    </row>
    <row r="511" spans="1:12" s="1372" customFormat="1" x14ac:dyDescent="0.25">
      <c r="K511" s="1347" t="s">
        <v>649</v>
      </c>
    </row>
    <row r="512" spans="1:12" s="1372" customFormat="1" x14ac:dyDescent="0.25">
      <c r="K512" s="1347" t="s">
        <v>649</v>
      </c>
    </row>
    <row r="513" spans="11:11" s="1372" customFormat="1" x14ac:dyDescent="0.25">
      <c r="K513" s="1347" t="s">
        <v>649</v>
      </c>
    </row>
    <row r="514" spans="11:11" s="1372" customFormat="1" x14ac:dyDescent="0.25">
      <c r="K514" s="1347" t="s">
        <v>649</v>
      </c>
    </row>
    <row r="515" spans="11:11" s="1372" customFormat="1" x14ac:dyDescent="0.25">
      <c r="K515" s="1347" t="s">
        <v>649</v>
      </c>
    </row>
    <row r="516" spans="11:11" s="1372" customFormat="1" x14ac:dyDescent="0.25">
      <c r="K516" s="1347" t="s">
        <v>649</v>
      </c>
    </row>
    <row r="517" spans="11:11" s="1372" customFormat="1" x14ac:dyDescent="0.25">
      <c r="K517" s="1347" t="s">
        <v>649</v>
      </c>
    </row>
    <row r="518" spans="11:11" s="1372" customFormat="1" x14ac:dyDescent="0.25">
      <c r="K518" s="1347" t="s">
        <v>649</v>
      </c>
    </row>
    <row r="519" spans="11:11" s="1372" customFormat="1" x14ac:dyDescent="0.25">
      <c r="K519" s="1347" t="s">
        <v>649</v>
      </c>
    </row>
    <row r="520" spans="11:11" s="1372" customFormat="1" x14ac:dyDescent="0.25">
      <c r="K520" s="1347" t="s">
        <v>649</v>
      </c>
    </row>
    <row r="521" spans="11:11" s="1372" customFormat="1" x14ac:dyDescent="0.25">
      <c r="K521" s="1347" t="s">
        <v>649</v>
      </c>
    </row>
    <row r="522" spans="11:11" s="1372" customFormat="1" x14ac:dyDescent="0.25">
      <c r="K522" s="1347" t="s">
        <v>649</v>
      </c>
    </row>
    <row r="523" spans="11:11" s="1372" customFormat="1" x14ac:dyDescent="0.25">
      <c r="K523" s="1347" t="s">
        <v>649</v>
      </c>
    </row>
    <row r="524" spans="11:11" s="1372" customFormat="1" x14ac:dyDescent="0.25">
      <c r="K524" s="1347" t="s">
        <v>649</v>
      </c>
    </row>
    <row r="525" spans="11:11" s="1372" customFormat="1" x14ac:dyDescent="0.25">
      <c r="K525" s="1347" t="s">
        <v>649</v>
      </c>
    </row>
    <row r="526" spans="11:11" s="1372" customFormat="1" x14ac:dyDescent="0.25">
      <c r="K526" s="1347" t="s">
        <v>649</v>
      </c>
    </row>
    <row r="527" spans="11:11" s="1372" customFormat="1" x14ac:dyDescent="0.25">
      <c r="K527" s="1347" t="s">
        <v>649</v>
      </c>
    </row>
    <row r="528" spans="11:11" s="1372" customFormat="1" x14ac:dyDescent="0.25">
      <c r="K528" s="1347" t="s">
        <v>649</v>
      </c>
    </row>
    <row r="529" spans="11:12" s="1372" customFormat="1" x14ac:dyDescent="0.25">
      <c r="K529" s="1347" t="s">
        <v>649</v>
      </c>
      <c r="L529" s="1347"/>
    </row>
    <row r="530" spans="11:12" s="1372" customFormat="1" x14ac:dyDescent="0.25">
      <c r="K530" s="1347" t="s">
        <v>649</v>
      </c>
      <c r="L530" s="1347"/>
    </row>
    <row r="531" spans="11:12" s="1372" customFormat="1" x14ac:dyDescent="0.25">
      <c r="K531" s="1347" t="s">
        <v>649</v>
      </c>
      <c r="L531" s="1347"/>
    </row>
    <row r="532" spans="11:12" s="1372" customFormat="1" x14ac:dyDescent="0.25">
      <c r="K532" s="1347" t="s">
        <v>649</v>
      </c>
      <c r="L532" s="1347"/>
    </row>
    <row r="533" spans="11:12" s="1372" customFormat="1" x14ac:dyDescent="0.25">
      <c r="K533" s="1347" t="s">
        <v>649</v>
      </c>
      <c r="L533" s="1347"/>
    </row>
    <row r="534" spans="11:12" s="1372" customFormat="1" x14ac:dyDescent="0.25">
      <c r="K534" s="1347" t="s">
        <v>649</v>
      </c>
      <c r="L534" s="1347"/>
    </row>
    <row r="535" spans="11:12" s="1372" customFormat="1" x14ac:dyDescent="0.25">
      <c r="K535" s="1347" t="s">
        <v>649</v>
      </c>
      <c r="L535" s="1347"/>
    </row>
    <row r="536" spans="11:12" s="1372" customFormat="1" x14ac:dyDescent="0.25">
      <c r="K536" s="1347" t="s">
        <v>649</v>
      </c>
      <c r="L536" s="1347"/>
    </row>
    <row r="537" spans="11:12" s="1372" customFormat="1" x14ac:dyDescent="0.25">
      <c r="K537" s="1347" t="s">
        <v>649</v>
      </c>
      <c r="L537" s="1347"/>
    </row>
    <row r="538" spans="11:12" s="1372" customFormat="1" x14ac:dyDescent="0.25">
      <c r="K538" s="1347" t="s">
        <v>649</v>
      </c>
      <c r="L538" s="1347"/>
    </row>
    <row r="539" spans="11:12" s="1372" customFormat="1" x14ac:dyDescent="0.25">
      <c r="K539" s="1347" t="s">
        <v>649</v>
      </c>
      <c r="L539" s="1347"/>
    </row>
    <row r="540" spans="11:12" s="1372" customFormat="1" x14ac:dyDescent="0.25">
      <c r="K540" s="1347" t="s">
        <v>649</v>
      </c>
      <c r="L540" s="1347"/>
    </row>
    <row r="541" spans="11:12" s="1372" customFormat="1" x14ac:dyDescent="0.25">
      <c r="K541" s="1347" t="s">
        <v>649</v>
      </c>
      <c r="L541" s="1347"/>
    </row>
    <row r="542" spans="11:12" s="1372" customFormat="1" x14ac:dyDescent="0.25">
      <c r="K542" s="1347" t="s">
        <v>649</v>
      </c>
      <c r="L542" s="1347"/>
    </row>
    <row r="543" spans="11:12" s="1372" customFormat="1" x14ac:dyDescent="0.25">
      <c r="K543" s="1347" t="s">
        <v>649</v>
      </c>
      <c r="L543" s="1347"/>
    </row>
    <row r="544" spans="11:12" s="1372" customFormat="1" x14ac:dyDescent="0.25">
      <c r="K544" s="1347" t="s">
        <v>649</v>
      </c>
      <c r="L544" s="1347"/>
    </row>
    <row r="545" spans="11:12" s="1372" customFormat="1" x14ac:dyDescent="0.25">
      <c r="K545" s="1347" t="s">
        <v>649</v>
      </c>
      <c r="L545" s="1347"/>
    </row>
    <row r="546" spans="11:12" s="1372" customFormat="1" x14ac:dyDescent="0.25">
      <c r="K546" s="1347" t="s">
        <v>649</v>
      </c>
      <c r="L546" s="1347"/>
    </row>
    <row r="547" spans="11:12" s="1372" customFormat="1" x14ac:dyDescent="0.25">
      <c r="K547" s="1347" t="s">
        <v>649</v>
      </c>
      <c r="L547" s="1347"/>
    </row>
    <row r="548" spans="11:12" s="1372" customFormat="1" x14ac:dyDescent="0.25">
      <c r="K548" s="1347" t="s">
        <v>649</v>
      </c>
      <c r="L548" s="1347"/>
    </row>
    <row r="549" spans="11:12" s="1372" customFormat="1" x14ac:dyDescent="0.25">
      <c r="K549" s="1347" t="s">
        <v>649</v>
      </c>
      <c r="L549" s="1347"/>
    </row>
    <row r="550" spans="11:12" s="1372" customFormat="1" x14ac:dyDescent="0.25">
      <c r="K550" s="1347" t="s">
        <v>649</v>
      </c>
      <c r="L550" s="1347"/>
    </row>
    <row r="551" spans="11:12" s="1372" customFormat="1" x14ac:dyDescent="0.25">
      <c r="K551" s="1347" t="s">
        <v>649</v>
      </c>
      <c r="L551" s="1347"/>
    </row>
    <row r="552" spans="11:12" s="1372" customFormat="1" x14ac:dyDescent="0.25">
      <c r="K552" s="1347" t="s">
        <v>649</v>
      </c>
      <c r="L552" s="1347"/>
    </row>
    <row r="553" spans="11:12" s="1372" customFormat="1" x14ac:dyDescent="0.25">
      <c r="K553" s="1347" t="s">
        <v>649</v>
      </c>
      <c r="L553" s="1347"/>
    </row>
    <row r="554" spans="11:12" s="1372" customFormat="1" x14ac:dyDescent="0.25">
      <c r="K554" s="1347" t="s">
        <v>649</v>
      </c>
      <c r="L554" s="1347"/>
    </row>
    <row r="555" spans="11:12" s="1372" customFormat="1" x14ac:dyDescent="0.25">
      <c r="K555" s="1347" t="s">
        <v>649</v>
      </c>
      <c r="L555" s="1347"/>
    </row>
    <row r="556" spans="11:12" s="1372" customFormat="1" x14ac:dyDescent="0.25">
      <c r="K556" s="1347" t="s">
        <v>649</v>
      </c>
      <c r="L556" s="1347"/>
    </row>
    <row r="557" spans="11:12" s="1372" customFormat="1" x14ac:dyDescent="0.25">
      <c r="K557" s="1347" t="s">
        <v>649</v>
      </c>
      <c r="L557" s="1347"/>
    </row>
    <row r="558" spans="11:12" s="1372" customFormat="1" x14ac:dyDescent="0.25">
      <c r="K558" s="1347" t="s">
        <v>649</v>
      </c>
      <c r="L558" s="1347"/>
    </row>
    <row r="559" spans="11:12" s="1372" customFormat="1" x14ac:dyDescent="0.25">
      <c r="K559" s="1347" t="s">
        <v>649</v>
      </c>
      <c r="L559" s="1347"/>
    </row>
    <row r="560" spans="11:12" s="1372" customFormat="1" x14ac:dyDescent="0.25">
      <c r="K560" s="1347" t="s">
        <v>649</v>
      </c>
      <c r="L560" s="1347"/>
    </row>
    <row r="561" spans="1:12" s="1372" customFormat="1" x14ac:dyDescent="0.25">
      <c r="K561" s="1347" t="s">
        <v>649</v>
      </c>
      <c r="L561" s="1347"/>
    </row>
    <row r="562" spans="1:12" s="1374" customFormat="1" x14ac:dyDescent="0.25">
      <c r="A562" s="1373"/>
      <c r="B562" s="1373"/>
      <c r="C562" s="1373"/>
      <c r="D562" s="1373"/>
      <c r="E562" s="1373"/>
      <c r="F562" s="1373"/>
      <c r="G562" s="1373"/>
      <c r="H562" s="1373"/>
      <c r="I562" s="1373"/>
      <c r="J562" s="1373"/>
      <c r="K562" s="1347" t="s">
        <v>649</v>
      </c>
      <c r="L562" s="1347"/>
    </row>
    <row r="563" spans="1:12" s="1372" customFormat="1" ht="15" customHeight="1" x14ac:dyDescent="0.25">
      <c r="A563" s="704"/>
      <c r="B563" s="704"/>
      <c r="C563" s="704"/>
      <c r="D563" s="704"/>
      <c r="E563" s="704"/>
      <c r="F563" s="704"/>
      <c r="G563" s="704"/>
      <c r="H563" s="704"/>
      <c r="I563" s="704"/>
      <c r="J563" s="704"/>
      <c r="K563" s="1347" t="s">
        <v>649</v>
      </c>
      <c r="L563" s="1347"/>
    </row>
    <row r="564" spans="1:12" s="1347" customFormat="1" ht="15" customHeight="1" x14ac:dyDescent="0.25">
      <c r="A564" s="2988" t="str">
        <f>"Transdutor "&amp;Ultrassom!A488&amp;" - marca "&amp;Ultrassom!B488&amp;", modelo "&amp;Ultrassom!C488&amp;", n° série "&amp;Ultrassom!D488</f>
        <v>Transdutor 6 - marca não informada, modelo não informado, n° série não informado</v>
      </c>
      <c r="B564" s="2988"/>
      <c r="C564" s="2988"/>
      <c r="D564" s="2988"/>
      <c r="E564" s="2988"/>
      <c r="F564" s="2988"/>
      <c r="G564" s="2988"/>
      <c r="H564" s="2988"/>
      <c r="I564" s="2988"/>
      <c r="J564" s="2988"/>
      <c r="K564" s="1347" t="str">
        <f>IF(Ultrassom!B486&lt;=Ultrassom!$E$4,"","x")</f>
        <v>x</v>
      </c>
      <c r="L564" s="1347" t="str">
        <f>Ultrassom!A486&amp;Ultrassom!B486</f>
        <v>TRANSDUTOR: 6</v>
      </c>
    </row>
    <row r="565" spans="1:12" s="1347" customFormat="1" ht="15" customHeight="1" x14ac:dyDescent="0.25">
      <c r="A565" s="2988"/>
      <c r="B565" s="2988"/>
      <c r="C565" s="2988"/>
      <c r="D565" s="2988"/>
      <c r="E565" s="2988"/>
      <c r="F565" s="2988"/>
      <c r="G565" s="2988"/>
      <c r="H565" s="2988"/>
      <c r="I565" s="2988"/>
      <c r="J565" s="2988"/>
      <c r="K565" s="1347" t="str">
        <f>K564</f>
        <v>x</v>
      </c>
    </row>
    <row r="566" spans="1:12" s="1347" customFormat="1" ht="15" customHeight="1" x14ac:dyDescent="0.25">
      <c r="A566" s="1346"/>
      <c r="B566" s="1346"/>
      <c r="C566" s="1346"/>
      <c r="D566" s="1346"/>
      <c r="E566" s="1346"/>
      <c r="F566" s="1346"/>
      <c r="G566" s="1346"/>
      <c r="H566" s="1346"/>
      <c r="I566" s="1346"/>
      <c r="J566" s="1346"/>
      <c r="K566" s="1347" t="str">
        <f>K565</f>
        <v>x</v>
      </c>
    </row>
    <row r="567" spans="1:12" s="1347" customFormat="1" ht="15" customHeight="1" x14ac:dyDescent="0.25">
      <c r="A567" s="2984" t="s">
        <v>1576</v>
      </c>
      <c r="B567" s="2984"/>
      <c r="C567" s="2984"/>
      <c r="D567" s="2984"/>
      <c r="E567" s="2984"/>
      <c r="F567" s="2984"/>
      <c r="G567" s="2848" t="s">
        <v>369</v>
      </c>
      <c r="H567" s="3014"/>
      <c r="I567" s="1333" t="str">
        <f>"IN "&amp;VLOOKUP("Ultrassom",IN_ANVISA[],2)</f>
        <v>IN 96</v>
      </c>
      <c r="K567" s="1347" t="str">
        <f>K566</f>
        <v>x</v>
      </c>
    </row>
    <row r="568" spans="1:12" s="1347" customFormat="1" ht="15" customHeight="1" x14ac:dyDescent="0.25">
      <c r="A568" s="3011" t="s">
        <v>1619</v>
      </c>
      <c r="B568" s="3012"/>
      <c r="C568" s="3012"/>
      <c r="D568" s="3012"/>
      <c r="E568" s="3012"/>
      <c r="F568" s="3013"/>
      <c r="G568" s="2990" t="str">
        <f>Ultrassom!E488</f>
        <v>Boa</v>
      </c>
      <c r="H568" s="2992"/>
      <c r="I568" s="1237" t="s">
        <v>142</v>
      </c>
      <c r="K568" s="1347" t="str">
        <f>K567</f>
        <v>x</v>
      </c>
      <c r="L568" s="1347" t="str">
        <f>IF(G568&lt;&gt;"Boa",A568,"")</f>
        <v/>
      </c>
    </row>
    <row r="569" spans="1:12" s="1347" customFormat="1" ht="15" customHeight="1" x14ac:dyDescent="0.25">
      <c r="A569" s="3001" t="s">
        <v>1538</v>
      </c>
      <c r="B569" s="3001"/>
      <c r="C569" s="3001"/>
      <c r="D569" s="3001"/>
      <c r="E569" s="3001"/>
      <c r="F569" s="3001"/>
      <c r="G569" s="3002" t="str">
        <f>IF(LARGE(Ultrassom!C499:D499,1)=0,IF(Ultrassom!D493="s","Uniforme","Não uniforme"),ROUNDDOWN(LARGE(Ultrassom!C499:D499,1),1)&amp;" dB")</f>
        <v>Não uniforme</v>
      </c>
      <c r="H569" s="3003"/>
      <c r="I569" s="1237" t="str">
        <f>Ultrassom!B499</f>
        <v>NPA</v>
      </c>
      <c r="K569" s="1347" t="str">
        <f>K568</f>
        <v>x</v>
      </c>
      <c r="L569" s="1347" t="str">
        <f>IF(I569="Não",A569,"")</f>
        <v/>
      </c>
    </row>
    <row r="570" spans="1:12" s="1347" customFormat="1" ht="15" customHeight="1" x14ac:dyDescent="0.25">
      <c r="A570" s="3001" t="s">
        <v>1579</v>
      </c>
      <c r="B570" s="3001"/>
      <c r="C570" s="3001"/>
      <c r="D570" s="3001"/>
      <c r="E570" s="3001"/>
      <c r="F570" s="3001"/>
      <c r="G570" s="3002" t="str">
        <f>Ultrassom!D508&amp;" cm"</f>
        <v xml:space="preserve"> cm</v>
      </c>
      <c r="H570" s="3003"/>
      <c r="I570" s="1237" t="str">
        <f>Ultrassom!D510</f>
        <v>NA</v>
      </c>
      <c r="K570" s="1347" t="str">
        <f>IF(I570="NA","x","")</f>
        <v>x</v>
      </c>
      <c r="L570" s="1347" t="str">
        <f>IF(I570="Não",A570,"")</f>
        <v/>
      </c>
    </row>
    <row r="571" spans="1:12" s="1347" customFormat="1" ht="15" customHeight="1" x14ac:dyDescent="0.25">
      <c r="A571" s="3001" t="s">
        <v>1577</v>
      </c>
      <c r="B571" s="3001"/>
      <c r="C571" s="3001"/>
      <c r="D571" s="3001"/>
      <c r="E571" s="3001"/>
      <c r="F571" s="3001"/>
      <c r="G571" s="2591" t="str">
        <f>Ultrassom!B508&amp;" cm"</f>
        <v xml:space="preserve"> cm</v>
      </c>
      <c r="H571" s="2593"/>
      <c r="I571" s="1243" t="str">
        <f>Ultrassom!B510</f>
        <v>NA</v>
      </c>
      <c r="K571" s="1347" t="str">
        <f>IF(I571="NA","x","")</f>
        <v>x</v>
      </c>
      <c r="L571" s="1347" t="str">
        <f>IF(I571="Não",A571,"")</f>
        <v/>
      </c>
    </row>
    <row r="572" spans="1:12" s="1347" customFormat="1" ht="15" customHeight="1" x14ac:dyDescent="0.25">
      <c r="A572" s="3001" t="s">
        <v>1578</v>
      </c>
      <c r="B572" s="3001"/>
      <c r="C572" s="3001"/>
      <c r="D572" s="3001"/>
      <c r="E572" s="3001"/>
      <c r="F572" s="3001"/>
      <c r="G572" s="2591" t="str">
        <f>Ultrassom!C508&amp;" cm"</f>
        <v xml:space="preserve"> cm</v>
      </c>
      <c r="H572" s="2593"/>
      <c r="I572" s="1243" t="str">
        <f>Ultrassom!C510</f>
        <v>NA</v>
      </c>
      <c r="K572" s="1347" t="str">
        <f>IF(I572="NA","x","")</f>
        <v>x</v>
      </c>
      <c r="L572" s="1347" t="str">
        <f>IF(I572="Não",A572,"")</f>
        <v/>
      </c>
    </row>
    <row r="573" spans="1:12" s="1347" customFormat="1" ht="15" customHeight="1" x14ac:dyDescent="0.25">
      <c r="A573" s="3001" t="s">
        <v>1580</v>
      </c>
      <c r="B573" s="3001"/>
      <c r="C573" s="3001"/>
      <c r="D573" s="3001"/>
      <c r="E573" s="3001"/>
      <c r="F573" s="3001"/>
      <c r="G573" s="2990" t="str">
        <f>Ultrassom!B514&amp;" objetos, "&amp;IF(Ultrassom!B517="s","BD","BND")&amp;" "&amp;IF(Ultrassom!B518="s","AC","ANC")</f>
        <v xml:space="preserve"> objetos, BND ANC</v>
      </c>
      <c r="H573" s="2992"/>
      <c r="I573" s="1237" t="str">
        <f>Ultrassom!B519</f>
        <v>Sim</v>
      </c>
      <c r="K573" s="1347" t="str">
        <f>K564</f>
        <v>x</v>
      </c>
      <c r="L573" s="1347" t="str">
        <f>IF(I573="Não","Visualização de objetos anecóicos","")</f>
        <v/>
      </c>
    </row>
    <row r="574" spans="1:12" s="1347" customFormat="1" ht="15" customHeight="1" x14ac:dyDescent="0.25">
      <c r="A574" s="3001" t="s">
        <v>1581</v>
      </c>
      <c r="B574" s="3001"/>
      <c r="C574" s="3001"/>
      <c r="D574" s="3001"/>
      <c r="E574" s="3001"/>
      <c r="F574" s="3001"/>
      <c r="G574" s="3002" t="str">
        <f>Ultrassom!D514&amp;" objetos, "&amp;IF(Ultrassom!D517="s","BD","BND")&amp;" "&amp;IF(Ultrassom!D518="s","AC","ANC")</f>
        <v xml:space="preserve"> objetos, BND ANC</v>
      </c>
      <c r="H574" s="3003"/>
      <c r="I574" s="1237" t="str">
        <f>Ultrassom!D519</f>
        <v>Sim</v>
      </c>
      <c r="K574" s="1347" t="str">
        <f>K573</f>
        <v>x</v>
      </c>
      <c r="L574" s="1347" t="str">
        <f>IF(I574="Não","Visualização de objetos anecóicos","")</f>
        <v/>
      </c>
    </row>
    <row r="575" spans="1:12" s="1347" customFormat="1" ht="15" customHeight="1" x14ac:dyDescent="0.25">
      <c r="A575" s="3001" t="s">
        <v>1582</v>
      </c>
      <c r="B575" s="3001"/>
      <c r="C575" s="3001"/>
      <c r="D575" s="3001"/>
      <c r="E575" s="3001"/>
      <c r="F575" s="3001"/>
      <c r="G575" s="3002" t="str">
        <f>Ultrassom!F514&amp;" objetos, "&amp;IF(Ultrassom!F517="s","BD","BND")&amp;" "&amp;IF(Ultrassom!F518="s","AC","ANC")</f>
        <v xml:space="preserve"> objetos, BND ANC</v>
      </c>
      <c r="H575" s="3003"/>
      <c r="I575" s="1237" t="str">
        <f>Ultrassom!F519</f>
        <v>Sim</v>
      </c>
      <c r="K575" s="1347" t="str">
        <f t="shared" ref="K575:K580" si="19">K574</f>
        <v>x</v>
      </c>
      <c r="L575" s="1347" t="str">
        <f>IF(I575="Não","Visualização de objetos anecóicos","")</f>
        <v/>
      </c>
    </row>
    <row r="576" spans="1:12" s="1347" customFormat="1" x14ac:dyDescent="0.25">
      <c r="A576" s="3004" t="str">
        <f>"Zona morta @ "&amp;ROUND(Ultrassom!A523,1)&amp;" MHz"</f>
        <v>Zona morta @ 0 MHz</v>
      </c>
      <c r="B576" s="3004"/>
      <c r="C576" s="3004"/>
      <c r="D576" s="3004"/>
      <c r="E576" s="3004"/>
      <c r="F576" s="3004"/>
      <c r="G576" s="2975" t="str">
        <f>Ultrassom!C523&amp;" mm"</f>
        <v xml:space="preserve"> mm</v>
      </c>
      <c r="H576" s="2998"/>
      <c r="I576" s="1237" t="str">
        <f>Ultrassom!E523</f>
        <v>Sim</v>
      </c>
      <c r="K576" s="1347" t="str">
        <f t="shared" si="19"/>
        <v>x</v>
      </c>
      <c r="L576" s="1347" t="str">
        <f>IF(I576="Não","Zona morta","")</f>
        <v/>
      </c>
    </row>
    <row r="577" spans="1:12" s="940" customFormat="1" x14ac:dyDescent="0.25">
      <c r="A577" s="3005" t="s">
        <v>1583</v>
      </c>
      <c r="B577" s="3005"/>
      <c r="C577" s="3005"/>
      <c r="D577" s="3005"/>
      <c r="E577" s="3005"/>
      <c r="F577" s="3005"/>
      <c r="G577" s="2975" t="e">
        <f>LARGE(Ultrassom!C531:C532,1)&amp;" mm"</f>
        <v>#NUM!</v>
      </c>
      <c r="H577" s="2998"/>
      <c r="I577" s="1237" t="str">
        <f>Ultrassom!C534</f>
        <v>NPA</v>
      </c>
      <c r="K577" s="1347" t="str">
        <f t="shared" si="19"/>
        <v>x</v>
      </c>
      <c r="L577" s="1347" t="str">
        <f>IF(I577="Não",A577,"")</f>
        <v/>
      </c>
    </row>
    <row r="578" spans="1:12" s="940" customFormat="1" x14ac:dyDescent="0.25">
      <c r="A578" s="3005" t="s">
        <v>1584</v>
      </c>
      <c r="B578" s="3005"/>
      <c r="C578" s="3005"/>
      <c r="D578" s="3005"/>
      <c r="E578" s="3005"/>
      <c r="F578" s="3005"/>
      <c r="G578" s="2975" t="e">
        <f>LARGE(Ultrassom!D531:D532,1)&amp;" mm"</f>
        <v>#NUM!</v>
      </c>
      <c r="H578" s="2998"/>
      <c r="I578" s="1237" t="str">
        <f>Ultrassom!D534</f>
        <v>NPA</v>
      </c>
      <c r="K578" s="1347" t="str">
        <f t="shared" si="19"/>
        <v>x</v>
      </c>
      <c r="L578" s="1347" t="str">
        <f>IF(I578="Não",A578,"")</f>
        <v/>
      </c>
    </row>
    <row r="579" spans="1:12" s="940" customFormat="1" ht="15" customHeight="1" x14ac:dyDescent="0.25">
      <c r="A579" s="3006" t="str">
        <f>"Resolução axial @ "&amp;ROUND(Ultrassom!D538,1)&amp;" MHz"</f>
        <v>Resolução axial @ 0 MHz</v>
      </c>
      <c r="B579" s="3006"/>
      <c r="C579" s="3006"/>
      <c r="D579" s="3006"/>
      <c r="E579" s="3006"/>
      <c r="F579" s="3006"/>
      <c r="G579" s="3007">
        <f>Ultrassom!D540</f>
        <v>0</v>
      </c>
      <c r="H579" s="3008"/>
      <c r="I579" s="1237" t="str">
        <f>Ultrassom!D542</f>
        <v>Sim</v>
      </c>
      <c r="K579" s="1347" t="str">
        <f t="shared" si="19"/>
        <v>x</v>
      </c>
      <c r="L579" s="1347" t="str">
        <f>IF(I579="Não","Resolução axial","")</f>
        <v/>
      </c>
    </row>
    <row r="580" spans="1:12" s="940" customFormat="1" ht="15" customHeight="1" x14ac:dyDescent="0.25">
      <c r="A580" s="3006" t="str">
        <f>"Resolução lateral @ "&amp;ROUND(Ultrassom!E538,1)&amp;" MHz"</f>
        <v>Resolução lateral @ 0 MHz</v>
      </c>
      <c r="B580" s="3006"/>
      <c r="C580" s="3006"/>
      <c r="D580" s="3006"/>
      <c r="E580" s="3006"/>
      <c r="F580" s="3006"/>
      <c r="G580" s="3007">
        <f>Ultrassom!E540</f>
        <v>0</v>
      </c>
      <c r="H580" s="3008"/>
      <c r="I580" s="1237" t="str">
        <f>Ultrassom!E542</f>
        <v>Sim</v>
      </c>
      <c r="K580" s="1347" t="str">
        <f t="shared" si="19"/>
        <v>x</v>
      </c>
      <c r="L580" s="1347" t="str">
        <f>IF(I580="Não","Resolução lateral","")</f>
        <v/>
      </c>
    </row>
    <row r="581" spans="1:12" s="940" customFormat="1" ht="15" customHeight="1" x14ac:dyDescent="0.25">
      <c r="A581" s="2993" t="str">
        <f>"Zona focal - foco @ "&amp;Ultrassom!B546&amp;" cm"</f>
        <v>Zona focal - foco @  cm</v>
      </c>
      <c r="B581" s="2994"/>
      <c r="C581" s="2994"/>
      <c r="D581" s="2994"/>
      <c r="E581" s="2994"/>
      <c r="F581" s="2995"/>
      <c r="G581" s="2975" t="str">
        <f>Ultrassom!B548&amp;" cm"</f>
        <v xml:space="preserve"> cm</v>
      </c>
      <c r="H581" s="2998"/>
      <c r="I581" s="1237" t="str">
        <f>Ultrassom!B551</f>
        <v>NA</v>
      </c>
      <c r="K581" s="1347" t="str">
        <f>IF(I581="NA","x","")</f>
        <v>x</v>
      </c>
      <c r="L581" s="1347" t="str">
        <f>IF(I581="Não","Zona focal","")</f>
        <v/>
      </c>
    </row>
    <row r="582" spans="1:12" s="940" customFormat="1" ht="15" customHeight="1" x14ac:dyDescent="0.25">
      <c r="A582" s="2993" t="str">
        <f>"Zona focal - foco @ "&amp;Ultrassom!C546&amp;" cm"</f>
        <v>Zona focal - foco @  cm</v>
      </c>
      <c r="B582" s="2994"/>
      <c r="C582" s="2994"/>
      <c r="D582" s="2994"/>
      <c r="E582" s="2994"/>
      <c r="F582" s="2995"/>
      <c r="G582" s="2975" t="str">
        <f>Ultrassom!C548&amp;" cm"</f>
        <v xml:space="preserve"> cm</v>
      </c>
      <c r="H582" s="2998"/>
      <c r="I582" s="1237" t="str">
        <f>Ultrassom!C551</f>
        <v>NA</v>
      </c>
      <c r="K582" s="1347" t="str">
        <f>IF(I582="NA","x","")</f>
        <v>x</v>
      </c>
      <c r="L582" s="1347" t="str">
        <f>IF(I582="Não","Zona focal","")</f>
        <v/>
      </c>
    </row>
    <row r="583" spans="1:12" s="940" customFormat="1" ht="15" customHeight="1" x14ac:dyDescent="0.25">
      <c r="A583" s="2993" t="str">
        <f>"Zona focal - foco @ "&amp;Ultrassom!D546&amp;" cm"</f>
        <v>Zona focal - foco @  cm</v>
      </c>
      <c r="B583" s="2994"/>
      <c r="C583" s="2994"/>
      <c r="D583" s="2994"/>
      <c r="E583" s="2994"/>
      <c r="F583" s="2995"/>
      <c r="G583" s="2996" t="str">
        <f>Ultrassom!D548&amp;" cm"</f>
        <v xml:space="preserve"> cm</v>
      </c>
      <c r="H583" s="2997"/>
      <c r="I583" s="1243" t="str">
        <f>Ultrassom!D551</f>
        <v>NA</v>
      </c>
      <c r="K583" s="1347" t="str">
        <f>IF(I583="NA","x","")</f>
        <v>x</v>
      </c>
      <c r="L583" s="1347" t="str">
        <f>IF(I583="Não","Zona focal","")</f>
        <v/>
      </c>
    </row>
    <row r="584" spans="1:12" s="940" customFormat="1" ht="15" customHeight="1" x14ac:dyDescent="0.25">
      <c r="A584" s="2993" t="str">
        <f>"Zona focal - foco @ "&amp;Ultrassom!E546&amp;" cm"</f>
        <v>Zona focal - foco @  cm</v>
      </c>
      <c r="B584" s="2994"/>
      <c r="C584" s="2994"/>
      <c r="D584" s="2994"/>
      <c r="E584" s="2994"/>
      <c r="F584" s="2995"/>
      <c r="G584" s="2996" t="str">
        <f>Ultrassom!E548&amp;" cm"</f>
        <v xml:space="preserve"> cm</v>
      </c>
      <c r="H584" s="2997"/>
      <c r="I584" s="1243" t="str">
        <f>Ultrassom!E551</f>
        <v>NA</v>
      </c>
      <c r="K584" s="1347" t="str">
        <f>IF(I584="NA","x","")</f>
        <v>x</v>
      </c>
      <c r="L584" s="1347" t="str">
        <f>IF(I584="Não","Zona focal","")</f>
        <v/>
      </c>
    </row>
    <row r="585" spans="1:12" s="940" customFormat="1" ht="15" customHeight="1" x14ac:dyDescent="0.25">
      <c r="A585" s="2993" t="str">
        <f>"Zona focal - foco @ "&amp;Ultrassom!F546&amp;" cm"</f>
        <v>Zona focal - foco @  cm</v>
      </c>
      <c r="B585" s="2994"/>
      <c r="C585" s="2994"/>
      <c r="D585" s="2994"/>
      <c r="E585" s="2994"/>
      <c r="F585" s="2995"/>
      <c r="G585" s="2975" t="str">
        <f>Ultrassom!F548&amp;" cm"</f>
        <v xml:space="preserve"> cm</v>
      </c>
      <c r="H585" s="2998"/>
      <c r="I585" s="1237" t="str">
        <f>Ultrassom!F551</f>
        <v>NA</v>
      </c>
      <c r="K585" s="1347" t="str">
        <f>IF(I585="NA","x","")</f>
        <v>x</v>
      </c>
      <c r="L585" s="1347" t="str">
        <f>IF(I585="Não","Zona focal","")</f>
        <v/>
      </c>
    </row>
    <row r="586" spans="1:12" s="940" customFormat="1" ht="15" customHeight="1" x14ac:dyDescent="0.25">
      <c r="A586" s="2993" t="s">
        <v>1585</v>
      </c>
      <c r="B586" s="2994"/>
      <c r="C586" s="2994"/>
      <c r="D586" s="2994"/>
      <c r="E586" s="2994"/>
      <c r="F586" s="2995"/>
      <c r="G586" s="2999" t="str">
        <f>IF(Ultrassom!B556="s","Visualizado","Não visualizado")</f>
        <v>Não visualizado</v>
      </c>
      <c r="H586" s="3000"/>
      <c r="I586" s="1237" t="str">
        <f>Ultrassom!B558</f>
        <v>Sim</v>
      </c>
      <c r="K586" s="1347" t="str">
        <f>K564</f>
        <v>x</v>
      </c>
      <c r="L586" s="1347" t="str">
        <f>IF(I586="Não","Limiar de sensibilidade a baixo contraste","")</f>
        <v/>
      </c>
    </row>
    <row r="587" spans="1:12" s="940" customFormat="1" ht="15" customHeight="1" x14ac:dyDescent="0.25">
      <c r="A587" s="2993" t="s">
        <v>1586</v>
      </c>
      <c r="B587" s="2994"/>
      <c r="C587" s="2994"/>
      <c r="D587" s="2994"/>
      <c r="E587" s="2994"/>
      <c r="F587" s="2995"/>
      <c r="G587" s="2999" t="str">
        <f>IF(Ultrassom!C556="s","Visualizado","Não visualizado")</f>
        <v>Não visualizado</v>
      </c>
      <c r="H587" s="3000"/>
      <c r="I587" s="1237" t="str">
        <f>Ultrassom!C558</f>
        <v>Sim</v>
      </c>
      <c r="K587" s="1347" t="str">
        <f>K586</f>
        <v>x</v>
      </c>
      <c r="L587" s="1347" t="str">
        <f>IF(I587="Não","Limiar de sensibilidade a baixo contraste","")</f>
        <v/>
      </c>
    </row>
    <row r="588" spans="1:12" s="940" customFormat="1" ht="15" customHeight="1" x14ac:dyDescent="0.25">
      <c r="A588" s="2993" t="s">
        <v>1587</v>
      </c>
      <c r="B588" s="2994"/>
      <c r="C588" s="2994"/>
      <c r="D588" s="2994"/>
      <c r="E588" s="2994"/>
      <c r="F588" s="2995"/>
      <c r="G588" s="2999" t="str">
        <f>IF(Ultrassom!D556="s","Visualizado","Não visualizado")</f>
        <v>Não visualizado</v>
      </c>
      <c r="H588" s="3000"/>
      <c r="I588" s="1237" t="str">
        <f>Ultrassom!D558</f>
        <v>Sim</v>
      </c>
      <c r="K588" s="1347" t="str">
        <f>K587</f>
        <v>x</v>
      </c>
      <c r="L588" s="1347" t="str">
        <f>IF(I588="Não","Limiar de sensibilidade a baixo contraste","")</f>
        <v/>
      </c>
    </row>
    <row r="589" spans="1:12" s="940" customFormat="1" ht="15" customHeight="1" x14ac:dyDescent="0.25">
      <c r="A589" s="2993" t="s">
        <v>1588</v>
      </c>
      <c r="B589" s="2994"/>
      <c r="C589" s="2994"/>
      <c r="D589" s="2994"/>
      <c r="E589" s="2994"/>
      <c r="F589" s="2995"/>
      <c r="G589" s="2999" t="str">
        <f>IF(Ultrassom!E556="s","Visualizado","Não visualizado")</f>
        <v>Não visualizado</v>
      </c>
      <c r="H589" s="3000"/>
      <c r="I589" s="1237" t="str">
        <f>Ultrassom!E558</f>
        <v>Sim</v>
      </c>
      <c r="K589" s="1347" t="str">
        <f>K588</f>
        <v>x</v>
      </c>
      <c r="L589" s="1347" t="str">
        <f>IF(I589="Não","Limiar de sensibilidade a baixo contraste","")</f>
        <v/>
      </c>
    </row>
    <row r="590" spans="1:12" s="940" customFormat="1" ht="15" customHeight="1" x14ac:dyDescent="0.25">
      <c r="A590" s="3006" t="s">
        <v>1589</v>
      </c>
      <c r="B590" s="3006"/>
      <c r="C590" s="3006"/>
      <c r="D590" s="3006"/>
      <c r="E590" s="3006"/>
      <c r="F590" s="3006"/>
      <c r="G590" s="3002" t="str">
        <f>IFERROR(Ultrassom!F564*100&amp;" %","NPA")</f>
        <v>NPA</v>
      </c>
      <c r="H590" s="3003"/>
      <c r="I590" s="1237" t="str">
        <f>Ultrassom!G564</f>
        <v>NA</v>
      </c>
      <c r="K590" s="1381" t="str">
        <f>K589</f>
        <v>x</v>
      </c>
      <c r="L590" s="1347" t="str">
        <f>IF(I590="Não",A590,"")</f>
        <v/>
      </c>
    </row>
    <row r="591" spans="1:12" s="940" customFormat="1" ht="15" customHeight="1" x14ac:dyDescent="0.25">
      <c r="A591" s="3006" t="str">
        <f>"Sensibilidade do modo doppler @ "&amp;Ultrassom!B568&amp;" (ref. "&amp;Ultrassom!B571&amp;" "&amp;Ultrassom!$A$569&amp;")"</f>
        <v>Sensibilidade do modo doppler @ fluxo baixo (ref. NI ml/s)</v>
      </c>
      <c r="B591" s="3006"/>
      <c r="C591" s="3006"/>
      <c r="D591" s="3006"/>
      <c r="E591" s="3006"/>
      <c r="F591" s="3006"/>
      <c r="G591" s="3002" t="str">
        <f>IFERROR(ROUNDDOWN(Ultrassom!C571,1)&amp;" "&amp;Ultrassom!$A$569,"NPA")</f>
        <v>0 ml/s</v>
      </c>
      <c r="H591" s="3003"/>
      <c r="I591" s="1834" t="str">
        <f>Ultrassom!D571</f>
        <v>NPA</v>
      </c>
      <c r="K591" s="1835" t="str">
        <f t="shared" ref="K591:K593" si="20">IF(G591="0 ml/s","x","")</f>
        <v>x</v>
      </c>
      <c r="L591" s="1347" t="str">
        <f>IF(I591="Não","Sensibilidade do modo doppler","")</f>
        <v/>
      </c>
    </row>
    <row r="592" spans="1:12" s="940" customFormat="1" ht="15" customHeight="1" x14ac:dyDescent="0.25">
      <c r="A592" s="3006" t="str">
        <f>"Sensibilidade do modo doppler @ "&amp;Ultrassom!E568&amp;" (ref. "&amp;Ultrassom!E571&amp;" "&amp;Ultrassom!$A$569&amp;")"</f>
        <v>Sensibilidade do modo doppler @ fluxo médio (ref. NI ml/s)</v>
      </c>
      <c r="B592" s="3006"/>
      <c r="C592" s="3006"/>
      <c r="D592" s="3006"/>
      <c r="E592" s="3006"/>
      <c r="F592" s="3006"/>
      <c r="G592" s="3002" t="str">
        <f>IFERROR(ROUNDDOWN(Ultrassom!F571,1)&amp;" "&amp;Ultrassom!$A$569,"NPA")</f>
        <v>0 ml/s</v>
      </c>
      <c r="H592" s="3003"/>
      <c r="I592" s="1834" t="str">
        <f>Ultrassom!G571</f>
        <v>NPA</v>
      </c>
      <c r="K592" s="1835" t="str">
        <f t="shared" si="20"/>
        <v>x</v>
      </c>
      <c r="L592" s="1347" t="str">
        <f>IF(I592="Não","Sensibilidade do modo doppler","")</f>
        <v/>
      </c>
    </row>
    <row r="593" spans="1:12" s="940" customFormat="1" ht="15" customHeight="1" x14ac:dyDescent="0.25">
      <c r="A593" s="3006" t="str">
        <f>"Sensibilidade do modo doppler @ "&amp;Ultrassom!H568&amp;" (ref. "&amp;Ultrassom!H571&amp;" "&amp;Ultrassom!$A$569&amp;")"</f>
        <v>Sensibilidade do modo doppler @ fluxo alto (ref. NI ml/s)</v>
      </c>
      <c r="B593" s="3006"/>
      <c r="C593" s="3006"/>
      <c r="D593" s="3006"/>
      <c r="E593" s="3006"/>
      <c r="F593" s="3006"/>
      <c r="G593" s="3002" t="str">
        <f>IFERROR(ROUNDDOWN(Ultrassom!I571,1)&amp;" "&amp;Ultrassom!$A$569,"NPA")</f>
        <v>0 ml/s</v>
      </c>
      <c r="H593" s="3003"/>
      <c r="I593" s="1834" t="str">
        <f>Ultrassom!J571</f>
        <v>NPA</v>
      </c>
      <c r="K593" s="1835" t="str">
        <f t="shared" si="20"/>
        <v>x</v>
      </c>
      <c r="L593" s="1347" t="str">
        <f>IF(I593="Não","Sensibilidade do modo doppler","")</f>
        <v/>
      </c>
    </row>
    <row r="594" spans="1:12" s="1347" customFormat="1" ht="15" customHeight="1" x14ac:dyDescent="0.25">
      <c r="A594" s="2986" t="s">
        <v>1922</v>
      </c>
      <c r="B594" s="2986"/>
      <c r="C594" s="2986"/>
      <c r="D594" s="2986"/>
      <c r="E594" s="2986"/>
      <c r="F594" s="2986"/>
      <c r="G594" s="2986"/>
      <c r="H594" s="2986"/>
      <c r="I594" s="2986"/>
      <c r="J594" s="2986"/>
      <c r="K594" s="1347" t="str">
        <f>K564</f>
        <v>x</v>
      </c>
    </row>
    <row r="595" spans="1:12" s="1347" customFormat="1" x14ac:dyDescent="0.25">
      <c r="A595" s="2986"/>
      <c r="B595" s="2986"/>
      <c r="C595" s="2986"/>
      <c r="D595" s="2986"/>
      <c r="E595" s="2986"/>
      <c r="F595" s="2986"/>
      <c r="G595" s="2986"/>
      <c r="H595" s="2986"/>
      <c r="I595" s="2986"/>
      <c r="J595" s="2986"/>
      <c r="K595" s="1347" t="str">
        <f>K594</f>
        <v>x</v>
      </c>
    </row>
    <row r="596" spans="1:12" s="1347" customFormat="1" x14ac:dyDescent="0.25">
      <c r="K596" s="1347" t="str">
        <f>K595</f>
        <v>x</v>
      </c>
      <c r="L596" s="1347" t="s">
        <v>1607</v>
      </c>
    </row>
    <row r="597" spans="1:12" s="1347" customFormat="1" x14ac:dyDescent="0.25">
      <c r="K597" s="1347" t="s">
        <v>649</v>
      </c>
    </row>
    <row r="598" spans="1:12" s="1372" customFormat="1" x14ac:dyDescent="0.25">
      <c r="K598" s="1347" t="s">
        <v>649</v>
      </c>
    </row>
    <row r="599" spans="1:12" s="1372" customFormat="1" x14ac:dyDescent="0.25">
      <c r="K599" s="1347" t="s">
        <v>649</v>
      </c>
    </row>
    <row r="600" spans="1:12" s="1372" customFormat="1" x14ac:dyDescent="0.25">
      <c r="K600" s="1347" t="s">
        <v>649</v>
      </c>
    </row>
    <row r="601" spans="1:12" s="1372" customFormat="1" x14ac:dyDescent="0.25">
      <c r="K601" s="1347" t="s">
        <v>649</v>
      </c>
    </row>
    <row r="602" spans="1:12" s="1372" customFormat="1" x14ac:dyDescent="0.25">
      <c r="K602" s="1347" t="s">
        <v>649</v>
      </c>
    </row>
    <row r="603" spans="1:12" s="1372" customFormat="1" x14ac:dyDescent="0.25">
      <c r="K603" s="1347" t="s">
        <v>649</v>
      </c>
    </row>
    <row r="604" spans="1:12" s="1372" customFormat="1" x14ac:dyDescent="0.25">
      <c r="K604" s="1347" t="s">
        <v>649</v>
      </c>
    </row>
    <row r="605" spans="1:12" s="1372" customFormat="1" x14ac:dyDescent="0.25">
      <c r="K605" s="1347" t="s">
        <v>649</v>
      </c>
    </row>
    <row r="606" spans="1:12" s="1372" customFormat="1" x14ac:dyDescent="0.25">
      <c r="K606" s="1347" t="s">
        <v>649</v>
      </c>
    </row>
    <row r="607" spans="1:12" s="1372" customFormat="1" x14ac:dyDescent="0.25">
      <c r="K607" s="1347" t="s">
        <v>649</v>
      </c>
    </row>
    <row r="608" spans="1:12" s="1372" customFormat="1" x14ac:dyDescent="0.25">
      <c r="K608" s="1347" t="s">
        <v>649</v>
      </c>
    </row>
    <row r="609" spans="11:11" s="1372" customFormat="1" x14ac:dyDescent="0.25">
      <c r="K609" s="1347" t="s">
        <v>649</v>
      </c>
    </row>
    <row r="610" spans="11:11" s="1372" customFormat="1" x14ac:dyDescent="0.25">
      <c r="K610" s="1347" t="s">
        <v>649</v>
      </c>
    </row>
    <row r="611" spans="11:11" s="1372" customFormat="1" x14ac:dyDescent="0.25">
      <c r="K611" s="1347" t="s">
        <v>649</v>
      </c>
    </row>
    <row r="612" spans="11:11" s="1372" customFormat="1" x14ac:dyDescent="0.25">
      <c r="K612" s="1347" t="s">
        <v>649</v>
      </c>
    </row>
    <row r="613" spans="11:11" s="1372" customFormat="1" x14ac:dyDescent="0.25">
      <c r="K613" s="1347" t="s">
        <v>649</v>
      </c>
    </row>
    <row r="614" spans="11:11" s="1372" customFormat="1" x14ac:dyDescent="0.25">
      <c r="K614" s="1347" t="s">
        <v>649</v>
      </c>
    </row>
    <row r="615" spans="11:11" s="1372" customFormat="1" x14ac:dyDescent="0.25">
      <c r="K615" s="1347" t="s">
        <v>649</v>
      </c>
    </row>
    <row r="616" spans="11:11" s="1372" customFormat="1" x14ac:dyDescent="0.25">
      <c r="K616" s="1347" t="s">
        <v>649</v>
      </c>
    </row>
    <row r="617" spans="11:11" s="1372" customFormat="1" x14ac:dyDescent="0.25">
      <c r="K617" s="1347" t="s">
        <v>649</v>
      </c>
    </row>
    <row r="618" spans="11:11" s="1372" customFormat="1" x14ac:dyDescent="0.25">
      <c r="K618" s="1347" t="s">
        <v>649</v>
      </c>
    </row>
    <row r="619" spans="11:11" s="1372" customFormat="1" x14ac:dyDescent="0.25">
      <c r="K619" s="1347" t="s">
        <v>649</v>
      </c>
    </row>
    <row r="620" spans="11:11" s="1372" customFormat="1" x14ac:dyDescent="0.25">
      <c r="K620" s="1347" t="s">
        <v>649</v>
      </c>
    </row>
    <row r="621" spans="11:11" s="1372" customFormat="1" x14ac:dyDescent="0.25">
      <c r="K621" s="1347" t="s">
        <v>649</v>
      </c>
    </row>
    <row r="622" spans="11:11" s="1372" customFormat="1" x14ac:dyDescent="0.25">
      <c r="K622" s="1347" t="s">
        <v>649</v>
      </c>
    </row>
    <row r="623" spans="11:11" s="1372" customFormat="1" x14ac:dyDescent="0.25">
      <c r="K623" s="1347" t="s">
        <v>649</v>
      </c>
    </row>
    <row r="624" spans="11:11" s="1372" customFormat="1" x14ac:dyDescent="0.25">
      <c r="K624" s="1347" t="s">
        <v>649</v>
      </c>
    </row>
    <row r="625" spans="11:12" s="1372" customFormat="1" x14ac:dyDescent="0.25">
      <c r="K625" s="1347" t="s">
        <v>649</v>
      </c>
      <c r="L625" s="1347"/>
    </row>
    <row r="626" spans="11:12" s="1372" customFormat="1" x14ac:dyDescent="0.25">
      <c r="K626" s="1347" t="s">
        <v>649</v>
      </c>
      <c r="L626" s="1347"/>
    </row>
    <row r="627" spans="11:12" s="1372" customFormat="1" x14ac:dyDescent="0.25">
      <c r="K627" s="1347" t="s">
        <v>649</v>
      </c>
      <c r="L627" s="1347"/>
    </row>
    <row r="628" spans="11:12" s="1372" customFormat="1" x14ac:dyDescent="0.25">
      <c r="K628" s="1347" t="s">
        <v>649</v>
      </c>
      <c r="L628" s="1347"/>
    </row>
    <row r="629" spans="11:12" s="1372" customFormat="1" x14ac:dyDescent="0.25">
      <c r="K629" s="1347" t="s">
        <v>649</v>
      </c>
      <c r="L629" s="1347"/>
    </row>
    <row r="630" spans="11:12" s="1372" customFormat="1" x14ac:dyDescent="0.25">
      <c r="K630" s="1347" t="s">
        <v>649</v>
      </c>
      <c r="L630" s="1347"/>
    </row>
    <row r="631" spans="11:12" s="1372" customFormat="1" x14ac:dyDescent="0.25">
      <c r="K631" s="1347" t="s">
        <v>649</v>
      </c>
      <c r="L631" s="1347"/>
    </row>
    <row r="632" spans="11:12" s="1372" customFormat="1" x14ac:dyDescent="0.25">
      <c r="K632" s="1347" t="s">
        <v>649</v>
      </c>
      <c r="L632" s="1347"/>
    </row>
    <row r="633" spans="11:12" s="1372" customFormat="1" x14ac:dyDescent="0.25">
      <c r="K633" s="1347" t="s">
        <v>649</v>
      </c>
      <c r="L633" s="1347"/>
    </row>
    <row r="634" spans="11:12" s="1372" customFormat="1" x14ac:dyDescent="0.25">
      <c r="K634" s="1347" t="s">
        <v>649</v>
      </c>
      <c r="L634" s="1347"/>
    </row>
    <row r="635" spans="11:12" s="1372" customFormat="1" x14ac:dyDescent="0.25">
      <c r="K635" s="1347" t="s">
        <v>649</v>
      </c>
      <c r="L635" s="1347"/>
    </row>
    <row r="636" spans="11:12" s="1372" customFormat="1" x14ac:dyDescent="0.25">
      <c r="K636" s="1347" t="s">
        <v>649</v>
      </c>
      <c r="L636" s="1347"/>
    </row>
    <row r="637" spans="11:12" s="1372" customFormat="1" x14ac:dyDescent="0.25">
      <c r="K637" s="1347" t="s">
        <v>649</v>
      </c>
      <c r="L637" s="1347"/>
    </row>
    <row r="638" spans="11:12" s="1372" customFormat="1" x14ac:dyDescent="0.25">
      <c r="K638" s="1347" t="s">
        <v>649</v>
      </c>
      <c r="L638" s="1347"/>
    </row>
    <row r="639" spans="11:12" s="1372" customFormat="1" x14ac:dyDescent="0.25">
      <c r="K639" s="1347" t="s">
        <v>649</v>
      </c>
      <c r="L639" s="1347"/>
    </row>
    <row r="640" spans="11:12" s="1372" customFormat="1" x14ac:dyDescent="0.25">
      <c r="K640" s="1347" t="s">
        <v>649</v>
      </c>
      <c r="L640" s="1347"/>
    </row>
    <row r="641" spans="11:12" s="1372" customFormat="1" x14ac:dyDescent="0.25">
      <c r="K641" s="1347" t="s">
        <v>649</v>
      </c>
      <c r="L641" s="1347"/>
    </row>
    <row r="642" spans="11:12" s="1372" customFormat="1" x14ac:dyDescent="0.25">
      <c r="K642" s="1347" t="s">
        <v>649</v>
      </c>
      <c r="L642" s="1347"/>
    </row>
    <row r="643" spans="11:12" s="1372" customFormat="1" x14ac:dyDescent="0.25">
      <c r="K643" s="1347" t="s">
        <v>649</v>
      </c>
      <c r="L643" s="1347"/>
    </row>
    <row r="644" spans="11:12" s="1372" customFormat="1" x14ac:dyDescent="0.25">
      <c r="K644" s="1347" t="s">
        <v>649</v>
      </c>
      <c r="L644" s="1347"/>
    </row>
    <row r="645" spans="11:12" s="1372" customFormat="1" x14ac:dyDescent="0.25">
      <c r="K645" s="1347" t="s">
        <v>649</v>
      </c>
      <c r="L645" s="1347"/>
    </row>
    <row r="646" spans="11:12" s="1372" customFormat="1" x14ac:dyDescent="0.25">
      <c r="K646" s="1347" t="s">
        <v>649</v>
      </c>
      <c r="L646" s="1347"/>
    </row>
    <row r="647" spans="11:12" s="1372" customFormat="1" x14ac:dyDescent="0.25">
      <c r="K647" s="1347" t="s">
        <v>649</v>
      </c>
      <c r="L647" s="1347"/>
    </row>
    <row r="648" spans="11:12" s="1372" customFormat="1" x14ac:dyDescent="0.25">
      <c r="K648" s="1347" t="s">
        <v>649</v>
      </c>
      <c r="L648" s="1347"/>
    </row>
    <row r="649" spans="11:12" s="1372" customFormat="1" x14ac:dyDescent="0.25">
      <c r="K649" s="1347" t="s">
        <v>649</v>
      </c>
      <c r="L649" s="1347"/>
    </row>
    <row r="650" spans="11:12" s="1372" customFormat="1" x14ac:dyDescent="0.25">
      <c r="K650" s="1347" t="s">
        <v>649</v>
      </c>
      <c r="L650" s="1347"/>
    </row>
    <row r="651" spans="11:12" s="1372" customFormat="1" x14ac:dyDescent="0.25">
      <c r="K651" s="1347" t="s">
        <v>649</v>
      </c>
      <c r="L651" s="1347"/>
    </row>
    <row r="652" spans="11:12" s="1372" customFormat="1" x14ac:dyDescent="0.25">
      <c r="K652" s="1347" t="s">
        <v>649</v>
      </c>
      <c r="L652" s="1347"/>
    </row>
    <row r="653" spans="11:12" s="1372" customFormat="1" x14ac:dyDescent="0.25">
      <c r="K653" s="1347" t="s">
        <v>649</v>
      </c>
      <c r="L653" s="1347"/>
    </row>
    <row r="654" spans="11:12" s="1372" customFormat="1" x14ac:dyDescent="0.25">
      <c r="K654" s="1347" t="s">
        <v>649</v>
      </c>
      <c r="L654" s="1347"/>
    </row>
    <row r="655" spans="11:12" s="1372" customFormat="1" x14ac:dyDescent="0.25">
      <c r="K655" s="1347" t="s">
        <v>649</v>
      </c>
      <c r="L655" s="1347"/>
    </row>
    <row r="656" spans="11:12" s="1372" customFormat="1" x14ac:dyDescent="0.25">
      <c r="K656" s="1347" t="s">
        <v>649</v>
      </c>
      <c r="L656" s="1347"/>
    </row>
    <row r="657" spans="1:12" s="1372" customFormat="1" x14ac:dyDescent="0.25">
      <c r="K657" s="1347" t="s">
        <v>649</v>
      </c>
      <c r="L657" s="1347"/>
    </row>
    <row r="658" spans="1:12" s="1374" customFormat="1" x14ac:dyDescent="0.25">
      <c r="A658" s="1373"/>
      <c r="B658" s="1373"/>
      <c r="C658" s="1373"/>
      <c r="D658" s="1373"/>
      <c r="E658" s="1373"/>
      <c r="F658" s="1373"/>
      <c r="G658" s="1373"/>
      <c r="H658" s="1373"/>
      <c r="I658" s="1373"/>
      <c r="J658" s="1373"/>
      <c r="K658" s="1347" t="s">
        <v>649</v>
      </c>
      <c r="L658" s="1347"/>
    </row>
    <row r="659" spans="1:12" s="1372" customFormat="1" ht="15" customHeight="1" x14ac:dyDescent="0.25">
      <c r="A659" s="704"/>
      <c r="B659" s="704"/>
      <c r="C659" s="704"/>
      <c r="D659" s="704"/>
      <c r="E659" s="704"/>
      <c r="F659" s="704"/>
      <c r="G659" s="704"/>
      <c r="H659" s="704"/>
      <c r="I659" s="704"/>
      <c r="J659" s="704"/>
      <c r="K659" s="1347" t="s">
        <v>649</v>
      </c>
      <c r="L659" s="1347"/>
    </row>
    <row r="660" spans="1:12" s="1347" customFormat="1" ht="15" customHeight="1" x14ac:dyDescent="0.25">
      <c r="A660" s="2988" t="str">
        <f>"Transdutor "&amp;Ultrassom!A579&amp;" - marca "&amp;Ultrassom!B579&amp;", modelo "&amp;Ultrassom!C579&amp;", n° série "&amp;Ultrassom!D579</f>
        <v>Transdutor 7 - marca não informada, modelo não informado, n° série não informado</v>
      </c>
      <c r="B660" s="2988"/>
      <c r="C660" s="2988"/>
      <c r="D660" s="2988"/>
      <c r="E660" s="2988"/>
      <c r="F660" s="2988"/>
      <c r="G660" s="2988"/>
      <c r="H660" s="2988"/>
      <c r="I660" s="2988"/>
      <c r="J660" s="2988"/>
      <c r="K660" s="1347" t="str">
        <f>IF(Ultrassom!B577&lt;=Ultrassom!$E$4,"","x")</f>
        <v>x</v>
      </c>
      <c r="L660" s="1347" t="str">
        <f>Ultrassom!A577&amp;Ultrassom!B577</f>
        <v>TRANSDUTOR: 7</v>
      </c>
    </row>
    <row r="661" spans="1:12" s="1347" customFormat="1" ht="15" customHeight="1" x14ac:dyDescent="0.25">
      <c r="A661" s="2988"/>
      <c r="B661" s="2988"/>
      <c r="C661" s="2988"/>
      <c r="D661" s="2988"/>
      <c r="E661" s="2988"/>
      <c r="F661" s="2988"/>
      <c r="G661" s="2988"/>
      <c r="H661" s="2988"/>
      <c r="I661" s="2988"/>
      <c r="J661" s="2988"/>
      <c r="K661" s="1347" t="str">
        <f>K660</f>
        <v>x</v>
      </c>
    </row>
    <row r="662" spans="1:12" s="1347" customFormat="1" ht="15" customHeight="1" x14ac:dyDescent="0.25">
      <c r="A662" s="1346"/>
      <c r="B662" s="1346"/>
      <c r="C662" s="1346"/>
      <c r="D662" s="1346"/>
      <c r="E662" s="1346"/>
      <c r="F662" s="1346"/>
      <c r="G662" s="1346"/>
      <c r="H662" s="1346"/>
      <c r="I662" s="1346"/>
      <c r="J662" s="1346"/>
      <c r="K662" s="1347" t="str">
        <f>K661</f>
        <v>x</v>
      </c>
    </row>
    <row r="663" spans="1:12" s="1347" customFormat="1" ht="15" customHeight="1" x14ac:dyDescent="0.25">
      <c r="A663" s="2984" t="s">
        <v>1576</v>
      </c>
      <c r="B663" s="2984"/>
      <c r="C663" s="2984"/>
      <c r="D663" s="2984"/>
      <c r="E663" s="2984"/>
      <c r="F663" s="2984"/>
      <c r="G663" s="2848" t="s">
        <v>369</v>
      </c>
      <c r="H663" s="3014"/>
      <c r="I663" s="1333" t="str">
        <f>"IN "&amp;VLOOKUP("Ultrassom",IN_ANVISA[],2)</f>
        <v>IN 96</v>
      </c>
      <c r="K663" s="1347" t="str">
        <f>K662</f>
        <v>x</v>
      </c>
    </row>
    <row r="664" spans="1:12" s="1347" customFormat="1" ht="15" customHeight="1" x14ac:dyDescent="0.25">
      <c r="A664" s="3011" t="s">
        <v>1619</v>
      </c>
      <c r="B664" s="3012"/>
      <c r="C664" s="3012"/>
      <c r="D664" s="3012"/>
      <c r="E664" s="3012"/>
      <c r="F664" s="3013"/>
      <c r="G664" s="2990" t="str">
        <f>Ultrassom!E579</f>
        <v>Boa</v>
      </c>
      <c r="H664" s="2992"/>
      <c r="I664" s="1237" t="s">
        <v>142</v>
      </c>
      <c r="K664" s="1347" t="str">
        <f>K663</f>
        <v>x</v>
      </c>
      <c r="L664" s="1347" t="str">
        <f>IF(G664&lt;&gt;"Boa",A664,"")</f>
        <v/>
      </c>
    </row>
    <row r="665" spans="1:12" s="1347" customFormat="1" ht="15" customHeight="1" x14ac:dyDescent="0.25">
      <c r="A665" s="3001" t="s">
        <v>1538</v>
      </c>
      <c r="B665" s="3001"/>
      <c r="C665" s="3001"/>
      <c r="D665" s="3001"/>
      <c r="E665" s="3001"/>
      <c r="F665" s="3001"/>
      <c r="G665" s="3002" t="str">
        <f>IF(LARGE(Ultrassom!C590:D590,1)=0,IF(Ultrassom!D584="s","Uniforme","Não uniforme"),ROUNDDOWN(LARGE(Ultrassom!C590:D590,1),1)&amp;" dB")</f>
        <v>Não uniforme</v>
      </c>
      <c r="H665" s="3003"/>
      <c r="I665" s="1237" t="str">
        <f>Ultrassom!B590</f>
        <v>NPA</v>
      </c>
      <c r="K665" s="1347" t="str">
        <f>K664</f>
        <v>x</v>
      </c>
      <c r="L665" s="1347" t="str">
        <f>IF(I665="Não",A665,"")</f>
        <v/>
      </c>
    </row>
    <row r="666" spans="1:12" s="1347" customFormat="1" ht="15" customHeight="1" x14ac:dyDescent="0.25">
      <c r="A666" s="3001" t="s">
        <v>1579</v>
      </c>
      <c r="B666" s="3001"/>
      <c r="C666" s="3001"/>
      <c r="D666" s="3001"/>
      <c r="E666" s="3001"/>
      <c r="F666" s="3001"/>
      <c r="G666" s="3002" t="str">
        <f>Ultrassom!D599&amp;" cm"</f>
        <v xml:space="preserve"> cm</v>
      </c>
      <c r="H666" s="3003"/>
      <c r="I666" s="1237" t="str">
        <f>Ultrassom!D601</f>
        <v>NA</v>
      </c>
      <c r="K666" s="1347" t="str">
        <f>IF(I666="NA","x","")</f>
        <v>x</v>
      </c>
      <c r="L666" s="1347" t="str">
        <f>IF(I666="Não",A666,"")</f>
        <v/>
      </c>
    </row>
    <row r="667" spans="1:12" s="1347" customFormat="1" ht="15" customHeight="1" x14ac:dyDescent="0.25">
      <c r="A667" s="3001" t="s">
        <v>1577</v>
      </c>
      <c r="B667" s="3001"/>
      <c r="C667" s="3001"/>
      <c r="D667" s="3001"/>
      <c r="E667" s="3001"/>
      <c r="F667" s="3001"/>
      <c r="G667" s="2591" t="str">
        <f>Ultrassom!B599&amp;" cm"</f>
        <v xml:space="preserve"> cm</v>
      </c>
      <c r="H667" s="2593"/>
      <c r="I667" s="1243" t="str">
        <f>Ultrassom!B601</f>
        <v>NA</v>
      </c>
      <c r="K667" s="1347" t="str">
        <f>IF(I667="NA","x","")</f>
        <v>x</v>
      </c>
      <c r="L667" s="1347" t="str">
        <f>IF(I667="Não",A667,"")</f>
        <v/>
      </c>
    </row>
    <row r="668" spans="1:12" s="1347" customFormat="1" ht="15" customHeight="1" x14ac:dyDescent="0.25">
      <c r="A668" s="3001" t="s">
        <v>1578</v>
      </c>
      <c r="B668" s="3001"/>
      <c r="C668" s="3001"/>
      <c r="D668" s="3001"/>
      <c r="E668" s="3001"/>
      <c r="F668" s="3001"/>
      <c r="G668" s="2591" t="str">
        <f>Ultrassom!C599&amp;" cm"</f>
        <v xml:space="preserve"> cm</v>
      </c>
      <c r="H668" s="2593"/>
      <c r="I668" s="1243" t="str">
        <f>Ultrassom!C601</f>
        <v>NA</v>
      </c>
      <c r="K668" s="1347" t="str">
        <f>IF(I668="NA","x","")</f>
        <v>x</v>
      </c>
      <c r="L668" s="1347" t="str">
        <f>IF(I668="Não",A668,"")</f>
        <v/>
      </c>
    </row>
    <row r="669" spans="1:12" s="1347" customFormat="1" ht="15" customHeight="1" x14ac:dyDescent="0.25">
      <c r="A669" s="3001" t="s">
        <v>1580</v>
      </c>
      <c r="B669" s="3001"/>
      <c r="C669" s="3001"/>
      <c r="D669" s="3001"/>
      <c r="E669" s="3001"/>
      <c r="F669" s="3001"/>
      <c r="G669" s="2990" t="str">
        <f>Ultrassom!B605&amp;" objetos, "&amp;IF(Ultrassom!B608="s","BD","BND")&amp;" "&amp;IF(Ultrassom!B609="s","AC","ANC")</f>
        <v xml:space="preserve"> objetos, BND ANC</v>
      </c>
      <c r="H669" s="2992"/>
      <c r="I669" s="1237" t="str">
        <f>Ultrassom!B610</f>
        <v>Sim</v>
      </c>
      <c r="K669" s="1347" t="str">
        <f>K660</f>
        <v>x</v>
      </c>
      <c r="L669" s="1347" t="str">
        <f>IF(I669="Não","Visualização de objetos anecóicos","")</f>
        <v/>
      </c>
    </row>
    <row r="670" spans="1:12" s="1347" customFormat="1" ht="15" customHeight="1" x14ac:dyDescent="0.25">
      <c r="A670" s="3001" t="s">
        <v>1581</v>
      </c>
      <c r="B670" s="3001"/>
      <c r="C670" s="3001"/>
      <c r="D670" s="3001"/>
      <c r="E670" s="3001"/>
      <c r="F670" s="3001"/>
      <c r="G670" s="3002" t="str">
        <f>Ultrassom!D605&amp;" objetos, "&amp;IF(Ultrassom!D608="s","BD","BND")&amp;" "&amp;IF(Ultrassom!D609="s","AC","ANC")</f>
        <v xml:space="preserve"> objetos, BND ANC</v>
      </c>
      <c r="H670" s="3003"/>
      <c r="I670" s="1237" t="str">
        <f>Ultrassom!D610</f>
        <v>Sim</v>
      </c>
      <c r="K670" s="1347" t="str">
        <f>K669</f>
        <v>x</v>
      </c>
      <c r="L670" s="1347" t="str">
        <f>IF(I670="Não","Visualização de objetos anecóicos","")</f>
        <v/>
      </c>
    </row>
    <row r="671" spans="1:12" s="1347" customFormat="1" ht="15" customHeight="1" x14ac:dyDescent="0.25">
      <c r="A671" s="3001" t="s">
        <v>1582</v>
      </c>
      <c r="B671" s="3001"/>
      <c r="C671" s="3001"/>
      <c r="D671" s="3001"/>
      <c r="E671" s="3001"/>
      <c r="F671" s="3001"/>
      <c r="G671" s="3002" t="str">
        <f>Ultrassom!F605&amp;" objetos, "&amp;IF(Ultrassom!F608="s","BD","BND")&amp;" "&amp;IF(Ultrassom!F609="s","AC","ANC")</f>
        <v xml:space="preserve"> objetos, BND ANC</v>
      </c>
      <c r="H671" s="3003"/>
      <c r="I671" s="1237" t="str">
        <f>Ultrassom!F610</f>
        <v>Sim</v>
      </c>
      <c r="K671" s="1347" t="str">
        <f t="shared" ref="K671:K676" si="21">K670</f>
        <v>x</v>
      </c>
      <c r="L671" s="1347" t="str">
        <f>IF(I671="Não","Visualização de objetos anecóicos","")</f>
        <v/>
      </c>
    </row>
    <row r="672" spans="1:12" s="1347" customFormat="1" x14ac:dyDescent="0.25">
      <c r="A672" s="3004" t="str">
        <f>"Zona morta @ "&amp;ROUND(Ultrassom!A614,1)&amp;" MHz"</f>
        <v>Zona morta @ 0 MHz</v>
      </c>
      <c r="B672" s="3004"/>
      <c r="C672" s="3004"/>
      <c r="D672" s="3004"/>
      <c r="E672" s="3004"/>
      <c r="F672" s="3004"/>
      <c r="G672" s="2975" t="str">
        <f>Ultrassom!C614&amp;" mm"</f>
        <v xml:space="preserve"> mm</v>
      </c>
      <c r="H672" s="2998"/>
      <c r="I672" s="1237" t="str">
        <f>Ultrassom!E614</f>
        <v>Sim</v>
      </c>
      <c r="K672" s="1347" t="str">
        <f t="shared" si="21"/>
        <v>x</v>
      </c>
      <c r="L672" s="1347" t="str">
        <f>IF(I672="Não","Zona morta","")</f>
        <v/>
      </c>
    </row>
    <row r="673" spans="1:12" s="940" customFormat="1" x14ac:dyDescent="0.25">
      <c r="A673" s="3005" t="s">
        <v>1583</v>
      </c>
      <c r="B673" s="3005"/>
      <c r="C673" s="3005"/>
      <c r="D673" s="3005"/>
      <c r="E673" s="3005"/>
      <c r="F673" s="3005"/>
      <c r="G673" s="2975" t="e">
        <f>LARGE(Ultrassom!C622:C623,1)&amp;" mm"</f>
        <v>#NUM!</v>
      </c>
      <c r="H673" s="2998"/>
      <c r="I673" s="1237" t="str">
        <f>Ultrassom!C625</f>
        <v>NPA</v>
      </c>
      <c r="K673" s="1347" t="str">
        <f t="shared" si="21"/>
        <v>x</v>
      </c>
      <c r="L673" s="1347" t="str">
        <f>IF(I673="Não",A673,"")</f>
        <v/>
      </c>
    </row>
    <row r="674" spans="1:12" s="940" customFormat="1" x14ac:dyDescent="0.25">
      <c r="A674" s="3005" t="s">
        <v>1584</v>
      </c>
      <c r="B674" s="3005"/>
      <c r="C674" s="3005"/>
      <c r="D674" s="3005"/>
      <c r="E674" s="3005"/>
      <c r="F674" s="3005"/>
      <c r="G674" s="2975" t="e">
        <f>LARGE(Ultrassom!D622:D623,1)&amp;" mm"</f>
        <v>#NUM!</v>
      </c>
      <c r="H674" s="2998"/>
      <c r="I674" s="1237" t="str">
        <f>Ultrassom!D625</f>
        <v>NPA</v>
      </c>
      <c r="K674" s="1347" t="str">
        <f t="shared" si="21"/>
        <v>x</v>
      </c>
      <c r="L674" s="1347" t="str">
        <f>IF(I674="Não",A674,"")</f>
        <v/>
      </c>
    </row>
    <row r="675" spans="1:12" s="940" customFormat="1" ht="15" customHeight="1" x14ac:dyDescent="0.25">
      <c r="A675" s="3006" t="str">
        <f>"Resolução axial @ "&amp;ROUND(Ultrassom!D629,1)&amp;" MHz"</f>
        <v>Resolução axial @ 0 MHz</v>
      </c>
      <c r="B675" s="3006"/>
      <c r="C675" s="3006"/>
      <c r="D675" s="3006"/>
      <c r="E675" s="3006"/>
      <c r="F675" s="3006"/>
      <c r="G675" s="3007">
        <f>Ultrassom!D631</f>
        <v>0</v>
      </c>
      <c r="H675" s="3008"/>
      <c r="I675" s="1237" t="str">
        <f>Ultrassom!D633</f>
        <v>Sim</v>
      </c>
      <c r="K675" s="1347" t="str">
        <f t="shared" si="21"/>
        <v>x</v>
      </c>
      <c r="L675" s="1347" t="str">
        <f>IF(I675="Não","Resolução axial","")</f>
        <v/>
      </c>
    </row>
    <row r="676" spans="1:12" s="940" customFormat="1" ht="15" customHeight="1" x14ac:dyDescent="0.25">
      <c r="A676" s="3006" t="str">
        <f>"Resolução lateral @ "&amp;ROUND(Ultrassom!E629,1)&amp;" MHz"</f>
        <v>Resolução lateral @ 0 MHz</v>
      </c>
      <c r="B676" s="3006"/>
      <c r="C676" s="3006"/>
      <c r="D676" s="3006"/>
      <c r="E676" s="3006"/>
      <c r="F676" s="3006"/>
      <c r="G676" s="3007">
        <f>Ultrassom!E631</f>
        <v>0</v>
      </c>
      <c r="H676" s="3008"/>
      <c r="I676" s="1237" t="str">
        <f>Ultrassom!E633</f>
        <v>Sim</v>
      </c>
      <c r="K676" s="1347" t="str">
        <f t="shared" si="21"/>
        <v>x</v>
      </c>
      <c r="L676" s="1347" t="str">
        <f>IF(I676="Não","Resolução lateral","")</f>
        <v/>
      </c>
    </row>
    <row r="677" spans="1:12" s="940" customFormat="1" ht="15" customHeight="1" x14ac:dyDescent="0.25">
      <c r="A677" s="2993" t="str">
        <f>"Zona focal - foco @ "&amp;Ultrassom!B637&amp;" cm"</f>
        <v>Zona focal - foco @  cm</v>
      </c>
      <c r="B677" s="2994"/>
      <c r="C677" s="2994"/>
      <c r="D677" s="2994"/>
      <c r="E677" s="2994"/>
      <c r="F677" s="2995"/>
      <c r="G677" s="2975" t="str">
        <f>Ultrassom!B639&amp;" cm"</f>
        <v xml:space="preserve"> cm</v>
      </c>
      <c r="H677" s="2998"/>
      <c r="I677" s="1237" t="str">
        <f>Ultrassom!B642</f>
        <v>NA</v>
      </c>
      <c r="K677" s="1347" t="str">
        <f>IF(I677="NA","x","")</f>
        <v>x</v>
      </c>
      <c r="L677" s="1347" t="str">
        <f>IF(I677="Não","Zona focal","")</f>
        <v/>
      </c>
    </row>
    <row r="678" spans="1:12" s="940" customFormat="1" ht="15" customHeight="1" x14ac:dyDescent="0.25">
      <c r="A678" s="2993" t="str">
        <f>"Zona focal - foco @ "&amp;Ultrassom!C637&amp;" cm"</f>
        <v>Zona focal - foco @  cm</v>
      </c>
      <c r="B678" s="2994"/>
      <c r="C678" s="2994"/>
      <c r="D678" s="2994"/>
      <c r="E678" s="2994"/>
      <c r="F678" s="2995"/>
      <c r="G678" s="2975" t="str">
        <f>Ultrassom!C639&amp;" cm"</f>
        <v xml:space="preserve"> cm</v>
      </c>
      <c r="H678" s="2998"/>
      <c r="I678" s="1237" t="str">
        <f>Ultrassom!C642</f>
        <v>NA</v>
      </c>
      <c r="K678" s="1347" t="str">
        <f>IF(I678="NA","x","")</f>
        <v>x</v>
      </c>
      <c r="L678" s="1347" t="str">
        <f>IF(I678="Não","Zona focal","")</f>
        <v/>
      </c>
    </row>
    <row r="679" spans="1:12" s="940" customFormat="1" ht="15" customHeight="1" x14ac:dyDescent="0.25">
      <c r="A679" s="2993" t="str">
        <f>"Zona focal - foco @ "&amp;Ultrassom!D637&amp;" cm"</f>
        <v>Zona focal - foco @  cm</v>
      </c>
      <c r="B679" s="2994"/>
      <c r="C679" s="2994"/>
      <c r="D679" s="2994"/>
      <c r="E679" s="2994"/>
      <c r="F679" s="2995"/>
      <c r="G679" s="2996" t="str">
        <f>Ultrassom!D639&amp;" cm"</f>
        <v xml:space="preserve"> cm</v>
      </c>
      <c r="H679" s="2997"/>
      <c r="I679" s="1243" t="str">
        <f>Ultrassom!D642</f>
        <v>NA</v>
      </c>
      <c r="K679" s="1347" t="str">
        <f>IF(I679="NA","x","")</f>
        <v>x</v>
      </c>
      <c r="L679" s="1347" t="str">
        <f>IF(I679="Não","Zona focal","")</f>
        <v/>
      </c>
    </row>
    <row r="680" spans="1:12" s="940" customFormat="1" ht="15" customHeight="1" x14ac:dyDescent="0.25">
      <c r="A680" s="2993" t="str">
        <f>"Zona focal - foco @ "&amp;Ultrassom!E637&amp;" cm"</f>
        <v>Zona focal - foco @  cm</v>
      </c>
      <c r="B680" s="2994"/>
      <c r="C680" s="2994"/>
      <c r="D680" s="2994"/>
      <c r="E680" s="2994"/>
      <c r="F680" s="2995"/>
      <c r="G680" s="2996" t="str">
        <f>Ultrassom!E639&amp;" cm"</f>
        <v xml:space="preserve"> cm</v>
      </c>
      <c r="H680" s="2997"/>
      <c r="I680" s="1243" t="str">
        <f>Ultrassom!E642</f>
        <v>NA</v>
      </c>
      <c r="K680" s="1347" t="str">
        <f>IF(I680="NA","x","")</f>
        <v>x</v>
      </c>
      <c r="L680" s="1347" t="str">
        <f>IF(I680="Não","Zona focal","")</f>
        <v/>
      </c>
    </row>
    <row r="681" spans="1:12" s="940" customFormat="1" ht="15" customHeight="1" x14ac:dyDescent="0.25">
      <c r="A681" s="2993" t="str">
        <f>"Zona focal - foco @ "&amp;Ultrassom!F637&amp;" cm"</f>
        <v>Zona focal - foco @  cm</v>
      </c>
      <c r="B681" s="2994"/>
      <c r="C681" s="2994"/>
      <c r="D681" s="2994"/>
      <c r="E681" s="2994"/>
      <c r="F681" s="2995"/>
      <c r="G681" s="2975" t="str">
        <f>Ultrassom!F639&amp;" cm"</f>
        <v xml:space="preserve"> cm</v>
      </c>
      <c r="H681" s="2998"/>
      <c r="I681" s="1237" t="str">
        <f>Ultrassom!F642</f>
        <v>NA</v>
      </c>
      <c r="K681" s="1347" t="str">
        <f>IF(I681="NA","x","")</f>
        <v>x</v>
      </c>
      <c r="L681" s="1347" t="str">
        <f>IF(I681="Não","Zona focal","")</f>
        <v/>
      </c>
    </row>
    <row r="682" spans="1:12" s="940" customFormat="1" ht="15" customHeight="1" x14ac:dyDescent="0.25">
      <c r="A682" s="2993" t="s">
        <v>1585</v>
      </c>
      <c r="B682" s="2994"/>
      <c r="C682" s="2994"/>
      <c r="D682" s="2994"/>
      <c r="E682" s="2994"/>
      <c r="F682" s="2995"/>
      <c r="G682" s="2999" t="str">
        <f>IF(Ultrassom!B647="s","Visualizado","Não visualizado")</f>
        <v>Não visualizado</v>
      </c>
      <c r="H682" s="3000"/>
      <c r="I682" s="1237" t="str">
        <f>Ultrassom!B649</f>
        <v>Sim</v>
      </c>
      <c r="K682" s="1347" t="str">
        <f>K660</f>
        <v>x</v>
      </c>
      <c r="L682" s="1347" t="str">
        <f>IF(I682="Não","Limiar de sensibilidade a baixo contraste","")</f>
        <v/>
      </c>
    </row>
    <row r="683" spans="1:12" s="940" customFormat="1" ht="15" customHeight="1" x14ac:dyDescent="0.25">
      <c r="A683" s="2993" t="s">
        <v>1586</v>
      </c>
      <c r="B683" s="2994"/>
      <c r="C683" s="2994"/>
      <c r="D683" s="2994"/>
      <c r="E683" s="2994"/>
      <c r="F683" s="2995"/>
      <c r="G683" s="2999" t="str">
        <f>IF(Ultrassom!C647="s","Visualizado","Não visualizado")</f>
        <v>Não visualizado</v>
      </c>
      <c r="H683" s="3000"/>
      <c r="I683" s="1237" t="str">
        <f>Ultrassom!C649</f>
        <v>Sim</v>
      </c>
      <c r="K683" s="1347" t="str">
        <f>K682</f>
        <v>x</v>
      </c>
      <c r="L683" s="1347" t="str">
        <f>IF(I683="Não","Limiar de sensibilidade a baixo contraste","")</f>
        <v/>
      </c>
    </row>
    <row r="684" spans="1:12" s="940" customFormat="1" ht="15" customHeight="1" x14ac:dyDescent="0.25">
      <c r="A684" s="2993" t="s">
        <v>1587</v>
      </c>
      <c r="B684" s="2994"/>
      <c r="C684" s="2994"/>
      <c r="D684" s="2994"/>
      <c r="E684" s="2994"/>
      <c r="F684" s="2995"/>
      <c r="G684" s="2999" t="str">
        <f>IF(Ultrassom!D647="s","Visualizado","Não visualizado")</f>
        <v>Não visualizado</v>
      </c>
      <c r="H684" s="3000"/>
      <c r="I684" s="1237" t="str">
        <f>Ultrassom!D649</f>
        <v>Sim</v>
      </c>
      <c r="K684" s="1347" t="str">
        <f>K683</f>
        <v>x</v>
      </c>
      <c r="L684" s="1347" t="str">
        <f>IF(I684="Não","Limiar de sensibilidade a baixo contraste","")</f>
        <v/>
      </c>
    </row>
    <row r="685" spans="1:12" s="940" customFormat="1" ht="15" customHeight="1" x14ac:dyDescent="0.25">
      <c r="A685" s="2993" t="s">
        <v>1588</v>
      </c>
      <c r="B685" s="2994"/>
      <c r="C685" s="2994"/>
      <c r="D685" s="2994"/>
      <c r="E685" s="2994"/>
      <c r="F685" s="2995"/>
      <c r="G685" s="2999" t="str">
        <f>IF(Ultrassom!E647="s","Visualizado","Não visualizado")</f>
        <v>Não visualizado</v>
      </c>
      <c r="H685" s="3000"/>
      <c r="I685" s="1237" t="str">
        <f>Ultrassom!E649</f>
        <v>Sim</v>
      </c>
      <c r="K685" s="1347" t="str">
        <f>K684</f>
        <v>x</v>
      </c>
      <c r="L685" s="1347" t="str">
        <f>IF(I685="Não","Limiar de sensibilidade a baixo contraste","")</f>
        <v/>
      </c>
    </row>
    <row r="686" spans="1:12" s="940" customFormat="1" ht="15" customHeight="1" x14ac:dyDescent="0.25">
      <c r="A686" s="3006" t="s">
        <v>1589</v>
      </c>
      <c r="B686" s="3006"/>
      <c r="C686" s="3006"/>
      <c r="D686" s="3006"/>
      <c r="E686" s="3006"/>
      <c r="F686" s="3006"/>
      <c r="G686" s="3002" t="str">
        <f>IFERROR(Ultrassom!F655*100&amp;" %","NPA")</f>
        <v>NPA</v>
      </c>
      <c r="H686" s="3003"/>
      <c r="I686" s="1237" t="str">
        <f>Ultrassom!G655</f>
        <v>NA</v>
      </c>
      <c r="K686" s="1381" t="str">
        <f>K685</f>
        <v>x</v>
      </c>
      <c r="L686" s="1347" t="str">
        <f>IF(I686="Não",A686,"")</f>
        <v/>
      </c>
    </row>
    <row r="687" spans="1:12" s="940" customFormat="1" ht="15" customHeight="1" x14ac:dyDescent="0.25">
      <c r="A687" s="3006" t="str">
        <f>"Sensibilidade do modo doppler @ "&amp;Ultrassom!B659&amp;" (ref. "&amp;Ultrassom!B662&amp;" "&amp;Ultrassom!$A$660&amp;")"</f>
        <v>Sensibilidade do modo doppler @ fluxo baixo (ref. NI ml/s)</v>
      </c>
      <c r="B687" s="3006"/>
      <c r="C687" s="3006"/>
      <c r="D687" s="3006"/>
      <c r="E687" s="3006"/>
      <c r="F687" s="3006"/>
      <c r="G687" s="3002" t="str">
        <f>IFERROR(ROUNDDOWN(Ultrassom!C662,1)&amp;" "&amp;Ultrassom!$A$660,"NPA")</f>
        <v>0 ml/s</v>
      </c>
      <c r="H687" s="3003"/>
      <c r="I687" s="1834" t="str">
        <f>Ultrassom!D662</f>
        <v>NPA</v>
      </c>
      <c r="K687" s="1835" t="str">
        <f t="shared" ref="K687:K689" si="22">IF(G687="0 ml/s","x","")</f>
        <v>x</v>
      </c>
      <c r="L687" s="1347" t="str">
        <f>IF(I687="Não","Sensibilidade do modo doppler","")</f>
        <v/>
      </c>
    </row>
    <row r="688" spans="1:12" s="940" customFormat="1" ht="15" customHeight="1" x14ac:dyDescent="0.25">
      <c r="A688" s="3006" t="str">
        <f>"Sensibilidade do modo doppler @ "&amp;Ultrassom!E659&amp;" (ref. "&amp;Ultrassom!E662&amp;" "&amp;Ultrassom!$A$660&amp;")"</f>
        <v>Sensibilidade do modo doppler @ fluxo médio (ref. NI ml/s)</v>
      </c>
      <c r="B688" s="3006"/>
      <c r="C688" s="3006"/>
      <c r="D688" s="3006"/>
      <c r="E688" s="3006"/>
      <c r="F688" s="3006"/>
      <c r="G688" s="3002" t="str">
        <f>IFERROR(ROUNDDOWN(Ultrassom!F662,1)&amp;" "&amp;Ultrassom!$A$660,"NPA")</f>
        <v>0 ml/s</v>
      </c>
      <c r="H688" s="3003"/>
      <c r="I688" s="1834" t="str">
        <f>Ultrassom!G662</f>
        <v>NPA</v>
      </c>
      <c r="K688" s="1835" t="str">
        <f t="shared" si="22"/>
        <v>x</v>
      </c>
      <c r="L688" s="1347" t="str">
        <f>IF(I688="Não","Sensibilidade do modo doppler","")</f>
        <v/>
      </c>
    </row>
    <row r="689" spans="1:12" s="940" customFormat="1" ht="15" customHeight="1" x14ac:dyDescent="0.25">
      <c r="A689" s="3006" t="str">
        <f>"Sensibilidade do modo doppler @ "&amp;Ultrassom!H659&amp;" (ref. "&amp;Ultrassom!H662&amp;" "&amp;Ultrassom!$A$660&amp;")"</f>
        <v>Sensibilidade do modo doppler @ fluxo alto (ref. NI ml/s)</v>
      </c>
      <c r="B689" s="3006"/>
      <c r="C689" s="3006"/>
      <c r="D689" s="3006"/>
      <c r="E689" s="3006"/>
      <c r="F689" s="3006"/>
      <c r="G689" s="3002" t="str">
        <f>IFERROR(ROUNDDOWN(Ultrassom!I662,1)&amp;" "&amp;Ultrassom!$A$660,"NPA")</f>
        <v>0 ml/s</v>
      </c>
      <c r="H689" s="3003"/>
      <c r="I689" s="1834" t="str">
        <f>Ultrassom!J662</f>
        <v>NPA</v>
      </c>
      <c r="K689" s="1835" t="str">
        <f t="shared" si="22"/>
        <v>x</v>
      </c>
      <c r="L689" s="1347" t="str">
        <f>IF(I689="Não","Sensibilidade do modo doppler","")</f>
        <v/>
      </c>
    </row>
    <row r="690" spans="1:12" s="1347" customFormat="1" ht="15" customHeight="1" x14ac:dyDescent="0.25">
      <c r="A690" s="2986" t="s">
        <v>1922</v>
      </c>
      <c r="B690" s="2986"/>
      <c r="C690" s="2986"/>
      <c r="D690" s="2986"/>
      <c r="E690" s="2986"/>
      <c r="F690" s="2986"/>
      <c r="G690" s="2986"/>
      <c r="H690" s="2986"/>
      <c r="I690" s="2986"/>
      <c r="J690" s="2986"/>
      <c r="K690" s="1347" t="str">
        <f>K660</f>
        <v>x</v>
      </c>
    </row>
    <row r="691" spans="1:12" s="1347" customFormat="1" x14ac:dyDescent="0.25">
      <c r="A691" s="2986"/>
      <c r="B691" s="2986"/>
      <c r="C691" s="2986"/>
      <c r="D691" s="2986"/>
      <c r="E691" s="2986"/>
      <c r="F691" s="2986"/>
      <c r="G691" s="2986"/>
      <c r="H691" s="2986"/>
      <c r="I691" s="2986"/>
      <c r="J691" s="2986"/>
      <c r="K691" s="1347" t="str">
        <f>K690</f>
        <v>x</v>
      </c>
    </row>
    <row r="692" spans="1:12" s="1347" customFormat="1" x14ac:dyDescent="0.25">
      <c r="K692" s="1347" t="str">
        <f>K691</f>
        <v>x</v>
      </c>
      <c r="L692" s="1347" t="s">
        <v>1607</v>
      </c>
    </row>
    <row r="693" spans="1:12" s="1347" customFormat="1" x14ac:dyDescent="0.25">
      <c r="K693" s="1347" t="s">
        <v>649</v>
      </c>
    </row>
    <row r="694" spans="1:12" s="1372" customFormat="1" x14ac:dyDescent="0.25">
      <c r="K694" s="1347" t="s">
        <v>649</v>
      </c>
    </row>
    <row r="695" spans="1:12" s="1372" customFormat="1" x14ac:dyDescent="0.25">
      <c r="K695" s="1347" t="s">
        <v>649</v>
      </c>
    </row>
    <row r="696" spans="1:12" s="1372" customFormat="1" x14ac:dyDescent="0.25">
      <c r="K696" s="1347" t="s">
        <v>649</v>
      </c>
    </row>
    <row r="697" spans="1:12" s="1372" customFormat="1" x14ac:dyDescent="0.25">
      <c r="K697" s="1347" t="s">
        <v>649</v>
      </c>
    </row>
    <row r="698" spans="1:12" s="1372" customFormat="1" x14ac:dyDescent="0.25">
      <c r="K698" s="1347" t="s">
        <v>649</v>
      </c>
    </row>
    <row r="699" spans="1:12" s="1372" customFormat="1" x14ac:dyDescent="0.25">
      <c r="K699" s="1347" t="s">
        <v>649</v>
      </c>
    </row>
    <row r="700" spans="1:12" s="1372" customFormat="1" x14ac:dyDescent="0.25">
      <c r="K700" s="1347" t="s">
        <v>649</v>
      </c>
    </row>
    <row r="701" spans="1:12" s="1372" customFormat="1" x14ac:dyDescent="0.25">
      <c r="K701" s="1347" t="s">
        <v>649</v>
      </c>
    </row>
    <row r="702" spans="1:12" s="1372" customFormat="1" x14ac:dyDescent="0.25">
      <c r="K702" s="1347" t="s">
        <v>649</v>
      </c>
    </row>
    <row r="703" spans="1:12" s="1372" customFormat="1" x14ac:dyDescent="0.25">
      <c r="K703" s="1347" t="s">
        <v>649</v>
      </c>
    </row>
    <row r="704" spans="1:12" s="1372" customFormat="1" x14ac:dyDescent="0.25">
      <c r="K704" s="1347" t="s">
        <v>649</v>
      </c>
    </row>
    <row r="705" spans="11:11" s="1372" customFormat="1" x14ac:dyDescent="0.25">
      <c r="K705" s="1347" t="s">
        <v>649</v>
      </c>
    </row>
    <row r="706" spans="11:11" s="1372" customFormat="1" x14ac:dyDescent="0.25">
      <c r="K706" s="1347" t="s">
        <v>649</v>
      </c>
    </row>
    <row r="707" spans="11:11" s="1372" customFormat="1" x14ac:dyDescent="0.25">
      <c r="K707" s="1347" t="s">
        <v>649</v>
      </c>
    </row>
    <row r="708" spans="11:11" s="1372" customFormat="1" x14ac:dyDescent="0.25">
      <c r="K708" s="1347" t="s">
        <v>649</v>
      </c>
    </row>
    <row r="709" spans="11:11" s="1372" customFormat="1" x14ac:dyDescent="0.25">
      <c r="K709" s="1347" t="s">
        <v>649</v>
      </c>
    </row>
    <row r="710" spans="11:11" s="1372" customFormat="1" x14ac:dyDescent="0.25">
      <c r="K710" s="1347" t="s">
        <v>649</v>
      </c>
    </row>
    <row r="711" spans="11:11" s="1372" customFormat="1" x14ac:dyDescent="0.25">
      <c r="K711" s="1347" t="s">
        <v>649</v>
      </c>
    </row>
    <row r="712" spans="11:11" s="1372" customFormat="1" x14ac:dyDescent="0.25">
      <c r="K712" s="1347" t="s">
        <v>649</v>
      </c>
    </row>
    <row r="713" spans="11:11" s="1372" customFormat="1" x14ac:dyDescent="0.25">
      <c r="K713" s="1347" t="s">
        <v>649</v>
      </c>
    </row>
    <row r="714" spans="11:11" s="1372" customFormat="1" x14ac:dyDescent="0.25">
      <c r="K714" s="1347" t="s">
        <v>649</v>
      </c>
    </row>
    <row r="715" spans="11:11" s="1372" customFormat="1" x14ac:dyDescent="0.25">
      <c r="K715" s="1347" t="s">
        <v>649</v>
      </c>
    </row>
    <row r="716" spans="11:11" s="1372" customFormat="1" x14ac:dyDescent="0.25">
      <c r="K716" s="1347" t="s">
        <v>649</v>
      </c>
    </row>
    <row r="717" spans="11:11" s="1372" customFormat="1" x14ac:dyDescent="0.25">
      <c r="K717" s="1347" t="s">
        <v>649</v>
      </c>
    </row>
    <row r="718" spans="11:11" s="1372" customFormat="1" x14ac:dyDescent="0.25">
      <c r="K718" s="1347" t="s">
        <v>649</v>
      </c>
    </row>
    <row r="719" spans="11:11" s="1372" customFormat="1" x14ac:dyDescent="0.25">
      <c r="K719" s="1347" t="s">
        <v>649</v>
      </c>
    </row>
    <row r="720" spans="11:11" s="1372" customFormat="1" x14ac:dyDescent="0.25">
      <c r="K720" s="1347" t="s">
        <v>649</v>
      </c>
    </row>
    <row r="721" spans="11:12" s="1372" customFormat="1" x14ac:dyDescent="0.25">
      <c r="K721" s="1347" t="s">
        <v>649</v>
      </c>
      <c r="L721" s="1347"/>
    </row>
    <row r="722" spans="11:12" s="1372" customFormat="1" x14ac:dyDescent="0.25">
      <c r="K722" s="1347" t="s">
        <v>649</v>
      </c>
      <c r="L722" s="1347"/>
    </row>
    <row r="723" spans="11:12" s="1372" customFormat="1" x14ac:dyDescent="0.25">
      <c r="K723" s="1347" t="s">
        <v>649</v>
      </c>
      <c r="L723" s="1347"/>
    </row>
    <row r="724" spans="11:12" s="1372" customFormat="1" x14ac:dyDescent="0.25">
      <c r="K724" s="1347" t="s">
        <v>649</v>
      </c>
      <c r="L724" s="1347"/>
    </row>
    <row r="725" spans="11:12" s="1372" customFormat="1" x14ac:dyDescent="0.25">
      <c r="K725" s="1347" t="s">
        <v>649</v>
      </c>
      <c r="L725" s="1347"/>
    </row>
    <row r="726" spans="11:12" s="1372" customFormat="1" x14ac:dyDescent="0.25">
      <c r="K726" s="1347" t="s">
        <v>649</v>
      </c>
      <c r="L726" s="1347"/>
    </row>
    <row r="727" spans="11:12" s="1372" customFormat="1" x14ac:dyDescent="0.25">
      <c r="K727" s="1347" t="s">
        <v>649</v>
      </c>
      <c r="L727" s="1347"/>
    </row>
    <row r="728" spans="11:12" s="1372" customFormat="1" x14ac:dyDescent="0.25">
      <c r="K728" s="1347" t="s">
        <v>649</v>
      </c>
      <c r="L728" s="1347"/>
    </row>
    <row r="729" spans="11:12" s="1372" customFormat="1" x14ac:dyDescent="0.25">
      <c r="K729" s="1347" t="s">
        <v>649</v>
      </c>
      <c r="L729" s="1347"/>
    </row>
    <row r="730" spans="11:12" s="1372" customFormat="1" x14ac:dyDescent="0.25">
      <c r="K730" s="1347" t="s">
        <v>649</v>
      </c>
      <c r="L730" s="1347"/>
    </row>
    <row r="731" spans="11:12" s="1372" customFormat="1" x14ac:dyDescent="0.25">
      <c r="K731" s="1347" t="s">
        <v>649</v>
      </c>
      <c r="L731" s="1347"/>
    </row>
    <row r="732" spans="11:12" s="1372" customFormat="1" x14ac:dyDescent="0.25">
      <c r="K732" s="1347" t="s">
        <v>649</v>
      </c>
      <c r="L732" s="1347"/>
    </row>
    <row r="733" spans="11:12" s="1372" customFormat="1" x14ac:dyDescent="0.25">
      <c r="K733" s="1347" t="s">
        <v>649</v>
      </c>
      <c r="L733" s="1347"/>
    </row>
    <row r="734" spans="11:12" s="1372" customFormat="1" x14ac:dyDescent="0.25">
      <c r="K734" s="1347" t="s">
        <v>649</v>
      </c>
      <c r="L734" s="1347"/>
    </row>
    <row r="735" spans="11:12" s="1372" customFormat="1" x14ac:dyDescent="0.25">
      <c r="K735" s="1347" t="s">
        <v>649</v>
      </c>
      <c r="L735" s="1347"/>
    </row>
    <row r="736" spans="11:12" s="1372" customFormat="1" x14ac:dyDescent="0.25">
      <c r="K736" s="1347" t="s">
        <v>649</v>
      </c>
      <c r="L736" s="1347"/>
    </row>
    <row r="737" spans="11:12" s="1372" customFormat="1" x14ac:dyDescent="0.25">
      <c r="K737" s="1347" t="s">
        <v>649</v>
      </c>
      <c r="L737" s="1347"/>
    </row>
    <row r="738" spans="11:12" s="1372" customFormat="1" x14ac:dyDescent="0.25">
      <c r="K738" s="1347" t="s">
        <v>649</v>
      </c>
      <c r="L738" s="1347"/>
    </row>
    <row r="739" spans="11:12" s="1372" customFormat="1" x14ac:dyDescent="0.25">
      <c r="K739" s="1347" t="s">
        <v>649</v>
      </c>
      <c r="L739" s="1347"/>
    </row>
    <row r="740" spans="11:12" s="1372" customFormat="1" x14ac:dyDescent="0.25">
      <c r="K740" s="1347" t="s">
        <v>649</v>
      </c>
      <c r="L740" s="1347"/>
    </row>
    <row r="741" spans="11:12" s="1372" customFormat="1" x14ac:dyDescent="0.25">
      <c r="K741" s="1347" t="s">
        <v>649</v>
      </c>
      <c r="L741" s="1347"/>
    </row>
    <row r="742" spans="11:12" s="1372" customFormat="1" x14ac:dyDescent="0.25">
      <c r="K742" s="1347" t="s">
        <v>649</v>
      </c>
      <c r="L742" s="1347"/>
    </row>
    <row r="743" spans="11:12" s="1372" customFormat="1" x14ac:dyDescent="0.25">
      <c r="K743" s="1347" t="s">
        <v>649</v>
      </c>
      <c r="L743" s="1347"/>
    </row>
    <row r="744" spans="11:12" s="1372" customFormat="1" x14ac:dyDescent="0.25">
      <c r="K744" s="1347" t="s">
        <v>649</v>
      </c>
      <c r="L744" s="1347"/>
    </row>
    <row r="745" spans="11:12" s="1372" customFormat="1" x14ac:dyDescent="0.25">
      <c r="K745" s="1347" t="s">
        <v>649</v>
      </c>
      <c r="L745" s="1347"/>
    </row>
    <row r="746" spans="11:12" s="1372" customFormat="1" x14ac:dyDescent="0.25">
      <c r="K746" s="1347" t="s">
        <v>649</v>
      </c>
      <c r="L746" s="1347"/>
    </row>
    <row r="747" spans="11:12" s="1372" customFormat="1" x14ac:dyDescent="0.25">
      <c r="K747" s="1347" t="s">
        <v>649</v>
      </c>
      <c r="L747" s="1347"/>
    </row>
    <row r="748" spans="11:12" s="1372" customFormat="1" x14ac:dyDescent="0.25">
      <c r="K748" s="1347" t="s">
        <v>649</v>
      </c>
      <c r="L748" s="1347"/>
    </row>
    <row r="749" spans="11:12" s="1372" customFormat="1" x14ac:dyDescent="0.25">
      <c r="K749" s="1347" t="s">
        <v>649</v>
      </c>
      <c r="L749" s="1347"/>
    </row>
    <row r="750" spans="11:12" s="1372" customFormat="1" x14ac:dyDescent="0.25">
      <c r="K750" s="1347" t="s">
        <v>649</v>
      </c>
      <c r="L750" s="1347"/>
    </row>
    <row r="751" spans="11:12" s="1372" customFormat="1" x14ac:dyDescent="0.25">
      <c r="K751" s="1347" t="s">
        <v>649</v>
      </c>
      <c r="L751" s="1347"/>
    </row>
    <row r="752" spans="11:12" s="1372" customFormat="1" x14ac:dyDescent="0.25">
      <c r="K752" s="1347" t="s">
        <v>649</v>
      </c>
      <c r="L752" s="1347"/>
    </row>
    <row r="753" spans="1:12" s="1372" customFormat="1" x14ac:dyDescent="0.25">
      <c r="K753" s="1347" t="s">
        <v>649</v>
      </c>
      <c r="L753" s="1347"/>
    </row>
    <row r="754" spans="1:12" s="1374" customFormat="1" x14ac:dyDescent="0.25">
      <c r="A754" s="1373"/>
      <c r="B754" s="1373"/>
      <c r="C754" s="1373"/>
      <c r="D754" s="1373"/>
      <c r="E754" s="1373"/>
      <c r="F754" s="1373"/>
      <c r="G754" s="1373"/>
      <c r="H754" s="1373"/>
      <c r="I754" s="1373"/>
      <c r="J754" s="1373"/>
      <c r="K754" s="1347" t="s">
        <v>649</v>
      </c>
      <c r="L754" s="1347"/>
    </row>
    <row r="755" spans="1:12" s="1372" customFormat="1" ht="15" customHeight="1" x14ac:dyDescent="0.25">
      <c r="A755" s="704"/>
      <c r="B755" s="704"/>
      <c r="C755" s="704"/>
      <c r="D755" s="704"/>
      <c r="E755" s="704"/>
      <c r="F755" s="704"/>
      <c r="G755" s="704"/>
      <c r="H755" s="704"/>
      <c r="I755" s="704"/>
      <c r="J755" s="704"/>
      <c r="K755" s="1347" t="s">
        <v>649</v>
      </c>
      <c r="L755" s="1347"/>
    </row>
    <row r="756" spans="1:12" s="1347" customFormat="1" ht="15" customHeight="1" x14ac:dyDescent="0.25">
      <c r="A756" s="2988" t="str">
        <f>"Transdutor "&amp;Ultrassom!A670&amp;" - marca "&amp;Ultrassom!B670&amp;", modelo "&amp;Ultrassom!C670&amp;", n° série "&amp;Ultrassom!D670</f>
        <v>Transdutor 8 - marca não informada, modelo não informado, n° série não informado</v>
      </c>
      <c r="B756" s="2988"/>
      <c r="C756" s="2988"/>
      <c r="D756" s="2988"/>
      <c r="E756" s="2988"/>
      <c r="F756" s="2988"/>
      <c r="G756" s="2988"/>
      <c r="H756" s="2988"/>
      <c r="I756" s="2988"/>
      <c r="J756" s="2988"/>
      <c r="K756" s="1347" t="str">
        <f>IF(Ultrassom!B668&lt;=Ultrassom!$E$4,"","x")</f>
        <v>x</v>
      </c>
      <c r="L756" s="1347" t="str">
        <f>Ultrassom!A668&amp;Ultrassom!B668</f>
        <v>TRANSDUTOR: 8</v>
      </c>
    </row>
    <row r="757" spans="1:12" s="1347" customFormat="1" ht="15" customHeight="1" x14ac:dyDescent="0.25">
      <c r="A757" s="2988"/>
      <c r="B757" s="2988"/>
      <c r="C757" s="2988"/>
      <c r="D757" s="2988"/>
      <c r="E757" s="2988"/>
      <c r="F757" s="2988"/>
      <c r="G757" s="2988"/>
      <c r="H757" s="2988"/>
      <c r="I757" s="2988"/>
      <c r="J757" s="2988"/>
      <c r="K757" s="1347" t="str">
        <f>K756</f>
        <v>x</v>
      </c>
    </row>
    <row r="758" spans="1:12" s="1347" customFormat="1" ht="15" customHeight="1" x14ac:dyDescent="0.25">
      <c r="A758" s="1346"/>
      <c r="B758" s="1346"/>
      <c r="C758" s="1346"/>
      <c r="D758" s="1346"/>
      <c r="E758" s="1346"/>
      <c r="F758" s="1346"/>
      <c r="G758" s="1346"/>
      <c r="H758" s="1346"/>
      <c r="I758" s="1346"/>
      <c r="J758" s="1346"/>
      <c r="K758" s="1347" t="str">
        <f>K757</f>
        <v>x</v>
      </c>
    </row>
    <row r="759" spans="1:12" s="1347" customFormat="1" ht="15" customHeight="1" x14ac:dyDescent="0.25">
      <c r="A759" s="2984" t="s">
        <v>1576</v>
      </c>
      <c r="B759" s="2984"/>
      <c r="C759" s="2984"/>
      <c r="D759" s="2984"/>
      <c r="E759" s="2984"/>
      <c r="F759" s="2984"/>
      <c r="G759" s="2848" t="s">
        <v>369</v>
      </c>
      <c r="H759" s="3014"/>
      <c r="I759" s="1333" t="str">
        <f>"IN "&amp;VLOOKUP("Ultrassom",IN_ANVISA[],2)</f>
        <v>IN 96</v>
      </c>
      <c r="K759" s="1347" t="str">
        <f>K758</f>
        <v>x</v>
      </c>
    </row>
    <row r="760" spans="1:12" s="1347" customFormat="1" ht="15" customHeight="1" x14ac:dyDescent="0.25">
      <c r="A760" s="3011" t="s">
        <v>1619</v>
      </c>
      <c r="B760" s="3012"/>
      <c r="C760" s="3012"/>
      <c r="D760" s="3012"/>
      <c r="E760" s="3012"/>
      <c r="F760" s="3013"/>
      <c r="G760" s="2990" t="str">
        <f>Ultrassom!E670</f>
        <v>Boa</v>
      </c>
      <c r="H760" s="2992"/>
      <c r="I760" s="1237" t="s">
        <v>142</v>
      </c>
      <c r="K760" s="1347" t="str">
        <f>K759</f>
        <v>x</v>
      </c>
      <c r="L760" s="1347" t="str">
        <f>IF(G760&lt;&gt;"Boa",A760,"")</f>
        <v/>
      </c>
    </row>
    <row r="761" spans="1:12" s="1347" customFormat="1" ht="15" customHeight="1" x14ac:dyDescent="0.25">
      <c r="A761" s="3001" t="s">
        <v>1538</v>
      </c>
      <c r="B761" s="3001"/>
      <c r="C761" s="3001"/>
      <c r="D761" s="3001"/>
      <c r="E761" s="3001"/>
      <c r="F761" s="3001"/>
      <c r="G761" s="3002" t="str">
        <f>IF(LARGE(Ultrassom!C681:D681,1)=0,IF(Ultrassom!D675="s","Uniforme","Não uniforme"),ROUNDDOWN(LARGE(Ultrassom!C681:D681,1),1)&amp;" dB")</f>
        <v>Não uniforme</v>
      </c>
      <c r="H761" s="3003"/>
      <c r="I761" s="1237" t="str">
        <f>Ultrassom!B681</f>
        <v>NPA</v>
      </c>
      <c r="K761" s="1347" t="str">
        <f>K760</f>
        <v>x</v>
      </c>
      <c r="L761" s="1347" t="str">
        <f>IF(I761="Não",A761,"")</f>
        <v/>
      </c>
    </row>
    <row r="762" spans="1:12" s="1347" customFormat="1" ht="15" customHeight="1" x14ac:dyDescent="0.25">
      <c r="A762" s="3001" t="s">
        <v>1579</v>
      </c>
      <c r="B762" s="3001"/>
      <c r="C762" s="3001"/>
      <c r="D762" s="3001"/>
      <c r="E762" s="3001"/>
      <c r="F762" s="3001"/>
      <c r="G762" s="3002" t="str">
        <f>Ultrassom!D690&amp;" cm"</f>
        <v xml:space="preserve"> cm</v>
      </c>
      <c r="H762" s="3003"/>
      <c r="I762" s="1237" t="str">
        <f>Ultrassom!D692</f>
        <v>NA</v>
      </c>
      <c r="K762" s="1347" t="str">
        <f>IF(I762="NA","x","")</f>
        <v>x</v>
      </c>
      <c r="L762" s="1347" t="str">
        <f>IF(I762="Não",A762,"")</f>
        <v/>
      </c>
    </row>
    <row r="763" spans="1:12" s="1347" customFormat="1" ht="15" customHeight="1" x14ac:dyDescent="0.25">
      <c r="A763" s="3001" t="s">
        <v>1577</v>
      </c>
      <c r="B763" s="3001"/>
      <c r="C763" s="3001"/>
      <c r="D763" s="3001"/>
      <c r="E763" s="3001"/>
      <c r="F763" s="3001"/>
      <c r="G763" s="2591" t="str">
        <f>Ultrassom!B690&amp;" cm"</f>
        <v xml:space="preserve"> cm</v>
      </c>
      <c r="H763" s="2593"/>
      <c r="I763" s="1243" t="str">
        <f>Ultrassom!B692</f>
        <v>NA</v>
      </c>
      <c r="K763" s="1347" t="str">
        <f>IF(I763="NA","x","")</f>
        <v>x</v>
      </c>
      <c r="L763" s="1347" t="str">
        <f>IF(I763="Não",A763,"")</f>
        <v/>
      </c>
    </row>
    <row r="764" spans="1:12" s="1347" customFormat="1" ht="15" customHeight="1" x14ac:dyDescent="0.25">
      <c r="A764" s="3001" t="s">
        <v>1578</v>
      </c>
      <c r="B764" s="3001"/>
      <c r="C764" s="3001"/>
      <c r="D764" s="3001"/>
      <c r="E764" s="3001"/>
      <c r="F764" s="3001"/>
      <c r="G764" s="2591" t="str">
        <f>Ultrassom!C690&amp;" cm"</f>
        <v xml:space="preserve"> cm</v>
      </c>
      <c r="H764" s="2593"/>
      <c r="I764" s="1243" t="str">
        <f>Ultrassom!C692</f>
        <v>NA</v>
      </c>
      <c r="K764" s="1347" t="str">
        <f>IF(I764="NA","x","")</f>
        <v>x</v>
      </c>
      <c r="L764" s="1347" t="str">
        <f>IF(I764="Não",A764,"")</f>
        <v/>
      </c>
    </row>
    <row r="765" spans="1:12" s="1347" customFormat="1" ht="15" customHeight="1" x14ac:dyDescent="0.25">
      <c r="A765" s="3001" t="s">
        <v>1580</v>
      </c>
      <c r="B765" s="3001"/>
      <c r="C765" s="3001"/>
      <c r="D765" s="3001"/>
      <c r="E765" s="3001"/>
      <c r="F765" s="3001"/>
      <c r="G765" s="2990" t="str">
        <f>Ultrassom!B696&amp;" objetos, "&amp;IF(Ultrassom!B699="s","BD","BND")&amp;" "&amp;IF(Ultrassom!B700="s","AC","ANC")</f>
        <v xml:space="preserve"> objetos, BND ANC</v>
      </c>
      <c r="H765" s="2992"/>
      <c r="I765" s="1237" t="str">
        <f>Ultrassom!B701</f>
        <v>Sim</v>
      </c>
      <c r="K765" s="1347" t="str">
        <f>K756</f>
        <v>x</v>
      </c>
      <c r="L765" s="1347" t="str">
        <f>IF(I765="Não","Visualização de objetos anecóicos","")</f>
        <v/>
      </c>
    </row>
    <row r="766" spans="1:12" s="1347" customFormat="1" ht="15" customHeight="1" x14ac:dyDescent="0.25">
      <c r="A766" s="3001" t="s">
        <v>1581</v>
      </c>
      <c r="B766" s="3001"/>
      <c r="C766" s="3001"/>
      <c r="D766" s="3001"/>
      <c r="E766" s="3001"/>
      <c r="F766" s="3001"/>
      <c r="G766" s="3002" t="str">
        <f>Ultrassom!D696&amp;" objetos, "&amp;IF(Ultrassom!D699="s","BD","BND")&amp;" "&amp;IF(Ultrassom!D700="s","AC","ANC")</f>
        <v xml:space="preserve"> objetos, BND ANC</v>
      </c>
      <c r="H766" s="3003"/>
      <c r="I766" s="1237" t="str">
        <f>Ultrassom!D701</f>
        <v>Sim</v>
      </c>
      <c r="K766" s="1347" t="str">
        <f>K765</f>
        <v>x</v>
      </c>
      <c r="L766" s="1347" t="str">
        <f>IF(I766="Não","Visualização de objetos anecóicos","")</f>
        <v/>
      </c>
    </row>
    <row r="767" spans="1:12" s="1347" customFormat="1" ht="15" customHeight="1" x14ac:dyDescent="0.25">
      <c r="A767" s="3001" t="s">
        <v>1582</v>
      </c>
      <c r="B767" s="3001"/>
      <c r="C767" s="3001"/>
      <c r="D767" s="3001"/>
      <c r="E767" s="3001"/>
      <c r="F767" s="3001"/>
      <c r="G767" s="3002" t="str">
        <f>Ultrassom!F696&amp;" objetos, "&amp;IF(Ultrassom!F699="s","BD","BND")&amp;" "&amp;IF(Ultrassom!F700="s","AC","ANC")</f>
        <v xml:space="preserve"> objetos, BND ANC</v>
      </c>
      <c r="H767" s="3003"/>
      <c r="I767" s="1237" t="str">
        <f>Ultrassom!F701</f>
        <v>Sim</v>
      </c>
      <c r="K767" s="1347" t="str">
        <f t="shared" ref="K767:K772" si="23">K766</f>
        <v>x</v>
      </c>
      <c r="L767" s="1347" t="str">
        <f>IF(I767="Não","Visualização de objetos anecóicos","")</f>
        <v/>
      </c>
    </row>
    <row r="768" spans="1:12" s="1347" customFormat="1" x14ac:dyDescent="0.25">
      <c r="A768" s="3004" t="str">
        <f>"Zona morta @ "&amp;ROUND(Ultrassom!A705,1)&amp;" MHz"</f>
        <v>Zona morta @ 0 MHz</v>
      </c>
      <c r="B768" s="3004"/>
      <c r="C768" s="3004"/>
      <c r="D768" s="3004"/>
      <c r="E768" s="3004"/>
      <c r="F768" s="3004"/>
      <c r="G768" s="2975" t="str">
        <f>Ultrassom!C705&amp;" mm"</f>
        <v xml:space="preserve"> mm</v>
      </c>
      <c r="H768" s="2998"/>
      <c r="I768" s="1237" t="str">
        <f>Ultrassom!E705</f>
        <v>Sim</v>
      </c>
      <c r="K768" s="1347" t="str">
        <f t="shared" si="23"/>
        <v>x</v>
      </c>
      <c r="L768" s="1347" t="str">
        <f>IF(I768="Não","Zona morta","")</f>
        <v/>
      </c>
    </row>
    <row r="769" spans="1:12" s="940" customFormat="1" x14ac:dyDescent="0.25">
      <c r="A769" s="3005" t="s">
        <v>1583</v>
      </c>
      <c r="B769" s="3005"/>
      <c r="C769" s="3005"/>
      <c r="D769" s="3005"/>
      <c r="E769" s="3005"/>
      <c r="F769" s="3005"/>
      <c r="G769" s="2975" t="e">
        <f>LARGE(Ultrassom!C713:C714,1)&amp;" mm"</f>
        <v>#NUM!</v>
      </c>
      <c r="H769" s="2998"/>
      <c r="I769" s="1237" t="str">
        <f>Ultrassom!C716</f>
        <v>NPA</v>
      </c>
      <c r="K769" s="1347" t="str">
        <f t="shared" si="23"/>
        <v>x</v>
      </c>
      <c r="L769" s="1347" t="str">
        <f>IF(I769="Não",A769,"")</f>
        <v/>
      </c>
    </row>
    <row r="770" spans="1:12" s="940" customFormat="1" x14ac:dyDescent="0.25">
      <c r="A770" s="3005" t="s">
        <v>1584</v>
      </c>
      <c r="B770" s="3005"/>
      <c r="C770" s="3005"/>
      <c r="D770" s="3005"/>
      <c r="E770" s="3005"/>
      <c r="F770" s="3005"/>
      <c r="G770" s="2975" t="e">
        <f>LARGE(Ultrassom!D713:D714,1)&amp;" mm"</f>
        <v>#NUM!</v>
      </c>
      <c r="H770" s="2998"/>
      <c r="I770" s="1237" t="str">
        <f>Ultrassom!D716</f>
        <v>NPA</v>
      </c>
      <c r="K770" s="1347" t="str">
        <f t="shared" si="23"/>
        <v>x</v>
      </c>
      <c r="L770" s="1347" t="str">
        <f>IF(I770="Não",A770,"")</f>
        <v/>
      </c>
    </row>
    <row r="771" spans="1:12" s="940" customFormat="1" ht="15" customHeight="1" x14ac:dyDescent="0.25">
      <c r="A771" s="3006" t="str">
        <f>"Resolução axial @ "&amp;ROUND(Ultrassom!D720,1)&amp;" MHz"</f>
        <v>Resolução axial @ 0 MHz</v>
      </c>
      <c r="B771" s="3006"/>
      <c r="C771" s="3006"/>
      <c r="D771" s="3006"/>
      <c r="E771" s="3006"/>
      <c r="F771" s="3006"/>
      <c r="G771" s="3007">
        <f>Ultrassom!D722</f>
        <v>0</v>
      </c>
      <c r="H771" s="3008"/>
      <c r="I771" s="1237" t="str">
        <f>Ultrassom!D724</f>
        <v>Sim</v>
      </c>
      <c r="K771" s="1347" t="str">
        <f t="shared" si="23"/>
        <v>x</v>
      </c>
      <c r="L771" s="1347" t="str">
        <f>IF(I771="Não","Resolução axial","")</f>
        <v/>
      </c>
    </row>
    <row r="772" spans="1:12" s="940" customFormat="1" ht="15" customHeight="1" x14ac:dyDescent="0.25">
      <c r="A772" s="3006" t="str">
        <f>"Resolução lateral @ "&amp;ROUND(Ultrassom!E720,1)&amp;" MHz"</f>
        <v>Resolução lateral @ 0 MHz</v>
      </c>
      <c r="B772" s="3006"/>
      <c r="C772" s="3006"/>
      <c r="D772" s="3006"/>
      <c r="E772" s="3006"/>
      <c r="F772" s="3006"/>
      <c r="G772" s="3007">
        <f>Ultrassom!E722</f>
        <v>0</v>
      </c>
      <c r="H772" s="3008"/>
      <c r="I772" s="1237" t="str">
        <f>Ultrassom!E724</f>
        <v>Sim</v>
      </c>
      <c r="K772" s="1347" t="str">
        <f t="shared" si="23"/>
        <v>x</v>
      </c>
      <c r="L772" s="1347" t="str">
        <f>IF(I772="Não","Resolução lateral","")</f>
        <v/>
      </c>
    </row>
    <row r="773" spans="1:12" s="940" customFormat="1" ht="15" customHeight="1" x14ac:dyDescent="0.25">
      <c r="A773" s="2993" t="str">
        <f>"Zona focal - foco @ "&amp;Ultrassom!B728&amp;" cm"</f>
        <v>Zona focal - foco @  cm</v>
      </c>
      <c r="B773" s="2994"/>
      <c r="C773" s="2994"/>
      <c r="D773" s="2994"/>
      <c r="E773" s="2994"/>
      <c r="F773" s="2995"/>
      <c r="G773" s="2975" t="str">
        <f>Ultrassom!B730&amp;" cm"</f>
        <v xml:space="preserve"> cm</v>
      </c>
      <c r="H773" s="2998"/>
      <c r="I773" s="1237" t="str">
        <f>Ultrassom!B733</f>
        <v>NA</v>
      </c>
      <c r="K773" s="1347" t="str">
        <f>IF(I773="NA","x","")</f>
        <v>x</v>
      </c>
      <c r="L773" s="1347" t="str">
        <f>IF(I773="Não","Zona focal","")</f>
        <v/>
      </c>
    </row>
    <row r="774" spans="1:12" s="940" customFormat="1" ht="15" customHeight="1" x14ac:dyDescent="0.25">
      <c r="A774" s="2993" t="str">
        <f>"Zona focal - foco @ "&amp;Ultrassom!C728&amp;" cm"</f>
        <v>Zona focal - foco @  cm</v>
      </c>
      <c r="B774" s="2994"/>
      <c r="C774" s="2994"/>
      <c r="D774" s="2994"/>
      <c r="E774" s="2994"/>
      <c r="F774" s="2995"/>
      <c r="G774" s="2975" t="str">
        <f>Ultrassom!C730&amp;" cm"</f>
        <v xml:space="preserve"> cm</v>
      </c>
      <c r="H774" s="2998"/>
      <c r="I774" s="1237" t="str">
        <f>Ultrassom!C733</f>
        <v>NA</v>
      </c>
      <c r="K774" s="1347" t="str">
        <f>IF(I774="NA","x","")</f>
        <v>x</v>
      </c>
      <c r="L774" s="1347" t="str">
        <f>IF(I774="Não","Zona focal","")</f>
        <v/>
      </c>
    </row>
    <row r="775" spans="1:12" s="940" customFormat="1" ht="15" customHeight="1" x14ac:dyDescent="0.25">
      <c r="A775" s="2993" t="str">
        <f>"Zona focal - foco @ "&amp;Ultrassom!D728&amp;" cm"</f>
        <v>Zona focal - foco @  cm</v>
      </c>
      <c r="B775" s="2994"/>
      <c r="C775" s="2994"/>
      <c r="D775" s="2994"/>
      <c r="E775" s="2994"/>
      <c r="F775" s="2995"/>
      <c r="G775" s="2996" t="str">
        <f>Ultrassom!D730&amp;" cm"</f>
        <v xml:space="preserve"> cm</v>
      </c>
      <c r="H775" s="2997"/>
      <c r="I775" s="1243" t="str">
        <f>Ultrassom!D733</f>
        <v>NA</v>
      </c>
      <c r="K775" s="1347" t="str">
        <f>IF(I775="NA","x","")</f>
        <v>x</v>
      </c>
      <c r="L775" s="1347" t="str">
        <f>IF(I775="Não","Zona focal","")</f>
        <v/>
      </c>
    </row>
    <row r="776" spans="1:12" s="940" customFormat="1" ht="15" customHeight="1" x14ac:dyDescent="0.25">
      <c r="A776" s="2993" t="str">
        <f>"Zona focal - foco @ "&amp;Ultrassom!E728&amp;" cm"</f>
        <v>Zona focal - foco @  cm</v>
      </c>
      <c r="B776" s="2994"/>
      <c r="C776" s="2994"/>
      <c r="D776" s="2994"/>
      <c r="E776" s="2994"/>
      <c r="F776" s="2995"/>
      <c r="G776" s="2996" t="str">
        <f>Ultrassom!E730&amp;" cm"</f>
        <v xml:space="preserve"> cm</v>
      </c>
      <c r="H776" s="2997"/>
      <c r="I776" s="1243" t="str">
        <f>Ultrassom!E733</f>
        <v>NA</v>
      </c>
      <c r="K776" s="1347" t="str">
        <f>IF(I776="NA","x","")</f>
        <v>x</v>
      </c>
      <c r="L776" s="1347" t="str">
        <f>IF(I776="Não","Zona focal","")</f>
        <v/>
      </c>
    </row>
    <row r="777" spans="1:12" s="940" customFormat="1" ht="15" customHeight="1" x14ac:dyDescent="0.25">
      <c r="A777" s="2993" t="str">
        <f>"Zona focal - foco @ "&amp;Ultrassom!F728&amp;" cm"</f>
        <v>Zona focal - foco @  cm</v>
      </c>
      <c r="B777" s="2994"/>
      <c r="C777" s="2994"/>
      <c r="D777" s="2994"/>
      <c r="E777" s="2994"/>
      <c r="F777" s="2995"/>
      <c r="G777" s="2975" t="str">
        <f>Ultrassom!F730&amp;" cm"</f>
        <v xml:space="preserve"> cm</v>
      </c>
      <c r="H777" s="2998"/>
      <c r="I777" s="1237" t="str">
        <f>Ultrassom!F733</f>
        <v>NA</v>
      </c>
      <c r="K777" s="1347" t="str">
        <f>IF(I777="NA","x","")</f>
        <v>x</v>
      </c>
      <c r="L777" s="1347" t="str">
        <f>IF(I777="Não","Zona focal","")</f>
        <v/>
      </c>
    </row>
    <row r="778" spans="1:12" s="940" customFormat="1" ht="15" customHeight="1" x14ac:dyDescent="0.25">
      <c r="A778" s="2993" t="s">
        <v>1585</v>
      </c>
      <c r="B778" s="2994"/>
      <c r="C778" s="2994"/>
      <c r="D778" s="2994"/>
      <c r="E778" s="2994"/>
      <c r="F778" s="2995"/>
      <c r="G778" s="2999" t="str">
        <f>IF(Ultrassom!B738="s","Visualizado","Não visualizado")</f>
        <v>Não visualizado</v>
      </c>
      <c r="H778" s="3000"/>
      <c r="I778" s="1237" t="str">
        <f>Ultrassom!B740</f>
        <v>Sim</v>
      </c>
      <c r="K778" s="1347" t="str">
        <f>K756</f>
        <v>x</v>
      </c>
      <c r="L778" s="1347" t="str">
        <f>IF(I778="Não","Limiar de sensibilidade a baixo contraste","")</f>
        <v/>
      </c>
    </row>
    <row r="779" spans="1:12" s="940" customFormat="1" ht="15" customHeight="1" x14ac:dyDescent="0.25">
      <c r="A779" s="2993" t="s">
        <v>1586</v>
      </c>
      <c r="B779" s="2994"/>
      <c r="C779" s="2994"/>
      <c r="D779" s="2994"/>
      <c r="E779" s="2994"/>
      <c r="F779" s="2995"/>
      <c r="G779" s="2999" t="str">
        <f>IF(Ultrassom!C738="s","Visualizado","Não visualizado")</f>
        <v>Não visualizado</v>
      </c>
      <c r="H779" s="3000"/>
      <c r="I779" s="1237" t="str">
        <f>Ultrassom!C740</f>
        <v>Sim</v>
      </c>
      <c r="K779" s="1347" t="str">
        <f>K778</f>
        <v>x</v>
      </c>
      <c r="L779" s="1347" t="str">
        <f>IF(I779="Não","Limiar de sensibilidade a baixo contraste","")</f>
        <v/>
      </c>
    </row>
    <row r="780" spans="1:12" s="940" customFormat="1" ht="15" customHeight="1" x14ac:dyDescent="0.25">
      <c r="A780" s="2993" t="s">
        <v>1587</v>
      </c>
      <c r="B780" s="2994"/>
      <c r="C780" s="2994"/>
      <c r="D780" s="2994"/>
      <c r="E780" s="2994"/>
      <c r="F780" s="2995"/>
      <c r="G780" s="2999" t="str">
        <f>IF(Ultrassom!D738="s","Visualizado","Não visualizado")</f>
        <v>Não visualizado</v>
      </c>
      <c r="H780" s="3000"/>
      <c r="I780" s="1237" t="str">
        <f>Ultrassom!D740</f>
        <v>Sim</v>
      </c>
      <c r="K780" s="1347" t="str">
        <f>K779</f>
        <v>x</v>
      </c>
      <c r="L780" s="1347" t="str">
        <f>IF(I780="Não","Limiar de sensibilidade a baixo contraste","")</f>
        <v/>
      </c>
    </row>
    <row r="781" spans="1:12" s="940" customFormat="1" ht="15" customHeight="1" x14ac:dyDescent="0.25">
      <c r="A781" s="2993" t="s">
        <v>1588</v>
      </c>
      <c r="B781" s="2994"/>
      <c r="C781" s="2994"/>
      <c r="D781" s="2994"/>
      <c r="E781" s="2994"/>
      <c r="F781" s="2995"/>
      <c r="G781" s="2999" t="str">
        <f>IF(Ultrassom!E738="s","Visualizado","Não visualizado")</f>
        <v>Não visualizado</v>
      </c>
      <c r="H781" s="3000"/>
      <c r="I781" s="1237" t="str">
        <f>Ultrassom!E740</f>
        <v>Sim</v>
      </c>
      <c r="K781" s="1347" t="str">
        <f>K780</f>
        <v>x</v>
      </c>
      <c r="L781" s="1347" t="str">
        <f>IF(I781="Não","Limiar de sensibilidade a baixo contraste","")</f>
        <v/>
      </c>
    </row>
    <row r="782" spans="1:12" s="940" customFormat="1" ht="15" customHeight="1" x14ac:dyDescent="0.25">
      <c r="A782" s="3006" t="s">
        <v>1589</v>
      </c>
      <c r="B782" s="3006"/>
      <c r="C782" s="3006"/>
      <c r="D782" s="3006"/>
      <c r="E782" s="3006"/>
      <c r="F782" s="3006"/>
      <c r="G782" s="3002" t="str">
        <f>IFERROR(Ultrassom!F746*100&amp;" %","NPA")</f>
        <v>NPA</v>
      </c>
      <c r="H782" s="3003"/>
      <c r="I782" s="1237" t="str">
        <f>Ultrassom!G746</f>
        <v>NA</v>
      </c>
      <c r="K782" s="1381" t="str">
        <f>K781</f>
        <v>x</v>
      </c>
      <c r="L782" s="1347" t="str">
        <f>IF(I782="Não",A782,"")</f>
        <v/>
      </c>
    </row>
    <row r="783" spans="1:12" s="940" customFormat="1" ht="15" customHeight="1" x14ac:dyDescent="0.25">
      <c r="A783" s="3006" t="str">
        <f>"Sensibilidade do modo doppler @ "&amp;Ultrassom!B750&amp;" (ref. "&amp;Ultrassom!B753&amp;" "&amp;Ultrassom!$A$751&amp;")"</f>
        <v>Sensibilidade do modo doppler @ fluxo baixo (ref. NI ml/s)</v>
      </c>
      <c r="B783" s="3006"/>
      <c r="C783" s="3006"/>
      <c r="D783" s="3006"/>
      <c r="E783" s="3006"/>
      <c r="F783" s="3006"/>
      <c r="G783" s="3002" t="str">
        <f>IFERROR(ROUNDDOWN(Ultrassom!C753,1)&amp;" "&amp;Ultrassom!$A$751,"NPA")</f>
        <v>0 ml/s</v>
      </c>
      <c r="H783" s="3003"/>
      <c r="I783" s="1834" t="str">
        <f>Ultrassom!D753</f>
        <v>NPA</v>
      </c>
      <c r="K783" s="1835" t="str">
        <f t="shared" ref="K783:K785" si="24">IF(G783="0 ml/s","x","")</f>
        <v>x</v>
      </c>
      <c r="L783" s="1347" t="str">
        <f>IF(I783="Não","Sensibilidade do modo doppler","")</f>
        <v/>
      </c>
    </row>
    <row r="784" spans="1:12" s="940" customFormat="1" ht="15" customHeight="1" x14ac:dyDescent="0.25">
      <c r="A784" s="3006" t="str">
        <f>"Sensibilidade do modo doppler @ "&amp;Ultrassom!E750&amp;" (ref. "&amp;Ultrassom!E753&amp;" "&amp;Ultrassom!$A$751&amp;")"</f>
        <v>Sensibilidade do modo doppler @ fluxo médio (ref. NI ml/s)</v>
      </c>
      <c r="B784" s="3006"/>
      <c r="C784" s="3006"/>
      <c r="D784" s="3006"/>
      <c r="E784" s="3006"/>
      <c r="F784" s="3006"/>
      <c r="G784" s="3002" t="str">
        <f>IFERROR(ROUNDDOWN(Ultrassom!F753,1)&amp;" "&amp;Ultrassom!$A$751,"NPA")</f>
        <v>0 ml/s</v>
      </c>
      <c r="H784" s="3003"/>
      <c r="I784" s="1834" t="str">
        <f>Ultrassom!G753</f>
        <v>NPA</v>
      </c>
      <c r="K784" s="1835" t="str">
        <f t="shared" si="24"/>
        <v>x</v>
      </c>
      <c r="L784" s="1347" t="str">
        <f>IF(I784="Não","Sensibilidade do modo doppler","")</f>
        <v/>
      </c>
    </row>
    <row r="785" spans="1:12" s="940" customFormat="1" ht="15" customHeight="1" x14ac:dyDescent="0.25">
      <c r="A785" s="3006" t="str">
        <f>"Sensibilidade do modo doppler @ "&amp;Ultrassom!H750&amp;" (ref. "&amp;Ultrassom!H753&amp;" "&amp;Ultrassom!$A$751&amp;")"</f>
        <v>Sensibilidade do modo doppler @ fluxo alto (ref. NI ml/s)</v>
      </c>
      <c r="B785" s="3006"/>
      <c r="C785" s="3006"/>
      <c r="D785" s="3006"/>
      <c r="E785" s="3006"/>
      <c r="F785" s="3006"/>
      <c r="G785" s="3002" t="str">
        <f>IFERROR(ROUNDDOWN(Ultrassom!I753,1)&amp;" "&amp;Ultrassom!$A$751,"NPA")</f>
        <v>0 ml/s</v>
      </c>
      <c r="H785" s="3003"/>
      <c r="I785" s="1834" t="str">
        <f>Ultrassom!J753</f>
        <v>NPA</v>
      </c>
      <c r="K785" s="1835" t="str">
        <f t="shared" si="24"/>
        <v>x</v>
      </c>
      <c r="L785" s="1347" t="str">
        <f>IF(I785="Não","Sensibilidade do modo doppler","")</f>
        <v/>
      </c>
    </row>
    <row r="786" spans="1:12" s="1347" customFormat="1" ht="15" customHeight="1" x14ac:dyDescent="0.25">
      <c r="A786" s="2986" t="s">
        <v>1922</v>
      </c>
      <c r="B786" s="2986"/>
      <c r="C786" s="2986"/>
      <c r="D786" s="2986"/>
      <c r="E786" s="2986"/>
      <c r="F786" s="2986"/>
      <c r="G786" s="2986"/>
      <c r="H786" s="2986"/>
      <c r="I786" s="2986"/>
      <c r="J786" s="2986"/>
      <c r="K786" s="1347" t="str">
        <f>K756</f>
        <v>x</v>
      </c>
    </row>
    <row r="787" spans="1:12" s="1347" customFormat="1" x14ac:dyDescent="0.25">
      <c r="A787" s="2986"/>
      <c r="B787" s="2986"/>
      <c r="C787" s="2986"/>
      <c r="D787" s="2986"/>
      <c r="E787" s="2986"/>
      <c r="F787" s="2986"/>
      <c r="G787" s="2986"/>
      <c r="H787" s="2986"/>
      <c r="I787" s="2986"/>
      <c r="J787" s="2986"/>
      <c r="K787" s="1347" t="str">
        <f>K786</f>
        <v>x</v>
      </c>
    </row>
    <row r="788" spans="1:12" s="1347" customFormat="1" x14ac:dyDescent="0.25">
      <c r="K788" s="1347" t="str">
        <f>K787</f>
        <v>x</v>
      </c>
      <c r="L788" s="1347" t="s">
        <v>1607</v>
      </c>
    </row>
    <row r="789" spans="1:12" s="1347" customFormat="1" x14ac:dyDescent="0.25">
      <c r="K789" s="1347" t="s">
        <v>649</v>
      </c>
    </row>
    <row r="790" spans="1:12" s="1372" customFormat="1" x14ac:dyDescent="0.25">
      <c r="K790" s="1347" t="s">
        <v>649</v>
      </c>
    </row>
    <row r="791" spans="1:12" s="1372" customFormat="1" x14ac:dyDescent="0.25">
      <c r="K791" s="1347" t="s">
        <v>649</v>
      </c>
    </row>
    <row r="792" spans="1:12" s="1372" customFormat="1" x14ac:dyDescent="0.25">
      <c r="K792" s="1347" t="s">
        <v>649</v>
      </c>
    </row>
    <row r="793" spans="1:12" s="1372" customFormat="1" x14ac:dyDescent="0.25">
      <c r="K793" s="1347" t="s">
        <v>649</v>
      </c>
    </row>
    <row r="794" spans="1:12" s="1372" customFormat="1" x14ac:dyDescent="0.25">
      <c r="K794" s="1347" t="s">
        <v>649</v>
      </c>
    </row>
    <row r="795" spans="1:12" s="1372" customFormat="1" x14ac:dyDescent="0.25">
      <c r="K795" s="1347" t="s">
        <v>649</v>
      </c>
    </row>
    <row r="796" spans="1:12" s="1372" customFormat="1" x14ac:dyDescent="0.25">
      <c r="K796" s="1347" t="s">
        <v>649</v>
      </c>
    </row>
    <row r="797" spans="1:12" s="1372" customFormat="1" x14ac:dyDescent="0.25">
      <c r="K797" s="1347" t="s">
        <v>649</v>
      </c>
    </row>
    <row r="798" spans="1:12" s="1372" customFormat="1" x14ac:dyDescent="0.25">
      <c r="K798" s="1347" t="s">
        <v>649</v>
      </c>
    </row>
    <row r="799" spans="1:12" s="1372" customFormat="1" x14ac:dyDescent="0.25">
      <c r="K799" s="1347" t="s">
        <v>649</v>
      </c>
    </row>
    <row r="800" spans="1:12" s="1372" customFormat="1" x14ac:dyDescent="0.25">
      <c r="K800" s="1347" t="s">
        <v>649</v>
      </c>
    </row>
    <row r="801" spans="11:11" s="1372" customFormat="1" x14ac:dyDescent="0.25">
      <c r="K801" s="1347" t="s">
        <v>649</v>
      </c>
    </row>
    <row r="802" spans="11:11" s="1372" customFormat="1" x14ac:dyDescent="0.25">
      <c r="K802" s="1347" t="s">
        <v>649</v>
      </c>
    </row>
    <row r="803" spans="11:11" s="1372" customFormat="1" x14ac:dyDescent="0.25">
      <c r="K803" s="1347" t="s">
        <v>649</v>
      </c>
    </row>
    <row r="804" spans="11:11" s="1372" customFormat="1" x14ac:dyDescent="0.25">
      <c r="K804" s="1347" t="s">
        <v>649</v>
      </c>
    </row>
    <row r="805" spans="11:11" s="1372" customFormat="1" x14ac:dyDescent="0.25">
      <c r="K805" s="1347" t="s">
        <v>649</v>
      </c>
    </row>
    <row r="806" spans="11:11" s="1372" customFormat="1" x14ac:dyDescent="0.25">
      <c r="K806" s="1347" t="s">
        <v>649</v>
      </c>
    </row>
    <row r="807" spans="11:11" s="1372" customFormat="1" x14ac:dyDescent="0.25">
      <c r="K807" s="1347" t="s">
        <v>649</v>
      </c>
    </row>
    <row r="808" spans="11:11" s="1372" customFormat="1" x14ac:dyDescent="0.25">
      <c r="K808" s="1347" t="s">
        <v>649</v>
      </c>
    </row>
    <row r="809" spans="11:11" s="1372" customFormat="1" x14ac:dyDescent="0.25">
      <c r="K809" s="1347" t="s">
        <v>649</v>
      </c>
    </row>
    <row r="810" spans="11:11" s="1372" customFormat="1" x14ac:dyDescent="0.25">
      <c r="K810" s="1347" t="s">
        <v>649</v>
      </c>
    </row>
    <row r="811" spans="11:11" s="1372" customFormat="1" x14ac:dyDescent="0.25">
      <c r="K811" s="1347" t="s">
        <v>649</v>
      </c>
    </row>
    <row r="812" spans="11:11" s="1372" customFormat="1" x14ac:dyDescent="0.25">
      <c r="K812" s="1347" t="s">
        <v>649</v>
      </c>
    </row>
    <row r="813" spans="11:11" s="1372" customFormat="1" x14ac:dyDescent="0.25">
      <c r="K813" s="1347" t="s">
        <v>649</v>
      </c>
    </row>
    <row r="814" spans="11:11" s="1372" customFormat="1" x14ac:dyDescent="0.25">
      <c r="K814" s="1347" t="s">
        <v>649</v>
      </c>
    </row>
    <row r="815" spans="11:11" s="1372" customFormat="1" x14ac:dyDescent="0.25">
      <c r="K815" s="1347" t="s">
        <v>649</v>
      </c>
    </row>
    <row r="816" spans="11:11" s="1372" customFormat="1" x14ac:dyDescent="0.25">
      <c r="K816" s="1347" t="s">
        <v>649</v>
      </c>
    </row>
    <row r="817" spans="11:12" s="1372" customFormat="1" x14ac:dyDescent="0.25">
      <c r="K817" s="1347" t="s">
        <v>649</v>
      </c>
      <c r="L817" s="1347"/>
    </row>
    <row r="818" spans="11:12" s="1372" customFormat="1" x14ac:dyDescent="0.25">
      <c r="K818" s="1347" t="s">
        <v>649</v>
      </c>
      <c r="L818" s="1347"/>
    </row>
    <row r="819" spans="11:12" s="1372" customFormat="1" x14ac:dyDescent="0.25">
      <c r="K819" s="1347" t="s">
        <v>649</v>
      </c>
      <c r="L819" s="1347"/>
    </row>
    <row r="820" spans="11:12" s="1372" customFormat="1" x14ac:dyDescent="0.25">
      <c r="K820" s="1347" t="s">
        <v>649</v>
      </c>
      <c r="L820" s="1347"/>
    </row>
    <row r="821" spans="11:12" s="1372" customFormat="1" x14ac:dyDescent="0.25">
      <c r="K821" s="1347" t="s">
        <v>649</v>
      </c>
      <c r="L821" s="1347"/>
    </row>
    <row r="822" spans="11:12" s="1372" customFormat="1" x14ac:dyDescent="0.25">
      <c r="K822" s="1347" t="s">
        <v>649</v>
      </c>
      <c r="L822" s="1347"/>
    </row>
    <row r="823" spans="11:12" s="1372" customFormat="1" x14ac:dyDescent="0.25">
      <c r="K823" s="1347" t="s">
        <v>649</v>
      </c>
      <c r="L823" s="1347"/>
    </row>
    <row r="824" spans="11:12" s="1372" customFormat="1" x14ac:dyDescent="0.25">
      <c r="K824" s="1347" t="s">
        <v>649</v>
      </c>
      <c r="L824" s="1347"/>
    </row>
    <row r="825" spans="11:12" s="1372" customFormat="1" x14ac:dyDescent="0.25">
      <c r="K825" s="1347" t="s">
        <v>649</v>
      </c>
      <c r="L825" s="1347"/>
    </row>
    <row r="826" spans="11:12" s="1372" customFormat="1" x14ac:dyDescent="0.25">
      <c r="K826" s="1347" t="s">
        <v>649</v>
      </c>
      <c r="L826" s="1347"/>
    </row>
    <row r="827" spans="11:12" s="1372" customFormat="1" x14ac:dyDescent="0.25">
      <c r="K827" s="1347" t="s">
        <v>649</v>
      </c>
      <c r="L827" s="1347"/>
    </row>
    <row r="828" spans="11:12" s="1372" customFormat="1" x14ac:dyDescent="0.25">
      <c r="K828" s="1347" t="s">
        <v>649</v>
      </c>
      <c r="L828" s="1347"/>
    </row>
    <row r="829" spans="11:12" s="1372" customFormat="1" x14ac:dyDescent="0.25">
      <c r="K829" s="1347" t="s">
        <v>649</v>
      </c>
      <c r="L829" s="1347"/>
    </row>
    <row r="830" spans="11:12" s="1372" customFormat="1" x14ac:dyDescent="0.25">
      <c r="K830" s="1347" t="s">
        <v>649</v>
      </c>
      <c r="L830" s="1347"/>
    </row>
    <row r="831" spans="11:12" s="1372" customFormat="1" x14ac:dyDescent="0.25">
      <c r="K831" s="1347" t="s">
        <v>649</v>
      </c>
      <c r="L831" s="1347"/>
    </row>
    <row r="832" spans="11:12" s="1372" customFormat="1" x14ac:dyDescent="0.25">
      <c r="K832" s="1347" t="s">
        <v>649</v>
      </c>
      <c r="L832" s="1347"/>
    </row>
    <row r="833" spans="11:12" s="1372" customFormat="1" x14ac:dyDescent="0.25">
      <c r="K833" s="1347" t="s">
        <v>649</v>
      </c>
      <c r="L833" s="1347"/>
    </row>
    <row r="834" spans="11:12" s="1372" customFormat="1" x14ac:dyDescent="0.25">
      <c r="K834" s="1347" t="s">
        <v>649</v>
      </c>
      <c r="L834" s="1347"/>
    </row>
    <row r="835" spans="11:12" s="1372" customFormat="1" x14ac:dyDescent="0.25">
      <c r="K835" s="1347" t="s">
        <v>649</v>
      </c>
      <c r="L835" s="1347"/>
    </row>
    <row r="836" spans="11:12" s="1372" customFormat="1" x14ac:dyDescent="0.25">
      <c r="K836" s="1347" t="s">
        <v>649</v>
      </c>
      <c r="L836" s="1347"/>
    </row>
    <row r="837" spans="11:12" s="1372" customFormat="1" x14ac:dyDescent="0.25">
      <c r="K837" s="1347" t="s">
        <v>649</v>
      </c>
      <c r="L837" s="1347"/>
    </row>
    <row r="838" spans="11:12" s="1372" customFormat="1" x14ac:dyDescent="0.25">
      <c r="K838" s="1347" t="s">
        <v>649</v>
      </c>
      <c r="L838" s="1347"/>
    </row>
    <row r="839" spans="11:12" s="1372" customFormat="1" x14ac:dyDescent="0.25">
      <c r="K839" s="1347" t="s">
        <v>649</v>
      </c>
      <c r="L839" s="1347"/>
    </row>
    <row r="840" spans="11:12" s="1372" customFormat="1" x14ac:dyDescent="0.25">
      <c r="K840" s="1347" t="s">
        <v>649</v>
      </c>
      <c r="L840" s="1347"/>
    </row>
    <row r="841" spans="11:12" s="1372" customFormat="1" x14ac:dyDescent="0.25">
      <c r="K841" s="1347" t="s">
        <v>649</v>
      </c>
      <c r="L841" s="1347"/>
    </row>
    <row r="842" spans="11:12" s="1372" customFormat="1" x14ac:dyDescent="0.25">
      <c r="K842" s="1347" t="s">
        <v>649</v>
      </c>
      <c r="L842" s="1347"/>
    </row>
    <row r="843" spans="11:12" s="1372" customFormat="1" x14ac:dyDescent="0.25">
      <c r="K843" s="1347" t="s">
        <v>649</v>
      </c>
      <c r="L843" s="1347"/>
    </row>
    <row r="844" spans="11:12" s="1372" customFormat="1" x14ac:dyDescent="0.25">
      <c r="K844" s="1347" t="s">
        <v>649</v>
      </c>
      <c r="L844" s="1347"/>
    </row>
    <row r="845" spans="11:12" s="1372" customFormat="1" x14ac:dyDescent="0.25">
      <c r="K845" s="1347" t="s">
        <v>649</v>
      </c>
      <c r="L845" s="1347"/>
    </row>
    <row r="846" spans="11:12" s="1372" customFormat="1" x14ac:dyDescent="0.25">
      <c r="K846" s="1347" t="s">
        <v>649</v>
      </c>
      <c r="L846" s="1347"/>
    </row>
    <row r="847" spans="11:12" s="1372" customFormat="1" x14ac:dyDescent="0.25">
      <c r="K847" s="1347" t="s">
        <v>649</v>
      </c>
      <c r="L847" s="1347"/>
    </row>
    <row r="848" spans="11:12" s="1372" customFormat="1" x14ac:dyDescent="0.25">
      <c r="K848" s="1347" t="s">
        <v>649</v>
      </c>
      <c r="L848" s="1347"/>
    </row>
    <row r="849" spans="1:12" s="1372" customFormat="1" x14ac:dyDescent="0.25">
      <c r="K849" s="1347" t="s">
        <v>649</v>
      </c>
      <c r="L849" s="1347"/>
    </row>
    <row r="850" spans="1:12" s="1374" customFormat="1" x14ac:dyDescent="0.25">
      <c r="A850" s="1373"/>
      <c r="B850" s="1373"/>
      <c r="C850" s="1373"/>
      <c r="D850" s="1373"/>
      <c r="E850" s="1373"/>
      <c r="F850" s="1373"/>
      <c r="G850" s="1373"/>
      <c r="H850" s="1373"/>
      <c r="I850" s="1373"/>
      <c r="J850" s="1373"/>
      <c r="K850" s="1347" t="s">
        <v>649</v>
      </c>
      <c r="L850" s="1347"/>
    </row>
    <row r="851" spans="1:12" s="1372" customFormat="1" ht="15" customHeight="1" x14ac:dyDescent="0.25">
      <c r="A851" s="704"/>
      <c r="B851" s="704"/>
      <c r="C851" s="704"/>
      <c r="D851" s="704"/>
      <c r="E851" s="704"/>
      <c r="F851" s="704"/>
      <c r="G851" s="704"/>
      <c r="H851" s="704"/>
      <c r="I851" s="704"/>
      <c r="J851" s="704"/>
      <c r="K851" s="1347" t="s">
        <v>649</v>
      </c>
      <c r="L851" s="1347"/>
    </row>
    <row r="852" spans="1:12" s="1347" customFormat="1" ht="15" customHeight="1" x14ac:dyDescent="0.25">
      <c r="A852" s="2988" t="str">
        <f>"Transdutor "&amp;Ultrassom!A761&amp;" - marca "&amp;Ultrassom!B761&amp;", modelo "&amp;Ultrassom!C761&amp;", n° série "&amp;Ultrassom!D761</f>
        <v>Transdutor 9 - marca não informada, modelo não informado, n° série não informado</v>
      </c>
      <c r="B852" s="2988"/>
      <c r="C852" s="2988"/>
      <c r="D852" s="2988"/>
      <c r="E852" s="2988"/>
      <c r="F852" s="2988"/>
      <c r="G852" s="2988"/>
      <c r="H852" s="2988"/>
      <c r="I852" s="2988"/>
      <c r="J852" s="2988"/>
      <c r="K852" s="1347" t="str">
        <f>IF(Ultrassom!B759&lt;=Ultrassom!$E$4,"","x")</f>
        <v>x</v>
      </c>
      <c r="L852" s="1347" t="str">
        <f>Ultrassom!A759&amp;Ultrassom!B759</f>
        <v>TRANSDUTOR: 9</v>
      </c>
    </row>
    <row r="853" spans="1:12" s="1347" customFormat="1" ht="15" customHeight="1" x14ac:dyDescent="0.25">
      <c r="A853" s="2988"/>
      <c r="B853" s="2988"/>
      <c r="C853" s="2988"/>
      <c r="D853" s="2988"/>
      <c r="E853" s="2988"/>
      <c r="F853" s="2988"/>
      <c r="G853" s="2988"/>
      <c r="H853" s="2988"/>
      <c r="I853" s="2988"/>
      <c r="J853" s="2988"/>
      <c r="K853" s="1347" t="str">
        <f>K852</f>
        <v>x</v>
      </c>
    </row>
    <row r="854" spans="1:12" s="1347" customFormat="1" ht="15" customHeight="1" x14ac:dyDescent="0.25">
      <c r="A854" s="1346"/>
      <c r="B854" s="1346"/>
      <c r="C854" s="1346"/>
      <c r="D854" s="1346"/>
      <c r="E854" s="1346"/>
      <c r="F854" s="1346"/>
      <c r="G854" s="1346"/>
      <c r="H854" s="1346"/>
      <c r="I854" s="1346"/>
      <c r="J854" s="1346"/>
      <c r="K854" s="1347" t="str">
        <f>K853</f>
        <v>x</v>
      </c>
    </row>
    <row r="855" spans="1:12" s="1347" customFormat="1" ht="15" customHeight="1" x14ac:dyDescent="0.25">
      <c r="A855" s="2984" t="s">
        <v>1576</v>
      </c>
      <c r="B855" s="2984"/>
      <c r="C855" s="2984"/>
      <c r="D855" s="2984"/>
      <c r="E855" s="2984"/>
      <c r="F855" s="2984"/>
      <c r="G855" s="2848" t="s">
        <v>369</v>
      </c>
      <c r="H855" s="3014"/>
      <c r="I855" s="1333" t="str">
        <f>"IN "&amp;VLOOKUP("Ultrassom",IN_ANVISA[],2)</f>
        <v>IN 96</v>
      </c>
      <c r="K855" s="1347" t="str">
        <f>K854</f>
        <v>x</v>
      </c>
    </row>
    <row r="856" spans="1:12" s="1347" customFormat="1" ht="15" customHeight="1" x14ac:dyDescent="0.25">
      <c r="A856" s="3011" t="s">
        <v>1619</v>
      </c>
      <c r="B856" s="3012"/>
      <c r="C856" s="3012"/>
      <c r="D856" s="3012"/>
      <c r="E856" s="3012"/>
      <c r="F856" s="3013"/>
      <c r="G856" s="2990" t="str">
        <f>Ultrassom!E761</f>
        <v>Boa</v>
      </c>
      <c r="H856" s="2992"/>
      <c r="I856" s="1237" t="s">
        <v>142</v>
      </c>
      <c r="K856" s="1347" t="str">
        <f>K855</f>
        <v>x</v>
      </c>
      <c r="L856" s="1347" t="str">
        <f>IF(G856&lt;&gt;"Boa",A856,"")</f>
        <v/>
      </c>
    </row>
    <row r="857" spans="1:12" s="1347" customFormat="1" ht="15" customHeight="1" x14ac:dyDescent="0.25">
      <c r="A857" s="3001" t="s">
        <v>1538</v>
      </c>
      <c r="B857" s="3001"/>
      <c r="C857" s="3001"/>
      <c r="D857" s="3001"/>
      <c r="E857" s="3001"/>
      <c r="F857" s="3001"/>
      <c r="G857" s="3002" t="str">
        <f>IF(LARGE(Ultrassom!C772:D772,1)=0,IF(Ultrassom!D766="s","Uniforme","Não uniforme"),ROUNDDOWN(LARGE(Ultrassom!C772:D772,1),1)&amp;" dB")</f>
        <v>Não uniforme</v>
      </c>
      <c r="H857" s="3003"/>
      <c r="I857" s="1237" t="str">
        <f>Ultrassom!B772</f>
        <v>NPA</v>
      </c>
      <c r="K857" s="1347" t="str">
        <f>K856</f>
        <v>x</v>
      </c>
      <c r="L857" s="1347" t="str">
        <f>IF(I857="Não",A857,"")</f>
        <v/>
      </c>
    </row>
    <row r="858" spans="1:12" s="1347" customFormat="1" ht="15" customHeight="1" x14ac:dyDescent="0.25">
      <c r="A858" s="3001" t="s">
        <v>1579</v>
      </c>
      <c r="B858" s="3001"/>
      <c r="C858" s="3001"/>
      <c r="D858" s="3001"/>
      <c r="E858" s="3001"/>
      <c r="F858" s="3001"/>
      <c r="G858" s="3002" t="str">
        <f>Ultrassom!D781&amp;" cm"</f>
        <v xml:space="preserve"> cm</v>
      </c>
      <c r="H858" s="3003"/>
      <c r="I858" s="1237" t="str">
        <f>Ultrassom!D783</f>
        <v>NA</v>
      </c>
      <c r="K858" s="1347" t="str">
        <f>IF(I858="NA","x","")</f>
        <v>x</v>
      </c>
      <c r="L858" s="1347" t="str">
        <f>IF(I858="Não",A858,"")</f>
        <v/>
      </c>
    </row>
    <row r="859" spans="1:12" s="1347" customFormat="1" ht="15" customHeight="1" x14ac:dyDescent="0.25">
      <c r="A859" s="3001" t="s">
        <v>1577</v>
      </c>
      <c r="B859" s="3001"/>
      <c r="C859" s="3001"/>
      <c r="D859" s="3001"/>
      <c r="E859" s="3001"/>
      <c r="F859" s="3001"/>
      <c r="G859" s="2591" t="str">
        <f>Ultrassom!B781&amp;" cm"</f>
        <v xml:space="preserve"> cm</v>
      </c>
      <c r="H859" s="2593"/>
      <c r="I859" s="1243" t="str">
        <f>Ultrassom!B783</f>
        <v>NA</v>
      </c>
      <c r="K859" s="1347" t="str">
        <f>IF(I859="NA","x","")</f>
        <v>x</v>
      </c>
      <c r="L859" s="1347" t="str">
        <f>IF(I859="Não",A859,"")</f>
        <v/>
      </c>
    </row>
    <row r="860" spans="1:12" s="1347" customFormat="1" ht="15" customHeight="1" x14ac:dyDescent="0.25">
      <c r="A860" s="3001" t="s">
        <v>1578</v>
      </c>
      <c r="B860" s="3001"/>
      <c r="C860" s="3001"/>
      <c r="D860" s="3001"/>
      <c r="E860" s="3001"/>
      <c r="F860" s="3001"/>
      <c r="G860" s="2591" t="str">
        <f>Ultrassom!C781&amp;" cm"</f>
        <v xml:space="preserve"> cm</v>
      </c>
      <c r="H860" s="2593"/>
      <c r="I860" s="1243" t="str">
        <f>Ultrassom!C783</f>
        <v>NA</v>
      </c>
      <c r="K860" s="1347" t="str">
        <f>IF(I860="NA","x","")</f>
        <v>x</v>
      </c>
      <c r="L860" s="1347" t="str">
        <f>IF(I860="Não",A860,"")</f>
        <v/>
      </c>
    </row>
    <row r="861" spans="1:12" s="1347" customFormat="1" ht="15" customHeight="1" x14ac:dyDescent="0.25">
      <c r="A861" s="3001" t="s">
        <v>1580</v>
      </c>
      <c r="B861" s="3001"/>
      <c r="C861" s="3001"/>
      <c r="D861" s="3001"/>
      <c r="E861" s="3001"/>
      <c r="F861" s="3001"/>
      <c r="G861" s="2990" t="str">
        <f>Ultrassom!B787&amp;" objetos, "&amp;IF(Ultrassom!B790="s","BD","BND")&amp;" "&amp;IF(Ultrassom!B791="s","AC","ANC")</f>
        <v xml:space="preserve"> objetos, BND ANC</v>
      </c>
      <c r="H861" s="2992"/>
      <c r="I861" s="1237" t="str">
        <f>Ultrassom!B792</f>
        <v>Sim</v>
      </c>
      <c r="K861" s="1347" t="str">
        <f>K852</f>
        <v>x</v>
      </c>
      <c r="L861" s="1347" t="str">
        <f>IF(I861="Não","Visualização de objetos anecóicos","")</f>
        <v/>
      </c>
    </row>
    <row r="862" spans="1:12" s="1347" customFormat="1" ht="15" customHeight="1" x14ac:dyDescent="0.25">
      <c r="A862" s="3001" t="s">
        <v>1581</v>
      </c>
      <c r="B862" s="3001"/>
      <c r="C862" s="3001"/>
      <c r="D862" s="3001"/>
      <c r="E862" s="3001"/>
      <c r="F862" s="3001"/>
      <c r="G862" s="3002" t="str">
        <f>Ultrassom!D787&amp;" objetos, "&amp;IF(Ultrassom!D790="s","BD","BND")&amp;" "&amp;IF(Ultrassom!D791="s","AC","ANC")</f>
        <v xml:space="preserve"> objetos, BND ANC</v>
      </c>
      <c r="H862" s="3003"/>
      <c r="I862" s="1237" t="str">
        <f>Ultrassom!D792</f>
        <v>Sim</v>
      </c>
      <c r="K862" s="1347" t="str">
        <f>K861</f>
        <v>x</v>
      </c>
      <c r="L862" s="1347" t="str">
        <f>IF(I862="Não","Visualização de objetos anecóicos","")</f>
        <v/>
      </c>
    </row>
    <row r="863" spans="1:12" s="1347" customFormat="1" ht="15" customHeight="1" x14ac:dyDescent="0.25">
      <c r="A863" s="3001" t="s">
        <v>1582</v>
      </c>
      <c r="B863" s="3001"/>
      <c r="C863" s="3001"/>
      <c r="D863" s="3001"/>
      <c r="E863" s="3001"/>
      <c r="F863" s="3001"/>
      <c r="G863" s="3002" t="str">
        <f>Ultrassom!F787&amp;" objetos, "&amp;IF(Ultrassom!F790="s","BD","BND")&amp;" "&amp;IF(Ultrassom!F791="s","AC","ANC")</f>
        <v xml:space="preserve"> objetos, BND ANC</v>
      </c>
      <c r="H863" s="3003"/>
      <c r="I863" s="1237" t="str">
        <f>Ultrassom!F792</f>
        <v>Sim</v>
      </c>
      <c r="K863" s="1347" t="str">
        <f t="shared" ref="K863:K868" si="25">K862</f>
        <v>x</v>
      </c>
      <c r="L863" s="1347" t="str">
        <f>IF(I863="Não","Visualização de objetos anecóicos","")</f>
        <v/>
      </c>
    </row>
    <row r="864" spans="1:12" s="1347" customFormat="1" x14ac:dyDescent="0.25">
      <c r="A864" s="3004" t="str">
        <f>"Zona morta @ "&amp;ROUND(Ultrassom!A796,1)&amp;" MHz"</f>
        <v>Zona morta @ 0 MHz</v>
      </c>
      <c r="B864" s="3004"/>
      <c r="C864" s="3004"/>
      <c r="D864" s="3004"/>
      <c r="E864" s="3004"/>
      <c r="F864" s="3004"/>
      <c r="G864" s="2975" t="str">
        <f>Ultrassom!C796&amp;" mm"</f>
        <v xml:space="preserve"> mm</v>
      </c>
      <c r="H864" s="2998"/>
      <c r="I864" s="1237" t="str">
        <f>Ultrassom!E796</f>
        <v>Sim</v>
      </c>
      <c r="K864" s="1347" t="str">
        <f t="shared" si="25"/>
        <v>x</v>
      </c>
      <c r="L864" s="1347" t="str">
        <f>IF(I864="Não","Zona morta","")</f>
        <v/>
      </c>
    </row>
    <row r="865" spans="1:12" s="940" customFormat="1" x14ac:dyDescent="0.25">
      <c r="A865" s="3005" t="s">
        <v>1583</v>
      </c>
      <c r="B865" s="3005"/>
      <c r="C865" s="3005"/>
      <c r="D865" s="3005"/>
      <c r="E865" s="3005"/>
      <c r="F865" s="3005"/>
      <c r="G865" s="2975" t="e">
        <f>LARGE(Ultrassom!C804:C805,1)&amp;" mm"</f>
        <v>#NUM!</v>
      </c>
      <c r="H865" s="2998"/>
      <c r="I865" s="1237" t="str">
        <f>Ultrassom!C807</f>
        <v>NPA</v>
      </c>
      <c r="K865" s="1347" t="str">
        <f t="shared" si="25"/>
        <v>x</v>
      </c>
      <c r="L865" s="1347" t="str">
        <f>IF(I865="Não",A865,"")</f>
        <v/>
      </c>
    </row>
    <row r="866" spans="1:12" s="940" customFormat="1" x14ac:dyDescent="0.25">
      <c r="A866" s="3005" t="s">
        <v>1584</v>
      </c>
      <c r="B866" s="3005"/>
      <c r="C866" s="3005"/>
      <c r="D866" s="3005"/>
      <c r="E866" s="3005"/>
      <c r="F866" s="3005"/>
      <c r="G866" s="2975" t="e">
        <f>LARGE(Ultrassom!D804:D805,1)&amp;" mm"</f>
        <v>#NUM!</v>
      </c>
      <c r="H866" s="2998"/>
      <c r="I866" s="1237" t="str">
        <f>Ultrassom!D807</f>
        <v>NPA</v>
      </c>
      <c r="K866" s="1347" t="str">
        <f t="shared" si="25"/>
        <v>x</v>
      </c>
      <c r="L866" s="1347" t="str">
        <f>IF(I866="Não",A866,"")</f>
        <v/>
      </c>
    </row>
    <row r="867" spans="1:12" s="940" customFormat="1" ht="15" customHeight="1" x14ac:dyDescent="0.25">
      <c r="A867" s="3006" t="str">
        <f>"Resolução axial @ "&amp;ROUND(Ultrassom!D811,1)&amp;" MHz"</f>
        <v>Resolução axial @ 0 MHz</v>
      </c>
      <c r="B867" s="3006"/>
      <c r="C867" s="3006"/>
      <c r="D867" s="3006"/>
      <c r="E867" s="3006"/>
      <c r="F867" s="3006"/>
      <c r="G867" s="3007">
        <f>Ultrassom!D813</f>
        <v>0</v>
      </c>
      <c r="H867" s="3008"/>
      <c r="I867" s="1237" t="str">
        <f>Ultrassom!D815</f>
        <v>Sim</v>
      </c>
      <c r="K867" s="1347" t="str">
        <f t="shared" si="25"/>
        <v>x</v>
      </c>
      <c r="L867" s="1347" t="str">
        <f>IF(I867="Não","Resolução axial","")</f>
        <v/>
      </c>
    </row>
    <row r="868" spans="1:12" s="940" customFormat="1" ht="15" customHeight="1" x14ac:dyDescent="0.25">
      <c r="A868" s="3006" t="str">
        <f>"Resolução lateral @ "&amp;ROUND(Ultrassom!E811,1)&amp;" MHz"</f>
        <v>Resolução lateral @ 0 MHz</v>
      </c>
      <c r="B868" s="3006"/>
      <c r="C868" s="3006"/>
      <c r="D868" s="3006"/>
      <c r="E868" s="3006"/>
      <c r="F868" s="3006"/>
      <c r="G868" s="3007">
        <f>Ultrassom!E813</f>
        <v>0</v>
      </c>
      <c r="H868" s="3008"/>
      <c r="I868" s="1237" t="str">
        <f>Ultrassom!E815</f>
        <v>Sim</v>
      </c>
      <c r="K868" s="1347" t="str">
        <f t="shared" si="25"/>
        <v>x</v>
      </c>
      <c r="L868" s="1347" t="str">
        <f>IF(I868="Não","Resolução lateral","")</f>
        <v/>
      </c>
    </row>
    <row r="869" spans="1:12" s="940" customFormat="1" ht="15" customHeight="1" x14ac:dyDescent="0.25">
      <c r="A869" s="2993" t="str">
        <f>"Zona focal - foco @ "&amp;Ultrassom!B819&amp;" cm"</f>
        <v>Zona focal - foco @  cm</v>
      </c>
      <c r="B869" s="2994"/>
      <c r="C869" s="2994"/>
      <c r="D869" s="2994"/>
      <c r="E869" s="2994"/>
      <c r="F869" s="2995"/>
      <c r="G869" s="2975" t="str">
        <f>Ultrassom!B821&amp;" cm"</f>
        <v xml:space="preserve"> cm</v>
      </c>
      <c r="H869" s="2998"/>
      <c r="I869" s="1237" t="str">
        <f>Ultrassom!B824</f>
        <v>NA</v>
      </c>
      <c r="K869" s="1347" t="str">
        <f>IF(I869="NA","x","")</f>
        <v>x</v>
      </c>
      <c r="L869" s="1347" t="str">
        <f>IF(I869="Não","Zona focal","")</f>
        <v/>
      </c>
    </row>
    <row r="870" spans="1:12" s="940" customFormat="1" ht="15" customHeight="1" x14ac:dyDescent="0.25">
      <c r="A870" s="2993" t="str">
        <f>"Zona focal - foco @ "&amp;Ultrassom!C819&amp;" cm"</f>
        <v>Zona focal - foco @  cm</v>
      </c>
      <c r="B870" s="2994"/>
      <c r="C870" s="2994"/>
      <c r="D870" s="2994"/>
      <c r="E870" s="2994"/>
      <c r="F870" s="2995"/>
      <c r="G870" s="2975" t="str">
        <f>Ultrassom!C821&amp;" cm"</f>
        <v xml:space="preserve"> cm</v>
      </c>
      <c r="H870" s="2998"/>
      <c r="I870" s="1237" t="str">
        <f>Ultrassom!C824</f>
        <v>NA</v>
      </c>
      <c r="K870" s="1347" t="str">
        <f>IF(I870="NA","x","")</f>
        <v>x</v>
      </c>
      <c r="L870" s="1347" t="str">
        <f>IF(I870="Não","Zona focal","")</f>
        <v/>
      </c>
    </row>
    <row r="871" spans="1:12" s="940" customFormat="1" ht="15" customHeight="1" x14ac:dyDescent="0.25">
      <c r="A871" s="2993" t="str">
        <f>"Zona focal - foco @ "&amp;Ultrassom!D819&amp;" cm"</f>
        <v>Zona focal - foco @  cm</v>
      </c>
      <c r="B871" s="2994"/>
      <c r="C871" s="2994"/>
      <c r="D871" s="2994"/>
      <c r="E871" s="2994"/>
      <c r="F871" s="2995"/>
      <c r="G871" s="2996" t="str">
        <f>Ultrassom!D821&amp;" cm"</f>
        <v xml:space="preserve"> cm</v>
      </c>
      <c r="H871" s="2997"/>
      <c r="I871" s="1243" t="str">
        <f>Ultrassom!D824</f>
        <v>NA</v>
      </c>
      <c r="K871" s="1347" t="str">
        <f>IF(I871="NA","x","")</f>
        <v>x</v>
      </c>
      <c r="L871" s="1347" t="str">
        <f>IF(I871="Não","Zona focal","")</f>
        <v/>
      </c>
    </row>
    <row r="872" spans="1:12" s="940" customFormat="1" ht="15" customHeight="1" x14ac:dyDescent="0.25">
      <c r="A872" s="2993" t="str">
        <f>"Zona focal - foco @ "&amp;Ultrassom!E819&amp;" cm"</f>
        <v>Zona focal - foco @  cm</v>
      </c>
      <c r="B872" s="2994"/>
      <c r="C872" s="2994"/>
      <c r="D872" s="2994"/>
      <c r="E872" s="2994"/>
      <c r="F872" s="2995"/>
      <c r="G872" s="2996" t="str">
        <f>Ultrassom!E821&amp;" cm"</f>
        <v xml:space="preserve"> cm</v>
      </c>
      <c r="H872" s="2997"/>
      <c r="I872" s="1243" t="str">
        <f>Ultrassom!E824</f>
        <v>NA</v>
      </c>
      <c r="K872" s="1347" t="str">
        <f>IF(I872="NA","x","")</f>
        <v>x</v>
      </c>
      <c r="L872" s="1347" t="str">
        <f>IF(I872="Não","Zona focal","")</f>
        <v/>
      </c>
    </row>
    <row r="873" spans="1:12" s="940" customFormat="1" ht="15" customHeight="1" x14ac:dyDescent="0.25">
      <c r="A873" s="2993" t="str">
        <f>"Zona focal - foco @ "&amp;Ultrassom!F819&amp;" cm"</f>
        <v>Zona focal - foco @  cm</v>
      </c>
      <c r="B873" s="2994"/>
      <c r="C873" s="2994"/>
      <c r="D873" s="2994"/>
      <c r="E873" s="2994"/>
      <c r="F873" s="2995"/>
      <c r="G873" s="2975" t="str">
        <f>Ultrassom!F821&amp;" cm"</f>
        <v xml:space="preserve"> cm</v>
      </c>
      <c r="H873" s="2998"/>
      <c r="I873" s="1237" t="str">
        <f>Ultrassom!F824</f>
        <v>NA</v>
      </c>
      <c r="K873" s="1347" t="str">
        <f>IF(I873="NA","x","")</f>
        <v>x</v>
      </c>
      <c r="L873" s="1347" t="str">
        <f>IF(I873="Não","Zona focal","")</f>
        <v/>
      </c>
    </row>
    <row r="874" spans="1:12" s="940" customFormat="1" ht="15" customHeight="1" x14ac:dyDescent="0.25">
      <c r="A874" s="2993" t="s">
        <v>1585</v>
      </c>
      <c r="B874" s="2994"/>
      <c r="C874" s="2994"/>
      <c r="D874" s="2994"/>
      <c r="E874" s="2994"/>
      <c r="F874" s="2995"/>
      <c r="G874" s="2999" t="str">
        <f>IF(Ultrassom!B829="s","Visualizado","Não visualizado")</f>
        <v>Não visualizado</v>
      </c>
      <c r="H874" s="3000"/>
      <c r="I874" s="1237" t="str">
        <f>Ultrassom!B831</f>
        <v>Sim</v>
      </c>
      <c r="K874" s="1347" t="str">
        <f>K852</f>
        <v>x</v>
      </c>
      <c r="L874" s="1347" t="str">
        <f>IF(I874="Não","Limiar de sensibilidade a baixo contraste","")</f>
        <v/>
      </c>
    </row>
    <row r="875" spans="1:12" s="940" customFormat="1" ht="15" customHeight="1" x14ac:dyDescent="0.25">
      <c r="A875" s="2993" t="s">
        <v>1586</v>
      </c>
      <c r="B875" s="2994"/>
      <c r="C875" s="2994"/>
      <c r="D875" s="2994"/>
      <c r="E875" s="2994"/>
      <c r="F875" s="2995"/>
      <c r="G875" s="2999" t="str">
        <f>IF(Ultrassom!C829="s","Visualizado","Não visualizado")</f>
        <v>Não visualizado</v>
      </c>
      <c r="H875" s="3000"/>
      <c r="I875" s="1237" t="str">
        <f>Ultrassom!C831</f>
        <v>Sim</v>
      </c>
      <c r="K875" s="1347" t="str">
        <f>K874</f>
        <v>x</v>
      </c>
      <c r="L875" s="1347" t="str">
        <f>IF(I875="Não","Limiar de sensibilidade a baixo contraste","")</f>
        <v/>
      </c>
    </row>
    <row r="876" spans="1:12" s="940" customFormat="1" ht="15" customHeight="1" x14ac:dyDescent="0.25">
      <c r="A876" s="2993" t="s">
        <v>1587</v>
      </c>
      <c r="B876" s="2994"/>
      <c r="C876" s="2994"/>
      <c r="D876" s="2994"/>
      <c r="E876" s="2994"/>
      <c r="F876" s="2995"/>
      <c r="G876" s="2999" t="str">
        <f>IF(Ultrassom!D829="s","Visualizado","Não visualizado")</f>
        <v>Não visualizado</v>
      </c>
      <c r="H876" s="3000"/>
      <c r="I876" s="1237" t="str">
        <f>Ultrassom!D831</f>
        <v>Sim</v>
      </c>
      <c r="K876" s="1347" t="str">
        <f>K875</f>
        <v>x</v>
      </c>
      <c r="L876" s="1347" t="str">
        <f>IF(I876="Não","Limiar de sensibilidade a baixo contraste","")</f>
        <v/>
      </c>
    </row>
    <row r="877" spans="1:12" s="940" customFormat="1" ht="15" customHeight="1" x14ac:dyDescent="0.25">
      <c r="A877" s="2993" t="s">
        <v>1588</v>
      </c>
      <c r="B877" s="2994"/>
      <c r="C877" s="2994"/>
      <c r="D877" s="2994"/>
      <c r="E877" s="2994"/>
      <c r="F877" s="2995"/>
      <c r="G877" s="2999" t="str">
        <f>IF(Ultrassom!E829="s","Visualizado","Não visualizado")</f>
        <v>Não visualizado</v>
      </c>
      <c r="H877" s="3000"/>
      <c r="I877" s="1237" t="str">
        <f>Ultrassom!E831</f>
        <v>Sim</v>
      </c>
      <c r="K877" s="1347" t="str">
        <f>K876</f>
        <v>x</v>
      </c>
      <c r="L877" s="1347" t="str">
        <f>IF(I877="Não","Limiar de sensibilidade a baixo contraste","")</f>
        <v/>
      </c>
    </row>
    <row r="878" spans="1:12" s="940" customFormat="1" ht="15" customHeight="1" x14ac:dyDescent="0.25">
      <c r="A878" s="3006" t="s">
        <v>1589</v>
      </c>
      <c r="B878" s="3006"/>
      <c r="C878" s="3006"/>
      <c r="D878" s="3006"/>
      <c r="E878" s="3006"/>
      <c r="F878" s="3006"/>
      <c r="G878" s="3002" t="str">
        <f>IFERROR(Ultrassom!F837*100&amp;" %","NPA")</f>
        <v>NPA</v>
      </c>
      <c r="H878" s="3003"/>
      <c r="I878" s="1237" t="str">
        <f>Ultrassom!G837</f>
        <v>NA</v>
      </c>
      <c r="K878" s="1381" t="str">
        <f>K877</f>
        <v>x</v>
      </c>
      <c r="L878" s="1347" t="str">
        <f>IF(I878="Não",A878,"")</f>
        <v/>
      </c>
    </row>
    <row r="879" spans="1:12" s="940" customFormat="1" ht="15" customHeight="1" x14ac:dyDescent="0.25">
      <c r="A879" s="3006" t="str">
        <f>"Sensibilidade do modo doppler @ "&amp;Ultrassom!B841&amp;" (ref. "&amp;Ultrassom!B844&amp;" "&amp;Ultrassom!$A$842&amp;")"</f>
        <v>Sensibilidade do modo doppler @ fluxo baixo (ref. NI ml/s)</v>
      </c>
      <c r="B879" s="3006"/>
      <c r="C879" s="3006"/>
      <c r="D879" s="3006"/>
      <c r="E879" s="3006"/>
      <c r="F879" s="3006"/>
      <c r="G879" s="3002" t="str">
        <f>IFERROR(ROUNDDOWN(Ultrassom!C844,1)&amp;" "&amp;Ultrassom!$A$842,"NPA")</f>
        <v>0 ml/s</v>
      </c>
      <c r="H879" s="3003"/>
      <c r="I879" s="1834" t="str">
        <f>Ultrassom!D844</f>
        <v>NPA</v>
      </c>
      <c r="K879" s="1835" t="str">
        <f t="shared" ref="K879:K881" si="26">IF(G879="0 ml/s","x","")</f>
        <v>x</v>
      </c>
      <c r="L879" s="1347" t="str">
        <f>IF(I879="Não","Sensibilidade do modo doppler","")</f>
        <v/>
      </c>
    </row>
    <row r="880" spans="1:12" s="940" customFormat="1" ht="15" customHeight="1" x14ac:dyDescent="0.25">
      <c r="A880" s="3006" t="str">
        <f>"Sensibilidade do modo doppler @ "&amp;Ultrassom!E841&amp;" (ref. "&amp;Ultrassom!E844&amp;" "&amp;Ultrassom!$A$842&amp;")"</f>
        <v>Sensibilidade do modo doppler @ fluxo médio (ref. NI ml/s)</v>
      </c>
      <c r="B880" s="3006"/>
      <c r="C880" s="3006"/>
      <c r="D880" s="3006"/>
      <c r="E880" s="3006"/>
      <c r="F880" s="3006"/>
      <c r="G880" s="3002" t="str">
        <f>IFERROR(ROUNDDOWN(Ultrassom!F844,1)&amp;" "&amp;Ultrassom!$A$842,"NPA")</f>
        <v>0 ml/s</v>
      </c>
      <c r="H880" s="3003"/>
      <c r="I880" s="1834" t="str">
        <f>Ultrassom!G844</f>
        <v>NPA</v>
      </c>
      <c r="K880" s="1835" t="str">
        <f t="shared" si="26"/>
        <v>x</v>
      </c>
      <c r="L880" s="1347" t="str">
        <f>IF(I880="Não","Sensibilidade do modo doppler","")</f>
        <v/>
      </c>
    </row>
    <row r="881" spans="1:12" s="940" customFormat="1" ht="15" customHeight="1" x14ac:dyDescent="0.25">
      <c r="A881" s="3006" t="str">
        <f>"Sensibilidade do modo doppler @ "&amp;Ultrassom!H841&amp;" (ref. "&amp;Ultrassom!H844&amp;" "&amp;Ultrassom!$A$842&amp;")"</f>
        <v>Sensibilidade do modo doppler @ fluxo alto (ref. NI ml/s)</v>
      </c>
      <c r="B881" s="3006"/>
      <c r="C881" s="3006"/>
      <c r="D881" s="3006"/>
      <c r="E881" s="3006"/>
      <c r="F881" s="3006"/>
      <c r="G881" s="3002" t="str">
        <f>IFERROR(ROUNDDOWN(Ultrassom!I844,1)&amp;" "&amp;Ultrassom!$A$842,"NPA")</f>
        <v>0 ml/s</v>
      </c>
      <c r="H881" s="3003"/>
      <c r="I881" s="1834" t="str">
        <f>Ultrassom!J844</f>
        <v>NPA</v>
      </c>
      <c r="K881" s="1835" t="str">
        <f t="shared" si="26"/>
        <v>x</v>
      </c>
      <c r="L881" s="1347" t="str">
        <f>IF(I881="Não","Sensibilidade do modo doppler","")</f>
        <v/>
      </c>
    </row>
    <row r="882" spans="1:12" s="1347" customFormat="1" ht="15" customHeight="1" x14ac:dyDescent="0.25">
      <c r="A882" s="2986" t="s">
        <v>1922</v>
      </c>
      <c r="B882" s="2986"/>
      <c r="C882" s="2986"/>
      <c r="D882" s="2986"/>
      <c r="E882" s="2986"/>
      <c r="F882" s="2986"/>
      <c r="G882" s="2986"/>
      <c r="H882" s="2986"/>
      <c r="I882" s="2986"/>
      <c r="J882" s="2986"/>
      <c r="K882" s="1347" t="str">
        <f>K852</f>
        <v>x</v>
      </c>
    </row>
    <row r="883" spans="1:12" s="1347" customFormat="1" x14ac:dyDescent="0.25">
      <c r="A883" s="2986"/>
      <c r="B883" s="2986"/>
      <c r="C883" s="2986"/>
      <c r="D883" s="2986"/>
      <c r="E883" s="2986"/>
      <c r="F883" s="2986"/>
      <c r="G883" s="2986"/>
      <c r="H883" s="2986"/>
      <c r="I883" s="2986"/>
      <c r="J883" s="2986"/>
      <c r="K883" s="1347" t="str">
        <f>K882</f>
        <v>x</v>
      </c>
    </row>
    <row r="884" spans="1:12" s="1347" customFormat="1" x14ac:dyDescent="0.25">
      <c r="K884" s="1347" t="str">
        <f>K883</f>
        <v>x</v>
      </c>
      <c r="L884" s="1347" t="s">
        <v>1607</v>
      </c>
    </row>
    <row r="885" spans="1:12" s="1347" customFormat="1" x14ac:dyDescent="0.25">
      <c r="K885" s="1347" t="s">
        <v>649</v>
      </c>
    </row>
    <row r="886" spans="1:12" s="1372" customFormat="1" x14ac:dyDescent="0.25">
      <c r="K886" s="1347" t="s">
        <v>649</v>
      </c>
    </row>
    <row r="887" spans="1:12" s="1372" customFormat="1" x14ac:dyDescent="0.25">
      <c r="K887" s="1347" t="s">
        <v>649</v>
      </c>
    </row>
    <row r="888" spans="1:12" s="1372" customFormat="1" x14ac:dyDescent="0.25">
      <c r="K888" s="1347" t="s">
        <v>649</v>
      </c>
    </row>
    <row r="889" spans="1:12" s="1372" customFormat="1" x14ac:dyDescent="0.25">
      <c r="K889" s="1347" t="s">
        <v>649</v>
      </c>
    </row>
    <row r="890" spans="1:12" s="1372" customFormat="1" x14ac:dyDescent="0.25">
      <c r="K890" s="1347" t="s">
        <v>649</v>
      </c>
    </row>
    <row r="891" spans="1:12" s="1372" customFormat="1" x14ac:dyDescent="0.25">
      <c r="K891" s="1347" t="s">
        <v>649</v>
      </c>
    </row>
    <row r="892" spans="1:12" s="1372" customFormat="1" x14ac:dyDescent="0.25">
      <c r="K892" s="1347" t="s">
        <v>649</v>
      </c>
    </row>
    <row r="893" spans="1:12" s="1372" customFormat="1" x14ac:dyDescent="0.25">
      <c r="K893" s="1347" t="s">
        <v>649</v>
      </c>
    </row>
    <row r="894" spans="1:12" s="1372" customFormat="1" x14ac:dyDescent="0.25">
      <c r="K894" s="1347" t="s">
        <v>649</v>
      </c>
    </row>
    <row r="895" spans="1:12" s="1372" customFormat="1" x14ac:dyDescent="0.25">
      <c r="K895" s="1347" t="s">
        <v>649</v>
      </c>
    </row>
    <row r="896" spans="1:12" s="1372" customFormat="1" x14ac:dyDescent="0.25">
      <c r="K896" s="1347" t="s">
        <v>649</v>
      </c>
    </row>
    <row r="897" spans="11:11" s="1372" customFormat="1" x14ac:dyDescent="0.25">
      <c r="K897" s="1347" t="s">
        <v>649</v>
      </c>
    </row>
    <row r="898" spans="11:11" s="1372" customFormat="1" x14ac:dyDescent="0.25">
      <c r="K898" s="1347" t="s">
        <v>649</v>
      </c>
    </row>
    <row r="899" spans="11:11" s="1372" customFormat="1" x14ac:dyDescent="0.25">
      <c r="K899" s="1347" t="s">
        <v>649</v>
      </c>
    </row>
    <row r="900" spans="11:11" s="1372" customFormat="1" x14ac:dyDescent="0.25">
      <c r="K900" s="1347" t="s">
        <v>649</v>
      </c>
    </row>
    <row r="901" spans="11:11" s="1372" customFormat="1" x14ac:dyDescent="0.25">
      <c r="K901" s="1347" t="s">
        <v>649</v>
      </c>
    </row>
    <row r="902" spans="11:11" s="1372" customFormat="1" x14ac:dyDescent="0.25">
      <c r="K902" s="1347" t="s">
        <v>649</v>
      </c>
    </row>
    <row r="903" spans="11:11" s="1372" customFormat="1" x14ac:dyDescent="0.25">
      <c r="K903" s="1347" t="s">
        <v>649</v>
      </c>
    </row>
    <row r="904" spans="11:11" s="1372" customFormat="1" x14ac:dyDescent="0.25">
      <c r="K904" s="1347" t="s">
        <v>649</v>
      </c>
    </row>
    <row r="905" spans="11:11" s="1372" customFormat="1" x14ac:dyDescent="0.25">
      <c r="K905" s="1347" t="s">
        <v>649</v>
      </c>
    </row>
    <row r="906" spans="11:11" s="1372" customFormat="1" x14ac:dyDescent="0.25">
      <c r="K906" s="1347" t="s">
        <v>649</v>
      </c>
    </row>
    <row r="907" spans="11:11" s="1372" customFormat="1" x14ac:dyDescent="0.25">
      <c r="K907" s="1347" t="s">
        <v>649</v>
      </c>
    </row>
    <row r="908" spans="11:11" s="1372" customFormat="1" x14ac:dyDescent="0.25">
      <c r="K908" s="1347" t="s">
        <v>649</v>
      </c>
    </row>
    <row r="909" spans="11:11" s="1372" customFormat="1" x14ac:dyDescent="0.25">
      <c r="K909" s="1347" t="s">
        <v>649</v>
      </c>
    </row>
    <row r="910" spans="11:11" s="1372" customFormat="1" x14ac:dyDescent="0.25">
      <c r="K910" s="1347" t="s">
        <v>649</v>
      </c>
    </row>
    <row r="911" spans="11:11" s="1372" customFormat="1" x14ac:dyDescent="0.25">
      <c r="K911" s="1347" t="s">
        <v>649</v>
      </c>
    </row>
    <row r="912" spans="11:11" s="1372" customFormat="1" x14ac:dyDescent="0.25">
      <c r="K912" s="1347" t="s">
        <v>649</v>
      </c>
    </row>
    <row r="913" spans="11:12" s="1372" customFormat="1" x14ac:dyDescent="0.25">
      <c r="K913" s="1347" t="s">
        <v>649</v>
      </c>
      <c r="L913" s="1347"/>
    </row>
    <row r="914" spans="11:12" s="1372" customFormat="1" x14ac:dyDescent="0.25">
      <c r="K914" s="1347" t="s">
        <v>649</v>
      </c>
      <c r="L914" s="1347"/>
    </row>
    <row r="915" spans="11:12" s="1372" customFormat="1" x14ac:dyDescent="0.25">
      <c r="K915" s="1347" t="s">
        <v>649</v>
      </c>
      <c r="L915" s="1347"/>
    </row>
    <row r="916" spans="11:12" s="1372" customFormat="1" x14ac:dyDescent="0.25">
      <c r="K916" s="1347" t="s">
        <v>649</v>
      </c>
      <c r="L916" s="1347"/>
    </row>
    <row r="917" spans="11:12" s="1372" customFormat="1" x14ac:dyDescent="0.25">
      <c r="K917" s="1347" t="s">
        <v>649</v>
      </c>
      <c r="L917" s="1347"/>
    </row>
    <row r="918" spans="11:12" s="1372" customFormat="1" x14ac:dyDescent="0.25">
      <c r="K918" s="1347" t="s">
        <v>649</v>
      </c>
      <c r="L918" s="1347"/>
    </row>
    <row r="919" spans="11:12" s="1372" customFormat="1" x14ac:dyDescent="0.25">
      <c r="K919" s="1347" t="s">
        <v>649</v>
      </c>
      <c r="L919" s="1347"/>
    </row>
    <row r="920" spans="11:12" s="1372" customFormat="1" x14ac:dyDescent="0.25">
      <c r="K920" s="1347" t="s">
        <v>649</v>
      </c>
      <c r="L920" s="1347"/>
    </row>
    <row r="921" spans="11:12" s="1372" customFormat="1" x14ac:dyDescent="0.25">
      <c r="K921" s="1347" t="s">
        <v>649</v>
      </c>
      <c r="L921" s="1347"/>
    </row>
    <row r="922" spans="11:12" s="1372" customFormat="1" x14ac:dyDescent="0.25">
      <c r="K922" s="1347" t="s">
        <v>649</v>
      </c>
      <c r="L922" s="1347"/>
    </row>
    <row r="923" spans="11:12" s="1372" customFormat="1" x14ac:dyDescent="0.25">
      <c r="K923" s="1347" t="s">
        <v>649</v>
      </c>
      <c r="L923" s="1347"/>
    </row>
    <row r="924" spans="11:12" s="1372" customFormat="1" x14ac:dyDescent="0.25">
      <c r="K924" s="1347" t="s">
        <v>649</v>
      </c>
      <c r="L924" s="1347"/>
    </row>
    <row r="925" spans="11:12" s="1372" customFormat="1" x14ac:dyDescent="0.25">
      <c r="K925" s="1347" t="s">
        <v>649</v>
      </c>
      <c r="L925" s="1347"/>
    </row>
    <row r="926" spans="11:12" s="1372" customFormat="1" x14ac:dyDescent="0.25">
      <c r="K926" s="1347" t="s">
        <v>649</v>
      </c>
      <c r="L926" s="1347"/>
    </row>
    <row r="927" spans="11:12" s="1372" customFormat="1" x14ac:dyDescent="0.25">
      <c r="K927" s="1347" t="s">
        <v>649</v>
      </c>
      <c r="L927" s="1347"/>
    </row>
    <row r="928" spans="11:12" s="1372" customFormat="1" x14ac:dyDescent="0.25">
      <c r="K928" s="1347" t="s">
        <v>649</v>
      </c>
      <c r="L928" s="1347"/>
    </row>
    <row r="929" spans="11:12" s="1372" customFormat="1" x14ac:dyDescent="0.25">
      <c r="K929" s="1347" t="s">
        <v>649</v>
      </c>
      <c r="L929" s="1347"/>
    </row>
    <row r="930" spans="11:12" s="1372" customFormat="1" x14ac:dyDescent="0.25">
      <c r="K930" s="1347" t="s">
        <v>649</v>
      </c>
      <c r="L930" s="1347"/>
    </row>
    <row r="931" spans="11:12" s="1372" customFormat="1" x14ac:dyDescent="0.25">
      <c r="K931" s="1347" t="s">
        <v>649</v>
      </c>
      <c r="L931" s="1347"/>
    </row>
    <row r="932" spans="11:12" s="1372" customFormat="1" x14ac:dyDescent="0.25">
      <c r="K932" s="1347" t="s">
        <v>649</v>
      </c>
      <c r="L932" s="1347"/>
    </row>
    <row r="933" spans="11:12" s="1372" customFormat="1" x14ac:dyDescent="0.25">
      <c r="K933" s="1347" t="s">
        <v>649</v>
      </c>
      <c r="L933" s="1347"/>
    </row>
    <row r="934" spans="11:12" s="1372" customFormat="1" x14ac:dyDescent="0.25">
      <c r="K934" s="1347" t="s">
        <v>649</v>
      </c>
      <c r="L934" s="1347"/>
    </row>
    <row r="935" spans="11:12" s="1372" customFormat="1" x14ac:dyDescent="0.25">
      <c r="K935" s="1347" t="s">
        <v>649</v>
      </c>
      <c r="L935" s="1347"/>
    </row>
    <row r="936" spans="11:12" s="1372" customFormat="1" x14ac:dyDescent="0.25">
      <c r="K936" s="1347" t="s">
        <v>649</v>
      </c>
      <c r="L936" s="1347"/>
    </row>
    <row r="937" spans="11:12" s="1372" customFormat="1" x14ac:dyDescent="0.25">
      <c r="K937" s="1347" t="s">
        <v>649</v>
      </c>
      <c r="L937" s="1347"/>
    </row>
    <row r="938" spans="11:12" s="1372" customFormat="1" x14ac:dyDescent="0.25">
      <c r="K938" s="1347" t="s">
        <v>649</v>
      </c>
      <c r="L938" s="1347"/>
    </row>
    <row r="939" spans="11:12" s="1372" customFormat="1" x14ac:dyDescent="0.25">
      <c r="K939" s="1347" t="s">
        <v>649</v>
      </c>
      <c r="L939" s="1347"/>
    </row>
    <row r="940" spans="11:12" s="1372" customFormat="1" x14ac:dyDescent="0.25">
      <c r="K940" s="1347" t="s">
        <v>649</v>
      </c>
      <c r="L940" s="1347"/>
    </row>
    <row r="941" spans="11:12" s="1372" customFormat="1" x14ac:dyDescent="0.25">
      <c r="K941" s="1347" t="s">
        <v>649</v>
      </c>
      <c r="L941" s="1347"/>
    </row>
    <row r="942" spans="11:12" s="1372" customFormat="1" x14ac:dyDescent="0.25">
      <c r="K942" s="1347" t="s">
        <v>649</v>
      </c>
      <c r="L942" s="1347"/>
    </row>
    <row r="943" spans="11:12" s="1372" customFormat="1" x14ac:dyDescent="0.25">
      <c r="K943" s="1347" t="s">
        <v>649</v>
      </c>
      <c r="L943" s="1347"/>
    </row>
    <row r="944" spans="11:12" s="1372" customFormat="1" x14ac:dyDescent="0.25">
      <c r="K944" s="1347" t="s">
        <v>649</v>
      </c>
      <c r="L944" s="1347"/>
    </row>
    <row r="945" spans="1:12" s="1372" customFormat="1" x14ac:dyDescent="0.25">
      <c r="K945" s="1347" t="s">
        <v>649</v>
      </c>
      <c r="L945" s="1347"/>
    </row>
    <row r="946" spans="1:12" s="1374" customFormat="1" x14ac:dyDescent="0.25">
      <c r="A946" s="1373"/>
      <c r="B946" s="1373"/>
      <c r="C946" s="1373"/>
      <c r="D946" s="1373"/>
      <c r="E946" s="1373"/>
      <c r="F946" s="1373"/>
      <c r="G946" s="1373"/>
      <c r="H946" s="1373"/>
      <c r="I946" s="1373"/>
      <c r="J946" s="1373"/>
      <c r="K946" s="1347" t="s">
        <v>649</v>
      </c>
      <c r="L946" s="1347"/>
    </row>
    <row r="947" spans="1:12" s="1372" customFormat="1" ht="15" customHeight="1" x14ac:dyDescent="0.25">
      <c r="A947" s="704"/>
      <c r="B947" s="704"/>
      <c r="C947" s="704"/>
      <c r="D947" s="704"/>
      <c r="E947" s="704"/>
      <c r="F947" s="704"/>
      <c r="G947" s="704"/>
      <c r="H947" s="704"/>
      <c r="I947" s="704"/>
      <c r="J947" s="704"/>
      <c r="K947" s="1347" t="s">
        <v>649</v>
      </c>
      <c r="L947" s="1347"/>
    </row>
    <row r="948" spans="1:12" s="1347" customFormat="1" ht="15" customHeight="1" x14ac:dyDescent="0.25">
      <c r="A948" s="2988" t="str">
        <f>"Transdutor "&amp;Ultrassom!A852&amp;" - marca "&amp;Ultrassom!B852&amp;", modelo "&amp;Ultrassom!C852&amp;", n° série "&amp;Ultrassom!D852</f>
        <v>Transdutor 10 - marca não informada, modelo não informado, n° série não informado</v>
      </c>
      <c r="B948" s="2988"/>
      <c r="C948" s="2988"/>
      <c r="D948" s="2988"/>
      <c r="E948" s="2988"/>
      <c r="F948" s="2988"/>
      <c r="G948" s="2988"/>
      <c r="H948" s="2988"/>
      <c r="I948" s="2988"/>
      <c r="J948" s="2988"/>
      <c r="K948" s="1347" t="str">
        <f>IF(Ultrassom!B850&lt;=Ultrassom!$E$4,"","x")</f>
        <v>x</v>
      </c>
      <c r="L948" s="1347" t="str">
        <f>Ultrassom!A850&amp;Ultrassom!B850</f>
        <v>TRANSDUTOR: 10</v>
      </c>
    </row>
    <row r="949" spans="1:12" s="1347" customFormat="1" ht="15" customHeight="1" x14ac:dyDescent="0.25">
      <c r="A949" s="2988"/>
      <c r="B949" s="2988"/>
      <c r="C949" s="2988"/>
      <c r="D949" s="2988"/>
      <c r="E949" s="2988"/>
      <c r="F949" s="2988"/>
      <c r="G949" s="2988"/>
      <c r="H949" s="2988"/>
      <c r="I949" s="2988"/>
      <c r="J949" s="2988"/>
      <c r="K949" s="1347" t="str">
        <f>K948</f>
        <v>x</v>
      </c>
    </row>
    <row r="950" spans="1:12" s="1347" customFormat="1" ht="15" customHeight="1" x14ac:dyDescent="0.25">
      <c r="A950" s="1346"/>
      <c r="B950" s="1346"/>
      <c r="C950" s="1346"/>
      <c r="D950" s="1346"/>
      <c r="E950" s="1346"/>
      <c r="F950" s="1346"/>
      <c r="G950" s="1346"/>
      <c r="H950" s="1346"/>
      <c r="I950" s="1346"/>
      <c r="J950" s="1346"/>
      <c r="K950" s="1347" t="str">
        <f>K949</f>
        <v>x</v>
      </c>
    </row>
    <row r="951" spans="1:12" s="1347" customFormat="1" ht="15" customHeight="1" x14ac:dyDescent="0.25">
      <c r="A951" s="2984" t="s">
        <v>1576</v>
      </c>
      <c r="B951" s="2984"/>
      <c r="C951" s="2984"/>
      <c r="D951" s="2984"/>
      <c r="E951" s="2984"/>
      <c r="F951" s="2984"/>
      <c r="G951" s="2848" t="s">
        <v>369</v>
      </c>
      <c r="H951" s="3014"/>
      <c r="I951" s="1333" t="str">
        <f>"IN "&amp;VLOOKUP("Ultrassom",IN_ANVISA[],2)</f>
        <v>IN 96</v>
      </c>
      <c r="K951" s="1347" t="str">
        <f>K950</f>
        <v>x</v>
      </c>
    </row>
    <row r="952" spans="1:12" s="1347" customFormat="1" ht="15" customHeight="1" x14ac:dyDescent="0.25">
      <c r="A952" s="3011" t="s">
        <v>1619</v>
      </c>
      <c r="B952" s="3012"/>
      <c r="C952" s="3012"/>
      <c r="D952" s="3012"/>
      <c r="E952" s="3012"/>
      <c r="F952" s="3013"/>
      <c r="G952" s="2990" t="str">
        <f>Ultrassom!E852</f>
        <v>Boa</v>
      </c>
      <c r="H952" s="2992"/>
      <c r="I952" s="1237" t="s">
        <v>142</v>
      </c>
      <c r="K952" s="1347" t="str">
        <f>K951</f>
        <v>x</v>
      </c>
      <c r="L952" s="1347" t="str">
        <f>IF(G952&lt;&gt;"Boa",A952,"")</f>
        <v/>
      </c>
    </row>
    <row r="953" spans="1:12" s="1347" customFormat="1" ht="15" customHeight="1" x14ac:dyDescent="0.25">
      <c r="A953" s="3001" t="s">
        <v>1538</v>
      </c>
      <c r="B953" s="3001"/>
      <c r="C953" s="3001"/>
      <c r="D953" s="3001"/>
      <c r="E953" s="3001"/>
      <c r="F953" s="3001"/>
      <c r="G953" s="3002" t="str">
        <f>IF(LARGE(Ultrassom!C863:D863,1)=0,IF(Ultrassom!D857="s","Uniforme","Não uniforme"),ROUNDDOWN(LARGE(Ultrassom!C863:D863,1),1)&amp;" dB")</f>
        <v>Não uniforme</v>
      </c>
      <c r="H953" s="3003"/>
      <c r="I953" s="1237" t="str">
        <f>Ultrassom!B863</f>
        <v>NPA</v>
      </c>
      <c r="K953" s="1347" t="str">
        <f>K952</f>
        <v>x</v>
      </c>
      <c r="L953" s="1347" t="str">
        <f>IF(I953="Não",A953,"")</f>
        <v/>
      </c>
    </row>
    <row r="954" spans="1:12" s="1347" customFormat="1" ht="15" customHeight="1" x14ac:dyDescent="0.25">
      <c r="A954" s="3001" t="s">
        <v>1579</v>
      </c>
      <c r="B954" s="3001"/>
      <c r="C954" s="3001"/>
      <c r="D954" s="3001"/>
      <c r="E954" s="3001"/>
      <c r="F954" s="3001"/>
      <c r="G954" s="3002" t="str">
        <f>Ultrassom!D872&amp;" cm"</f>
        <v xml:space="preserve"> cm</v>
      </c>
      <c r="H954" s="3003"/>
      <c r="I954" s="1237" t="str">
        <f>Ultrassom!D874</f>
        <v>NA</v>
      </c>
      <c r="K954" s="1347" t="str">
        <f>IF(I954="NA","x","")</f>
        <v>x</v>
      </c>
      <c r="L954" s="1347" t="str">
        <f>IF(I954="Não",A954,"")</f>
        <v/>
      </c>
    </row>
    <row r="955" spans="1:12" s="1347" customFormat="1" ht="15" customHeight="1" x14ac:dyDescent="0.25">
      <c r="A955" s="3001" t="s">
        <v>1577</v>
      </c>
      <c r="B955" s="3001"/>
      <c r="C955" s="3001"/>
      <c r="D955" s="3001"/>
      <c r="E955" s="3001"/>
      <c r="F955" s="3001"/>
      <c r="G955" s="2591" t="str">
        <f>Ultrassom!B872&amp;" cm"</f>
        <v xml:space="preserve"> cm</v>
      </c>
      <c r="H955" s="2593"/>
      <c r="I955" s="1237" t="str">
        <f>Ultrassom!B874</f>
        <v>NA</v>
      </c>
      <c r="K955" s="1347" t="str">
        <f>IF(I955="NA","x","")</f>
        <v>x</v>
      </c>
      <c r="L955" s="1347" t="str">
        <f>IF(I955="Não",A955,"")</f>
        <v/>
      </c>
    </row>
    <row r="956" spans="1:12" s="1347" customFormat="1" ht="15" customHeight="1" x14ac:dyDescent="0.25">
      <c r="A956" s="3001" t="s">
        <v>1578</v>
      </c>
      <c r="B956" s="3001"/>
      <c r="C956" s="3001"/>
      <c r="D956" s="3001"/>
      <c r="E956" s="3001"/>
      <c r="F956" s="3001"/>
      <c r="G956" s="2591" t="str">
        <f>Ultrassom!C872&amp;" cm"</f>
        <v xml:space="preserve"> cm</v>
      </c>
      <c r="H956" s="2593"/>
      <c r="I956" s="1237" t="str">
        <f>Ultrassom!C874</f>
        <v>NA</v>
      </c>
      <c r="K956" s="1347" t="str">
        <f>IF(I956="NA","x","")</f>
        <v>x</v>
      </c>
      <c r="L956" s="1347" t="str">
        <f>IF(I956="Não",A956,"")</f>
        <v/>
      </c>
    </row>
    <row r="957" spans="1:12" s="1347" customFormat="1" ht="15" customHeight="1" x14ac:dyDescent="0.25">
      <c r="A957" s="3001" t="s">
        <v>1580</v>
      </c>
      <c r="B957" s="3001"/>
      <c r="C957" s="3001"/>
      <c r="D957" s="3001"/>
      <c r="E957" s="3001"/>
      <c r="F957" s="3001"/>
      <c r="G957" s="2990" t="str">
        <f>Ultrassom!B878&amp;" objetos, "&amp;IF(Ultrassom!B881="s","BD","BND")&amp;" "&amp;IF(Ultrassom!B882="s","AC","ANC")</f>
        <v xml:space="preserve"> objetos, BND ANC</v>
      </c>
      <c r="H957" s="2992"/>
      <c r="I957" s="1237" t="str">
        <f>Ultrassom!B883</f>
        <v>Sim</v>
      </c>
      <c r="K957" s="1347" t="str">
        <f>K948</f>
        <v>x</v>
      </c>
      <c r="L957" s="1347" t="str">
        <f>IF(I957="Não","Visualização de objetos anecóicos","")</f>
        <v/>
      </c>
    </row>
    <row r="958" spans="1:12" s="1347" customFormat="1" ht="15" customHeight="1" x14ac:dyDescent="0.25">
      <c r="A958" s="3001" t="s">
        <v>1581</v>
      </c>
      <c r="B958" s="3001"/>
      <c r="C958" s="3001"/>
      <c r="D958" s="3001"/>
      <c r="E958" s="3001"/>
      <c r="F958" s="3001"/>
      <c r="G958" s="3002" t="str">
        <f>Ultrassom!D878&amp;" objetos, "&amp;IF(Ultrassom!D881="s","BD","BND")&amp;" "&amp;IF(Ultrassom!D882="s","AC","ANC")</f>
        <v xml:space="preserve"> objetos, BND ANC</v>
      </c>
      <c r="H958" s="3003"/>
      <c r="I958" s="1237" t="str">
        <f>Ultrassom!D883</f>
        <v>Sim</v>
      </c>
      <c r="K958" s="1347" t="str">
        <f>K957</f>
        <v>x</v>
      </c>
      <c r="L958" s="1347" t="str">
        <f>IF(I958="Não","Visualização de objetos anecóicos","")</f>
        <v/>
      </c>
    </row>
    <row r="959" spans="1:12" s="1347" customFormat="1" ht="15" customHeight="1" x14ac:dyDescent="0.25">
      <c r="A959" s="3001" t="s">
        <v>1582</v>
      </c>
      <c r="B959" s="3001"/>
      <c r="C959" s="3001"/>
      <c r="D959" s="3001"/>
      <c r="E959" s="3001"/>
      <c r="F959" s="3001"/>
      <c r="G959" s="3002" t="str">
        <f>Ultrassom!F878&amp;" objetos, "&amp;IF(Ultrassom!F881="s","BD","BND")&amp;" "&amp;IF(Ultrassom!F882="s","AC","ANC")</f>
        <v xml:space="preserve"> objetos, BND ANC</v>
      </c>
      <c r="H959" s="3003"/>
      <c r="I959" s="1237" t="str">
        <f>Ultrassom!F883</f>
        <v>Sim</v>
      </c>
      <c r="K959" s="1347" t="str">
        <f t="shared" ref="K959:K964" si="27">K958</f>
        <v>x</v>
      </c>
      <c r="L959" s="1347" t="str">
        <f>IF(I959="Não","Visualização de objetos anecóicos","")</f>
        <v/>
      </c>
    </row>
    <row r="960" spans="1:12" s="1347" customFormat="1" x14ac:dyDescent="0.25">
      <c r="A960" s="3004" t="str">
        <f>"Zona morta @ "&amp;ROUND(Ultrassom!A887,1)&amp;" MHz"</f>
        <v>Zona morta @ 0 MHz</v>
      </c>
      <c r="B960" s="3004"/>
      <c r="C960" s="3004"/>
      <c r="D960" s="3004"/>
      <c r="E960" s="3004"/>
      <c r="F960" s="3004"/>
      <c r="G960" s="2975" t="str">
        <f>Ultrassom!C887&amp;" mm"</f>
        <v xml:space="preserve"> mm</v>
      </c>
      <c r="H960" s="2998"/>
      <c r="I960" s="1237" t="str">
        <f>Ultrassom!E887</f>
        <v>Sim</v>
      </c>
      <c r="K960" s="1347" t="str">
        <f t="shared" si="27"/>
        <v>x</v>
      </c>
      <c r="L960" s="1347" t="str">
        <f>IF(I960="Não","Zona morta","")</f>
        <v/>
      </c>
    </row>
    <row r="961" spans="1:12" s="940" customFormat="1" x14ac:dyDescent="0.25">
      <c r="A961" s="3005" t="s">
        <v>1583</v>
      </c>
      <c r="B961" s="3005"/>
      <c r="C961" s="3005"/>
      <c r="D961" s="3005"/>
      <c r="E961" s="3005"/>
      <c r="F961" s="3005"/>
      <c r="G961" s="2975" t="e">
        <f>LARGE(Ultrassom!C895:C896,1)&amp;" mm"</f>
        <v>#NUM!</v>
      </c>
      <c r="H961" s="2998"/>
      <c r="I961" s="1237" t="str">
        <f>Ultrassom!C898</f>
        <v>NPA</v>
      </c>
      <c r="K961" s="1347" t="str">
        <f t="shared" si="27"/>
        <v>x</v>
      </c>
      <c r="L961" s="1347" t="str">
        <f>IF(I961="Não",A961,"")</f>
        <v/>
      </c>
    </row>
    <row r="962" spans="1:12" s="940" customFormat="1" x14ac:dyDescent="0.25">
      <c r="A962" s="3005" t="s">
        <v>1584</v>
      </c>
      <c r="B962" s="3005"/>
      <c r="C962" s="3005"/>
      <c r="D962" s="3005"/>
      <c r="E962" s="3005"/>
      <c r="F962" s="3005"/>
      <c r="G962" s="2975" t="e">
        <f>LARGE(Ultrassom!D895:D896,1)&amp;" mm"</f>
        <v>#NUM!</v>
      </c>
      <c r="H962" s="2998"/>
      <c r="I962" s="1237" t="str">
        <f>Ultrassom!D898</f>
        <v>NPA</v>
      </c>
      <c r="K962" s="1347" t="str">
        <f t="shared" si="27"/>
        <v>x</v>
      </c>
      <c r="L962" s="1347" t="str">
        <f>IF(I962="Não",A962,"")</f>
        <v/>
      </c>
    </row>
    <row r="963" spans="1:12" s="940" customFormat="1" ht="15" customHeight="1" x14ac:dyDescent="0.25">
      <c r="A963" s="3006" t="str">
        <f>"Resolução axial @ "&amp;ROUND(Ultrassom!D902,1)&amp;" MHz"</f>
        <v>Resolução axial @ 0 MHz</v>
      </c>
      <c r="B963" s="3006"/>
      <c r="C963" s="3006"/>
      <c r="D963" s="3006"/>
      <c r="E963" s="3006"/>
      <c r="F963" s="3006"/>
      <c r="G963" s="3007">
        <f>Ultrassom!D904</f>
        <v>0</v>
      </c>
      <c r="H963" s="3008"/>
      <c r="I963" s="1237" t="str">
        <f>Ultrassom!D906</f>
        <v>Sim</v>
      </c>
      <c r="K963" s="1347" t="str">
        <f t="shared" si="27"/>
        <v>x</v>
      </c>
      <c r="L963" s="1347" t="str">
        <f>IF(I963="Não","Resolução axial","")</f>
        <v/>
      </c>
    </row>
    <row r="964" spans="1:12" s="940" customFormat="1" ht="15" customHeight="1" x14ac:dyDescent="0.25">
      <c r="A964" s="3006" t="str">
        <f>"Resolução lateral @ "&amp;ROUND(Ultrassom!E902,1)&amp;" MHz"</f>
        <v>Resolução lateral @ 0 MHz</v>
      </c>
      <c r="B964" s="3006"/>
      <c r="C964" s="3006"/>
      <c r="D964" s="3006"/>
      <c r="E964" s="3006"/>
      <c r="F964" s="3006"/>
      <c r="G964" s="3007">
        <f>Ultrassom!E904</f>
        <v>0</v>
      </c>
      <c r="H964" s="3008"/>
      <c r="I964" s="1237" t="str">
        <f>Ultrassom!E906</f>
        <v>Sim</v>
      </c>
      <c r="K964" s="1347" t="str">
        <f t="shared" si="27"/>
        <v>x</v>
      </c>
      <c r="L964" s="1347" t="str">
        <f>IF(I964="Não","Resolução lateral","")</f>
        <v/>
      </c>
    </row>
    <row r="965" spans="1:12" s="940" customFormat="1" ht="15" customHeight="1" x14ac:dyDescent="0.25">
      <c r="A965" s="2993" t="str">
        <f>"Zona focal - foco @ "&amp;Ultrassom!B910&amp;" cm"</f>
        <v>Zona focal - foco @  cm</v>
      </c>
      <c r="B965" s="2994"/>
      <c r="C965" s="2994"/>
      <c r="D965" s="2994"/>
      <c r="E965" s="2994"/>
      <c r="F965" s="2995"/>
      <c r="G965" s="2975" t="str">
        <f>Ultrassom!B912&amp;" cm"</f>
        <v xml:space="preserve"> cm</v>
      </c>
      <c r="H965" s="2998"/>
      <c r="I965" s="1237" t="str">
        <f>Ultrassom!B915</f>
        <v>NA</v>
      </c>
      <c r="K965" s="1347" t="str">
        <f>IF(I965="NA","x","")</f>
        <v>x</v>
      </c>
      <c r="L965" s="1347" t="str">
        <f>IF(I965="Não","Zona focal","")</f>
        <v/>
      </c>
    </row>
    <row r="966" spans="1:12" s="940" customFormat="1" ht="15" customHeight="1" x14ac:dyDescent="0.25">
      <c r="A966" s="2993" t="str">
        <f>"Zona focal - foco @ "&amp;Ultrassom!C910&amp;" cm"</f>
        <v>Zona focal - foco @  cm</v>
      </c>
      <c r="B966" s="2994"/>
      <c r="C966" s="2994"/>
      <c r="D966" s="2994"/>
      <c r="E966" s="2994"/>
      <c r="F966" s="2995"/>
      <c r="G966" s="2975" t="str">
        <f>Ultrassom!C912&amp;" cm"</f>
        <v xml:space="preserve"> cm</v>
      </c>
      <c r="H966" s="2998"/>
      <c r="I966" s="1237" t="str">
        <f>Ultrassom!C915</f>
        <v>NA</v>
      </c>
      <c r="K966" s="1347" t="str">
        <f>IF(I966="NA","x","")</f>
        <v>x</v>
      </c>
      <c r="L966" s="1347" t="str">
        <f>IF(I966="Não","Zona focal","")</f>
        <v/>
      </c>
    </row>
    <row r="967" spans="1:12" s="940" customFormat="1" ht="15" customHeight="1" x14ac:dyDescent="0.25">
      <c r="A967" s="2993" t="str">
        <f>"Zona focal - foco @ "&amp;Ultrassom!D910&amp;" cm"</f>
        <v>Zona focal - foco @  cm</v>
      </c>
      <c r="B967" s="2994"/>
      <c r="C967" s="2994"/>
      <c r="D967" s="2994"/>
      <c r="E967" s="2994"/>
      <c r="F967" s="2995"/>
      <c r="G967" s="2996" t="str">
        <f>Ultrassom!D912&amp;" cm"</f>
        <v xml:space="preserve"> cm</v>
      </c>
      <c r="H967" s="2997"/>
      <c r="I967" s="1237" t="str">
        <f>Ultrassom!D915</f>
        <v>NA</v>
      </c>
      <c r="K967" s="1347" t="str">
        <f>IF(I967="NA","x","")</f>
        <v>x</v>
      </c>
      <c r="L967" s="1347" t="str">
        <f>IF(I967="Não","Zona focal","")</f>
        <v/>
      </c>
    </row>
    <row r="968" spans="1:12" s="940" customFormat="1" ht="15" customHeight="1" x14ac:dyDescent="0.25">
      <c r="A968" s="2993" t="str">
        <f>"Zona focal - foco @ "&amp;Ultrassom!E910&amp;" cm"</f>
        <v>Zona focal - foco @  cm</v>
      </c>
      <c r="B968" s="2994"/>
      <c r="C968" s="2994"/>
      <c r="D968" s="2994"/>
      <c r="E968" s="2994"/>
      <c r="F968" s="2995"/>
      <c r="G968" s="2996" t="str">
        <f>Ultrassom!E912&amp;" cm"</f>
        <v xml:space="preserve"> cm</v>
      </c>
      <c r="H968" s="2997"/>
      <c r="I968" s="1237" t="str">
        <f>Ultrassom!E915</f>
        <v>NA</v>
      </c>
      <c r="K968" s="1347" t="str">
        <f>IF(I968="NA","x","")</f>
        <v>x</v>
      </c>
      <c r="L968" s="1347" t="str">
        <f>IF(I968="Não","Zona focal","")</f>
        <v/>
      </c>
    </row>
    <row r="969" spans="1:12" s="940" customFormat="1" ht="15" customHeight="1" x14ac:dyDescent="0.25">
      <c r="A969" s="2993" t="str">
        <f>"Zona focal - foco @ "&amp;Ultrassom!F910&amp;" cm"</f>
        <v>Zona focal - foco @  cm</v>
      </c>
      <c r="B969" s="2994"/>
      <c r="C969" s="2994"/>
      <c r="D969" s="2994"/>
      <c r="E969" s="2994"/>
      <c r="F969" s="2995"/>
      <c r="G969" s="2975" t="str">
        <f>Ultrassom!F912&amp;" cm"</f>
        <v xml:space="preserve"> cm</v>
      </c>
      <c r="H969" s="2998"/>
      <c r="I969" s="1237" t="str">
        <f>Ultrassom!F915</f>
        <v>NA</v>
      </c>
      <c r="K969" s="1347" t="str">
        <f>IF(I969="NA","x","")</f>
        <v>x</v>
      </c>
      <c r="L969" s="1347" t="str">
        <f>IF(I969="Não","Zona focal","")</f>
        <v/>
      </c>
    </row>
    <row r="970" spans="1:12" s="940" customFormat="1" ht="15" customHeight="1" x14ac:dyDescent="0.25">
      <c r="A970" s="2993" t="s">
        <v>1585</v>
      </c>
      <c r="B970" s="2994"/>
      <c r="C970" s="2994"/>
      <c r="D970" s="2994"/>
      <c r="E970" s="2994"/>
      <c r="F970" s="2995"/>
      <c r="G970" s="2999" t="str">
        <f>IF(Ultrassom!B920="s","Visualizado","Não visualizado")</f>
        <v>Não visualizado</v>
      </c>
      <c r="H970" s="3000"/>
      <c r="I970" s="1237" t="str">
        <f>Ultrassom!B922</f>
        <v>Sim</v>
      </c>
      <c r="K970" s="1347" t="str">
        <f>K948</f>
        <v>x</v>
      </c>
      <c r="L970" s="1347" t="str">
        <f>IF(I970="Não","Limiar de sensibilidade a baixo contraste","")</f>
        <v/>
      </c>
    </row>
    <row r="971" spans="1:12" s="940" customFormat="1" ht="15" customHeight="1" x14ac:dyDescent="0.25">
      <c r="A971" s="2993" t="s">
        <v>1586</v>
      </c>
      <c r="B971" s="2994"/>
      <c r="C971" s="2994"/>
      <c r="D971" s="2994"/>
      <c r="E971" s="2994"/>
      <c r="F971" s="2995"/>
      <c r="G971" s="2999" t="str">
        <f>IF(Ultrassom!C920="s","Visualizado","Não visualizado")</f>
        <v>Não visualizado</v>
      </c>
      <c r="H971" s="3000"/>
      <c r="I971" s="1237" t="str">
        <f>Ultrassom!C922</f>
        <v>Sim</v>
      </c>
      <c r="K971" s="1347" t="str">
        <f>K970</f>
        <v>x</v>
      </c>
      <c r="L971" s="1347" t="str">
        <f>IF(I971="Não","Limiar de sensibilidade a baixo contraste","")</f>
        <v/>
      </c>
    </row>
    <row r="972" spans="1:12" s="940" customFormat="1" ht="15" customHeight="1" x14ac:dyDescent="0.25">
      <c r="A972" s="2993" t="s">
        <v>1587</v>
      </c>
      <c r="B972" s="2994"/>
      <c r="C972" s="2994"/>
      <c r="D972" s="2994"/>
      <c r="E972" s="2994"/>
      <c r="F972" s="2995"/>
      <c r="G972" s="2999" t="str">
        <f>IF(Ultrassom!D920="s","Visualizado","Não visualizado")</f>
        <v>Não visualizado</v>
      </c>
      <c r="H972" s="3000"/>
      <c r="I972" s="1237" t="str">
        <f>Ultrassom!D922</f>
        <v>Sim</v>
      </c>
      <c r="K972" s="1347" t="str">
        <f>K971</f>
        <v>x</v>
      </c>
      <c r="L972" s="1347" t="str">
        <f>IF(I972="Não","Limiar de sensibilidade a baixo contraste","")</f>
        <v/>
      </c>
    </row>
    <row r="973" spans="1:12" s="940" customFormat="1" ht="15" customHeight="1" x14ac:dyDescent="0.25">
      <c r="A973" s="2993" t="s">
        <v>1588</v>
      </c>
      <c r="B973" s="2994"/>
      <c r="C973" s="2994"/>
      <c r="D973" s="2994"/>
      <c r="E973" s="2994"/>
      <c r="F973" s="2995"/>
      <c r="G973" s="2999" t="str">
        <f>IF(Ultrassom!E920="s","Visualizado","Não visualizado")</f>
        <v>Não visualizado</v>
      </c>
      <c r="H973" s="3000"/>
      <c r="I973" s="1237" t="str">
        <f>Ultrassom!E922</f>
        <v>Sim</v>
      </c>
      <c r="K973" s="1347" t="str">
        <f>K972</f>
        <v>x</v>
      </c>
      <c r="L973" s="1347" t="str">
        <f>IF(I973="Não","Limiar de sensibilidade a baixo contraste","")</f>
        <v/>
      </c>
    </row>
    <row r="974" spans="1:12" s="940" customFormat="1" ht="15" customHeight="1" x14ac:dyDescent="0.25">
      <c r="A974" s="3006" t="s">
        <v>1589</v>
      </c>
      <c r="B974" s="3006"/>
      <c r="C974" s="3006"/>
      <c r="D974" s="3006"/>
      <c r="E974" s="3006"/>
      <c r="F974" s="3006"/>
      <c r="G974" s="3002" t="str">
        <f>IFERROR(Ultrassom!F928*100&amp;" %","NPA")</f>
        <v>NPA</v>
      </c>
      <c r="H974" s="3003"/>
      <c r="I974" s="1237" t="str">
        <f>Ultrassom!G928</f>
        <v>NA</v>
      </c>
      <c r="K974" s="1381" t="str">
        <f>K973</f>
        <v>x</v>
      </c>
      <c r="L974" s="1347" t="str">
        <f>IF(I974="Não",A974,"")</f>
        <v/>
      </c>
    </row>
    <row r="975" spans="1:12" s="940" customFormat="1" ht="15" customHeight="1" x14ac:dyDescent="0.25">
      <c r="A975" s="3006" t="str">
        <f>"Sensibilidade do modo doppler @ "&amp;Ultrassom!B932&amp;" (ref. "&amp;Ultrassom!B935&amp;" "&amp;Ultrassom!$A$933&amp;")"</f>
        <v>Sensibilidade do modo doppler @ fluxo baixo (ref. NI ml/s)</v>
      </c>
      <c r="B975" s="3006"/>
      <c r="C975" s="3006"/>
      <c r="D975" s="3006"/>
      <c r="E975" s="3006"/>
      <c r="F975" s="3006"/>
      <c r="G975" s="3002" t="str">
        <f>IFERROR(ROUNDDOWN(Ultrassom!C935,1)&amp;" "&amp;Ultrassom!$A$933,"NPA")</f>
        <v>0 ml/s</v>
      </c>
      <c r="H975" s="3003"/>
      <c r="I975" s="1834" t="str">
        <f>Ultrassom!D935</f>
        <v>NPA</v>
      </c>
      <c r="K975" s="1835" t="str">
        <f t="shared" ref="K975:K977" si="28">IF(G975="0 ml/s","x","")</f>
        <v>x</v>
      </c>
      <c r="L975" s="1347" t="str">
        <f>IF(I975="Não","Sensibilidade do modo doppler","")</f>
        <v/>
      </c>
    </row>
    <row r="976" spans="1:12" s="940" customFormat="1" ht="15" customHeight="1" x14ac:dyDescent="0.25">
      <c r="A976" s="3006" t="str">
        <f>"Sensibilidade do modo doppler @ "&amp;Ultrassom!E932&amp;" (ref. "&amp;Ultrassom!E935&amp;" "&amp;Ultrassom!$A$933&amp;")"</f>
        <v>Sensibilidade do modo doppler @ fluxo médio (ref. NI ml/s)</v>
      </c>
      <c r="B976" s="3006"/>
      <c r="C976" s="3006"/>
      <c r="D976" s="3006"/>
      <c r="E976" s="3006"/>
      <c r="F976" s="3006"/>
      <c r="G976" s="3002" t="str">
        <f>IFERROR(ROUNDDOWN(Ultrassom!F935,1)&amp;" "&amp;Ultrassom!$A$933,"NPA")</f>
        <v>0 ml/s</v>
      </c>
      <c r="H976" s="3003"/>
      <c r="I976" s="1834" t="str">
        <f>Ultrassom!G935</f>
        <v>NPA</v>
      </c>
      <c r="K976" s="1835" t="str">
        <f t="shared" si="28"/>
        <v>x</v>
      </c>
      <c r="L976" s="1347" t="str">
        <f>IF(I976="Não","Sensibilidade do modo doppler","")</f>
        <v/>
      </c>
    </row>
    <row r="977" spans="1:12" s="940" customFormat="1" ht="15" customHeight="1" x14ac:dyDescent="0.25">
      <c r="A977" s="3006" t="str">
        <f>"Sensibilidade do modo doppler @ "&amp;Ultrassom!H932&amp;" (ref. "&amp;Ultrassom!H935&amp;" "&amp;Ultrassom!$A$933&amp;")"</f>
        <v>Sensibilidade do modo doppler @ fluxo alto (ref. NI ml/s)</v>
      </c>
      <c r="B977" s="3006"/>
      <c r="C977" s="3006"/>
      <c r="D977" s="3006"/>
      <c r="E977" s="3006"/>
      <c r="F977" s="3006"/>
      <c r="G977" s="3002" t="str">
        <f>IFERROR(ROUNDDOWN(Ultrassom!I935,1)&amp;" "&amp;Ultrassom!$A$933,"NPA")</f>
        <v>0 ml/s</v>
      </c>
      <c r="H977" s="3003"/>
      <c r="I977" s="1834" t="str">
        <f>Ultrassom!J935</f>
        <v>NPA</v>
      </c>
      <c r="K977" s="1835" t="str">
        <f t="shared" si="28"/>
        <v>x</v>
      </c>
      <c r="L977" s="1347" t="str">
        <f>IF(I977="Não","Sensibilidade do modo doppler","")</f>
        <v/>
      </c>
    </row>
    <row r="978" spans="1:12" s="1347" customFormat="1" ht="15" customHeight="1" x14ac:dyDescent="0.25">
      <c r="A978" s="2986" t="s">
        <v>1922</v>
      </c>
      <c r="B978" s="2986"/>
      <c r="C978" s="2986"/>
      <c r="D978" s="2986"/>
      <c r="E978" s="2986"/>
      <c r="F978" s="2986"/>
      <c r="G978" s="2986"/>
      <c r="H978" s="2986"/>
      <c r="I978" s="2986"/>
      <c r="J978" s="2986"/>
      <c r="K978" s="1347" t="str">
        <f>K948</f>
        <v>x</v>
      </c>
    </row>
    <row r="979" spans="1:12" s="1347" customFormat="1" x14ac:dyDescent="0.25">
      <c r="A979" s="2986"/>
      <c r="B979" s="2986"/>
      <c r="C979" s="2986"/>
      <c r="D979" s="2986"/>
      <c r="E979" s="2986"/>
      <c r="F979" s="2986"/>
      <c r="G979" s="2986"/>
      <c r="H979" s="2986"/>
      <c r="I979" s="2986"/>
      <c r="J979" s="2986"/>
      <c r="K979" s="1347" t="str">
        <f>K978</f>
        <v>x</v>
      </c>
    </row>
    <row r="980" spans="1:12" s="1347" customFormat="1" x14ac:dyDescent="0.25">
      <c r="K980" s="1347" t="str">
        <f>K979</f>
        <v>x</v>
      </c>
      <c r="L980" s="1347" t="s">
        <v>1607</v>
      </c>
    </row>
    <row r="981" spans="1:12" x14ac:dyDescent="0.25">
      <c r="A981" s="700" t="s">
        <v>191</v>
      </c>
      <c r="B981" s="1309"/>
      <c r="C981" s="1309"/>
      <c r="D981" s="1309"/>
      <c r="E981" s="1309"/>
      <c r="F981" s="1309"/>
      <c r="G981" s="1309"/>
      <c r="H981" s="1309"/>
      <c r="I981" s="1309"/>
      <c r="J981" s="1309"/>
    </row>
    <row r="982" spans="1:12" x14ac:dyDescent="0.25">
      <c r="A982" s="2987" t="str">
        <f>CONCATENATE("               ",Tabelas2!S12)</f>
        <v xml:space="preserve">               Fantoma marca CIRS, modelo ATS 570, série 201885325.</v>
      </c>
      <c r="B982" s="2987"/>
      <c r="C982" s="2987"/>
      <c r="D982" s="2987"/>
      <c r="E982" s="2987"/>
      <c r="F982" s="2987"/>
      <c r="G982" s="2987"/>
      <c r="H982" s="2987"/>
      <c r="I982" s="2987"/>
      <c r="J982" s="2987"/>
    </row>
    <row r="983" spans="1:12" x14ac:dyDescent="0.25">
      <c r="A983" s="2987"/>
      <c r="B983" s="2987"/>
      <c r="C983" s="2987"/>
      <c r="D983" s="2987"/>
      <c r="E983" s="2987"/>
      <c r="F983" s="2987"/>
      <c r="G983" s="2987"/>
      <c r="H983" s="2987"/>
      <c r="I983" s="2987"/>
      <c r="J983" s="2987"/>
    </row>
    <row r="984" spans="1:12" x14ac:dyDescent="0.25">
      <c r="A984" s="2987" t="str">
        <f>CONCATENATE("               ",Tabelas2!S13)</f>
        <v xml:space="preserve">               Fantoma marca Gammex, modelo 1430 LE 0.5, série 805204-5095-3.</v>
      </c>
      <c r="B984" s="2987"/>
      <c r="C984" s="2987"/>
      <c r="D984" s="2987"/>
      <c r="E984" s="2987"/>
      <c r="F984" s="2987"/>
      <c r="G984" s="2987"/>
      <c r="H984" s="2987"/>
      <c r="I984" s="2987"/>
      <c r="J984" s="2987"/>
    </row>
    <row r="985" spans="1:12" x14ac:dyDescent="0.25">
      <c r="A985" s="2987"/>
      <c r="B985" s="2987"/>
      <c r="C985" s="2987"/>
      <c r="D985" s="2987"/>
      <c r="E985" s="2987"/>
      <c r="F985" s="2987"/>
      <c r="G985" s="2987"/>
      <c r="H985" s="2987"/>
      <c r="I985" s="2987"/>
      <c r="J985" s="2987"/>
    </row>
    <row r="986" spans="1:12" x14ac:dyDescent="0.25">
      <c r="A986" s="1308"/>
      <c r="B986" s="1308"/>
      <c r="C986" s="1308"/>
      <c r="D986" s="1308"/>
      <c r="E986" s="1308"/>
      <c r="F986" s="1308"/>
      <c r="G986" s="1308"/>
      <c r="H986" s="1308"/>
      <c r="I986" s="1308"/>
      <c r="J986" s="1309"/>
    </row>
    <row r="987" spans="1:12" x14ac:dyDescent="0.25">
      <c r="A987" s="700" t="s">
        <v>192</v>
      </c>
      <c r="B987" s="1308"/>
      <c r="C987" s="1308"/>
      <c r="D987" s="1308"/>
      <c r="E987" s="1308"/>
      <c r="F987" s="1308"/>
      <c r="G987" s="1308"/>
      <c r="H987" s="1308"/>
      <c r="I987" s="1308"/>
      <c r="J987" s="1309"/>
    </row>
    <row r="988" spans="1:12" s="1939" customFormat="1" x14ac:dyDescent="0.25">
      <c r="A988" s="3017" t="str">
        <f>IntroPrazoArmazenamento</f>
        <v xml:space="preserve">               Este documento deve ser arquivado e mantido à disposição da autoridade sanitária local, garantindo sua rastreabilidade pelo prazo mínimo de 5 anos. </v>
      </c>
      <c r="B988" s="3017"/>
      <c r="C988" s="3017"/>
      <c r="D988" s="3017"/>
      <c r="E988" s="3017"/>
      <c r="F988" s="3017"/>
      <c r="G988" s="3017"/>
      <c r="H988" s="3017"/>
      <c r="I988" s="3017"/>
      <c r="J988" s="3017"/>
    </row>
    <row r="989" spans="1:12" s="1939" customFormat="1" x14ac:dyDescent="0.25">
      <c r="A989" s="3017"/>
      <c r="B989" s="3017"/>
      <c r="C989" s="3017"/>
      <c r="D989" s="3017"/>
      <c r="E989" s="3017"/>
      <c r="F989" s="3017"/>
      <c r="G989" s="3017"/>
      <c r="H989" s="3017"/>
      <c r="I989" s="3017"/>
      <c r="J989" s="3017"/>
    </row>
    <row r="990" spans="1:12" x14ac:dyDescent="0.25">
      <c r="A990" s="2987" t="str">
        <f>"                A Instrução Normativa "&amp;VLOOKUP("Ultrassom",IN_ANVISA[],2)&amp;"/"&amp;VLOOKUP("Ultrassom",IN_ANVISA[],3)&amp;" da ANVISA não prevê nível de restrição para equipamentos de ultrassom. Conforme a RDC "&amp;VLOOKUP("rdc",IN_ANVISA[],2)&amp;"/"&amp;VLOOKUP("rdc",IN_ANVISA[],3)&amp;" da ANVISA, testes cujo resultado estejam fora do nível de tolerência indicam a necessidade de ação corretiva, mas não impedem o uso do equipamento."</f>
        <v xml:space="preserve">                A Instrução Normativa 96/2021 da ANVISA não prevê nível de restrição para equipamentos de ultrassom. Conforme a RDC 611/2022 da ANVISA, testes cujo resultado estejam fora do nível de tolerência indicam a necessidade de ação corretiva, mas não impedem o uso do equipamento.</v>
      </c>
      <c r="B990" s="2987"/>
      <c r="C990" s="2987"/>
      <c r="D990" s="2987"/>
      <c r="E990" s="2987"/>
      <c r="F990" s="2987"/>
      <c r="G990" s="2987"/>
      <c r="H990" s="2987"/>
      <c r="I990" s="2987"/>
      <c r="J990" s="2987"/>
    </row>
    <row r="991" spans="1:12" x14ac:dyDescent="0.25">
      <c r="A991" s="2987"/>
      <c r="B991" s="2987"/>
      <c r="C991" s="2987"/>
      <c r="D991" s="2987"/>
      <c r="E991" s="2987"/>
      <c r="F991" s="2987"/>
      <c r="G991" s="2987"/>
      <c r="H991" s="2987"/>
      <c r="I991" s="2987"/>
      <c r="J991" s="2987"/>
    </row>
    <row r="992" spans="1:12" x14ac:dyDescent="0.25">
      <c r="A992" s="2987"/>
      <c r="B992" s="2987"/>
      <c r="C992" s="2987"/>
      <c r="D992" s="2987"/>
      <c r="E992" s="2987"/>
      <c r="F992" s="2987"/>
      <c r="G992" s="2987"/>
      <c r="H992" s="2987"/>
      <c r="I992" s="2987"/>
      <c r="J992" s="2987"/>
    </row>
    <row r="993" spans="1:12" s="1837" customFormat="1" x14ac:dyDescent="0.25">
      <c r="A993" s="2987" t="s">
        <v>1929</v>
      </c>
      <c r="B993" s="2987"/>
      <c r="C993" s="2987"/>
      <c r="D993" s="2987"/>
      <c r="E993" s="2987"/>
      <c r="F993" s="2987"/>
      <c r="G993" s="2987"/>
      <c r="H993" s="2987"/>
      <c r="I993" s="2987"/>
      <c r="J993" s="2987"/>
      <c r="K993" s="1837" t="str">
        <f>IF(Ultrassom!E20&lt;&gt;"s","","x")</f>
        <v>x</v>
      </c>
    </row>
    <row r="994" spans="1:12" s="1837" customFormat="1" x14ac:dyDescent="0.25">
      <c r="A994" s="2987"/>
      <c r="B994" s="2987"/>
      <c r="C994" s="2987"/>
      <c r="D994" s="2987"/>
      <c r="E994" s="2987"/>
      <c r="F994" s="2987"/>
      <c r="G994" s="2987"/>
      <c r="H994" s="2987"/>
      <c r="I994" s="2987"/>
      <c r="J994" s="2987"/>
      <c r="K994" s="1837" t="str">
        <f>K993</f>
        <v>x</v>
      </c>
    </row>
    <row r="995" spans="1:12" x14ac:dyDescent="0.25">
      <c r="A995" s="2987" t="s">
        <v>1635</v>
      </c>
      <c r="B995" s="2987"/>
      <c r="C995" s="2987"/>
      <c r="D995" s="2987"/>
      <c r="E995" s="2987"/>
      <c r="F995" s="2987"/>
      <c r="G995" s="2987"/>
      <c r="H995" s="2987"/>
      <c r="I995" s="2987"/>
      <c r="J995" s="2987"/>
      <c r="K995" s="1240" t="str">
        <f>IF(Ultrassom!E6="n","","x")</f>
        <v>x</v>
      </c>
    </row>
    <row r="996" spans="1:12" x14ac:dyDescent="0.25">
      <c r="A996" s="2987"/>
      <c r="B996" s="2987"/>
      <c r="C996" s="2987"/>
      <c r="D996" s="2987"/>
      <c r="E996" s="2987"/>
      <c r="F996" s="2987"/>
      <c r="G996" s="2987"/>
      <c r="H996" s="2987"/>
      <c r="I996" s="2987"/>
      <c r="J996" s="2987"/>
      <c r="K996" s="1240" t="str">
        <f>K995</f>
        <v>x</v>
      </c>
    </row>
    <row r="997" spans="1:12" x14ac:dyDescent="0.25">
      <c r="A997" s="2987"/>
      <c r="B997" s="2987"/>
      <c r="C997" s="2987"/>
      <c r="D997" s="2987"/>
      <c r="E997" s="2987"/>
      <c r="F997" s="2987"/>
      <c r="G997" s="2987"/>
      <c r="H997" s="2987"/>
      <c r="I997" s="2987"/>
      <c r="J997" s="2987"/>
      <c r="K997" s="1240" t="str">
        <f>K996</f>
        <v>x</v>
      </c>
    </row>
    <row r="998" spans="1:12" s="1347" customFormat="1" x14ac:dyDescent="0.25">
      <c r="A998" s="2987" t="str">
        <f>"                Foram identificados transdutores com elementos piezoelétricos com defeitos ou falhas. A IN "&amp;VLOOKUP("Ultrassom",IN_ANVISA[],2)&amp;" da ANVISA não considera isso como fora de tolerância nem como nível de restrição. Recomenda-se a troca ou manutenção."</f>
        <v xml:space="preserve">                Foram identificados transdutores com elementos piezoelétricos com defeitos ou falhas. A IN 96 da ANVISA não considera isso como fora de tolerância nem como nível de restrição. Recomenda-se a troca ou manutenção.</v>
      </c>
      <c r="B998" s="2987"/>
      <c r="C998" s="2987"/>
      <c r="D998" s="2987"/>
      <c r="E998" s="2987"/>
      <c r="F998" s="2987"/>
      <c r="G998" s="2987"/>
      <c r="H998" s="2987"/>
      <c r="I998" s="2987"/>
      <c r="J998" s="2987"/>
      <c r="K998" s="1347" t="str">
        <f>IF(L998&gt;0,"","x")</f>
        <v>x</v>
      </c>
      <c r="L998" s="940">
        <f>COUNTIF($L$1:$L$980,"Integridade dos elementos piezoelétricos do transdutor")</f>
        <v>0</v>
      </c>
    </row>
    <row r="999" spans="1:12" s="1347" customFormat="1" x14ac:dyDescent="0.25">
      <c r="A999" s="2987"/>
      <c r="B999" s="2987"/>
      <c r="C999" s="2987"/>
      <c r="D999" s="2987"/>
      <c r="E999" s="2987"/>
      <c r="F999" s="2987"/>
      <c r="G999" s="2987"/>
      <c r="H999" s="2987"/>
      <c r="I999" s="2987"/>
      <c r="J999" s="2987"/>
      <c r="K999" s="1347" t="str">
        <f>K998</f>
        <v>x</v>
      </c>
      <c r="L999" s="940"/>
    </row>
    <row r="1000" spans="1:12" s="1347" customFormat="1" x14ac:dyDescent="0.25">
      <c r="A1000" s="2987"/>
      <c r="B1000" s="2987"/>
      <c r="C1000" s="2987"/>
      <c r="D1000" s="2987"/>
      <c r="E1000" s="2987"/>
      <c r="F1000" s="2987"/>
      <c r="G1000" s="2987"/>
      <c r="H1000" s="2987"/>
      <c r="I1000" s="2987"/>
      <c r="J1000" s="2987"/>
      <c r="K1000" s="1347" t="str">
        <f>K999</f>
        <v>x</v>
      </c>
    </row>
    <row r="1001" spans="1:12" x14ac:dyDescent="0.25">
      <c r="A1001" s="1308"/>
      <c r="B1001" s="1308"/>
      <c r="C1001" s="1308"/>
      <c r="D1001" s="1308"/>
      <c r="E1001" s="1308"/>
      <c r="F1001" s="1308"/>
      <c r="G1001" s="1308"/>
      <c r="H1001" s="1308"/>
      <c r="I1001" s="1308"/>
      <c r="J1001" s="1309"/>
    </row>
    <row r="1002" spans="1:12" s="1939" customFormat="1" x14ac:dyDescent="0.25">
      <c r="A1002" s="700" t="s">
        <v>1083</v>
      </c>
      <c r="B1002" s="1940"/>
      <c r="C1002" s="1940"/>
      <c r="D1002" s="1940"/>
      <c r="E1002" s="1940"/>
      <c r="F1002" s="1940"/>
      <c r="G1002" s="1940"/>
      <c r="H1002" s="1940"/>
      <c r="I1002" s="1940"/>
    </row>
    <row r="1003" spans="1:12" s="1939" customFormat="1" x14ac:dyDescent="0.25">
      <c r="A1003" s="2987"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003" s="2987"/>
      <c r="C1003" s="2987"/>
      <c r="D1003" s="2987"/>
      <c r="E1003" s="2987"/>
      <c r="F1003" s="2987"/>
      <c r="G1003" s="2987"/>
      <c r="H1003" s="2987"/>
      <c r="I1003" s="2987"/>
      <c r="J1003" s="2987"/>
    </row>
    <row r="1004" spans="1:12" s="1939" customFormat="1" x14ac:dyDescent="0.25">
      <c r="A1004" s="2987"/>
      <c r="B1004" s="2987"/>
      <c r="C1004" s="2987"/>
      <c r="D1004" s="2987"/>
      <c r="E1004" s="2987"/>
      <c r="F1004" s="2987"/>
      <c r="G1004" s="2987"/>
      <c r="H1004" s="2987"/>
      <c r="I1004" s="2987"/>
      <c r="J1004" s="2987"/>
    </row>
    <row r="1005" spans="1:12" s="1939" customFormat="1" x14ac:dyDescent="0.25">
      <c r="A1005" s="2987"/>
      <c r="B1005" s="2987"/>
      <c r="C1005" s="2987"/>
      <c r="D1005" s="2987"/>
      <c r="E1005" s="2987"/>
      <c r="F1005" s="2987"/>
      <c r="G1005" s="2987"/>
      <c r="H1005" s="2987"/>
      <c r="I1005" s="2987"/>
      <c r="J1005" s="2987"/>
    </row>
    <row r="1006" spans="1:12" s="1939" customFormat="1" x14ac:dyDescent="0.25">
      <c r="A1006" s="2987"/>
      <c r="B1006" s="2987"/>
      <c r="C1006" s="2987"/>
      <c r="D1006" s="2987"/>
      <c r="E1006" s="2987"/>
      <c r="F1006" s="2987"/>
      <c r="G1006" s="2987"/>
      <c r="H1006" s="2987"/>
      <c r="I1006" s="2987"/>
      <c r="J1006" s="2987"/>
    </row>
    <row r="1007" spans="1:12" s="1939" customFormat="1" x14ac:dyDescent="0.25">
      <c r="A1007" s="2987"/>
      <c r="B1007" s="2987"/>
      <c r="C1007" s="2987"/>
      <c r="D1007" s="2987"/>
      <c r="E1007" s="2987"/>
      <c r="F1007" s="2987"/>
      <c r="G1007" s="2987"/>
      <c r="H1007" s="2987"/>
      <c r="I1007" s="2987"/>
      <c r="J1007" s="2987"/>
    </row>
    <row r="1008" spans="1:12" s="2109" customFormat="1" x14ac:dyDescent="0.25">
      <c r="A1008" s="2108"/>
      <c r="B1008" s="2108"/>
      <c r="C1008" s="2108"/>
      <c r="D1008" s="2108"/>
      <c r="E1008" s="2108"/>
      <c r="F1008" s="2108"/>
      <c r="G1008" s="2108"/>
      <c r="H1008" s="2108"/>
      <c r="I1008" s="2108"/>
      <c r="J1008" s="2108"/>
    </row>
    <row r="1009" spans="1:11" s="2109" customFormat="1" x14ac:dyDescent="0.25">
      <c r="A1009" s="700" t="s">
        <v>2494</v>
      </c>
      <c r="B1009" s="2108"/>
      <c r="C1009" s="2108"/>
      <c r="D1009" s="2108"/>
      <c r="E1009" s="2108"/>
      <c r="F1009" s="2108"/>
      <c r="G1009" s="2108"/>
      <c r="H1009" s="2108"/>
      <c r="I1009" s="2108"/>
      <c r="J1009" s="2108"/>
    </row>
    <row r="1010" spans="1:11" s="2109" customFormat="1" x14ac:dyDescent="0.25">
      <c r="A1010" s="2108"/>
      <c r="B1010" s="2108"/>
      <c r="C1010" s="2108"/>
      <c r="D1010" s="2108"/>
      <c r="E1010" s="2108"/>
      <c r="F1010" s="2108"/>
      <c r="G1010" s="2108"/>
      <c r="H1010" s="2108"/>
      <c r="I1010" s="2108"/>
      <c r="J1010" s="2108"/>
    </row>
    <row r="1011" spans="1:11" s="2109" customFormat="1" ht="15" customHeight="1" x14ac:dyDescent="0.25">
      <c r="A1011" s="2981" t="s">
        <v>146</v>
      </c>
      <c r="B1011" s="2982"/>
      <c r="C1011" s="2982"/>
      <c r="D1011" s="2983"/>
      <c r="E1011" s="2487" t="s">
        <v>2457</v>
      </c>
      <c r="F1011" s="2487"/>
      <c r="G1011" s="2487" t="s">
        <v>2458</v>
      </c>
      <c r="H1011" s="2487"/>
      <c r="I1011" s="2487" t="s">
        <v>2423</v>
      </c>
      <c r="J1011" s="2487"/>
    </row>
    <row r="1012" spans="1:11" s="2109" customFormat="1" ht="31.5" customHeight="1" x14ac:dyDescent="0.25">
      <c r="A1012" s="2978" t="s">
        <v>1619</v>
      </c>
      <c r="B1012" s="2979"/>
      <c r="C1012" s="2979"/>
      <c r="D1012" s="2980"/>
      <c r="E1012" s="2454" t="s">
        <v>2359</v>
      </c>
      <c r="F1012" s="2454"/>
      <c r="G1012" s="2977" t="str">
        <f>IF(E1012="-","NA",IF(OR(H1012="NA",H1012="NPA"),"NA",IF(E1012="Quadrienal",$J$1+1461,IF(E1012="Bienal",$J$1+730,IF(E1012="Anual",$J$1+365,IF(E1012="Semestral",$J$1+182,IF(E1012="Mensal",$J$1+30,IF(E1012="Semanal",$J$1+7))))))))</f>
        <v>NA</v>
      </c>
      <c r="H1012" s="2977" t="str">
        <f>IF(F1012="-","NA",IF(OR(I1012="NA",I1012="NPA"),"NA",IF(F1012="Quadrienal",$J$1+1461,IF(F1012="Bienal",$J$1+730,IF(F1012="Anual",$J$1+365,IF(F1012="Semestral",$J$1+182,IF(F1012="Mensal",$J$1+30,IF(F1012="Semanal",$J$1+7))))))))</f>
        <v>NA</v>
      </c>
      <c r="I1012" s="2454" t="str">
        <f>AC65</f>
        <v>NA</v>
      </c>
      <c r="J1012" s="2454"/>
      <c r="K1012" s="2131"/>
    </row>
    <row r="1013" spans="1:11" s="2109" customFormat="1" x14ac:dyDescent="0.25">
      <c r="A1013" s="2978" t="s">
        <v>1538</v>
      </c>
      <c r="B1013" s="2979"/>
      <c r="C1013" s="2979"/>
      <c r="D1013" s="2980"/>
      <c r="E1013" s="2454" t="s">
        <v>2359</v>
      </c>
      <c r="F1013" s="2454"/>
      <c r="G1013" s="2977" t="str">
        <f t="shared" ref="G1013:H1013" si="29">IF(E1013="-","NA",IF(OR(H1013="NA",H1013="NPA"),"NA",IF(E1013="Quadrienal",$J$1+1461,IF(E1013="Bienal",$J$1+730,IF(E1013="Anual",$J$1+365,IF(E1013="Semestral",$J$1+182,IF(E1013="Mensal",$J$1+30,IF(E1013="Semanal",$J$1+7))))))))</f>
        <v>NA</v>
      </c>
      <c r="H1013" s="2977" t="str">
        <f t="shared" si="29"/>
        <v>NA</v>
      </c>
      <c r="I1013" s="2454" t="str">
        <f t="shared" ref="I1013:I1027" si="30">AC66</f>
        <v>NPA</v>
      </c>
      <c r="J1013" s="2454"/>
    </row>
    <row r="1014" spans="1:11" s="2109" customFormat="1" x14ac:dyDescent="0.25">
      <c r="A1014" s="2978" t="s">
        <v>1578</v>
      </c>
      <c r="B1014" s="2979"/>
      <c r="C1014" s="2979"/>
      <c r="D1014" s="2980"/>
      <c r="E1014" s="2454" t="s">
        <v>2359</v>
      </c>
      <c r="F1014" s="2454"/>
      <c r="G1014" s="2977" t="str">
        <f t="shared" ref="G1014:H1014" si="31">IF(E1014="-","NA",IF(OR(H1014="NA",H1014="NPA"),"NA",IF(E1014="Quadrienal",$J$1+1461,IF(E1014="Bienal",$J$1+730,IF(E1014="Anual",$J$1+365,IF(E1014="Semestral",$J$1+182,IF(E1014="Mensal",$J$1+30,IF(E1014="Semanal",$J$1+7))))))))</f>
        <v>NA</v>
      </c>
      <c r="H1014" s="2977" t="str">
        <f t="shared" si="31"/>
        <v>NA</v>
      </c>
      <c r="I1014" s="2454" t="str">
        <f t="shared" si="30"/>
        <v>NA</v>
      </c>
      <c r="J1014" s="2454"/>
    </row>
    <row r="1015" spans="1:11" s="2109" customFormat="1" x14ac:dyDescent="0.25">
      <c r="A1015" s="2978" t="s">
        <v>1580</v>
      </c>
      <c r="B1015" s="2979"/>
      <c r="C1015" s="2979"/>
      <c r="D1015" s="2980"/>
      <c r="E1015" s="2454" t="s">
        <v>2359</v>
      </c>
      <c r="F1015" s="2454"/>
      <c r="G1015" s="2977" t="str">
        <f t="shared" ref="G1015:H1015" si="32">IF(E1015="-","NA",IF(OR(H1015="NA",H1015="NPA"),"NA",IF(E1015="Quadrienal",$J$1+1461,IF(E1015="Bienal",$J$1+730,IF(E1015="Anual",$J$1+365,IF(E1015="Semestral",$J$1+182,IF(E1015="Mensal",$J$1+30,IF(E1015="Semanal",$J$1+7))))))))</f>
        <v>NA</v>
      </c>
      <c r="H1015" s="2977" t="str">
        <f t="shared" si="32"/>
        <v>NA</v>
      </c>
      <c r="I1015" s="2454" t="str">
        <f t="shared" si="30"/>
        <v>NA</v>
      </c>
      <c r="J1015" s="2454"/>
    </row>
    <row r="1016" spans="1:11" s="2109" customFormat="1" x14ac:dyDescent="0.25">
      <c r="A1016" s="2978" t="s">
        <v>1581</v>
      </c>
      <c r="B1016" s="2979"/>
      <c r="C1016" s="2979"/>
      <c r="D1016" s="2980"/>
      <c r="E1016" s="2454" t="s">
        <v>2359</v>
      </c>
      <c r="F1016" s="2454"/>
      <c r="G1016" s="2977" t="e">
        <f t="shared" ref="G1016:H1016" si="33">IF(E1016="-","NA",IF(OR(H1016="NA",H1016="NPA"),"NA",IF(E1016="Quadrienal",$J$1+1461,IF(E1016="Bienal",$J$1+730,IF(E1016="Anual",$J$1+365,IF(E1016="Semestral",$J$1+182,IF(E1016="Mensal",$J$1+30,IF(E1016="Semanal",$J$1+7))))))))</f>
        <v>#N/A</v>
      </c>
      <c r="H1016" s="2977" t="b">
        <f t="shared" si="33"/>
        <v>0</v>
      </c>
      <c r="I1016" s="2454" t="str">
        <f t="shared" si="30"/>
        <v>Conforme</v>
      </c>
      <c r="J1016" s="2454"/>
    </row>
    <row r="1017" spans="1:11" s="2109" customFormat="1" x14ac:dyDescent="0.25">
      <c r="A1017" s="2978" t="s">
        <v>1582</v>
      </c>
      <c r="B1017" s="2979"/>
      <c r="C1017" s="2979"/>
      <c r="D1017" s="2980"/>
      <c r="E1017" s="2454" t="s">
        <v>2359</v>
      </c>
      <c r="F1017" s="2454"/>
      <c r="G1017" s="2977" t="e">
        <f t="shared" ref="G1017:H1017" si="34">IF(E1017="-","NA",IF(OR(H1017="NA",H1017="NPA"),"NA",IF(E1017="Quadrienal",$J$1+1461,IF(E1017="Bienal",$J$1+730,IF(E1017="Anual",$J$1+365,IF(E1017="Semestral",$J$1+182,IF(E1017="Mensal",$J$1+30,IF(E1017="Semanal",$J$1+7))))))))</f>
        <v>#N/A</v>
      </c>
      <c r="H1017" s="2977" t="b">
        <f t="shared" si="34"/>
        <v>0</v>
      </c>
      <c r="I1017" s="2454" t="str">
        <f t="shared" si="30"/>
        <v>Conforme</v>
      </c>
      <c r="J1017" s="2454"/>
    </row>
    <row r="1018" spans="1:11" s="2109" customFormat="1" x14ac:dyDescent="0.25">
      <c r="A1018" s="2978" t="s">
        <v>2637</v>
      </c>
      <c r="B1018" s="2979"/>
      <c r="C1018" s="2979"/>
      <c r="D1018" s="2980"/>
      <c r="E1018" s="2454" t="s">
        <v>2359</v>
      </c>
      <c r="F1018" s="2454"/>
      <c r="G1018" s="2977" t="e">
        <f t="shared" ref="G1018:H1018" si="35">IF(E1018="-","NA",IF(OR(H1018="NA",H1018="NPA"),"NA",IF(E1018="Quadrienal",$J$1+1461,IF(E1018="Bienal",$J$1+730,IF(E1018="Anual",$J$1+365,IF(E1018="Semestral",$J$1+182,IF(E1018="Mensal",$J$1+30,IF(E1018="Semanal",$J$1+7))))))))</f>
        <v>#N/A</v>
      </c>
      <c r="H1018" s="2977" t="b">
        <f t="shared" si="35"/>
        <v>0</v>
      </c>
      <c r="I1018" s="2454" t="str">
        <f t="shared" si="30"/>
        <v>Conforme</v>
      </c>
      <c r="J1018" s="2454"/>
    </row>
    <row r="1019" spans="1:11" s="2109" customFormat="1" x14ac:dyDescent="0.25">
      <c r="A1019" s="2978" t="s">
        <v>1583</v>
      </c>
      <c r="B1019" s="2979"/>
      <c r="C1019" s="2979"/>
      <c r="D1019" s="2980"/>
      <c r="E1019" s="2454" t="s">
        <v>2359</v>
      </c>
      <c r="F1019" s="2454"/>
      <c r="G1019" s="2977" t="e">
        <f t="shared" ref="G1019:H1019" si="36">IF(E1019="-","NA",IF(OR(H1019="NA",H1019="NPA"),"NA",IF(E1019="Quadrienal",$J$1+1461,IF(E1019="Bienal",$J$1+730,IF(E1019="Anual",$J$1+365,IF(E1019="Semestral",$J$1+182,IF(E1019="Mensal",$J$1+30,IF(E1019="Semanal",$J$1+7))))))))</f>
        <v>#N/A</v>
      </c>
      <c r="H1019" s="2977" t="b">
        <f t="shared" si="36"/>
        <v>0</v>
      </c>
      <c r="I1019" s="2454" t="str">
        <f t="shared" si="30"/>
        <v>Conforme</v>
      </c>
      <c r="J1019" s="2454"/>
    </row>
    <row r="1020" spans="1:11" s="2109" customFormat="1" x14ac:dyDescent="0.25">
      <c r="A1020" s="2978" t="s">
        <v>1584</v>
      </c>
      <c r="B1020" s="2979"/>
      <c r="C1020" s="2979"/>
      <c r="D1020" s="2980"/>
      <c r="E1020" s="2454" t="s">
        <v>2359</v>
      </c>
      <c r="F1020" s="2454"/>
      <c r="G1020" s="2977" t="e">
        <f t="shared" ref="G1020:H1020" si="37">IF(E1020="-","NA",IF(OR(H1020="NA",H1020="NPA"),"NA",IF(E1020="Quadrienal",$J$1+1461,IF(E1020="Bienal",$J$1+730,IF(E1020="Anual",$J$1+365,IF(E1020="Semestral",$J$1+182,IF(E1020="Mensal",$J$1+30,IF(E1020="Semanal",$J$1+7))))))))</f>
        <v>#N/A</v>
      </c>
      <c r="H1020" s="2977" t="b">
        <f t="shared" si="37"/>
        <v>0</v>
      </c>
      <c r="I1020" s="2454" t="str">
        <f t="shared" si="30"/>
        <v>Conforme</v>
      </c>
      <c r="J1020" s="2454"/>
    </row>
    <row r="1021" spans="1:11" s="2109" customFormat="1" x14ac:dyDescent="0.25">
      <c r="A1021" s="2978" t="s">
        <v>2638</v>
      </c>
      <c r="B1021" s="2979"/>
      <c r="C1021" s="2979"/>
      <c r="D1021" s="2980"/>
      <c r="E1021" s="2454" t="s">
        <v>2359</v>
      </c>
      <c r="F1021" s="2454"/>
      <c r="G1021" s="2977" t="str">
        <f t="shared" ref="G1021:H1021" si="38">IF(E1021="-","NA",IF(OR(H1021="NA",H1021="NPA"),"NA",IF(E1021="Quadrienal",$J$1+1461,IF(E1021="Bienal",$J$1+730,IF(E1021="Anual",$J$1+365,IF(E1021="Semestral",$J$1+182,IF(E1021="Mensal",$J$1+30,IF(E1021="Semanal",$J$1+7))))))))</f>
        <v>NA</v>
      </c>
      <c r="H1021" s="2977" t="str">
        <f t="shared" si="38"/>
        <v>NA</v>
      </c>
      <c r="I1021" s="2454" t="str">
        <f t="shared" si="30"/>
        <v>NPA</v>
      </c>
      <c r="J1021" s="2454"/>
    </row>
    <row r="1022" spans="1:11" s="2109" customFormat="1" x14ac:dyDescent="0.25">
      <c r="A1022" s="2978" t="s">
        <v>2639</v>
      </c>
      <c r="B1022" s="2979"/>
      <c r="C1022" s="2979"/>
      <c r="D1022" s="2980"/>
      <c r="E1022" s="2454" t="s">
        <v>2359</v>
      </c>
      <c r="F1022" s="2454"/>
      <c r="G1022" s="2977" t="str">
        <f t="shared" ref="G1022:H1022" si="39">IF(E1022="-","NA",IF(OR(H1022="NA",H1022="NPA"),"NA",IF(E1022="Quadrienal",$J$1+1461,IF(E1022="Bienal",$J$1+730,IF(E1022="Anual",$J$1+365,IF(E1022="Semestral",$J$1+182,IF(E1022="Mensal",$J$1+30,IF(E1022="Semanal",$J$1+7))))))))</f>
        <v>NA</v>
      </c>
      <c r="H1022" s="2977" t="str">
        <f t="shared" si="39"/>
        <v>NA</v>
      </c>
      <c r="I1022" s="2454" t="str">
        <f t="shared" si="30"/>
        <v>NPA</v>
      </c>
      <c r="J1022" s="2454"/>
    </row>
    <row r="1023" spans="1:11" s="2109" customFormat="1" ht="31.5" customHeight="1" x14ac:dyDescent="0.25">
      <c r="A1023" s="2978" t="s">
        <v>1585</v>
      </c>
      <c r="B1023" s="2979"/>
      <c r="C1023" s="2979"/>
      <c r="D1023" s="2980"/>
      <c r="E1023" s="2454" t="s">
        <v>2359</v>
      </c>
      <c r="F1023" s="2454"/>
      <c r="G1023" s="2977" t="e">
        <f t="shared" ref="G1023:H1023" si="40">IF(E1023="-","NA",IF(OR(H1023="NA",H1023="NPA"),"NA",IF(E1023="Quadrienal",$J$1+1461,IF(E1023="Bienal",$J$1+730,IF(E1023="Anual",$J$1+365,IF(E1023="Semestral",$J$1+182,IF(E1023="Mensal",$J$1+30,IF(E1023="Semanal",$J$1+7))))))))</f>
        <v>#N/A</v>
      </c>
      <c r="H1023" s="2977" t="b">
        <f t="shared" si="40"/>
        <v>0</v>
      </c>
      <c r="I1023" s="2454" t="str">
        <f t="shared" si="30"/>
        <v>Conforme</v>
      </c>
      <c r="J1023" s="2454"/>
    </row>
    <row r="1024" spans="1:11" s="2109" customFormat="1" ht="31.5" customHeight="1" x14ac:dyDescent="0.25">
      <c r="A1024" s="2978" t="s">
        <v>1586</v>
      </c>
      <c r="B1024" s="2979"/>
      <c r="C1024" s="2979"/>
      <c r="D1024" s="2980"/>
      <c r="E1024" s="2454" t="s">
        <v>2359</v>
      </c>
      <c r="F1024" s="2454"/>
      <c r="G1024" s="2977" t="e">
        <f t="shared" ref="G1024:H1024" si="41">IF(E1024="-","NA",IF(OR(H1024="NA",H1024="NPA"),"NA",IF(E1024="Quadrienal",$J$1+1461,IF(E1024="Bienal",$J$1+730,IF(E1024="Anual",$J$1+365,IF(E1024="Semestral",$J$1+182,IF(E1024="Mensal",$J$1+30,IF(E1024="Semanal",$J$1+7))))))))</f>
        <v>#N/A</v>
      </c>
      <c r="H1024" s="2977" t="b">
        <f t="shared" si="41"/>
        <v>0</v>
      </c>
      <c r="I1024" s="2454" t="str">
        <f t="shared" si="30"/>
        <v>Conforme</v>
      </c>
      <c r="J1024" s="2454"/>
    </row>
    <row r="1025" spans="1:12" s="2109" customFormat="1" ht="31.5" customHeight="1" x14ac:dyDescent="0.25">
      <c r="A1025" s="2978" t="s">
        <v>1587</v>
      </c>
      <c r="B1025" s="2979"/>
      <c r="C1025" s="2979"/>
      <c r="D1025" s="2980"/>
      <c r="E1025" s="2454" t="s">
        <v>2359</v>
      </c>
      <c r="F1025" s="2454"/>
      <c r="G1025" s="2977" t="str">
        <f t="shared" ref="G1025:H1025" si="42">IF(E1025="-","NA",IF(OR(H1025="NA",H1025="NPA"),"NA",IF(E1025="Quadrienal",$J$1+1461,IF(E1025="Bienal",$J$1+730,IF(E1025="Anual",$J$1+365,IF(E1025="Semestral",$J$1+182,IF(E1025="Mensal",$J$1+30,IF(E1025="Semanal",$J$1+7))))))))</f>
        <v>NA</v>
      </c>
      <c r="H1025" s="2977" t="str">
        <f t="shared" si="42"/>
        <v>NA</v>
      </c>
      <c r="I1025" s="2454" t="str">
        <f t="shared" si="30"/>
        <v>NA</v>
      </c>
      <c r="J1025" s="2454"/>
    </row>
    <row r="1026" spans="1:12" s="2109" customFormat="1" ht="31.5" customHeight="1" x14ac:dyDescent="0.25">
      <c r="A1026" s="2978" t="s">
        <v>1588</v>
      </c>
      <c r="B1026" s="2979"/>
      <c r="C1026" s="2979"/>
      <c r="D1026" s="2980"/>
      <c r="E1026" s="2454" t="s">
        <v>2359</v>
      </c>
      <c r="F1026" s="2454"/>
      <c r="G1026" s="2977" t="str">
        <f t="shared" ref="G1026:H1026" si="43">IF(E1026="-","NA",IF(OR(H1026="NA",H1026="NPA"),"NA",IF(E1026="Quadrienal",$J$1+1461,IF(E1026="Bienal",$J$1+730,IF(E1026="Anual",$J$1+365,IF(E1026="Semestral",$J$1+182,IF(E1026="Mensal",$J$1+30,IF(E1026="Semanal",$J$1+7))))))))</f>
        <v>NA</v>
      </c>
      <c r="H1026" s="2977" t="str">
        <f t="shared" si="43"/>
        <v>NA</v>
      </c>
      <c r="I1026" s="2454" t="str">
        <f t="shared" si="30"/>
        <v>NA</v>
      </c>
      <c r="J1026" s="2454"/>
    </row>
    <row r="1027" spans="1:12" s="2109" customFormat="1" x14ac:dyDescent="0.25">
      <c r="A1027" s="2978" t="s">
        <v>1589</v>
      </c>
      <c r="B1027" s="2979"/>
      <c r="C1027" s="2979"/>
      <c r="D1027" s="2980"/>
      <c r="E1027" s="2454" t="s">
        <v>2359</v>
      </c>
      <c r="F1027" s="2454"/>
      <c r="G1027" s="2977" t="str">
        <f t="shared" ref="G1027:H1027" si="44">IF(E1027="-","NA",IF(OR(H1027="NA",H1027="NPA"),"NA",IF(E1027="Quadrienal",$J$1+1461,IF(E1027="Bienal",$J$1+730,IF(E1027="Anual",$J$1+365,IF(E1027="Semestral",$J$1+182,IF(E1027="Mensal",$J$1+30,IF(E1027="Semanal",$J$1+7))))))))</f>
        <v>NA</v>
      </c>
      <c r="H1027" s="2977" t="str">
        <f t="shared" si="44"/>
        <v>NA</v>
      </c>
      <c r="I1027" s="2454" t="str">
        <f t="shared" si="30"/>
        <v>NA</v>
      </c>
      <c r="J1027" s="2454"/>
    </row>
    <row r="1028" spans="1:12" s="2109" customFormat="1" x14ac:dyDescent="0.25">
      <c r="A1028" s="2978" t="s">
        <v>2660</v>
      </c>
      <c r="B1028" s="2979"/>
      <c r="C1028" s="2979"/>
      <c r="D1028" s="2980"/>
      <c r="E1028" s="2454" t="s">
        <v>2359</v>
      </c>
      <c r="F1028" s="2454"/>
      <c r="G1028" s="2977" t="str">
        <f t="shared" ref="G1028:H1028" si="45">IF(E1028="-","NA",IF(OR(H1028="NA",H1028="NPA"),"NA",IF(E1028="Quadrienal",$J$1+1461,IF(E1028="Bienal",$J$1+730,IF(E1028="Anual",$J$1+365,IF(E1028="Semestral",$J$1+182,IF(E1028="Mensal",$J$1+30,IF(E1028="Semanal",$J$1+7))))))))</f>
        <v>NA</v>
      </c>
      <c r="H1028" s="2977" t="str">
        <f t="shared" si="45"/>
        <v>NA</v>
      </c>
      <c r="I1028" s="2454" t="str">
        <f>IF(COUNTIF(AC88:AC90,"Não")&lt;&gt;0,"Não conforme",IF(COUNTIF(AC88:AC90,"Sim")&lt;&gt;0,"Conforme",IF(COUNTIF(AC88:AC90,"NPA")&lt;&gt;0,"NPA","NA")))</f>
        <v>NPA</v>
      </c>
      <c r="J1028" s="2454" t="s">
        <v>857</v>
      </c>
    </row>
    <row r="1029" spans="1:12" s="2109" customFormat="1" x14ac:dyDescent="0.25">
      <c r="A1029" s="284" t="s">
        <v>2772</v>
      </c>
      <c r="B1029" s="2108"/>
      <c r="C1029" s="2108"/>
      <c r="D1029" s="2108"/>
      <c r="E1029" s="2108"/>
      <c r="F1029" s="2108"/>
      <c r="G1029" s="2108"/>
      <c r="H1029" s="2108"/>
      <c r="I1029" s="2108"/>
      <c r="J1029" s="2108"/>
    </row>
    <row r="1030" spans="1:12" s="1939" customFormat="1" x14ac:dyDescent="0.25">
      <c r="A1030" s="1940"/>
      <c r="B1030" s="1940"/>
      <c r="C1030" s="1940"/>
      <c r="D1030" s="1940"/>
      <c r="E1030" s="1940"/>
      <c r="F1030" s="1940"/>
      <c r="G1030" s="1940"/>
      <c r="H1030" s="1940"/>
      <c r="I1030" s="1940"/>
    </row>
    <row r="1031" spans="1:12" x14ac:dyDescent="0.25">
      <c r="A1031" s="700" t="s">
        <v>2072</v>
      </c>
      <c r="B1031" s="1309"/>
      <c r="C1031" s="1309"/>
      <c r="D1031" s="1309"/>
      <c r="E1031" s="1309"/>
      <c r="F1031" s="1309"/>
      <c r="G1031" s="1309"/>
      <c r="H1031" s="1309"/>
      <c r="I1031" s="1309"/>
      <c r="J1031" s="1309"/>
    </row>
    <row r="1032" spans="1:12" x14ac:dyDescent="0.25">
      <c r="A1032" s="1325"/>
      <c r="B1032" s="940"/>
      <c r="C1032" s="940"/>
      <c r="D1032" s="940"/>
      <c r="E1032" s="940"/>
      <c r="F1032" s="940"/>
      <c r="G1032" s="940"/>
      <c r="H1032" s="940"/>
      <c r="I1032" s="940"/>
      <c r="J1032" s="940"/>
      <c r="K1032" s="940" t="str">
        <f>IF(COUNTIF(K1033:K1058,"")&gt;0,"","x")</f>
        <v>x</v>
      </c>
    </row>
    <row r="1033" spans="1:12" x14ac:dyDescent="0.25">
      <c r="A1033" s="3015" t="str">
        <f>"                A uniformidade da imagem está fora de tolerância ("&amp;Ultrassom!E36&amp;"), podendo ser causada por falhas de software ou dos elementos piezoelétricos. Recomenda-se ação corretiva."</f>
        <v xml:space="preserve">                A uniformidade da imagem está fora de tolerância (&lt; 4 dB do valor de referência), podendo ser causada por falhas de software ou dos elementos piezoelétricos. Recomenda-se ação corretiva.</v>
      </c>
      <c r="B1033" s="3015"/>
      <c r="C1033" s="3015"/>
      <c r="D1033" s="3015"/>
      <c r="E1033" s="3015"/>
      <c r="F1033" s="3015"/>
      <c r="G1033" s="3015"/>
      <c r="H1033" s="3015"/>
      <c r="I1033" s="3015"/>
      <c r="J1033" s="3015"/>
      <c r="K1033" s="1240" t="str">
        <f>IF(L1033&gt;0,"","x")</f>
        <v>x</v>
      </c>
      <c r="L1033" s="940">
        <f>COUNTIF($L$1:$L$980,"Uniformidade da imagem")</f>
        <v>0</v>
      </c>
    </row>
    <row r="1034" spans="1:12" x14ac:dyDescent="0.25">
      <c r="A1034" s="3015"/>
      <c r="B1034" s="3015"/>
      <c r="C1034" s="3015"/>
      <c r="D1034" s="3015"/>
      <c r="E1034" s="3015"/>
      <c r="F1034" s="3015"/>
      <c r="G1034" s="3015"/>
      <c r="H1034" s="3015"/>
      <c r="I1034" s="3015"/>
      <c r="J1034" s="3015"/>
      <c r="K1034" s="940" t="str">
        <f>K1033</f>
        <v>x</v>
      </c>
    </row>
    <row r="1035" spans="1:12" s="1309" customFormat="1" ht="14.45" customHeight="1" x14ac:dyDescent="0.25">
      <c r="A1035" s="3015" t="str">
        <f>"                A profundidade de penetração está fora de tolerância ("&amp;Ultrassom!E50&amp;"), provavelmente causada por degradação dos elementos piezoelétricos do transdutor."</f>
        <v xml:space="preserve">                A profundidade de penetração está fora de tolerância (desvio &lt; 6mm do valor de referência), provavelmente causada por degradação dos elementos piezoelétricos do transdutor.</v>
      </c>
      <c r="B1035" s="3015"/>
      <c r="C1035" s="3015"/>
      <c r="D1035" s="3015"/>
      <c r="E1035" s="3015"/>
      <c r="F1035" s="3015"/>
      <c r="G1035" s="3015"/>
      <c r="H1035" s="3015"/>
      <c r="I1035" s="3015"/>
      <c r="J1035" s="3015"/>
      <c r="K1035" s="1309" t="str">
        <f>IF(L1035&gt;0,"","x")</f>
        <v>x</v>
      </c>
      <c r="L1035" s="940">
        <f>COUNTIF($L$1:$L$980,"Profundidade de penetração (mínimo)")+COUNTIF($L$1:$L$980,"Profundidade de penetração (normal)")+COUNTIF($L$1:$L$980,"Profundidade de penetração (máximo)")</f>
        <v>0</v>
      </c>
    </row>
    <row r="1036" spans="1:12" s="1309" customFormat="1" x14ac:dyDescent="0.25">
      <c r="A1036" s="3015"/>
      <c r="B1036" s="3015"/>
      <c r="C1036" s="3015"/>
      <c r="D1036" s="3015"/>
      <c r="E1036" s="3015"/>
      <c r="F1036" s="3015"/>
      <c r="G1036" s="3015"/>
      <c r="H1036" s="3015"/>
      <c r="I1036" s="3015"/>
      <c r="J1036" s="3015"/>
      <c r="K1036" s="940" t="str">
        <f>K1035</f>
        <v>x</v>
      </c>
    </row>
    <row r="1037" spans="1:12" s="1309" customFormat="1" ht="14.45" customHeight="1" x14ac:dyDescent="0.25">
      <c r="A1037" s="3015" t="str">
        <f>"                A visualização de objetos anecóicos está fora de tolerância ("&amp;Ultrassom!H60&amp;"), provavelmente causada por degradação dos elementos piezoelétricos do transdutor."</f>
        <v xml:space="preserve">                A visualização de objetos anecóicos está fora de tolerância (não inferior ao valor de referência), provavelmente causada por degradação dos elementos piezoelétricos do transdutor.</v>
      </c>
      <c r="B1037" s="3015"/>
      <c r="C1037" s="3015"/>
      <c r="D1037" s="3015"/>
      <c r="E1037" s="3015"/>
      <c r="F1037" s="3015"/>
      <c r="G1037" s="3015"/>
      <c r="H1037" s="3015"/>
      <c r="I1037" s="3015"/>
      <c r="J1037" s="3015"/>
      <c r="K1037" s="1309" t="str">
        <f>IF(L1037&gt;0,"","x")</f>
        <v>x</v>
      </c>
      <c r="L1037" s="940">
        <f>COUNTIF($L$1:$L$980,"Visualização de objetos anecóicos")</f>
        <v>0</v>
      </c>
    </row>
    <row r="1038" spans="1:12" s="1309" customFormat="1" x14ac:dyDescent="0.25">
      <c r="A1038" s="3015"/>
      <c r="B1038" s="3015"/>
      <c r="C1038" s="3015"/>
      <c r="D1038" s="3015"/>
      <c r="E1038" s="3015"/>
      <c r="F1038" s="3015"/>
      <c r="G1038" s="3015"/>
      <c r="H1038" s="3015"/>
      <c r="I1038" s="3015"/>
      <c r="J1038" s="3015"/>
      <c r="K1038" s="940" t="str">
        <f>K1037</f>
        <v>x</v>
      </c>
    </row>
    <row r="1039" spans="1:12" s="1309" customFormat="1" x14ac:dyDescent="0.25">
      <c r="A1039" s="3015" t="str">
        <f>"                A zona morta está fora de tolerância ("&amp;Ultrassom!B70&amp;"), provavelmente causada por degradação dos elementos piezoelétricos do transdutor."</f>
        <v xml:space="preserve">                A zona morta está fora de tolerância (≤ 7 mm para frequência ≤ 3 MHz; ≤ 5 mm para 3 MHz &lt; frequência &lt; 7 MHz; ≤ 3 mm para frequência ≥ 7 MHz), provavelmente causada por degradação dos elementos piezoelétricos do transdutor.</v>
      </c>
      <c r="B1039" s="3015"/>
      <c r="C1039" s="3015"/>
      <c r="D1039" s="3015"/>
      <c r="E1039" s="3015"/>
      <c r="F1039" s="3015"/>
      <c r="G1039" s="3015"/>
      <c r="H1039" s="3015"/>
      <c r="I1039" s="3015"/>
      <c r="J1039" s="3015"/>
      <c r="K1039" s="1309" t="str">
        <f>IF(L1039&gt;0,"","x")</f>
        <v>x</v>
      </c>
      <c r="L1039" s="940">
        <f>COUNTIF($L$1:$L$980,"Zona morta")</f>
        <v>0</v>
      </c>
    </row>
    <row r="1040" spans="1:12" s="1309" customFormat="1" x14ac:dyDescent="0.25">
      <c r="A1040" s="3015"/>
      <c r="B1040" s="3015"/>
      <c r="C1040" s="3015"/>
      <c r="D1040" s="3015"/>
      <c r="E1040" s="3015"/>
      <c r="F1040" s="3015"/>
      <c r="G1040" s="3015"/>
      <c r="H1040" s="3015"/>
      <c r="I1040" s="3015"/>
      <c r="J1040" s="3015"/>
      <c r="K1040" s="940" t="str">
        <f>K1039</f>
        <v>x</v>
      </c>
    </row>
    <row r="1041" spans="1:12" s="1309" customFormat="1" ht="14.45" customHeight="1" x14ac:dyDescent="0.25">
      <c r="A1041" s="3015" t="str">
        <f>"                A exatidão da distância vertical está fora de tolerância (≤ ± "&amp;Ultrassom!C79&amp;" mm), provavelmente causada por degradação dos elementos piezoelétricos do transdutor."</f>
        <v xml:space="preserve">                A exatidão da distância vertical está fora de tolerância (≤ ± 1,5 mm), provavelmente causada por degradação dos elementos piezoelétricos do transdutor.</v>
      </c>
      <c r="B1041" s="3015"/>
      <c r="C1041" s="3015"/>
      <c r="D1041" s="3015"/>
      <c r="E1041" s="3015"/>
      <c r="F1041" s="3015"/>
      <c r="G1041" s="3015"/>
      <c r="H1041" s="3015"/>
      <c r="I1041" s="3015"/>
      <c r="J1041" s="3015"/>
      <c r="K1041" s="1309" t="str">
        <f>IF(L1041&gt;0,"","x")</f>
        <v>x</v>
      </c>
      <c r="L1041" s="940">
        <f>COUNTIF($L$1:$L$980,"Exatidão da distância vertical")</f>
        <v>0</v>
      </c>
    </row>
    <row r="1042" spans="1:12" s="1309" customFormat="1" x14ac:dyDescent="0.25">
      <c r="A1042" s="3015"/>
      <c r="B1042" s="3015"/>
      <c r="C1042" s="3015"/>
      <c r="D1042" s="3015"/>
      <c r="E1042" s="3015"/>
      <c r="F1042" s="3015"/>
      <c r="G1042" s="3015"/>
      <c r="H1042" s="3015"/>
      <c r="I1042" s="3015"/>
      <c r="J1042" s="3015"/>
      <c r="K1042" s="940" t="str">
        <f>K1041</f>
        <v>x</v>
      </c>
    </row>
    <row r="1043" spans="1:12" s="1309" customFormat="1" ht="14.45" customHeight="1" x14ac:dyDescent="0.25">
      <c r="A1043" s="3015" t="str">
        <f>"                A exatidão da distância horizontal está fora de tolerância (≤ ± "&amp;Ultrassom!D79&amp;" mm), provavelmente causada por degradação dos elementos piezoelétricos do transdutor."</f>
        <v xml:space="preserve">                A exatidão da distância horizontal está fora de tolerância (≤ ± 2 mm), provavelmente causada por degradação dos elementos piezoelétricos do transdutor.</v>
      </c>
      <c r="B1043" s="3015"/>
      <c r="C1043" s="3015"/>
      <c r="D1043" s="3015"/>
      <c r="E1043" s="3015"/>
      <c r="F1043" s="3015"/>
      <c r="G1043" s="3015"/>
      <c r="H1043" s="3015"/>
      <c r="I1043" s="3015"/>
      <c r="J1043" s="3015"/>
      <c r="K1043" s="1309" t="str">
        <f>IF(L1043&gt;0,"","x")</f>
        <v>x</v>
      </c>
      <c r="L1043" s="940">
        <f>COUNTIF($L$1:$L$980,"Exatidão da distância horizontal")</f>
        <v>0</v>
      </c>
    </row>
    <row r="1044" spans="1:12" s="1309" customFormat="1" x14ac:dyDescent="0.25">
      <c r="A1044" s="3015"/>
      <c r="B1044" s="3015"/>
      <c r="C1044" s="3015"/>
      <c r="D1044" s="3015"/>
      <c r="E1044" s="3015"/>
      <c r="F1044" s="3015"/>
      <c r="G1044" s="3015"/>
      <c r="H1044" s="3015"/>
      <c r="I1044" s="3015"/>
      <c r="J1044" s="3015"/>
      <c r="K1044" s="940" t="str">
        <f>K1043</f>
        <v>x</v>
      </c>
    </row>
    <row r="1045" spans="1:12" s="1309" customFormat="1" ht="14.45" customHeight="1" x14ac:dyDescent="0.25">
      <c r="A1045" s="3015" t="str">
        <f>"                A resolução axial está fora de tolerância ("&amp;Ultrassom!D89&amp;"), provavelmente causada por degradação dos elementos piezoelétricos do transdutor."</f>
        <v xml:space="preserve">                A resolução axial está fora de tolerância (≤ 2 mm para frequência ≤ 4 MHz; ≤ 1 mm para frequência &gt; 4 MHz), provavelmente causada por degradação dos elementos piezoelétricos do transdutor.</v>
      </c>
      <c r="B1045" s="3015"/>
      <c r="C1045" s="3015"/>
      <c r="D1045" s="3015"/>
      <c r="E1045" s="3015"/>
      <c r="F1045" s="3015"/>
      <c r="G1045" s="3015"/>
      <c r="H1045" s="3015"/>
      <c r="I1045" s="3015"/>
      <c r="J1045" s="3015"/>
      <c r="K1045" s="1309" t="str">
        <f>IF(L1045&gt;0,"","x")</f>
        <v>x</v>
      </c>
      <c r="L1045" s="940">
        <f>COUNTIF($L$1:$L$980,"Resolução axial")</f>
        <v>0</v>
      </c>
    </row>
    <row r="1046" spans="1:12" s="1309" customFormat="1" x14ac:dyDescent="0.25">
      <c r="A1046" s="3015"/>
      <c r="B1046" s="3015"/>
      <c r="C1046" s="3015"/>
      <c r="D1046" s="3015"/>
      <c r="E1046" s="3015"/>
      <c r="F1046" s="3015"/>
      <c r="G1046" s="3015"/>
      <c r="H1046" s="3015"/>
      <c r="I1046" s="3015"/>
      <c r="J1046" s="3015"/>
      <c r="K1046" s="940" t="str">
        <f>K1045</f>
        <v>x</v>
      </c>
    </row>
    <row r="1047" spans="1:12" s="1309" customFormat="1" ht="14.45" customHeight="1" x14ac:dyDescent="0.25">
      <c r="A1047" s="3015" t="str">
        <f>"                A resolução lateral está fora de tolerância ("&amp;Ultrassom!E89&amp;"), provavelmente causada por degradação dos elementos piezoelétricos do transdutor."</f>
        <v xml:space="preserve">                A resolução lateral está fora de tolerância (≤ 4 mm para frequência &lt; 3,5 MHz; &lt; 3 mm para frequencia ≥3,5 MHz e &lt; 5 MHz; &lt; 1,5 mm para frequência ≥ 5 MHz), provavelmente causada por degradação dos elementos piezoelétricos do transdutor.</v>
      </c>
      <c r="B1047" s="3015"/>
      <c r="C1047" s="3015"/>
      <c r="D1047" s="3015"/>
      <c r="E1047" s="3015"/>
      <c r="F1047" s="3015"/>
      <c r="G1047" s="3015"/>
      <c r="H1047" s="3015"/>
      <c r="I1047" s="3015"/>
      <c r="J1047" s="3015"/>
      <c r="K1047" s="1309" t="str">
        <f>IF(L1047&gt;0,"","x")</f>
        <v>x</v>
      </c>
      <c r="L1047" s="940">
        <f>COUNTIF($L$1:$L$980,"Resolução lateral")</f>
        <v>0</v>
      </c>
    </row>
    <row r="1048" spans="1:12" s="1400" customFormat="1" ht="14.45" customHeight="1" x14ac:dyDescent="0.25">
      <c r="A1048" s="3015"/>
      <c r="B1048" s="3015"/>
      <c r="C1048" s="3015"/>
      <c r="D1048" s="3015"/>
      <c r="E1048" s="3015"/>
      <c r="F1048" s="3015"/>
      <c r="G1048" s="3015"/>
      <c r="H1048" s="3015"/>
      <c r="I1048" s="3015"/>
      <c r="J1048" s="3015"/>
      <c r="K1048" s="1400" t="str">
        <f>K1047</f>
        <v>x</v>
      </c>
      <c r="L1048" s="940"/>
    </row>
    <row r="1049" spans="1:12" s="1309" customFormat="1" x14ac:dyDescent="0.25">
      <c r="A1049" s="3015"/>
      <c r="B1049" s="3015"/>
      <c r="C1049" s="3015"/>
      <c r="D1049" s="3015"/>
      <c r="E1049" s="3015"/>
      <c r="F1049" s="3015"/>
      <c r="G1049" s="3015"/>
      <c r="H1049" s="3015"/>
      <c r="I1049" s="3015"/>
      <c r="J1049" s="3015"/>
      <c r="K1049" s="940" t="str">
        <f>K1048</f>
        <v>x</v>
      </c>
    </row>
    <row r="1050" spans="1:12" s="1309" customFormat="1" ht="14.45" customHeight="1" x14ac:dyDescent="0.25">
      <c r="A1050" s="3015" t="str">
        <f>"                A zona focal está fora de tolerância ("&amp;Ultrassom!G97&amp;"), provavelmente causada por degradação dos elementos piezoelétricos do transdutor."</f>
        <v xml:space="preserve">                A zona focal está fora de tolerância (deve ser consistente com o valor de referência), provavelmente causada por degradação dos elementos piezoelétricos do transdutor.</v>
      </c>
      <c r="B1050" s="3015"/>
      <c r="C1050" s="3015"/>
      <c r="D1050" s="3015"/>
      <c r="E1050" s="3015"/>
      <c r="F1050" s="3015"/>
      <c r="G1050" s="3015"/>
      <c r="H1050" s="3015"/>
      <c r="I1050" s="3015"/>
      <c r="J1050" s="3015"/>
      <c r="K1050" s="1309" t="str">
        <f>IF(L1050&gt;0,"","x")</f>
        <v>x</v>
      </c>
      <c r="L1050" s="940">
        <f>COUNTIF($L$1:$L$980,"Zona focal")</f>
        <v>0</v>
      </c>
    </row>
    <row r="1051" spans="1:12" s="1309" customFormat="1" x14ac:dyDescent="0.25">
      <c r="A1051" s="3015"/>
      <c r="B1051" s="3015"/>
      <c r="C1051" s="3015"/>
      <c r="D1051" s="3015"/>
      <c r="E1051" s="3015"/>
      <c r="F1051" s="3015"/>
      <c r="G1051" s="3015"/>
      <c r="H1051" s="3015"/>
      <c r="I1051" s="3015"/>
      <c r="J1051" s="3015"/>
      <c r="K1051" s="940" t="str">
        <f>K1050</f>
        <v>x</v>
      </c>
    </row>
    <row r="1052" spans="1:12" s="1309" customFormat="1" ht="14.45" customHeight="1" x14ac:dyDescent="0.25">
      <c r="A1052" s="3015" t="str">
        <f>"                O limiar de sensibilidade a baixo contraste está fora de tolerância ("&amp;Ultrassom!F43&amp;"), podendo ser causada por falhas de software ou dos elementos piezoelétricos. Recomenda-se ação corretiva."</f>
        <v xml:space="preserve">                O limiar de sensibilidade a baixo contraste está fora de tolerância (deve ser consistente com o valor de referência), podendo ser causada por falhas de software ou dos elementos piezoelétricos. Recomenda-se ação corretiva.</v>
      </c>
      <c r="B1052" s="3015"/>
      <c r="C1052" s="3015"/>
      <c r="D1052" s="3015"/>
      <c r="E1052" s="3015"/>
      <c r="F1052" s="3015"/>
      <c r="G1052" s="3015"/>
      <c r="H1052" s="3015"/>
      <c r="I1052" s="3015"/>
      <c r="J1052" s="3015"/>
      <c r="K1052" s="1309" t="str">
        <f>IF(L1052&gt;0,"","x")</f>
        <v>x</v>
      </c>
      <c r="L1052" s="940">
        <f>COUNTIF($L$1:$L$980,"Limiar de sensibilidade a baixo contraste")</f>
        <v>0</v>
      </c>
    </row>
    <row r="1053" spans="1:12" s="1400" customFormat="1" ht="14.45" customHeight="1" x14ac:dyDescent="0.25">
      <c r="A1053" s="3015"/>
      <c r="B1053" s="3015"/>
      <c r="C1053" s="3015"/>
      <c r="D1053" s="3015"/>
      <c r="E1053" s="3015"/>
      <c r="F1053" s="3015"/>
      <c r="G1053" s="3015"/>
      <c r="H1053" s="3015"/>
      <c r="I1053" s="3015"/>
      <c r="J1053" s="3015"/>
      <c r="K1053" s="1400" t="str">
        <f>K1052</f>
        <v>x</v>
      </c>
      <c r="L1053" s="940"/>
    </row>
    <row r="1054" spans="1:12" s="1309" customFormat="1" x14ac:dyDescent="0.25">
      <c r="A1054" s="3015"/>
      <c r="B1054" s="3015"/>
      <c r="C1054" s="3015"/>
      <c r="D1054" s="3015"/>
      <c r="E1054" s="3015"/>
      <c r="F1054" s="3015"/>
      <c r="G1054" s="3015"/>
      <c r="H1054" s="3015"/>
      <c r="I1054" s="3015"/>
      <c r="J1054" s="3015"/>
      <c r="K1054" s="940" t="str">
        <f>K1053</f>
        <v>x</v>
      </c>
    </row>
    <row r="1055" spans="1:12" s="1309" customFormat="1" ht="14.45" customHeight="1" x14ac:dyDescent="0.25">
      <c r="A1055" s="3015" t="str">
        <f>"                A precisão (accuracy) da velocidade em modo doppler está fora de tolerância ("&amp;Ultrassom!F103*100&amp;" %), podendo ser causada por falhas de software ou dos elementos piezoelétricos. Recomenda-se ação corretiva."</f>
        <v xml:space="preserve">                A precisão (accuracy) da velocidade em modo doppler está fora de tolerância (10 %), podendo ser causada por falhas de software ou dos elementos piezoelétricos. Recomenda-se ação corretiva.</v>
      </c>
      <c r="B1055" s="3015"/>
      <c r="C1055" s="3015"/>
      <c r="D1055" s="3015"/>
      <c r="E1055" s="3015"/>
      <c r="F1055" s="3015"/>
      <c r="G1055" s="3015"/>
      <c r="H1055" s="3015"/>
      <c r="I1055" s="3015"/>
      <c r="J1055" s="3015"/>
      <c r="K1055" s="1309" t="str">
        <f>IF(L1055&gt;0,"","x")</f>
        <v>x</v>
      </c>
      <c r="L1055" s="940">
        <f>COUNTIF($L$1:$L$980,"Precisão da velocidade em modo doppler")</f>
        <v>0</v>
      </c>
    </row>
    <row r="1056" spans="1:12" s="1309" customFormat="1" x14ac:dyDescent="0.25">
      <c r="A1056" s="3015"/>
      <c r="B1056" s="3015"/>
      <c r="C1056" s="3015"/>
      <c r="D1056" s="3015"/>
      <c r="E1056" s="3015"/>
      <c r="F1056" s="3015"/>
      <c r="G1056" s="3015"/>
      <c r="H1056" s="3015"/>
      <c r="I1056" s="3015"/>
      <c r="J1056" s="3015"/>
      <c r="K1056" s="940" t="str">
        <f>K1055</f>
        <v>x</v>
      </c>
    </row>
    <row r="1057" spans="1:12" s="1309" customFormat="1" x14ac:dyDescent="0.25">
      <c r="A1057" s="3015" t="str">
        <f>"                A sensibilidade do modo doppler está fora de tolerância ("&amp;Ultrassom!D112*100&amp;" %), podendo ser causada por falhas de software ou dos elementos piezoelétricos. Recomenda-se ação corretiva."</f>
        <v xml:space="preserve">                A sensibilidade do modo doppler está fora de tolerância (10 %), podendo ser causada por falhas de software ou dos elementos piezoelétricos. Recomenda-se ação corretiva.</v>
      </c>
      <c r="B1057" s="3015"/>
      <c r="C1057" s="3015"/>
      <c r="D1057" s="3015"/>
      <c r="E1057" s="3015"/>
      <c r="F1057" s="3015"/>
      <c r="G1057" s="3015"/>
      <c r="H1057" s="3015"/>
      <c r="I1057" s="3015"/>
      <c r="J1057" s="3015"/>
      <c r="K1057" s="1309" t="str">
        <f>IF(L1057&gt;0,"","x")</f>
        <v>x</v>
      </c>
      <c r="L1057" s="940">
        <f>COUNTIF($L$1:$L$980,"Sensibilidade do modo doppler")</f>
        <v>0</v>
      </c>
    </row>
    <row r="1058" spans="1:12" s="1309" customFormat="1" x14ac:dyDescent="0.25">
      <c r="A1058" s="3015"/>
      <c r="B1058" s="3015"/>
      <c r="C1058" s="3015"/>
      <c r="D1058" s="3015"/>
      <c r="E1058" s="3015"/>
      <c r="F1058" s="3015"/>
      <c r="G1058" s="3015"/>
      <c r="H1058" s="3015"/>
      <c r="I1058" s="3015"/>
      <c r="J1058" s="3015"/>
      <c r="K1058" s="940" t="str">
        <f>K1057</f>
        <v>x</v>
      </c>
    </row>
    <row r="1059" spans="1:12" s="1309" customFormat="1" x14ac:dyDescent="0.25">
      <c r="A1059" s="1326"/>
      <c r="B1059" s="1326"/>
      <c r="C1059" s="1326"/>
      <c r="D1059" s="1326"/>
      <c r="E1059" s="1326"/>
      <c r="F1059" s="1326"/>
      <c r="G1059" s="1326"/>
      <c r="H1059" s="1326"/>
      <c r="I1059" s="1326"/>
      <c r="J1059" s="1326"/>
      <c r="K1059" s="940"/>
    </row>
    <row r="1060" spans="1:12" x14ac:dyDescent="0.25">
      <c r="A1060" s="3015" t="str">
        <f>"                Para os demais itens avaliados o equipamento atende aos requisitos da Instrução Normativa "&amp;VLOOKUP("Ultrassom",IN_ANVISA[],2)&amp;"/"&amp;VLOOKUP("Ultrassom",IN_ANVISA[],3)&amp;" da ANVISA."</f>
        <v xml:space="preserve">                Para os demais itens avaliados o equipamento atende aos requisitos da Instrução Normativa 96/2021 da ANVISA.</v>
      </c>
      <c r="B1060" s="3015"/>
      <c r="C1060" s="3015"/>
      <c r="D1060" s="3015"/>
      <c r="E1060" s="3015"/>
      <c r="F1060" s="3015"/>
      <c r="G1060" s="3015"/>
      <c r="H1060" s="3015"/>
      <c r="I1060" s="3015"/>
      <c r="J1060" s="3015"/>
      <c r="K1060" s="940" t="str">
        <f>IF(COUNTIF(K1033:K1058,"")&gt;0,"","x")</f>
        <v>x</v>
      </c>
    </row>
    <row r="1061" spans="1:12" x14ac:dyDescent="0.25">
      <c r="A1061" s="3015"/>
      <c r="B1061" s="3015"/>
      <c r="C1061" s="3015"/>
      <c r="D1061" s="3015"/>
      <c r="E1061" s="3015"/>
      <c r="F1061" s="3015"/>
      <c r="G1061" s="3015"/>
      <c r="H1061" s="3015"/>
      <c r="I1061" s="3015"/>
      <c r="J1061" s="3015"/>
      <c r="K1061" s="940" t="str">
        <f>K1060</f>
        <v>x</v>
      </c>
    </row>
    <row r="1062" spans="1:12" x14ac:dyDescent="0.25">
      <c r="A1062" s="3015" t="str">
        <f>"                Para os itens testados o equipamento atende aos requisitos da Instrução Normativa "&amp;VLOOKUP("Ultrassom",IN_ANVISA[],2)&amp;"/"&amp;VLOOKUP("Ultrassom",IN_ANVISA[],3)&amp;" da ANVISA."</f>
        <v xml:space="preserve">                Para os itens testados o equipamento atende aos requisitos da Instrução Normativa 96/2021 da ANVISA.</v>
      </c>
      <c r="B1062" s="3015"/>
      <c r="C1062" s="3015"/>
      <c r="D1062" s="3015"/>
      <c r="E1062" s="3015"/>
      <c r="F1062" s="3015"/>
      <c r="G1062" s="3015"/>
      <c r="H1062" s="3015"/>
      <c r="I1062" s="3015"/>
      <c r="J1062" s="3015"/>
      <c r="K1062" s="940" t="str">
        <f>IF(K32="",IF(K1060="","x",""),"x")</f>
        <v>x</v>
      </c>
    </row>
    <row r="1063" spans="1:12" x14ac:dyDescent="0.25">
      <c r="A1063" s="3015"/>
      <c r="B1063" s="3015"/>
      <c r="C1063" s="3015"/>
      <c r="D1063" s="3015"/>
      <c r="E1063" s="3015"/>
      <c r="F1063" s="3015"/>
      <c r="G1063" s="3015"/>
      <c r="H1063" s="3015"/>
      <c r="I1063" s="3015"/>
      <c r="J1063" s="3015"/>
      <c r="K1063" s="940" t="str">
        <f>K1062</f>
        <v>x</v>
      </c>
    </row>
    <row r="1064" spans="1:12" x14ac:dyDescent="0.25">
      <c r="A1064" s="3016" t="str">
        <f>"                 O equipamento atende aos requisitos da Instrução Normativa "&amp;VLOOKUP("Ultrassom",IN_ANVISA[],2)&amp;"/"&amp;VLOOKUP("Ultrassom",IN_ANVISA[],3)&amp;" da ANVISA."</f>
        <v xml:space="preserve">                 O equipamento atende aos requisitos da Instrução Normativa 96/2021 da ANVISA.</v>
      </c>
      <c r="B1064" s="3016"/>
      <c r="C1064" s="3016"/>
      <c r="D1064" s="3016"/>
      <c r="E1064" s="3016"/>
      <c r="F1064" s="3016"/>
      <c r="G1064" s="3016"/>
      <c r="H1064" s="3016"/>
      <c r="I1064" s="3016"/>
      <c r="J1064" s="3016"/>
      <c r="K1064" s="940" t="str">
        <f>IF(AND(K1060="x",K1062="x"),"","x")</f>
        <v/>
      </c>
    </row>
    <row r="1065" spans="1:12" x14ac:dyDescent="0.25">
      <c r="A1065" s="3016"/>
      <c r="B1065" s="3016"/>
      <c r="C1065" s="3016"/>
      <c r="D1065" s="3016"/>
      <c r="E1065" s="3016"/>
      <c r="F1065" s="3016"/>
      <c r="G1065" s="3016"/>
      <c r="H1065" s="3016"/>
      <c r="I1065" s="3016"/>
      <c r="J1065" s="3016"/>
      <c r="K1065" s="940" t="str">
        <f>K1064</f>
        <v/>
      </c>
    </row>
    <row r="1066" spans="1:12" x14ac:dyDescent="0.25">
      <c r="A1066" s="940"/>
      <c r="B1066" s="940"/>
      <c r="C1066" s="940"/>
      <c r="D1066" s="940"/>
      <c r="E1066" s="940"/>
      <c r="F1066" s="940"/>
      <c r="G1066" s="940"/>
      <c r="H1066" s="940"/>
      <c r="I1066" s="940"/>
      <c r="J1066" s="940"/>
      <c r="K1066" s="940"/>
    </row>
    <row r="1067" spans="1:12" x14ac:dyDescent="0.25">
      <c r="A1067" s="940"/>
      <c r="B1067" s="940"/>
      <c r="C1067" s="940"/>
      <c r="D1067" s="940"/>
      <c r="E1067" s="940"/>
      <c r="F1067" s="940"/>
      <c r="G1067" s="940"/>
      <c r="H1067" s="940"/>
      <c r="I1067" s="940"/>
      <c r="J1067" s="940"/>
      <c r="K1067" s="940"/>
    </row>
  </sheetData>
  <sheetProtection selectLockedCells="1" autoFilter="0"/>
  <autoFilter ref="K1:K1108"/>
  <mergeCells count="762">
    <mergeCell ref="A41:D41"/>
    <mergeCell ref="E41:J41"/>
    <mergeCell ref="C17:J17"/>
    <mergeCell ref="A22:J23"/>
    <mergeCell ref="A28:J29"/>
    <mergeCell ref="A30:J31"/>
    <mergeCell ref="A36:C36"/>
    <mergeCell ref="D36:F36"/>
    <mergeCell ref="G36:H36"/>
    <mergeCell ref="A24:J25"/>
    <mergeCell ref="A32:J33"/>
    <mergeCell ref="A1:D1"/>
    <mergeCell ref="E1:H1"/>
    <mergeCell ref="A3:J3"/>
    <mergeCell ref="A5:J5"/>
    <mergeCell ref="C9:J10"/>
    <mergeCell ref="C12:J13"/>
    <mergeCell ref="A37:C38"/>
    <mergeCell ref="D37:F38"/>
    <mergeCell ref="G37:H38"/>
    <mergeCell ref="I37:J38"/>
    <mergeCell ref="I36:J36"/>
    <mergeCell ref="A112:F112"/>
    <mergeCell ref="G112:H112"/>
    <mergeCell ref="A113:F113"/>
    <mergeCell ref="G113:H113"/>
    <mergeCell ref="A114:J115"/>
    <mergeCell ref="A98:F98"/>
    <mergeCell ref="G98:H98"/>
    <mergeCell ref="A101:F101"/>
    <mergeCell ref="G101:H101"/>
    <mergeCell ref="A107:F107"/>
    <mergeCell ref="G107:H107"/>
    <mergeCell ref="A104:F104"/>
    <mergeCell ref="G104:H104"/>
    <mergeCell ref="A105:F105"/>
    <mergeCell ref="G105:H105"/>
    <mergeCell ref="A102:F102"/>
    <mergeCell ref="G102:H102"/>
    <mergeCell ref="A103:F103"/>
    <mergeCell ref="G103:H103"/>
    <mergeCell ref="A99:F99"/>
    <mergeCell ref="G99:H99"/>
    <mergeCell ref="A100:F100"/>
    <mergeCell ref="G100:H100"/>
    <mergeCell ref="A87:F87"/>
    <mergeCell ref="G87:H87"/>
    <mergeCell ref="A89:F89"/>
    <mergeCell ref="G89:H89"/>
    <mergeCell ref="G88:H88"/>
    <mergeCell ref="A59:F59"/>
    <mergeCell ref="G59:J59"/>
    <mergeCell ref="A60:F60"/>
    <mergeCell ref="G60:J60"/>
    <mergeCell ref="A61:F61"/>
    <mergeCell ref="G61:J61"/>
    <mergeCell ref="E81:G81"/>
    <mergeCell ref="A64:D64"/>
    <mergeCell ref="I79:J79"/>
    <mergeCell ref="I80:J80"/>
    <mergeCell ref="I64:J64"/>
    <mergeCell ref="E65:G65"/>
    <mergeCell ref="E64:G64"/>
    <mergeCell ref="E66:G66"/>
    <mergeCell ref="E68:G68"/>
    <mergeCell ref="E69:G69"/>
    <mergeCell ref="E70:G70"/>
    <mergeCell ref="E71:G71"/>
    <mergeCell ref="A96:F96"/>
    <mergeCell ref="G96:H96"/>
    <mergeCell ref="A106:F106"/>
    <mergeCell ref="G106:H106"/>
    <mergeCell ref="A88:F88"/>
    <mergeCell ref="A97:F97"/>
    <mergeCell ref="G97:H97"/>
    <mergeCell ref="A93:F93"/>
    <mergeCell ref="G93:H93"/>
    <mergeCell ref="A94:F94"/>
    <mergeCell ref="G94:H94"/>
    <mergeCell ref="A95:F95"/>
    <mergeCell ref="G95:H95"/>
    <mergeCell ref="A90:F90"/>
    <mergeCell ref="G90:H90"/>
    <mergeCell ref="A91:F91"/>
    <mergeCell ref="G91:H91"/>
    <mergeCell ref="A92:F92"/>
    <mergeCell ref="G92:H92"/>
    <mergeCell ref="A205:F205"/>
    <mergeCell ref="G205:H205"/>
    <mergeCell ref="A206:F206"/>
    <mergeCell ref="G206:H206"/>
    <mergeCell ref="A207:F207"/>
    <mergeCell ref="G207:H207"/>
    <mergeCell ref="A197:F197"/>
    <mergeCell ref="G197:H197"/>
    <mergeCell ref="A84:J85"/>
    <mergeCell ref="A111:F111"/>
    <mergeCell ref="G111:H111"/>
    <mergeCell ref="A108:F108"/>
    <mergeCell ref="G108:H108"/>
    <mergeCell ref="A109:F109"/>
    <mergeCell ref="G109:H109"/>
    <mergeCell ref="G186:H186"/>
    <mergeCell ref="A187:F187"/>
    <mergeCell ref="G187:H187"/>
    <mergeCell ref="A188:F188"/>
    <mergeCell ref="G188:H188"/>
    <mergeCell ref="A189:F189"/>
    <mergeCell ref="A194:F194"/>
    <mergeCell ref="A110:F110"/>
    <mergeCell ref="G110:H110"/>
    <mergeCell ref="A192:F192"/>
    <mergeCell ref="A208:F208"/>
    <mergeCell ref="G208:H208"/>
    <mergeCell ref="A209:F209"/>
    <mergeCell ref="G209:H209"/>
    <mergeCell ref="A198:F198"/>
    <mergeCell ref="G198:H198"/>
    <mergeCell ref="A199:F199"/>
    <mergeCell ref="G199:H199"/>
    <mergeCell ref="A200:F200"/>
    <mergeCell ref="G200:H200"/>
    <mergeCell ref="A201:F201"/>
    <mergeCell ref="G201:H201"/>
    <mergeCell ref="A202:F202"/>
    <mergeCell ref="G202:H202"/>
    <mergeCell ref="G194:H194"/>
    <mergeCell ref="A195:F195"/>
    <mergeCell ref="G195:H195"/>
    <mergeCell ref="A196:F196"/>
    <mergeCell ref="G196:H196"/>
    <mergeCell ref="A203:F203"/>
    <mergeCell ref="G203:H203"/>
    <mergeCell ref="A204:F204"/>
    <mergeCell ref="G204:H204"/>
    <mergeCell ref="G300:H300"/>
    <mergeCell ref="A300:F300"/>
    <mergeCell ref="G299:H299"/>
    <mergeCell ref="A299:F299"/>
    <mergeCell ref="G298:H298"/>
    <mergeCell ref="A298:F298"/>
    <mergeCell ref="G297:H297"/>
    <mergeCell ref="A297:F297"/>
    <mergeCell ref="A375:F375"/>
    <mergeCell ref="G375:H375"/>
    <mergeCell ref="A306:J307"/>
    <mergeCell ref="A372:J373"/>
    <mergeCell ref="G305:H305"/>
    <mergeCell ref="A305:F305"/>
    <mergeCell ref="G304:H304"/>
    <mergeCell ref="A304:F304"/>
    <mergeCell ref="G303:H303"/>
    <mergeCell ref="A303:F303"/>
    <mergeCell ref="G302:H302"/>
    <mergeCell ref="A302:F302"/>
    <mergeCell ref="G301:H301"/>
    <mergeCell ref="A301:F301"/>
    <mergeCell ref="A376:F376"/>
    <mergeCell ref="G376:H376"/>
    <mergeCell ref="A377:F377"/>
    <mergeCell ref="G377:H377"/>
    <mergeCell ref="G282:H282"/>
    <mergeCell ref="A282:F282"/>
    <mergeCell ref="G281:H281"/>
    <mergeCell ref="A281:F281"/>
    <mergeCell ref="G287:H287"/>
    <mergeCell ref="A287:F287"/>
    <mergeCell ref="G286:H286"/>
    <mergeCell ref="A286:F286"/>
    <mergeCell ref="G285:H285"/>
    <mergeCell ref="A285:F285"/>
    <mergeCell ref="G284:H284"/>
    <mergeCell ref="A284:F284"/>
    <mergeCell ref="G283:H283"/>
    <mergeCell ref="A283:F283"/>
    <mergeCell ref="G291:H291"/>
    <mergeCell ref="A291:F291"/>
    <mergeCell ref="G290:H290"/>
    <mergeCell ref="A290:F290"/>
    <mergeCell ref="G289:H289"/>
    <mergeCell ref="A289:F289"/>
    <mergeCell ref="A383:F383"/>
    <mergeCell ref="G383:H383"/>
    <mergeCell ref="A384:F384"/>
    <mergeCell ref="G384:H384"/>
    <mergeCell ref="A385:F385"/>
    <mergeCell ref="G385:H385"/>
    <mergeCell ref="A386:F386"/>
    <mergeCell ref="G386:H386"/>
    <mergeCell ref="A378:F378"/>
    <mergeCell ref="G378:H378"/>
    <mergeCell ref="A379:F379"/>
    <mergeCell ref="G379:H379"/>
    <mergeCell ref="A380:F380"/>
    <mergeCell ref="G380:H380"/>
    <mergeCell ref="A381:F381"/>
    <mergeCell ref="G381:H381"/>
    <mergeCell ref="A382:F382"/>
    <mergeCell ref="G382:H382"/>
    <mergeCell ref="A387:F387"/>
    <mergeCell ref="G387:H387"/>
    <mergeCell ref="A388:F388"/>
    <mergeCell ref="G388:H388"/>
    <mergeCell ref="A389:F389"/>
    <mergeCell ref="G389:H389"/>
    <mergeCell ref="A390:F390"/>
    <mergeCell ref="G390:H390"/>
    <mergeCell ref="A391:F391"/>
    <mergeCell ref="G391:H391"/>
    <mergeCell ref="A392:F392"/>
    <mergeCell ref="G392:H392"/>
    <mergeCell ref="A393:F393"/>
    <mergeCell ref="G393:H393"/>
    <mergeCell ref="A394:F394"/>
    <mergeCell ref="G394:H394"/>
    <mergeCell ref="A395:F395"/>
    <mergeCell ref="G395:H395"/>
    <mergeCell ref="A396:F396"/>
    <mergeCell ref="G396:H396"/>
    <mergeCell ref="A471:F471"/>
    <mergeCell ref="G471:H471"/>
    <mergeCell ref="A397:F397"/>
    <mergeCell ref="G397:H397"/>
    <mergeCell ref="A398:F398"/>
    <mergeCell ref="G398:H398"/>
    <mergeCell ref="A399:F399"/>
    <mergeCell ref="G399:H399"/>
    <mergeCell ref="A400:F400"/>
    <mergeCell ref="G400:H400"/>
    <mergeCell ref="A401:F401"/>
    <mergeCell ref="G401:H401"/>
    <mergeCell ref="A402:J403"/>
    <mergeCell ref="A468:J469"/>
    <mergeCell ref="A472:F472"/>
    <mergeCell ref="G472:H472"/>
    <mergeCell ref="A473:F473"/>
    <mergeCell ref="G473:H473"/>
    <mergeCell ref="A474:F474"/>
    <mergeCell ref="G474:H474"/>
    <mergeCell ref="A475:F475"/>
    <mergeCell ref="G475:H475"/>
    <mergeCell ref="A476:F476"/>
    <mergeCell ref="G476:H476"/>
    <mergeCell ref="A477:F477"/>
    <mergeCell ref="G477:H477"/>
    <mergeCell ref="A478:F478"/>
    <mergeCell ref="G478:H478"/>
    <mergeCell ref="A479:F479"/>
    <mergeCell ref="G479:H479"/>
    <mergeCell ref="A480:F480"/>
    <mergeCell ref="G480:H480"/>
    <mergeCell ref="A481:F481"/>
    <mergeCell ref="G481:H481"/>
    <mergeCell ref="G490:H490"/>
    <mergeCell ref="A482:F482"/>
    <mergeCell ref="G482:H482"/>
    <mergeCell ref="A483:F483"/>
    <mergeCell ref="G483:H483"/>
    <mergeCell ref="A484:F484"/>
    <mergeCell ref="G484:H484"/>
    <mergeCell ref="A485:F485"/>
    <mergeCell ref="G485:H485"/>
    <mergeCell ref="A486:F486"/>
    <mergeCell ref="G486:H486"/>
    <mergeCell ref="A487:F487"/>
    <mergeCell ref="G487:H487"/>
    <mergeCell ref="A488:F488"/>
    <mergeCell ref="G488:H488"/>
    <mergeCell ref="A489:F489"/>
    <mergeCell ref="G489:H489"/>
    <mergeCell ref="A490:F490"/>
    <mergeCell ref="A567:F567"/>
    <mergeCell ref="G567:H567"/>
    <mergeCell ref="A568:F568"/>
    <mergeCell ref="G568:H568"/>
    <mergeCell ref="A569:F569"/>
    <mergeCell ref="G569:H569"/>
    <mergeCell ref="A564:J565"/>
    <mergeCell ref="A496:F496"/>
    <mergeCell ref="G496:H496"/>
    <mergeCell ref="A497:F497"/>
    <mergeCell ref="G497:H497"/>
    <mergeCell ref="A498:J499"/>
    <mergeCell ref="A575:F575"/>
    <mergeCell ref="G575:H575"/>
    <mergeCell ref="A576:F576"/>
    <mergeCell ref="G576:H576"/>
    <mergeCell ref="A577:F577"/>
    <mergeCell ref="G577:H577"/>
    <mergeCell ref="A578:F578"/>
    <mergeCell ref="G578:H578"/>
    <mergeCell ref="A570:F570"/>
    <mergeCell ref="G570:H570"/>
    <mergeCell ref="A571:F571"/>
    <mergeCell ref="G571:H571"/>
    <mergeCell ref="A572:F572"/>
    <mergeCell ref="G572:H572"/>
    <mergeCell ref="A573:F573"/>
    <mergeCell ref="G573:H573"/>
    <mergeCell ref="A574:F574"/>
    <mergeCell ref="G574:H574"/>
    <mergeCell ref="A579:F579"/>
    <mergeCell ref="G579:H579"/>
    <mergeCell ref="A580:F580"/>
    <mergeCell ref="G580:H580"/>
    <mergeCell ref="A581:F581"/>
    <mergeCell ref="G581:H581"/>
    <mergeCell ref="A582:F582"/>
    <mergeCell ref="G582:H582"/>
    <mergeCell ref="A583:F583"/>
    <mergeCell ref="G583:H583"/>
    <mergeCell ref="A584:F584"/>
    <mergeCell ref="G584:H584"/>
    <mergeCell ref="A585:F585"/>
    <mergeCell ref="G585:H585"/>
    <mergeCell ref="A586:F586"/>
    <mergeCell ref="G586:H586"/>
    <mergeCell ref="A587:F587"/>
    <mergeCell ref="G587:H587"/>
    <mergeCell ref="A588:F588"/>
    <mergeCell ref="G588:H588"/>
    <mergeCell ref="A663:F663"/>
    <mergeCell ref="G663:H663"/>
    <mergeCell ref="A594:J595"/>
    <mergeCell ref="A660:J661"/>
    <mergeCell ref="A589:F589"/>
    <mergeCell ref="G589:H589"/>
    <mergeCell ref="A590:F590"/>
    <mergeCell ref="G590:H590"/>
    <mergeCell ref="A591:F591"/>
    <mergeCell ref="G591:H591"/>
    <mergeCell ref="A592:F592"/>
    <mergeCell ref="G592:H592"/>
    <mergeCell ref="A593:F593"/>
    <mergeCell ref="G593:H593"/>
    <mergeCell ref="A664:F664"/>
    <mergeCell ref="G664:H664"/>
    <mergeCell ref="A665:F665"/>
    <mergeCell ref="G665:H665"/>
    <mergeCell ref="A666:F666"/>
    <mergeCell ref="G666:H666"/>
    <mergeCell ref="A667:F667"/>
    <mergeCell ref="G667:H667"/>
    <mergeCell ref="A668:F668"/>
    <mergeCell ref="G668:H668"/>
    <mergeCell ref="A674:F674"/>
    <mergeCell ref="G674:H674"/>
    <mergeCell ref="A675:F675"/>
    <mergeCell ref="G675:H675"/>
    <mergeCell ref="A676:F676"/>
    <mergeCell ref="G676:H676"/>
    <mergeCell ref="A677:F677"/>
    <mergeCell ref="G677:H677"/>
    <mergeCell ref="A669:F669"/>
    <mergeCell ref="G669:H669"/>
    <mergeCell ref="A670:F670"/>
    <mergeCell ref="G670:H670"/>
    <mergeCell ref="A671:F671"/>
    <mergeCell ref="G671:H671"/>
    <mergeCell ref="A672:F672"/>
    <mergeCell ref="G672:H672"/>
    <mergeCell ref="A673:F673"/>
    <mergeCell ref="G673:H673"/>
    <mergeCell ref="A678:F678"/>
    <mergeCell ref="G678:H678"/>
    <mergeCell ref="A679:F679"/>
    <mergeCell ref="G679:H679"/>
    <mergeCell ref="A680:F680"/>
    <mergeCell ref="G680:H680"/>
    <mergeCell ref="A681:F681"/>
    <mergeCell ref="G681:H681"/>
    <mergeCell ref="A682:F682"/>
    <mergeCell ref="G682:H682"/>
    <mergeCell ref="A683:F683"/>
    <mergeCell ref="G683:H683"/>
    <mergeCell ref="A684:F684"/>
    <mergeCell ref="G684:H684"/>
    <mergeCell ref="A685:F685"/>
    <mergeCell ref="G685:H685"/>
    <mergeCell ref="A686:F686"/>
    <mergeCell ref="G686:H686"/>
    <mergeCell ref="A687:F687"/>
    <mergeCell ref="G687:H687"/>
    <mergeCell ref="A759:F759"/>
    <mergeCell ref="G759:H759"/>
    <mergeCell ref="A760:F760"/>
    <mergeCell ref="G760:H760"/>
    <mergeCell ref="A761:F761"/>
    <mergeCell ref="G761:H761"/>
    <mergeCell ref="A688:F688"/>
    <mergeCell ref="G688:H688"/>
    <mergeCell ref="A689:F689"/>
    <mergeCell ref="G689:H689"/>
    <mergeCell ref="A767:F767"/>
    <mergeCell ref="G767:H767"/>
    <mergeCell ref="A768:F768"/>
    <mergeCell ref="G768:H768"/>
    <mergeCell ref="A769:F769"/>
    <mergeCell ref="G769:H769"/>
    <mergeCell ref="A770:F770"/>
    <mergeCell ref="G770:H770"/>
    <mergeCell ref="A762:F762"/>
    <mergeCell ref="G762:H762"/>
    <mergeCell ref="A763:F763"/>
    <mergeCell ref="G763:H763"/>
    <mergeCell ref="A764:F764"/>
    <mergeCell ref="G764:H764"/>
    <mergeCell ref="A765:F765"/>
    <mergeCell ref="G765:H765"/>
    <mergeCell ref="A766:F766"/>
    <mergeCell ref="G766:H766"/>
    <mergeCell ref="A771:F771"/>
    <mergeCell ref="G771:H771"/>
    <mergeCell ref="A772:F772"/>
    <mergeCell ref="G772:H772"/>
    <mergeCell ref="A773:F773"/>
    <mergeCell ref="G773:H773"/>
    <mergeCell ref="A774:F774"/>
    <mergeCell ref="G774:H774"/>
    <mergeCell ref="A775:F775"/>
    <mergeCell ref="G775:H775"/>
    <mergeCell ref="A776:F776"/>
    <mergeCell ref="G776:H776"/>
    <mergeCell ref="A777:F777"/>
    <mergeCell ref="G777:H777"/>
    <mergeCell ref="A778:F778"/>
    <mergeCell ref="G778:H778"/>
    <mergeCell ref="A779:F779"/>
    <mergeCell ref="G779:H779"/>
    <mergeCell ref="A780:F780"/>
    <mergeCell ref="G780:H780"/>
    <mergeCell ref="A855:F855"/>
    <mergeCell ref="G855:H855"/>
    <mergeCell ref="A781:F781"/>
    <mergeCell ref="G781:H781"/>
    <mergeCell ref="A782:F782"/>
    <mergeCell ref="G782:H782"/>
    <mergeCell ref="A783:F783"/>
    <mergeCell ref="G783:H783"/>
    <mergeCell ref="A784:F784"/>
    <mergeCell ref="G784:H784"/>
    <mergeCell ref="A785:F785"/>
    <mergeCell ref="G785:H785"/>
    <mergeCell ref="A786:J787"/>
    <mergeCell ref="A852:J853"/>
    <mergeCell ref="A856:F856"/>
    <mergeCell ref="G856:H856"/>
    <mergeCell ref="A857:F857"/>
    <mergeCell ref="G857:H857"/>
    <mergeCell ref="A858:F858"/>
    <mergeCell ref="G858:H858"/>
    <mergeCell ref="A859:F859"/>
    <mergeCell ref="G859:H859"/>
    <mergeCell ref="A860:F860"/>
    <mergeCell ref="G860:H860"/>
    <mergeCell ref="A866:F866"/>
    <mergeCell ref="G866:H866"/>
    <mergeCell ref="A867:F867"/>
    <mergeCell ref="G867:H867"/>
    <mergeCell ref="A868:F868"/>
    <mergeCell ref="G868:H868"/>
    <mergeCell ref="A869:F869"/>
    <mergeCell ref="G869:H869"/>
    <mergeCell ref="A861:F861"/>
    <mergeCell ref="G861:H861"/>
    <mergeCell ref="A862:F862"/>
    <mergeCell ref="G862:H862"/>
    <mergeCell ref="A863:F863"/>
    <mergeCell ref="G863:H863"/>
    <mergeCell ref="A864:F864"/>
    <mergeCell ref="G864:H864"/>
    <mergeCell ref="A865:F865"/>
    <mergeCell ref="G865:H865"/>
    <mergeCell ref="A870:F870"/>
    <mergeCell ref="G870:H870"/>
    <mergeCell ref="A871:F871"/>
    <mergeCell ref="G871:H871"/>
    <mergeCell ref="A872:F872"/>
    <mergeCell ref="G872:H872"/>
    <mergeCell ref="A873:F873"/>
    <mergeCell ref="G873:H873"/>
    <mergeCell ref="A874:F874"/>
    <mergeCell ref="G874:H874"/>
    <mergeCell ref="A948:J949"/>
    <mergeCell ref="A880:F880"/>
    <mergeCell ref="G880:H880"/>
    <mergeCell ref="A881:F881"/>
    <mergeCell ref="G881:H881"/>
    <mergeCell ref="A875:F875"/>
    <mergeCell ref="G875:H875"/>
    <mergeCell ref="A876:F876"/>
    <mergeCell ref="G876:H876"/>
    <mergeCell ref="A877:F877"/>
    <mergeCell ref="G877:H877"/>
    <mergeCell ref="A878:F878"/>
    <mergeCell ref="G878:H878"/>
    <mergeCell ref="A879:F879"/>
    <mergeCell ref="G879:H879"/>
    <mergeCell ref="A882:J883"/>
    <mergeCell ref="A957:F957"/>
    <mergeCell ref="G957:H957"/>
    <mergeCell ref="A958:F958"/>
    <mergeCell ref="G958:H958"/>
    <mergeCell ref="A951:F951"/>
    <mergeCell ref="G951:H951"/>
    <mergeCell ref="A952:F952"/>
    <mergeCell ref="G952:H952"/>
    <mergeCell ref="A953:F953"/>
    <mergeCell ref="G953:H953"/>
    <mergeCell ref="A954:F954"/>
    <mergeCell ref="G954:H954"/>
    <mergeCell ref="A955:F955"/>
    <mergeCell ref="G955:H955"/>
    <mergeCell ref="A956:F956"/>
    <mergeCell ref="G956:H956"/>
    <mergeCell ref="A1062:J1063"/>
    <mergeCell ref="A1064:J1065"/>
    <mergeCell ref="A1060:J1061"/>
    <mergeCell ref="A982:J983"/>
    <mergeCell ref="A984:J985"/>
    <mergeCell ref="A1033:J1034"/>
    <mergeCell ref="A990:J992"/>
    <mergeCell ref="A995:J997"/>
    <mergeCell ref="A1052:J1054"/>
    <mergeCell ref="A1055:J1056"/>
    <mergeCell ref="A1057:J1058"/>
    <mergeCell ref="A1039:J1040"/>
    <mergeCell ref="A1035:J1036"/>
    <mergeCell ref="A1041:J1042"/>
    <mergeCell ref="A1043:J1044"/>
    <mergeCell ref="A1045:J1046"/>
    <mergeCell ref="A1047:J1049"/>
    <mergeCell ref="A1050:J1051"/>
    <mergeCell ref="A1037:J1038"/>
    <mergeCell ref="A993:J994"/>
    <mergeCell ref="A988:J989"/>
    <mergeCell ref="A1003:J1007"/>
    <mergeCell ref="I1014:J1014"/>
    <mergeCell ref="I1015:J1015"/>
    <mergeCell ref="G288:H288"/>
    <mergeCell ref="A288:F288"/>
    <mergeCell ref="G296:H296"/>
    <mergeCell ref="A296:F296"/>
    <mergeCell ref="G295:H295"/>
    <mergeCell ref="A295:F295"/>
    <mergeCell ref="G294:H294"/>
    <mergeCell ref="A294:F294"/>
    <mergeCell ref="G293:H293"/>
    <mergeCell ref="A293:F293"/>
    <mergeCell ref="G292:H292"/>
    <mergeCell ref="A292:F292"/>
    <mergeCell ref="A180:J181"/>
    <mergeCell ref="A210:J211"/>
    <mergeCell ref="A276:J277"/>
    <mergeCell ref="L6:M6"/>
    <mergeCell ref="L2:M5"/>
    <mergeCell ref="G280:H280"/>
    <mergeCell ref="A280:F280"/>
    <mergeCell ref="G279:H279"/>
    <mergeCell ref="A279:F279"/>
    <mergeCell ref="G183:H183"/>
    <mergeCell ref="A183:F183"/>
    <mergeCell ref="G191:H191"/>
    <mergeCell ref="A191:F191"/>
    <mergeCell ref="G190:H190"/>
    <mergeCell ref="A190:F190"/>
    <mergeCell ref="G189:H189"/>
    <mergeCell ref="A186:F186"/>
    <mergeCell ref="G185:H185"/>
    <mergeCell ref="A185:F185"/>
    <mergeCell ref="G184:H184"/>
    <mergeCell ref="A184:F184"/>
    <mergeCell ref="G193:H193"/>
    <mergeCell ref="A193:F193"/>
    <mergeCell ref="G192:H192"/>
    <mergeCell ref="A977:F977"/>
    <mergeCell ref="G977:H977"/>
    <mergeCell ref="A491:F491"/>
    <mergeCell ref="G491:H491"/>
    <mergeCell ref="A492:F492"/>
    <mergeCell ref="G492:H492"/>
    <mergeCell ref="A493:F493"/>
    <mergeCell ref="G493:H493"/>
    <mergeCell ref="A494:F494"/>
    <mergeCell ref="G494:H494"/>
    <mergeCell ref="A495:F495"/>
    <mergeCell ref="G495:H495"/>
    <mergeCell ref="G971:H971"/>
    <mergeCell ref="A972:F972"/>
    <mergeCell ref="G972:H972"/>
    <mergeCell ref="A963:F963"/>
    <mergeCell ref="G963:H963"/>
    <mergeCell ref="A964:F964"/>
    <mergeCell ref="G964:H964"/>
    <mergeCell ref="A965:F965"/>
    <mergeCell ref="G965:H965"/>
    <mergeCell ref="A966:F966"/>
    <mergeCell ref="G966:H966"/>
    <mergeCell ref="A967:F967"/>
    <mergeCell ref="A971:F971"/>
    <mergeCell ref="A973:F973"/>
    <mergeCell ref="G973:H973"/>
    <mergeCell ref="A974:F974"/>
    <mergeCell ref="G974:H974"/>
    <mergeCell ref="A975:F975"/>
    <mergeCell ref="G975:H975"/>
    <mergeCell ref="A976:F976"/>
    <mergeCell ref="G976:H976"/>
    <mergeCell ref="A968:F968"/>
    <mergeCell ref="G968:H968"/>
    <mergeCell ref="A969:F969"/>
    <mergeCell ref="G969:H969"/>
    <mergeCell ref="A970:F970"/>
    <mergeCell ref="G970:H970"/>
    <mergeCell ref="G967:H967"/>
    <mergeCell ref="A959:F959"/>
    <mergeCell ref="G959:H959"/>
    <mergeCell ref="A960:F960"/>
    <mergeCell ref="G960:H960"/>
    <mergeCell ref="A961:F961"/>
    <mergeCell ref="G961:H961"/>
    <mergeCell ref="A962:F962"/>
    <mergeCell ref="G962:H962"/>
    <mergeCell ref="G49:J49"/>
    <mergeCell ref="A50:F50"/>
    <mergeCell ref="G50:J50"/>
    <mergeCell ref="A51:F51"/>
    <mergeCell ref="G51:J51"/>
    <mergeCell ref="A52:F52"/>
    <mergeCell ref="G52:J52"/>
    <mergeCell ref="A53:F53"/>
    <mergeCell ref="G53:J53"/>
    <mergeCell ref="A49:F49"/>
    <mergeCell ref="G54:J54"/>
    <mergeCell ref="A55:F55"/>
    <mergeCell ref="G55:J55"/>
    <mergeCell ref="A56:F56"/>
    <mergeCell ref="G56:J56"/>
    <mergeCell ref="A57:F57"/>
    <mergeCell ref="G57:J57"/>
    <mergeCell ref="A58:F58"/>
    <mergeCell ref="G58:J58"/>
    <mergeCell ref="A54:F54"/>
    <mergeCell ref="I1016:J1016"/>
    <mergeCell ref="I1017:J1017"/>
    <mergeCell ref="I81:J81"/>
    <mergeCell ref="I65:J65"/>
    <mergeCell ref="I1011:J1011"/>
    <mergeCell ref="I1012:J1012"/>
    <mergeCell ref="I1013:J1013"/>
    <mergeCell ref="I66:J66"/>
    <mergeCell ref="I67:J67"/>
    <mergeCell ref="I68:J68"/>
    <mergeCell ref="I69:J69"/>
    <mergeCell ref="I70:J70"/>
    <mergeCell ref="I71:J71"/>
    <mergeCell ref="I72:J72"/>
    <mergeCell ref="I73:J73"/>
    <mergeCell ref="I74:J74"/>
    <mergeCell ref="I75:J75"/>
    <mergeCell ref="I76:J76"/>
    <mergeCell ref="I77:J77"/>
    <mergeCell ref="I78:J78"/>
    <mergeCell ref="A978:J979"/>
    <mergeCell ref="A998:J1000"/>
    <mergeCell ref="A690:J691"/>
    <mergeCell ref="A756:J757"/>
    <mergeCell ref="I1027:J1027"/>
    <mergeCell ref="I1028:J1028"/>
    <mergeCell ref="I1024:J1024"/>
    <mergeCell ref="I1025:J1025"/>
    <mergeCell ref="I1026:J1026"/>
    <mergeCell ref="I1021:J1021"/>
    <mergeCell ref="I1022:J1022"/>
    <mergeCell ref="I1023:J1023"/>
    <mergeCell ref="I1018:J1018"/>
    <mergeCell ref="I1019:J1019"/>
    <mergeCell ref="I1020:J1020"/>
    <mergeCell ref="A43:D43"/>
    <mergeCell ref="A44:D44"/>
    <mergeCell ref="A45:D45"/>
    <mergeCell ref="A65:D65"/>
    <mergeCell ref="A66:D66"/>
    <mergeCell ref="A67:D67"/>
    <mergeCell ref="A68:D68"/>
    <mergeCell ref="A69:D69"/>
    <mergeCell ref="A70:D70"/>
    <mergeCell ref="U63:AB63"/>
    <mergeCell ref="A74:D74"/>
    <mergeCell ref="A75:D75"/>
    <mergeCell ref="A76:D76"/>
    <mergeCell ref="A77:D77"/>
    <mergeCell ref="A78:D78"/>
    <mergeCell ref="A79:D79"/>
    <mergeCell ref="A80:D80"/>
    <mergeCell ref="A81:D81"/>
    <mergeCell ref="A71:D71"/>
    <mergeCell ref="A72:D72"/>
    <mergeCell ref="A73:D73"/>
    <mergeCell ref="E72:G72"/>
    <mergeCell ref="E73:G73"/>
    <mergeCell ref="E74:G74"/>
    <mergeCell ref="E75:G75"/>
    <mergeCell ref="E76:G76"/>
    <mergeCell ref="E77:G77"/>
    <mergeCell ref="E78:G78"/>
    <mergeCell ref="E79:G79"/>
    <mergeCell ref="E80:G80"/>
    <mergeCell ref="A1011:D1011"/>
    <mergeCell ref="A1012:D1012"/>
    <mergeCell ref="A1013:D1013"/>
    <mergeCell ref="A1014:D1014"/>
    <mergeCell ref="A1015:D1015"/>
    <mergeCell ref="A1016:D1016"/>
    <mergeCell ref="A1017:D1017"/>
    <mergeCell ref="A1018:D1018"/>
    <mergeCell ref="A1019:D1019"/>
    <mergeCell ref="A1020:D1020"/>
    <mergeCell ref="A1021:D1021"/>
    <mergeCell ref="A1022:D1022"/>
    <mergeCell ref="A1023:D1023"/>
    <mergeCell ref="A1024:D1024"/>
    <mergeCell ref="A1025:D1025"/>
    <mergeCell ref="A1026:D1026"/>
    <mergeCell ref="A1027:D1027"/>
    <mergeCell ref="A1028:D1028"/>
    <mergeCell ref="E1011:F1011"/>
    <mergeCell ref="E1012:F1012"/>
    <mergeCell ref="E1013:F1013"/>
    <mergeCell ref="E1014:F1014"/>
    <mergeCell ref="E1015:F1015"/>
    <mergeCell ref="E1016:F1016"/>
    <mergeCell ref="E1017:F1017"/>
    <mergeCell ref="E1018:F1018"/>
    <mergeCell ref="E1019:F1019"/>
    <mergeCell ref="E1020:F1020"/>
    <mergeCell ref="E1021:F1021"/>
    <mergeCell ref="E1022:F1022"/>
    <mergeCell ref="E1023:F1023"/>
    <mergeCell ref="E1024:F1024"/>
    <mergeCell ref="E1025:F1025"/>
    <mergeCell ref="E1026:F1026"/>
    <mergeCell ref="E1027:F1027"/>
    <mergeCell ref="E1028:F1028"/>
    <mergeCell ref="G1011:H1011"/>
    <mergeCell ref="G1012:H1012"/>
    <mergeCell ref="G1013:H1013"/>
    <mergeCell ref="G1014:H1014"/>
    <mergeCell ref="G1015:H1015"/>
    <mergeCell ref="G1016:H1016"/>
    <mergeCell ref="G1017:H1017"/>
    <mergeCell ref="G1018:H1018"/>
    <mergeCell ref="G1019:H1019"/>
    <mergeCell ref="G1020:H1020"/>
    <mergeCell ref="G1021:H1021"/>
    <mergeCell ref="G1022:H1022"/>
    <mergeCell ref="G1023:H1023"/>
    <mergeCell ref="G1024:H1024"/>
    <mergeCell ref="G1025:H1025"/>
    <mergeCell ref="G1026:H1026"/>
    <mergeCell ref="G1027:H1027"/>
    <mergeCell ref="G1028:H1028"/>
  </mergeCells>
  <conditionalFormatting sqref="I89:I92 I95:I98 I101:I102 I105 I107">
    <cfRule type="cellIs" dxfId="550" priority="930" operator="equal">
      <formula>"não"</formula>
    </cfRule>
  </conditionalFormatting>
  <conditionalFormatting sqref="I93:I95">
    <cfRule type="cellIs" dxfId="549" priority="908" operator="equal">
      <formula>"não"</formula>
    </cfRule>
  </conditionalFormatting>
  <conditionalFormatting sqref="I94:I95">
    <cfRule type="cellIs" dxfId="548" priority="907" operator="equal">
      <formula>"não"</formula>
    </cfRule>
  </conditionalFormatting>
  <conditionalFormatting sqref="I89:I98 I101:I102 I105 I107">
    <cfRule type="containsText" dxfId="547" priority="906" operator="containsText" text="não">
      <formula>NOT(ISERROR(SEARCH("não",I89)))</formula>
    </cfRule>
  </conditionalFormatting>
  <conditionalFormatting sqref="I109:I110">
    <cfRule type="cellIs" dxfId="546" priority="859" operator="equal">
      <formula>"Restrição"</formula>
    </cfRule>
  </conditionalFormatting>
  <conditionalFormatting sqref="I89:I98 I101:I102 I105 I107">
    <cfRule type="cellIs" dxfId="545" priority="858" operator="equal">
      <formula>"Restrição"</formula>
    </cfRule>
  </conditionalFormatting>
  <conditionalFormatting sqref="I99">
    <cfRule type="cellIs" dxfId="544" priority="839" operator="equal">
      <formula>"não"</formula>
    </cfRule>
  </conditionalFormatting>
  <conditionalFormatting sqref="I99">
    <cfRule type="containsText" dxfId="543" priority="838" operator="containsText" text="não">
      <formula>NOT(ISERROR(SEARCH("não",I99)))</formula>
    </cfRule>
  </conditionalFormatting>
  <conditionalFormatting sqref="I99">
    <cfRule type="cellIs" dxfId="542" priority="837" operator="equal">
      <formula>"Restrição"</formula>
    </cfRule>
  </conditionalFormatting>
  <conditionalFormatting sqref="I100">
    <cfRule type="cellIs" dxfId="541" priority="836" operator="equal">
      <formula>"não"</formula>
    </cfRule>
  </conditionalFormatting>
  <conditionalFormatting sqref="I100">
    <cfRule type="containsText" dxfId="540" priority="835" operator="containsText" text="não">
      <formula>NOT(ISERROR(SEARCH("não",I100)))</formula>
    </cfRule>
  </conditionalFormatting>
  <conditionalFormatting sqref="I100">
    <cfRule type="cellIs" dxfId="539" priority="834" operator="equal">
      <formula>"Restrição"</formula>
    </cfRule>
  </conditionalFormatting>
  <conditionalFormatting sqref="I103:I104">
    <cfRule type="cellIs" dxfId="538" priority="825" operator="equal">
      <formula>"não"</formula>
    </cfRule>
  </conditionalFormatting>
  <conditionalFormatting sqref="I103:I104">
    <cfRule type="containsText" dxfId="537" priority="824" operator="containsText" text="não">
      <formula>NOT(ISERROR(SEARCH("não",I103)))</formula>
    </cfRule>
  </conditionalFormatting>
  <conditionalFormatting sqref="I103:I104">
    <cfRule type="cellIs" dxfId="536" priority="823" operator="equal">
      <formula>"Restrição"</formula>
    </cfRule>
  </conditionalFormatting>
  <conditionalFormatting sqref="I106">
    <cfRule type="cellIs" dxfId="535" priority="822" operator="equal">
      <formula>"não"</formula>
    </cfRule>
  </conditionalFormatting>
  <conditionalFormatting sqref="I106">
    <cfRule type="containsText" dxfId="534" priority="821" operator="containsText" text="não">
      <formula>NOT(ISERROR(SEARCH("não",I106)))</formula>
    </cfRule>
  </conditionalFormatting>
  <conditionalFormatting sqref="I106">
    <cfRule type="cellIs" dxfId="533" priority="820" operator="equal">
      <formula>"Restrição"</formula>
    </cfRule>
  </conditionalFormatting>
  <conditionalFormatting sqref="I108">
    <cfRule type="cellIs" dxfId="532" priority="819" operator="equal">
      <formula>"não"</formula>
    </cfRule>
  </conditionalFormatting>
  <conditionalFormatting sqref="I108">
    <cfRule type="containsText" dxfId="531" priority="818" operator="containsText" text="não">
      <formula>NOT(ISERROR(SEARCH("não",I108)))</formula>
    </cfRule>
  </conditionalFormatting>
  <conditionalFormatting sqref="I108">
    <cfRule type="cellIs" dxfId="530" priority="817" operator="equal">
      <formula>"Restrição"</formula>
    </cfRule>
  </conditionalFormatting>
  <conditionalFormatting sqref="I111:I113">
    <cfRule type="cellIs" dxfId="529" priority="816" operator="equal">
      <formula>"Restrição"</formula>
    </cfRule>
  </conditionalFormatting>
  <conditionalFormatting sqref="I184">
    <cfRule type="cellIs" dxfId="528" priority="305" operator="equal">
      <formula>"não"</formula>
    </cfRule>
  </conditionalFormatting>
  <conditionalFormatting sqref="I184">
    <cfRule type="containsText" dxfId="527" priority="304" operator="containsText" text="não">
      <formula>NOT(ISERROR(SEARCH("não",I184)))</formula>
    </cfRule>
  </conditionalFormatting>
  <conditionalFormatting sqref="I184">
    <cfRule type="cellIs" dxfId="526" priority="303" operator="equal">
      <formula>"Restrição"</formula>
    </cfRule>
  </conditionalFormatting>
  <conditionalFormatting sqref="I285:I287">
    <cfRule type="cellIs" dxfId="525" priority="301" operator="equal">
      <formula>"não"</formula>
    </cfRule>
  </conditionalFormatting>
  <conditionalFormatting sqref="I298">
    <cfRule type="cellIs" dxfId="524" priority="285" operator="equal">
      <formula>"Restrição"</formula>
    </cfRule>
  </conditionalFormatting>
  <conditionalFormatting sqref="I204">
    <cfRule type="cellIs" dxfId="523" priority="310" operator="equal">
      <formula>"não"</formula>
    </cfRule>
  </conditionalFormatting>
  <conditionalFormatting sqref="I301:I302">
    <cfRule type="cellIs" dxfId="522" priority="298" operator="equal">
      <formula>"Restrição"</formula>
    </cfRule>
  </conditionalFormatting>
  <conditionalFormatting sqref="I295:I296">
    <cfRule type="cellIs" dxfId="521" priority="288" operator="equal">
      <formula>"Restrição"</formula>
    </cfRule>
  </conditionalFormatting>
  <conditionalFormatting sqref="I202">
    <cfRule type="cellIs" dxfId="520" priority="313" operator="equal">
      <formula>"não"</formula>
    </cfRule>
  </conditionalFormatting>
  <conditionalFormatting sqref="I204">
    <cfRule type="cellIs" dxfId="519" priority="308" operator="equal">
      <formula>"Restrição"</formula>
    </cfRule>
  </conditionalFormatting>
  <conditionalFormatting sqref="I292">
    <cfRule type="cellIs" dxfId="518" priority="291" operator="equal">
      <formula>"Restrição"</formula>
    </cfRule>
  </conditionalFormatting>
  <conditionalFormatting sqref="I199:I200">
    <cfRule type="cellIs" dxfId="517" priority="316" operator="equal">
      <formula>"não"</formula>
    </cfRule>
  </conditionalFormatting>
  <conditionalFormatting sqref="I202">
    <cfRule type="cellIs" dxfId="516" priority="311" operator="equal">
      <formula>"Restrição"</formula>
    </cfRule>
  </conditionalFormatting>
  <conditionalFormatting sqref="I204">
    <cfRule type="containsText" dxfId="515" priority="309" operator="containsText" text="não">
      <formula>NOT(ISERROR(SEARCH("não",I204)))</formula>
    </cfRule>
  </conditionalFormatting>
  <conditionalFormatting sqref="I291">
    <cfRule type="cellIs" dxfId="514" priority="294" operator="equal">
      <formula>"Restrição"</formula>
    </cfRule>
  </conditionalFormatting>
  <conditionalFormatting sqref="I196">
    <cfRule type="cellIs" dxfId="513" priority="319" operator="equal">
      <formula>"não"</formula>
    </cfRule>
  </conditionalFormatting>
  <conditionalFormatting sqref="I199:I200">
    <cfRule type="cellIs" dxfId="512" priority="314" operator="equal">
      <formula>"Restrição"</formula>
    </cfRule>
  </conditionalFormatting>
  <conditionalFormatting sqref="I202">
    <cfRule type="containsText" dxfId="511" priority="312" operator="containsText" text="não">
      <formula>NOT(ISERROR(SEARCH("não",I202)))</formula>
    </cfRule>
  </conditionalFormatting>
  <conditionalFormatting sqref="I281:I290 I293:I294 I297 I299">
    <cfRule type="cellIs" dxfId="510" priority="297" operator="equal">
      <formula>"Restrição"</formula>
    </cfRule>
  </conditionalFormatting>
  <conditionalFormatting sqref="I195">
    <cfRule type="cellIs" dxfId="509" priority="322" operator="equal">
      <formula>"não"</formula>
    </cfRule>
  </conditionalFormatting>
  <conditionalFormatting sqref="I196">
    <cfRule type="cellIs" dxfId="508" priority="317" operator="equal">
      <formula>"Restrição"</formula>
    </cfRule>
  </conditionalFormatting>
  <conditionalFormatting sqref="I199:I200">
    <cfRule type="containsText" dxfId="507" priority="315" operator="containsText" text="não">
      <formula>NOT(ISERROR(SEARCH("não",I199)))</formula>
    </cfRule>
  </conditionalFormatting>
  <conditionalFormatting sqref="I195">
    <cfRule type="cellIs" dxfId="506" priority="320" operator="equal">
      <formula>"Restrição"</formula>
    </cfRule>
  </conditionalFormatting>
  <conditionalFormatting sqref="I196">
    <cfRule type="containsText" dxfId="505" priority="318" operator="containsText" text="não">
      <formula>NOT(ISERROR(SEARCH("não",I196)))</formula>
    </cfRule>
  </conditionalFormatting>
  <conditionalFormatting sqref="I185:I188 I191:I194 I197:I198 I201 I203">
    <cfRule type="cellIs" dxfId="504" priority="328" operator="equal">
      <formula>"não"</formula>
    </cfRule>
  </conditionalFormatting>
  <conditionalFormatting sqref="I189:I191">
    <cfRule type="cellIs" dxfId="503" priority="327" operator="equal">
      <formula>"não"</formula>
    </cfRule>
  </conditionalFormatting>
  <conditionalFormatting sqref="I190:I191">
    <cfRule type="cellIs" dxfId="502" priority="326" operator="equal">
      <formula>"não"</formula>
    </cfRule>
  </conditionalFormatting>
  <conditionalFormatting sqref="I185:I194 I197:I198 I201 I203">
    <cfRule type="containsText" dxfId="501" priority="325" operator="containsText" text="não">
      <formula>NOT(ISERROR(SEARCH("não",I185)))</formula>
    </cfRule>
  </conditionalFormatting>
  <conditionalFormatting sqref="I205:I206">
    <cfRule type="cellIs" dxfId="500" priority="324" operator="equal">
      <formula>"Restrição"</formula>
    </cfRule>
  </conditionalFormatting>
  <conditionalFormatting sqref="I185:I194 I197:I198 I201 I203">
    <cfRule type="cellIs" dxfId="499" priority="323" operator="equal">
      <formula>"Restrição"</formula>
    </cfRule>
  </conditionalFormatting>
  <conditionalFormatting sqref="I195">
    <cfRule type="containsText" dxfId="498" priority="321" operator="containsText" text="não">
      <formula>NOT(ISERROR(SEARCH("não",I195)))</formula>
    </cfRule>
  </conditionalFormatting>
  <conditionalFormatting sqref="I207:I209">
    <cfRule type="cellIs" dxfId="497" priority="307" operator="equal">
      <formula>"Restrição"</formula>
    </cfRule>
  </conditionalFormatting>
  <conditionalFormatting sqref="I88">
    <cfRule type="cellIs" dxfId="496" priority="331" operator="equal">
      <formula>"não"</formula>
    </cfRule>
  </conditionalFormatting>
  <conditionalFormatting sqref="I88">
    <cfRule type="containsText" dxfId="495" priority="330" operator="containsText" text="não">
      <formula>NOT(ISERROR(SEARCH("não",I88)))</formula>
    </cfRule>
  </conditionalFormatting>
  <conditionalFormatting sqref="I88">
    <cfRule type="cellIs" dxfId="494" priority="329" operator="equal">
      <formula>"Restrição"</formula>
    </cfRule>
  </conditionalFormatting>
  <conditionalFormatting sqref="I952">
    <cfRule type="cellIs" dxfId="493" priority="95" operator="equal">
      <formula>"Restrição"</formula>
    </cfRule>
  </conditionalFormatting>
  <conditionalFormatting sqref="I281:I284 I287:I290 I293:I294 I297 I299">
    <cfRule type="cellIs" dxfId="492" priority="302" operator="equal">
      <formula>"não"</formula>
    </cfRule>
  </conditionalFormatting>
  <conditionalFormatting sqref="I286:I287">
    <cfRule type="cellIs" dxfId="491" priority="300" operator="equal">
      <formula>"não"</formula>
    </cfRule>
  </conditionalFormatting>
  <conditionalFormatting sqref="I281:I290 I293:I294 I297 I299">
    <cfRule type="containsText" dxfId="490" priority="299" operator="containsText" text="não">
      <formula>NOT(ISERROR(SEARCH("não",I281)))</formula>
    </cfRule>
  </conditionalFormatting>
  <conditionalFormatting sqref="I291">
    <cfRule type="cellIs" dxfId="489" priority="296" operator="equal">
      <formula>"não"</formula>
    </cfRule>
  </conditionalFormatting>
  <conditionalFormatting sqref="I291">
    <cfRule type="containsText" dxfId="488" priority="295" operator="containsText" text="não">
      <formula>NOT(ISERROR(SEARCH("não",I291)))</formula>
    </cfRule>
  </conditionalFormatting>
  <conditionalFormatting sqref="I292">
    <cfRule type="cellIs" dxfId="487" priority="293" operator="equal">
      <formula>"não"</formula>
    </cfRule>
  </conditionalFormatting>
  <conditionalFormatting sqref="I292">
    <cfRule type="containsText" dxfId="486" priority="292" operator="containsText" text="não">
      <formula>NOT(ISERROR(SEARCH("não",I292)))</formula>
    </cfRule>
  </conditionalFormatting>
  <conditionalFormatting sqref="I295:I296">
    <cfRule type="cellIs" dxfId="485" priority="290" operator="equal">
      <formula>"não"</formula>
    </cfRule>
  </conditionalFormatting>
  <conditionalFormatting sqref="I295:I296">
    <cfRule type="containsText" dxfId="484" priority="289" operator="containsText" text="não">
      <formula>NOT(ISERROR(SEARCH("não",I295)))</formula>
    </cfRule>
  </conditionalFormatting>
  <conditionalFormatting sqref="I298">
    <cfRule type="cellIs" dxfId="483" priority="287" operator="equal">
      <formula>"não"</formula>
    </cfRule>
  </conditionalFormatting>
  <conditionalFormatting sqref="I298">
    <cfRule type="containsText" dxfId="482" priority="286" operator="containsText" text="não">
      <formula>NOT(ISERROR(SEARCH("não",I298)))</formula>
    </cfRule>
  </conditionalFormatting>
  <conditionalFormatting sqref="I300">
    <cfRule type="cellIs" dxfId="481" priority="284" operator="equal">
      <formula>"não"</formula>
    </cfRule>
  </conditionalFormatting>
  <conditionalFormatting sqref="I300">
    <cfRule type="containsText" dxfId="480" priority="283" operator="containsText" text="não">
      <formula>NOT(ISERROR(SEARCH("não",I300)))</formula>
    </cfRule>
  </conditionalFormatting>
  <conditionalFormatting sqref="I300">
    <cfRule type="cellIs" dxfId="479" priority="282" operator="equal">
      <formula>"Restrição"</formula>
    </cfRule>
  </conditionalFormatting>
  <conditionalFormatting sqref="I303:I305">
    <cfRule type="cellIs" dxfId="478" priority="281" operator="equal">
      <formula>"Restrição"</formula>
    </cfRule>
  </conditionalFormatting>
  <conditionalFormatting sqref="I280">
    <cfRule type="cellIs" dxfId="477" priority="277" operator="equal">
      <formula>"Restrição"</formula>
    </cfRule>
  </conditionalFormatting>
  <conditionalFormatting sqref="I280">
    <cfRule type="cellIs" dxfId="476" priority="279" operator="equal">
      <formula>"não"</formula>
    </cfRule>
  </conditionalFormatting>
  <conditionalFormatting sqref="I280">
    <cfRule type="containsText" dxfId="475" priority="278" operator="containsText" text="não">
      <formula>NOT(ISERROR(SEARCH("não",I280)))</formula>
    </cfRule>
  </conditionalFormatting>
  <conditionalFormatting sqref="I397:I398">
    <cfRule type="cellIs" dxfId="474" priority="272" operator="equal">
      <formula>"Restrição"</formula>
    </cfRule>
  </conditionalFormatting>
  <conditionalFormatting sqref="I377:I380 I383:I386 I389:I390 I393 I395">
    <cfRule type="cellIs" dxfId="473" priority="276" operator="equal">
      <formula>"não"</formula>
    </cfRule>
  </conditionalFormatting>
  <conditionalFormatting sqref="I381:I383">
    <cfRule type="cellIs" dxfId="472" priority="275" operator="equal">
      <formula>"não"</formula>
    </cfRule>
  </conditionalFormatting>
  <conditionalFormatting sqref="I382:I383">
    <cfRule type="cellIs" dxfId="471" priority="274" operator="equal">
      <formula>"não"</formula>
    </cfRule>
  </conditionalFormatting>
  <conditionalFormatting sqref="I377:I386 I389:I390 I393 I395">
    <cfRule type="containsText" dxfId="470" priority="273" operator="containsText" text="não">
      <formula>NOT(ISERROR(SEARCH("não",I377)))</formula>
    </cfRule>
  </conditionalFormatting>
  <conditionalFormatting sqref="I377:I386 I389:I390 I393 I395">
    <cfRule type="cellIs" dxfId="469" priority="271" operator="equal">
      <formula>"Restrição"</formula>
    </cfRule>
  </conditionalFormatting>
  <conditionalFormatting sqref="I387">
    <cfRule type="cellIs" dxfId="468" priority="270" operator="equal">
      <formula>"não"</formula>
    </cfRule>
  </conditionalFormatting>
  <conditionalFormatting sqref="I387">
    <cfRule type="containsText" dxfId="467" priority="269" operator="containsText" text="não">
      <formula>NOT(ISERROR(SEARCH("não",I387)))</formula>
    </cfRule>
  </conditionalFormatting>
  <conditionalFormatting sqref="I387">
    <cfRule type="cellIs" dxfId="466" priority="268" operator="equal">
      <formula>"Restrição"</formula>
    </cfRule>
  </conditionalFormatting>
  <conditionalFormatting sqref="I388">
    <cfRule type="cellIs" dxfId="465" priority="267" operator="equal">
      <formula>"não"</formula>
    </cfRule>
  </conditionalFormatting>
  <conditionalFormatting sqref="I388">
    <cfRule type="containsText" dxfId="464" priority="266" operator="containsText" text="não">
      <formula>NOT(ISERROR(SEARCH("não",I388)))</formula>
    </cfRule>
  </conditionalFormatting>
  <conditionalFormatting sqref="I388">
    <cfRule type="cellIs" dxfId="463" priority="265" operator="equal">
      <formula>"Restrição"</formula>
    </cfRule>
  </conditionalFormatting>
  <conditionalFormatting sqref="I391:I392">
    <cfRule type="cellIs" dxfId="462" priority="264" operator="equal">
      <formula>"não"</formula>
    </cfRule>
  </conditionalFormatting>
  <conditionalFormatting sqref="I391:I392">
    <cfRule type="containsText" dxfId="461" priority="263" operator="containsText" text="não">
      <formula>NOT(ISERROR(SEARCH("não",I391)))</formula>
    </cfRule>
  </conditionalFormatting>
  <conditionalFormatting sqref="I391:I392">
    <cfRule type="cellIs" dxfId="460" priority="262" operator="equal">
      <formula>"Restrição"</formula>
    </cfRule>
  </conditionalFormatting>
  <conditionalFormatting sqref="I394">
    <cfRule type="cellIs" dxfId="459" priority="261" operator="equal">
      <formula>"não"</formula>
    </cfRule>
  </conditionalFormatting>
  <conditionalFormatting sqref="I394">
    <cfRule type="containsText" dxfId="458" priority="260" operator="containsText" text="não">
      <formula>NOT(ISERROR(SEARCH("não",I394)))</formula>
    </cfRule>
  </conditionalFormatting>
  <conditionalFormatting sqref="I394">
    <cfRule type="cellIs" dxfId="457" priority="259" operator="equal">
      <formula>"Restrição"</formula>
    </cfRule>
  </conditionalFormatting>
  <conditionalFormatting sqref="I396">
    <cfRule type="cellIs" dxfId="456" priority="258" operator="equal">
      <formula>"não"</formula>
    </cfRule>
  </conditionalFormatting>
  <conditionalFormatting sqref="I396">
    <cfRule type="containsText" dxfId="455" priority="257" operator="containsText" text="não">
      <formula>NOT(ISERROR(SEARCH("não",I396)))</formula>
    </cfRule>
  </conditionalFormatting>
  <conditionalFormatting sqref="I396">
    <cfRule type="cellIs" dxfId="454" priority="256" operator="equal">
      <formula>"Restrição"</formula>
    </cfRule>
  </conditionalFormatting>
  <conditionalFormatting sqref="I376">
    <cfRule type="cellIs" dxfId="453" priority="251" operator="equal">
      <formula>"Restrição"</formula>
    </cfRule>
  </conditionalFormatting>
  <conditionalFormatting sqref="I376">
    <cfRule type="cellIs" dxfId="452" priority="253" operator="equal">
      <formula>"não"</formula>
    </cfRule>
  </conditionalFormatting>
  <conditionalFormatting sqref="I376">
    <cfRule type="containsText" dxfId="451" priority="252" operator="containsText" text="não">
      <formula>NOT(ISERROR(SEARCH("não",I376)))</formula>
    </cfRule>
  </conditionalFormatting>
  <conditionalFormatting sqref="I473:I476 I479:I482 I485:I486 I489 I491">
    <cfRule type="cellIs" dxfId="450" priority="250" operator="equal">
      <formula>"não"</formula>
    </cfRule>
  </conditionalFormatting>
  <conditionalFormatting sqref="I477:I479">
    <cfRule type="cellIs" dxfId="449" priority="249" operator="equal">
      <formula>"não"</formula>
    </cfRule>
  </conditionalFormatting>
  <conditionalFormatting sqref="I478:I479">
    <cfRule type="cellIs" dxfId="448" priority="248" operator="equal">
      <formula>"não"</formula>
    </cfRule>
  </conditionalFormatting>
  <conditionalFormatting sqref="I473:I482 I485:I486 I489 I491">
    <cfRule type="containsText" dxfId="447" priority="247" operator="containsText" text="não">
      <formula>NOT(ISERROR(SEARCH("não",I473)))</formula>
    </cfRule>
  </conditionalFormatting>
  <conditionalFormatting sqref="I493:I494">
    <cfRule type="cellIs" dxfId="446" priority="246" operator="equal">
      <formula>"Restrição"</formula>
    </cfRule>
  </conditionalFormatting>
  <conditionalFormatting sqref="I473:I482 I485:I486 I489 I491">
    <cfRule type="cellIs" dxfId="445" priority="245" operator="equal">
      <formula>"Restrição"</formula>
    </cfRule>
  </conditionalFormatting>
  <conditionalFormatting sqref="I483">
    <cfRule type="cellIs" dxfId="444" priority="244" operator="equal">
      <formula>"não"</formula>
    </cfRule>
  </conditionalFormatting>
  <conditionalFormatting sqref="I483">
    <cfRule type="containsText" dxfId="443" priority="243" operator="containsText" text="não">
      <formula>NOT(ISERROR(SEARCH("não",I483)))</formula>
    </cfRule>
  </conditionalFormatting>
  <conditionalFormatting sqref="I483">
    <cfRule type="cellIs" dxfId="442" priority="242" operator="equal">
      <formula>"Restrição"</formula>
    </cfRule>
  </conditionalFormatting>
  <conditionalFormatting sqref="I484">
    <cfRule type="cellIs" dxfId="441" priority="241" operator="equal">
      <formula>"não"</formula>
    </cfRule>
  </conditionalFormatting>
  <conditionalFormatting sqref="I484">
    <cfRule type="containsText" dxfId="440" priority="240" operator="containsText" text="não">
      <formula>NOT(ISERROR(SEARCH("não",I484)))</formula>
    </cfRule>
  </conditionalFormatting>
  <conditionalFormatting sqref="I484">
    <cfRule type="cellIs" dxfId="439" priority="239" operator="equal">
      <formula>"Restrição"</formula>
    </cfRule>
  </conditionalFormatting>
  <conditionalFormatting sqref="I487:I488">
    <cfRule type="cellIs" dxfId="438" priority="238" operator="equal">
      <formula>"não"</formula>
    </cfRule>
  </conditionalFormatting>
  <conditionalFormatting sqref="I487:I488">
    <cfRule type="containsText" dxfId="437" priority="237" operator="containsText" text="não">
      <formula>NOT(ISERROR(SEARCH("não",I487)))</formula>
    </cfRule>
  </conditionalFormatting>
  <conditionalFormatting sqref="I487:I488">
    <cfRule type="cellIs" dxfId="436" priority="236" operator="equal">
      <formula>"Restrição"</formula>
    </cfRule>
  </conditionalFormatting>
  <conditionalFormatting sqref="I490">
    <cfRule type="cellIs" dxfId="435" priority="235" operator="equal">
      <formula>"não"</formula>
    </cfRule>
  </conditionalFormatting>
  <conditionalFormatting sqref="I490">
    <cfRule type="containsText" dxfId="434" priority="234" operator="containsText" text="não">
      <formula>NOT(ISERROR(SEARCH("não",I490)))</formula>
    </cfRule>
  </conditionalFormatting>
  <conditionalFormatting sqref="I490">
    <cfRule type="cellIs" dxfId="433" priority="233" operator="equal">
      <formula>"Restrição"</formula>
    </cfRule>
  </conditionalFormatting>
  <conditionalFormatting sqref="I492">
    <cfRule type="cellIs" dxfId="432" priority="232" operator="equal">
      <formula>"não"</formula>
    </cfRule>
  </conditionalFormatting>
  <conditionalFormatting sqref="I492">
    <cfRule type="containsText" dxfId="431" priority="231" operator="containsText" text="não">
      <formula>NOT(ISERROR(SEARCH("não",I492)))</formula>
    </cfRule>
  </conditionalFormatting>
  <conditionalFormatting sqref="I492">
    <cfRule type="cellIs" dxfId="430" priority="230" operator="equal">
      <formula>"Restrição"</formula>
    </cfRule>
  </conditionalFormatting>
  <conditionalFormatting sqref="I472">
    <cfRule type="cellIs" dxfId="429" priority="225" operator="equal">
      <formula>"Restrição"</formula>
    </cfRule>
  </conditionalFormatting>
  <conditionalFormatting sqref="I472">
    <cfRule type="cellIs" dxfId="428" priority="227" operator="equal">
      <formula>"não"</formula>
    </cfRule>
  </conditionalFormatting>
  <conditionalFormatting sqref="I472">
    <cfRule type="containsText" dxfId="427" priority="226" operator="containsText" text="não">
      <formula>NOT(ISERROR(SEARCH("não",I472)))</formula>
    </cfRule>
  </conditionalFormatting>
  <conditionalFormatting sqref="I569:I572 I575:I578 I581:I582 I585 I587">
    <cfRule type="cellIs" dxfId="426" priority="224" operator="equal">
      <formula>"não"</formula>
    </cfRule>
  </conditionalFormatting>
  <conditionalFormatting sqref="I573:I575">
    <cfRule type="cellIs" dxfId="425" priority="223" operator="equal">
      <formula>"não"</formula>
    </cfRule>
  </conditionalFormatting>
  <conditionalFormatting sqref="I574:I575">
    <cfRule type="cellIs" dxfId="424" priority="222" operator="equal">
      <formula>"não"</formula>
    </cfRule>
  </conditionalFormatting>
  <conditionalFormatting sqref="I569:I578 I581:I582 I585 I587">
    <cfRule type="containsText" dxfId="423" priority="221" operator="containsText" text="não">
      <formula>NOT(ISERROR(SEARCH("não",I569)))</formula>
    </cfRule>
  </conditionalFormatting>
  <conditionalFormatting sqref="I589:I590">
    <cfRule type="cellIs" dxfId="422" priority="220" operator="equal">
      <formula>"Restrição"</formula>
    </cfRule>
  </conditionalFormatting>
  <conditionalFormatting sqref="I569:I578 I581:I582 I585 I587">
    <cfRule type="cellIs" dxfId="421" priority="219" operator="equal">
      <formula>"Restrição"</formula>
    </cfRule>
  </conditionalFormatting>
  <conditionalFormatting sqref="I579">
    <cfRule type="cellIs" dxfId="420" priority="218" operator="equal">
      <formula>"não"</formula>
    </cfRule>
  </conditionalFormatting>
  <conditionalFormatting sqref="I579">
    <cfRule type="containsText" dxfId="419" priority="217" operator="containsText" text="não">
      <formula>NOT(ISERROR(SEARCH("não",I579)))</formula>
    </cfRule>
  </conditionalFormatting>
  <conditionalFormatting sqref="I579">
    <cfRule type="cellIs" dxfId="418" priority="216" operator="equal">
      <formula>"Restrição"</formula>
    </cfRule>
  </conditionalFormatting>
  <conditionalFormatting sqref="I580">
    <cfRule type="cellIs" dxfId="417" priority="215" operator="equal">
      <formula>"não"</formula>
    </cfRule>
  </conditionalFormatting>
  <conditionalFormatting sqref="I580">
    <cfRule type="containsText" dxfId="416" priority="214" operator="containsText" text="não">
      <formula>NOT(ISERROR(SEARCH("não",I580)))</formula>
    </cfRule>
  </conditionalFormatting>
  <conditionalFormatting sqref="I580">
    <cfRule type="cellIs" dxfId="415" priority="213" operator="equal">
      <formula>"Restrição"</formula>
    </cfRule>
  </conditionalFormatting>
  <conditionalFormatting sqref="I583:I584">
    <cfRule type="cellIs" dxfId="414" priority="212" operator="equal">
      <formula>"não"</formula>
    </cfRule>
  </conditionalFormatting>
  <conditionalFormatting sqref="I583:I584">
    <cfRule type="containsText" dxfId="413" priority="211" operator="containsText" text="não">
      <formula>NOT(ISERROR(SEARCH("não",I583)))</formula>
    </cfRule>
  </conditionalFormatting>
  <conditionalFormatting sqref="I583:I584">
    <cfRule type="cellIs" dxfId="412" priority="210" operator="equal">
      <formula>"Restrição"</formula>
    </cfRule>
  </conditionalFormatting>
  <conditionalFormatting sqref="I586">
    <cfRule type="cellIs" dxfId="411" priority="209" operator="equal">
      <formula>"não"</formula>
    </cfRule>
  </conditionalFormatting>
  <conditionalFormatting sqref="I586">
    <cfRule type="containsText" dxfId="410" priority="208" operator="containsText" text="não">
      <formula>NOT(ISERROR(SEARCH("não",I586)))</formula>
    </cfRule>
  </conditionalFormatting>
  <conditionalFormatting sqref="I586">
    <cfRule type="cellIs" dxfId="409" priority="207" operator="equal">
      <formula>"Restrição"</formula>
    </cfRule>
  </conditionalFormatting>
  <conditionalFormatting sqref="I588">
    <cfRule type="cellIs" dxfId="408" priority="206" operator="equal">
      <formula>"não"</formula>
    </cfRule>
  </conditionalFormatting>
  <conditionalFormatting sqref="I588">
    <cfRule type="containsText" dxfId="407" priority="205" operator="containsText" text="não">
      <formula>NOT(ISERROR(SEARCH("não",I588)))</formula>
    </cfRule>
  </conditionalFormatting>
  <conditionalFormatting sqref="I588">
    <cfRule type="cellIs" dxfId="406" priority="204" operator="equal">
      <formula>"Restrição"</formula>
    </cfRule>
  </conditionalFormatting>
  <conditionalFormatting sqref="I568">
    <cfRule type="cellIs" dxfId="405" priority="199" operator="equal">
      <formula>"Restrição"</formula>
    </cfRule>
  </conditionalFormatting>
  <conditionalFormatting sqref="I568">
    <cfRule type="cellIs" dxfId="404" priority="201" operator="equal">
      <formula>"não"</formula>
    </cfRule>
  </conditionalFormatting>
  <conditionalFormatting sqref="I568">
    <cfRule type="containsText" dxfId="403" priority="200" operator="containsText" text="não">
      <formula>NOT(ISERROR(SEARCH("não",I568)))</formula>
    </cfRule>
  </conditionalFormatting>
  <conditionalFormatting sqref="I665:I668 I671:I674 I677:I678 I681 I683">
    <cfRule type="cellIs" dxfId="402" priority="198" operator="equal">
      <formula>"não"</formula>
    </cfRule>
  </conditionalFormatting>
  <conditionalFormatting sqref="I669:I671">
    <cfRule type="cellIs" dxfId="401" priority="197" operator="equal">
      <formula>"não"</formula>
    </cfRule>
  </conditionalFormatting>
  <conditionalFormatting sqref="I670:I671">
    <cfRule type="cellIs" dxfId="400" priority="196" operator="equal">
      <formula>"não"</formula>
    </cfRule>
  </conditionalFormatting>
  <conditionalFormatting sqref="I665:I674 I677:I678 I681 I683">
    <cfRule type="containsText" dxfId="399" priority="195" operator="containsText" text="não">
      <formula>NOT(ISERROR(SEARCH("não",I665)))</formula>
    </cfRule>
  </conditionalFormatting>
  <conditionalFormatting sqref="I685:I686">
    <cfRule type="cellIs" dxfId="398" priority="194" operator="equal">
      <formula>"Restrição"</formula>
    </cfRule>
  </conditionalFormatting>
  <conditionalFormatting sqref="I665:I674 I677:I678 I681 I683">
    <cfRule type="cellIs" dxfId="397" priority="193" operator="equal">
      <formula>"Restrição"</formula>
    </cfRule>
  </conditionalFormatting>
  <conditionalFormatting sqref="I675">
    <cfRule type="cellIs" dxfId="396" priority="192" operator="equal">
      <formula>"não"</formula>
    </cfRule>
  </conditionalFormatting>
  <conditionalFormatting sqref="I675">
    <cfRule type="containsText" dxfId="395" priority="191" operator="containsText" text="não">
      <formula>NOT(ISERROR(SEARCH("não",I675)))</formula>
    </cfRule>
  </conditionalFormatting>
  <conditionalFormatting sqref="I675">
    <cfRule type="cellIs" dxfId="394" priority="190" operator="equal">
      <formula>"Restrição"</formula>
    </cfRule>
  </conditionalFormatting>
  <conditionalFormatting sqref="I676">
    <cfRule type="cellIs" dxfId="393" priority="189" operator="equal">
      <formula>"não"</formula>
    </cfRule>
  </conditionalFormatting>
  <conditionalFormatting sqref="I676">
    <cfRule type="containsText" dxfId="392" priority="188" operator="containsText" text="não">
      <formula>NOT(ISERROR(SEARCH("não",I676)))</formula>
    </cfRule>
  </conditionalFormatting>
  <conditionalFormatting sqref="I676">
    <cfRule type="cellIs" dxfId="391" priority="187" operator="equal">
      <formula>"Restrição"</formula>
    </cfRule>
  </conditionalFormatting>
  <conditionalFormatting sqref="I679:I680">
    <cfRule type="cellIs" dxfId="390" priority="186" operator="equal">
      <formula>"não"</formula>
    </cfRule>
  </conditionalFormatting>
  <conditionalFormatting sqref="I679:I680">
    <cfRule type="containsText" dxfId="389" priority="185" operator="containsText" text="não">
      <formula>NOT(ISERROR(SEARCH("não",I679)))</formula>
    </cfRule>
  </conditionalFormatting>
  <conditionalFormatting sqref="I679:I680">
    <cfRule type="cellIs" dxfId="388" priority="184" operator="equal">
      <formula>"Restrição"</formula>
    </cfRule>
  </conditionalFormatting>
  <conditionalFormatting sqref="I682">
    <cfRule type="cellIs" dxfId="387" priority="183" operator="equal">
      <formula>"não"</formula>
    </cfRule>
  </conditionalFormatting>
  <conditionalFormatting sqref="I682">
    <cfRule type="containsText" dxfId="386" priority="182" operator="containsText" text="não">
      <formula>NOT(ISERROR(SEARCH("não",I682)))</formula>
    </cfRule>
  </conditionalFormatting>
  <conditionalFormatting sqref="I682">
    <cfRule type="cellIs" dxfId="385" priority="181" operator="equal">
      <formula>"Restrição"</formula>
    </cfRule>
  </conditionalFormatting>
  <conditionalFormatting sqref="I684">
    <cfRule type="cellIs" dxfId="384" priority="180" operator="equal">
      <formula>"não"</formula>
    </cfRule>
  </conditionalFormatting>
  <conditionalFormatting sqref="I684">
    <cfRule type="containsText" dxfId="383" priority="179" operator="containsText" text="não">
      <formula>NOT(ISERROR(SEARCH("não",I684)))</formula>
    </cfRule>
  </conditionalFormatting>
  <conditionalFormatting sqref="I684">
    <cfRule type="cellIs" dxfId="382" priority="178" operator="equal">
      <formula>"Restrição"</formula>
    </cfRule>
  </conditionalFormatting>
  <conditionalFormatting sqref="I664">
    <cfRule type="cellIs" dxfId="381" priority="173" operator="equal">
      <formula>"Restrição"</formula>
    </cfRule>
  </conditionalFormatting>
  <conditionalFormatting sqref="I664">
    <cfRule type="cellIs" dxfId="380" priority="175" operator="equal">
      <formula>"não"</formula>
    </cfRule>
  </conditionalFormatting>
  <conditionalFormatting sqref="I664">
    <cfRule type="containsText" dxfId="379" priority="174" operator="containsText" text="não">
      <formula>NOT(ISERROR(SEARCH("não",I664)))</formula>
    </cfRule>
  </conditionalFormatting>
  <conditionalFormatting sqref="I761:I764 I767:I770 I773:I774 I777 I779">
    <cfRule type="cellIs" dxfId="378" priority="172" operator="equal">
      <formula>"não"</formula>
    </cfRule>
  </conditionalFormatting>
  <conditionalFormatting sqref="I765:I767">
    <cfRule type="cellIs" dxfId="377" priority="171" operator="equal">
      <formula>"não"</formula>
    </cfRule>
  </conditionalFormatting>
  <conditionalFormatting sqref="I766:I767">
    <cfRule type="cellIs" dxfId="376" priority="170" operator="equal">
      <formula>"não"</formula>
    </cfRule>
  </conditionalFormatting>
  <conditionalFormatting sqref="I761:I770 I773:I774 I777 I779">
    <cfRule type="containsText" dxfId="375" priority="169" operator="containsText" text="não">
      <formula>NOT(ISERROR(SEARCH("não",I761)))</formula>
    </cfRule>
  </conditionalFormatting>
  <conditionalFormatting sqref="I781:I782">
    <cfRule type="cellIs" dxfId="374" priority="168" operator="equal">
      <formula>"Restrição"</formula>
    </cfRule>
  </conditionalFormatting>
  <conditionalFormatting sqref="I761:I770 I773:I774 I777 I779">
    <cfRule type="cellIs" dxfId="373" priority="167" operator="equal">
      <formula>"Restrição"</formula>
    </cfRule>
  </conditionalFormatting>
  <conditionalFormatting sqref="I771">
    <cfRule type="cellIs" dxfId="372" priority="166" operator="equal">
      <formula>"não"</formula>
    </cfRule>
  </conditionalFormatting>
  <conditionalFormatting sqref="I771">
    <cfRule type="containsText" dxfId="371" priority="165" operator="containsText" text="não">
      <formula>NOT(ISERROR(SEARCH("não",I771)))</formula>
    </cfRule>
  </conditionalFormatting>
  <conditionalFormatting sqref="I771">
    <cfRule type="cellIs" dxfId="370" priority="164" operator="equal">
      <formula>"Restrição"</formula>
    </cfRule>
  </conditionalFormatting>
  <conditionalFormatting sqref="I772">
    <cfRule type="cellIs" dxfId="369" priority="163" operator="equal">
      <formula>"não"</formula>
    </cfRule>
  </conditionalFormatting>
  <conditionalFormatting sqref="I772">
    <cfRule type="containsText" dxfId="368" priority="162" operator="containsText" text="não">
      <formula>NOT(ISERROR(SEARCH("não",I772)))</formula>
    </cfRule>
  </conditionalFormatting>
  <conditionalFormatting sqref="I772">
    <cfRule type="cellIs" dxfId="367" priority="161" operator="equal">
      <formula>"Restrição"</formula>
    </cfRule>
  </conditionalFormatting>
  <conditionalFormatting sqref="I775:I776">
    <cfRule type="cellIs" dxfId="366" priority="160" operator="equal">
      <formula>"não"</formula>
    </cfRule>
  </conditionalFormatting>
  <conditionalFormatting sqref="I775:I776">
    <cfRule type="containsText" dxfId="365" priority="159" operator="containsText" text="não">
      <formula>NOT(ISERROR(SEARCH("não",I775)))</formula>
    </cfRule>
  </conditionalFormatting>
  <conditionalFormatting sqref="I775:I776">
    <cfRule type="cellIs" dxfId="364" priority="158" operator="equal">
      <formula>"Restrição"</formula>
    </cfRule>
  </conditionalFormatting>
  <conditionalFormatting sqref="I778">
    <cfRule type="cellIs" dxfId="363" priority="157" operator="equal">
      <formula>"não"</formula>
    </cfRule>
  </conditionalFormatting>
  <conditionalFormatting sqref="I778">
    <cfRule type="containsText" dxfId="362" priority="156" operator="containsText" text="não">
      <formula>NOT(ISERROR(SEARCH("não",I778)))</formula>
    </cfRule>
  </conditionalFormatting>
  <conditionalFormatting sqref="I778">
    <cfRule type="cellIs" dxfId="361" priority="155" operator="equal">
      <formula>"Restrição"</formula>
    </cfRule>
  </conditionalFormatting>
  <conditionalFormatting sqref="I780">
    <cfRule type="cellIs" dxfId="360" priority="154" operator="equal">
      <formula>"não"</formula>
    </cfRule>
  </conditionalFormatting>
  <conditionalFormatting sqref="I780">
    <cfRule type="containsText" dxfId="359" priority="153" operator="containsText" text="não">
      <formula>NOT(ISERROR(SEARCH("não",I780)))</formula>
    </cfRule>
  </conditionalFormatting>
  <conditionalFormatting sqref="I780">
    <cfRule type="cellIs" dxfId="358" priority="152" operator="equal">
      <formula>"Restrição"</formula>
    </cfRule>
  </conditionalFormatting>
  <conditionalFormatting sqref="I760">
    <cfRule type="cellIs" dxfId="357" priority="149" operator="equal">
      <formula>"não"</formula>
    </cfRule>
  </conditionalFormatting>
  <conditionalFormatting sqref="I760">
    <cfRule type="containsText" dxfId="356" priority="148" operator="containsText" text="não">
      <formula>NOT(ISERROR(SEARCH("não",I760)))</formula>
    </cfRule>
  </conditionalFormatting>
  <conditionalFormatting sqref="I760">
    <cfRule type="cellIs" dxfId="355" priority="147" operator="equal">
      <formula>"Restrição"</formula>
    </cfRule>
  </conditionalFormatting>
  <conditionalFormatting sqref="I857:I860 I863:I866 I869:I870 I873 I875">
    <cfRule type="cellIs" dxfId="354" priority="146" operator="equal">
      <formula>"não"</formula>
    </cfRule>
  </conditionalFormatting>
  <conditionalFormatting sqref="I861:I863">
    <cfRule type="cellIs" dxfId="353" priority="145" operator="equal">
      <formula>"não"</formula>
    </cfRule>
  </conditionalFormatting>
  <conditionalFormatting sqref="I862:I863">
    <cfRule type="cellIs" dxfId="352" priority="144" operator="equal">
      <formula>"não"</formula>
    </cfRule>
  </conditionalFormatting>
  <conditionalFormatting sqref="I857:I866 I869:I870 I873 I875">
    <cfRule type="containsText" dxfId="351" priority="143" operator="containsText" text="não">
      <formula>NOT(ISERROR(SEARCH("não",I857)))</formula>
    </cfRule>
  </conditionalFormatting>
  <conditionalFormatting sqref="I877:I878">
    <cfRule type="cellIs" dxfId="350" priority="142" operator="equal">
      <formula>"Restrição"</formula>
    </cfRule>
  </conditionalFormatting>
  <conditionalFormatting sqref="I857:I866 I869:I870 I873 I875">
    <cfRule type="cellIs" dxfId="349" priority="141" operator="equal">
      <formula>"Restrição"</formula>
    </cfRule>
  </conditionalFormatting>
  <conditionalFormatting sqref="I867">
    <cfRule type="cellIs" dxfId="348" priority="140" operator="equal">
      <formula>"não"</formula>
    </cfRule>
  </conditionalFormatting>
  <conditionalFormatting sqref="I867">
    <cfRule type="containsText" dxfId="347" priority="139" operator="containsText" text="não">
      <formula>NOT(ISERROR(SEARCH("não",I867)))</formula>
    </cfRule>
  </conditionalFormatting>
  <conditionalFormatting sqref="I867">
    <cfRule type="cellIs" dxfId="346" priority="138" operator="equal">
      <formula>"Restrição"</formula>
    </cfRule>
  </conditionalFormatting>
  <conditionalFormatting sqref="I868">
    <cfRule type="cellIs" dxfId="345" priority="137" operator="equal">
      <formula>"não"</formula>
    </cfRule>
  </conditionalFormatting>
  <conditionalFormatting sqref="I868">
    <cfRule type="containsText" dxfId="344" priority="136" operator="containsText" text="não">
      <formula>NOT(ISERROR(SEARCH("não",I868)))</formula>
    </cfRule>
  </conditionalFormatting>
  <conditionalFormatting sqref="I868">
    <cfRule type="cellIs" dxfId="343" priority="135" operator="equal">
      <formula>"Restrição"</formula>
    </cfRule>
  </conditionalFormatting>
  <conditionalFormatting sqref="I871:I872">
    <cfRule type="cellIs" dxfId="342" priority="134" operator="equal">
      <formula>"não"</formula>
    </cfRule>
  </conditionalFormatting>
  <conditionalFormatting sqref="I871:I872">
    <cfRule type="containsText" dxfId="341" priority="133" operator="containsText" text="não">
      <formula>NOT(ISERROR(SEARCH("não",I871)))</formula>
    </cfRule>
  </conditionalFormatting>
  <conditionalFormatting sqref="I871:I872">
    <cfRule type="cellIs" dxfId="340" priority="132" operator="equal">
      <formula>"Restrição"</formula>
    </cfRule>
  </conditionalFormatting>
  <conditionalFormatting sqref="I874">
    <cfRule type="cellIs" dxfId="339" priority="131" operator="equal">
      <formula>"não"</formula>
    </cfRule>
  </conditionalFormatting>
  <conditionalFormatting sqref="I874">
    <cfRule type="containsText" dxfId="338" priority="130" operator="containsText" text="não">
      <formula>NOT(ISERROR(SEARCH("não",I874)))</formula>
    </cfRule>
  </conditionalFormatting>
  <conditionalFormatting sqref="I874">
    <cfRule type="cellIs" dxfId="337" priority="129" operator="equal">
      <formula>"Restrição"</formula>
    </cfRule>
  </conditionalFormatting>
  <conditionalFormatting sqref="I876">
    <cfRule type="cellIs" dxfId="336" priority="128" operator="equal">
      <formula>"não"</formula>
    </cfRule>
  </conditionalFormatting>
  <conditionalFormatting sqref="I876">
    <cfRule type="containsText" dxfId="335" priority="127" operator="containsText" text="não">
      <formula>NOT(ISERROR(SEARCH("não",I876)))</formula>
    </cfRule>
  </conditionalFormatting>
  <conditionalFormatting sqref="I876">
    <cfRule type="cellIs" dxfId="334" priority="126" operator="equal">
      <formula>"Restrição"</formula>
    </cfRule>
  </conditionalFormatting>
  <conditionalFormatting sqref="I856">
    <cfRule type="cellIs" dxfId="333" priority="123" operator="equal">
      <formula>"não"</formula>
    </cfRule>
  </conditionalFormatting>
  <conditionalFormatting sqref="I856">
    <cfRule type="containsText" dxfId="332" priority="122" operator="containsText" text="não">
      <formula>NOT(ISERROR(SEARCH("não",I856)))</formula>
    </cfRule>
  </conditionalFormatting>
  <conditionalFormatting sqref="I856">
    <cfRule type="cellIs" dxfId="331" priority="121" operator="equal">
      <formula>"Restrição"</formula>
    </cfRule>
  </conditionalFormatting>
  <conditionalFormatting sqref="I952:I974">
    <cfRule type="cellIs" dxfId="330" priority="120" operator="equal">
      <formula>"não"</formula>
    </cfRule>
  </conditionalFormatting>
  <conditionalFormatting sqref="I957:I959">
    <cfRule type="cellIs" dxfId="329" priority="119" operator="equal">
      <formula>"não"</formula>
    </cfRule>
  </conditionalFormatting>
  <conditionalFormatting sqref="I958:I959">
    <cfRule type="cellIs" dxfId="328" priority="118" operator="equal">
      <formula>"não"</formula>
    </cfRule>
  </conditionalFormatting>
  <conditionalFormatting sqref="I952:I974">
    <cfRule type="containsText" dxfId="327" priority="117" operator="containsText" text="não">
      <formula>NOT(ISERROR(SEARCH("não",I952)))</formula>
    </cfRule>
  </conditionalFormatting>
  <conditionalFormatting sqref="I973:I974">
    <cfRule type="cellIs" dxfId="326" priority="116" operator="equal">
      <formula>"Restrição"</formula>
    </cfRule>
  </conditionalFormatting>
  <conditionalFormatting sqref="I952:I974">
    <cfRule type="cellIs" dxfId="325" priority="115" operator="equal">
      <formula>"Restrição"</formula>
    </cfRule>
  </conditionalFormatting>
  <conditionalFormatting sqref="I963">
    <cfRule type="cellIs" dxfId="324" priority="114" operator="equal">
      <formula>"não"</formula>
    </cfRule>
  </conditionalFormatting>
  <conditionalFormatting sqref="I963">
    <cfRule type="containsText" dxfId="323" priority="113" operator="containsText" text="não">
      <formula>NOT(ISERROR(SEARCH("não",I963)))</formula>
    </cfRule>
  </conditionalFormatting>
  <conditionalFormatting sqref="I963">
    <cfRule type="cellIs" dxfId="322" priority="112" operator="equal">
      <formula>"Restrição"</formula>
    </cfRule>
  </conditionalFormatting>
  <conditionalFormatting sqref="I964">
    <cfRule type="cellIs" dxfId="321" priority="111" operator="equal">
      <formula>"não"</formula>
    </cfRule>
  </conditionalFormatting>
  <conditionalFormatting sqref="I964">
    <cfRule type="containsText" dxfId="320" priority="110" operator="containsText" text="não">
      <formula>NOT(ISERROR(SEARCH("não",I964)))</formula>
    </cfRule>
  </conditionalFormatting>
  <conditionalFormatting sqref="I964">
    <cfRule type="cellIs" dxfId="319" priority="109" operator="equal">
      <formula>"Restrição"</formula>
    </cfRule>
  </conditionalFormatting>
  <conditionalFormatting sqref="I967:I968">
    <cfRule type="cellIs" dxfId="318" priority="108" operator="equal">
      <formula>"não"</formula>
    </cfRule>
  </conditionalFormatting>
  <conditionalFormatting sqref="I967:I968">
    <cfRule type="containsText" dxfId="317" priority="107" operator="containsText" text="não">
      <formula>NOT(ISERROR(SEARCH("não",I967)))</formula>
    </cfRule>
  </conditionalFormatting>
  <conditionalFormatting sqref="I967:I968">
    <cfRule type="cellIs" dxfId="316" priority="106" operator="equal">
      <formula>"Restrição"</formula>
    </cfRule>
  </conditionalFormatting>
  <conditionalFormatting sqref="I970">
    <cfRule type="cellIs" dxfId="315" priority="105" operator="equal">
      <formula>"não"</formula>
    </cfRule>
  </conditionalFormatting>
  <conditionalFormatting sqref="I970">
    <cfRule type="containsText" dxfId="314" priority="104" operator="containsText" text="não">
      <formula>NOT(ISERROR(SEARCH("não",I970)))</formula>
    </cfRule>
  </conditionalFormatting>
  <conditionalFormatting sqref="I970">
    <cfRule type="cellIs" dxfId="313" priority="103" operator="equal">
      <formula>"Restrição"</formula>
    </cfRule>
  </conditionalFormatting>
  <conditionalFormatting sqref="I972">
    <cfRule type="cellIs" dxfId="312" priority="102" operator="equal">
      <formula>"não"</formula>
    </cfRule>
  </conditionalFormatting>
  <conditionalFormatting sqref="I972">
    <cfRule type="containsText" dxfId="311" priority="101" operator="containsText" text="não">
      <formula>NOT(ISERROR(SEARCH("não",I972)))</formula>
    </cfRule>
  </conditionalFormatting>
  <conditionalFormatting sqref="I972">
    <cfRule type="cellIs" dxfId="310" priority="100" operator="equal">
      <formula>"Restrição"</formula>
    </cfRule>
  </conditionalFormatting>
  <conditionalFormatting sqref="I952">
    <cfRule type="cellIs" dxfId="309" priority="97" operator="equal">
      <formula>"não"</formula>
    </cfRule>
  </conditionalFormatting>
  <conditionalFormatting sqref="I952">
    <cfRule type="containsText" dxfId="308" priority="96" operator="containsText" text="não">
      <formula>NOT(ISERROR(SEARCH("não",I952)))</formula>
    </cfRule>
  </conditionalFormatting>
  <conditionalFormatting sqref="I495:I497">
    <cfRule type="cellIs" dxfId="307" priority="92" operator="equal">
      <formula>"Restrição"</formula>
    </cfRule>
  </conditionalFormatting>
  <conditionalFormatting sqref="I399:I401">
    <cfRule type="cellIs" dxfId="306" priority="93" operator="equal">
      <formula>"Restrição"</formula>
    </cfRule>
  </conditionalFormatting>
  <conditionalFormatting sqref="I591:I593">
    <cfRule type="cellIs" dxfId="305" priority="91" operator="equal">
      <formula>"Restrição"</formula>
    </cfRule>
  </conditionalFormatting>
  <conditionalFormatting sqref="I687:I689">
    <cfRule type="cellIs" dxfId="304" priority="90" operator="equal">
      <formula>"Restrição"</formula>
    </cfRule>
  </conditionalFormatting>
  <conditionalFormatting sqref="I783:I785">
    <cfRule type="cellIs" dxfId="303" priority="89" operator="equal">
      <formula>"Restrição"</formula>
    </cfRule>
  </conditionalFormatting>
  <conditionalFormatting sqref="I879:I881">
    <cfRule type="cellIs" dxfId="302" priority="88" operator="equal">
      <formula>"Restrição"</formula>
    </cfRule>
  </conditionalFormatting>
  <conditionalFormatting sqref="I975:I977">
    <cfRule type="cellIs" dxfId="301" priority="87" operator="equal">
      <formula>"Restrição"</formula>
    </cfRule>
  </conditionalFormatting>
  <conditionalFormatting sqref="H66">
    <cfRule type="cellIs" dxfId="300" priority="65" operator="equal">
      <formula>"não"</formula>
    </cfRule>
  </conditionalFormatting>
  <conditionalFormatting sqref="H66">
    <cfRule type="containsText" dxfId="299" priority="64" operator="containsText" text="não">
      <formula>NOT(ISERROR(SEARCH("não",H66)))</formula>
    </cfRule>
  </conditionalFormatting>
  <conditionalFormatting sqref="H66">
    <cfRule type="cellIs" dxfId="298" priority="63" operator="equal">
      <formula>"Restrição"</formula>
    </cfRule>
  </conditionalFormatting>
  <conditionalFormatting sqref="H65">
    <cfRule type="cellIs" dxfId="297" priority="62" operator="equal">
      <formula>"não"</formula>
    </cfRule>
  </conditionalFormatting>
  <conditionalFormatting sqref="H65">
    <cfRule type="containsText" dxfId="296" priority="61" operator="containsText" text="não">
      <formula>NOT(ISERROR(SEARCH("não",H65)))</formula>
    </cfRule>
  </conditionalFormatting>
  <conditionalFormatting sqref="H65">
    <cfRule type="cellIs" dxfId="295" priority="60" operator="equal">
      <formula>"Restrição"</formula>
    </cfRule>
  </conditionalFormatting>
  <conditionalFormatting sqref="H67:H80">
    <cfRule type="cellIs" dxfId="294" priority="44" operator="equal">
      <formula>"não"</formula>
    </cfRule>
  </conditionalFormatting>
  <conditionalFormatting sqref="H67:H80">
    <cfRule type="containsText" dxfId="293" priority="43" operator="containsText" text="não">
      <formula>NOT(ISERROR(SEARCH("não",H67)))</formula>
    </cfRule>
  </conditionalFormatting>
  <conditionalFormatting sqref="H67:H80">
    <cfRule type="cellIs" dxfId="292" priority="42" operator="equal">
      <formula>"Restrição"</formula>
    </cfRule>
  </conditionalFormatting>
  <conditionalFormatting sqref="H81">
    <cfRule type="cellIs" dxfId="291" priority="41" operator="equal">
      <formula>"não"</formula>
    </cfRule>
  </conditionalFormatting>
  <conditionalFormatting sqref="H81">
    <cfRule type="containsText" dxfId="290" priority="40" operator="containsText" text="não">
      <formula>NOT(ISERROR(SEARCH("não",H81)))</formula>
    </cfRule>
  </conditionalFormatting>
  <conditionalFormatting sqref="H81">
    <cfRule type="cellIs" dxfId="289" priority="39" operator="equal">
      <formula>"Restrição"</formula>
    </cfRule>
  </conditionalFormatting>
  <conditionalFormatting sqref="I1012:J1028">
    <cfRule type="cellIs" dxfId="288" priority="1" operator="equal">
      <formula>"RESTRIÇÃO"</formula>
    </cfRule>
    <cfRule type="cellIs" dxfId="287" priority="2" operator="equal">
      <formula>"Não Conforme"</formula>
    </cfRule>
  </conditionalFormatting>
  <pageMargins left="0.51181102362204722" right="0.51181102362204722" top="1.1811023622047245" bottom="0.59055118110236227" header="0.31496062992125984" footer="0.19685039370078741"/>
  <pageSetup paperSize="9" orientation="portrait" r:id="rId1"/>
  <rowBreaks count="1" manualBreakCount="1">
    <brk id="83" max="9"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43"/>
  <sheetViews>
    <sheetView zoomScale="130" zoomScaleNormal="130" workbookViewId="0">
      <selection activeCell="D179" sqref="D179"/>
    </sheetView>
  </sheetViews>
  <sheetFormatPr defaultRowHeight="15" x14ac:dyDescent="0.25"/>
  <cols>
    <col min="1" max="1" width="20.140625" style="299" bestFit="1" customWidth="1"/>
    <col min="2" max="2" width="17.7109375" style="299" customWidth="1"/>
    <col min="3" max="3" width="12.7109375" style="299" customWidth="1"/>
    <col min="4" max="4" width="12.28515625" style="299" customWidth="1"/>
    <col min="5" max="5" width="13.5703125" style="299" customWidth="1"/>
    <col min="6" max="6" width="12.42578125" style="299" customWidth="1"/>
    <col min="7" max="7" width="14" style="299" customWidth="1"/>
    <col min="8" max="8" width="14.7109375" style="299" customWidth="1"/>
    <col min="9" max="9" width="11.140625" style="299" customWidth="1"/>
    <col min="10" max="10" width="13" style="299" customWidth="1"/>
    <col min="11" max="11" width="10.28515625" style="299" customWidth="1"/>
    <col min="12" max="12" width="11.42578125" style="299" customWidth="1"/>
    <col min="13" max="13" width="11.140625" style="299" customWidth="1"/>
    <col min="14" max="15" width="9.140625" style="299"/>
    <col min="16" max="16" width="3.42578125" style="299" customWidth="1"/>
    <col min="17" max="17" width="11.140625" style="299" customWidth="1"/>
    <col min="18" max="18" width="10.7109375" style="299" customWidth="1"/>
    <col min="19" max="16384" width="9.140625" style="299"/>
  </cols>
  <sheetData>
    <row r="1" spans="1:13" ht="15.75" thickBot="1" x14ac:dyDescent="0.3">
      <c r="A1" s="1359" t="s">
        <v>2099</v>
      </c>
      <c r="B1" s="1359" t="str">
        <f>"IN "&amp;VLOOKUP("Ressonância Magnética",IN_ANVISA[],2)</f>
        <v>IN 97</v>
      </c>
    </row>
    <row r="2" spans="1:13" ht="15.75" thickBot="1" x14ac:dyDescent="0.3">
      <c r="A2" s="2957" t="s">
        <v>406</v>
      </c>
      <c r="B2" s="2958"/>
      <c r="C2" s="2958"/>
      <c r="D2" s="2958"/>
      <c r="E2" s="2958"/>
      <c r="F2" s="2958"/>
      <c r="G2" s="2959"/>
    </row>
    <row r="3" spans="1:13" x14ac:dyDescent="0.25">
      <c r="A3" s="1942" t="s">
        <v>2214</v>
      </c>
      <c r="B3" s="1567">
        <v>42.576000000000001</v>
      </c>
      <c r="C3" s="1941" t="s">
        <v>2213</v>
      </c>
    </row>
    <row r="4" spans="1:13" x14ac:dyDescent="0.25">
      <c r="A4" s="1248" t="s">
        <v>2100</v>
      </c>
      <c r="B4" s="400" t="s">
        <v>2101</v>
      </c>
    </row>
    <row r="5" spans="1:13" x14ac:dyDescent="0.25">
      <c r="A5" s="1248" t="s">
        <v>2102</v>
      </c>
      <c r="B5" s="400">
        <v>1.5</v>
      </c>
      <c r="C5" s="299" t="s">
        <v>2153</v>
      </c>
      <c r="D5" s="2013"/>
    </row>
    <row r="6" spans="1:13" x14ac:dyDescent="0.25">
      <c r="A6" s="1942" t="s">
        <v>2313</v>
      </c>
      <c r="B6" s="2042"/>
      <c r="D6" s="2013"/>
    </row>
    <row r="7" spans="1:13" ht="15.75" thickBot="1" x14ac:dyDescent="0.3">
      <c r="J7" s="38"/>
      <c r="K7" s="38"/>
      <c r="L7" s="38"/>
      <c r="M7" s="38"/>
    </row>
    <row r="8" spans="1:13" ht="15.75" thickBot="1" x14ac:dyDescent="0.3">
      <c r="A8" s="2957" t="s">
        <v>1277</v>
      </c>
      <c r="B8" s="2958"/>
      <c r="C8" s="2958"/>
      <c r="D8" s="2958"/>
      <c r="E8" s="2958"/>
      <c r="F8" s="2958"/>
      <c r="G8" s="2959"/>
      <c r="J8" s="38"/>
      <c r="K8" s="38"/>
      <c r="L8" s="38"/>
      <c r="M8" s="38"/>
    </row>
    <row r="9" spans="1:13" x14ac:dyDescent="0.25">
      <c r="J9" s="38"/>
      <c r="K9" s="38"/>
      <c r="L9" s="38"/>
      <c r="M9" s="38"/>
    </row>
    <row r="10" spans="1:13" x14ac:dyDescent="0.25">
      <c r="A10" s="2007" t="str">
        <f>IF(E10&lt;&gt;"Sim","NA","Sim")</f>
        <v>NA</v>
      </c>
      <c r="B10" s="1941" t="s">
        <v>2234</v>
      </c>
      <c r="E10" s="2007" t="s">
        <v>273</v>
      </c>
      <c r="F10" s="299" t="s">
        <v>2305</v>
      </c>
      <c r="J10" s="38"/>
      <c r="K10" s="38"/>
      <c r="L10" s="38"/>
      <c r="M10" s="38"/>
    </row>
    <row r="11" spans="1:13" x14ac:dyDescent="0.25">
      <c r="A11" s="400" t="s">
        <v>272</v>
      </c>
      <c r="B11" s="1941" t="s">
        <v>2230</v>
      </c>
      <c r="J11" s="38"/>
      <c r="K11" s="38"/>
      <c r="L11" s="38"/>
      <c r="M11" s="38"/>
    </row>
    <row r="12" spans="1:13" x14ac:dyDescent="0.25">
      <c r="A12" s="2007" t="str">
        <f>IF(E12&lt;&gt;"Sim","NA","Sim")</f>
        <v>NA</v>
      </c>
      <c r="B12" s="1941" t="s">
        <v>2232</v>
      </c>
      <c r="J12" s="38"/>
      <c r="K12" s="38"/>
      <c r="L12" s="38"/>
      <c r="M12" s="38"/>
    </row>
    <row r="13" spans="1:13" x14ac:dyDescent="0.25">
      <c r="A13" s="400" t="s">
        <v>272</v>
      </c>
      <c r="B13" s="1941" t="s">
        <v>2231</v>
      </c>
      <c r="J13" s="38"/>
      <c r="K13" s="38"/>
      <c r="L13" s="38"/>
      <c r="M13" s="38"/>
    </row>
    <row r="14" spans="1:13" x14ac:dyDescent="0.25">
      <c r="A14" s="400" t="s">
        <v>2128</v>
      </c>
      <c r="B14" s="1941" t="s">
        <v>2103</v>
      </c>
      <c r="J14" s="38"/>
      <c r="K14" s="38"/>
      <c r="L14" s="38"/>
      <c r="M14" s="38"/>
    </row>
    <row r="15" spans="1:13" x14ac:dyDescent="0.25">
      <c r="A15" s="1988" t="s">
        <v>272</v>
      </c>
      <c r="B15" s="1941" t="s">
        <v>2235</v>
      </c>
      <c r="J15" s="38"/>
      <c r="K15" s="38"/>
      <c r="L15" s="38"/>
      <c r="M15" s="38"/>
    </row>
    <row r="16" spans="1:13" x14ac:dyDescent="0.25">
      <c r="A16" s="1988" t="s">
        <v>272</v>
      </c>
      <c r="B16" s="1941" t="s">
        <v>2233</v>
      </c>
      <c r="I16" s="38"/>
      <c r="J16" s="38"/>
      <c r="K16" s="38"/>
      <c r="L16" s="38"/>
      <c r="M16" s="38"/>
    </row>
    <row r="17" spans="1:13" x14ac:dyDescent="0.25">
      <c r="A17" s="1988" t="s">
        <v>272</v>
      </c>
      <c r="B17" s="1941" t="s">
        <v>2236</v>
      </c>
      <c r="I17" s="38"/>
      <c r="J17" s="38"/>
      <c r="K17" s="38"/>
      <c r="L17" s="38"/>
      <c r="M17" s="38"/>
    </row>
    <row r="18" spans="1:13" x14ac:dyDescent="0.25">
      <c r="A18" s="1988" t="s">
        <v>272</v>
      </c>
      <c r="B18" s="1941" t="s">
        <v>2237</v>
      </c>
      <c r="J18" s="38"/>
      <c r="K18" s="38"/>
      <c r="L18" s="38"/>
      <c r="M18" s="38"/>
    </row>
    <row r="19" spans="1:13" x14ac:dyDescent="0.25">
      <c r="J19" s="38"/>
      <c r="K19" s="38"/>
      <c r="L19" s="38"/>
      <c r="M19" s="38"/>
    </row>
    <row r="20" spans="1:13" ht="15.75" thickBot="1" x14ac:dyDescent="0.3"/>
    <row r="21" spans="1:13" ht="15.75" thickBot="1" x14ac:dyDescent="0.3">
      <c r="A21" s="2957" t="s">
        <v>2104</v>
      </c>
      <c r="B21" s="2958"/>
      <c r="C21" s="2958"/>
      <c r="D21" s="2958"/>
      <c r="E21" s="2958"/>
      <c r="F21" s="2958"/>
      <c r="G21" s="2959"/>
    </row>
    <row r="22" spans="1:13" x14ac:dyDescent="0.25">
      <c r="A22" s="1994" t="s">
        <v>2105</v>
      </c>
      <c r="B22" s="400">
        <f>F_lamor*CampoMagneticoRM</f>
        <v>63.864000000000004</v>
      </c>
      <c r="C22" s="299" t="s">
        <v>2106</v>
      </c>
    </row>
    <row r="23" spans="1:13" x14ac:dyDescent="0.25">
      <c r="A23" s="1994" t="s">
        <v>2241</v>
      </c>
      <c r="B23" s="400">
        <v>63</v>
      </c>
      <c r="C23" s="299" t="s">
        <v>2106</v>
      </c>
    </row>
    <row r="24" spans="1:13" x14ac:dyDescent="0.25">
      <c r="A24" s="1994" t="s">
        <v>2107</v>
      </c>
      <c r="B24" s="1995">
        <f>ABS(B22-B23)</f>
        <v>0.86400000000000432</v>
      </c>
      <c r="C24" s="1996">
        <f>ABS(B22-B23)/B22</f>
        <v>1.3528748590755422E-2</v>
      </c>
    </row>
    <row r="25" spans="1:13" x14ac:dyDescent="0.25">
      <c r="A25" s="1997" t="s">
        <v>2108</v>
      </c>
      <c r="B25" s="1988"/>
      <c r="C25" s="400" t="s">
        <v>2106</v>
      </c>
    </row>
    <row r="26" spans="1:13" x14ac:dyDescent="0.25">
      <c r="B26" s="1567">
        <f>IF(C25="%",B22*B25/100,B25)</f>
        <v>0</v>
      </c>
      <c r="C26" s="299" t="str">
        <f>C23</f>
        <v>MHz</v>
      </c>
    </row>
    <row r="27" spans="1:13" x14ac:dyDescent="0.25">
      <c r="A27" s="1942" t="str">
        <f>$B$1</f>
        <v>IN 97</v>
      </c>
      <c r="B27" s="359" t="str">
        <f>IF(B25="","NPA",IF(B24&lt;=B26,"Sim","Não"))</f>
        <v>NPA</v>
      </c>
    </row>
    <row r="29" spans="1:13" ht="15.75" thickBot="1" x14ac:dyDescent="0.3"/>
    <row r="30" spans="1:13" ht="15.75" thickBot="1" x14ac:dyDescent="0.3">
      <c r="A30" s="2957" t="s">
        <v>2114</v>
      </c>
      <c r="B30" s="2958"/>
      <c r="C30" s="2958"/>
      <c r="D30" s="2958"/>
      <c r="E30" s="2958"/>
      <c r="F30" s="2958"/>
      <c r="G30" s="2958"/>
      <c r="H30" s="2958"/>
      <c r="I30" s="2958"/>
      <c r="J30" s="2959"/>
    </row>
    <row r="32" spans="1:13" ht="41.25" customHeight="1" x14ac:dyDescent="0.25">
      <c r="A32" s="1973" t="s">
        <v>2115</v>
      </c>
      <c r="B32" s="1973" t="s">
        <v>2125</v>
      </c>
      <c r="C32" s="1973" t="s">
        <v>2116</v>
      </c>
      <c r="D32" s="1973" t="s">
        <v>2117</v>
      </c>
      <c r="E32" s="1973" t="s">
        <v>2211</v>
      </c>
      <c r="F32" s="1973" t="s">
        <v>2118</v>
      </c>
      <c r="G32" s="1973" t="s">
        <v>2119</v>
      </c>
      <c r="H32" s="1973" t="s">
        <v>2132</v>
      </c>
      <c r="I32" s="1973" t="s">
        <v>2120</v>
      </c>
      <c r="J32" s="1973" t="s">
        <v>2124</v>
      </c>
      <c r="K32" s="1293"/>
    </row>
    <row r="33" spans="1:12" s="1244" customFormat="1" x14ac:dyDescent="0.25">
      <c r="A33" s="1972" t="s">
        <v>2130</v>
      </c>
      <c r="B33" s="1972" t="s">
        <v>2131</v>
      </c>
      <c r="C33" s="400">
        <v>200</v>
      </c>
      <c r="D33" s="400">
        <v>20</v>
      </c>
      <c r="E33" s="400">
        <v>250</v>
      </c>
      <c r="F33" s="400">
        <v>1</v>
      </c>
      <c r="G33" s="400">
        <v>10</v>
      </c>
      <c r="H33" s="400" t="s">
        <v>2133</v>
      </c>
      <c r="I33" s="400" t="s">
        <v>2123</v>
      </c>
      <c r="J33" s="400">
        <v>56</v>
      </c>
      <c r="K33" s="1989"/>
      <c r="L33" s="1244" t="str">
        <f>IF(C33="","",CONCATENATE($B$33,", ",$C$32," ",C33,", ",$D$32," ",D33,", ",$E$32," ",E33)&amp;"; "&amp;CONCATENATE($F$32," ",F33,", ",$G$32," ",G33,", ",$H$32," ",H33,", ",$I$32," ",I33,", ",$J$32," ",J33)&amp;".")</f>
        <v>Spin-eco, TR [ms] 200, TE [ms] 20, FOV [mm] 250; N° cortes 1, Espessura de corte [mm] 10, Espaçamento entre cortes [mm] N/A, Matriz [freq/fase] 256/256, Tempo de varredura [s] 56.</v>
      </c>
    </row>
    <row r="34" spans="1:12" x14ac:dyDescent="0.25">
      <c r="A34" s="348" t="s">
        <v>2110</v>
      </c>
      <c r="B34" s="348" t="s">
        <v>2121</v>
      </c>
      <c r="C34" s="400">
        <v>500</v>
      </c>
      <c r="D34" s="400">
        <v>20</v>
      </c>
      <c r="E34" s="400">
        <v>250</v>
      </c>
      <c r="F34" s="400">
        <v>11</v>
      </c>
      <c r="G34" s="400">
        <v>5</v>
      </c>
      <c r="H34" s="400">
        <v>5</v>
      </c>
      <c r="I34" s="400" t="s">
        <v>2123</v>
      </c>
      <c r="J34" s="400">
        <v>136</v>
      </c>
      <c r="L34" s="1244" t="str">
        <f t="shared" ref="L34:L37" si="0">IF(C34="","",CONCATENATE($B$33,", ",$C$32," ",C34,", ",$D$32," ",D34,", ",$E$32," ",E34)&amp;"; "&amp;CONCATENATE($F$32," ",F34,", ",$G$32," ",G34,", ",$H$32," ",H34,", ",$I$32," ",I34,", ",$J$32," ",J34)&amp;".")</f>
        <v>Spin-eco, TR [ms] 500, TE [ms] 20, FOV [mm] 250; N° cortes 11, Espessura de corte [mm] 5, Espaçamento entre cortes [mm] 5, Matriz [freq/fase] 256/256, Tempo de varredura [s] 136.</v>
      </c>
    </row>
    <row r="35" spans="1:12" x14ac:dyDescent="0.25">
      <c r="A35" s="348" t="s">
        <v>2111</v>
      </c>
      <c r="B35" s="348" t="s">
        <v>2122</v>
      </c>
      <c r="C35" s="400">
        <v>2000</v>
      </c>
      <c r="D35" s="400">
        <v>80</v>
      </c>
      <c r="E35" s="400">
        <v>250</v>
      </c>
      <c r="F35" s="400">
        <v>11</v>
      </c>
      <c r="G35" s="400">
        <v>5</v>
      </c>
      <c r="H35" s="400">
        <v>5</v>
      </c>
      <c r="I35" s="400" t="s">
        <v>2123</v>
      </c>
      <c r="J35" s="400">
        <f>8*60+56</f>
        <v>536</v>
      </c>
      <c r="L35" s="1244" t="str">
        <f t="shared" si="0"/>
        <v>Spin-eco, TR [ms] 2000, TE [ms] 80, FOV [mm] 250; N° cortes 11, Espessura de corte [mm] 5, Espaçamento entre cortes [mm] 5, Matriz [freq/fase] 256/256, Tempo de varredura [s] 536.</v>
      </c>
    </row>
    <row r="36" spans="1:12" x14ac:dyDescent="0.25">
      <c r="A36" s="348" t="s">
        <v>2112</v>
      </c>
      <c r="B36" s="348" t="s">
        <v>2121</v>
      </c>
      <c r="C36" s="400"/>
      <c r="D36" s="400"/>
      <c r="E36" s="400"/>
      <c r="F36" s="400"/>
      <c r="G36" s="400"/>
      <c r="H36" s="400"/>
      <c r="I36" s="400"/>
      <c r="J36" s="400"/>
      <c r="L36" s="1244" t="str">
        <f t="shared" si="0"/>
        <v/>
      </c>
    </row>
    <row r="37" spans="1:12" x14ac:dyDescent="0.25">
      <c r="A37" s="348" t="s">
        <v>2113</v>
      </c>
      <c r="B37" s="348" t="s">
        <v>2122</v>
      </c>
      <c r="C37" s="400"/>
      <c r="D37" s="400"/>
      <c r="E37" s="400"/>
      <c r="F37" s="400"/>
      <c r="G37" s="400"/>
      <c r="H37" s="400"/>
      <c r="I37" s="400"/>
      <c r="J37" s="400"/>
      <c r="L37" s="1244" t="str">
        <f t="shared" si="0"/>
        <v/>
      </c>
    </row>
    <row r="39" spans="1:12" ht="15.75" thickBot="1" x14ac:dyDescent="0.3"/>
    <row r="40" spans="1:12" ht="15.75" thickBot="1" x14ac:dyDescent="0.3">
      <c r="A40" s="2957" t="s">
        <v>2129</v>
      </c>
      <c r="B40" s="2958"/>
      <c r="C40" s="2958"/>
      <c r="D40" s="2958"/>
      <c r="E40" s="2958"/>
      <c r="F40" s="2958"/>
      <c r="G40" s="2958"/>
      <c r="H40" s="2959"/>
    </row>
    <row r="42" spans="1:12" x14ac:dyDescent="0.25">
      <c r="A42" s="299" t="s">
        <v>2134</v>
      </c>
    </row>
    <row r="44" spans="1:12" x14ac:dyDescent="0.25">
      <c r="A44" s="1973" t="s">
        <v>2115</v>
      </c>
      <c r="B44" s="1974" t="s">
        <v>1122</v>
      </c>
      <c r="C44" s="1974" t="str">
        <f>$B$1</f>
        <v>IN 97</v>
      </c>
    </row>
    <row r="45" spans="1:12" x14ac:dyDescent="0.25">
      <c r="A45" s="348" t="s">
        <v>2110</v>
      </c>
      <c r="B45" s="1991" t="e">
        <f>H51</f>
        <v>#DIV/0!</v>
      </c>
      <c r="C45" s="359" t="str">
        <f>IFERROR(IF(B45&lt;=3%,"Sim","Não"),"NPA")</f>
        <v>NPA</v>
      </c>
    </row>
    <row r="46" spans="1:12" x14ac:dyDescent="0.25">
      <c r="A46" s="348" t="s">
        <v>2111</v>
      </c>
      <c r="B46" s="1991" t="e">
        <f t="shared" ref="B46:B48" si="1">H52</f>
        <v>#DIV/0!</v>
      </c>
      <c r="C46" s="359" t="str">
        <f t="shared" ref="C46:C48" si="2">IFERROR(IF(B46&lt;=3%,"Sim","Não"),"NPA")</f>
        <v>NPA</v>
      </c>
    </row>
    <row r="47" spans="1:12" x14ac:dyDescent="0.25">
      <c r="A47" s="348" t="s">
        <v>2112</v>
      </c>
      <c r="B47" s="1991" t="e">
        <f t="shared" si="1"/>
        <v>#DIV/0!</v>
      </c>
      <c r="C47" s="359" t="str">
        <f t="shared" si="2"/>
        <v>NPA</v>
      </c>
    </row>
    <row r="48" spans="1:12" x14ac:dyDescent="0.25">
      <c r="A48" s="348" t="s">
        <v>2113</v>
      </c>
      <c r="B48" s="1991" t="e">
        <f t="shared" si="1"/>
        <v>#DIV/0!</v>
      </c>
      <c r="C48" s="359" t="str">
        <f t="shared" si="2"/>
        <v>NPA</v>
      </c>
    </row>
    <row r="50" spans="1:8" x14ac:dyDescent="0.25">
      <c r="B50" s="1973" t="s">
        <v>2140</v>
      </c>
      <c r="C50" s="348" t="s">
        <v>2139</v>
      </c>
      <c r="D50" s="348" t="s">
        <v>2135</v>
      </c>
      <c r="E50" s="348" t="s">
        <v>2136</v>
      </c>
      <c r="F50" s="359" t="s">
        <v>2137</v>
      </c>
      <c r="G50" s="359" t="s">
        <v>2138</v>
      </c>
      <c r="H50" s="359" t="s">
        <v>2141</v>
      </c>
    </row>
    <row r="51" spans="1:8" x14ac:dyDescent="0.25">
      <c r="B51" s="348" t="s">
        <v>2110</v>
      </c>
      <c r="C51" s="1990"/>
      <c r="D51" s="1990"/>
      <c r="E51" s="1990"/>
      <c r="F51" s="1990"/>
      <c r="G51" s="1990"/>
      <c r="H51" s="1992" t="e">
        <f>ABS(((D51+F51)-(E51+G51))/(2*C51))</f>
        <v>#DIV/0!</v>
      </c>
    </row>
    <row r="52" spans="1:8" x14ac:dyDescent="0.25">
      <c r="B52" s="348" t="s">
        <v>2111</v>
      </c>
      <c r="C52" s="1990"/>
      <c r="D52" s="1990"/>
      <c r="E52" s="1990"/>
      <c r="F52" s="1990"/>
      <c r="G52" s="1990"/>
      <c r="H52" s="1992" t="e">
        <f t="shared" ref="H52:H54" si="3">ABS(((D52+F52)-(E52+G52))/(2*C52))</f>
        <v>#DIV/0!</v>
      </c>
    </row>
    <row r="53" spans="1:8" x14ac:dyDescent="0.25">
      <c r="B53" s="348" t="s">
        <v>2112</v>
      </c>
      <c r="C53" s="1990"/>
      <c r="D53" s="1990"/>
      <c r="E53" s="1990"/>
      <c r="F53" s="1990"/>
      <c r="G53" s="1990"/>
      <c r="H53" s="1992" t="e">
        <f t="shared" si="3"/>
        <v>#DIV/0!</v>
      </c>
    </row>
    <row r="54" spans="1:8" x14ac:dyDescent="0.25">
      <c r="B54" s="348" t="s">
        <v>2113</v>
      </c>
      <c r="C54" s="1990"/>
      <c r="D54" s="1990"/>
      <c r="E54" s="1990"/>
      <c r="F54" s="1990"/>
      <c r="G54" s="1990"/>
      <c r="H54" s="1992" t="e">
        <f t="shared" si="3"/>
        <v>#DIV/0!</v>
      </c>
    </row>
    <row r="55" spans="1:8" x14ac:dyDescent="0.25">
      <c r="C55" s="3031" t="s">
        <v>2147</v>
      </c>
      <c r="D55" s="3031"/>
      <c r="E55" s="3031"/>
      <c r="F55" s="3031"/>
      <c r="G55" s="3031"/>
    </row>
    <row r="56" spans="1:8" ht="15.75" thickBot="1" x14ac:dyDescent="0.3"/>
    <row r="57" spans="1:8" ht="15.75" thickBot="1" x14ac:dyDescent="0.3">
      <c r="A57" s="2957" t="s">
        <v>2142</v>
      </c>
      <c r="B57" s="2958"/>
      <c r="C57" s="2958"/>
      <c r="D57" s="2958"/>
      <c r="E57" s="2958"/>
      <c r="F57" s="2958"/>
      <c r="G57" s="2958"/>
      <c r="H57" s="2959"/>
    </row>
    <row r="58" spans="1:8" x14ac:dyDescent="0.25">
      <c r="A58" s="299" t="s">
        <v>2276</v>
      </c>
    </row>
    <row r="59" spans="1:8" x14ac:dyDescent="0.25">
      <c r="A59" s="299" t="s">
        <v>2149</v>
      </c>
    </row>
    <row r="61" spans="1:8" s="1993" customFormat="1" ht="30" x14ac:dyDescent="0.25">
      <c r="A61" s="1973" t="s">
        <v>2115</v>
      </c>
      <c r="B61" s="1998" t="s">
        <v>2151</v>
      </c>
      <c r="C61" s="1998" t="s">
        <v>2152</v>
      </c>
      <c r="D61" s="1998" t="s">
        <v>2156</v>
      </c>
      <c r="E61" s="1998" t="s">
        <v>2150</v>
      </c>
      <c r="F61" s="1974" t="str">
        <f>$B$1</f>
        <v>IN 97</v>
      </c>
    </row>
    <row r="62" spans="1:8" x14ac:dyDescent="0.25">
      <c r="A62" s="348" t="s">
        <v>2110</v>
      </c>
      <c r="B62" s="1990">
        <v>4.8</v>
      </c>
      <c r="C62" s="1990">
        <v>5.2</v>
      </c>
      <c r="D62" s="348">
        <f>C62-B62</f>
        <v>0.40000000000000036</v>
      </c>
      <c r="E62" s="348">
        <f>ABS(D62)/2</f>
        <v>0.20000000000000018</v>
      </c>
      <c r="F62" s="359" t="str">
        <f>IFERROR(IF(E62&lt;=2,"Sim","Não"),"NPA")</f>
        <v>Sim</v>
      </c>
    </row>
    <row r="63" spans="1:8" x14ac:dyDescent="0.25">
      <c r="A63" s="348" t="s">
        <v>2111</v>
      </c>
      <c r="B63" s="1990" t="s">
        <v>334</v>
      </c>
      <c r="C63" s="1990" t="s">
        <v>334</v>
      </c>
      <c r="D63" s="348" t="e">
        <f t="shared" ref="D63:D65" si="4">C63-B63</f>
        <v>#VALUE!</v>
      </c>
      <c r="E63" s="348" t="e">
        <f t="shared" ref="E63:E65" si="5">ABS(D63)/2</f>
        <v>#VALUE!</v>
      </c>
      <c r="F63" s="359" t="str">
        <f t="shared" ref="F63:F65" si="6">IFERROR(IF(E63&lt;=2,"Sim","Não"),"NPA")</f>
        <v>NPA</v>
      </c>
    </row>
    <row r="64" spans="1:8" x14ac:dyDescent="0.25">
      <c r="A64" s="348" t="s">
        <v>2112</v>
      </c>
      <c r="B64" s="1990" t="s">
        <v>334</v>
      </c>
      <c r="C64" s="1990" t="s">
        <v>334</v>
      </c>
      <c r="D64" s="348" t="e">
        <f t="shared" si="4"/>
        <v>#VALUE!</v>
      </c>
      <c r="E64" s="348" t="e">
        <f t="shared" si="5"/>
        <v>#VALUE!</v>
      </c>
      <c r="F64" s="359" t="str">
        <f t="shared" si="6"/>
        <v>NPA</v>
      </c>
    </row>
    <row r="65" spans="1:11" x14ac:dyDescent="0.25">
      <c r="A65" s="348" t="s">
        <v>2113</v>
      </c>
      <c r="B65" s="1990" t="s">
        <v>334</v>
      </c>
      <c r="C65" s="1990" t="s">
        <v>334</v>
      </c>
      <c r="D65" s="348" t="e">
        <f t="shared" si="4"/>
        <v>#VALUE!</v>
      </c>
      <c r="E65" s="348" t="e">
        <f t="shared" si="5"/>
        <v>#VALUE!</v>
      </c>
      <c r="F65" s="359" t="str">
        <f t="shared" si="6"/>
        <v>NPA</v>
      </c>
    </row>
    <row r="67" spans="1:11" ht="15.75" thickBot="1" x14ac:dyDescent="0.3"/>
    <row r="68" spans="1:11" ht="15.75" thickBot="1" x14ac:dyDescent="0.3">
      <c r="A68" s="2957" t="s">
        <v>2154</v>
      </c>
      <c r="B68" s="2958"/>
      <c r="C68" s="2958"/>
      <c r="D68" s="2958"/>
      <c r="E68" s="2958"/>
      <c r="F68" s="2958"/>
      <c r="G68" s="2958"/>
      <c r="H68" s="2958"/>
      <c r="I68" s="2958"/>
      <c r="J68" s="2959"/>
    </row>
    <row r="69" spans="1:11" x14ac:dyDescent="0.25">
      <c r="A69" s="299" t="s">
        <v>2148</v>
      </c>
    </row>
    <row r="70" spans="1:11" x14ac:dyDescent="0.25">
      <c r="A70" s="299" t="s">
        <v>2164</v>
      </c>
    </row>
    <row r="71" spans="1:11" x14ac:dyDescent="0.25">
      <c r="A71" s="299" t="s">
        <v>2160</v>
      </c>
    </row>
    <row r="72" spans="1:11" x14ac:dyDescent="0.25">
      <c r="C72" s="2001"/>
      <c r="D72" s="2001"/>
    </row>
    <row r="73" spans="1:11" s="1993" customFormat="1" ht="30" x14ac:dyDescent="0.25">
      <c r="A73" s="1973" t="s">
        <v>2115</v>
      </c>
      <c r="B73" s="1998" t="s">
        <v>2155</v>
      </c>
      <c r="C73" s="1998" t="s">
        <v>2157</v>
      </c>
      <c r="D73" s="1998" t="s">
        <v>2158</v>
      </c>
      <c r="E73" s="1973" t="s">
        <v>2161</v>
      </c>
      <c r="F73" s="2334" t="s">
        <v>2818</v>
      </c>
      <c r="G73" s="1973" t="s">
        <v>2162</v>
      </c>
      <c r="H73" s="1973" t="s">
        <v>2163</v>
      </c>
      <c r="I73" s="1973" t="s">
        <v>2159</v>
      </c>
      <c r="J73" s="1973" t="s">
        <v>10</v>
      </c>
      <c r="K73" s="1974" t="str">
        <f>$B$1</f>
        <v>IN 97</v>
      </c>
    </row>
    <row r="74" spans="1:11" x14ac:dyDescent="0.25">
      <c r="A74" s="348" t="s">
        <v>2110</v>
      </c>
      <c r="B74" s="348">
        <f>G34</f>
        <v>5</v>
      </c>
      <c r="C74" s="1990">
        <v>90</v>
      </c>
      <c r="D74" s="1990">
        <v>50</v>
      </c>
      <c r="E74" s="2002" t="str">
        <f>IFERROR(IF(OR(ABS(C74-D74)/C74&gt;0.2,ABS(C74-D74)/D74&gt;0.2),"Repetir medição; ROI está fora da área de interesse.","Ok"),"")</f>
        <v>Repetir medição; ROI está fora da área de interesse.</v>
      </c>
      <c r="F74" s="2336">
        <f>IF(AND(C74="",D74=""),"",SUM(C74,D74)/2)</f>
        <v>70</v>
      </c>
      <c r="G74" s="1990"/>
      <c r="H74" s="1990"/>
      <c r="I74" s="578" t="e">
        <f>0.2*(G74*H74)/(G74+H74)</f>
        <v>#DIV/0!</v>
      </c>
      <c r="J74" s="2000" t="e">
        <f>ABS(B74-I74)/B74</f>
        <v>#DIV/0!</v>
      </c>
      <c r="K74" s="359" t="str">
        <f>IFERROR(IF(J74&lt;=15%,"Sim","Não"),"NPA")</f>
        <v>NPA</v>
      </c>
    </row>
    <row r="75" spans="1:11" x14ac:dyDescent="0.25">
      <c r="A75" s="348" t="s">
        <v>2111</v>
      </c>
      <c r="B75" s="348">
        <f>G35</f>
        <v>5</v>
      </c>
      <c r="C75" s="1990"/>
      <c r="D75" s="1990"/>
      <c r="E75" s="2002" t="str">
        <f t="shared" ref="E75:E77" si="7">IFERROR(IF(OR(ABS(C75-D75)/C75&gt;0.2,ABS(C75-D75)/D75&gt;0.2),"Repetir medição; ROI está fora da área de interesse.","Ok"),"")</f>
        <v/>
      </c>
      <c r="F75" s="2336" t="str">
        <f t="shared" ref="F75:F77" si="8">IF(AND(C75="",D75=""),"",SUM(C75,D75)/2)</f>
        <v/>
      </c>
      <c r="G75" s="1990"/>
      <c r="H75" s="1990"/>
      <c r="I75" s="578" t="e">
        <f t="shared" ref="I75:I77" si="9">0.2*(G75*H75)/(G75+H75)</f>
        <v>#DIV/0!</v>
      </c>
      <c r="J75" s="2000" t="e">
        <f>ABS(B75-I75)/B75</f>
        <v>#DIV/0!</v>
      </c>
      <c r="K75" s="359" t="str">
        <f t="shared" ref="K75:K77" si="10">IFERROR(IF(J75&lt;=15%,"Sim","Não"),"NPA")</f>
        <v>NPA</v>
      </c>
    </row>
    <row r="76" spans="1:11" x14ac:dyDescent="0.25">
      <c r="A76" s="348" t="s">
        <v>2112</v>
      </c>
      <c r="B76" s="348">
        <f>G36</f>
        <v>0</v>
      </c>
      <c r="C76" s="1990"/>
      <c r="D76" s="1990"/>
      <c r="E76" s="2002" t="str">
        <f t="shared" si="7"/>
        <v/>
      </c>
      <c r="F76" s="2336" t="str">
        <f t="shared" si="8"/>
        <v/>
      </c>
      <c r="G76" s="1990"/>
      <c r="H76" s="1990"/>
      <c r="I76" s="578" t="e">
        <f t="shared" si="9"/>
        <v>#DIV/0!</v>
      </c>
      <c r="J76" s="2000" t="e">
        <f>ABS(B76-I76)/B76</f>
        <v>#DIV/0!</v>
      </c>
      <c r="K76" s="359" t="str">
        <f t="shared" si="10"/>
        <v>NPA</v>
      </c>
    </row>
    <row r="77" spans="1:11" x14ac:dyDescent="0.25">
      <c r="A77" s="348" t="s">
        <v>2113</v>
      </c>
      <c r="B77" s="348">
        <f>G37</f>
        <v>0</v>
      </c>
      <c r="C77" s="1990"/>
      <c r="D77" s="1990"/>
      <c r="E77" s="2002" t="str">
        <f t="shared" si="7"/>
        <v/>
      </c>
      <c r="F77" s="2336" t="str">
        <f t="shared" si="8"/>
        <v/>
      </c>
      <c r="G77" s="1990"/>
      <c r="H77" s="1990"/>
      <c r="I77" s="578" t="e">
        <f t="shared" si="9"/>
        <v>#DIV/0!</v>
      </c>
      <c r="J77" s="2000" t="e">
        <f>ABS(B77-I77)/B77</f>
        <v>#DIV/0!</v>
      </c>
      <c r="K77" s="359" t="str">
        <f t="shared" si="10"/>
        <v>NPA</v>
      </c>
    </row>
    <row r="87" spans="1:13" ht="15.75" thickBot="1" x14ac:dyDescent="0.3"/>
    <row r="88" spans="1:13" ht="15.75" thickBot="1" x14ac:dyDescent="0.3">
      <c r="A88" s="2957" t="s">
        <v>2165</v>
      </c>
      <c r="B88" s="2958"/>
      <c r="C88" s="2958"/>
      <c r="D88" s="2958"/>
      <c r="E88" s="2958"/>
      <c r="F88" s="2958"/>
      <c r="G88" s="2958"/>
      <c r="H88" s="2959"/>
    </row>
    <row r="89" spans="1:13" x14ac:dyDescent="0.25">
      <c r="A89" s="299" t="s">
        <v>2166</v>
      </c>
    </row>
    <row r="90" spans="1:13" x14ac:dyDescent="0.25">
      <c r="A90" s="299" t="s">
        <v>2167</v>
      </c>
    </row>
    <row r="91" spans="1:13" x14ac:dyDescent="0.25">
      <c r="A91" s="299" t="s">
        <v>2174</v>
      </c>
      <c r="E91" s="299" t="s">
        <v>2279</v>
      </c>
    </row>
    <row r="92" spans="1:13" x14ac:dyDescent="0.25">
      <c r="A92" s="299" t="s">
        <v>2275</v>
      </c>
    </row>
    <row r="94" spans="1:13" x14ac:dyDescent="0.25">
      <c r="D94" s="2976" t="s">
        <v>2171</v>
      </c>
      <c r="E94" s="3030"/>
      <c r="F94" s="3035" t="s">
        <v>2172</v>
      </c>
      <c r="G94" s="2976"/>
      <c r="H94" s="2976"/>
      <c r="I94" s="2976"/>
    </row>
    <row r="95" spans="1:13" s="1993" customFormat="1" ht="46.5" customHeight="1" x14ac:dyDescent="0.25">
      <c r="A95" s="1973" t="s">
        <v>2115</v>
      </c>
      <c r="B95" s="1987" t="s">
        <v>2257</v>
      </c>
      <c r="C95" s="1973" t="s">
        <v>2168</v>
      </c>
      <c r="D95" s="1973" t="s">
        <v>2169</v>
      </c>
      <c r="E95" s="1269" t="s">
        <v>2170</v>
      </c>
      <c r="F95" s="2026" t="s">
        <v>2169</v>
      </c>
      <c r="G95" s="1987" t="s">
        <v>2170</v>
      </c>
      <c r="H95" s="1987" t="s">
        <v>2255</v>
      </c>
      <c r="I95" s="1987" t="s">
        <v>2256</v>
      </c>
      <c r="J95" s="1973" t="s">
        <v>2173</v>
      </c>
      <c r="K95" s="1987" t="s">
        <v>2258</v>
      </c>
      <c r="L95" s="1974" t="str">
        <f>$B$1</f>
        <v>IN 97</v>
      </c>
      <c r="M95" s="299"/>
    </row>
    <row r="96" spans="1:13" x14ac:dyDescent="0.25">
      <c r="A96" s="1972" t="s">
        <v>2130</v>
      </c>
      <c r="B96" s="348">
        <v>148</v>
      </c>
      <c r="C96" s="348">
        <f>B96*2%</f>
        <v>2.96</v>
      </c>
      <c r="D96" s="1990" t="s">
        <v>334</v>
      </c>
      <c r="E96" s="2024" t="s">
        <v>240</v>
      </c>
      <c r="F96" s="2027" t="s">
        <v>240</v>
      </c>
      <c r="G96" s="348" t="s">
        <v>240</v>
      </c>
      <c r="H96" s="348" t="s">
        <v>240</v>
      </c>
      <c r="I96" s="348" t="s">
        <v>240</v>
      </c>
      <c r="J96" s="348" t="e">
        <f>ABS(D96-B96)</f>
        <v>#VALUE!</v>
      </c>
      <c r="K96" s="2029" t="e">
        <f>J96/B96</f>
        <v>#VALUE!</v>
      </c>
      <c r="L96" s="359" t="str">
        <f>IFERROR(IF(J96&gt;C96,"Não","Sim"),"NPA")</f>
        <v>NPA</v>
      </c>
    </row>
    <row r="97" spans="1:12" x14ac:dyDescent="0.25">
      <c r="A97" s="348" t="s">
        <v>2110</v>
      </c>
      <c r="B97" s="348">
        <v>190</v>
      </c>
      <c r="C97" s="348">
        <f t="shared" ref="C97:C100" si="11">B97*2%</f>
        <v>3.8000000000000003</v>
      </c>
      <c r="D97" s="1990" t="s">
        <v>334</v>
      </c>
      <c r="E97" s="2025"/>
      <c r="F97" s="2028" t="s">
        <v>334</v>
      </c>
      <c r="G97" s="1990" t="s">
        <v>334</v>
      </c>
      <c r="H97" s="1990" t="s">
        <v>334</v>
      </c>
      <c r="I97" s="1990" t="s">
        <v>334</v>
      </c>
      <c r="J97" s="348" t="e">
        <f>MAX(ABS(D97-B97),ABS(E97-B97),ABS(G97-B97),ABS(F97-B97),ABS(H97-B97),ABS(I97-B97))</f>
        <v>#VALUE!</v>
      </c>
      <c r="K97" s="2029" t="e">
        <f t="shared" ref="K97:K100" si="12">J97/B97</f>
        <v>#VALUE!</v>
      </c>
      <c r="L97" s="359" t="str">
        <f>IFERROR(IF(J97&gt;C97,"Não","Sim"),"NPA")</f>
        <v>NPA</v>
      </c>
    </row>
    <row r="98" spans="1:12" x14ac:dyDescent="0.25">
      <c r="A98" s="348" t="s">
        <v>2111</v>
      </c>
      <c r="B98" s="348">
        <v>190</v>
      </c>
      <c r="C98" s="348">
        <f t="shared" si="11"/>
        <v>3.8000000000000003</v>
      </c>
      <c r="D98" s="1990" t="s">
        <v>334</v>
      </c>
      <c r="E98" s="2025" t="s">
        <v>334</v>
      </c>
      <c r="F98" s="2028" t="s">
        <v>334</v>
      </c>
      <c r="G98" s="1990" t="s">
        <v>334</v>
      </c>
      <c r="H98" s="1990" t="s">
        <v>334</v>
      </c>
      <c r="I98" s="1990" t="s">
        <v>334</v>
      </c>
      <c r="J98" s="348" t="e">
        <f t="shared" ref="J98:J100" si="13">MAX(ABS(D98-B98),ABS(E98-B98),ABS(G98-B98),ABS(F98-B98),ABS(H98-B98),ABS(I98-B98))</f>
        <v>#VALUE!</v>
      </c>
      <c r="K98" s="2029" t="e">
        <f t="shared" si="12"/>
        <v>#VALUE!</v>
      </c>
      <c r="L98" s="359" t="str">
        <f>IFERROR(IF(J98&gt;C98,"Não","Sim"),"NPA")</f>
        <v>NPA</v>
      </c>
    </row>
    <row r="99" spans="1:12" x14ac:dyDescent="0.25">
      <c r="A99" s="348" t="s">
        <v>2112</v>
      </c>
      <c r="B99" s="348">
        <v>190</v>
      </c>
      <c r="C99" s="348">
        <f t="shared" si="11"/>
        <v>3.8000000000000003</v>
      </c>
      <c r="D99" s="1990" t="s">
        <v>334</v>
      </c>
      <c r="E99" s="2025" t="s">
        <v>334</v>
      </c>
      <c r="F99" s="2028" t="s">
        <v>334</v>
      </c>
      <c r="G99" s="1990" t="s">
        <v>334</v>
      </c>
      <c r="H99" s="1990" t="s">
        <v>334</v>
      </c>
      <c r="I99" s="1990" t="s">
        <v>334</v>
      </c>
      <c r="J99" s="348" t="e">
        <f t="shared" si="13"/>
        <v>#VALUE!</v>
      </c>
      <c r="K99" s="2029" t="e">
        <f t="shared" si="12"/>
        <v>#VALUE!</v>
      </c>
      <c r="L99" s="359" t="str">
        <f>IFERROR(IF(J99&gt;C99,"Não","Sim"),"NPA")</f>
        <v>NPA</v>
      </c>
    </row>
    <row r="100" spans="1:12" x14ac:dyDescent="0.25">
      <c r="A100" s="348" t="s">
        <v>2113</v>
      </c>
      <c r="B100" s="348">
        <v>190</v>
      </c>
      <c r="C100" s="348">
        <f t="shared" si="11"/>
        <v>3.8000000000000003</v>
      </c>
      <c r="D100" s="1990" t="s">
        <v>334</v>
      </c>
      <c r="E100" s="2025" t="s">
        <v>334</v>
      </c>
      <c r="F100" s="2028" t="s">
        <v>334</v>
      </c>
      <c r="G100" s="1990" t="s">
        <v>334</v>
      </c>
      <c r="H100" s="1990" t="s">
        <v>334</v>
      </c>
      <c r="I100" s="1990" t="s">
        <v>334</v>
      </c>
      <c r="J100" s="348" t="e">
        <f t="shared" si="13"/>
        <v>#VALUE!</v>
      </c>
      <c r="K100" s="2029" t="e">
        <f t="shared" si="12"/>
        <v>#VALUE!</v>
      </c>
      <c r="L100" s="359" t="str">
        <f>IFERROR(IF(J100&gt;C100,"Não","Sim"),"NPA")</f>
        <v>NPA</v>
      </c>
    </row>
    <row r="101" spans="1:12" x14ac:dyDescent="0.25">
      <c r="D101" s="1567"/>
      <c r="E101" s="1567"/>
    </row>
    <row r="102" spans="1:12" x14ac:dyDescent="0.25">
      <c r="D102" s="1567"/>
      <c r="E102" s="1567"/>
    </row>
    <row r="108" spans="1:12" ht="15.75" thickBot="1" x14ac:dyDescent="0.3"/>
    <row r="109" spans="1:12" ht="15.75" thickBot="1" x14ac:dyDescent="0.3">
      <c r="A109" s="2957" t="s">
        <v>2175</v>
      </c>
      <c r="B109" s="2958"/>
      <c r="C109" s="2958"/>
      <c r="D109" s="2958"/>
      <c r="E109" s="2958"/>
      <c r="F109" s="2958"/>
      <c r="G109" s="2958"/>
      <c r="H109" s="2959"/>
    </row>
    <row r="110" spans="1:12" x14ac:dyDescent="0.25">
      <c r="A110" s="299" t="s">
        <v>2148</v>
      </c>
      <c r="C110" s="299" t="s">
        <v>2177</v>
      </c>
    </row>
    <row r="111" spans="1:12" x14ac:dyDescent="0.25">
      <c r="A111" s="299" t="s">
        <v>2176</v>
      </c>
    </row>
    <row r="112" spans="1:12" x14ac:dyDescent="0.25">
      <c r="A112" s="299" t="s">
        <v>2178</v>
      </c>
    </row>
    <row r="114" spans="1:9" x14ac:dyDescent="0.25">
      <c r="B114" s="1994" t="s">
        <v>2260</v>
      </c>
      <c r="C114" s="2003">
        <v>1</v>
      </c>
    </row>
    <row r="116" spans="1:9" ht="30" x14ac:dyDescent="0.25">
      <c r="A116" s="1973" t="s">
        <v>2115</v>
      </c>
      <c r="B116" s="1973" t="s">
        <v>2181</v>
      </c>
      <c r="C116" s="1974" t="str">
        <f>$B$1</f>
        <v>IN 97</v>
      </c>
      <c r="D116" s="1567"/>
      <c r="E116" s="1567"/>
      <c r="F116" s="1567"/>
    </row>
    <row r="117" spans="1:9" x14ac:dyDescent="0.25">
      <c r="A117" s="348" t="s">
        <v>2110</v>
      </c>
      <c r="B117" s="1990">
        <v>0.9</v>
      </c>
      <c r="C117" s="359" t="str">
        <f>IF(B117="","NPA",(IF(B117&gt;$C$114,"Não","Sim")))</f>
        <v>Sim</v>
      </c>
      <c r="D117" s="1567"/>
      <c r="E117" s="1567"/>
      <c r="F117" s="1567"/>
    </row>
    <row r="118" spans="1:9" x14ac:dyDescent="0.25">
      <c r="A118" s="348" t="s">
        <v>2111</v>
      </c>
      <c r="B118" s="1990"/>
      <c r="C118" s="359" t="str">
        <f t="shared" ref="C118:C120" si="14">IF(B118="","NPA",(IF(B118&gt;$C$114,"Não","Sim")))</f>
        <v>NPA</v>
      </c>
      <c r="D118" s="1567"/>
      <c r="E118" s="1567"/>
      <c r="F118" s="1567"/>
    </row>
    <row r="119" spans="1:9" x14ac:dyDescent="0.25">
      <c r="A119" s="348" t="s">
        <v>2112</v>
      </c>
      <c r="B119" s="1990"/>
      <c r="C119" s="359" t="str">
        <f t="shared" si="14"/>
        <v>NPA</v>
      </c>
      <c r="D119" s="1567"/>
      <c r="E119" s="1567"/>
      <c r="F119" s="1567"/>
    </row>
    <row r="120" spans="1:9" x14ac:dyDescent="0.25">
      <c r="A120" s="348" t="s">
        <v>2113</v>
      </c>
      <c r="B120" s="1990"/>
      <c r="C120" s="359" t="str">
        <f t="shared" si="14"/>
        <v>NPA</v>
      </c>
      <c r="D120" s="1567"/>
      <c r="E120" s="1567"/>
      <c r="F120" s="1567"/>
    </row>
    <row r="122" spans="1:9" ht="15.75" thickBot="1" x14ac:dyDescent="0.3"/>
    <row r="123" spans="1:9" ht="15.75" thickBot="1" x14ac:dyDescent="0.3">
      <c r="A123" s="2957" t="s">
        <v>2264</v>
      </c>
      <c r="B123" s="2958"/>
      <c r="C123" s="2958"/>
      <c r="D123" s="2958"/>
      <c r="E123" s="2958"/>
      <c r="F123" s="2958"/>
      <c r="G123" s="2958"/>
      <c r="H123" s="2958"/>
      <c r="I123" s="2959"/>
    </row>
    <row r="124" spans="1:9" x14ac:dyDescent="0.25">
      <c r="A124" s="299" t="s">
        <v>2203</v>
      </c>
    </row>
    <row r="125" spans="1:9" x14ac:dyDescent="0.25">
      <c r="A125" s="299" t="s">
        <v>2196</v>
      </c>
    </row>
    <row r="126" spans="1:9" x14ac:dyDescent="0.25">
      <c r="A126" s="299" t="s">
        <v>2195</v>
      </c>
    </row>
    <row r="127" spans="1:9" x14ac:dyDescent="0.25">
      <c r="A127" s="299" t="s">
        <v>2197</v>
      </c>
    </row>
    <row r="128" spans="1:9" x14ac:dyDescent="0.25">
      <c r="A128" s="299" t="s">
        <v>2198</v>
      </c>
    </row>
    <row r="129" spans="1:11" x14ac:dyDescent="0.25">
      <c r="B129" s="341" t="s">
        <v>2290</v>
      </c>
      <c r="C129" s="2035"/>
      <c r="E129" s="299" t="s">
        <v>2291</v>
      </c>
    </row>
    <row r="130" spans="1:11" x14ac:dyDescent="0.25">
      <c r="B130" s="341" t="s">
        <v>2202</v>
      </c>
      <c r="C130" s="2034">
        <f>IF(CampoMagneticoRM&gt;=3,80%,85%)</f>
        <v>0.85</v>
      </c>
    </row>
    <row r="132" spans="1:11" x14ac:dyDescent="0.25">
      <c r="A132" s="1973" t="s">
        <v>2115</v>
      </c>
      <c r="B132" s="1974" t="s">
        <v>2199</v>
      </c>
      <c r="C132" s="1974" t="s">
        <v>2200</v>
      </c>
      <c r="D132" s="1974" t="s">
        <v>2201</v>
      </c>
      <c r="E132" s="1974" t="s">
        <v>660</v>
      </c>
      <c r="F132" s="1974" t="str">
        <f>$B$1</f>
        <v>IN 97</v>
      </c>
    </row>
    <row r="133" spans="1:11" x14ac:dyDescent="0.25">
      <c r="A133" s="348" t="s">
        <v>2110</v>
      </c>
      <c r="B133" s="1990"/>
      <c r="C133" s="1990"/>
      <c r="D133" s="2006" t="e">
        <f>1-(C133-B133)/(C133+B133)</f>
        <v>#DIV/0!</v>
      </c>
      <c r="E133" s="2006">
        <f>IF($C$129="",$C$130,$C$129)</f>
        <v>0.85</v>
      </c>
      <c r="F133" s="359" t="str">
        <f>IFERROR(IF(D133="","NPA",(IF(C133&lt;E133,"Não","Sim"))),"NPA")</f>
        <v>NPA</v>
      </c>
    </row>
    <row r="134" spans="1:11" x14ac:dyDescent="0.25">
      <c r="A134" s="348" t="s">
        <v>2111</v>
      </c>
      <c r="B134" s="1990"/>
      <c r="C134" s="1990"/>
      <c r="D134" s="2006" t="e">
        <f t="shared" ref="D134:D136" si="15">1-(C134-B134)/(C134+B134)</f>
        <v>#DIV/0!</v>
      </c>
      <c r="E134" s="2006">
        <f t="shared" ref="E134:E136" si="16">IF($C$129="",$C$130,$C$129)</f>
        <v>0.85</v>
      </c>
      <c r="F134" s="359" t="str">
        <f t="shared" ref="F134:F136" si="17">IFERROR(IF(D134="","NPA",(IF(C134&lt;E134,"Não","Sim"))),"NPA")</f>
        <v>NPA</v>
      </c>
    </row>
    <row r="135" spans="1:11" x14ac:dyDescent="0.25">
      <c r="A135" s="348" t="s">
        <v>2112</v>
      </c>
      <c r="B135" s="1990"/>
      <c r="C135" s="1990"/>
      <c r="D135" s="2006" t="e">
        <f t="shared" si="15"/>
        <v>#DIV/0!</v>
      </c>
      <c r="E135" s="2006">
        <f t="shared" si="16"/>
        <v>0.85</v>
      </c>
      <c r="F135" s="359" t="str">
        <f t="shared" si="17"/>
        <v>NPA</v>
      </c>
    </row>
    <row r="136" spans="1:11" x14ac:dyDescent="0.25">
      <c r="A136" s="348" t="s">
        <v>2113</v>
      </c>
      <c r="B136" s="1990"/>
      <c r="C136" s="1990"/>
      <c r="D136" s="2006" t="e">
        <f t="shared" si="15"/>
        <v>#DIV/0!</v>
      </c>
      <c r="E136" s="2006">
        <f t="shared" si="16"/>
        <v>0.85</v>
      </c>
      <c r="F136" s="359" t="str">
        <f t="shared" si="17"/>
        <v>NPA</v>
      </c>
    </row>
    <row r="138" spans="1:11" ht="15.75" thickBot="1" x14ac:dyDescent="0.3"/>
    <row r="139" spans="1:11" ht="15.75" thickBot="1" x14ac:dyDescent="0.3">
      <c r="A139" s="2957" t="s">
        <v>2285</v>
      </c>
      <c r="B139" s="2958"/>
      <c r="C139" s="2958"/>
      <c r="D139" s="2958"/>
      <c r="E139" s="2958"/>
      <c r="F139" s="2958"/>
      <c r="G139" s="2958"/>
      <c r="H139" s="2958"/>
      <c r="I139" s="2958"/>
      <c r="J139" s="2958"/>
      <c r="K139" s="2959"/>
    </row>
    <row r="140" spans="1:11" x14ac:dyDescent="0.25">
      <c r="A140" s="1941" t="s">
        <v>2288</v>
      </c>
      <c r="B140" s="1567"/>
      <c r="C140" s="1567"/>
      <c r="D140" s="1567"/>
      <c r="E140" s="1567"/>
      <c r="F140" s="1567"/>
      <c r="G140" s="1567"/>
      <c r="H140" s="1567"/>
    </row>
    <row r="141" spans="1:11" x14ac:dyDescent="0.25">
      <c r="A141" s="299" t="s">
        <v>2194</v>
      </c>
      <c r="F141" s="1567"/>
      <c r="G141" s="1567"/>
      <c r="H141" s="1567"/>
    </row>
    <row r="142" spans="1:11" x14ac:dyDescent="0.25">
      <c r="A142" s="299" t="s">
        <v>2185</v>
      </c>
      <c r="F142" s="1567"/>
      <c r="G142" s="1567"/>
      <c r="H142" s="1567"/>
    </row>
    <row r="143" spans="1:11" x14ac:dyDescent="0.25">
      <c r="A143" s="299" t="s">
        <v>2190</v>
      </c>
      <c r="F143" s="1567"/>
      <c r="G143" s="1567"/>
      <c r="H143" s="1567"/>
    </row>
    <row r="144" spans="1:11" x14ac:dyDescent="0.25">
      <c r="A144" s="299" t="s">
        <v>2212</v>
      </c>
      <c r="F144" s="1567"/>
      <c r="G144" s="1567"/>
      <c r="H144" s="1567"/>
    </row>
    <row r="145" spans="1:11" x14ac:dyDescent="0.25">
      <c r="B145" s="1994" t="s">
        <v>2183</v>
      </c>
      <c r="C145" s="2004">
        <f>CampoMagneticoRM</f>
        <v>1.5</v>
      </c>
      <c r="F145" s="1567"/>
      <c r="G145" s="1567"/>
      <c r="H145" s="1567"/>
    </row>
    <row r="146" spans="1:11" x14ac:dyDescent="0.25">
      <c r="A146" s="1248" t="s">
        <v>2281</v>
      </c>
      <c r="H146" s="1567"/>
    </row>
    <row r="147" spans="1:11" ht="45" x14ac:dyDescent="0.25">
      <c r="A147" s="1974" t="s">
        <v>2180</v>
      </c>
      <c r="B147" s="1974" t="s">
        <v>2179</v>
      </c>
      <c r="C147" s="1973" t="s">
        <v>2186</v>
      </c>
      <c r="D147" s="1973" t="s">
        <v>2187</v>
      </c>
      <c r="E147" s="1973" t="s">
        <v>2188</v>
      </c>
      <c r="F147" s="1973" t="s">
        <v>2189</v>
      </c>
      <c r="G147" s="1973" t="s">
        <v>2191</v>
      </c>
      <c r="H147" s="1973" t="s">
        <v>2286</v>
      </c>
      <c r="I147" s="1973" t="s">
        <v>2184</v>
      </c>
      <c r="J147" s="1973" t="s">
        <v>2192</v>
      </c>
      <c r="K147" s="1974" t="str">
        <f>$B$1</f>
        <v>IN 97</v>
      </c>
    </row>
    <row r="148" spans="1:11" x14ac:dyDescent="0.25">
      <c r="A148" s="1990" t="s">
        <v>334</v>
      </c>
      <c r="B148" s="1990" t="s">
        <v>334</v>
      </c>
      <c r="C148" s="1990"/>
      <c r="D148" s="1990"/>
      <c r="E148" s="1990"/>
      <c r="F148" s="1990"/>
      <c r="G148" s="348">
        <f>SUM(C148:F148)</f>
        <v>0</v>
      </c>
      <c r="H148" s="2005" t="str">
        <f>IF(F148&gt;0,1.4,IF(E148&gt;0,2.5,IF(D148&gt;0,3.6,IF(C148&gt;0,5.1,"NPA"))))</f>
        <v>NPA</v>
      </c>
      <c r="I148" s="348">
        <f>VLOOKUP(CampoMagneticoRM,RM_LowContrast[],2,TRUE)</f>
        <v>30</v>
      </c>
      <c r="J148" s="1990"/>
      <c r="K148" s="359" t="s">
        <v>240</v>
      </c>
    </row>
    <row r="149" spans="1:11" x14ac:dyDescent="0.25">
      <c r="A149" s="1990" t="s">
        <v>334</v>
      </c>
      <c r="B149" s="1990" t="s">
        <v>334</v>
      </c>
      <c r="C149" s="1990"/>
      <c r="D149" s="1990"/>
      <c r="E149" s="1990"/>
      <c r="F149" s="1990"/>
      <c r="G149" s="348">
        <f t="shared" ref="G149:G157" si="18">SUM(C149:F149)</f>
        <v>0</v>
      </c>
      <c r="H149" s="2005" t="str">
        <f t="shared" ref="H149:H157" si="19">IF(F149&gt;0,1.4,IF(E149&gt;0,2.5,IF(D149&gt;0,3.6,IF(C149&gt;0,5.1,"NPA"))))</f>
        <v>NPA</v>
      </c>
      <c r="I149" s="348">
        <f>VLOOKUP(CampoMagneticoRM,RM_LowContrast[],2,TRUE)</f>
        <v>30</v>
      </c>
      <c r="J149" s="1990"/>
      <c r="K149" s="359" t="s">
        <v>240</v>
      </c>
    </row>
    <row r="150" spans="1:11" x14ac:dyDescent="0.25">
      <c r="A150" s="1990" t="s">
        <v>334</v>
      </c>
      <c r="B150" s="1990" t="s">
        <v>334</v>
      </c>
      <c r="C150" s="1990"/>
      <c r="D150" s="1990"/>
      <c r="E150" s="1990"/>
      <c r="F150" s="1990"/>
      <c r="G150" s="348">
        <f t="shared" si="18"/>
        <v>0</v>
      </c>
      <c r="H150" s="2005" t="str">
        <f t="shared" si="19"/>
        <v>NPA</v>
      </c>
      <c r="I150" s="348">
        <f>VLOOKUP(CampoMagneticoRM,RM_LowContrast[],2,TRUE)</f>
        <v>30</v>
      </c>
      <c r="J150" s="1990"/>
      <c r="K150" s="359" t="s">
        <v>240</v>
      </c>
    </row>
    <row r="151" spans="1:11" x14ac:dyDescent="0.25">
      <c r="A151" s="1990" t="s">
        <v>334</v>
      </c>
      <c r="B151" s="1990" t="s">
        <v>334</v>
      </c>
      <c r="C151" s="1990"/>
      <c r="D151" s="1990"/>
      <c r="E151" s="1990"/>
      <c r="F151" s="1990"/>
      <c r="G151" s="348">
        <f t="shared" si="18"/>
        <v>0</v>
      </c>
      <c r="H151" s="2005" t="str">
        <f t="shared" si="19"/>
        <v>NPA</v>
      </c>
      <c r="I151" s="348">
        <f>VLOOKUP(CampoMagneticoRM,RM_LowContrast[],2,TRUE)</f>
        <v>30</v>
      </c>
      <c r="J151" s="1990"/>
      <c r="K151" s="359" t="s">
        <v>240</v>
      </c>
    </row>
    <row r="152" spans="1:11" x14ac:dyDescent="0.25">
      <c r="A152" s="1990" t="s">
        <v>334</v>
      </c>
      <c r="B152" s="1990" t="s">
        <v>334</v>
      </c>
      <c r="C152" s="1990"/>
      <c r="D152" s="1990"/>
      <c r="E152" s="1990"/>
      <c r="F152" s="1990"/>
      <c r="G152" s="348">
        <f t="shared" si="18"/>
        <v>0</v>
      </c>
      <c r="H152" s="2005" t="str">
        <f t="shared" si="19"/>
        <v>NPA</v>
      </c>
      <c r="I152" s="348">
        <f>VLOOKUP(CampoMagneticoRM,RM_LowContrast[],2,TRUE)</f>
        <v>30</v>
      </c>
      <c r="J152" s="1990"/>
      <c r="K152" s="359" t="s">
        <v>240</v>
      </c>
    </row>
    <row r="153" spans="1:11" x14ac:dyDescent="0.25">
      <c r="A153" s="1990" t="s">
        <v>334</v>
      </c>
      <c r="B153" s="1990" t="s">
        <v>334</v>
      </c>
      <c r="C153" s="1990"/>
      <c r="D153" s="1990"/>
      <c r="E153" s="1990"/>
      <c r="F153" s="1990"/>
      <c r="G153" s="348">
        <f t="shared" si="18"/>
        <v>0</v>
      </c>
      <c r="H153" s="2005" t="str">
        <f t="shared" si="19"/>
        <v>NPA</v>
      </c>
      <c r="I153" s="348">
        <f>VLOOKUP(CampoMagneticoRM,RM_LowContrast[],2,TRUE)</f>
        <v>30</v>
      </c>
      <c r="J153" s="1990"/>
      <c r="K153" s="359" t="s">
        <v>240</v>
      </c>
    </row>
    <row r="154" spans="1:11" x14ac:dyDescent="0.25">
      <c r="A154" s="1990" t="s">
        <v>334</v>
      </c>
      <c r="B154" s="1990" t="s">
        <v>334</v>
      </c>
      <c r="C154" s="1990"/>
      <c r="D154" s="1990"/>
      <c r="E154" s="1990"/>
      <c r="F154" s="1990"/>
      <c r="G154" s="348">
        <f t="shared" si="18"/>
        <v>0</v>
      </c>
      <c r="H154" s="2005" t="str">
        <f t="shared" si="19"/>
        <v>NPA</v>
      </c>
      <c r="I154" s="348">
        <f>VLOOKUP(CampoMagneticoRM,RM_LowContrast[],2,TRUE)</f>
        <v>30</v>
      </c>
      <c r="J154" s="1990"/>
      <c r="K154" s="359" t="s">
        <v>240</v>
      </c>
    </row>
    <row r="155" spans="1:11" x14ac:dyDescent="0.25">
      <c r="A155" s="1990" t="s">
        <v>334</v>
      </c>
      <c r="B155" s="1990" t="s">
        <v>334</v>
      </c>
      <c r="C155" s="1990"/>
      <c r="D155" s="1990"/>
      <c r="E155" s="1990"/>
      <c r="F155" s="1990"/>
      <c r="G155" s="348">
        <f t="shared" si="18"/>
        <v>0</v>
      </c>
      <c r="H155" s="2005" t="str">
        <f t="shared" si="19"/>
        <v>NPA</v>
      </c>
      <c r="I155" s="348">
        <f>VLOOKUP(CampoMagneticoRM,RM_LowContrast[],2,TRUE)</f>
        <v>30</v>
      </c>
      <c r="J155" s="1990"/>
      <c r="K155" s="359" t="s">
        <v>240</v>
      </c>
    </row>
    <row r="156" spans="1:11" x14ac:dyDescent="0.25">
      <c r="A156" s="1990" t="s">
        <v>334</v>
      </c>
      <c r="B156" s="1990" t="s">
        <v>334</v>
      </c>
      <c r="C156" s="1990"/>
      <c r="D156" s="1990"/>
      <c r="E156" s="1990"/>
      <c r="F156" s="1990"/>
      <c r="G156" s="348">
        <f t="shared" si="18"/>
        <v>0</v>
      </c>
      <c r="H156" s="2005" t="str">
        <f t="shared" si="19"/>
        <v>NPA</v>
      </c>
      <c r="I156" s="348">
        <f>VLOOKUP(CampoMagneticoRM,RM_LowContrast[],2,TRUE)</f>
        <v>30</v>
      </c>
      <c r="J156" s="1990"/>
      <c r="K156" s="359" t="s">
        <v>240</v>
      </c>
    </row>
    <row r="157" spans="1:11" x14ac:dyDescent="0.25">
      <c r="A157" s="1990" t="s">
        <v>334</v>
      </c>
      <c r="B157" s="1990" t="s">
        <v>334</v>
      </c>
      <c r="C157" s="1990"/>
      <c r="D157" s="1990"/>
      <c r="E157" s="1990"/>
      <c r="F157" s="1990"/>
      <c r="G157" s="348">
        <f t="shared" si="18"/>
        <v>0</v>
      </c>
      <c r="H157" s="2005" t="str">
        <f t="shared" si="19"/>
        <v>NPA</v>
      </c>
      <c r="I157" s="348">
        <f>VLOOKUP(CampoMagneticoRM,RM_LowContrast[],2,TRUE)</f>
        <v>30</v>
      </c>
      <c r="J157" s="1990"/>
      <c r="K157" s="359" t="s">
        <v>240</v>
      </c>
    </row>
    <row r="159" spans="1:11" x14ac:dyDescent="0.25">
      <c r="A159" s="1248" t="s">
        <v>2282</v>
      </c>
      <c r="H159" s="1567"/>
    </row>
    <row r="160" spans="1:11" ht="45" x14ac:dyDescent="0.25">
      <c r="A160" s="1974" t="s">
        <v>2180</v>
      </c>
      <c r="B160" s="1974" t="s">
        <v>2179</v>
      </c>
      <c r="C160" s="1973" t="s">
        <v>2186</v>
      </c>
      <c r="D160" s="1973" t="s">
        <v>2187</v>
      </c>
      <c r="E160" s="1973" t="s">
        <v>2188</v>
      </c>
      <c r="F160" s="1973" t="s">
        <v>2189</v>
      </c>
      <c r="G160" s="1973" t="s">
        <v>2191</v>
      </c>
      <c r="H160" s="1973" t="s">
        <v>2287</v>
      </c>
      <c r="I160" s="1973" t="s">
        <v>2193</v>
      </c>
      <c r="J160" s="1973" t="s">
        <v>2192</v>
      </c>
      <c r="K160" s="1974" t="str">
        <f>$B$1</f>
        <v>IN 97</v>
      </c>
    </row>
    <row r="161" spans="1:11" x14ac:dyDescent="0.25">
      <c r="A161" s="348" t="str">
        <f>A148</f>
        <v xml:space="preserve"> </v>
      </c>
      <c r="B161" s="348" t="str">
        <f>B148</f>
        <v xml:space="preserve"> </v>
      </c>
      <c r="C161" s="1990"/>
      <c r="D161" s="1990"/>
      <c r="E161" s="1990"/>
      <c r="F161" s="1990"/>
      <c r="G161" s="348">
        <f>SUM(C161:F161)</f>
        <v>0</v>
      </c>
      <c r="H161" s="2005" t="str">
        <f>IF(F161&gt;0,1.4,IF(E161&gt;0,2.5,IF(D161&gt;0,3.6,IF(C161&gt;0,5.1,"NPA"))))</f>
        <v>NPA</v>
      </c>
      <c r="I161" s="348">
        <f>VLOOKUP(CampoMagneticoRM,RM_LowContrast[],3,TRUE)</f>
        <v>25</v>
      </c>
      <c r="J161" s="1990"/>
      <c r="K161" s="359" t="s">
        <v>240</v>
      </c>
    </row>
    <row r="162" spans="1:11" x14ac:dyDescent="0.25">
      <c r="A162" s="348" t="str">
        <f t="shared" ref="A162:B162" si="20">A149</f>
        <v xml:space="preserve"> </v>
      </c>
      <c r="B162" s="348" t="str">
        <f t="shared" si="20"/>
        <v xml:space="preserve"> </v>
      </c>
      <c r="C162" s="1990"/>
      <c r="D162" s="1990"/>
      <c r="E162" s="1990"/>
      <c r="F162" s="1990"/>
      <c r="G162" s="348">
        <f t="shared" ref="G162:G170" si="21">SUM(C162:F162)</f>
        <v>0</v>
      </c>
      <c r="H162" s="2005" t="str">
        <f t="shared" ref="H162:H170" si="22">IF(F162&gt;0,1.4,IF(E162&gt;0,2.5,IF(D162&gt;0,3.6,IF(C162&gt;0,5.1,"NPA"))))</f>
        <v>NPA</v>
      </c>
      <c r="I162" s="348">
        <f>VLOOKUP(CampoMagneticoRM,RM_LowContrast[],3,TRUE)</f>
        <v>25</v>
      </c>
      <c r="J162" s="1990"/>
      <c r="K162" s="359" t="s">
        <v>240</v>
      </c>
    </row>
    <row r="163" spans="1:11" x14ac:dyDescent="0.25">
      <c r="A163" s="348" t="str">
        <f t="shared" ref="A163:B163" si="23">A150</f>
        <v xml:space="preserve"> </v>
      </c>
      <c r="B163" s="348" t="str">
        <f t="shared" si="23"/>
        <v xml:space="preserve"> </v>
      </c>
      <c r="C163" s="1990"/>
      <c r="D163" s="1990"/>
      <c r="E163" s="1990"/>
      <c r="F163" s="1990"/>
      <c r="G163" s="348">
        <f t="shared" si="21"/>
        <v>0</v>
      </c>
      <c r="H163" s="2005" t="str">
        <f t="shared" si="22"/>
        <v>NPA</v>
      </c>
      <c r="I163" s="348">
        <f>VLOOKUP(CampoMagneticoRM,RM_LowContrast[],3,TRUE)</f>
        <v>25</v>
      </c>
      <c r="J163" s="1990"/>
      <c r="K163" s="359" t="s">
        <v>240</v>
      </c>
    </row>
    <row r="164" spans="1:11" x14ac:dyDescent="0.25">
      <c r="A164" s="348" t="str">
        <f t="shared" ref="A164:B164" si="24">A151</f>
        <v xml:space="preserve"> </v>
      </c>
      <c r="B164" s="348" t="str">
        <f t="shared" si="24"/>
        <v xml:space="preserve"> </v>
      </c>
      <c r="C164" s="1990"/>
      <c r="D164" s="1990"/>
      <c r="E164" s="1990"/>
      <c r="F164" s="1990"/>
      <c r="G164" s="348">
        <f t="shared" si="21"/>
        <v>0</v>
      </c>
      <c r="H164" s="2005" t="str">
        <f t="shared" si="22"/>
        <v>NPA</v>
      </c>
      <c r="I164" s="348">
        <f>VLOOKUP(CampoMagneticoRM,RM_LowContrast[],3,TRUE)</f>
        <v>25</v>
      </c>
      <c r="J164" s="1990"/>
      <c r="K164" s="359" t="s">
        <v>240</v>
      </c>
    </row>
    <row r="165" spans="1:11" x14ac:dyDescent="0.25">
      <c r="A165" s="348" t="str">
        <f t="shared" ref="A165:B165" si="25">A152</f>
        <v xml:space="preserve"> </v>
      </c>
      <c r="B165" s="348" t="str">
        <f t="shared" si="25"/>
        <v xml:space="preserve"> </v>
      </c>
      <c r="C165" s="1990"/>
      <c r="D165" s="1990"/>
      <c r="E165" s="1990"/>
      <c r="F165" s="1990"/>
      <c r="G165" s="348">
        <f t="shared" si="21"/>
        <v>0</v>
      </c>
      <c r="H165" s="2005" t="str">
        <f t="shared" si="22"/>
        <v>NPA</v>
      </c>
      <c r="I165" s="348">
        <f>VLOOKUP(CampoMagneticoRM,RM_LowContrast[],3,TRUE)</f>
        <v>25</v>
      </c>
      <c r="J165" s="1990"/>
      <c r="K165" s="359" t="s">
        <v>240</v>
      </c>
    </row>
    <row r="166" spans="1:11" x14ac:dyDescent="0.25">
      <c r="A166" s="348" t="str">
        <f t="shared" ref="A166:B166" si="26">A153</f>
        <v xml:space="preserve"> </v>
      </c>
      <c r="B166" s="348" t="str">
        <f t="shared" si="26"/>
        <v xml:space="preserve"> </v>
      </c>
      <c r="C166" s="1990"/>
      <c r="D166" s="1990"/>
      <c r="E166" s="1990"/>
      <c r="F166" s="1990"/>
      <c r="G166" s="348">
        <f t="shared" si="21"/>
        <v>0</v>
      </c>
      <c r="H166" s="2005" t="str">
        <f t="shared" si="22"/>
        <v>NPA</v>
      </c>
      <c r="I166" s="348">
        <f>VLOOKUP(CampoMagneticoRM,RM_LowContrast[],3,TRUE)</f>
        <v>25</v>
      </c>
      <c r="J166" s="1990"/>
      <c r="K166" s="359" t="s">
        <v>240</v>
      </c>
    </row>
    <row r="167" spans="1:11" x14ac:dyDescent="0.25">
      <c r="A167" s="348" t="str">
        <f t="shared" ref="A167:B167" si="27">A154</f>
        <v xml:space="preserve"> </v>
      </c>
      <c r="B167" s="348" t="str">
        <f t="shared" si="27"/>
        <v xml:space="preserve"> </v>
      </c>
      <c r="C167" s="1990"/>
      <c r="D167" s="1990"/>
      <c r="E167" s="1990"/>
      <c r="F167" s="1990"/>
      <c r="G167" s="348">
        <f t="shared" si="21"/>
        <v>0</v>
      </c>
      <c r="H167" s="2005" t="str">
        <f t="shared" si="22"/>
        <v>NPA</v>
      </c>
      <c r="I167" s="348">
        <f>VLOOKUP(CampoMagneticoRM,RM_LowContrast[],3,TRUE)</f>
        <v>25</v>
      </c>
      <c r="J167" s="1990"/>
      <c r="K167" s="359" t="s">
        <v>240</v>
      </c>
    </row>
    <row r="168" spans="1:11" x14ac:dyDescent="0.25">
      <c r="A168" s="348" t="str">
        <f t="shared" ref="A168:B168" si="28">A155</f>
        <v xml:space="preserve"> </v>
      </c>
      <c r="B168" s="348" t="str">
        <f t="shared" si="28"/>
        <v xml:space="preserve"> </v>
      </c>
      <c r="C168" s="1990"/>
      <c r="D168" s="1990"/>
      <c r="E168" s="1990"/>
      <c r="F168" s="1990"/>
      <c r="G168" s="348">
        <f t="shared" si="21"/>
        <v>0</v>
      </c>
      <c r="H168" s="2005" t="str">
        <f t="shared" si="22"/>
        <v>NPA</v>
      </c>
      <c r="I168" s="348">
        <f>VLOOKUP(CampoMagneticoRM,RM_LowContrast[],3,TRUE)</f>
        <v>25</v>
      </c>
      <c r="J168" s="1990"/>
      <c r="K168" s="359" t="s">
        <v>240</v>
      </c>
    </row>
    <row r="169" spans="1:11" x14ac:dyDescent="0.25">
      <c r="A169" s="348" t="str">
        <f t="shared" ref="A169:B169" si="29">A156</f>
        <v xml:space="preserve"> </v>
      </c>
      <c r="B169" s="348" t="str">
        <f t="shared" si="29"/>
        <v xml:space="preserve"> </v>
      </c>
      <c r="C169" s="1990"/>
      <c r="D169" s="1990"/>
      <c r="E169" s="1990"/>
      <c r="F169" s="1990"/>
      <c r="G169" s="348">
        <f t="shared" si="21"/>
        <v>0</v>
      </c>
      <c r="H169" s="2005" t="str">
        <f t="shared" si="22"/>
        <v>NPA</v>
      </c>
      <c r="I169" s="348">
        <f>VLOOKUP(CampoMagneticoRM,RM_LowContrast[],3,TRUE)</f>
        <v>25</v>
      </c>
      <c r="J169" s="1990"/>
      <c r="K169" s="359" t="s">
        <v>240</v>
      </c>
    </row>
    <row r="170" spans="1:11" x14ac:dyDescent="0.25">
      <c r="A170" s="348" t="str">
        <f t="shared" ref="A170:B170" si="30">A157</f>
        <v xml:space="preserve"> </v>
      </c>
      <c r="B170" s="348" t="str">
        <f t="shared" si="30"/>
        <v xml:space="preserve"> </v>
      </c>
      <c r="C170" s="1990"/>
      <c r="D170" s="1990"/>
      <c r="E170" s="1990"/>
      <c r="F170" s="1990"/>
      <c r="G170" s="348">
        <f t="shared" si="21"/>
        <v>0</v>
      </c>
      <c r="H170" s="2005" t="str">
        <f t="shared" si="22"/>
        <v>NPA</v>
      </c>
      <c r="I170" s="348">
        <f>VLOOKUP(CampoMagneticoRM,RM_LowContrast[],3,TRUE)</f>
        <v>25</v>
      </c>
      <c r="J170" s="1990"/>
      <c r="K170" s="359" t="s">
        <v>240</v>
      </c>
    </row>
    <row r="172" spans="1:11" ht="15.75" thickBot="1" x14ac:dyDescent="0.3"/>
    <row r="173" spans="1:11" ht="15.75" thickBot="1" x14ac:dyDescent="0.3">
      <c r="A173" s="2957" t="s">
        <v>2242</v>
      </c>
      <c r="B173" s="2958"/>
      <c r="C173" s="2958"/>
      <c r="D173" s="2958"/>
      <c r="E173" s="2958"/>
      <c r="F173" s="2958"/>
      <c r="G173" s="2959"/>
    </row>
    <row r="174" spans="1:11" x14ac:dyDescent="0.25">
      <c r="A174" s="299" t="s">
        <v>2206</v>
      </c>
    </row>
    <row r="175" spans="1:11" x14ac:dyDescent="0.25">
      <c r="A175" s="299" t="s">
        <v>2205</v>
      </c>
    </row>
    <row r="177" spans="1:9" x14ac:dyDescent="0.25">
      <c r="A177" s="1248" t="s">
        <v>2283</v>
      </c>
      <c r="C177" s="1248"/>
    </row>
    <row r="178" spans="1:9" ht="30" x14ac:dyDescent="0.25">
      <c r="A178" s="1986" t="s">
        <v>2180</v>
      </c>
      <c r="B178" s="1986" t="s">
        <v>2179</v>
      </c>
      <c r="C178" s="1973" t="s">
        <v>2207</v>
      </c>
      <c r="D178" s="1973" t="s">
        <v>2208</v>
      </c>
      <c r="E178" s="1974" t="s">
        <v>2252</v>
      </c>
      <c r="G178" s="1973" t="s">
        <v>2209</v>
      </c>
      <c r="H178" s="1987" t="s">
        <v>2271</v>
      </c>
      <c r="I178" s="1986" t="str">
        <f>$B$1</f>
        <v>IN 97</v>
      </c>
    </row>
    <row r="179" spans="1:9" x14ac:dyDescent="0.25">
      <c r="A179" s="348" t="str">
        <f>A148</f>
        <v xml:space="preserve"> </v>
      </c>
      <c r="B179" s="348" t="str">
        <f>B148</f>
        <v xml:space="preserve"> </v>
      </c>
      <c r="C179" s="1990"/>
      <c r="D179" s="1990"/>
      <c r="E179" s="2006" t="e">
        <f>0.655*C179/D179</f>
        <v>#DIV/0!</v>
      </c>
      <c r="G179" s="2032"/>
      <c r="H179" s="348" t="e">
        <f t="shared" ref="H179:H188" si="31">MAX(E179,E192)</f>
        <v>#DIV/0!</v>
      </c>
      <c r="I179" s="359" t="str">
        <f>IF(G179=0,"NPA",(IF(G179&gt;H179,"Não","Sim")))</f>
        <v>NPA</v>
      </c>
    </row>
    <row r="180" spans="1:9" x14ac:dyDescent="0.25">
      <c r="A180" s="348" t="str">
        <f t="shared" ref="A180:B180" si="32">A149</f>
        <v xml:space="preserve"> </v>
      </c>
      <c r="B180" s="348" t="str">
        <f t="shared" si="32"/>
        <v xml:space="preserve"> </v>
      </c>
      <c r="C180" s="1990"/>
      <c r="D180" s="1990"/>
      <c r="E180" s="2006" t="e">
        <f t="shared" ref="E180:E188" si="33">0.655*C180/D180</f>
        <v>#DIV/0!</v>
      </c>
      <c r="G180" s="2040">
        <f>$G$179</f>
        <v>0</v>
      </c>
      <c r="H180" s="348" t="e">
        <f t="shared" si="31"/>
        <v>#DIV/0!</v>
      </c>
      <c r="I180" s="359" t="str">
        <f t="shared" ref="I180:I188" si="34">IF(G180=0,"NPA",(IF(G180&gt;H180,"Não","Sim")))</f>
        <v>NPA</v>
      </c>
    </row>
    <row r="181" spans="1:9" x14ac:dyDescent="0.25">
      <c r="A181" s="348" t="str">
        <f t="shared" ref="A181:B181" si="35">A150</f>
        <v xml:space="preserve"> </v>
      </c>
      <c r="B181" s="348" t="str">
        <f t="shared" si="35"/>
        <v xml:space="preserve"> </v>
      </c>
      <c r="C181" s="1990"/>
      <c r="D181" s="1990"/>
      <c r="E181" s="2006" t="e">
        <f t="shared" si="33"/>
        <v>#DIV/0!</v>
      </c>
      <c r="G181" s="348">
        <f t="shared" ref="G181:G188" si="36">$G$179</f>
        <v>0</v>
      </c>
      <c r="H181" s="348" t="e">
        <f t="shared" si="31"/>
        <v>#DIV/0!</v>
      </c>
      <c r="I181" s="359" t="str">
        <f t="shared" si="34"/>
        <v>NPA</v>
      </c>
    </row>
    <row r="182" spans="1:9" x14ac:dyDescent="0.25">
      <c r="A182" s="348" t="str">
        <f t="shared" ref="A182:B182" si="37">A151</f>
        <v xml:space="preserve"> </v>
      </c>
      <c r="B182" s="348" t="str">
        <f t="shared" si="37"/>
        <v xml:space="preserve"> </v>
      </c>
      <c r="C182" s="1990"/>
      <c r="D182" s="1990"/>
      <c r="E182" s="2006" t="e">
        <f t="shared" si="33"/>
        <v>#DIV/0!</v>
      </c>
      <c r="G182" s="348">
        <f t="shared" si="36"/>
        <v>0</v>
      </c>
      <c r="H182" s="348" t="e">
        <f t="shared" si="31"/>
        <v>#DIV/0!</v>
      </c>
      <c r="I182" s="359" t="str">
        <f t="shared" si="34"/>
        <v>NPA</v>
      </c>
    </row>
    <row r="183" spans="1:9" x14ac:dyDescent="0.25">
      <c r="A183" s="348" t="str">
        <f t="shared" ref="A183:B183" si="38">A152</f>
        <v xml:space="preserve"> </v>
      </c>
      <c r="B183" s="348" t="str">
        <f t="shared" si="38"/>
        <v xml:space="preserve"> </v>
      </c>
      <c r="C183" s="1990"/>
      <c r="D183" s="1990"/>
      <c r="E183" s="2006" t="e">
        <f t="shared" si="33"/>
        <v>#DIV/0!</v>
      </c>
      <c r="G183" s="348">
        <f t="shared" si="36"/>
        <v>0</v>
      </c>
      <c r="H183" s="348" t="e">
        <f t="shared" si="31"/>
        <v>#DIV/0!</v>
      </c>
      <c r="I183" s="359" t="str">
        <f t="shared" si="34"/>
        <v>NPA</v>
      </c>
    </row>
    <row r="184" spans="1:9" x14ac:dyDescent="0.25">
      <c r="A184" s="348" t="str">
        <f t="shared" ref="A184:B184" si="39">A153</f>
        <v xml:space="preserve"> </v>
      </c>
      <c r="B184" s="348" t="str">
        <f t="shared" si="39"/>
        <v xml:space="preserve"> </v>
      </c>
      <c r="C184" s="1990"/>
      <c r="D184" s="1990"/>
      <c r="E184" s="2006" t="e">
        <f t="shared" si="33"/>
        <v>#DIV/0!</v>
      </c>
      <c r="G184" s="348">
        <f t="shared" si="36"/>
        <v>0</v>
      </c>
      <c r="H184" s="348" t="e">
        <f t="shared" si="31"/>
        <v>#DIV/0!</v>
      </c>
      <c r="I184" s="359" t="str">
        <f t="shared" si="34"/>
        <v>NPA</v>
      </c>
    </row>
    <row r="185" spans="1:9" x14ac:dyDescent="0.25">
      <c r="A185" s="348" t="str">
        <f t="shared" ref="A185:B185" si="40">A154</f>
        <v xml:space="preserve"> </v>
      </c>
      <c r="B185" s="348" t="str">
        <f t="shared" si="40"/>
        <v xml:space="preserve"> </v>
      </c>
      <c r="C185" s="1990"/>
      <c r="D185" s="1990"/>
      <c r="E185" s="2006" t="e">
        <f t="shared" si="33"/>
        <v>#DIV/0!</v>
      </c>
      <c r="G185" s="348">
        <f t="shared" si="36"/>
        <v>0</v>
      </c>
      <c r="H185" s="348" t="e">
        <f t="shared" si="31"/>
        <v>#DIV/0!</v>
      </c>
      <c r="I185" s="359" t="str">
        <f t="shared" si="34"/>
        <v>NPA</v>
      </c>
    </row>
    <row r="186" spans="1:9" x14ac:dyDescent="0.25">
      <c r="A186" s="348" t="str">
        <f t="shared" ref="A186:B186" si="41">A155</f>
        <v xml:space="preserve"> </v>
      </c>
      <c r="B186" s="348" t="str">
        <f t="shared" si="41"/>
        <v xml:space="preserve"> </v>
      </c>
      <c r="C186" s="1990"/>
      <c r="D186" s="1990"/>
      <c r="E186" s="2006" t="e">
        <f t="shared" si="33"/>
        <v>#DIV/0!</v>
      </c>
      <c r="G186" s="348">
        <f t="shared" si="36"/>
        <v>0</v>
      </c>
      <c r="H186" s="348" t="e">
        <f t="shared" si="31"/>
        <v>#DIV/0!</v>
      </c>
      <c r="I186" s="359" t="str">
        <f t="shared" si="34"/>
        <v>NPA</v>
      </c>
    </row>
    <row r="187" spans="1:9" x14ac:dyDescent="0.25">
      <c r="A187" s="348" t="str">
        <f t="shared" ref="A187:B187" si="42">A156</f>
        <v xml:space="preserve"> </v>
      </c>
      <c r="B187" s="348" t="str">
        <f t="shared" si="42"/>
        <v xml:space="preserve"> </v>
      </c>
      <c r="C187" s="1990"/>
      <c r="D187" s="1990"/>
      <c r="E187" s="2006" t="e">
        <f t="shared" si="33"/>
        <v>#DIV/0!</v>
      </c>
      <c r="G187" s="348">
        <f t="shared" si="36"/>
        <v>0</v>
      </c>
      <c r="H187" s="348" t="e">
        <f t="shared" si="31"/>
        <v>#DIV/0!</v>
      </c>
      <c r="I187" s="359" t="str">
        <f t="shared" si="34"/>
        <v>NPA</v>
      </c>
    </row>
    <row r="188" spans="1:9" x14ac:dyDescent="0.25">
      <c r="A188" s="348" t="str">
        <f t="shared" ref="A188:B188" si="43">A157</f>
        <v xml:space="preserve"> </v>
      </c>
      <c r="B188" s="348" t="str">
        <f t="shared" si="43"/>
        <v xml:space="preserve"> </v>
      </c>
      <c r="C188" s="1990"/>
      <c r="D188" s="1990"/>
      <c r="E188" s="2006" t="e">
        <f t="shared" si="33"/>
        <v>#DIV/0!</v>
      </c>
      <c r="G188" s="348">
        <f t="shared" si="36"/>
        <v>0</v>
      </c>
      <c r="H188" s="348" t="e">
        <f t="shared" si="31"/>
        <v>#DIV/0!</v>
      </c>
      <c r="I188" s="359" t="str">
        <f t="shared" si="34"/>
        <v>NPA</v>
      </c>
    </row>
    <row r="190" spans="1:9" x14ac:dyDescent="0.25">
      <c r="A190" s="1248" t="s">
        <v>2284</v>
      </c>
      <c r="C190" s="1248"/>
    </row>
    <row r="191" spans="1:9" ht="30" x14ac:dyDescent="0.25">
      <c r="A191" s="1986" t="s">
        <v>2180</v>
      </c>
      <c r="B191" s="1986" t="s">
        <v>2179</v>
      </c>
      <c r="C191" s="1987" t="s">
        <v>2207</v>
      </c>
      <c r="D191" s="1987" t="s">
        <v>2208</v>
      </c>
      <c r="E191" s="1986" t="s">
        <v>2252</v>
      </c>
    </row>
    <row r="192" spans="1:9" x14ac:dyDescent="0.25">
      <c r="A192" s="348" t="str">
        <f>A148</f>
        <v xml:space="preserve"> </v>
      </c>
      <c r="B192" s="348" t="str">
        <f>B148</f>
        <v xml:space="preserve"> </v>
      </c>
      <c r="C192" s="1990"/>
      <c r="D192" s="1990"/>
      <c r="E192" s="2006" t="e">
        <f>0.655*C192/D192</f>
        <v>#DIV/0!</v>
      </c>
    </row>
    <row r="193" spans="1:14" x14ac:dyDescent="0.25">
      <c r="A193" s="348" t="str">
        <f t="shared" ref="A193:B193" si="44">A149</f>
        <v xml:space="preserve"> </v>
      </c>
      <c r="B193" s="348" t="str">
        <f t="shared" si="44"/>
        <v xml:space="preserve"> </v>
      </c>
      <c r="C193" s="1990"/>
      <c r="D193" s="1990"/>
      <c r="E193" s="2006" t="e">
        <f t="shared" ref="E193:E201" si="45">0.655*C193/D193</f>
        <v>#DIV/0!</v>
      </c>
    </row>
    <row r="194" spans="1:14" x14ac:dyDescent="0.25">
      <c r="A194" s="348" t="str">
        <f t="shared" ref="A194:B194" si="46">A150</f>
        <v xml:space="preserve"> </v>
      </c>
      <c r="B194" s="348" t="str">
        <f t="shared" si="46"/>
        <v xml:space="preserve"> </v>
      </c>
      <c r="C194" s="1990"/>
      <c r="D194" s="1990"/>
      <c r="E194" s="2006" t="e">
        <f t="shared" si="45"/>
        <v>#DIV/0!</v>
      </c>
    </row>
    <row r="195" spans="1:14" x14ac:dyDescent="0.25">
      <c r="A195" s="348" t="str">
        <f t="shared" ref="A195:B195" si="47">A151</f>
        <v xml:space="preserve"> </v>
      </c>
      <c r="B195" s="348" t="str">
        <f t="shared" si="47"/>
        <v xml:space="preserve"> </v>
      </c>
      <c r="C195" s="1990"/>
      <c r="D195" s="1990"/>
      <c r="E195" s="2006" t="e">
        <f t="shared" si="45"/>
        <v>#DIV/0!</v>
      </c>
    </row>
    <row r="196" spans="1:14" x14ac:dyDescent="0.25">
      <c r="A196" s="348" t="str">
        <f t="shared" ref="A196:B196" si="48">A152</f>
        <v xml:space="preserve"> </v>
      </c>
      <c r="B196" s="348" t="str">
        <f t="shared" si="48"/>
        <v xml:space="preserve"> </v>
      </c>
      <c r="C196" s="1990"/>
      <c r="D196" s="1990"/>
      <c r="E196" s="2006" t="e">
        <f t="shared" si="45"/>
        <v>#DIV/0!</v>
      </c>
    </row>
    <row r="197" spans="1:14" x14ac:dyDescent="0.25">
      <c r="A197" s="348" t="str">
        <f t="shared" ref="A197:B197" si="49">A153</f>
        <v xml:space="preserve"> </v>
      </c>
      <c r="B197" s="348" t="str">
        <f t="shared" si="49"/>
        <v xml:space="preserve"> </v>
      </c>
      <c r="C197" s="1990"/>
      <c r="D197" s="1990"/>
      <c r="E197" s="2006" t="e">
        <f t="shared" si="45"/>
        <v>#DIV/0!</v>
      </c>
    </row>
    <row r="198" spans="1:14" x14ac:dyDescent="0.25">
      <c r="A198" s="348" t="str">
        <f t="shared" ref="A198:B198" si="50">A154</f>
        <v xml:space="preserve"> </v>
      </c>
      <c r="B198" s="348" t="str">
        <f t="shared" si="50"/>
        <v xml:space="preserve"> </v>
      </c>
      <c r="C198" s="1990"/>
      <c r="D198" s="1990"/>
      <c r="E198" s="2006" t="e">
        <f t="shared" si="45"/>
        <v>#DIV/0!</v>
      </c>
    </row>
    <row r="199" spans="1:14" x14ac:dyDescent="0.25">
      <c r="A199" s="348" t="str">
        <f t="shared" ref="A199:B199" si="51">A155</f>
        <v xml:space="preserve"> </v>
      </c>
      <c r="B199" s="348" t="str">
        <f t="shared" si="51"/>
        <v xml:space="preserve"> </v>
      </c>
      <c r="C199" s="1990"/>
      <c r="D199" s="1990"/>
      <c r="E199" s="2006" t="e">
        <f t="shared" si="45"/>
        <v>#DIV/0!</v>
      </c>
    </row>
    <row r="200" spans="1:14" x14ac:dyDescent="0.25">
      <c r="A200" s="348" t="str">
        <f t="shared" ref="A200:B200" si="52">A156</f>
        <v xml:space="preserve"> </v>
      </c>
      <c r="B200" s="348" t="str">
        <f t="shared" si="52"/>
        <v xml:space="preserve"> </v>
      </c>
      <c r="C200" s="1990"/>
      <c r="D200" s="1990"/>
      <c r="E200" s="2006" t="e">
        <f t="shared" si="45"/>
        <v>#DIV/0!</v>
      </c>
    </row>
    <row r="201" spans="1:14" x14ac:dyDescent="0.25">
      <c r="A201" s="348" t="str">
        <f t="shared" ref="A201:B201" si="53">A157</f>
        <v xml:space="preserve"> </v>
      </c>
      <c r="B201" s="348" t="str">
        <f t="shared" si="53"/>
        <v xml:space="preserve"> </v>
      </c>
      <c r="C201" s="1990"/>
      <c r="D201" s="1990"/>
      <c r="E201" s="2006" t="e">
        <f t="shared" si="45"/>
        <v>#DIV/0!</v>
      </c>
    </row>
    <row r="203" spans="1:14" ht="15.75" thickBot="1" x14ac:dyDescent="0.3"/>
    <row r="204" spans="1:14" ht="15.75" thickBot="1" x14ac:dyDescent="0.3">
      <c r="A204" s="2957" t="s">
        <v>2224</v>
      </c>
      <c r="B204" s="2958"/>
      <c r="C204" s="2958"/>
      <c r="D204" s="2958"/>
      <c r="E204" s="2958"/>
      <c r="F204" s="2958"/>
      <c r="G204" s="2958"/>
      <c r="H204" s="2958"/>
      <c r="I204" s="2958"/>
      <c r="J204" s="2958"/>
      <c r="K204" s="2958"/>
      <c r="L204" s="2958"/>
      <c r="M204" s="2958"/>
      <c r="N204" s="2959"/>
    </row>
    <row r="205" spans="1:14" x14ac:dyDescent="0.25">
      <c r="A205" s="299" t="s">
        <v>2217</v>
      </c>
    </row>
    <row r="206" spans="1:14" x14ac:dyDescent="0.25">
      <c r="A206" s="299" t="s">
        <v>2215</v>
      </c>
    </row>
    <row r="207" spans="1:14" x14ac:dyDescent="0.25">
      <c r="A207" s="299" t="s">
        <v>2228</v>
      </c>
    </row>
    <row r="208" spans="1:14" x14ac:dyDescent="0.25">
      <c r="A208" s="2008" t="s">
        <v>2216</v>
      </c>
      <c r="H208" s="2009" t="s">
        <v>2220</v>
      </c>
      <c r="I208" s="2010">
        <f>I209*I210</f>
        <v>0</v>
      </c>
    </row>
    <row r="209" spans="1:14" x14ac:dyDescent="0.25">
      <c r="H209" s="2011" t="s">
        <v>2218</v>
      </c>
      <c r="I209" s="1990"/>
    </row>
    <row r="210" spans="1:14" x14ac:dyDescent="0.25">
      <c r="A210" s="1986" t="s">
        <v>2221</v>
      </c>
      <c r="B210" s="1990">
        <f>CampoMagneticoRM</f>
        <v>1.5</v>
      </c>
      <c r="H210" s="2012" t="s">
        <v>2219</v>
      </c>
      <c r="I210" s="1990" t="str">
        <f>LEFT(I34,3)</f>
        <v>256</v>
      </c>
    </row>
    <row r="211" spans="1:14" x14ac:dyDescent="0.25">
      <c r="A211" s="3032" t="s">
        <v>2273</v>
      </c>
      <c r="B211" s="3033"/>
      <c r="C211" s="1990"/>
      <c r="E211" s="3034" t="s">
        <v>2245</v>
      </c>
      <c r="F211" s="3034"/>
      <c r="G211" s="3034" t="s">
        <v>2246</v>
      </c>
      <c r="H211" s="3034"/>
    </row>
    <row r="212" spans="1:14" ht="75" x14ac:dyDescent="0.25">
      <c r="A212" s="1974" t="s">
        <v>2180</v>
      </c>
      <c r="B212" s="1974" t="s">
        <v>2179</v>
      </c>
      <c r="C212" s="1974" t="s">
        <v>2204</v>
      </c>
      <c r="D212" s="1973" t="s">
        <v>2269</v>
      </c>
      <c r="E212" s="1987" t="s">
        <v>2226</v>
      </c>
      <c r="F212" s="1987" t="s">
        <v>2225</v>
      </c>
      <c r="G212" s="1987" t="s">
        <v>2222</v>
      </c>
      <c r="H212" s="1987" t="s">
        <v>2223</v>
      </c>
      <c r="I212" s="1987" t="s">
        <v>2227</v>
      </c>
      <c r="J212" s="1987" t="s">
        <v>2211</v>
      </c>
      <c r="K212" s="1987" t="s">
        <v>2268</v>
      </c>
      <c r="L212" s="1987" t="s">
        <v>2270</v>
      </c>
      <c r="M212" s="1973" t="s">
        <v>2272</v>
      </c>
      <c r="N212" s="1974" t="str">
        <f>$B$1</f>
        <v>IN 97</v>
      </c>
    </row>
    <row r="213" spans="1:14" x14ac:dyDescent="0.25">
      <c r="A213" s="348" t="str">
        <f>A148</f>
        <v xml:space="preserve"> </v>
      </c>
      <c r="B213" s="348" t="str">
        <f>B148</f>
        <v xml:space="preserve"> </v>
      </c>
      <c r="C213" s="1990" t="s">
        <v>334</v>
      </c>
      <c r="D213" s="348" t="str">
        <f t="shared" ref="D213:D222" si="54">IFERROR(C213/(F_lamor*$B$210),"")</f>
        <v/>
      </c>
      <c r="E213" s="1990"/>
      <c r="F213" s="1990"/>
      <c r="G213" s="1990"/>
      <c r="H213" s="1990"/>
      <c r="I213" s="348">
        <f>G213-H213</f>
        <v>0</v>
      </c>
      <c r="J213" s="1990"/>
      <c r="K213" s="1999" t="str">
        <f>IFERROR((E213*F213*I213)/(F_lamor*$B$210*J213*ABS(E213-F213)),"")</f>
        <v/>
      </c>
      <c r="L213" s="1999" t="str">
        <f>IF(K213&lt;&gt;"",K213,D213)</f>
        <v/>
      </c>
      <c r="M213" s="348">
        <f>IF($C$211&lt;&gt;"",$C$211,2)</f>
        <v>2</v>
      </c>
      <c r="N213" s="359" t="str">
        <f>IFERROR(IF(L213="","NPA",(IF(M213&lt;L213,"Não","Sim"))),"NPA")</f>
        <v>NPA</v>
      </c>
    </row>
    <row r="214" spans="1:14" x14ac:dyDescent="0.25">
      <c r="A214" s="348" t="str">
        <f t="shared" ref="A214:B214" si="55">A149</f>
        <v xml:space="preserve"> </v>
      </c>
      <c r="B214" s="348" t="str">
        <f t="shared" si="55"/>
        <v xml:space="preserve"> </v>
      </c>
      <c r="C214" s="1990" t="s">
        <v>334</v>
      </c>
      <c r="D214" s="348" t="str">
        <f t="shared" si="54"/>
        <v/>
      </c>
      <c r="E214" s="1990"/>
      <c r="F214" s="1990"/>
      <c r="G214" s="1990"/>
      <c r="H214" s="1990"/>
      <c r="I214" s="348"/>
      <c r="J214" s="1990"/>
      <c r="K214" s="1999" t="str">
        <f t="shared" ref="K214:K222" si="56">IFERROR((E214*F214*I214)/(F_lamor*$B$210*J214*(E214-F214)),"")</f>
        <v/>
      </c>
      <c r="L214" s="1999"/>
      <c r="M214" s="348">
        <f t="shared" ref="M214:M222" si="57">IF($C$211&lt;&gt;"",$C$211,2)</f>
        <v>2</v>
      </c>
      <c r="N214" s="359" t="str">
        <f t="shared" ref="N214:N222" si="58">IFERROR(IF(L214="","NPA",(IF(M214&lt;L214,"Não","Sim"))),"NPA")</f>
        <v>NPA</v>
      </c>
    </row>
    <row r="215" spans="1:14" x14ac:dyDescent="0.25">
      <c r="A215" s="348" t="str">
        <f t="shared" ref="A215:B215" si="59">A150</f>
        <v xml:space="preserve"> </v>
      </c>
      <c r="B215" s="348" t="str">
        <f t="shared" si="59"/>
        <v xml:space="preserve"> </v>
      </c>
      <c r="C215" s="1990" t="s">
        <v>334</v>
      </c>
      <c r="D215" s="348" t="str">
        <f t="shared" si="54"/>
        <v/>
      </c>
      <c r="E215" s="1990"/>
      <c r="F215" s="1990"/>
      <c r="G215" s="1990"/>
      <c r="H215" s="1990"/>
      <c r="I215" s="348"/>
      <c r="J215" s="1990"/>
      <c r="K215" s="1999" t="str">
        <f t="shared" si="56"/>
        <v/>
      </c>
      <c r="L215" s="1999"/>
      <c r="M215" s="348">
        <f t="shared" si="57"/>
        <v>2</v>
      </c>
      <c r="N215" s="359" t="str">
        <f t="shared" si="58"/>
        <v>NPA</v>
      </c>
    </row>
    <row r="216" spans="1:14" x14ac:dyDescent="0.25">
      <c r="A216" s="348" t="str">
        <f t="shared" ref="A216:B216" si="60">A151</f>
        <v xml:space="preserve"> </v>
      </c>
      <c r="B216" s="348" t="str">
        <f t="shared" si="60"/>
        <v xml:space="preserve"> </v>
      </c>
      <c r="C216" s="1990" t="s">
        <v>334</v>
      </c>
      <c r="D216" s="348" t="str">
        <f t="shared" si="54"/>
        <v/>
      </c>
      <c r="E216" s="1990"/>
      <c r="F216" s="1990"/>
      <c r="G216" s="1990"/>
      <c r="H216" s="1990"/>
      <c r="I216" s="348"/>
      <c r="J216" s="1990"/>
      <c r="K216" s="1999" t="str">
        <f t="shared" si="56"/>
        <v/>
      </c>
      <c r="L216" s="1999"/>
      <c r="M216" s="348">
        <f t="shared" si="57"/>
        <v>2</v>
      </c>
      <c r="N216" s="359" t="str">
        <f t="shared" si="58"/>
        <v>NPA</v>
      </c>
    </row>
    <row r="217" spans="1:14" x14ac:dyDescent="0.25">
      <c r="A217" s="348" t="str">
        <f t="shared" ref="A217:B217" si="61">A152</f>
        <v xml:space="preserve"> </v>
      </c>
      <c r="B217" s="348" t="str">
        <f t="shared" si="61"/>
        <v xml:space="preserve"> </v>
      </c>
      <c r="C217" s="1990" t="s">
        <v>334</v>
      </c>
      <c r="D217" s="348" t="str">
        <f t="shared" si="54"/>
        <v/>
      </c>
      <c r="E217" s="1990"/>
      <c r="F217" s="1990"/>
      <c r="G217" s="1990"/>
      <c r="H217" s="1990"/>
      <c r="I217" s="348"/>
      <c r="J217" s="1990"/>
      <c r="K217" s="1999" t="str">
        <f t="shared" si="56"/>
        <v/>
      </c>
      <c r="L217" s="1999"/>
      <c r="M217" s="348">
        <f t="shared" si="57"/>
        <v>2</v>
      </c>
      <c r="N217" s="359" t="str">
        <f t="shared" si="58"/>
        <v>NPA</v>
      </c>
    </row>
    <row r="218" spans="1:14" x14ac:dyDescent="0.25">
      <c r="A218" s="348" t="str">
        <f t="shared" ref="A218:B218" si="62">A153</f>
        <v xml:space="preserve"> </v>
      </c>
      <c r="B218" s="348" t="str">
        <f t="shared" si="62"/>
        <v xml:space="preserve"> </v>
      </c>
      <c r="C218" s="1990" t="s">
        <v>334</v>
      </c>
      <c r="D218" s="348" t="str">
        <f t="shared" si="54"/>
        <v/>
      </c>
      <c r="E218" s="1990"/>
      <c r="F218" s="1990"/>
      <c r="G218" s="1990"/>
      <c r="H218" s="1990"/>
      <c r="I218" s="348"/>
      <c r="J218" s="1990"/>
      <c r="K218" s="1999" t="str">
        <f t="shared" si="56"/>
        <v/>
      </c>
      <c r="L218" s="1999"/>
      <c r="M218" s="348">
        <f t="shared" si="57"/>
        <v>2</v>
      </c>
      <c r="N218" s="359" t="str">
        <f t="shared" si="58"/>
        <v>NPA</v>
      </c>
    </row>
    <row r="219" spans="1:14" x14ac:dyDescent="0.25">
      <c r="A219" s="348" t="str">
        <f t="shared" ref="A219:B219" si="63">A154</f>
        <v xml:space="preserve"> </v>
      </c>
      <c r="B219" s="348" t="str">
        <f t="shared" si="63"/>
        <v xml:space="preserve"> </v>
      </c>
      <c r="C219" s="1990" t="s">
        <v>334</v>
      </c>
      <c r="D219" s="348" t="str">
        <f t="shared" si="54"/>
        <v/>
      </c>
      <c r="E219" s="1990"/>
      <c r="F219" s="1990"/>
      <c r="G219" s="1990"/>
      <c r="H219" s="1990"/>
      <c r="I219" s="348"/>
      <c r="J219" s="1990"/>
      <c r="K219" s="1999" t="str">
        <f t="shared" si="56"/>
        <v/>
      </c>
      <c r="L219" s="1999"/>
      <c r="M219" s="348">
        <f t="shared" si="57"/>
        <v>2</v>
      </c>
      <c r="N219" s="359" t="str">
        <f t="shared" si="58"/>
        <v>NPA</v>
      </c>
    </row>
    <row r="220" spans="1:14" x14ac:dyDescent="0.25">
      <c r="A220" s="348" t="str">
        <f t="shared" ref="A220:B220" si="64">A155</f>
        <v xml:space="preserve"> </v>
      </c>
      <c r="B220" s="348" t="str">
        <f t="shared" si="64"/>
        <v xml:space="preserve"> </v>
      </c>
      <c r="C220" s="1990" t="s">
        <v>334</v>
      </c>
      <c r="D220" s="348" t="str">
        <f t="shared" si="54"/>
        <v/>
      </c>
      <c r="E220" s="1990"/>
      <c r="F220" s="1990"/>
      <c r="G220" s="1990"/>
      <c r="H220" s="1990"/>
      <c r="I220" s="348"/>
      <c r="J220" s="1990"/>
      <c r="K220" s="1999" t="str">
        <f t="shared" si="56"/>
        <v/>
      </c>
      <c r="L220" s="1999"/>
      <c r="M220" s="348">
        <f t="shared" si="57"/>
        <v>2</v>
      </c>
      <c r="N220" s="359" t="str">
        <f t="shared" si="58"/>
        <v>NPA</v>
      </c>
    </row>
    <row r="221" spans="1:14" x14ac:dyDescent="0.25">
      <c r="A221" s="348" t="str">
        <f t="shared" ref="A221:B221" si="65">A156</f>
        <v xml:space="preserve"> </v>
      </c>
      <c r="B221" s="348" t="str">
        <f t="shared" si="65"/>
        <v xml:space="preserve"> </v>
      </c>
      <c r="C221" s="1990" t="s">
        <v>334</v>
      </c>
      <c r="D221" s="348" t="str">
        <f t="shared" si="54"/>
        <v/>
      </c>
      <c r="E221" s="1990"/>
      <c r="F221" s="1990"/>
      <c r="G221" s="1990"/>
      <c r="H221" s="1990"/>
      <c r="I221" s="348"/>
      <c r="J221" s="1990"/>
      <c r="K221" s="1999" t="str">
        <f t="shared" si="56"/>
        <v/>
      </c>
      <c r="L221" s="1999"/>
      <c r="M221" s="348">
        <f t="shared" si="57"/>
        <v>2</v>
      </c>
      <c r="N221" s="359" t="str">
        <f t="shared" si="58"/>
        <v>NPA</v>
      </c>
    </row>
    <row r="222" spans="1:14" x14ac:dyDescent="0.25">
      <c r="A222" s="348" t="str">
        <f t="shared" ref="A222:B222" si="66">A157</f>
        <v xml:space="preserve"> </v>
      </c>
      <c r="B222" s="348" t="str">
        <f t="shared" si="66"/>
        <v xml:space="preserve"> </v>
      </c>
      <c r="C222" s="1990" t="s">
        <v>334</v>
      </c>
      <c r="D222" s="348" t="str">
        <f t="shared" si="54"/>
        <v/>
      </c>
      <c r="E222" s="1990"/>
      <c r="F222" s="1990"/>
      <c r="G222" s="1990"/>
      <c r="H222" s="1990"/>
      <c r="I222" s="348"/>
      <c r="J222" s="1990"/>
      <c r="K222" s="1999" t="str">
        <f t="shared" si="56"/>
        <v/>
      </c>
      <c r="L222" s="1999"/>
      <c r="M222" s="348">
        <f t="shared" si="57"/>
        <v>2</v>
      </c>
      <c r="N222" s="359" t="str">
        <f t="shared" si="58"/>
        <v>NPA</v>
      </c>
    </row>
    <row r="224" spans="1:14" ht="15.75" thickBot="1" x14ac:dyDescent="0.3"/>
    <row r="225" spans="1:7" ht="15.75" thickBot="1" x14ac:dyDescent="0.3">
      <c r="A225" s="2957" t="s">
        <v>2109</v>
      </c>
      <c r="B225" s="2958"/>
      <c r="C225" s="2958"/>
      <c r="D225" s="2958"/>
      <c r="E225" s="2958"/>
      <c r="F225" s="2958"/>
      <c r="G225" s="2959"/>
    </row>
    <row r="227" spans="1:7" ht="15" customHeight="1" x14ac:dyDescent="0.25">
      <c r="A227" s="1973" t="s">
        <v>2115</v>
      </c>
      <c r="B227" s="348" t="s">
        <v>2126</v>
      </c>
      <c r="E227" s="3028" t="s">
        <v>2127</v>
      </c>
      <c r="F227" s="3028"/>
    </row>
    <row r="228" spans="1:7" x14ac:dyDescent="0.25">
      <c r="A228" s="348" t="s">
        <v>2110</v>
      </c>
      <c r="B228" s="400" t="s">
        <v>273</v>
      </c>
      <c r="E228" s="3028"/>
      <c r="F228" s="3028"/>
    </row>
    <row r="229" spans="1:7" x14ac:dyDescent="0.25">
      <c r="A229" s="348" t="s">
        <v>2111</v>
      </c>
      <c r="B229" s="400" t="s">
        <v>273</v>
      </c>
      <c r="E229" s="3028"/>
      <c r="F229" s="3028"/>
    </row>
    <row r="230" spans="1:7" x14ac:dyDescent="0.25">
      <c r="A230" s="348" t="s">
        <v>2112</v>
      </c>
      <c r="B230" s="400" t="s">
        <v>273</v>
      </c>
      <c r="E230" s="3028"/>
      <c r="F230" s="3028"/>
    </row>
    <row r="231" spans="1:7" x14ac:dyDescent="0.25">
      <c r="A231" s="348" t="s">
        <v>2113</v>
      </c>
      <c r="B231" s="400" t="s">
        <v>273</v>
      </c>
      <c r="E231" s="3029" t="s">
        <v>272</v>
      </c>
      <c r="F231" s="3029"/>
    </row>
    <row r="232" spans="1:7" x14ac:dyDescent="0.25">
      <c r="E232" s="348" t="s">
        <v>1122</v>
      </c>
      <c r="F232" s="348" t="str">
        <f>IF(AND(COUNTIF(B228:B231,"Sim")+COUNTIF(C234:C243,"Sim")&gt;0,E231="Sim"),"Existentes","Inexistentes")</f>
        <v>Inexistentes</v>
      </c>
    </row>
    <row r="233" spans="1:7" x14ac:dyDescent="0.25">
      <c r="A233" s="1986" t="s">
        <v>2180</v>
      </c>
      <c r="B233" s="1986" t="s">
        <v>2179</v>
      </c>
      <c r="C233" s="348" t="s">
        <v>2126</v>
      </c>
      <c r="E233" s="1986" t="str">
        <f>$B$1</f>
        <v>IN 97</v>
      </c>
      <c r="F233" s="359" t="str">
        <f>IF(AND(SUM(COUNTIF(B228:B231,"Sim"),COUNTIF(C234:C243,"Sim"))&gt;0,E231="Sim"),"Não","Sim")</f>
        <v>Sim</v>
      </c>
    </row>
    <row r="234" spans="1:7" x14ac:dyDescent="0.25">
      <c r="A234" s="348" t="str">
        <f t="shared" ref="A234:B243" si="67">A148</f>
        <v xml:space="preserve"> </v>
      </c>
      <c r="B234" s="348" t="str">
        <f t="shared" si="67"/>
        <v xml:space="preserve"> </v>
      </c>
      <c r="C234" s="1988" t="s">
        <v>273</v>
      </c>
    </row>
    <row r="235" spans="1:7" x14ac:dyDescent="0.25">
      <c r="A235" s="348" t="str">
        <f t="shared" si="67"/>
        <v xml:space="preserve"> </v>
      </c>
      <c r="B235" s="348" t="str">
        <f t="shared" si="67"/>
        <v xml:space="preserve"> </v>
      </c>
      <c r="C235" s="1988" t="s">
        <v>273</v>
      </c>
      <c r="E235" s="1248" t="s">
        <v>2312</v>
      </c>
    </row>
    <row r="236" spans="1:7" x14ac:dyDescent="0.25">
      <c r="A236" s="348" t="str">
        <f t="shared" si="67"/>
        <v xml:space="preserve"> </v>
      </c>
      <c r="B236" s="348" t="str">
        <f t="shared" si="67"/>
        <v xml:space="preserve"> </v>
      </c>
      <c r="C236" s="1988" t="s">
        <v>273</v>
      </c>
      <c r="E236" s="2041"/>
    </row>
    <row r="237" spans="1:7" x14ac:dyDescent="0.25">
      <c r="A237" s="348" t="str">
        <f t="shared" si="67"/>
        <v xml:space="preserve"> </v>
      </c>
      <c r="B237" s="348" t="str">
        <f t="shared" si="67"/>
        <v xml:space="preserve"> </v>
      </c>
      <c r="C237" s="1988" t="s">
        <v>273</v>
      </c>
    </row>
    <row r="238" spans="1:7" x14ac:dyDescent="0.25">
      <c r="A238" s="348" t="str">
        <f t="shared" si="67"/>
        <v xml:space="preserve"> </v>
      </c>
      <c r="B238" s="348" t="str">
        <f t="shared" si="67"/>
        <v xml:space="preserve"> </v>
      </c>
      <c r="C238" s="1988" t="s">
        <v>273</v>
      </c>
    </row>
    <row r="239" spans="1:7" x14ac:dyDescent="0.25">
      <c r="A239" s="348" t="str">
        <f t="shared" si="67"/>
        <v xml:space="preserve"> </v>
      </c>
      <c r="B239" s="348" t="str">
        <f t="shared" si="67"/>
        <v xml:space="preserve"> </v>
      </c>
      <c r="C239" s="1988" t="s">
        <v>273</v>
      </c>
    </row>
    <row r="240" spans="1:7" x14ac:dyDescent="0.25">
      <c r="A240" s="348" t="str">
        <f t="shared" si="67"/>
        <v xml:space="preserve"> </v>
      </c>
      <c r="B240" s="348" t="str">
        <f t="shared" si="67"/>
        <v xml:space="preserve"> </v>
      </c>
      <c r="C240" s="1988" t="s">
        <v>273</v>
      </c>
    </row>
    <row r="241" spans="1:3" x14ac:dyDescent="0.25">
      <c r="A241" s="348" t="str">
        <f t="shared" si="67"/>
        <v xml:space="preserve"> </v>
      </c>
      <c r="B241" s="348" t="str">
        <f t="shared" si="67"/>
        <v xml:space="preserve"> </v>
      </c>
      <c r="C241" s="1988" t="s">
        <v>273</v>
      </c>
    </row>
    <row r="242" spans="1:3" x14ac:dyDescent="0.25">
      <c r="A242" s="348" t="str">
        <f t="shared" si="67"/>
        <v xml:space="preserve"> </v>
      </c>
      <c r="B242" s="348" t="str">
        <f t="shared" si="67"/>
        <v xml:space="preserve"> </v>
      </c>
      <c r="C242" s="1988" t="s">
        <v>273</v>
      </c>
    </row>
    <row r="243" spans="1:3" x14ac:dyDescent="0.25">
      <c r="A243" s="348" t="str">
        <f t="shared" si="67"/>
        <v xml:space="preserve"> </v>
      </c>
      <c r="B243" s="348" t="str">
        <f t="shared" si="67"/>
        <v xml:space="preserve"> </v>
      </c>
      <c r="C243" s="1988" t="s">
        <v>273</v>
      </c>
    </row>
  </sheetData>
  <sheetProtection selectLockedCells="1"/>
  <mergeCells count="22">
    <mergeCell ref="A2:G2"/>
    <mergeCell ref="A40:H40"/>
    <mergeCell ref="C55:G55"/>
    <mergeCell ref="A57:H57"/>
    <mergeCell ref="A211:B211"/>
    <mergeCell ref="E211:F211"/>
    <mergeCell ref="G211:H211"/>
    <mergeCell ref="F94:I94"/>
    <mergeCell ref="A173:G173"/>
    <mergeCell ref="E227:F230"/>
    <mergeCell ref="E231:F231"/>
    <mergeCell ref="A21:G21"/>
    <mergeCell ref="A8:G8"/>
    <mergeCell ref="A30:J30"/>
    <mergeCell ref="A225:G225"/>
    <mergeCell ref="A109:H109"/>
    <mergeCell ref="A139:K139"/>
    <mergeCell ref="A123:I123"/>
    <mergeCell ref="A204:N204"/>
    <mergeCell ref="A68:J68"/>
    <mergeCell ref="A88:H88"/>
    <mergeCell ref="D94:E94"/>
  </mergeCells>
  <conditionalFormatting sqref="F233">
    <cfRule type="cellIs" dxfId="286" priority="42" operator="equal">
      <formula>"Não"</formula>
    </cfRule>
  </conditionalFormatting>
  <conditionalFormatting sqref="A11 A13:A18">
    <cfRule type="containsText" dxfId="285" priority="41" operator="containsText" text="não">
      <formula>NOT(ISERROR(SEARCH("não",A11)))</formula>
    </cfRule>
  </conditionalFormatting>
  <conditionalFormatting sqref="B27">
    <cfRule type="cellIs" dxfId="284" priority="23" operator="equal">
      <formula>"Não"</formula>
    </cfRule>
  </conditionalFormatting>
  <conditionalFormatting sqref="C45:C48">
    <cfRule type="cellIs" dxfId="283" priority="19" operator="equal">
      <formula>"Não"</formula>
    </cfRule>
  </conditionalFormatting>
  <conditionalFormatting sqref="F62:F65">
    <cfRule type="cellIs" dxfId="282" priority="18" operator="equal">
      <formula>"Não"</formula>
    </cfRule>
  </conditionalFormatting>
  <conditionalFormatting sqref="K74:K77">
    <cfRule type="cellIs" dxfId="281" priority="17" operator="equal">
      <formula>"Não"</formula>
    </cfRule>
  </conditionalFormatting>
  <conditionalFormatting sqref="L96">
    <cfRule type="cellIs" dxfId="280" priority="16" operator="equal">
      <formula>"Não"</formula>
    </cfRule>
  </conditionalFormatting>
  <conditionalFormatting sqref="L97:L100">
    <cfRule type="cellIs" dxfId="279" priority="14" operator="equal">
      <formula>"Não"</formula>
    </cfRule>
  </conditionalFormatting>
  <conditionalFormatting sqref="C117:C120">
    <cfRule type="cellIs" dxfId="278" priority="13" operator="equal">
      <formula>"Não"</formula>
    </cfRule>
  </conditionalFormatting>
  <conditionalFormatting sqref="F133:F136">
    <cfRule type="cellIs" dxfId="277" priority="12" operator="equal">
      <formula>"Não"</formula>
    </cfRule>
  </conditionalFormatting>
  <conditionalFormatting sqref="K148:K157">
    <cfRule type="cellIs" dxfId="276" priority="11" operator="equal">
      <formula>"Não"</formula>
    </cfRule>
  </conditionalFormatting>
  <conditionalFormatting sqref="I179:I188">
    <cfRule type="cellIs" dxfId="275" priority="10" operator="equal">
      <formula>"Não"</formula>
    </cfRule>
  </conditionalFormatting>
  <conditionalFormatting sqref="K161:K170">
    <cfRule type="cellIs" dxfId="274" priority="9" operator="equal">
      <formula>"Não"</formula>
    </cfRule>
  </conditionalFormatting>
  <conditionalFormatting sqref="N213:N222">
    <cfRule type="cellIs" dxfId="273" priority="7" operator="equal">
      <formula>"Não"</formula>
    </cfRule>
  </conditionalFormatting>
  <conditionalFormatting sqref="C234:C243 B228:B231">
    <cfRule type="containsText" dxfId="272" priority="5" operator="containsText" text="Sim">
      <formula>NOT(ISERROR(SEARCH("Sim",B228)))</formula>
    </cfRule>
  </conditionalFormatting>
  <conditionalFormatting sqref="E10">
    <cfRule type="containsText" dxfId="271" priority="4" operator="containsText" text="não">
      <formula>NOT(ISERROR(SEARCH("não",E10)))</formula>
    </cfRule>
  </conditionalFormatting>
  <conditionalFormatting sqref="A10">
    <cfRule type="containsText" dxfId="270" priority="3" operator="containsText" text="não">
      <formula>NOT(ISERROR(SEARCH("não",A10)))</formula>
    </cfRule>
  </conditionalFormatting>
  <conditionalFormatting sqref="A12">
    <cfRule type="containsText" dxfId="269" priority="1" operator="containsText" text="não">
      <formula>NOT(ISERROR(SEARCH("não",A12)))</formula>
    </cfRule>
  </conditionalFormatting>
  <dataValidations count="7">
    <dataValidation type="list" allowBlank="1" showInputMessage="1" showErrorMessage="1" sqref="B4">
      <formula1>"Campo aberto,Campo fechado"</formula1>
    </dataValidation>
    <dataValidation type="list" allowBlank="1" showInputMessage="1" showErrorMessage="1" sqref="A14">
      <formula1>"Não há,Entrevista,Portátil,Portal,Outro"</formula1>
    </dataValidation>
    <dataValidation type="list" allowBlank="1" showInputMessage="1" showErrorMessage="1" sqref="E231 B228:B231 E10 A15:A18 C234:C243 A11 A13">
      <formula1>"Sim,Não"</formula1>
    </dataValidation>
    <dataValidation type="list" allowBlank="1" showInputMessage="1" showErrorMessage="1" sqref="C25">
      <formula1>"%,MHz"</formula1>
    </dataValidation>
    <dataValidation type="list" allowBlank="1" showInputMessage="1" showErrorMessage="1" sqref="B117:B120">
      <mc:AlternateContent xmlns:x12ac="http://schemas.microsoft.com/office/spreadsheetml/2011/1/ac" xmlns:mc="http://schemas.openxmlformats.org/markup-compatibility/2006">
        <mc:Choice Requires="x12ac">
          <x12ac:list>"1,1","1,0","0,9"</x12ac:list>
        </mc:Choice>
        <mc:Fallback>
          <formula1>"1,1,1,0,0,9"</formula1>
        </mc:Fallback>
      </mc:AlternateContent>
    </dataValidation>
    <dataValidation type="decimal" operator="greaterThan" allowBlank="1" showInputMessage="1" showErrorMessage="1" sqref="B5:B6">
      <formula1>0</formula1>
    </dataValidation>
    <dataValidation type="list" allowBlank="1" showInputMessage="1" showErrorMessage="1" sqref="A10 A12">
      <formula1>"Sim,Não,NA"</formula1>
    </dataValidation>
  </dataValidations>
  <pageMargins left="0.511811024" right="0.511811024" top="0.78740157499999996" bottom="0.78740157499999996" header="0.31496062000000002" footer="0.31496062000000002"/>
  <pageSetup paperSize="9"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261"/>
  <sheetViews>
    <sheetView view="pageBreakPreview" topLeftCell="A119" zoomScaleNormal="100" zoomScaleSheetLayoutView="100" workbookViewId="0">
      <selection activeCell="G133" sqref="G133:H133"/>
    </sheetView>
  </sheetViews>
  <sheetFormatPr defaultColWidth="9.140625" defaultRowHeight="15.75" x14ac:dyDescent="0.25"/>
  <cols>
    <col min="1" max="10" width="9.140625" style="34" customWidth="1"/>
    <col min="11" max="11" width="11" style="34" bestFit="1" customWidth="1"/>
    <col min="12" max="12" width="9.85546875" style="34" bestFit="1" customWidth="1"/>
    <col min="13" max="16384" width="9.140625" style="34"/>
  </cols>
  <sheetData>
    <row r="1" spans="1:11" s="1979" customFormat="1" ht="15" customHeight="1" x14ac:dyDescent="0.25">
      <c r="A1" s="2479" t="e">
        <f>Cabeçalho!B6</f>
        <v>#N/A</v>
      </c>
      <c r="B1" s="2479"/>
      <c r="C1" s="2479"/>
      <c r="D1" s="2479"/>
      <c r="E1" s="2745" t="e">
        <f>IF(Cabeçalho!$B$15="",CONCATENATE(LOOKUP(Cabeçalho!$B$14,Tabelas2!$A$23:$A$32,Tabelas2!$B$23:$B$32),IF(Cabeçalho!$B$16&lt;&gt;0," - ",""),UPPER(Cabeçalho!$B$16)),CONCATENATE(LOOKUP(Cabeçalho!$B$14,Tabelas2!$A$23:$A$32,Tabelas2!$B$23:$B$32)," - ",Cabeçalho!$B$15," - ",UPPER(Cabeçalho!$B$16)))</f>
        <v>#N/A</v>
      </c>
      <c r="F1" s="2745"/>
      <c r="G1" s="2745"/>
      <c r="H1" s="2745"/>
      <c r="I1" s="278" t="s">
        <v>112</v>
      </c>
      <c r="J1" s="278" t="e">
        <f>IF(Cabeçalho!B12="","",Cabeçalho!B12)</f>
        <v>#N/A</v>
      </c>
      <c r="K1" s="279" t="s">
        <v>648</v>
      </c>
    </row>
    <row r="3" spans="1:11" ht="15" customHeight="1" x14ac:dyDescent="0.25">
      <c r="A3" s="2650" t="s">
        <v>2210</v>
      </c>
      <c r="B3" s="2650"/>
      <c r="C3" s="2650"/>
      <c r="D3" s="2650"/>
      <c r="E3" s="2650"/>
      <c r="F3" s="2650"/>
      <c r="G3" s="2650"/>
      <c r="H3" s="2650"/>
      <c r="I3" s="2650"/>
      <c r="J3" s="2650"/>
    </row>
    <row r="4" spans="1:11" x14ac:dyDescent="0.25">
      <c r="A4" s="1975"/>
      <c r="B4" s="1975"/>
      <c r="C4" s="1975"/>
      <c r="D4" s="1975"/>
      <c r="E4" s="1975"/>
      <c r="F4" s="1975"/>
      <c r="G4" s="1975"/>
      <c r="H4" s="1975"/>
      <c r="I4" s="1975"/>
      <c r="J4" s="1975"/>
    </row>
    <row r="5" spans="1:11" ht="15" customHeight="1" x14ac:dyDescent="0.25">
      <c r="A5" s="2650" t="s">
        <v>114</v>
      </c>
      <c r="B5" s="2650"/>
      <c r="C5" s="2650"/>
      <c r="D5" s="2650"/>
      <c r="E5" s="2650"/>
      <c r="F5" s="2650"/>
      <c r="G5" s="2650"/>
      <c r="H5" s="2650"/>
      <c r="I5" s="2650"/>
      <c r="J5" s="2650"/>
    </row>
    <row r="6" spans="1:11" x14ac:dyDescent="0.25">
      <c r="A6" s="2018"/>
      <c r="B6" s="2018"/>
      <c r="C6" s="2018"/>
      <c r="D6" s="2018"/>
      <c r="E6" s="2018"/>
      <c r="F6" s="2018"/>
      <c r="G6" s="2018"/>
      <c r="H6" s="2018"/>
      <c r="I6" s="2018"/>
      <c r="J6" s="2018"/>
    </row>
    <row r="9" spans="1:11" ht="15" customHeight="1" x14ac:dyDescent="0.25">
      <c r="C9" s="2484" t="e">
        <f>Cabeçalho!B6</f>
        <v>#N/A</v>
      </c>
      <c r="D9" s="2484"/>
      <c r="E9" s="2484"/>
      <c r="F9" s="2484"/>
      <c r="G9" s="2484"/>
      <c r="H9" s="2484"/>
      <c r="I9" s="2484"/>
      <c r="J9" s="2484"/>
    </row>
    <row r="10" spans="1:11" ht="15" customHeight="1" x14ac:dyDescent="0.25">
      <c r="C10" s="2484"/>
      <c r="D10" s="2484"/>
      <c r="E10" s="2484"/>
      <c r="F10" s="2484"/>
      <c r="G10" s="2484"/>
      <c r="H10" s="2484"/>
      <c r="I10" s="2484"/>
      <c r="J10" s="2484"/>
    </row>
    <row r="11" spans="1:11" ht="15" customHeight="1" x14ac:dyDescent="0.25">
      <c r="B11" s="281"/>
      <c r="C11" s="281"/>
      <c r="D11" s="281"/>
      <c r="E11" s="281"/>
      <c r="F11" s="281"/>
      <c r="G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row>
    <row r="15" spans="1:11" ht="15" customHeight="1" x14ac:dyDescent="0.25">
      <c r="C15" s="280" t="e">
        <f>Cabeçalho!B8</f>
        <v>#N/A</v>
      </c>
      <c r="E15" s="281" t="e">
        <f>CONCATENATE(Cabeçalho!B9,", ",Cabeçalho!B10)</f>
        <v>#N/A</v>
      </c>
      <c r="F15" s="281"/>
      <c r="G15" s="281"/>
    </row>
    <row r="17" spans="1:10" ht="30" customHeight="1" x14ac:dyDescent="0.25">
      <c r="A17" s="34" t="s">
        <v>115</v>
      </c>
      <c r="C17" s="2486" t="e">
        <f>Cabeçalho!B4</f>
        <v>#N/A</v>
      </c>
      <c r="D17" s="2486"/>
      <c r="E17" s="2486"/>
      <c r="F17" s="2486"/>
      <c r="G17" s="2486"/>
      <c r="H17" s="2486"/>
      <c r="I17" s="2486"/>
      <c r="J17" s="2486"/>
    </row>
    <row r="18" spans="1:10" ht="15" customHeight="1" x14ac:dyDescent="0.25">
      <c r="C18" s="280" t="e">
        <f>Cabeçalho!B5</f>
        <v>#N/A</v>
      </c>
    </row>
    <row r="19" spans="1:10" ht="15" customHeight="1" x14ac:dyDescent="0.25">
      <c r="C19" s="281"/>
    </row>
    <row r="20" spans="1:10" ht="15" customHeight="1" x14ac:dyDescent="0.25">
      <c r="C20" s="282"/>
    </row>
    <row r="21" spans="1:10" ht="15" customHeight="1" x14ac:dyDescent="0.25">
      <c r="A21" s="281" t="s">
        <v>116</v>
      </c>
    </row>
    <row r="22" spans="1:10" ht="15" customHeight="1" x14ac:dyDescent="0.25">
      <c r="A22" s="2469" t="str">
        <f>IntroRDC</f>
        <v xml:space="preserve">               Este Laudo Técnico é parte do Programa de Garantia da Qualidade, conforme Resolução da Diretoria Colegiada - RDC 611/2022 da ANVISA.</v>
      </c>
      <c r="B22" s="2469"/>
      <c r="C22" s="2469"/>
      <c r="D22" s="2469"/>
      <c r="E22" s="2469"/>
      <c r="F22" s="2469"/>
      <c r="G22" s="2469"/>
      <c r="H22" s="2469"/>
      <c r="I22" s="2469"/>
      <c r="J22" s="2469"/>
    </row>
    <row r="23" spans="1:10" ht="15" customHeight="1" x14ac:dyDescent="0.25">
      <c r="A23" s="2469"/>
      <c r="B23" s="2469"/>
      <c r="C23" s="2469"/>
      <c r="D23" s="2469"/>
      <c r="E23" s="2469"/>
      <c r="F23" s="2469"/>
      <c r="G23" s="2469"/>
      <c r="H23" s="2469"/>
      <c r="I23" s="2469"/>
      <c r="J23" s="2469"/>
    </row>
    <row r="24" spans="1:10" ht="15" customHeight="1" x14ac:dyDescent="0.25">
      <c r="A24" s="2469" t="str">
        <f>IntroProtocolo</f>
        <v xml:space="preserve">               A metodologia utilizada atende aos "Protocolos para Execução de Testes em Sistemas de Radiologia Diagnóstica e Intervencionista" do CONFEA.</v>
      </c>
      <c r="B24" s="2469"/>
      <c r="C24" s="2469"/>
      <c r="D24" s="2469"/>
      <c r="E24" s="2469"/>
      <c r="F24" s="2469"/>
      <c r="G24" s="2469"/>
      <c r="H24" s="2469"/>
      <c r="I24" s="2469"/>
      <c r="J24" s="2469"/>
    </row>
    <row r="25" spans="1:10" ht="15" customHeight="1" x14ac:dyDescent="0.25">
      <c r="A25" s="2469"/>
      <c r="B25" s="2469"/>
      <c r="C25" s="2469"/>
      <c r="D25" s="2469"/>
      <c r="E25" s="2469"/>
      <c r="F25" s="2469"/>
      <c r="G25" s="2469"/>
      <c r="H25" s="2469"/>
      <c r="I25" s="2469"/>
      <c r="J25" s="2469"/>
    </row>
    <row r="28" spans="1:10" ht="15" customHeight="1" x14ac:dyDescent="0.25">
      <c r="A28" s="281" t="s">
        <v>117</v>
      </c>
    </row>
    <row r="29" spans="1:10" ht="15" customHeight="1" x14ac:dyDescent="0.25">
      <c r="A29" s="2469" t="str">
        <f>"                 Verificar parâmetros técnicos e condições de desempenho do equipamento de ressonância magnética e a conformidade do mesmo com a Instrução Normativa "&amp;VLOOKUP("Ressonância Magnética",IN_ANVISA[],2)&amp;"/"&amp;VLOOKUP("Ressonância Magnética",IN_ANVISA[],3)&amp;" da ANVISA."</f>
        <v xml:space="preserve">                 Verificar parâmetros técnicos e condições de desempenho do equipamento de ressonância magnética e a conformidade do mesmo com a Instrução Normativa 97/2021 da ANVISA.</v>
      </c>
      <c r="B29" s="2469"/>
      <c r="C29" s="2469"/>
      <c r="D29" s="2469"/>
      <c r="E29" s="2469"/>
      <c r="F29" s="2469"/>
      <c r="G29" s="2469"/>
      <c r="H29" s="2469"/>
      <c r="I29" s="2469"/>
      <c r="J29" s="2469"/>
    </row>
    <row r="30" spans="1:10" ht="15" customHeight="1" x14ac:dyDescent="0.25">
      <c r="A30" s="2469"/>
      <c r="B30" s="2469"/>
      <c r="C30" s="2469"/>
      <c r="D30" s="2469"/>
      <c r="E30" s="2469"/>
      <c r="F30" s="2469"/>
      <c r="G30" s="2469"/>
      <c r="H30" s="2469"/>
      <c r="I30" s="2469"/>
      <c r="J30" s="2469"/>
    </row>
    <row r="31" spans="1:10" ht="15" customHeight="1" x14ac:dyDescent="0.25">
      <c r="A31" s="2469"/>
      <c r="B31" s="2469"/>
      <c r="C31" s="2469"/>
      <c r="D31" s="2469"/>
      <c r="E31" s="2469"/>
      <c r="F31" s="2469"/>
      <c r="G31" s="2469"/>
      <c r="H31" s="2469"/>
      <c r="I31" s="2469"/>
      <c r="J31" s="2469"/>
    </row>
    <row r="32" spans="1:10" ht="15" customHeight="1" x14ac:dyDescent="0.25">
      <c r="A32" s="2469" t="str">
        <f>OBJETIVO</f>
        <v xml:space="preserve">                Fornecer elementos para aceitação ou rejeição do equipamento, bem como para corrigir eventuais desvios, falhas e anomalias.</v>
      </c>
      <c r="B32" s="2469"/>
      <c r="C32" s="2469"/>
      <c r="D32" s="2469"/>
      <c r="E32" s="2469"/>
      <c r="F32" s="2469"/>
      <c r="G32" s="2469"/>
      <c r="H32" s="2469"/>
      <c r="I32" s="2469"/>
      <c r="J32" s="2469"/>
    </row>
    <row r="33" spans="1:11" ht="15" customHeight="1" x14ac:dyDescent="0.25">
      <c r="A33" s="2469"/>
      <c r="B33" s="2469"/>
      <c r="C33" s="2469"/>
      <c r="D33" s="2469"/>
      <c r="E33" s="2469"/>
      <c r="F33" s="2469"/>
      <c r="G33" s="2469"/>
      <c r="H33" s="2469"/>
      <c r="I33" s="2469"/>
      <c r="J33" s="2469"/>
    </row>
    <row r="34" spans="1:11" ht="15" customHeight="1" x14ac:dyDescent="0.25">
      <c r="A34" s="2469" t="str">
        <f>ObjetivoCorreções</f>
        <v xml:space="preserve">               Verificar possíveis correções realizadas após o laudo de 00/01/00 deste mesmo equipamento.</v>
      </c>
      <c r="B34" s="2469"/>
      <c r="C34" s="2469"/>
      <c r="D34" s="2469"/>
      <c r="E34" s="2469"/>
      <c r="F34" s="2469"/>
      <c r="G34" s="2469"/>
      <c r="H34" s="2469"/>
      <c r="I34" s="2469"/>
      <c r="J34" s="2469"/>
      <c r="K34" s="34" t="str">
        <f>IF(Cabeçalho!$B$17="","x","")</f>
        <v>x</v>
      </c>
    </row>
    <row r="35" spans="1:11" ht="15" customHeight="1" x14ac:dyDescent="0.25">
      <c r="A35" s="2469"/>
      <c r="B35" s="2469"/>
      <c r="C35" s="2469"/>
      <c r="D35" s="2469"/>
      <c r="E35" s="2469"/>
      <c r="F35" s="2469"/>
      <c r="G35" s="2469"/>
      <c r="H35" s="2469"/>
      <c r="I35" s="2469"/>
      <c r="J35" s="2469"/>
      <c r="K35" s="34" t="str">
        <f>K34</f>
        <v>x</v>
      </c>
    </row>
    <row r="36" spans="1:11" ht="15" customHeight="1" x14ac:dyDescent="0.25">
      <c r="A36" s="1980"/>
      <c r="B36" s="1980"/>
      <c r="C36" s="1980"/>
      <c r="D36" s="1980"/>
      <c r="E36" s="1980"/>
      <c r="F36" s="1980"/>
      <c r="G36" s="1980"/>
      <c r="H36" s="1980"/>
      <c r="I36" s="1980"/>
      <c r="J36" s="1980"/>
    </row>
    <row r="37" spans="1:11" ht="15" customHeight="1" x14ac:dyDescent="0.25">
      <c r="A37" s="1980"/>
      <c r="B37" s="1980"/>
      <c r="C37" s="1980"/>
      <c r="D37" s="1980"/>
      <c r="E37" s="1980"/>
      <c r="F37" s="1980"/>
      <c r="G37" s="1980"/>
      <c r="H37" s="1980"/>
      <c r="I37" s="1980"/>
      <c r="J37" s="1980"/>
    </row>
    <row r="38" spans="1:11" ht="15" customHeight="1" x14ac:dyDescent="0.25">
      <c r="A38" s="281" t="s">
        <v>118</v>
      </c>
    </row>
    <row r="39" spans="1:11" ht="15" customHeight="1" x14ac:dyDescent="0.25">
      <c r="A39" s="2465" t="s">
        <v>119</v>
      </c>
      <c r="B39" s="2465"/>
      <c r="C39" s="2465"/>
      <c r="D39" s="2465" t="s">
        <v>120</v>
      </c>
      <c r="E39" s="2465"/>
      <c r="F39" s="2465"/>
      <c r="G39" s="2465" t="s">
        <v>121</v>
      </c>
      <c r="H39" s="2465"/>
      <c r="I39" s="2465" t="s">
        <v>475</v>
      </c>
      <c r="J39" s="2465"/>
    </row>
    <row r="40" spans="1:11" ht="15" customHeight="1" x14ac:dyDescent="0.25">
      <c r="A40" s="2482" t="str">
        <f>IF(Cabeçalho!G3="","*",Cabeçalho!G3)</f>
        <v>*</v>
      </c>
      <c r="B40" s="2482"/>
      <c r="C40" s="2482"/>
      <c r="D40" s="2472" t="str">
        <f>IF(Cabeçalho!G4="","*",Cabeçalho!G4)</f>
        <v>*</v>
      </c>
      <c r="E40" s="2472"/>
      <c r="F40" s="2472"/>
      <c r="G40" s="2472" t="str">
        <f>IF(Cabeçalho!G5="","*",Cabeçalho!G5)</f>
        <v>*</v>
      </c>
      <c r="H40" s="2472"/>
      <c r="I40" s="2472" t="str">
        <f>IF(Cabeçalho!G6="","*",Cabeçalho!G6)</f>
        <v>*</v>
      </c>
      <c r="J40" s="2472"/>
    </row>
    <row r="41" spans="1:11" ht="15" customHeight="1" x14ac:dyDescent="0.25">
      <c r="A41" s="2482"/>
      <c r="B41" s="2482"/>
      <c r="C41" s="2482"/>
      <c r="D41" s="2472"/>
      <c r="E41" s="2472"/>
      <c r="F41" s="2472"/>
      <c r="G41" s="2472"/>
      <c r="H41" s="2472"/>
      <c r="I41" s="2472"/>
      <c r="J41" s="2472"/>
    </row>
    <row r="42" spans="1:11" ht="15" customHeight="1" x14ac:dyDescent="0.25">
      <c r="A42" s="284" t="s">
        <v>835</v>
      </c>
    </row>
    <row r="43" spans="1:11" ht="15" customHeight="1" x14ac:dyDescent="0.25">
      <c r="A43" s="2475" t="s">
        <v>124</v>
      </c>
      <c r="B43" s="2475"/>
      <c r="C43" s="2475"/>
      <c r="D43" s="2475"/>
      <c r="E43" s="2473" t="s">
        <v>1610</v>
      </c>
      <c r="F43" s="2473"/>
      <c r="G43" s="2473"/>
      <c r="H43" s="2473"/>
      <c r="I43" s="2473"/>
      <c r="J43" s="2473"/>
    </row>
    <row r="44" spans="1:11" ht="15" customHeight="1" x14ac:dyDescent="0.25">
      <c r="A44" s="2473" t="s">
        <v>2229</v>
      </c>
      <c r="B44" s="2473"/>
      <c r="C44" s="2473"/>
      <c r="D44" s="2473"/>
      <c r="E44" s="2473" t="str">
        <f>Ressonância!B4</f>
        <v>Campo fechado</v>
      </c>
      <c r="F44" s="2473"/>
      <c r="G44" s="2473"/>
      <c r="H44" s="2473"/>
      <c r="I44" s="2473"/>
      <c r="J44" s="2473"/>
    </row>
    <row r="45" spans="1:11" ht="15" customHeight="1" x14ac:dyDescent="0.25">
      <c r="A45" s="576" t="s">
        <v>2102</v>
      </c>
      <c r="B45" s="576"/>
      <c r="C45" s="576"/>
      <c r="D45" s="576"/>
      <c r="E45" s="576" t="str">
        <f>CampoMagneticoRM&amp;" Tesla"</f>
        <v>1,5 Tesla</v>
      </c>
      <c r="F45" s="576"/>
      <c r="G45" s="576"/>
      <c r="H45" s="576"/>
      <c r="I45" s="576"/>
      <c r="J45" s="576"/>
    </row>
    <row r="46" spans="1:11" ht="15" customHeight="1" x14ac:dyDescent="0.25">
      <c r="A46" s="34" t="s">
        <v>2244</v>
      </c>
      <c r="E46" s="576" t="str">
        <f>Ressonância!B22&amp;" "&amp;Ressonância!C22</f>
        <v>63,864 MHz</v>
      </c>
      <c r="F46" s="576"/>
      <c r="G46" s="576"/>
      <c r="H46" s="576"/>
      <c r="I46" s="576"/>
    </row>
    <row r="47" spans="1:11" s="2137" customFormat="1" ht="15" customHeight="1" x14ac:dyDescent="0.25">
      <c r="A47" s="2473" t="s">
        <v>2353</v>
      </c>
      <c r="B47" s="2473"/>
      <c r="C47" s="2473"/>
      <c r="D47" s="2473"/>
      <c r="E47" s="2075" t="str">
        <f>IF(Cabeçalho!E22&lt;&gt;"",Cabeçalho!E22,"NI")</f>
        <v>NI</v>
      </c>
      <c r="F47" s="2138"/>
      <c r="G47" s="2138"/>
      <c r="H47" s="2138"/>
      <c r="I47" s="2138"/>
    </row>
    <row r="48" spans="1:11" s="2137" customFormat="1" ht="15" customHeight="1" x14ac:dyDescent="0.25">
      <c r="A48" s="2473" t="s">
        <v>2354</v>
      </c>
      <c r="B48" s="2473"/>
      <c r="C48" s="2473"/>
      <c r="D48" s="2473"/>
      <c r="E48" s="2075" t="str">
        <f>IF(Cabeçalho!E23&lt;&gt;"",Cabeçalho!E23,"NI")</f>
        <v>NI</v>
      </c>
      <c r="F48" s="2138"/>
      <c r="G48" s="2138"/>
      <c r="H48" s="2138"/>
      <c r="I48" s="2138"/>
    </row>
    <row r="49" spans="1:11" s="2137" customFormat="1" ht="15" customHeight="1" x14ac:dyDescent="0.25">
      <c r="A49" s="2473" t="s">
        <v>2355</v>
      </c>
      <c r="B49" s="2473"/>
      <c r="C49" s="2473"/>
      <c r="D49" s="2473"/>
      <c r="E49" s="2075" t="str">
        <f>IF(Cabeçalho!B15&lt;&gt;"",Cabeçalho!B15,"NI")</f>
        <v>NI</v>
      </c>
      <c r="F49" s="2138"/>
      <c r="G49" s="2138"/>
      <c r="H49" s="2138"/>
      <c r="I49" s="2138"/>
    </row>
    <row r="50" spans="1:11" s="2137" customFormat="1" ht="15" customHeight="1" x14ac:dyDescent="0.25">
      <c r="E50" s="2138"/>
      <c r="F50" s="2138"/>
      <c r="G50" s="2138"/>
      <c r="H50" s="2138"/>
      <c r="I50" s="2138"/>
    </row>
    <row r="51" spans="1:11" ht="15" customHeight="1" x14ac:dyDescent="0.25">
      <c r="E51" s="576"/>
      <c r="F51" s="576"/>
      <c r="G51" s="576"/>
      <c r="H51" s="576"/>
      <c r="I51" s="576"/>
    </row>
    <row r="52" spans="1:11" ht="15" customHeight="1" x14ac:dyDescent="0.25"/>
    <row r="53" spans="1:11" ht="15" customHeight="1" x14ac:dyDescent="0.25">
      <c r="A53" s="281" t="s">
        <v>125</v>
      </c>
    </row>
    <row r="54" spans="1:11" ht="15" customHeight="1" x14ac:dyDescent="0.25">
      <c r="A54" s="2465" t="s">
        <v>129</v>
      </c>
      <c r="B54" s="2465"/>
      <c r="C54" s="2465"/>
      <c r="D54" s="2465"/>
      <c r="E54" s="2465"/>
      <c r="F54" s="1983" t="s">
        <v>368</v>
      </c>
      <c r="G54" s="2465" t="s">
        <v>369</v>
      </c>
      <c r="H54" s="2465"/>
      <c r="I54" s="2465"/>
    </row>
    <row r="55" spans="1:11" ht="15" customHeight="1" x14ac:dyDescent="0.25">
      <c r="A55" s="2575" t="s">
        <v>2234</v>
      </c>
      <c r="B55" s="2576"/>
      <c r="C55" s="2576"/>
      <c r="D55" s="2576"/>
      <c r="E55" s="2577"/>
      <c r="F55" s="2015" t="str">
        <f>Ressonância!B1</f>
        <v>IN 97</v>
      </c>
      <c r="G55" s="2600" t="str">
        <f>Ressonância!A10</f>
        <v>NA</v>
      </c>
      <c r="H55" s="2601"/>
      <c r="I55" s="2602"/>
      <c r="K55" s="34" t="str">
        <f>IF(G55="NA","x","")</f>
        <v>x</v>
      </c>
    </row>
    <row r="56" spans="1:11" ht="15" customHeight="1" x14ac:dyDescent="0.25">
      <c r="A56" s="2575" t="s">
        <v>2230</v>
      </c>
      <c r="B56" s="2576"/>
      <c r="C56" s="2576"/>
      <c r="D56" s="2576"/>
      <c r="E56" s="2577"/>
      <c r="F56" s="2015" t="str">
        <f>F55</f>
        <v>IN 97</v>
      </c>
      <c r="G56" s="2600" t="str">
        <f>Ressonância!A11</f>
        <v>Sim</v>
      </c>
      <c r="H56" s="2601"/>
      <c r="I56" s="2602"/>
      <c r="K56" s="34" t="str">
        <f>IF(convencional!$I$4="Sim","x","")</f>
        <v/>
      </c>
    </row>
    <row r="57" spans="1:11" ht="15" customHeight="1" x14ac:dyDescent="0.25">
      <c r="A57" s="2575" t="s">
        <v>2232</v>
      </c>
      <c r="B57" s="2576"/>
      <c r="C57" s="2576"/>
      <c r="D57" s="2576"/>
      <c r="E57" s="2577"/>
      <c r="F57" s="2015" t="str">
        <f>F55</f>
        <v>IN 97</v>
      </c>
      <c r="G57" s="2600" t="str">
        <f>Ressonância!A12</f>
        <v>NA</v>
      </c>
      <c r="H57" s="2601"/>
      <c r="I57" s="2602"/>
      <c r="K57" s="2014" t="str">
        <f>IF(G57="NA","x","")</f>
        <v>x</v>
      </c>
    </row>
    <row r="58" spans="1:11" ht="15" customHeight="1" x14ac:dyDescent="0.25">
      <c r="A58" s="2575" t="s">
        <v>2231</v>
      </c>
      <c r="B58" s="2576"/>
      <c r="C58" s="2576"/>
      <c r="D58" s="2576"/>
      <c r="E58" s="2577"/>
      <c r="F58" s="2015" t="str">
        <f>F57</f>
        <v>IN 97</v>
      </c>
      <c r="G58" s="2600" t="str">
        <f>Ressonância!A13</f>
        <v>Sim</v>
      </c>
      <c r="H58" s="2601"/>
      <c r="I58" s="2602"/>
    </row>
    <row r="59" spans="1:11" ht="15" customHeight="1" x14ac:dyDescent="0.25">
      <c r="A59" s="2575" t="s">
        <v>2103</v>
      </c>
      <c r="B59" s="2576"/>
      <c r="C59" s="2576"/>
      <c r="D59" s="2576"/>
      <c r="E59" s="2577"/>
      <c r="F59" s="2015" t="str">
        <f>F58</f>
        <v>IN 97</v>
      </c>
      <c r="G59" s="2600" t="str">
        <f>Ressonância!A14</f>
        <v>Entrevista</v>
      </c>
      <c r="H59" s="2601"/>
      <c r="I59" s="2602"/>
      <c r="K59" s="34" t="str">
        <f>IF(convencional!$I$4="Sim","x","")</f>
        <v/>
      </c>
    </row>
    <row r="60" spans="1:11" ht="15" customHeight="1" x14ac:dyDescent="0.25">
      <c r="A60" s="2575" t="s">
        <v>2235</v>
      </c>
      <c r="B60" s="2576"/>
      <c r="C60" s="2576"/>
      <c r="D60" s="2576"/>
      <c r="E60" s="2577"/>
      <c r="F60" s="2015" t="str">
        <f>F59</f>
        <v>IN 97</v>
      </c>
      <c r="G60" s="2600" t="str">
        <f>Ressonância!A15</f>
        <v>Sim</v>
      </c>
      <c r="H60" s="2601"/>
      <c r="I60" s="2602"/>
    </row>
    <row r="61" spans="1:11" ht="15" customHeight="1" x14ac:dyDescent="0.25">
      <c r="A61" s="2575" t="s">
        <v>2233</v>
      </c>
      <c r="B61" s="2576"/>
      <c r="C61" s="2576"/>
      <c r="D61" s="2576"/>
      <c r="E61" s="2577"/>
      <c r="F61" s="2015" t="s">
        <v>240</v>
      </c>
      <c r="G61" s="2600" t="str">
        <f>Ressonância!A16</f>
        <v>Sim</v>
      </c>
      <c r="H61" s="2601"/>
      <c r="I61" s="2602"/>
    </row>
    <row r="62" spans="1:11" ht="15" customHeight="1" x14ac:dyDescent="0.25">
      <c r="A62" s="2575" t="s">
        <v>2274</v>
      </c>
      <c r="B62" s="2576"/>
      <c r="C62" s="2576"/>
      <c r="D62" s="2576"/>
      <c r="E62" s="2577"/>
      <c r="F62" s="2015" t="s">
        <v>240</v>
      </c>
      <c r="G62" s="2600" t="str">
        <f>Ressonância!A17</f>
        <v>Sim</v>
      </c>
      <c r="H62" s="2601"/>
      <c r="I62" s="2602"/>
    </row>
    <row r="63" spans="1:11" ht="15" customHeight="1" x14ac:dyDescent="0.25">
      <c r="A63" s="2471" t="s">
        <v>2237</v>
      </c>
      <c r="B63" s="2471"/>
      <c r="C63" s="2471"/>
      <c r="D63" s="2471"/>
      <c r="E63" s="2471"/>
      <c r="F63" s="2015" t="s">
        <v>240</v>
      </c>
      <c r="G63" s="2600" t="str">
        <f>Ressonância!A18</f>
        <v>Sim</v>
      </c>
      <c r="H63" s="2601"/>
      <c r="I63" s="2602"/>
    </row>
    <row r="64" spans="1:11" ht="15" customHeight="1" x14ac:dyDescent="0.25">
      <c r="A64" s="2481" t="s">
        <v>2247</v>
      </c>
      <c r="B64" s="2481"/>
      <c r="C64" s="2481"/>
      <c r="D64" s="2481"/>
      <c r="E64" s="2481"/>
      <c r="F64" s="2481"/>
      <c r="G64" s="2481"/>
      <c r="H64" s="2481"/>
      <c r="I64" s="2481"/>
    </row>
    <row r="66" spans="1:12" ht="15" customHeight="1" x14ac:dyDescent="0.25">
      <c r="A66" s="281" t="s">
        <v>2240</v>
      </c>
    </row>
    <row r="67" spans="1:12" ht="15" customHeight="1" x14ac:dyDescent="0.25">
      <c r="A67" s="281"/>
      <c r="L67" s="2016"/>
    </row>
    <row r="68" spans="1:12" ht="15" customHeight="1" x14ac:dyDescent="0.25">
      <c r="A68" s="3036" t="str">
        <f>Ressonância!A33&amp;":"</f>
        <v>ACR Sag Localizer:</v>
      </c>
      <c r="B68" s="3036"/>
      <c r="C68" s="3036"/>
      <c r="D68" s="3037" t="str">
        <f>Ressonância!L33</f>
        <v>Spin-eco, TR [ms] 200, TE [ms] 20, FOV [mm] 250; N° cortes 1, Espessura de corte [mm] 10, Espaçamento entre cortes [mm] N/A, Matriz [freq/fase] 256/256, Tempo de varredura [s] 56.</v>
      </c>
      <c r="E68" s="3037"/>
      <c r="F68" s="3037"/>
      <c r="G68" s="3037"/>
      <c r="H68" s="3037"/>
      <c r="I68" s="3037"/>
      <c r="J68" s="3037"/>
      <c r="K68" s="34" t="str">
        <f>IF(D68="","x","")</f>
        <v/>
      </c>
      <c r="L68" s="2016"/>
    </row>
    <row r="69" spans="1:12" ht="15" customHeight="1" x14ac:dyDescent="0.25">
      <c r="A69" s="281"/>
      <c r="D69" s="3037"/>
      <c r="E69" s="3037"/>
      <c r="F69" s="3037"/>
      <c r="G69" s="3037"/>
      <c r="H69" s="3037"/>
      <c r="I69" s="3037"/>
      <c r="J69" s="3037"/>
      <c r="K69" s="34" t="str">
        <f>K68</f>
        <v/>
      </c>
      <c r="L69" s="2016"/>
    </row>
    <row r="70" spans="1:12" ht="15" customHeight="1" x14ac:dyDescent="0.25">
      <c r="A70" s="281"/>
      <c r="D70" s="3037"/>
      <c r="E70" s="3037"/>
      <c r="F70" s="3037"/>
      <c r="G70" s="3037"/>
      <c r="H70" s="3037"/>
      <c r="I70" s="3037"/>
      <c r="J70" s="3037"/>
      <c r="K70" s="34" t="str">
        <f>K69</f>
        <v/>
      </c>
      <c r="L70" s="2016"/>
    </row>
    <row r="71" spans="1:12" ht="15" customHeight="1" x14ac:dyDescent="0.25">
      <c r="A71" s="3036" t="str">
        <f>Ressonância!A34&amp;":"</f>
        <v>ACR Axial T1:</v>
      </c>
      <c r="B71" s="3036"/>
      <c r="C71" s="3036"/>
      <c r="D71" s="3037" t="str">
        <f>Ressonância!L34</f>
        <v>Spin-eco, TR [ms] 500, TE [ms] 20, FOV [mm] 250; N° cortes 11, Espessura de corte [mm] 5, Espaçamento entre cortes [mm] 5, Matriz [freq/fase] 256/256, Tempo de varredura [s] 136.</v>
      </c>
      <c r="E71" s="3037"/>
      <c r="F71" s="3037"/>
      <c r="G71" s="3037"/>
      <c r="H71" s="3037"/>
      <c r="I71" s="3037"/>
      <c r="J71" s="3037"/>
      <c r="K71" s="34" t="str">
        <f>IF(D71="","x","")</f>
        <v/>
      </c>
      <c r="L71" s="2016"/>
    </row>
    <row r="72" spans="1:12" ht="15" customHeight="1" x14ac:dyDescent="0.25">
      <c r="A72" s="281"/>
      <c r="D72" s="3037"/>
      <c r="E72" s="3037"/>
      <c r="F72" s="3037"/>
      <c r="G72" s="3037"/>
      <c r="H72" s="3037"/>
      <c r="I72" s="3037"/>
      <c r="J72" s="3037"/>
      <c r="K72" s="34" t="str">
        <f>K71</f>
        <v/>
      </c>
      <c r="L72" s="2016"/>
    </row>
    <row r="73" spans="1:12" ht="15" customHeight="1" x14ac:dyDescent="0.25">
      <c r="A73" s="281"/>
      <c r="D73" s="3037"/>
      <c r="E73" s="3037"/>
      <c r="F73" s="3037"/>
      <c r="G73" s="3037"/>
      <c r="H73" s="3037"/>
      <c r="I73" s="3037"/>
      <c r="J73" s="3037"/>
      <c r="K73" s="34" t="str">
        <f>K72</f>
        <v/>
      </c>
      <c r="L73" s="2016"/>
    </row>
    <row r="74" spans="1:12" ht="15" customHeight="1" x14ac:dyDescent="0.25">
      <c r="A74" s="3036" t="str">
        <f>Ressonância!A35&amp;":"</f>
        <v>ACR Axial T2:</v>
      </c>
      <c r="B74" s="3036"/>
      <c r="C74" s="3036"/>
      <c r="D74" s="3037" t="str">
        <f>Ressonância!L35</f>
        <v>Spin-eco, TR [ms] 2000, TE [ms] 80, FOV [mm] 250; N° cortes 11, Espessura de corte [mm] 5, Espaçamento entre cortes [mm] 5, Matriz [freq/fase] 256/256, Tempo de varredura [s] 536.</v>
      </c>
      <c r="E74" s="3037"/>
      <c r="F74" s="3037"/>
      <c r="G74" s="3037"/>
      <c r="H74" s="3037"/>
      <c r="I74" s="3037"/>
      <c r="J74" s="3037"/>
      <c r="K74" s="34" t="str">
        <f>IF(D74="","x","")</f>
        <v/>
      </c>
      <c r="L74" s="2016"/>
    </row>
    <row r="75" spans="1:12" ht="15" customHeight="1" x14ac:dyDescent="0.25">
      <c r="A75" s="281"/>
      <c r="D75" s="3037"/>
      <c r="E75" s="3037"/>
      <c r="F75" s="3037"/>
      <c r="G75" s="3037"/>
      <c r="H75" s="3037"/>
      <c r="I75" s="3037"/>
      <c r="J75" s="3037"/>
      <c r="K75" s="34" t="str">
        <f>K74</f>
        <v/>
      </c>
      <c r="L75" s="2016"/>
    </row>
    <row r="76" spans="1:12" ht="15" customHeight="1" x14ac:dyDescent="0.25">
      <c r="A76" s="281"/>
      <c r="D76" s="3037"/>
      <c r="E76" s="3037"/>
      <c r="F76" s="3037"/>
      <c r="G76" s="3037"/>
      <c r="H76" s="3037"/>
      <c r="I76" s="3037"/>
      <c r="J76" s="3037"/>
      <c r="K76" s="34" t="str">
        <f>K75</f>
        <v/>
      </c>
      <c r="L76" s="2016"/>
    </row>
    <row r="77" spans="1:12" ht="15" customHeight="1" x14ac:dyDescent="0.25">
      <c r="A77" s="3036" t="str">
        <f>Ressonância!A36&amp;":"</f>
        <v>Rotina Axial T1:</v>
      </c>
      <c r="B77" s="3036"/>
      <c r="C77" s="3036"/>
      <c r="D77" s="3037" t="str">
        <f>Ressonância!L36</f>
        <v/>
      </c>
      <c r="E77" s="3037"/>
      <c r="F77" s="3037"/>
      <c r="G77" s="3037"/>
      <c r="H77" s="3037"/>
      <c r="I77" s="3037"/>
      <c r="J77" s="3037"/>
      <c r="K77" s="34" t="str">
        <f>IF(D77="","x","")</f>
        <v>x</v>
      </c>
      <c r="L77" s="2016"/>
    </row>
    <row r="78" spans="1:12" ht="15" customHeight="1" x14ac:dyDescent="0.25">
      <c r="A78" s="281"/>
      <c r="D78" s="3037"/>
      <c r="E78" s="3037"/>
      <c r="F78" s="3037"/>
      <c r="G78" s="3037"/>
      <c r="H78" s="3037"/>
      <c r="I78" s="3037"/>
      <c r="J78" s="3037"/>
      <c r="K78" s="34" t="str">
        <f>K77</f>
        <v>x</v>
      </c>
      <c r="L78" s="2016"/>
    </row>
    <row r="79" spans="1:12" ht="15" customHeight="1" x14ac:dyDescent="0.25">
      <c r="A79" s="281"/>
      <c r="D79" s="3037"/>
      <c r="E79" s="3037"/>
      <c r="F79" s="3037"/>
      <c r="G79" s="3037"/>
      <c r="H79" s="3037"/>
      <c r="I79" s="3037"/>
      <c r="J79" s="3037"/>
      <c r="K79" s="34" t="str">
        <f>K78</f>
        <v>x</v>
      </c>
      <c r="L79" s="2016"/>
    </row>
    <row r="80" spans="1:12" ht="15" customHeight="1" x14ac:dyDescent="0.25">
      <c r="A80" s="3036" t="str">
        <f>Ressonância!A37&amp;":"</f>
        <v>Rotina Axial T2:</v>
      </c>
      <c r="B80" s="3036"/>
      <c r="C80" s="3036"/>
      <c r="D80" s="3037" t="str">
        <f>Ressonância!L37</f>
        <v/>
      </c>
      <c r="E80" s="3037"/>
      <c r="F80" s="3037"/>
      <c r="G80" s="3037"/>
      <c r="H80" s="3037"/>
      <c r="I80" s="3037"/>
      <c r="J80" s="3037"/>
      <c r="K80" s="34" t="str">
        <f>IF(D80="","x","")</f>
        <v>x</v>
      </c>
      <c r="L80" s="2016"/>
    </row>
    <row r="81" spans="1:15" ht="15" customHeight="1" x14ac:dyDescent="0.25">
      <c r="A81" s="281"/>
      <c r="D81" s="3037"/>
      <c r="E81" s="3037"/>
      <c r="F81" s="3037"/>
      <c r="G81" s="3037"/>
      <c r="H81" s="3037"/>
      <c r="I81" s="3037"/>
      <c r="J81" s="3037"/>
      <c r="K81" s="34" t="str">
        <f>K80</f>
        <v>x</v>
      </c>
      <c r="L81" s="2016"/>
    </row>
    <row r="82" spans="1:15" ht="15" customHeight="1" x14ac:dyDescent="0.25">
      <c r="A82" s="281"/>
      <c r="D82" s="3037"/>
      <c r="E82" s="3037"/>
      <c r="F82" s="3037"/>
      <c r="G82" s="3037"/>
      <c r="H82" s="3037"/>
      <c r="I82" s="3037"/>
      <c r="J82" s="3037"/>
      <c r="K82" s="34" t="str">
        <f>K81</f>
        <v>x</v>
      </c>
      <c r="L82" s="2016"/>
    </row>
    <row r="83" spans="1:15" ht="15" customHeight="1" x14ac:dyDescent="0.25">
      <c r="A83" s="281" t="s">
        <v>2302</v>
      </c>
      <c r="L83" s="2016"/>
    </row>
    <row r="84" spans="1:15" ht="15" customHeight="1" x14ac:dyDescent="0.25">
      <c r="A84" s="281" t="s">
        <v>2295</v>
      </c>
    </row>
    <row r="85" spans="1:15" s="2105" customFormat="1" ht="15" customHeight="1" x14ac:dyDescent="0.25">
      <c r="A85" s="2105" t="s">
        <v>2356</v>
      </c>
      <c r="C85" s="2105" t="s">
        <v>2664</v>
      </c>
    </row>
    <row r="86" spans="1:15" s="2105" customFormat="1" ht="15" customHeight="1" x14ac:dyDescent="0.25">
      <c r="A86" s="2105" t="s">
        <v>2358</v>
      </c>
      <c r="C86" s="2105" t="s">
        <v>2665</v>
      </c>
    </row>
    <row r="87" spans="1:15" ht="15" customHeight="1" x14ac:dyDescent="0.25">
      <c r="A87" s="281"/>
    </row>
    <row r="88" spans="1:15" ht="15" customHeight="1" x14ac:dyDescent="0.25">
      <c r="A88" s="3045" t="s">
        <v>2292</v>
      </c>
      <c r="B88" s="3046"/>
      <c r="C88" s="3047"/>
      <c r="D88" s="3045" t="s">
        <v>2293</v>
      </c>
      <c r="E88" s="3047"/>
      <c r="F88" s="1984" t="str">
        <f>F55</f>
        <v>IN 97</v>
      </c>
    </row>
    <row r="89" spans="1:15" ht="15" customHeight="1" x14ac:dyDescent="0.25">
      <c r="A89" s="2472">
        <f>Ressonância!B23</f>
        <v>63</v>
      </c>
      <c r="B89" s="2472"/>
      <c r="C89" s="2472"/>
      <c r="D89" s="3040">
        <f>Ressonância!C24</f>
        <v>1.3528748590755422E-2</v>
      </c>
      <c r="E89" s="3040"/>
      <c r="F89" s="930" t="str">
        <f>Ressonância!B27</f>
        <v>NPA</v>
      </c>
      <c r="O89" s="34" t="str">
        <f>IF(F89="Não","Não conforme",IF(F89="Sim","Conforme",IF(F89="NPA","NPA","NA")))</f>
        <v>NPA</v>
      </c>
    </row>
    <row r="90" spans="1:15" s="2018" customFormat="1" ht="15" customHeight="1" x14ac:dyDescent="0.25">
      <c r="A90" s="2481" t="s">
        <v>2294</v>
      </c>
      <c r="B90" s="2481"/>
      <c r="C90" s="2481"/>
      <c r="D90" s="2481"/>
      <c r="E90" s="2481"/>
      <c r="F90" s="2481"/>
      <c r="G90" s="2481"/>
      <c r="H90" s="2481"/>
      <c r="I90" s="2481"/>
      <c r="J90" s="2481"/>
      <c r="K90" s="34"/>
      <c r="L90" s="34"/>
    </row>
    <row r="91" spans="1:15" s="2018" customFormat="1" ht="15" customHeight="1" x14ac:dyDescent="0.25">
      <c r="A91" s="2140" t="s">
        <v>2679</v>
      </c>
      <c r="B91" s="2488" t="s">
        <v>2758</v>
      </c>
      <c r="C91" s="2488"/>
      <c r="D91" s="2488"/>
      <c r="E91" s="2488"/>
      <c r="F91" s="2488"/>
      <c r="G91" s="2488"/>
      <c r="H91" s="2488"/>
      <c r="I91" s="2488"/>
      <c r="J91" s="2488"/>
      <c r="K91" s="2137"/>
      <c r="L91" s="2137"/>
    </row>
    <row r="92" spans="1:15" s="2018" customFormat="1" ht="15" customHeight="1" x14ac:dyDescent="0.25">
      <c r="A92" s="2019"/>
      <c r="B92" s="2019"/>
      <c r="C92" s="2019"/>
      <c r="D92" s="2019"/>
      <c r="E92" s="2019"/>
      <c r="F92" s="2019"/>
      <c r="G92" s="2019"/>
      <c r="H92" s="2019"/>
      <c r="I92" s="2019"/>
      <c r="K92" s="34"/>
      <c r="L92" s="34"/>
    </row>
    <row r="93" spans="1:15" ht="15" customHeight="1" x14ac:dyDescent="0.25">
      <c r="A93" s="281" t="s">
        <v>2248</v>
      </c>
      <c r="L93" s="2016"/>
    </row>
    <row r="94" spans="1:15" s="2105" customFormat="1" ht="15" customHeight="1" x14ac:dyDescent="0.25">
      <c r="A94" s="2105" t="s">
        <v>2356</v>
      </c>
      <c r="C94" s="2105" t="s">
        <v>2666</v>
      </c>
      <c r="L94" s="2016"/>
    </row>
    <row r="95" spans="1:15" s="2105" customFormat="1" ht="15" customHeight="1" x14ac:dyDescent="0.25">
      <c r="A95" s="2105" t="s">
        <v>2358</v>
      </c>
      <c r="C95" s="2105" t="s">
        <v>2359</v>
      </c>
      <c r="L95" s="2016"/>
    </row>
    <row r="96" spans="1:15" ht="15" customHeight="1" x14ac:dyDescent="0.25">
      <c r="A96" s="281"/>
      <c r="L96" s="2016"/>
    </row>
    <row r="97" spans="1:17" ht="15" customHeight="1" x14ac:dyDescent="0.25">
      <c r="A97" s="2606" t="s">
        <v>2115</v>
      </c>
      <c r="B97" s="2606"/>
      <c r="C97" s="1984" t="s">
        <v>2243</v>
      </c>
      <c r="D97" s="1984" t="str">
        <f>Ressonância!$B$1</f>
        <v>IN 97</v>
      </c>
      <c r="L97" s="2016"/>
    </row>
    <row r="98" spans="1:17" ht="15" customHeight="1" x14ac:dyDescent="0.25">
      <c r="A98" s="2741" t="str">
        <f>Ressonância!A45</f>
        <v>ACR Axial T1</v>
      </c>
      <c r="B98" s="2741"/>
      <c r="C98" s="2017" t="e">
        <f>Ressonância!B45</f>
        <v>#DIV/0!</v>
      </c>
      <c r="D98" s="930" t="str">
        <f>Ressonância!C45</f>
        <v>NPA</v>
      </c>
      <c r="K98" s="34" t="str">
        <f>$K$71</f>
        <v/>
      </c>
      <c r="L98" s="2016"/>
      <c r="O98" s="2137" t="str">
        <f>IF(D98="Não","Não conforme",IF(D98="Sim","Conforme",IF(D98="NPA","NPA","NA")))</f>
        <v>NPA</v>
      </c>
    </row>
    <row r="99" spans="1:17" ht="15" customHeight="1" x14ac:dyDescent="0.25">
      <c r="A99" s="2741" t="str">
        <f>Ressonância!A46</f>
        <v>ACR Axial T2</v>
      </c>
      <c r="B99" s="2741"/>
      <c r="C99" s="2017" t="e">
        <f>Ressonância!B46</f>
        <v>#DIV/0!</v>
      </c>
      <c r="D99" s="930" t="str">
        <f>Ressonância!C46</f>
        <v>NPA</v>
      </c>
      <c r="K99" s="34" t="str">
        <f>$K$74</f>
        <v/>
      </c>
      <c r="L99" s="2016"/>
      <c r="O99" s="2137" t="str">
        <f t="shared" ref="O99:O101" si="0">IF(D99="Não","Não conforme",IF(D99="Sim","Conforme",IF(D99="NPA","NPA","NA")))</f>
        <v>NPA</v>
      </c>
    </row>
    <row r="100" spans="1:17" ht="15" customHeight="1" x14ac:dyDescent="0.25">
      <c r="A100" s="2741" t="str">
        <f>Ressonância!A47</f>
        <v>Rotina Axial T1</v>
      </c>
      <c r="B100" s="2741"/>
      <c r="C100" s="2017" t="e">
        <f>Ressonância!B47</f>
        <v>#DIV/0!</v>
      </c>
      <c r="D100" s="930" t="str">
        <f>Ressonância!C47</f>
        <v>NPA</v>
      </c>
      <c r="K100" s="34" t="str">
        <f>$K$77</f>
        <v>x</v>
      </c>
      <c r="L100" s="2016"/>
      <c r="O100" s="2137" t="str">
        <f t="shared" si="0"/>
        <v>NPA</v>
      </c>
    </row>
    <row r="101" spans="1:17" ht="15" customHeight="1" x14ac:dyDescent="0.25">
      <c r="A101" s="2741" t="str">
        <f>Ressonância!A48</f>
        <v>Rotina Axial T2</v>
      </c>
      <c r="B101" s="2741"/>
      <c r="C101" s="2017" t="e">
        <f>Ressonância!B48</f>
        <v>#DIV/0!</v>
      </c>
      <c r="D101" s="930" t="str">
        <f>Ressonância!C48</f>
        <v>NPA</v>
      </c>
      <c r="K101" s="34" t="str">
        <f>$K$80</f>
        <v>x</v>
      </c>
      <c r="L101" s="2016"/>
      <c r="O101" s="2137" t="str">
        <f t="shared" si="0"/>
        <v>NPA</v>
      </c>
    </row>
    <row r="102" spans="1:17" ht="15" customHeight="1" x14ac:dyDescent="0.25">
      <c r="A102" s="2481" t="s">
        <v>2265</v>
      </c>
      <c r="B102" s="2481"/>
      <c r="C102" s="2481"/>
      <c r="D102" s="2481"/>
      <c r="E102" s="2481"/>
      <c r="F102" s="2481"/>
      <c r="G102" s="2481"/>
      <c r="H102" s="2481"/>
      <c r="I102" s="2481"/>
      <c r="J102" s="2481"/>
      <c r="L102" s="2016"/>
    </row>
    <row r="103" spans="1:17" s="2137" customFormat="1" ht="15" customHeight="1" x14ac:dyDescent="0.25">
      <c r="A103" s="2140" t="s">
        <v>2679</v>
      </c>
      <c r="B103" s="2488" t="s">
        <v>2759</v>
      </c>
      <c r="C103" s="2488"/>
      <c r="D103" s="2488"/>
      <c r="E103" s="2488"/>
      <c r="F103" s="2488"/>
      <c r="G103" s="2488"/>
      <c r="H103" s="2488"/>
      <c r="I103" s="2488"/>
      <c r="J103" s="2488"/>
      <c r="L103" s="2016"/>
    </row>
    <row r="104" spans="1:17" ht="15" customHeight="1" x14ac:dyDescent="0.25">
      <c r="A104" s="281"/>
      <c r="L104" s="2016"/>
    </row>
    <row r="105" spans="1:17" ht="15" customHeight="1" x14ac:dyDescent="0.25">
      <c r="A105" s="3050" t="str">
        <f>IF(J110="","Visualização de artefatos, Homogeneidade do campo estático e Razão sinal-ruído","Visualização de artefatos, Homogeneidade do campo estático, Razão sinal-ruído e Detecção de baixo contraste")</f>
        <v>Visualização de artefatos, Homogeneidade do campo estático e Razão sinal-ruído</v>
      </c>
      <c r="B105" s="3050"/>
      <c r="C105" s="3050"/>
      <c r="D105" s="3050"/>
      <c r="E105" s="3050"/>
      <c r="F105" s="3050"/>
      <c r="G105" s="3050"/>
      <c r="H105" s="3050"/>
      <c r="I105" s="3050"/>
      <c r="J105" s="3050"/>
      <c r="L105" s="2016"/>
    </row>
    <row r="106" spans="1:17" ht="15" customHeight="1" x14ac:dyDescent="0.25">
      <c r="A106" s="3050"/>
      <c r="B106" s="3050"/>
      <c r="C106" s="3050"/>
      <c r="D106" s="3050"/>
      <c r="E106" s="3050"/>
      <c r="F106" s="3050"/>
      <c r="G106" s="3050"/>
      <c r="H106" s="3050"/>
      <c r="I106" s="3050"/>
      <c r="J106" s="3050"/>
      <c r="L106" s="2016"/>
    </row>
    <row r="107" spans="1:17" s="2105" customFormat="1" ht="69.75" customHeight="1" x14ac:dyDescent="0.25">
      <c r="A107" s="2105" t="s">
        <v>2356</v>
      </c>
      <c r="B107" s="2107"/>
      <c r="C107" s="3043" t="s">
        <v>2667</v>
      </c>
      <c r="D107" s="3043"/>
      <c r="E107" s="3043"/>
      <c r="F107" s="3043"/>
      <c r="G107" s="3043"/>
      <c r="H107" s="3043"/>
      <c r="I107" s="3043"/>
      <c r="J107" s="3043"/>
      <c r="L107" s="2016"/>
    </row>
    <row r="108" spans="1:17" s="2105" customFormat="1" ht="15" customHeight="1" x14ac:dyDescent="0.25">
      <c r="A108" s="2105" t="s">
        <v>2358</v>
      </c>
      <c r="B108" s="2107"/>
      <c r="C108" s="3044" t="s">
        <v>2668</v>
      </c>
      <c r="D108" s="3044"/>
      <c r="E108" s="3044"/>
      <c r="F108" s="3044"/>
      <c r="G108" s="3044"/>
      <c r="H108" s="3044"/>
      <c r="I108" s="3044"/>
      <c r="J108" s="3044"/>
      <c r="L108" s="2016"/>
    </row>
    <row r="109" spans="1:17" s="2105" customFormat="1" ht="15" customHeight="1" x14ac:dyDescent="0.25">
      <c r="A109" s="2107"/>
      <c r="B109" s="2107"/>
      <c r="C109" s="2107"/>
      <c r="D109" s="2107"/>
      <c r="E109" s="2107"/>
      <c r="F109" s="2107"/>
      <c r="G109" s="2107"/>
      <c r="H109" s="2107"/>
      <c r="I109" s="2107"/>
      <c r="J109" s="2107"/>
      <c r="L109" s="2016"/>
    </row>
    <row r="110" spans="1:17" ht="30" customHeight="1" x14ac:dyDescent="0.25">
      <c r="A110" s="3038" t="str">
        <f>Ressonância!A147</f>
        <v>Tipo de Bobina</v>
      </c>
      <c r="B110" s="3038"/>
      <c r="C110" s="1985" t="str">
        <f>Ressonância!B147</f>
        <v>N° Série</v>
      </c>
      <c r="D110" s="2021" t="s">
        <v>2251</v>
      </c>
      <c r="E110" s="1985" t="str">
        <f>D97</f>
        <v>IN 97</v>
      </c>
      <c r="F110" s="1985" t="s">
        <v>1761</v>
      </c>
      <c r="G110" s="1985" t="str">
        <f>E110</f>
        <v>IN 97</v>
      </c>
      <c r="H110" s="1985" t="s">
        <v>2249</v>
      </c>
      <c r="I110" s="1985" t="str">
        <f>G110</f>
        <v>IN 97</v>
      </c>
      <c r="J110" s="2033" t="str">
        <f>IF(Ressonância!H148&lt;&gt;"NPA","DBC [%]","")</f>
        <v/>
      </c>
      <c r="L110" s="2016"/>
      <c r="O110" s="281" t="s">
        <v>2768</v>
      </c>
      <c r="P110" s="281" t="s">
        <v>1761</v>
      </c>
      <c r="Q110" s="281" t="s">
        <v>2249</v>
      </c>
    </row>
    <row r="111" spans="1:17" ht="15" customHeight="1" x14ac:dyDescent="0.25">
      <c r="A111" s="3039" t="str">
        <f>Ressonância!A148</f>
        <v xml:space="preserve"> </v>
      </c>
      <c r="B111" s="3039"/>
      <c r="C111" s="1609" t="str">
        <f>Ressonância!B148</f>
        <v xml:space="preserve"> </v>
      </c>
      <c r="D111" s="1609" t="str">
        <f>Ressonância!L213</f>
        <v/>
      </c>
      <c r="E111" s="930" t="str">
        <f>Ressonância!N213</f>
        <v>NPA</v>
      </c>
      <c r="F111" s="1609" t="e">
        <f>Ressonância!H179</f>
        <v>#DIV/0!</v>
      </c>
      <c r="G111" s="930" t="str">
        <f>Ressonância!I179</f>
        <v>NPA</v>
      </c>
      <c r="H111" s="2031" t="str">
        <f>IF(Ressonância!C234="Não","Inexistente","Existente")</f>
        <v>Inexistente</v>
      </c>
      <c r="I111" s="930" t="str">
        <f>IF(Ressonância!$E$231="Sim",IF(Ressonância!C234="Não","Sim","Não"))</f>
        <v>Sim</v>
      </c>
      <c r="J111" s="1978" t="str">
        <f>IF(Ressonância!H148&lt;&gt;"NPA",Ressonância!H148,"")</f>
        <v/>
      </c>
      <c r="K111" s="34" t="str">
        <f>IF(OR(A111="",A111=" ",A111=0),"x","")</f>
        <v>x</v>
      </c>
      <c r="L111" s="2016"/>
      <c r="O111" s="2137" t="str">
        <f>IF(E111="Não","Não conforme",IF(E111="Sim","Conforme",IF(E111="NPA","NPA","NA")))</f>
        <v>NPA</v>
      </c>
      <c r="P111" s="2137" t="str">
        <f>IF(G111="Não","Não conforme",IF(G111="Sim","Conforme",IF(G111="NPA","NPA","NA")))</f>
        <v>NPA</v>
      </c>
      <c r="Q111" s="2137" t="str">
        <f>IF(I111="Não","Não conforme",IF(I111="Sim","Conforme",IF(I111="NPA","NPA","NA")))</f>
        <v>Conforme</v>
      </c>
    </row>
    <row r="112" spans="1:17" ht="15" customHeight="1" x14ac:dyDescent="0.25">
      <c r="A112" s="3039" t="str">
        <f>Ressonância!A149</f>
        <v xml:space="preserve"> </v>
      </c>
      <c r="B112" s="3039"/>
      <c r="C112" s="1609" t="str">
        <f>Ressonância!B149</f>
        <v xml:space="preserve"> </v>
      </c>
      <c r="D112" s="1609">
        <f>Ressonância!L214</f>
        <v>0</v>
      </c>
      <c r="E112" s="930" t="str">
        <f>Ressonância!N214</f>
        <v>NPA</v>
      </c>
      <c r="F112" s="1609" t="e">
        <f>Ressonância!H180</f>
        <v>#DIV/0!</v>
      </c>
      <c r="G112" s="930" t="str">
        <f>Ressonância!I180</f>
        <v>NPA</v>
      </c>
      <c r="H112" s="2031" t="str">
        <f>IF(Ressonância!C235="Não","Inexistente","Existente")</f>
        <v>Inexistente</v>
      </c>
      <c r="I112" s="930" t="str">
        <f>IF(Ressonância!$E$231="Sim",IF(Ressonância!C235="Não","Sim","Não"))</f>
        <v>Sim</v>
      </c>
      <c r="J112" s="1978" t="str">
        <f>IF(Ressonância!H149&lt;&gt;"NPA",Ressonância!H149,"")</f>
        <v/>
      </c>
      <c r="K112" s="34" t="str">
        <f t="shared" ref="K112:K120" si="1">IF(OR(A112="",A112=" ",A112=0),"x","")</f>
        <v>x</v>
      </c>
      <c r="L112" s="2016"/>
      <c r="O112" s="2137" t="str">
        <f t="shared" ref="O112:O119" si="2">IF(E112="Não","Não conforme",IF(E112="Sim","Conforme",IF(E112="NPA","NPA","NA")))</f>
        <v>NPA</v>
      </c>
      <c r="P112" s="2137" t="str">
        <f t="shared" ref="P112:P120" si="3">IF(G112="Não","Não conforme",IF(G112="Sim","Conforme",IF(G112="NPA","NPA","NA")))</f>
        <v>NPA</v>
      </c>
      <c r="Q112" s="2137" t="str">
        <f t="shared" ref="Q112:Q120" si="4">IF(I112="Não","Não conforme",IF(I112="Sim","Conforme",IF(I112="NPA","NPA","NA")))</f>
        <v>Conforme</v>
      </c>
    </row>
    <row r="113" spans="1:17" ht="15" customHeight="1" x14ac:dyDescent="0.25">
      <c r="A113" s="3039" t="str">
        <f>Ressonância!A150</f>
        <v xml:space="preserve"> </v>
      </c>
      <c r="B113" s="3039"/>
      <c r="C113" s="1609" t="str">
        <f>Ressonância!B150</f>
        <v xml:space="preserve"> </v>
      </c>
      <c r="D113" s="1609">
        <f>Ressonância!L215</f>
        <v>0</v>
      </c>
      <c r="E113" s="930" t="str">
        <f>Ressonância!N215</f>
        <v>NPA</v>
      </c>
      <c r="F113" s="1609" t="e">
        <f>Ressonância!H181</f>
        <v>#DIV/0!</v>
      </c>
      <c r="G113" s="930" t="str">
        <f>Ressonância!I181</f>
        <v>NPA</v>
      </c>
      <c r="H113" s="2031" t="str">
        <f>IF(Ressonância!C236="Não","Inexistente","Existente")</f>
        <v>Inexistente</v>
      </c>
      <c r="I113" s="930" t="str">
        <f>IF(Ressonância!$E$231="Sim",IF(Ressonância!C236="Não","Sim","Não"))</f>
        <v>Sim</v>
      </c>
      <c r="J113" s="1978" t="str">
        <f>IF(Ressonância!H150&lt;&gt;"NPA",Ressonância!H150,"")</f>
        <v/>
      </c>
      <c r="K113" s="34" t="str">
        <f t="shared" si="1"/>
        <v>x</v>
      </c>
      <c r="L113" s="2016"/>
      <c r="O113" s="2137" t="str">
        <f t="shared" si="2"/>
        <v>NPA</v>
      </c>
      <c r="P113" s="2137" t="str">
        <f t="shared" si="3"/>
        <v>NPA</v>
      </c>
      <c r="Q113" s="2137" t="str">
        <f t="shared" si="4"/>
        <v>Conforme</v>
      </c>
    </row>
    <row r="114" spans="1:17" ht="15" customHeight="1" x14ac:dyDescent="0.25">
      <c r="A114" s="3039" t="str">
        <f>Ressonância!A151</f>
        <v xml:space="preserve"> </v>
      </c>
      <c r="B114" s="3039"/>
      <c r="C114" s="1609" t="str">
        <f>Ressonância!B151</f>
        <v xml:space="preserve"> </v>
      </c>
      <c r="D114" s="1609">
        <f>Ressonância!L216</f>
        <v>0</v>
      </c>
      <c r="E114" s="930" t="str">
        <f>Ressonância!N216</f>
        <v>NPA</v>
      </c>
      <c r="F114" s="1609" t="e">
        <f>Ressonância!H182</f>
        <v>#DIV/0!</v>
      </c>
      <c r="G114" s="930" t="str">
        <f>Ressonância!I182</f>
        <v>NPA</v>
      </c>
      <c r="H114" s="2031" t="str">
        <f>IF(Ressonância!C237="Não","Inexistente","Existente")</f>
        <v>Inexistente</v>
      </c>
      <c r="I114" s="930" t="str">
        <f>IF(Ressonância!$E$231="Sim",IF(Ressonância!C237="Não","Sim","Não"))</f>
        <v>Sim</v>
      </c>
      <c r="J114" s="1978" t="str">
        <f>IF(Ressonância!H151&lt;&gt;"NPA",Ressonância!H151,"")</f>
        <v/>
      </c>
      <c r="K114" s="34" t="str">
        <f t="shared" si="1"/>
        <v>x</v>
      </c>
      <c r="L114" s="2016"/>
      <c r="O114" s="2137" t="str">
        <f t="shared" si="2"/>
        <v>NPA</v>
      </c>
      <c r="P114" s="2137" t="str">
        <f t="shared" si="3"/>
        <v>NPA</v>
      </c>
      <c r="Q114" s="2137" t="str">
        <f t="shared" si="4"/>
        <v>Conforme</v>
      </c>
    </row>
    <row r="115" spans="1:17" ht="15" customHeight="1" x14ac:dyDescent="0.25">
      <c r="A115" s="3039" t="str">
        <f>Ressonância!A152</f>
        <v xml:space="preserve"> </v>
      </c>
      <c r="B115" s="3039"/>
      <c r="C115" s="1609" t="str">
        <f>Ressonância!B152</f>
        <v xml:space="preserve"> </v>
      </c>
      <c r="D115" s="1609">
        <f>Ressonância!L217</f>
        <v>0</v>
      </c>
      <c r="E115" s="930" t="str">
        <f>Ressonância!N217</f>
        <v>NPA</v>
      </c>
      <c r="F115" s="1609" t="e">
        <f>Ressonância!H183</f>
        <v>#DIV/0!</v>
      </c>
      <c r="G115" s="930" t="str">
        <f>Ressonância!I183</f>
        <v>NPA</v>
      </c>
      <c r="H115" s="2031" t="str">
        <f>IF(Ressonância!C238="Não","Inexistente","Existente")</f>
        <v>Inexistente</v>
      </c>
      <c r="I115" s="930" t="str">
        <f>IF(Ressonância!$E$231="Sim",IF(Ressonância!C238="Não","Sim","Não"))</f>
        <v>Sim</v>
      </c>
      <c r="J115" s="1978" t="str">
        <f>IF(Ressonância!H152&lt;&gt;"NPA",Ressonância!H152,"")</f>
        <v/>
      </c>
      <c r="K115" s="34" t="str">
        <f t="shared" si="1"/>
        <v>x</v>
      </c>
      <c r="L115" s="2016"/>
      <c r="O115" s="2137" t="str">
        <f t="shared" si="2"/>
        <v>NPA</v>
      </c>
      <c r="P115" s="2137" t="str">
        <f t="shared" si="3"/>
        <v>NPA</v>
      </c>
      <c r="Q115" s="2137" t="str">
        <f t="shared" si="4"/>
        <v>Conforme</v>
      </c>
    </row>
    <row r="116" spans="1:17" ht="15" customHeight="1" x14ac:dyDescent="0.25">
      <c r="A116" s="3039" t="str">
        <f>Ressonância!A153</f>
        <v xml:space="preserve"> </v>
      </c>
      <c r="B116" s="3039"/>
      <c r="C116" s="1609" t="str">
        <f>Ressonância!B153</f>
        <v xml:space="preserve"> </v>
      </c>
      <c r="D116" s="1609">
        <f>Ressonância!L218</f>
        <v>0</v>
      </c>
      <c r="E116" s="930" t="str">
        <f>Ressonância!N218</f>
        <v>NPA</v>
      </c>
      <c r="F116" s="1609" t="e">
        <f>Ressonância!H184</f>
        <v>#DIV/0!</v>
      </c>
      <c r="G116" s="930" t="str">
        <f>Ressonância!I184</f>
        <v>NPA</v>
      </c>
      <c r="H116" s="2031" t="str">
        <f>IF(Ressonância!C239="Não","Inexistente","Existente")</f>
        <v>Inexistente</v>
      </c>
      <c r="I116" s="930" t="str">
        <f>IF(Ressonância!$E$231="Sim",IF(Ressonância!C239="Não","Sim","Não"))</f>
        <v>Sim</v>
      </c>
      <c r="J116" s="1978" t="str">
        <f>IF(Ressonância!H153&lt;&gt;"NPA",Ressonância!H153,"")</f>
        <v/>
      </c>
      <c r="K116" s="34" t="str">
        <f t="shared" si="1"/>
        <v>x</v>
      </c>
      <c r="L116" s="2016"/>
      <c r="O116" s="2137" t="str">
        <f t="shared" si="2"/>
        <v>NPA</v>
      </c>
      <c r="P116" s="2137" t="str">
        <f t="shared" si="3"/>
        <v>NPA</v>
      </c>
      <c r="Q116" s="2137" t="str">
        <f t="shared" si="4"/>
        <v>Conforme</v>
      </c>
    </row>
    <row r="117" spans="1:17" ht="15" customHeight="1" x14ac:dyDescent="0.25">
      <c r="A117" s="3039" t="str">
        <f>Ressonância!A154</f>
        <v xml:space="preserve"> </v>
      </c>
      <c r="B117" s="3039"/>
      <c r="C117" s="1609" t="str">
        <f>Ressonância!B154</f>
        <v xml:space="preserve"> </v>
      </c>
      <c r="D117" s="1609">
        <f>Ressonância!L219</f>
        <v>0</v>
      </c>
      <c r="E117" s="930" t="str">
        <f>Ressonância!N219</f>
        <v>NPA</v>
      </c>
      <c r="F117" s="1609" t="e">
        <f>Ressonância!H185</f>
        <v>#DIV/0!</v>
      </c>
      <c r="G117" s="930" t="str">
        <f>Ressonância!I185</f>
        <v>NPA</v>
      </c>
      <c r="H117" s="2031" t="str">
        <f>IF(Ressonância!C240="Não","Inexistente","Existente")</f>
        <v>Inexistente</v>
      </c>
      <c r="I117" s="930" t="str">
        <f>IF(Ressonância!$E$231="Sim",IF(Ressonância!C240="Não","Sim","Não"))</f>
        <v>Sim</v>
      </c>
      <c r="J117" s="1978" t="str">
        <f>IF(Ressonância!H154&lt;&gt;"NPA",Ressonância!H154,"")</f>
        <v/>
      </c>
      <c r="K117" s="34" t="str">
        <f t="shared" si="1"/>
        <v>x</v>
      </c>
      <c r="L117" s="2016"/>
      <c r="O117" s="2137" t="str">
        <f t="shared" si="2"/>
        <v>NPA</v>
      </c>
      <c r="P117" s="2137" t="str">
        <f t="shared" si="3"/>
        <v>NPA</v>
      </c>
      <c r="Q117" s="2137" t="str">
        <f t="shared" si="4"/>
        <v>Conforme</v>
      </c>
    </row>
    <row r="118" spans="1:17" ht="15" customHeight="1" x14ac:dyDescent="0.25">
      <c r="A118" s="3039" t="str">
        <f>Ressonância!A155</f>
        <v xml:space="preserve"> </v>
      </c>
      <c r="B118" s="3039"/>
      <c r="C118" s="1609" t="str">
        <f>Ressonância!B155</f>
        <v xml:space="preserve"> </v>
      </c>
      <c r="D118" s="1609">
        <f>Ressonância!L220</f>
        <v>0</v>
      </c>
      <c r="E118" s="930" t="str">
        <f>Ressonância!N220</f>
        <v>NPA</v>
      </c>
      <c r="F118" s="1609" t="e">
        <f>Ressonância!H186</f>
        <v>#DIV/0!</v>
      </c>
      <c r="G118" s="930" t="str">
        <f>Ressonância!I186</f>
        <v>NPA</v>
      </c>
      <c r="H118" s="2031" t="str">
        <f>IF(Ressonância!C241="Não","Inexistente","Existente")</f>
        <v>Inexistente</v>
      </c>
      <c r="I118" s="930" t="str">
        <f>IF(Ressonância!$E$231="Sim",IF(Ressonância!C241="Não","Sim","Não"))</f>
        <v>Sim</v>
      </c>
      <c r="J118" s="1978" t="str">
        <f>IF(Ressonância!H155&lt;&gt;"NPA",Ressonância!H155,"")</f>
        <v/>
      </c>
      <c r="K118" s="34" t="str">
        <f t="shared" si="1"/>
        <v>x</v>
      </c>
      <c r="L118" s="2016"/>
      <c r="O118" s="2137" t="str">
        <f t="shared" si="2"/>
        <v>NPA</v>
      </c>
      <c r="P118" s="2137" t="str">
        <f t="shared" si="3"/>
        <v>NPA</v>
      </c>
      <c r="Q118" s="2137" t="str">
        <f t="shared" si="4"/>
        <v>Conforme</v>
      </c>
    </row>
    <row r="119" spans="1:17" ht="15" customHeight="1" x14ac:dyDescent="0.25">
      <c r="A119" s="3039" t="str">
        <f>Ressonância!A156</f>
        <v xml:space="preserve"> </v>
      </c>
      <c r="B119" s="3039"/>
      <c r="C119" s="1609" t="str">
        <f>Ressonância!B156</f>
        <v xml:space="preserve"> </v>
      </c>
      <c r="D119" s="1609">
        <f>Ressonância!L221</f>
        <v>0</v>
      </c>
      <c r="E119" s="930" t="str">
        <f>Ressonância!N221</f>
        <v>NPA</v>
      </c>
      <c r="F119" s="1609" t="e">
        <f>Ressonância!H187</f>
        <v>#DIV/0!</v>
      </c>
      <c r="G119" s="930" t="str">
        <f>Ressonância!I187</f>
        <v>NPA</v>
      </c>
      <c r="H119" s="2031" t="str">
        <f>IF(Ressonância!C242="Não","Inexistente","Existente")</f>
        <v>Inexistente</v>
      </c>
      <c r="I119" s="930" t="str">
        <f>IF(Ressonância!$E$231="Sim",IF(Ressonância!C242="Não","Sim","Não"))</f>
        <v>Sim</v>
      </c>
      <c r="J119" s="1978" t="str">
        <f>IF(Ressonância!H156&lt;&gt;"NPA",Ressonância!H156,"")</f>
        <v/>
      </c>
      <c r="K119" s="34" t="str">
        <f t="shared" si="1"/>
        <v>x</v>
      </c>
      <c r="L119" s="2016"/>
      <c r="O119" s="2137" t="str">
        <f t="shared" si="2"/>
        <v>NPA</v>
      </c>
      <c r="P119" s="2137" t="str">
        <f t="shared" si="3"/>
        <v>NPA</v>
      </c>
      <c r="Q119" s="2137" t="str">
        <f t="shared" si="4"/>
        <v>Conforme</v>
      </c>
    </row>
    <row r="120" spans="1:17" ht="15" customHeight="1" x14ac:dyDescent="0.25">
      <c r="A120" s="3039" t="str">
        <f>Ressonância!A157</f>
        <v xml:space="preserve"> </v>
      </c>
      <c r="B120" s="3039"/>
      <c r="C120" s="1609" t="str">
        <f>Ressonância!B157</f>
        <v xml:space="preserve"> </v>
      </c>
      <c r="D120" s="1609">
        <f>Ressonância!L222</f>
        <v>0</v>
      </c>
      <c r="E120" s="930" t="str">
        <f>Ressonância!N222</f>
        <v>NPA</v>
      </c>
      <c r="F120" s="1609" t="e">
        <f>Ressonância!H188</f>
        <v>#DIV/0!</v>
      </c>
      <c r="G120" s="930" t="str">
        <f>Ressonância!I188</f>
        <v>NPA</v>
      </c>
      <c r="H120" s="2031" t="str">
        <f>IF(Ressonância!C243="Não","Inexistente","Existente")</f>
        <v>Inexistente</v>
      </c>
      <c r="I120" s="930" t="str">
        <f>IF(Ressonância!$E$231="Sim",IF(Ressonância!C243="Não","Sim","Não"))</f>
        <v>Sim</v>
      </c>
      <c r="J120" s="1978" t="str">
        <f>IF(Ressonância!H157&lt;&gt;"NPA",Ressonância!H157,"")</f>
        <v/>
      </c>
      <c r="K120" s="34" t="str">
        <f t="shared" si="1"/>
        <v>x</v>
      </c>
      <c r="L120" s="2016"/>
      <c r="O120" s="2137" t="str">
        <f>IF(E120="Não","Não conforme",IF(E120="Sim","Conforme",IF(E120="NPA","NPA","NA")))</f>
        <v>NPA</v>
      </c>
      <c r="P120" s="2137" t="str">
        <f t="shared" si="3"/>
        <v>NPA</v>
      </c>
      <c r="Q120" s="2137" t="str">
        <f t="shared" si="4"/>
        <v>Conforme</v>
      </c>
    </row>
    <row r="121" spans="1:17" ht="15" customHeight="1" x14ac:dyDescent="0.25">
      <c r="A121" s="2748" t="s">
        <v>2289</v>
      </c>
      <c r="B121" s="2748"/>
      <c r="C121" s="2748"/>
      <c r="D121" s="2748"/>
      <c r="E121" s="2748"/>
      <c r="F121" s="2748"/>
      <c r="G121" s="2748"/>
      <c r="H121" s="2748"/>
      <c r="I121" s="2748"/>
      <c r="J121" s="2748"/>
      <c r="L121" s="2016"/>
    </row>
    <row r="122" spans="1:17" s="2137" customFormat="1" ht="27" customHeight="1" x14ac:dyDescent="0.25">
      <c r="A122" s="2140" t="s">
        <v>2679</v>
      </c>
      <c r="B122" s="2488" t="s">
        <v>2760</v>
      </c>
      <c r="C122" s="2488"/>
      <c r="D122" s="2488"/>
      <c r="E122" s="2488"/>
      <c r="F122" s="2488"/>
      <c r="G122" s="2488"/>
      <c r="H122" s="2488"/>
      <c r="I122" s="2488"/>
      <c r="J122" s="2488"/>
      <c r="L122" s="2016"/>
    </row>
    <row r="123" spans="1:17" s="2137" customFormat="1" x14ac:dyDescent="0.25">
      <c r="A123" s="2140"/>
      <c r="B123" s="2488" t="s">
        <v>2761</v>
      </c>
      <c r="C123" s="2488"/>
      <c r="D123" s="2488"/>
      <c r="E123" s="2488"/>
      <c r="F123" s="2488"/>
      <c r="G123" s="2488"/>
      <c r="H123" s="2488"/>
      <c r="I123" s="2488"/>
      <c r="J123" s="2488"/>
      <c r="L123" s="2016"/>
    </row>
    <row r="124" spans="1:17" s="2138" customFormat="1" x14ac:dyDescent="0.25">
      <c r="A124" s="2145"/>
      <c r="B124" s="2488" t="s">
        <v>2762</v>
      </c>
      <c r="C124" s="2488"/>
      <c r="D124" s="2488"/>
      <c r="E124" s="2488"/>
      <c r="F124" s="2488"/>
      <c r="G124" s="2488"/>
      <c r="H124" s="2488"/>
      <c r="I124" s="2488"/>
      <c r="J124" s="2488"/>
      <c r="L124" s="2223"/>
    </row>
    <row r="125" spans="1:17" s="2137" customFormat="1" ht="27" customHeight="1" x14ac:dyDescent="0.25">
      <c r="A125" s="2140"/>
      <c r="B125" s="2145"/>
      <c r="C125" s="2145"/>
      <c r="D125" s="2145"/>
      <c r="E125" s="2145"/>
      <c r="F125" s="2145"/>
      <c r="G125" s="2145"/>
      <c r="H125" s="2145"/>
      <c r="I125" s="2145"/>
      <c r="J125" s="2145"/>
      <c r="L125" s="2016"/>
    </row>
    <row r="126" spans="1:17" ht="15" customHeight="1" x14ac:dyDescent="0.25">
      <c r="A126" s="281"/>
      <c r="L126" s="2016"/>
    </row>
    <row r="127" spans="1:17" ht="15" customHeight="1" x14ac:dyDescent="0.25">
      <c r="A127" s="281" t="s">
        <v>2261</v>
      </c>
      <c r="L127" s="2016"/>
    </row>
    <row r="128" spans="1:17" s="2105" customFormat="1" ht="15" customHeight="1" x14ac:dyDescent="0.25">
      <c r="A128" s="2105" t="s">
        <v>2356</v>
      </c>
      <c r="C128" s="2105" t="s">
        <v>2669</v>
      </c>
      <c r="L128" s="2016"/>
    </row>
    <row r="129" spans="1:17" s="2105" customFormat="1" ht="15" customHeight="1" x14ac:dyDescent="0.25">
      <c r="A129" s="2105" t="s">
        <v>2358</v>
      </c>
      <c r="C129" s="2105" t="s">
        <v>2359</v>
      </c>
      <c r="L129" s="2016"/>
    </row>
    <row r="130" spans="1:17" ht="15" customHeight="1" x14ac:dyDescent="0.25">
      <c r="A130" s="281"/>
      <c r="L130" s="2016"/>
    </row>
    <row r="131" spans="1:17" ht="30" customHeight="1" x14ac:dyDescent="0.25">
      <c r="A131" s="2606" t="s">
        <v>2115</v>
      </c>
      <c r="B131" s="2606"/>
      <c r="C131" s="2021" t="s">
        <v>2253</v>
      </c>
      <c r="D131" s="1981" t="str">
        <f>Ressonância!$B$1</f>
        <v>IN 97</v>
      </c>
      <c r="E131" s="2023" t="s">
        <v>2254</v>
      </c>
      <c r="F131" s="1984" t="str">
        <f>Ressonância!$B$1</f>
        <v>IN 97</v>
      </c>
      <c r="G131" s="3041" t="s">
        <v>2262</v>
      </c>
      <c r="H131" s="3041"/>
      <c r="I131" s="1984" t="str">
        <f>Ressonância!$B$1</f>
        <v>IN 97</v>
      </c>
    </row>
    <row r="132" spans="1:17" ht="30" customHeight="1" x14ac:dyDescent="0.25">
      <c r="A132" s="2741" t="str">
        <f>$A$68</f>
        <v>ACR Sag Localizer:</v>
      </c>
      <c r="B132" s="2741"/>
      <c r="C132" s="2021" t="s">
        <v>240</v>
      </c>
      <c r="D132" s="1977" t="s">
        <v>142</v>
      </c>
      <c r="E132" s="2023" t="s">
        <v>240</v>
      </c>
      <c r="F132" s="1976" t="s">
        <v>142</v>
      </c>
      <c r="G132" s="3048" t="e">
        <f>Ressonância!K96</f>
        <v>#VALUE!</v>
      </c>
      <c r="H132" s="3049"/>
      <c r="I132" s="930" t="str">
        <f>Ressonância!L96</f>
        <v>NPA</v>
      </c>
      <c r="K132" s="34" t="str">
        <f>$K$68</f>
        <v/>
      </c>
      <c r="O132" s="34" t="s">
        <v>2769</v>
      </c>
      <c r="P132" s="34" t="s">
        <v>77</v>
      </c>
      <c r="Q132" s="34" t="s">
        <v>2770</v>
      </c>
    </row>
    <row r="133" spans="1:17" ht="15" customHeight="1" x14ac:dyDescent="0.25">
      <c r="A133" s="2741" t="str">
        <f>$A$98</f>
        <v>ACR Axial T1</v>
      </c>
      <c r="B133" s="2741"/>
      <c r="C133" s="2022">
        <f>Ressonância!E62</f>
        <v>0.20000000000000018</v>
      </c>
      <c r="D133" s="930" t="str">
        <f>Ressonância!F62</f>
        <v>Sim</v>
      </c>
      <c r="E133" s="2017" t="e">
        <f>Ressonância!J74</f>
        <v>#DIV/0!</v>
      </c>
      <c r="F133" s="930" t="str">
        <f>Ressonância!K74</f>
        <v>NPA</v>
      </c>
      <c r="G133" s="3048" t="e">
        <f>Ressonância!K97</f>
        <v>#VALUE!</v>
      </c>
      <c r="H133" s="3049"/>
      <c r="I133" s="2038" t="str">
        <f>Ressonância!L97</f>
        <v>NPA</v>
      </c>
      <c r="K133" s="34" t="str">
        <f>$K$71</f>
        <v/>
      </c>
      <c r="O133" s="2137" t="str">
        <f>IF(D133="Não","Não conforme",IF(D133="Sim","Conforme",IF(D133="NPA","NPA","NA")))</f>
        <v>Conforme</v>
      </c>
      <c r="P133" s="2137" t="str">
        <f>IF(F133="Não","Não conforme",IF(F133="Sim","Conforme",IF(F133="NPA","NPA","NA")))</f>
        <v>NPA</v>
      </c>
      <c r="Q133" s="2137" t="str">
        <f>IF(I133="Não","Não conforme",IF(I133="Sim","Conforme",IF(I133="NPA","NPA","NA")))</f>
        <v>NPA</v>
      </c>
    </row>
    <row r="134" spans="1:17" ht="15" customHeight="1" x14ac:dyDescent="0.25">
      <c r="A134" s="2741" t="str">
        <f>$A$99</f>
        <v>ACR Axial T2</v>
      </c>
      <c r="B134" s="2741"/>
      <c r="C134" s="2022">
        <f>Ressonância!D70</f>
        <v>0</v>
      </c>
      <c r="D134" s="930" t="str">
        <f>Ressonância!F63</f>
        <v>NPA</v>
      </c>
      <c r="E134" s="2017" t="e">
        <f>Ressonância!J75</f>
        <v>#DIV/0!</v>
      </c>
      <c r="F134" s="930" t="str">
        <f>Ressonância!K75</f>
        <v>NPA</v>
      </c>
      <c r="G134" s="3048" t="e">
        <f>Ressonância!K98</f>
        <v>#VALUE!</v>
      </c>
      <c r="H134" s="3049"/>
      <c r="I134" s="2038" t="str">
        <f>Ressonância!L98</f>
        <v>NPA</v>
      </c>
      <c r="K134" s="34" t="str">
        <f>$K$74</f>
        <v/>
      </c>
      <c r="O134" s="2137" t="str">
        <f t="shared" ref="O134" si="5">IF(D134="Não","Não conforme",IF(D134="Sim","Conforme",IF(D134="NPA","NPA","NA")))</f>
        <v>NPA</v>
      </c>
      <c r="P134" s="2137" t="str">
        <f t="shared" ref="P134:P135" si="6">IF(F134="Não","Não conforme",IF(F134="Sim","Conforme",IF(F134="NPA","NPA","NA")))</f>
        <v>NPA</v>
      </c>
      <c r="Q134" s="2137" t="str">
        <f t="shared" ref="Q134:Q136" si="7">IF(I134="Não","Não conforme",IF(I134="Sim","Conforme",IF(I134="NPA","NPA","NA")))</f>
        <v>NPA</v>
      </c>
    </row>
    <row r="135" spans="1:17" ht="15" customHeight="1" x14ac:dyDescent="0.25">
      <c r="A135" s="2741" t="str">
        <f>$A$100</f>
        <v>Rotina Axial T1</v>
      </c>
      <c r="B135" s="2741"/>
      <c r="C135" s="2022">
        <f>Ressonância!D71</f>
        <v>0</v>
      </c>
      <c r="D135" s="930" t="str">
        <f>Ressonância!F64</f>
        <v>NPA</v>
      </c>
      <c r="E135" s="2017" t="e">
        <f>Ressonância!J76</f>
        <v>#DIV/0!</v>
      </c>
      <c r="F135" s="930" t="str">
        <f>Ressonância!K76</f>
        <v>NPA</v>
      </c>
      <c r="G135" s="3048" t="e">
        <f>Ressonância!K99</f>
        <v>#VALUE!</v>
      </c>
      <c r="H135" s="3049"/>
      <c r="I135" s="2038" t="str">
        <f>Ressonância!L99</f>
        <v>NPA</v>
      </c>
      <c r="K135" s="34" t="str">
        <f>$K$77</f>
        <v>x</v>
      </c>
      <c r="O135" s="2137" t="str">
        <f>IF(D135="Não","Não conforme",IF(D135="Sim","Conforme",IF(D135="NPA","NPA","NA")))</f>
        <v>NPA</v>
      </c>
      <c r="P135" s="2137" t="str">
        <f t="shared" si="6"/>
        <v>NPA</v>
      </c>
      <c r="Q135" s="2137" t="str">
        <f t="shared" si="7"/>
        <v>NPA</v>
      </c>
    </row>
    <row r="136" spans="1:17" ht="15" customHeight="1" x14ac:dyDescent="0.25">
      <c r="A136" s="2741" t="str">
        <f>$A$101</f>
        <v>Rotina Axial T2</v>
      </c>
      <c r="B136" s="2741"/>
      <c r="C136" s="2022">
        <f>Ressonância!D72</f>
        <v>0</v>
      </c>
      <c r="D136" s="930" t="str">
        <f>Ressonância!F65</f>
        <v>NPA</v>
      </c>
      <c r="E136" s="2017" t="e">
        <f>Ressonância!J77</f>
        <v>#DIV/0!</v>
      </c>
      <c r="F136" s="930" t="str">
        <f>Ressonância!K77</f>
        <v>NPA</v>
      </c>
      <c r="G136" s="3048" t="e">
        <f>Ressonância!K100</f>
        <v>#VALUE!</v>
      </c>
      <c r="H136" s="3049"/>
      <c r="I136" s="2038" t="str">
        <f>Ressonância!L100</f>
        <v>NPA</v>
      </c>
      <c r="K136" s="34" t="str">
        <f>$K$80</f>
        <v>x</v>
      </c>
      <c r="O136" s="2137" t="str">
        <f>IF(D136="Não","Não conforme",IF(D136="Sim","Conforme",IF(D136="NPA","NPA","NA")))</f>
        <v>NPA</v>
      </c>
      <c r="P136" s="2137" t="str">
        <f>IF(F136="Não","Não conforme",IF(F136="Sim","Conforme",IF(F136="NPA","NPA","NA")))</f>
        <v>NPA</v>
      </c>
      <c r="Q136" s="2137" t="str">
        <f t="shared" si="7"/>
        <v>NPA</v>
      </c>
    </row>
    <row r="137" spans="1:17" ht="15" customHeight="1" x14ac:dyDescent="0.25">
      <c r="A137" s="2481" t="s">
        <v>2266</v>
      </c>
      <c r="B137" s="2481"/>
      <c r="C137" s="2481"/>
      <c r="D137" s="2481"/>
      <c r="E137" s="2481"/>
      <c r="F137" s="2481"/>
      <c r="G137" s="2481"/>
      <c r="H137" s="2481"/>
      <c r="I137" s="2481"/>
      <c r="J137" s="2481"/>
      <c r="L137" s="2016"/>
    </row>
    <row r="138" spans="1:17" s="2137" customFormat="1" ht="15" customHeight="1" x14ac:dyDescent="0.25">
      <c r="A138" s="2140" t="s">
        <v>2679</v>
      </c>
      <c r="B138" s="2488" t="s">
        <v>2763</v>
      </c>
      <c r="C138" s="2488"/>
      <c r="D138" s="2488"/>
      <c r="E138" s="2488"/>
      <c r="F138" s="2488"/>
      <c r="G138" s="2488"/>
      <c r="H138" s="2488"/>
      <c r="I138" s="2488"/>
      <c r="J138" s="2488"/>
      <c r="L138" s="2016"/>
    </row>
    <row r="139" spans="1:17" s="2137" customFormat="1" ht="15" customHeight="1" x14ac:dyDescent="0.25">
      <c r="A139" s="2140"/>
      <c r="B139" s="2488" t="s">
        <v>2764</v>
      </c>
      <c r="C139" s="2488"/>
      <c r="D139" s="2488"/>
      <c r="E139" s="2488"/>
      <c r="F139" s="2488"/>
      <c r="G139" s="2488"/>
      <c r="H139" s="2488"/>
      <c r="I139" s="2488"/>
      <c r="J139" s="2488"/>
      <c r="L139" s="2016"/>
    </row>
    <row r="140" spans="1:17" s="2137" customFormat="1" ht="15" customHeight="1" x14ac:dyDescent="0.25">
      <c r="A140" s="2140"/>
      <c r="B140" s="2488" t="s">
        <v>2765</v>
      </c>
      <c r="C140" s="2488"/>
      <c r="D140" s="2488"/>
      <c r="E140" s="2488"/>
      <c r="F140" s="2488"/>
      <c r="G140" s="2488"/>
      <c r="H140" s="2488"/>
      <c r="I140" s="2488"/>
      <c r="J140" s="2488"/>
      <c r="L140" s="2016"/>
    </row>
    <row r="141" spans="1:17" s="2137" customFormat="1" ht="15" customHeight="1" x14ac:dyDescent="0.25">
      <c r="A141" s="2140"/>
      <c r="B141" s="2140"/>
      <c r="C141" s="2140"/>
      <c r="D141" s="2140"/>
      <c r="E141" s="2140"/>
      <c r="F141" s="2140"/>
      <c r="G141" s="2140"/>
      <c r="H141" s="2140"/>
      <c r="I141" s="2140"/>
      <c r="J141" s="2140"/>
      <c r="L141" s="2016"/>
    </row>
    <row r="142" spans="1:17" ht="15" customHeight="1" x14ac:dyDescent="0.25">
      <c r="A142" s="281" t="s">
        <v>2263</v>
      </c>
    </row>
    <row r="143" spans="1:17" s="2105" customFormat="1" ht="15" customHeight="1" x14ac:dyDescent="0.25">
      <c r="A143" s="2105" t="s">
        <v>2356</v>
      </c>
      <c r="C143" s="2105" t="s">
        <v>2670</v>
      </c>
    </row>
    <row r="144" spans="1:17" s="2105" customFormat="1" ht="15" customHeight="1" x14ac:dyDescent="0.25">
      <c r="A144" s="2105" t="s">
        <v>2358</v>
      </c>
      <c r="C144" s="2105" t="s">
        <v>2359</v>
      </c>
    </row>
    <row r="145" spans="1:16" ht="15" customHeight="1" x14ac:dyDescent="0.25">
      <c r="A145" s="281"/>
    </row>
    <row r="146" spans="1:16" ht="15" customHeight="1" x14ac:dyDescent="0.25">
      <c r="A146" s="2606" t="s">
        <v>2115</v>
      </c>
      <c r="B146" s="2606"/>
      <c r="C146" s="3041" t="s">
        <v>2259</v>
      </c>
      <c r="D146" s="3041"/>
      <c r="E146" s="1981" t="str">
        <f>Ressonância!$B$1</f>
        <v>IN 97</v>
      </c>
      <c r="F146" s="1984" t="s">
        <v>2201</v>
      </c>
      <c r="G146" s="1981" t="str">
        <f>Ressonância!$B$1</f>
        <v>IN 97</v>
      </c>
      <c r="I146" s="2016"/>
      <c r="O146" s="34" t="s">
        <v>99</v>
      </c>
      <c r="P146" s="34" t="s">
        <v>2771</v>
      </c>
    </row>
    <row r="147" spans="1:16" ht="15" customHeight="1" x14ac:dyDescent="0.25">
      <c r="A147" s="2741" t="str">
        <f>$A$98</f>
        <v>ACR Axial T1</v>
      </c>
      <c r="B147" s="2741"/>
      <c r="C147" s="3042">
        <f>Ressonância!B117</f>
        <v>0.9</v>
      </c>
      <c r="D147" s="3042"/>
      <c r="E147" s="930" t="str">
        <f>Ressonância!C117</f>
        <v>Sim</v>
      </c>
      <c r="F147" s="2030" t="e">
        <f>Ressonância!D133</f>
        <v>#DIV/0!</v>
      </c>
      <c r="G147" s="930" t="str">
        <f>Ressonância!F133</f>
        <v>NPA</v>
      </c>
      <c r="I147" s="2016"/>
      <c r="K147" s="34" t="str">
        <f>$K$71</f>
        <v/>
      </c>
      <c r="O147" s="2137" t="str">
        <f>IF(E147="Não","Não conforme",IF(E147="Sim","Conforme",IF(E147="NPA","NPA","NA")))</f>
        <v>Conforme</v>
      </c>
      <c r="P147" s="2137" t="str">
        <f>IF(G147="Não","Não conforme",IF(G147="Sim","Conforme",IF(G147="NPA","NPA","NA")))</f>
        <v>NPA</v>
      </c>
    </row>
    <row r="148" spans="1:16" ht="15" customHeight="1" x14ac:dyDescent="0.25">
      <c r="A148" s="2741" t="str">
        <f>$A$99</f>
        <v>ACR Axial T2</v>
      </c>
      <c r="B148" s="2741"/>
      <c r="C148" s="3042">
        <f>Ressonância!B118</f>
        <v>0</v>
      </c>
      <c r="D148" s="3042"/>
      <c r="E148" s="930" t="str">
        <f>Ressonância!C118</f>
        <v>NPA</v>
      </c>
      <c r="F148" s="2030" t="e">
        <f>Ressonância!D134</f>
        <v>#DIV/0!</v>
      </c>
      <c r="G148" s="930" t="str">
        <f>Ressonância!F134</f>
        <v>NPA</v>
      </c>
      <c r="I148" s="2016"/>
      <c r="K148" s="34" t="str">
        <f>$K$74</f>
        <v/>
      </c>
      <c r="O148" s="2137" t="str">
        <f t="shared" ref="O148:O149" si="8">IF(E148="Não","Não conforme",IF(E148="Sim","Conforme",IF(E148="NPA","NPA","NA")))</f>
        <v>NPA</v>
      </c>
      <c r="P148" s="2137" t="str">
        <f t="shared" ref="P148:P149" si="9">IF(G148="Não","Não conforme",IF(G148="Sim","Conforme",IF(G148="NPA","NPA","NA")))</f>
        <v>NPA</v>
      </c>
    </row>
    <row r="149" spans="1:16" ht="15" customHeight="1" x14ac:dyDescent="0.25">
      <c r="A149" s="2741" t="str">
        <f>$A$100</f>
        <v>Rotina Axial T1</v>
      </c>
      <c r="B149" s="2741"/>
      <c r="C149" s="3042">
        <f>Ressonância!B119</f>
        <v>0</v>
      </c>
      <c r="D149" s="3042"/>
      <c r="E149" s="930" t="str">
        <f>Ressonância!C119</f>
        <v>NPA</v>
      </c>
      <c r="F149" s="2030" t="e">
        <f>Ressonância!D135</f>
        <v>#DIV/0!</v>
      </c>
      <c r="G149" s="930" t="str">
        <f>Ressonância!F135</f>
        <v>NPA</v>
      </c>
      <c r="I149" s="2016"/>
      <c r="K149" s="34" t="str">
        <f>$K$77</f>
        <v>x</v>
      </c>
      <c r="O149" s="2137" t="str">
        <f t="shared" si="8"/>
        <v>NPA</v>
      </c>
      <c r="P149" s="2137" t="str">
        <f t="shared" si="9"/>
        <v>NPA</v>
      </c>
    </row>
    <row r="150" spans="1:16" ht="15" customHeight="1" x14ac:dyDescent="0.25">
      <c r="A150" s="2741" t="str">
        <f>$A$101</f>
        <v>Rotina Axial T2</v>
      </c>
      <c r="B150" s="2741"/>
      <c r="C150" s="3042">
        <f>Ressonância!B120</f>
        <v>0</v>
      </c>
      <c r="D150" s="3042"/>
      <c r="E150" s="930" t="str">
        <f>Ressonância!C120</f>
        <v>NPA</v>
      </c>
      <c r="F150" s="2030" t="e">
        <f>Ressonância!D136</f>
        <v>#DIV/0!</v>
      </c>
      <c r="G150" s="930" t="str">
        <f>Ressonância!F136</f>
        <v>NPA</v>
      </c>
      <c r="I150" s="2016"/>
      <c r="K150" s="34" t="str">
        <f>$K$80</f>
        <v>x</v>
      </c>
      <c r="O150" s="2137" t="str">
        <f>IF(E150="Não","Não conforme",IF(E150="Sim","Conforme",IF(E150="NPA","NPA","NA")))</f>
        <v>NPA</v>
      </c>
      <c r="P150" s="2137" t="str">
        <f>IF(G150="Não","Não conforme",IF(G150="Sim","Conforme",IF(G150="NPA","NPA","NA")))</f>
        <v>NPA</v>
      </c>
    </row>
    <row r="151" spans="1:16" ht="15" customHeight="1" x14ac:dyDescent="0.25">
      <c r="A151" s="2481" t="s">
        <v>2267</v>
      </c>
      <c r="B151" s="2481"/>
      <c r="C151" s="2481"/>
      <c r="D151" s="2481"/>
      <c r="E151" s="2481"/>
      <c r="F151" s="2481"/>
      <c r="G151" s="2481"/>
      <c r="H151" s="2481"/>
      <c r="I151" s="2481"/>
      <c r="J151" s="2481"/>
    </row>
    <row r="152" spans="1:16" ht="15" customHeight="1" x14ac:dyDescent="0.25">
      <c r="A152" s="2140" t="s">
        <v>2679</v>
      </c>
      <c r="B152" s="2488" t="s">
        <v>2766</v>
      </c>
      <c r="C152" s="2488"/>
      <c r="D152" s="2488"/>
      <c r="E152" s="2488"/>
      <c r="F152" s="2488"/>
      <c r="G152" s="2488"/>
      <c r="H152" s="2488"/>
      <c r="I152" s="2488"/>
      <c r="J152" s="2488"/>
    </row>
    <row r="153" spans="1:16" s="2137" customFormat="1" ht="15" customHeight="1" x14ac:dyDescent="0.25">
      <c r="A153" s="2140"/>
      <c r="B153" s="2488" t="s">
        <v>2767</v>
      </c>
      <c r="C153" s="2488"/>
      <c r="D153" s="2488"/>
      <c r="E153" s="2488"/>
      <c r="F153" s="2488"/>
      <c r="G153" s="2488"/>
      <c r="H153" s="2488"/>
      <c r="I153" s="2488"/>
      <c r="J153" s="2488"/>
    </row>
    <row r="154" spans="1:16" s="2137" customFormat="1" ht="15" customHeight="1" x14ac:dyDescent="0.25">
      <c r="A154" s="2140"/>
      <c r="B154" s="2145"/>
      <c r="C154" s="2145"/>
      <c r="D154" s="2145"/>
      <c r="E154" s="2145"/>
      <c r="F154" s="2145"/>
      <c r="G154" s="2145"/>
      <c r="H154" s="2145"/>
      <c r="I154" s="2145"/>
      <c r="J154" s="2145"/>
    </row>
    <row r="155" spans="1:16" s="2137" customFormat="1" ht="15" customHeight="1" x14ac:dyDescent="0.25">
      <c r="A155" s="2140"/>
    </row>
    <row r="156" spans="1:16" ht="15" customHeight="1" x14ac:dyDescent="0.25">
      <c r="A156" s="281" t="s">
        <v>571</v>
      </c>
    </row>
    <row r="157" spans="1:16" ht="15" customHeight="1" x14ac:dyDescent="0.25">
      <c r="A157" s="2476" t="str">
        <f>CONCATENATE("               ",Tabelas2!S14)&amp;"."</f>
        <v xml:space="preserve">               Fantoma ACR, modelo medium size, série J2458.</v>
      </c>
      <c r="B157" s="2476"/>
      <c r="C157" s="2476"/>
      <c r="D157" s="2476"/>
      <c r="E157" s="2476"/>
      <c r="F157" s="2476"/>
      <c r="G157" s="2476"/>
      <c r="H157" s="2476"/>
      <c r="I157" s="2476"/>
      <c r="J157" s="2476"/>
      <c r="K157" s="34" t="str">
        <f>IF(convencional!$I$4="Sim","x","")</f>
        <v/>
      </c>
    </row>
    <row r="158" spans="1:16" ht="15" customHeight="1" x14ac:dyDescent="0.25">
      <c r="A158" s="2476"/>
      <c r="B158" s="2476"/>
      <c r="C158" s="2476"/>
      <c r="D158" s="2476"/>
      <c r="E158" s="2476"/>
      <c r="F158" s="2476"/>
      <c r="G158" s="2476"/>
      <c r="H158" s="2476"/>
      <c r="I158" s="2476"/>
      <c r="J158" s="2476"/>
      <c r="K158" s="34" t="str">
        <f>K157</f>
        <v/>
      </c>
    </row>
    <row r="159" spans="1:16" ht="15" customHeight="1" x14ac:dyDescent="0.25">
      <c r="A159" s="1982"/>
      <c r="B159" s="1982"/>
      <c r="C159" s="1982"/>
      <c r="D159" s="1982"/>
      <c r="E159" s="1982"/>
      <c r="F159" s="1982"/>
      <c r="G159" s="1982"/>
      <c r="H159" s="1982"/>
      <c r="I159" s="1982"/>
      <c r="J159" s="1982"/>
    </row>
    <row r="160" spans="1:16" ht="15" customHeight="1" x14ac:dyDescent="0.25">
      <c r="A160" s="281" t="s">
        <v>1083</v>
      </c>
      <c r="B160" s="1982"/>
      <c r="C160" s="1982"/>
      <c r="D160" s="1982"/>
      <c r="E160" s="1982"/>
      <c r="F160" s="1982"/>
      <c r="G160" s="1982"/>
      <c r="H160" s="1982"/>
      <c r="I160" s="1982"/>
      <c r="J160" s="1982"/>
    </row>
    <row r="161" spans="1:11" ht="15" customHeight="1" x14ac:dyDescent="0.25">
      <c r="A161" s="2476"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161" s="2476"/>
      <c r="C161" s="2476"/>
      <c r="D161" s="2476"/>
      <c r="E161" s="2476"/>
      <c r="F161" s="2476"/>
      <c r="G161" s="2476"/>
      <c r="H161" s="2476"/>
      <c r="I161" s="2476"/>
      <c r="J161" s="2476"/>
    </row>
    <row r="162" spans="1:11" ht="15" customHeight="1" x14ac:dyDescent="0.25">
      <c r="A162" s="2476"/>
      <c r="B162" s="2476"/>
      <c r="C162" s="2476"/>
      <c r="D162" s="2476"/>
      <c r="E162" s="2476"/>
      <c r="F162" s="2476"/>
      <c r="G162" s="2476"/>
      <c r="H162" s="2476"/>
      <c r="I162" s="2476"/>
      <c r="J162" s="2476"/>
    </row>
    <row r="163" spans="1:11" ht="15" customHeight="1" x14ac:dyDescent="0.25">
      <c r="A163" s="2476"/>
      <c r="B163" s="2476"/>
      <c r="C163" s="2476"/>
      <c r="D163" s="2476"/>
      <c r="E163" s="2476"/>
      <c r="F163" s="2476"/>
      <c r="G163" s="2476"/>
      <c r="H163" s="2476"/>
      <c r="I163" s="2476"/>
      <c r="J163" s="2476"/>
    </row>
    <row r="164" spans="1:11" ht="15" customHeight="1" x14ac:dyDescent="0.25">
      <c r="A164" s="2476"/>
      <c r="B164" s="2476"/>
      <c r="C164" s="2476"/>
      <c r="D164" s="2476"/>
      <c r="E164" s="2476"/>
      <c r="F164" s="2476"/>
      <c r="G164" s="2476"/>
      <c r="H164" s="2476"/>
      <c r="I164" s="2476"/>
      <c r="J164" s="2476"/>
    </row>
    <row r="165" spans="1:11" ht="15" customHeight="1" x14ac:dyDescent="0.25">
      <c r="A165" s="2476"/>
      <c r="B165" s="2476"/>
      <c r="C165" s="2476"/>
      <c r="D165" s="2476"/>
      <c r="E165" s="2476"/>
      <c r="F165" s="2476"/>
      <c r="G165" s="2476"/>
      <c r="H165" s="2476"/>
      <c r="I165" s="2476"/>
      <c r="J165" s="2476"/>
    </row>
    <row r="166" spans="1:11" ht="15" customHeight="1" x14ac:dyDescent="0.25">
      <c r="A166" s="1982"/>
      <c r="B166" s="1982"/>
      <c r="C166" s="1982"/>
      <c r="D166" s="1982"/>
      <c r="E166" s="1982"/>
      <c r="F166" s="1982"/>
      <c r="G166" s="1982"/>
      <c r="H166" s="1982"/>
      <c r="I166" s="1982"/>
      <c r="J166" s="1982"/>
    </row>
    <row r="167" spans="1:11" ht="15" customHeight="1" x14ac:dyDescent="0.25">
      <c r="A167" s="281" t="s">
        <v>2303</v>
      </c>
      <c r="B167" s="1982"/>
      <c r="C167" s="1982"/>
      <c r="D167" s="1982"/>
      <c r="E167" s="1982"/>
      <c r="F167" s="1982"/>
      <c r="G167" s="1982"/>
      <c r="H167" s="1982"/>
      <c r="I167" s="1982"/>
    </row>
    <row r="168" spans="1:11" ht="15" customHeight="1" x14ac:dyDescent="0.25">
      <c r="A168" s="2469" t="str">
        <f>IntroPrazoArmazenamento</f>
        <v xml:space="preserve">               Este documento deve ser arquivado e mantido à disposição da autoridade sanitária local, garantindo sua rastreabilidade pelo prazo mínimo de 5 anos. </v>
      </c>
      <c r="B168" s="2469"/>
      <c r="C168" s="2469"/>
      <c r="D168" s="2469"/>
      <c r="E168" s="2469"/>
      <c r="F168" s="2469"/>
      <c r="G168" s="2469"/>
      <c r="H168" s="2469"/>
      <c r="I168" s="2469"/>
      <c r="J168" s="2469"/>
    </row>
    <row r="169" spans="1:11" ht="15" customHeight="1" x14ac:dyDescent="0.25">
      <c r="A169" s="2469"/>
      <c r="B169" s="2469"/>
      <c r="C169" s="2469"/>
      <c r="D169" s="2469"/>
      <c r="E169" s="2469"/>
      <c r="F169" s="2469"/>
      <c r="G169" s="2469"/>
      <c r="H169" s="2469"/>
      <c r="I169" s="2469"/>
      <c r="J169" s="2469"/>
    </row>
    <row r="170" spans="1:11" ht="15" customHeight="1" x14ac:dyDescent="0.25">
      <c r="A170" s="2476" t="str">
        <f>"                 "&amp;IF(Ressonância!B25="","A tolerância do fabricante para a exatidão da frequência central não foi informada.","A tolerância do fabricante para a exatidão da frequência central é de "&amp;Ressonância!B25&amp;Ressonância!C25&amp;".")&amp;" Recomenda-se cuidadoso controle da estabilidade da temperatura da sala para reduzir a flutuação do campo magnético."</f>
        <v xml:space="preserve">                 A tolerância do fabricante para a exatidão da frequência central não foi informada. Recomenda-se cuidadoso controle da estabilidade da temperatura da sala para reduzir a flutuação do campo magnético.</v>
      </c>
      <c r="B170" s="2476"/>
      <c r="C170" s="2476"/>
      <c r="D170" s="2476"/>
      <c r="E170" s="2476"/>
      <c r="F170" s="2476"/>
      <c r="G170" s="2476"/>
      <c r="H170" s="2476"/>
      <c r="I170" s="2476"/>
      <c r="J170" s="2476"/>
    </row>
    <row r="171" spans="1:11" ht="15" customHeight="1" x14ac:dyDescent="0.25">
      <c r="A171" s="2476"/>
      <c r="B171" s="2476"/>
      <c r="C171" s="2476"/>
      <c r="D171" s="2476"/>
      <c r="E171" s="2476"/>
      <c r="F171" s="2476"/>
      <c r="G171" s="2476"/>
      <c r="H171" s="2476"/>
      <c r="I171" s="2476"/>
      <c r="J171" s="2476"/>
    </row>
    <row r="172" spans="1:11" ht="15" customHeight="1" x14ac:dyDescent="0.25">
      <c r="A172" s="2476"/>
      <c r="B172" s="2476"/>
      <c r="C172" s="2476"/>
      <c r="D172" s="2476"/>
      <c r="E172" s="2476"/>
      <c r="F172" s="2476"/>
      <c r="G172" s="2476"/>
      <c r="H172" s="2476"/>
      <c r="I172" s="2476"/>
      <c r="J172" s="2476"/>
    </row>
    <row r="173" spans="1:11" ht="15" customHeight="1" x14ac:dyDescent="0.25">
      <c r="A173" s="2476" t="str">
        <f>"                "&amp;Ressonância!E236&amp;" Eventuais artefatos não podem interferir na capacidade de avaliação da qualidade das imagens adquiridas nos testes de controle de qualidade."</f>
        <v xml:space="preserve">                 Eventuais artefatos não podem interferir na capacidade de avaliação da qualidade das imagens adquiridas nos testes de controle de qualidade.</v>
      </c>
      <c r="B173" s="2476"/>
      <c r="C173" s="2476"/>
      <c r="D173" s="2476"/>
      <c r="E173" s="2476"/>
      <c r="F173" s="2476"/>
      <c r="G173" s="2476"/>
      <c r="H173" s="2476"/>
      <c r="I173" s="2476"/>
      <c r="J173" s="2476"/>
    </row>
    <row r="174" spans="1:11" s="2039" customFormat="1" ht="15" customHeight="1" x14ac:dyDescent="0.25">
      <c r="A174" s="2476"/>
      <c r="B174" s="2476"/>
      <c r="C174" s="2476"/>
      <c r="D174" s="2476"/>
      <c r="E174" s="2476"/>
      <c r="F174" s="2476"/>
      <c r="G174" s="2476"/>
      <c r="H174" s="2476"/>
      <c r="I174" s="2476"/>
      <c r="J174" s="2476"/>
      <c r="K174" s="2039" t="str">
        <f>IF(Ressonância!E236="","x","")</f>
        <v>x</v>
      </c>
    </row>
    <row r="175" spans="1:11" ht="15" customHeight="1" x14ac:dyDescent="0.25">
      <c r="A175" s="2476"/>
      <c r="B175" s="2476"/>
      <c r="C175" s="2476"/>
      <c r="D175" s="2476"/>
      <c r="E175" s="2476"/>
      <c r="F175" s="2476"/>
      <c r="G175" s="2476"/>
      <c r="H175" s="2476"/>
      <c r="I175" s="2476"/>
      <c r="J175" s="2476"/>
    </row>
    <row r="176" spans="1:11" s="2020" customFormat="1" ht="15" customHeight="1" x14ac:dyDescent="0.25">
      <c r="A176" s="2476" t="str">
        <f>"                 "&amp;IF(Ressonância!C211="","A tolerância do fabricante para a Homogeneidade do Campo Estático não foi informada.","A tolerância do fabricante para a Homogeneidade do Campo Estático é de "&amp;Ressonância!C211&amp;" ppm.")</f>
        <v xml:space="preserve">                 A tolerância do fabricante para a Homogeneidade do Campo Estático não foi informada.</v>
      </c>
      <c r="B176" s="2476"/>
      <c r="C176" s="2476"/>
      <c r="D176" s="2476"/>
      <c r="E176" s="2476"/>
      <c r="F176" s="2476"/>
      <c r="G176" s="2476"/>
      <c r="H176" s="2476"/>
      <c r="I176" s="2476"/>
      <c r="J176" s="2476"/>
    </row>
    <row r="177" spans="1:11" s="2020" customFormat="1" ht="15" customHeight="1" x14ac:dyDescent="0.25">
      <c r="A177" s="2476" t="str">
        <f>"                 "&amp;IF(Ressonância!G179="","A tolerância do fabricante para a Razão Sinal-Ruído não foi informada.","A tolerância do fabricante para a Razão Sinal-Ruído é de "&amp;Ressonância!G179*100&amp;"%.")</f>
        <v xml:space="preserve">                 A tolerância do fabricante para a Razão Sinal-Ruído não foi informada.</v>
      </c>
      <c r="B177" s="2476"/>
      <c r="C177" s="2476"/>
      <c r="D177" s="2476"/>
      <c r="E177" s="2476"/>
      <c r="F177" s="2476"/>
      <c r="G177" s="2476"/>
      <c r="H177" s="2476"/>
      <c r="I177" s="2476"/>
      <c r="J177" s="2476"/>
    </row>
    <row r="178" spans="1:11" s="2020" customFormat="1" ht="15" customHeight="1" x14ac:dyDescent="0.25">
      <c r="A178" s="2476" t="str">
        <f>"                A detecção de baixo contraste não é um teste requisitado pela IN "&amp;VLOOKUP("Ressonância Magnética",IN_ANVISA[],2)&amp;"/"&amp;VLOOKUP("Ressonância Magnética",IN_ANVISA[],3)&amp;" da ANVISA. Recomenda-se que o resultado apresentado seja utilizado como linha de base para comparação de tendência com testes passados e futuros."</f>
        <v xml:space="preserve">                A detecção de baixo contraste não é um teste requisitado pela IN 97/2021 da ANVISA. Recomenda-se que o resultado apresentado seja utilizado como linha de base para comparação de tendência com testes passados e futuros.</v>
      </c>
      <c r="B178" s="2476"/>
      <c r="C178" s="2476"/>
      <c r="D178" s="2476"/>
      <c r="E178" s="2476"/>
      <c r="F178" s="2476"/>
      <c r="G178" s="2476"/>
      <c r="H178" s="2476"/>
      <c r="I178" s="2476"/>
      <c r="J178" s="2476"/>
      <c r="K178" s="2020" t="str">
        <f>IF(J131="","x","")</f>
        <v>x</v>
      </c>
    </row>
    <row r="179" spans="1:11" s="2020" customFormat="1" ht="15" customHeight="1" x14ac:dyDescent="0.25">
      <c r="A179" s="2476"/>
      <c r="B179" s="2476"/>
      <c r="C179" s="2476"/>
      <c r="D179" s="2476"/>
      <c r="E179" s="2476"/>
      <c r="F179" s="2476"/>
      <c r="G179" s="2476"/>
      <c r="H179" s="2476"/>
      <c r="I179" s="2476"/>
      <c r="J179" s="2476"/>
      <c r="K179" s="2020" t="str">
        <f>K178</f>
        <v>x</v>
      </c>
    </row>
    <row r="180" spans="1:11" s="2020" customFormat="1" ht="15" customHeight="1" x14ac:dyDescent="0.25">
      <c r="A180" s="2476"/>
      <c r="B180" s="2476"/>
      <c r="C180" s="2476"/>
      <c r="D180" s="2476"/>
      <c r="E180" s="2476"/>
      <c r="F180" s="2476"/>
      <c r="G180" s="2476"/>
      <c r="H180" s="2476"/>
      <c r="I180" s="2476"/>
      <c r="J180" s="2476"/>
      <c r="K180" s="2020" t="str">
        <f>K178</f>
        <v>x</v>
      </c>
    </row>
    <row r="181" spans="1:11" s="2020" customFormat="1" ht="15" customHeight="1" x14ac:dyDescent="0.25">
      <c r="A181" s="2476" t="str">
        <f>"                As dimensões do pixel teórico para a resolução espacial de alto contraste são de "&amp;Ressonância!C114&amp;" mm."</f>
        <v xml:space="preserve">                As dimensões do pixel teórico para a resolução espacial de alto contraste são de 1 mm.</v>
      </c>
      <c r="B181" s="2476"/>
      <c r="C181" s="2476"/>
      <c r="D181" s="2476"/>
      <c r="E181" s="2476"/>
      <c r="F181" s="2476"/>
      <c r="G181" s="2476"/>
      <c r="H181" s="2476"/>
      <c r="I181" s="2476"/>
      <c r="J181" s="2476"/>
    </row>
    <row r="182" spans="1:11" s="2020" customFormat="1" ht="15" customHeight="1" x14ac:dyDescent="0.25">
      <c r="A182" s="2476" t="str">
        <f>"                "&amp;IF(Ressonância!C129="","A tolerância do fabricante para a uniformidade percentual integral (PIU) da imagem não foi informada."&amp;" Considerou-se a tolerância recomendada pela ACR de, pelo menos, "&amp;Ressonância!E133*100&amp;"%.","A tolerância do fabricante para a uniformidade percentual integral (PIU) da imagem é de, pelo menos, "&amp;Ressonância!E133*100&amp;"%.")</f>
        <v xml:space="preserve">                A tolerância do fabricante para a uniformidade percentual integral (PIU) da imagem não foi informada. Considerou-se a tolerância recomendada pela ACR de, pelo menos, 85%.</v>
      </c>
      <c r="B182" s="2476"/>
      <c r="C182" s="2476"/>
      <c r="D182" s="2476"/>
      <c r="E182" s="2476"/>
      <c r="F182" s="2476"/>
      <c r="G182" s="2476"/>
      <c r="H182" s="2476"/>
      <c r="I182" s="2476"/>
      <c r="J182" s="2476"/>
    </row>
    <row r="183" spans="1:11" s="2020" customFormat="1" ht="15" customHeight="1" x14ac:dyDescent="0.25">
      <c r="A183" s="2476"/>
      <c r="B183" s="2476"/>
      <c r="C183" s="2476"/>
      <c r="D183" s="2476"/>
      <c r="E183" s="2476"/>
      <c r="F183" s="2476"/>
      <c r="G183" s="2476"/>
      <c r="H183" s="2476"/>
      <c r="I183" s="2476"/>
      <c r="J183" s="2476"/>
    </row>
    <row r="184" spans="1:11" s="2020" customFormat="1" ht="15" customHeight="1" x14ac:dyDescent="0.25">
      <c r="A184" s="2476" t="s">
        <v>1706</v>
      </c>
      <c r="B184" s="2476"/>
      <c r="C184" s="2476"/>
      <c r="D184" s="2476"/>
      <c r="E184" s="2476"/>
      <c r="F184" s="2476"/>
      <c r="G184" s="2476"/>
      <c r="H184" s="2476"/>
      <c r="I184" s="2476"/>
      <c r="J184" s="2476"/>
      <c r="K184" s="2020" t="s">
        <v>649</v>
      </c>
    </row>
    <row r="185" spans="1:11" s="2020" customFormat="1" ht="15" customHeight="1" x14ac:dyDescent="0.25">
      <c r="A185" s="2476"/>
      <c r="B185" s="2476"/>
      <c r="C185" s="2476"/>
      <c r="D185" s="2476"/>
      <c r="E185" s="2476"/>
      <c r="F185" s="2476"/>
      <c r="G185" s="2476"/>
      <c r="H185" s="2476"/>
      <c r="I185" s="2476"/>
      <c r="J185" s="2476"/>
      <c r="K185" s="2020" t="str">
        <f>K184</f>
        <v>x</v>
      </c>
    </row>
    <row r="186" spans="1:11" s="2020" customFormat="1" ht="15" customHeight="1" x14ac:dyDescent="0.25">
      <c r="A186" s="2476"/>
      <c r="B186" s="2476"/>
      <c r="C186" s="2476"/>
      <c r="D186" s="2476"/>
      <c r="E186" s="2476"/>
      <c r="F186" s="2476"/>
      <c r="G186" s="2476"/>
      <c r="H186" s="2476"/>
      <c r="I186" s="2476"/>
      <c r="J186" s="2476"/>
      <c r="K186" s="2020" t="str">
        <f>K185</f>
        <v>x</v>
      </c>
    </row>
    <row r="187" spans="1:11" ht="15" customHeight="1" x14ac:dyDescent="0.25">
      <c r="A187" s="1982"/>
      <c r="B187" s="1982"/>
      <c r="C187" s="1982"/>
      <c r="D187" s="1982"/>
      <c r="E187" s="1982"/>
      <c r="F187" s="1982"/>
      <c r="G187" s="1982"/>
      <c r="H187" s="1982"/>
      <c r="I187" s="1982"/>
    </row>
    <row r="188" spans="1:11" s="2105" customFormat="1" ht="15" customHeight="1" x14ac:dyDescent="0.25">
      <c r="A188" s="281" t="s">
        <v>2494</v>
      </c>
      <c r="B188" s="2103"/>
      <c r="C188" s="2103"/>
      <c r="D188" s="2103"/>
      <c r="E188" s="2103"/>
      <c r="F188" s="2103"/>
      <c r="G188" s="2103"/>
      <c r="H188" s="2103"/>
      <c r="I188" s="2103"/>
    </row>
    <row r="189" spans="1:11" s="2105" customFormat="1" ht="15" customHeight="1" x14ac:dyDescent="0.25">
      <c r="A189" s="2103"/>
      <c r="B189" s="2103"/>
      <c r="C189" s="2103"/>
      <c r="D189" s="2103"/>
      <c r="E189" s="2103"/>
      <c r="F189" s="2103"/>
      <c r="G189" s="2103"/>
      <c r="H189" s="2103"/>
      <c r="I189" s="2103"/>
    </row>
    <row r="190" spans="1:11" s="2105" customFormat="1" ht="15" customHeight="1" x14ac:dyDescent="0.25">
      <c r="A190" s="2487" t="s">
        <v>146</v>
      </c>
      <c r="B190" s="2487"/>
      <c r="C190" s="2487"/>
      <c r="D190" s="2487"/>
      <c r="E190" s="2487"/>
      <c r="F190" s="2618" t="s">
        <v>2457</v>
      </c>
      <c r="G190" s="2618"/>
      <c r="H190" s="2097" t="s">
        <v>2458</v>
      </c>
      <c r="I190" s="2487" t="s">
        <v>2423</v>
      </c>
      <c r="J190" s="2487"/>
    </row>
    <row r="191" spans="1:11" s="2105" customFormat="1" ht="15" customHeight="1" x14ac:dyDescent="0.25">
      <c r="A191" s="2459" t="s">
        <v>2104</v>
      </c>
      <c r="B191" s="2459"/>
      <c r="C191" s="2459"/>
      <c r="D191" s="2459"/>
      <c r="E191" s="2459"/>
      <c r="F191" s="2460" t="s">
        <v>2665</v>
      </c>
      <c r="G191" s="2460"/>
      <c r="H191" s="2098" t="str">
        <f>IF(F191="-","NA",IF(OR(I191="NA",I191="NPA"),"NA",IF(F191="Quadrienal",$J$1+1461,IF(F191="Bienal",$J$1+730,IF(F191="Anual",$J$1+365,IF(F191="Semestral",$J$1+182,IF(F191="Mensal",$J$1+30,IF(F191="Semanal",$J$1+7))))))))</f>
        <v>NA</v>
      </c>
      <c r="I191" s="2454" t="str">
        <f>O89</f>
        <v>NPA</v>
      </c>
      <c r="J191" s="2454"/>
    </row>
    <row r="192" spans="1:11" s="2105" customFormat="1" ht="15" customHeight="1" x14ac:dyDescent="0.25">
      <c r="A192" s="2459" t="s">
        <v>2671</v>
      </c>
      <c r="B192" s="2459"/>
      <c r="C192" s="2459"/>
      <c r="D192" s="2459"/>
      <c r="E192" s="2459"/>
      <c r="F192" s="2460" t="s">
        <v>2359</v>
      </c>
      <c r="G192" s="2460"/>
      <c r="H192" s="2331" t="str">
        <f t="shared" ref="H192:H200" si="10">IF(F192="-","NA",IF(OR(I192="NA",I192="NPA"),"NA",IF(F192="Quadrienal",$J$1+1461,IF(F192="Bienal",$J$1+730,IF(F192="Anual",$J$1+365,IF(F192="Semestral",$J$1+182,IF(F192="Mensal",$J$1+30,IF(F192="Semanal",$J$1+7))))))))</f>
        <v>NA</v>
      </c>
      <c r="I192" s="2454" t="str">
        <f>IF(COUNTIF(O98:O101,"Não conforme")&lt;&gt;0,"Não conforme",IF(COUNTIF(O98:O101,"Conforme")&lt;&gt;0,"Conforme",IF(COUNTIF(O98:O101,"NPA")&lt;&gt;0,"NPA","NA")))</f>
        <v>NPA</v>
      </c>
      <c r="J192" s="2454" t="s">
        <v>857</v>
      </c>
    </row>
    <row r="193" spans="1:11" s="2105" customFormat="1" ht="15" customHeight="1" x14ac:dyDescent="0.25">
      <c r="A193" s="2459" t="s">
        <v>2109</v>
      </c>
      <c r="B193" s="2459"/>
      <c r="C193" s="2459"/>
      <c r="D193" s="2459"/>
      <c r="E193" s="2459"/>
      <c r="F193" s="2460" t="s">
        <v>2665</v>
      </c>
      <c r="G193" s="2460"/>
      <c r="H193" s="2331" t="e">
        <f t="shared" si="10"/>
        <v>#N/A</v>
      </c>
      <c r="I193" s="2454" t="str">
        <f>IF(COUNTIF(Q111:Q120,"Não conforme")&lt;&gt;0,"Não conforme",IF(COUNTIF(Q111:Q120,"Conforme")&lt;&gt;0,"Conforme",IF(COUNTIF(Q111:Q120,"NPA")&lt;&gt;0,"NPA","NA")))</f>
        <v>Conforme</v>
      </c>
      <c r="J193" s="2454" t="s">
        <v>857</v>
      </c>
    </row>
    <row r="194" spans="1:11" s="2105" customFormat="1" ht="15" customHeight="1" x14ac:dyDescent="0.25">
      <c r="A194" s="2459" t="s">
        <v>2672</v>
      </c>
      <c r="B194" s="2459"/>
      <c r="C194" s="2459"/>
      <c r="D194" s="2459"/>
      <c r="E194" s="2459"/>
      <c r="F194" s="2460" t="s">
        <v>2359</v>
      </c>
      <c r="G194" s="2460"/>
      <c r="H194" s="2331" t="str">
        <f t="shared" si="10"/>
        <v>NA</v>
      </c>
      <c r="I194" s="2454" t="str">
        <f>IF(COUNTIF(O111:O120,"Não conforme")&lt;&gt;0,"Não conforme",IF(COUNTIF(O111:O120,"Conforme")&lt;&gt;0,"Conforme",IF(COUNTIF(O111:O120,"NPA")&lt;&gt;0,"NPA","NA")))</f>
        <v>NPA</v>
      </c>
      <c r="J194" s="2454" t="s">
        <v>857</v>
      </c>
    </row>
    <row r="195" spans="1:11" s="2105" customFormat="1" ht="15" customHeight="1" x14ac:dyDescent="0.25">
      <c r="A195" s="2459" t="s">
        <v>2673</v>
      </c>
      <c r="B195" s="2459"/>
      <c r="C195" s="2459"/>
      <c r="D195" s="2459"/>
      <c r="E195" s="2459"/>
      <c r="F195" s="2460" t="s">
        <v>2359</v>
      </c>
      <c r="G195" s="2460"/>
      <c r="H195" s="2331" t="str">
        <f t="shared" si="10"/>
        <v>NA</v>
      </c>
      <c r="I195" s="2454" t="str">
        <f>IF(COUNTIF(P111:P120,"Não conforme")&lt;&gt;0,"Não conforme",IF(COUNTIF(P111:P120,"Conforme")&lt;&gt;0,"Conforme",IF(COUNTIF(P111:P120,"NPA")&lt;&gt;0,"NPA","NA")))</f>
        <v>NPA</v>
      </c>
      <c r="J195" s="2454" t="s">
        <v>857</v>
      </c>
    </row>
    <row r="196" spans="1:11" s="2105" customFormat="1" ht="15" customHeight="1" x14ac:dyDescent="0.25">
      <c r="A196" s="2459" t="s">
        <v>2674</v>
      </c>
      <c r="B196" s="2459"/>
      <c r="C196" s="2459"/>
      <c r="D196" s="2459"/>
      <c r="E196" s="2459"/>
      <c r="F196" s="2460" t="s">
        <v>2359</v>
      </c>
      <c r="G196" s="2460"/>
      <c r="H196" s="2331" t="str">
        <f t="shared" si="10"/>
        <v>NA</v>
      </c>
      <c r="I196" s="2454" t="str">
        <f>IF(COUNTIF(Q133:Q136,"Não conforme")&lt;&gt;0,"Não conforme",IF(COUNTIF(Q133:Q136,"Conforme")&lt;&gt;0,"Conforme",IF(COUNTIF(Q133:Q136,"NPA")&lt;&gt;0,"NPA","NA")))</f>
        <v>NPA</v>
      </c>
      <c r="J196" s="2454" t="s">
        <v>857</v>
      </c>
    </row>
    <row r="197" spans="1:11" s="2105" customFormat="1" ht="15" customHeight="1" x14ac:dyDescent="0.25">
      <c r="A197" s="2459" t="s">
        <v>2142</v>
      </c>
      <c r="B197" s="2459"/>
      <c r="C197" s="2459"/>
      <c r="D197" s="2459"/>
      <c r="E197" s="2459"/>
      <c r="F197" s="2460" t="s">
        <v>2359</v>
      </c>
      <c r="G197" s="2460"/>
      <c r="H197" s="2331" t="e">
        <f t="shared" si="10"/>
        <v>#N/A</v>
      </c>
      <c r="I197" s="2454" t="str">
        <f>IF(COUNTIF(O133:O136,"Não conforme")&lt;&gt;0,"Não conforme",IF(COUNTIF(O133:O136,"Conforme")&lt;&gt;0,"Conforme",IF(COUNTIF(O133:O136,"NPA")&lt;&gt;0,"NPA","NA")))</f>
        <v>Conforme</v>
      </c>
      <c r="J197" s="2454" t="s">
        <v>857</v>
      </c>
    </row>
    <row r="198" spans="1:11" s="2105" customFormat="1" ht="15" customHeight="1" x14ac:dyDescent="0.25">
      <c r="A198" s="2459" t="s">
        <v>2154</v>
      </c>
      <c r="B198" s="2459"/>
      <c r="C198" s="2459"/>
      <c r="D198" s="2459"/>
      <c r="E198" s="2459"/>
      <c r="F198" s="2460" t="s">
        <v>2359</v>
      </c>
      <c r="G198" s="2460"/>
      <c r="H198" s="2331" t="str">
        <f t="shared" si="10"/>
        <v>NA</v>
      </c>
      <c r="I198" s="2454" t="str">
        <f>IF(COUNTIF(P133:P136,"Não conforme")&lt;&gt;0,"Não conforme",IF(COUNTIF(P133:P136,"Conforme")&lt;&gt;0,"Conforme",IF(COUNTIF(P133:P136,"NPA")&lt;&gt;0,"NPA","NA")))</f>
        <v>NPA</v>
      </c>
      <c r="J198" s="2454" t="s">
        <v>857</v>
      </c>
    </row>
    <row r="199" spans="1:11" s="2105" customFormat="1" ht="15" customHeight="1" x14ac:dyDescent="0.25">
      <c r="A199" s="2459" t="s">
        <v>109</v>
      </c>
      <c r="B199" s="2459"/>
      <c r="C199" s="2459"/>
      <c r="D199" s="2459"/>
      <c r="E199" s="2459"/>
      <c r="F199" s="2460" t="s">
        <v>2359</v>
      </c>
      <c r="G199" s="2460"/>
      <c r="H199" s="2331" t="e">
        <f t="shared" si="10"/>
        <v>#N/A</v>
      </c>
      <c r="I199" s="2454" t="str">
        <f>IF(COUNTIF(O147:O150,"Não conforme")&lt;&gt;0,"Não conforme",IF(COUNTIF(O147:O150,"Conforme")&lt;&gt;0,"Conforme",IF(COUNTIF(O147:O150,"NPA")&lt;&gt;0,"NPA","NA")))</f>
        <v>Conforme</v>
      </c>
      <c r="J199" s="2454" t="s">
        <v>857</v>
      </c>
    </row>
    <row r="200" spans="1:11" s="2105" customFormat="1" ht="15" customHeight="1" x14ac:dyDescent="0.25">
      <c r="A200" s="2459" t="s">
        <v>62</v>
      </c>
      <c r="B200" s="2459"/>
      <c r="C200" s="2459"/>
      <c r="D200" s="2459"/>
      <c r="E200" s="2459"/>
      <c r="F200" s="2460" t="s">
        <v>2359</v>
      </c>
      <c r="G200" s="2460"/>
      <c r="H200" s="2331" t="str">
        <f t="shared" si="10"/>
        <v>NA</v>
      </c>
      <c r="I200" s="2454" t="str">
        <f>IF(COUNTIF(P147:P150,"Não conforme")&lt;&gt;0,"Não conforme",IF(COUNTIF(P147:P150,"Conforme")&lt;&gt;0,"Conforme",IF(COUNTIF(P147:P150,"NPA")&lt;&gt;0,"NPA","NA")))</f>
        <v>NPA</v>
      </c>
      <c r="J200" s="2454" t="s">
        <v>857</v>
      </c>
    </row>
    <row r="201" spans="1:11" s="2105" customFormat="1" ht="15" customHeight="1" x14ac:dyDescent="0.25">
      <c r="A201" s="2481" t="s">
        <v>2773</v>
      </c>
      <c r="B201" s="2481"/>
      <c r="C201" s="2481"/>
      <c r="D201" s="2481"/>
      <c r="E201" s="2481"/>
      <c r="F201" s="2481"/>
      <c r="G201" s="2481"/>
      <c r="H201" s="2481"/>
      <c r="I201" s="2481"/>
      <c r="J201" s="2481"/>
    </row>
    <row r="202" spans="1:11" s="2105" customFormat="1" ht="15" customHeight="1" x14ac:dyDescent="0.25">
      <c r="A202" s="2103"/>
      <c r="B202" s="2103"/>
      <c r="C202" s="2103"/>
      <c r="D202" s="2103"/>
      <c r="E202" s="2103"/>
      <c r="F202" s="2103"/>
      <c r="G202" s="2103"/>
      <c r="H202" s="2103"/>
      <c r="I202" s="2103"/>
    </row>
    <row r="203" spans="1:11" ht="15" customHeight="1" x14ac:dyDescent="0.25">
      <c r="A203" s="281" t="s">
        <v>2495</v>
      </c>
    </row>
    <row r="204" spans="1:11" ht="15" customHeight="1" x14ac:dyDescent="0.25">
      <c r="A204" s="281" t="s">
        <v>238</v>
      </c>
    </row>
    <row r="205" spans="1:11" ht="15" customHeight="1" x14ac:dyDescent="0.25">
      <c r="A205" s="2476" t="s">
        <v>2296</v>
      </c>
      <c r="B205" s="2476"/>
      <c r="C205" s="2476"/>
      <c r="D205" s="2476"/>
      <c r="E205" s="2476"/>
      <c r="F205" s="2476"/>
      <c r="G205" s="2476"/>
      <c r="H205" s="2476"/>
      <c r="I205" s="2476"/>
      <c r="J205" s="2476"/>
      <c r="K205" s="34" t="str">
        <f>IF(G55="Não","","x")</f>
        <v>x</v>
      </c>
    </row>
    <row r="206" spans="1:11" ht="15" customHeight="1" x14ac:dyDescent="0.25">
      <c r="A206" s="2469" t="s">
        <v>2297</v>
      </c>
      <c r="B206" s="2469"/>
      <c r="C206" s="2469"/>
      <c r="D206" s="2469"/>
      <c r="E206" s="2469"/>
      <c r="F206" s="2469"/>
      <c r="G206" s="2469"/>
      <c r="H206" s="2469"/>
      <c r="I206" s="2469"/>
      <c r="J206" s="2469"/>
      <c r="K206" s="34" t="str">
        <f>IF(G56="Não","","x")</f>
        <v>x</v>
      </c>
    </row>
    <row r="207" spans="1:11" ht="15" customHeight="1" x14ac:dyDescent="0.25">
      <c r="A207" s="2469"/>
      <c r="B207" s="2469"/>
      <c r="C207" s="2469"/>
      <c r="D207" s="2469"/>
      <c r="E207" s="2469"/>
      <c r="F207" s="2469"/>
      <c r="G207" s="2469"/>
      <c r="H207" s="2469"/>
      <c r="I207" s="2469"/>
      <c r="J207" s="2469"/>
      <c r="K207" s="34" t="str">
        <f>K206</f>
        <v>x</v>
      </c>
    </row>
    <row r="208" spans="1:11" ht="15" customHeight="1" x14ac:dyDescent="0.25">
      <c r="A208" s="2469"/>
      <c r="B208" s="2469"/>
      <c r="C208" s="2469"/>
      <c r="D208" s="2469"/>
      <c r="E208" s="2469"/>
      <c r="F208" s="2469"/>
      <c r="G208" s="2469"/>
      <c r="H208" s="2469"/>
      <c r="I208" s="2469"/>
      <c r="J208" s="2469"/>
      <c r="K208" s="34" t="str">
        <f>K206</f>
        <v>x</v>
      </c>
    </row>
    <row r="209" spans="1:11" ht="15" customHeight="1" x14ac:dyDescent="0.25">
      <c r="A209" s="2469"/>
      <c r="B209" s="2469"/>
      <c r="C209" s="2469"/>
      <c r="D209" s="2469"/>
      <c r="E209" s="2469"/>
      <c r="F209" s="2469"/>
      <c r="G209" s="2469"/>
      <c r="H209" s="2469"/>
      <c r="I209" s="2469"/>
      <c r="J209" s="2469"/>
      <c r="K209" s="34" t="str">
        <f>K206</f>
        <v>x</v>
      </c>
    </row>
    <row r="210" spans="1:11" ht="15" customHeight="1" x14ac:dyDescent="0.25">
      <c r="A210" s="2476" t="s">
        <v>2298</v>
      </c>
      <c r="B210" s="2476"/>
      <c r="C210" s="2476"/>
      <c r="D210" s="2476"/>
      <c r="E210" s="2476"/>
      <c r="F210" s="2476"/>
      <c r="G210" s="2476"/>
      <c r="H210" s="2476"/>
      <c r="I210" s="2476"/>
      <c r="J210" s="2476"/>
      <c r="K210" s="34" t="str">
        <f>IF(G57="Não","","x")</f>
        <v>x</v>
      </c>
    </row>
    <row r="211" spans="1:11" ht="15" customHeight="1" x14ac:dyDescent="0.25">
      <c r="A211" s="2476"/>
      <c r="B211" s="2476"/>
      <c r="C211" s="2476"/>
      <c r="D211" s="2476"/>
      <c r="E211" s="2476"/>
      <c r="F211" s="2476"/>
      <c r="G211" s="2476"/>
      <c r="H211" s="2476"/>
      <c r="I211" s="2476"/>
      <c r="J211" s="2476"/>
      <c r="K211" s="34" t="str">
        <f>K210</f>
        <v>x</v>
      </c>
    </row>
    <row r="212" spans="1:11" ht="15" customHeight="1" x14ac:dyDescent="0.25">
      <c r="A212" s="2476" t="s">
        <v>2299</v>
      </c>
      <c r="B212" s="2476"/>
      <c r="C212" s="2476"/>
      <c r="D212" s="2476"/>
      <c r="E212" s="2476"/>
      <c r="F212" s="2476"/>
      <c r="G212" s="2476"/>
      <c r="H212" s="2476"/>
      <c r="I212" s="2476"/>
      <c r="J212" s="2476"/>
      <c r="K212" s="34" t="str">
        <f>IF(G58="Não","","x")</f>
        <v>x</v>
      </c>
    </row>
    <row r="213" spans="1:11" ht="15" customHeight="1" x14ac:dyDescent="0.25">
      <c r="A213" s="2476"/>
      <c r="B213" s="2476"/>
      <c r="C213" s="2476"/>
      <c r="D213" s="2476"/>
      <c r="E213" s="2476"/>
      <c r="F213" s="2476"/>
      <c r="G213" s="2476"/>
      <c r="H213" s="2476"/>
      <c r="I213" s="2476"/>
      <c r="J213" s="2476"/>
      <c r="K213" s="34" t="str">
        <f>K212</f>
        <v>x</v>
      </c>
    </row>
    <row r="214" spans="1:11" ht="15" customHeight="1" x14ac:dyDescent="0.25">
      <c r="A214" s="2476"/>
      <c r="B214" s="2476"/>
      <c r="C214" s="2476"/>
      <c r="D214" s="2476"/>
      <c r="E214" s="2476"/>
      <c r="F214" s="2476"/>
      <c r="G214" s="2476"/>
      <c r="H214" s="2476"/>
      <c r="I214" s="2476"/>
      <c r="J214" s="2476"/>
      <c r="K214" s="34" t="str">
        <f>K212</f>
        <v>x</v>
      </c>
    </row>
    <row r="215" spans="1:11" ht="15" customHeight="1" x14ac:dyDescent="0.25">
      <c r="A215" s="2476" t="s">
        <v>2301</v>
      </c>
      <c r="B215" s="2476"/>
      <c r="C215" s="2476"/>
      <c r="D215" s="2476"/>
      <c r="E215" s="2476"/>
      <c r="F215" s="2476"/>
      <c r="G215" s="2476"/>
      <c r="H215" s="2476"/>
      <c r="I215" s="2476"/>
      <c r="J215" s="2476"/>
      <c r="K215" s="34" t="str">
        <f>IF(G59="Não","","x")</f>
        <v>x</v>
      </c>
    </row>
    <row r="216" spans="1:11" ht="15" customHeight="1" x14ac:dyDescent="0.25">
      <c r="A216" s="2476"/>
      <c r="B216" s="2476"/>
      <c r="C216" s="2476"/>
      <c r="D216" s="2476"/>
      <c r="E216" s="2476"/>
      <c r="F216" s="2476"/>
      <c r="G216" s="2476"/>
      <c r="H216" s="2476"/>
      <c r="I216" s="2476"/>
      <c r="J216" s="2476"/>
      <c r="K216" s="34" t="str">
        <f>K215</f>
        <v>x</v>
      </c>
    </row>
    <row r="217" spans="1:11" ht="15" customHeight="1" x14ac:dyDescent="0.25">
      <c r="A217" s="2476" t="s">
        <v>2300</v>
      </c>
      <c r="B217" s="2476"/>
      <c r="C217" s="2476"/>
      <c r="D217" s="2476"/>
      <c r="E217" s="2476"/>
      <c r="F217" s="2476"/>
      <c r="G217" s="2476"/>
      <c r="H217" s="2476"/>
      <c r="I217" s="2476"/>
      <c r="J217" s="2476"/>
      <c r="K217" s="34" t="str">
        <f>IF(G60="Não","","x")</f>
        <v>x</v>
      </c>
    </row>
    <row r="218" spans="1:11" ht="15" customHeight="1" x14ac:dyDescent="0.25">
      <c r="A218" s="2476"/>
      <c r="B218" s="2476"/>
      <c r="C218" s="2476"/>
      <c r="D218" s="2476"/>
      <c r="E218" s="2476"/>
      <c r="F218" s="2476"/>
      <c r="G218" s="2476"/>
      <c r="H218" s="2476"/>
      <c r="I218" s="2476"/>
      <c r="J218" s="2476"/>
      <c r="K218" s="34" t="str">
        <f>K217</f>
        <v>x</v>
      </c>
    </row>
    <row r="219" spans="1:11" ht="15" customHeight="1" x14ac:dyDescent="0.25">
      <c r="A219" s="2476"/>
      <c r="B219" s="2476"/>
      <c r="C219" s="2476"/>
      <c r="D219" s="2476"/>
      <c r="E219" s="2476"/>
      <c r="F219" s="2476"/>
      <c r="G219" s="2476"/>
      <c r="H219" s="2476"/>
      <c r="I219" s="2476"/>
      <c r="J219" s="2476"/>
      <c r="K219" s="34" t="str">
        <f>K217</f>
        <v>x</v>
      </c>
    </row>
    <row r="220" spans="1:11" ht="15" customHeight="1" x14ac:dyDescent="0.25">
      <c r="A220" s="2476" t="str">
        <f>"                A exatidão da frequência central está fora da faixa de tolerância especificada pelo fabricante ("&amp;Ressonância!B25&amp;""&amp;Ressonância!C25&amp;"). Recomenda-se a calibração e/ou ajuste da frequência de ressonância do equipamento."</f>
        <v xml:space="preserve">                A exatidão da frequência central está fora da faixa de tolerância especificada pelo fabricante (MHz). Recomenda-se a calibração e/ou ajuste da frequência de ressonância do equipamento.</v>
      </c>
      <c r="B220" s="2476"/>
      <c r="C220" s="2476"/>
      <c r="D220" s="2476"/>
      <c r="E220" s="2476"/>
      <c r="F220" s="2476"/>
      <c r="G220" s="2476"/>
      <c r="H220" s="2476"/>
      <c r="I220" s="2476"/>
      <c r="J220" s="2476"/>
      <c r="K220" s="34" t="str">
        <f>IF(F89="Não","","x")</f>
        <v>x</v>
      </c>
    </row>
    <row r="221" spans="1:11" ht="15" customHeight="1" x14ac:dyDescent="0.25">
      <c r="A221" s="2476"/>
      <c r="B221" s="2476"/>
      <c r="C221" s="2476"/>
      <c r="D221" s="2476"/>
      <c r="E221" s="2476"/>
      <c r="F221" s="2476"/>
      <c r="G221" s="2476"/>
      <c r="H221" s="2476"/>
      <c r="I221" s="2476"/>
      <c r="J221" s="2476"/>
      <c r="K221" s="34" t="str">
        <f>K220</f>
        <v>x</v>
      </c>
    </row>
    <row r="222" spans="1:11" ht="15" customHeight="1" x14ac:dyDescent="0.25">
      <c r="A222" s="2476"/>
      <c r="B222" s="2476"/>
      <c r="C222" s="2476"/>
      <c r="D222" s="2476"/>
      <c r="E222" s="2476"/>
      <c r="F222" s="2476"/>
      <c r="G222" s="2476"/>
      <c r="H222" s="2476"/>
      <c r="I222" s="2476"/>
      <c r="J222" s="2476"/>
      <c r="K222" s="34" t="str">
        <f>K220</f>
        <v>x</v>
      </c>
    </row>
    <row r="223" spans="1:11" ht="15" customHeight="1" x14ac:dyDescent="0.25">
      <c r="A223" s="2476" t="s">
        <v>2304</v>
      </c>
      <c r="B223" s="2476"/>
      <c r="C223" s="2476"/>
      <c r="D223" s="2476"/>
      <c r="E223" s="2476"/>
      <c r="F223" s="2476"/>
      <c r="G223" s="2476"/>
      <c r="H223" s="2476"/>
      <c r="I223" s="2476"/>
      <c r="J223" s="2476"/>
      <c r="K223" s="34" t="str">
        <f>IF(Ressonância!F233="Não","","x")</f>
        <v>x</v>
      </c>
    </row>
    <row r="224" spans="1:11" ht="15" customHeight="1" x14ac:dyDescent="0.25">
      <c r="A224" s="2476"/>
      <c r="B224" s="2476"/>
      <c r="C224" s="2476"/>
      <c r="D224" s="2476"/>
      <c r="E224" s="2476"/>
      <c r="F224" s="2476"/>
      <c r="G224" s="2476"/>
      <c r="H224" s="2476"/>
      <c r="I224" s="2476"/>
      <c r="J224" s="2476"/>
      <c r="K224" s="34" t="str">
        <f>K223</f>
        <v>x</v>
      </c>
    </row>
    <row r="225" spans="1:11" s="2014" customFormat="1" ht="15" customHeight="1" x14ac:dyDescent="0.25">
      <c r="A225" s="2476"/>
      <c r="B225" s="2476"/>
      <c r="C225" s="2476"/>
      <c r="D225" s="2476"/>
      <c r="E225" s="2476"/>
      <c r="F225" s="2476"/>
      <c r="G225" s="2476"/>
      <c r="H225" s="2476"/>
      <c r="I225" s="2476"/>
      <c r="J225" s="2476"/>
      <c r="K225" s="2014" t="str">
        <f>K223</f>
        <v>x</v>
      </c>
    </row>
    <row r="226" spans="1:11" ht="15" customHeight="1" x14ac:dyDescent="0.25">
      <c r="A226" s="2476"/>
      <c r="B226" s="2476"/>
      <c r="C226" s="2476"/>
      <c r="D226" s="2476"/>
      <c r="E226" s="2476"/>
      <c r="F226" s="2476"/>
      <c r="G226" s="2476"/>
      <c r="H226" s="2476"/>
      <c r="I226" s="2476"/>
      <c r="J226" s="2476"/>
      <c r="K226" s="34" t="str">
        <f>K223</f>
        <v>x</v>
      </c>
    </row>
    <row r="227" spans="1:11" s="2020" customFormat="1" ht="15" customHeight="1" x14ac:dyDescent="0.25">
      <c r="A227" s="2476" t="s">
        <v>2250</v>
      </c>
      <c r="B227" s="2476"/>
      <c r="C227" s="2476"/>
      <c r="D227" s="2476"/>
      <c r="E227" s="2476"/>
      <c r="F227" s="2476"/>
      <c r="G227" s="2476"/>
      <c r="H227" s="2476"/>
      <c r="I227" s="2476"/>
      <c r="J227" s="2476"/>
      <c r="K227" s="2020" t="str">
        <f>IF(COUNTIF(D98:D101,"não")&gt;0,"","x")</f>
        <v>x</v>
      </c>
    </row>
    <row r="228" spans="1:11" s="2020" customFormat="1" ht="15" customHeight="1" x14ac:dyDescent="0.25">
      <c r="A228" s="2476"/>
      <c r="B228" s="2476"/>
      <c r="C228" s="2476"/>
      <c r="D228" s="2476"/>
      <c r="E228" s="2476"/>
      <c r="F228" s="2476"/>
      <c r="G228" s="2476"/>
      <c r="H228" s="2476"/>
      <c r="I228" s="2476"/>
      <c r="J228" s="2476"/>
      <c r="K228" s="2020" t="str">
        <f>K227</f>
        <v>x</v>
      </c>
    </row>
    <row r="229" spans="1:11" s="2020" customFormat="1" ht="15" customHeight="1" x14ac:dyDescent="0.25">
      <c r="A229" s="2476"/>
      <c r="B229" s="2476"/>
      <c r="C229" s="2476"/>
      <c r="D229" s="2476"/>
      <c r="E229" s="2476"/>
      <c r="F229" s="2476"/>
      <c r="G229" s="2476"/>
      <c r="H229" s="2476"/>
      <c r="I229" s="2476"/>
      <c r="J229" s="2476"/>
      <c r="K229" s="2020" t="str">
        <f>K227</f>
        <v>x</v>
      </c>
    </row>
    <row r="230" spans="1:11" s="2020" customFormat="1" ht="15" customHeight="1" x14ac:dyDescent="0.25">
      <c r="A230" s="2476"/>
      <c r="B230" s="2476"/>
      <c r="C230" s="2476"/>
      <c r="D230" s="2476"/>
      <c r="E230" s="2476"/>
      <c r="F230" s="2476"/>
      <c r="G230" s="2476"/>
      <c r="H230" s="2476"/>
      <c r="I230" s="2476"/>
      <c r="J230" s="2476"/>
      <c r="K230" s="2020" t="str">
        <f>K227</f>
        <v>x</v>
      </c>
    </row>
    <row r="231" spans="1:11" ht="15" customHeight="1" x14ac:dyDescent="0.25">
      <c r="A231" s="2476" t="str">
        <f>"                A Homogeneidade do Campo Estático está fora da faixa de tolerância ("&amp;Ressonância!M213&amp;" ppm). A falta de homogeneidade pode ocorrer devido a diversos fatores como imprecisões nas bobinas, perturbações externas devido a estruturas ferromagnéticas, temperatura da sala, etc. Recomenda-se a manutenção corretiva."</f>
        <v xml:space="preserve">                A Homogeneidade do Campo Estático está fora da faixa de tolerância (2 ppm). A falta de homogeneidade pode ocorrer devido a diversos fatores como imprecisões nas bobinas, perturbações externas devido a estruturas ferromagnéticas, temperatura da sala, etc. Recomenda-se a manutenção corretiva.</v>
      </c>
      <c r="B231" s="2476"/>
      <c r="C231" s="2476"/>
      <c r="D231" s="2476"/>
      <c r="E231" s="2476"/>
      <c r="F231" s="2476"/>
      <c r="G231" s="2476"/>
      <c r="H231" s="2476"/>
      <c r="I231" s="2476"/>
      <c r="J231" s="2476"/>
      <c r="K231" s="34" t="str">
        <f>IF(COUNTIF(E111:E120,"Não")&gt;0,"","x")</f>
        <v>x</v>
      </c>
    </row>
    <row r="232" spans="1:11" ht="15" customHeight="1" x14ac:dyDescent="0.25">
      <c r="A232" s="2476"/>
      <c r="B232" s="2476"/>
      <c r="C232" s="2476"/>
      <c r="D232" s="2476"/>
      <c r="E232" s="2476"/>
      <c r="F232" s="2476"/>
      <c r="G232" s="2476"/>
      <c r="H232" s="2476"/>
      <c r="I232" s="2476"/>
      <c r="J232" s="2476"/>
      <c r="K232" s="34" t="str">
        <f>K231</f>
        <v>x</v>
      </c>
    </row>
    <row r="233" spans="1:11" ht="15" customHeight="1" x14ac:dyDescent="0.25">
      <c r="A233" s="2476"/>
      <c r="B233" s="2476"/>
      <c r="C233" s="2476"/>
      <c r="D233" s="2476"/>
      <c r="E233" s="2476"/>
      <c r="F233" s="2476"/>
      <c r="G233" s="2476"/>
      <c r="H233" s="2476"/>
      <c r="I233" s="2476"/>
      <c r="J233" s="2476"/>
      <c r="K233" s="34" t="str">
        <f>K231</f>
        <v>x</v>
      </c>
    </row>
    <row r="234" spans="1:11" ht="15" customHeight="1" x14ac:dyDescent="0.25">
      <c r="A234" s="2476"/>
      <c r="B234" s="2476"/>
      <c r="C234" s="2476"/>
      <c r="D234" s="2476"/>
      <c r="E234" s="2476"/>
      <c r="F234" s="2476"/>
      <c r="G234" s="2476"/>
      <c r="H234" s="2476"/>
      <c r="I234" s="2476"/>
      <c r="J234" s="2476"/>
      <c r="K234" s="34" t="str">
        <f>K231</f>
        <v>x</v>
      </c>
    </row>
    <row r="235" spans="1:11" ht="15" customHeight="1" x14ac:dyDescent="0.25">
      <c r="A235" s="2476" t="str">
        <f>"                A razão sinal-ruído está fora da faixa de tolerância especificada pelo fabricante ("&amp;Ressonância!G179*100&amp;"%). Possíveis problemas nas bobinas, amplificadores ou receptores de sinal devem ser avaliados pelo serviço de manutenção corretiva."&amp;" Outra possibilidade a ser verificada são influências eletromagnéticas externas causadas por possível falha na integridade da blindagem eletromagnética da sala."</f>
        <v xml:space="preserve">                A razão sinal-ruído está fora da faixa de tolerância especificada pelo fabricante (0%). Possíveis problemas nas bobinas, amplificadores ou receptores de sinal devem ser avaliados pelo serviço de manutenção corretiva. Outra possibilidade a ser verificada são influências eletromagnéticas externas causadas por possível falha na integridade da blindagem eletromagnética da sala.</v>
      </c>
      <c r="B235" s="2476"/>
      <c r="C235" s="2476"/>
      <c r="D235" s="2476"/>
      <c r="E235" s="2476"/>
      <c r="F235" s="2476"/>
      <c r="G235" s="2476"/>
      <c r="H235" s="2476"/>
      <c r="I235" s="2476"/>
      <c r="J235" s="2476"/>
      <c r="K235" s="34" t="str">
        <f>IF(COUNTIF(G111:G120,"Não")&gt;0,"","x")</f>
        <v>x</v>
      </c>
    </row>
    <row r="236" spans="1:11" ht="15" customHeight="1" x14ac:dyDescent="0.25">
      <c r="A236" s="2476"/>
      <c r="B236" s="2476"/>
      <c r="C236" s="2476"/>
      <c r="D236" s="2476"/>
      <c r="E236" s="2476"/>
      <c r="F236" s="2476"/>
      <c r="G236" s="2476"/>
      <c r="H236" s="2476"/>
      <c r="I236" s="2476"/>
      <c r="J236" s="2476"/>
      <c r="K236" s="34" t="str">
        <f>K235</f>
        <v>x</v>
      </c>
    </row>
    <row r="237" spans="1:11" ht="15" customHeight="1" x14ac:dyDescent="0.25">
      <c r="A237" s="2476"/>
      <c r="B237" s="2476"/>
      <c r="C237" s="2476"/>
      <c r="D237" s="2476"/>
      <c r="E237" s="2476"/>
      <c r="F237" s="2476"/>
      <c r="G237" s="2476"/>
      <c r="H237" s="2476"/>
      <c r="I237" s="2476"/>
      <c r="J237" s="2476"/>
      <c r="K237" s="34" t="str">
        <f>K235</f>
        <v>x</v>
      </c>
    </row>
    <row r="238" spans="1:11" ht="15" customHeight="1" x14ac:dyDescent="0.25">
      <c r="A238" s="2476"/>
      <c r="B238" s="2476"/>
      <c r="C238" s="2476"/>
      <c r="D238" s="2476"/>
      <c r="E238" s="2476"/>
      <c r="F238" s="2476"/>
      <c r="G238" s="2476"/>
      <c r="H238" s="2476"/>
      <c r="I238" s="2476"/>
      <c r="J238" s="2476"/>
      <c r="K238" s="34" t="str">
        <f>K235</f>
        <v>x</v>
      </c>
    </row>
    <row r="239" spans="1:11" ht="15" customHeight="1" x14ac:dyDescent="0.25">
      <c r="A239" s="2476" t="s">
        <v>2277</v>
      </c>
      <c r="B239" s="2476"/>
      <c r="C239" s="2476"/>
      <c r="D239" s="2476"/>
      <c r="E239" s="2476"/>
      <c r="F239" s="2476"/>
      <c r="G239" s="2476"/>
      <c r="H239" s="2476"/>
      <c r="I239" s="2476"/>
      <c r="J239" s="2476"/>
      <c r="K239" s="34" t="str">
        <f>IF(COUNTIF(D132:D136,"Não")&gt;0,"","x")</f>
        <v>x</v>
      </c>
    </row>
    <row r="240" spans="1:11" ht="15" customHeight="1" x14ac:dyDescent="0.25">
      <c r="A240" s="2476"/>
      <c r="B240" s="2476"/>
      <c r="C240" s="2476"/>
      <c r="D240" s="2476"/>
      <c r="E240" s="2476"/>
      <c r="F240" s="2476"/>
      <c r="G240" s="2476"/>
      <c r="H240" s="2476"/>
      <c r="I240" s="2476"/>
      <c r="J240" s="2476"/>
      <c r="K240" s="34" t="str">
        <f>K239</f>
        <v>x</v>
      </c>
    </row>
    <row r="241" spans="1:11" ht="15" customHeight="1" x14ac:dyDescent="0.25">
      <c r="A241" s="2476"/>
      <c r="B241" s="2476"/>
      <c r="C241" s="2476"/>
      <c r="D241" s="2476"/>
      <c r="E241" s="2476"/>
      <c r="F241" s="2476"/>
      <c r="G241" s="2476"/>
      <c r="H241" s="2476"/>
      <c r="I241" s="2476"/>
      <c r="J241" s="2476"/>
      <c r="K241" s="34" t="str">
        <f>K239</f>
        <v>x</v>
      </c>
    </row>
    <row r="242" spans="1:11" ht="15" customHeight="1" x14ac:dyDescent="0.25">
      <c r="A242" s="2476" t="s">
        <v>2278</v>
      </c>
      <c r="B242" s="2476"/>
      <c r="C242" s="2476"/>
      <c r="D242" s="2476"/>
      <c r="E242" s="2476"/>
      <c r="F242" s="2476"/>
      <c r="G242" s="2476"/>
      <c r="H242" s="2476"/>
      <c r="I242" s="2476"/>
      <c r="J242" s="2476"/>
      <c r="K242" s="34" t="str">
        <f>IF(COUNTIF(F132:F136,"Não")&gt;0,"","X")</f>
        <v>X</v>
      </c>
    </row>
    <row r="243" spans="1:11" ht="15" customHeight="1" x14ac:dyDescent="0.25">
      <c r="A243" s="2476"/>
      <c r="B243" s="2476"/>
      <c r="C243" s="2476"/>
      <c r="D243" s="2476"/>
      <c r="E243" s="2476"/>
      <c r="F243" s="2476"/>
      <c r="G243" s="2476"/>
      <c r="H243" s="2476"/>
      <c r="I243" s="2476"/>
      <c r="J243" s="2476"/>
      <c r="K243" s="34" t="str">
        <f>K242</f>
        <v>X</v>
      </c>
    </row>
    <row r="244" spans="1:11" ht="15" customHeight="1" x14ac:dyDescent="0.25">
      <c r="A244" s="2476"/>
      <c r="B244" s="2476"/>
      <c r="C244" s="2476"/>
      <c r="D244" s="2476"/>
      <c r="E244" s="2476"/>
      <c r="F244" s="2476"/>
      <c r="G244" s="2476"/>
      <c r="H244" s="2476"/>
      <c r="I244" s="2476"/>
      <c r="J244" s="2476"/>
      <c r="K244" s="34" t="str">
        <f>K242</f>
        <v>X</v>
      </c>
    </row>
    <row r="245" spans="1:11" ht="15" customHeight="1" x14ac:dyDescent="0.25">
      <c r="A245" s="2469" t="s">
        <v>2280</v>
      </c>
      <c r="B245" s="2469"/>
      <c r="C245" s="2469"/>
      <c r="D245" s="2469"/>
      <c r="E245" s="2469"/>
      <c r="F245" s="2469"/>
      <c r="G245" s="2469"/>
      <c r="H245" s="2469"/>
      <c r="I245" s="2469"/>
      <c r="J245" s="2469"/>
      <c r="K245" s="2018" t="str">
        <f>IF(COUNTIF(I132:I136,"Não")&gt;0,"","x")</f>
        <v>x</v>
      </c>
    </row>
    <row r="246" spans="1:11" ht="15" customHeight="1" x14ac:dyDescent="0.25">
      <c r="A246" s="2469"/>
      <c r="B246" s="2469"/>
      <c r="C246" s="2469"/>
      <c r="D246" s="2469"/>
      <c r="E246" s="2469"/>
      <c r="F246" s="2469"/>
      <c r="G246" s="2469"/>
      <c r="H246" s="2469"/>
      <c r="I246" s="2469"/>
      <c r="J246" s="2469"/>
      <c r="K246" s="2018" t="str">
        <f>K245</f>
        <v>x</v>
      </c>
    </row>
    <row r="247" spans="1:11" ht="15" customHeight="1" x14ac:dyDescent="0.25">
      <c r="A247" s="2469"/>
      <c r="B247" s="2469"/>
      <c r="C247" s="2469"/>
      <c r="D247" s="2469"/>
      <c r="E247" s="2469"/>
      <c r="F247" s="2469"/>
      <c r="G247" s="2469"/>
      <c r="H247" s="2469"/>
      <c r="I247" s="2469"/>
      <c r="J247" s="2469"/>
      <c r="K247" s="2018" t="str">
        <f>K245</f>
        <v>x</v>
      </c>
    </row>
    <row r="248" spans="1:11" ht="15" customHeight="1" x14ac:dyDescent="0.25">
      <c r="A248" s="2469" t="str">
        <f>"                A resolução de alto contraste está fora da faixa de tolerância ("&amp;Ressonância!C114&amp;" mm). A origem devem ser investigada pela equipe do serviço. Recomenda-se a calibração do equipamento."</f>
        <v xml:space="preserve">                A resolução de alto contraste está fora da faixa de tolerância (1 mm). A origem devem ser investigada pela equipe do serviço. Recomenda-se a calibração do equipamento.</v>
      </c>
      <c r="B248" s="2469"/>
      <c r="C248" s="2469"/>
      <c r="D248" s="2469"/>
      <c r="E248" s="2469"/>
      <c r="F248" s="2469"/>
      <c r="G248" s="2469"/>
      <c r="H248" s="2469"/>
      <c r="I248" s="2469"/>
      <c r="J248" s="2469"/>
      <c r="K248" s="2018" t="str">
        <f>IF(COUNTIF(E147:E150,"Não")&gt;0,"","x")</f>
        <v>x</v>
      </c>
    </row>
    <row r="249" spans="1:11" ht="15" customHeight="1" x14ac:dyDescent="0.25">
      <c r="A249" s="2469"/>
      <c r="B249" s="2469"/>
      <c r="C249" s="2469"/>
      <c r="D249" s="2469"/>
      <c r="E249" s="2469"/>
      <c r="F249" s="2469"/>
      <c r="G249" s="2469"/>
      <c r="H249" s="2469"/>
      <c r="I249" s="2469"/>
      <c r="J249" s="2469"/>
      <c r="K249" s="2018" t="str">
        <f>K248</f>
        <v>x</v>
      </c>
    </row>
    <row r="250" spans="1:11" ht="15" customHeight="1" x14ac:dyDescent="0.25">
      <c r="A250" s="2469" t="str">
        <f>"                A uniformidade da imagem está fora da faixa de tolerância ("&amp;Ressonância!E133*100&amp;" %). A origem devem ser investigada e corrigida pela equipe do serviço."</f>
        <v xml:space="preserve">                A uniformidade da imagem está fora da faixa de tolerância (85 %). A origem devem ser investigada e corrigida pela equipe do serviço.</v>
      </c>
      <c r="B250" s="2469"/>
      <c r="C250" s="2469"/>
      <c r="D250" s="2469"/>
      <c r="E250" s="2469"/>
      <c r="F250" s="2469"/>
      <c r="G250" s="2469"/>
      <c r="H250" s="2469"/>
      <c r="I250" s="2469"/>
      <c r="J250" s="2469"/>
      <c r="K250" s="2018" t="str">
        <f>IF(COUNTIF(G147:G150,"Não")&gt;0,"","x")</f>
        <v>x</v>
      </c>
    </row>
    <row r="251" spans="1:11" ht="15" customHeight="1" x14ac:dyDescent="0.25">
      <c r="A251" s="2469"/>
      <c r="B251" s="2469"/>
      <c r="C251" s="2469"/>
      <c r="D251" s="2469"/>
      <c r="E251" s="2469"/>
      <c r="F251" s="2469"/>
      <c r="G251" s="2469"/>
      <c r="H251" s="2469"/>
      <c r="I251" s="2469"/>
      <c r="J251" s="2469"/>
      <c r="K251" s="2018" t="str">
        <f>K250</f>
        <v>x</v>
      </c>
    </row>
    <row r="252" spans="1:11" ht="15" customHeight="1" x14ac:dyDescent="0.25">
      <c r="A252" s="2476" t="str">
        <f>"                "&amp;IF(COUNTBLANK(K205:K251)&gt;0,"Para os demais itens avaliados o equipamento atende aos requisitos da Instrução Normativa ","O equipamento atende aos requisitos da Instrução Normativa ")&amp;VLOOKUP("Ressonância Magnética",IN_ANVISA[],2)&amp;"/"&amp;VLOOKUP("Ressonância Magnética",IN_ANVISA[],3)&amp;" da ANVISA."</f>
        <v xml:space="preserve">                O equipamento atende aos requisitos da Instrução Normativa 97/2021 da ANVISA.</v>
      </c>
      <c r="B252" s="2476"/>
      <c r="C252" s="2476"/>
      <c r="D252" s="2476"/>
      <c r="E252" s="2476"/>
      <c r="F252" s="2476"/>
      <c r="G252" s="2476"/>
      <c r="H252" s="2476"/>
      <c r="I252" s="2476"/>
      <c r="J252" s="2476"/>
      <c r="K252" s="2018"/>
    </row>
    <row r="253" spans="1:11" ht="15" customHeight="1" x14ac:dyDescent="0.25">
      <c r="A253" s="2476"/>
      <c r="B253" s="2476"/>
      <c r="C253" s="2476"/>
      <c r="D253" s="2476"/>
      <c r="E253" s="2476"/>
      <c r="F253" s="2476"/>
      <c r="G253" s="2476"/>
      <c r="H253" s="2476"/>
      <c r="I253" s="2476"/>
      <c r="J253" s="2476"/>
      <c r="K253" s="2018"/>
    </row>
    <row r="254" spans="1:11" ht="15" customHeight="1" x14ac:dyDescent="0.25">
      <c r="A254" s="2476"/>
      <c r="B254" s="2476"/>
      <c r="C254" s="2476"/>
      <c r="D254" s="2476"/>
      <c r="E254" s="2476"/>
      <c r="F254" s="2476"/>
      <c r="G254" s="2476"/>
      <c r="H254" s="2476"/>
      <c r="I254" s="2476"/>
      <c r="J254" s="2476"/>
      <c r="K254" s="2018"/>
    </row>
    <row r="255" spans="1:11" x14ac:dyDescent="0.25">
      <c r="K255" s="2018"/>
    </row>
    <row r="256" spans="1:11" x14ac:dyDescent="0.25">
      <c r="K256" s="2018"/>
    </row>
    <row r="257" spans="11:11" x14ac:dyDescent="0.25">
      <c r="K257" s="2018"/>
    </row>
    <row r="258" spans="11:11" x14ac:dyDescent="0.25">
      <c r="K258" s="2018"/>
    </row>
    <row r="259" spans="11:11" x14ac:dyDescent="0.25">
      <c r="K259" s="2018"/>
    </row>
    <row r="260" spans="11:11" x14ac:dyDescent="0.25">
      <c r="K260" s="2018"/>
    </row>
    <row r="261" spans="11:11" x14ac:dyDescent="0.25">
      <c r="K261" s="2018"/>
    </row>
  </sheetData>
  <autoFilter ref="K1:K269"/>
  <mergeCells count="180">
    <mergeCell ref="A88:C88"/>
    <mergeCell ref="D88:E88"/>
    <mergeCell ref="A205:J205"/>
    <mergeCell ref="A206:J209"/>
    <mergeCell ref="G131:H131"/>
    <mergeCell ref="G132:H132"/>
    <mergeCell ref="G133:H133"/>
    <mergeCell ref="G134:H134"/>
    <mergeCell ref="G135:H135"/>
    <mergeCell ref="G136:H136"/>
    <mergeCell ref="A177:J177"/>
    <mergeCell ref="A132:B132"/>
    <mergeCell ref="A133:B133"/>
    <mergeCell ref="A134:B134"/>
    <mergeCell ref="A135:B135"/>
    <mergeCell ref="A136:B136"/>
    <mergeCell ref="A137:J137"/>
    <mergeCell ref="A176:J176"/>
    <mergeCell ref="A178:J180"/>
    <mergeCell ref="A157:J158"/>
    <mergeCell ref="A161:J165"/>
    <mergeCell ref="A168:J169"/>
    <mergeCell ref="A184:J186"/>
    <mergeCell ref="A105:J106"/>
    <mergeCell ref="D89:E89"/>
    <mergeCell ref="A89:C89"/>
    <mergeCell ref="A90:J90"/>
    <mergeCell ref="A146:B146"/>
    <mergeCell ref="A147:B147"/>
    <mergeCell ref="A148:B148"/>
    <mergeCell ref="A149:B149"/>
    <mergeCell ref="A150:B150"/>
    <mergeCell ref="A151:J151"/>
    <mergeCell ref="C146:D146"/>
    <mergeCell ref="C147:D147"/>
    <mergeCell ref="C148:D148"/>
    <mergeCell ref="C149:D149"/>
    <mergeCell ref="C150:D150"/>
    <mergeCell ref="C107:J107"/>
    <mergeCell ref="C108:J108"/>
    <mergeCell ref="B138:J138"/>
    <mergeCell ref="B139:J139"/>
    <mergeCell ref="B140:J140"/>
    <mergeCell ref="D80:J82"/>
    <mergeCell ref="A220:J222"/>
    <mergeCell ref="A173:J175"/>
    <mergeCell ref="A98:B98"/>
    <mergeCell ref="A99:B99"/>
    <mergeCell ref="A100:B100"/>
    <mergeCell ref="A101:B101"/>
    <mergeCell ref="A97:B97"/>
    <mergeCell ref="A110:B110"/>
    <mergeCell ref="A111:B111"/>
    <mergeCell ref="A112:B112"/>
    <mergeCell ref="A113:B113"/>
    <mergeCell ref="A114:B114"/>
    <mergeCell ref="A115:B115"/>
    <mergeCell ref="A116:B116"/>
    <mergeCell ref="A117:B117"/>
    <mergeCell ref="A118:B118"/>
    <mergeCell ref="A119:B119"/>
    <mergeCell ref="A120:B120"/>
    <mergeCell ref="A102:J102"/>
    <mergeCell ref="A121:J121"/>
    <mergeCell ref="A131:B131"/>
    <mergeCell ref="A80:C80"/>
    <mergeCell ref="A170:J172"/>
    <mergeCell ref="A55:E55"/>
    <mergeCell ref="G55:I55"/>
    <mergeCell ref="A68:C68"/>
    <mergeCell ref="D68:J70"/>
    <mergeCell ref="A71:C71"/>
    <mergeCell ref="D71:J73"/>
    <mergeCell ref="A74:C74"/>
    <mergeCell ref="D74:J76"/>
    <mergeCell ref="C17:J17"/>
    <mergeCell ref="A22:J23"/>
    <mergeCell ref="A24:J25"/>
    <mergeCell ref="A29:J31"/>
    <mergeCell ref="A32:J33"/>
    <mergeCell ref="A54:E54"/>
    <mergeCell ref="G54:I54"/>
    <mergeCell ref="A61:E61"/>
    <mergeCell ref="G61:I61"/>
    <mergeCell ref="A64:I64"/>
    <mergeCell ref="A56:E56"/>
    <mergeCell ref="G59:I59"/>
    <mergeCell ref="A59:E59"/>
    <mergeCell ref="G58:I58"/>
    <mergeCell ref="A63:E63"/>
    <mergeCell ref="G63:I63"/>
    <mergeCell ref="A1:D1"/>
    <mergeCell ref="E1:H1"/>
    <mergeCell ref="A3:J3"/>
    <mergeCell ref="A5:J5"/>
    <mergeCell ref="C9:J10"/>
    <mergeCell ref="C12:J13"/>
    <mergeCell ref="A43:D43"/>
    <mergeCell ref="E43:J43"/>
    <mergeCell ref="A44:D44"/>
    <mergeCell ref="E44:J44"/>
    <mergeCell ref="A34:J35"/>
    <mergeCell ref="A39:C39"/>
    <mergeCell ref="D39:F39"/>
    <mergeCell ref="G39:H39"/>
    <mergeCell ref="I39:J39"/>
    <mergeCell ref="A40:C41"/>
    <mergeCell ref="D40:F41"/>
    <mergeCell ref="G40:H41"/>
    <mergeCell ref="I40:J41"/>
    <mergeCell ref="A57:E57"/>
    <mergeCell ref="A58:E58"/>
    <mergeCell ref="G57:I57"/>
    <mergeCell ref="A60:E60"/>
    <mergeCell ref="A62:E62"/>
    <mergeCell ref="G60:I60"/>
    <mergeCell ref="G62:I62"/>
    <mergeCell ref="G56:I56"/>
    <mergeCell ref="A77:C77"/>
    <mergeCell ref="D77:J79"/>
    <mergeCell ref="A223:J226"/>
    <mergeCell ref="A181:J181"/>
    <mergeCell ref="A248:J249"/>
    <mergeCell ref="A250:J251"/>
    <mergeCell ref="A252:J254"/>
    <mergeCell ref="A231:J234"/>
    <mergeCell ref="A235:J238"/>
    <mergeCell ref="A239:J241"/>
    <mergeCell ref="A245:J247"/>
    <mergeCell ref="A242:J244"/>
    <mergeCell ref="A210:J211"/>
    <mergeCell ref="A212:J214"/>
    <mergeCell ref="A215:J216"/>
    <mergeCell ref="A217:J219"/>
    <mergeCell ref="A227:J230"/>
    <mergeCell ref="A182:J183"/>
    <mergeCell ref="A190:E190"/>
    <mergeCell ref="F190:G190"/>
    <mergeCell ref="I190:J190"/>
    <mergeCell ref="A191:E191"/>
    <mergeCell ref="F191:G191"/>
    <mergeCell ref="I191:J191"/>
    <mergeCell ref="A192:E192"/>
    <mergeCell ref="F192:G192"/>
    <mergeCell ref="F198:G198"/>
    <mergeCell ref="I198:J198"/>
    <mergeCell ref="I192:J192"/>
    <mergeCell ref="A193:E193"/>
    <mergeCell ref="F193:G193"/>
    <mergeCell ref="I193:J193"/>
    <mergeCell ref="A194:E194"/>
    <mergeCell ref="F194:G194"/>
    <mergeCell ref="I194:J194"/>
    <mergeCell ref="A195:E195"/>
    <mergeCell ref="F195:G195"/>
    <mergeCell ref="I195:J195"/>
    <mergeCell ref="B152:J152"/>
    <mergeCell ref="B153:J153"/>
    <mergeCell ref="A201:J201"/>
    <mergeCell ref="A47:D47"/>
    <mergeCell ref="A48:D48"/>
    <mergeCell ref="A49:D49"/>
    <mergeCell ref="B91:J91"/>
    <mergeCell ref="B103:J103"/>
    <mergeCell ref="B122:J122"/>
    <mergeCell ref="B123:J123"/>
    <mergeCell ref="B124:J124"/>
    <mergeCell ref="A199:E199"/>
    <mergeCell ref="F199:G199"/>
    <mergeCell ref="I199:J199"/>
    <mergeCell ref="A200:E200"/>
    <mergeCell ref="F200:G200"/>
    <mergeCell ref="I200:J200"/>
    <mergeCell ref="A196:E196"/>
    <mergeCell ref="F196:G196"/>
    <mergeCell ref="I196:J196"/>
    <mergeCell ref="A197:E197"/>
    <mergeCell ref="F197:G197"/>
    <mergeCell ref="I197:J197"/>
    <mergeCell ref="A198:E198"/>
  </mergeCells>
  <conditionalFormatting sqref="G55:G63">
    <cfRule type="cellIs" dxfId="268" priority="50" operator="equal">
      <formula>"não"</formula>
    </cfRule>
  </conditionalFormatting>
  <conditionalFormatting sqref="G55:G63">
    <cfRule type="containsText" dxfId="267" priority="49" operator="containsText" text="não">
      <formula>NOT(ISERROR(SEARCH("não",G55)))</formula>
    </cfRule>
  </conditionalFormatting>
  <conditionalFormatting sqref="D98:D101">
    <cfRule type="cellIs" dxfId="266" priority="48" operator="equal">
      <formula>"não"</formula>
    </cfRule>
  </conditionalFormatting>
  <conditionalFormatting sqref="D98:D101">
    <cfRule type="containsText" dxfId="265" priority="47" operator="containsText" text="não">
      <formula>NOT(ISERROR(SEARCH("não",D98)))</formula>
    </cfRule>
  </conditionalFormatting>
  <conditionalFormatting sqref="D98:D101">
    <cfRule type="cellIs" dxfId="264" priority="46" operator="equal">
      <formula>"Restrição"</formula>
    </cfRule>
  </conditionalFormatting>
  <conditionalFormatting sqref="E111:E120">
    <cfRule type="cellIs" dxfId="263" priority="45" operator="equal">
      <formula>"não"</formula>
    </cfRule>
  </conditionalFormatting>
  <conditionalFormatting sqref="E111:E120">
    <cfRule type="containsText" dxfId="262" priority="44" operator="containsText" text="não">
      <formula>NOT(ISERROR(SEARCH("não",E111)))</formula>
    </cfRule>
  </conditionalFormatting>
  <conditionalFormatting sqref="E111:E120">
    <cfRule type="cellIs" dxfId="261" priority="43" operator="equal">
      <formula>"Restrição"</formula>
    </cfRule>
  </conditionalFormatting>
  <conditionalFormatting sqref="G111:G120">
    <cfRule type="cellIs" dxfId="260" priority="42" operator="equal">
      <formula>"não"</formula>
    </cfRule>
  </conditionalFormatting>
  <conditionalFormatting sqref="G111:G120">
    <cfRule type="containsText" dxfId="259" priority="41" operator="containsText" text="não">
      <formula>NOT(ISERROR(SEARCH("não",G111)))</formula>
    </cfRule>
  </conditionalFormatting>
  <conditionalFormatting sqref="G111:G120">
    <cfRule type="cellIs" dxfId="258" priority="40" operator="equal">
      <formula>"Restrição"</formula>
    </cfRule>
  </conditionalFormatting>
  <conditionalFormatting sqref="I111:I120">
    <cfRule type="cellIs" dxfId="257" priority="39" operator="equal">
      <formula>"não"</formula>
    </cfRule>
  </conditionalFormatting>
  <conditionalFormatting sqref="I111:I120">
    <cfRule type="containsText" dxfId="256" priority="38" operator="containsText" text="não">
      <formula>NOT(ISERROR(SEARCH("não",I111)))</formula>
    </cfRule>
  </conditionalFormatting>
  <conditionalFormatting sqref="I111:I120">
    <cfRule type="cellIs" dxfId="255" priority="37" operator="equal">
      <formula>"Restrição"</formula>
    </cfRule>
  </conditionalFormatting>
  <conditionalFormatting sqref="F133:F136">
    <cfRule type="cellIs" dxfId="254" priority="30" operator="equal">
      <formula>"não"</formula>
    </cfRule>
  </conditionalFormatting>
  <conditionalFormatting sqref="F133:F136">
    <cfRule type="containsText" dxfId="253" priority="29" operator="containsText" text="não">
      <formula>NOT(ISERROR(SEARCH("não",F133)))</formula>
    </cfRule>
  </conditionalFormatting>
  <conditionalFormatting sqref="F133:F136">
    <cfRule type="cellIs" dxfId="252" priority="28" operator="equal">
      <formula>"Restrição"</formula>
    </cfRule>
  </conditionalFormatting>
  <conditionalFormatting sqref="D133:D136">
    <cfRule type="cellIs" dxfId="251" priority="33" operator="equal">
      <formula>"não"</formula>
    </cfRule>
  </conditionalFormatting>
  <conditionalFormatting sqref="D133:D136">
    <cfRule type="containsText" dxfId="250" priority="32" operator="containsText" text="não">
      <formula>NOT(ISERROR(SEARCH("não",D133)))</formula>
    </cfRule>
  </conditionalFormatting>
  <conditionalFormatting sqref="D133:D136">
    <cfRule type="cellIs" dxfId="249" priority="31" operator="equal">
      <formula>"Restrição"</formula>
    </cfRule>
  </conditionalFormatting>
  <conditionalFormatting sqref="E147:E150">
    <cfRule type="cellIs" dxfId="248" priority="18" operator="equal">
      <formula>"não"</formula>
    </cfRule>
  </conditionalFormatting>
  <conditionalFormatting sqref="E147:E150">
    <cfRule type="containsText" dxfId="247" priority="17" operator="containsText" text="não">
      <formula>NOT(ISERROR(SEARCH("não",E147)))</formula>
    </cfRule>
  </conditionalFormatting>
  <conditionalFormatting sqref="E147:E150">
    <cfRule type="cellIs" dxfId="246" priority="16" operator="equal">
      <formula>"Restrição"</formula>
    </cfRule>
  </conditionalFormatting>
  <conditionalFormatting sqref="I132:I136">
    <cfRule type="cellIs" dxfId="245" priority="12" operator="equal">
      <formula>"não"</formula>
    </cfRule>
  </conditionalFormatting>
  <conditionalFormatting sqref="I132:I136">
    <cfRule type="containsText" dxfId="244" priority="11" operator="containsText" text="não">
      <formula>NOT(ISERROR(SEARCH("não",I132)))</formula>
    </cfRule>
  </conditionalFormatting>
  <conditionalFormatting sqref="I132:I136">
    <cfRule type="cellIs" dxfId="243" priority="10" operator="equal">
      <formula>"Restrição"</formula>
    </cfRule>
  </conditionalFormatting>
  <conditionalFormatting sqref="G147:G150">
    <cfRule type="cellIs" dxfId="242" priority="9" operator="equal">
      <formula>"não"</formula>
    </cfRule>
  </conditionalFormatting>
  <conditionalFormatting sqref="G147:G150">
    <cfRule type="containsText" dxfId="241" priority="8" operator="containsText" text="não">
      <formula>NOT(ISERROR(SEARCH("não",G147)))</formula>
    </cfRule>
  </conditionalFormatting>
  <conditionalFormatting sqref="G147:G150">
    <cfRule type="cellIs" dxfId="240" priority="7" operator="equal">
      <formula>"Restrição"</formula>
    </cfRule>
  </conditionalFormatting>
  <conditionalFormatting sqref="J110:J120">
    <cfRule type="notContainsBlanks" dxfId="239" priority="6">
      <formula>LEN(TRIM(J110))&gt;0</formula>
    </cfRule>
  </conditionalFormatting>
  <conditionalFormatting sqref="F89">
    <cfRule type="cellIs" dxfId="238" priority="5" operator="equal">
      <formula>"não"</formula>
    </cfRule>
  </conditionalFormatting>
  <conditionalFormatting sqref="F89">
    <cfRule type="containsText" dxfId="237" priority="4" operator="containsText" text="não">
      <formula>NOT(ISERROR(SEARCH("não",F89)))</formula>
    </cfRule>
  </conditionalFormatting>
  <conditionalFormatting sqref="F89">
    <cfRule type="cellIs" dxfId="236" priority="3" operator="equal">
      <formula>"Restrição"</formula>
    </cfRule>
  </conditionalFormatting>
  <conditionalFormatting sqref="I191:J200">
    <cfRule type="cellIs" dxfId="235" priority="1" operator="equal">
      <formula>"RESTRIÇÃO"</formula>
    </cfRule>
    <cfRule type="cellIs" dxfId="234" priority="2" operator="equal">
      <formula>"Não Conforme"</formula>
    </cfRule>
  </conditionalFormatting>
  <pageMargins left="0.511811024" right="0.511811024" top="0.78740157499999996" bottom="0.78740157499999996" header="0.31496062000000002" footer="0.31496062000000002"/>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L404"/>
  <sheetViews>
    <sheetView view="pageBreakPreview" zoomScale="130" zoomScaleNormal="100" zoomScaleSheetLayoutView="130" workbookViewId="0">
      <pane ySplit="1" topLeftCell="A368" activePane="bottomLeft" state="frozen"/>
      <selection activeCell="C12" sqref="C12:J13"/>
      <selection pane="bottomLeft" activeCell="G373" sqref="G373"/>
    </sheetView>
  </sheetViews>
  <sheetFormatPr defaultColWidth="9.140625" defaultRowHeight="15" customHeight="1" x14ac:dyDescent="0.25"/>
  <cols>
    <col min="1" max="3" width="9.140625" style="2259" customWidth="1"/>
    <col min="4" max="8" width="8.42578125" style="2259" customWidth="1"/>
    <col min="9" max="9" width="9.140625" style="2259"/>
    <col min="10" max="10" width="9.140625" style="2259" customWidth="1"/>
    <col min="11" max="16384" width="9.140625" style="2259"/>
  </cols>
  <sheetData>
    <row r="1" spans="1:11" s="1873" customFormat="1" ht="15" customHeight="1" x14ac:dyDescent="0.25">
      <c r="A1" s="2751" t="e">
        <f>Cabeçalho!B6</f>
        <v>#N/A</v>
      </c>
      <c r="B1" s="2751"/>
      <c r="C1" s="2751"/>
      <c r="D1" s="2751"/>
      <c r="E1" s="3055" t="s">
        <v>950</v>
      </c>
      <c r="F1" s="3055"/>
      <c r="G1" s="3055"/>
      <c r="H1" s="2261"/>
      <c r="I1" s="2258" t="s">
        <v>341</v>
      </c>
      <c r="J1" s="2245" t="e">
        <f>IF(Cabeçalho!B12="","",Cabeçalho!B12)</f>
        <v>#N/A</v>
      </c>
      <c r="K1" s="1668" t="s">
        <v>676</v>
      </c>
    </row>
    <row r="3" spans="1:11" ht="15" customHeight="1" x14ac:dyDescent="0.25">
      <c r="A3" s="3056" t="s">
        <v>347</v>
      </c>
      <c r="B3" s="3056"/>
      <c r="C3" s="3056"/>
      <c r="D3" s="3056"/>
      <c r="E3" s="3056"/>
      <c r="F3" s="3056"/>
      <c r="G3" s="3056"/>
      <c r="H3" s="3056"/>
      <c r="I3" s="3056"/>
      <c r="J3" s="3056"/>
    </row>
    <row r="5" spans="1:11" ht="15" customHeight="1" x14ac:dyDescent="0.25">
      <c r="A5" s="3056" t="s">
        <v>114</v>
      </c>
      <c r="B5" s="3056"/>
      <c r="C5" s="3056"/>
      <c r="D5" s="3056"/>
      <c r="E5" s="3056"/>
      <c r="F5" s="3056"/>
      <c r="G5" s="3056"/>
      <c r="H5" s="3056"/>
      <c r="I5" s="3056"/>
      <c r="J5" s="3056"/>
    </row>
    <row r="9" spans="1:11" ht="15" customHeight="1" x14ac:dyDescent="0.25">
      <c r="C9" s="2790" t="e">
        <f>Cabeçalho!B6</f>
        <v>#N/A</v>
      </c>
      <c r="D9" s="2790"/>
      <c r="E9" s="2790"/>
      <c r="F9" s="2790"/>
      <c r="G9" s="2790"/>
      <c r="H9" s="2790"/>
      <c r="I9" s="2790"/>
      <c r="J9" s="2790"/>
    </row>
    <row r="10" spans="1:11" ht="15" customHeight="1" x14ac:dyDescent="0.25">
      <c r="C10" s="2790"/>
      <c r="D10" s="2790"/>
      <c r="E10" s="2790"/>
      <c r="F10" s="2790"/>
      <c r="G10" s="2790"/>
      <c r="H10" s="2790"/>
      <c r="I10" s="2790"/>
      <c r="J10" s="2790"/>
    </row>
    <row r="11" spans="1:11" ht="15" customHeight="1" x14ac:dyDescent="0.25">
      <c r="B11" s="1868"/>
      <c r="C11" s="1868"/>
      <c r="D11" s="1868"/>
      <c r="E11" s="1868"/>
      <c r="F11" s="1868"/>
      <c r="G11" s="1868"/>
      <c r="H11" s="1868"/>
    </row>
    <row r="12" spans="1:11" ht="15" customHeight="1" x14ac:dyDescent="0.25">
      <c r="C12" s="2784" t="e">
        <f>Cabeçalho!B7</f>
        <v>#N/A</v>
      </c>
      <c r="D12" s="2784"/>
      <c r="E12" s="2784"/>
      <c r="F12" s="2784"/>
      <c r="G12" s="2784"/>
      <c r="H12" s="2784"/>
      <c r="I12" s="2784"/>
      <c r="J12" s="2784"/>
    </row>
    <row r="13" spans="1:11" ht="15" customHeight="1" x14ac:dyDescent="0.25">
      <c r="B13" s="1868"/>
      <c r="C13" s="2784"/>
      <c r="D13" s="2784"/>
      <c r="E13" s="2784"/>
      <c r="F13" s="2784"/>
      <c r="G13" s="2784"/>
      <c r="H13" s="2784"/>
      <c r="I13" s="2784"/>
      <c r="J13" s="2784"/>
    </row>
    <row r="14" spans="1:11" ht="15" customHeight="1" x14ac:dyDescent="0.25">
      <c r="B14" s="1868"/>
      <c r="C14" s="1868"/>
      <c r="D14" s="1868"/>
      <c r="E14" s="1868"/>
      <c r="F14" s="1868"/>
      <c r="G14" s="1868"/>
      <c r="H14" s="1868"/>
    </row>
    <row r="15" spans="1:11" ht="15" customHeight="1" x14ac:dyDescent="0.25">
      <c r="C15" s="1869" t="e">
        <f>Cabeçalho!B8</f>
        <v>#N/A</v>
      </c>
      <c r="E15" s="1868" t="e">
        <f>CONCATENATE(Cabeçalho!B9,", ",Cabeçalho!B10)</f>
        <v>#N/A</v>
      </c>
      <c r="F15" s="1868"/>
      <c r="G15" s="1868"/>
      <c r="H15" s="1868"/>
    </row>
    <row r="17" spans="1:10" ht="15" customHeight="1" x14ac:dyDescent="0.25">
      <c r="A17" s="2259" t="s">
        <v>115</v>
      </c>
      <c r="C17" s="2785" t="e">
        <f>Cabeçalho!B4</f>
        <v>#N/A</v>
      </c>
      <c r="D17" s="2785"/>
      <c r="E17" s="2785"/>
      <c r="F17" s="2785"/>
      <c r="G17" s="2785"/>
      <c r="H17" s="2785"/>
      <c r="I17" s="2785"/>
      <c r="J17" s="2785"/>
    </row>
    <row r="18" spans="1:10" ht="15" customHeight="1" x14ac:dyDescent="0.25">
      <c r="C18" s="1869" t="e">
        <f>Cabeçalho!B5</f>
        <v>#N/A</v>
      </c>
    </row>
    <row r="19" spans="1:10" ht="15" customHeight="1" x14ac:dyDescent="0.25">
      <c r="C19" s="1868"/>
    </row>
    <row r="20" spans="1:10" ht="15" customHeight="1" x14ac:dyDescent="0.25">
      <c r="C20" s="1870"/>
    </row>
    <row r="21" spans="1:10" ht="15" customHeight="1" x14ac:dyDescent="0.25">
      <c r="A21" s="1868" t="s">
        <v>116</v>
      </c>
    </row>
    <row r="22" spans="1:10" ht="15" customHeight="1" x14ac:dyDescent="0.25">
      <c r="A22" s="2469" t="str">
        <f>IntroRDC</f>
        <v xml:space="preserve">               Este Laudo Técnico é parte do Programa de Garantia da Qualidade, conforme Resolução da Diretoria Colegiada - RDC 611/2022 da ANVISA.</v>
      </c>
      <c r="B22" s="2469"/>
      <c r="C22" s="2469"/>
      <c r="D22" s="2469"/>
      <c r="E22" s="2469"/>
      <c r="F22" s="2469"/>
      <c r="G22" s="2469"/>
      <c r="H22" s="2469"/>
      <c r="I22" s="2469"/>
      <c r="J22" s="2469"/>
    </row>
    <row r="23" spans="1:10" ht="15" customHeight="1" x14ac:dyDescent="0.25">
      <c r="A23" s="2469"/>
      <c r="B23" s="2469"/>
      <c r="C23" s="2469"/>
      <c r="D23" s="2469"/>
      <c r="E23" s="2469"/>
      <c r="F23" s="2469"/>
      <c r="G23" s="2469"/>
      <c r="H23" s="2469"/>
      <c r="I23" s="2469"/>
      <c r="J23" s="2469"/>
    </row>
    <row r="24" spans="1:10" ht="15" customHeight="1" x14ac:dyDescent="0.25">
      <c r="A24" s="2469" t="str">
        <f>IntroProtocolo</f>
        <v xml:space="preserve">               A metodologia utilizada atende aos "Protocolos para Execução de Testes em Sistemas de Radiologia Diagnóstica e Intervencionista" do CONFEA.</v>
      </c>
      <c r="B24" s="2469"/>
      <c r="C24" s="2469"/>
      <c r="D24" s="2469"/>
      <c r="E24" s="2469"/>
      <c r="F24" s="2469"/>
      <c r="G24" s="2469"/>
      <c r="H24" s="2469"/>
      <c r="I24" s="2469"/>
      <c r="J24" s="2469"/>
    </row>
    <row r="25" spans="1:10" ht="15" customHeight="1" x14ac:dyDescent="0.25">
      <c r="A25" s="2469"/>
      <c r="B25" s="2469"/>
      <c r="C25" s="2469"/>
      <c r="D25" s="2469"/>
      <c r="E25" s="2469"/>
      <c r="F25" s="2469"/>
      <c r="G25" s="2469"/>
      <c r="H25" s="2469"/>
      <c r="I25" s="2469"/>
      <c r="J25" s="2469"/>
    </row>
    <row r="26" spans="1:10" ht="15" customHeight="1" x14ac:dyDescent="0.25">
      <c r="A26" s="2469" t="s">
        <v>2074</v>
      </c>
      <c r="B26" s="2469"/>
      <c r="C26" s="2469"/>
      <c r="D26" s="2469"/>
      <c r="E26" s="2469"/>
      <c r="F26" s="2469"/>
      <c r="G26" s="2469"/>
      <c r="H26" s="2469"/>
      <c r="I26" s="2469"/>
      <c r="J26" s="2469"/>
    </row>
    <row r="27" spans="1:10" ht="15" customHeight="1" x14ac:dyDescent="0.25">
      <c r="A27" s="2469"/>
      <c r="B27" s="2469"/>
      <c r="C27" s="2469"/>
      <c r="D27" s="2469"/>
      <c r="E27" s="2469"/>
      <c r="F27" s="2469"/>
      <c r="G27" s="2469"/>
      <c r="H27" s="2469"/>
      <c r="I27" s="2469"/>
      <c r="J27" s="2469"/>
    </row>
    <row r="28" spans="1:10" ht="15" customHeight="1" x14ac:dyDescent="0.25">
      <c r="A28" s="2469" t="s">
        <v>2077</v>
      </c>
      <c r="B28" s="2469"/>
      <c r="C28" s="2469"/>
      <c r="D28" s="2469"/>
      <c r="E28" s="2469"/>
      <c r="F28" s="2469"/>
      <c r="G28" s="2469"/>
      <c r="H28" s="2469"/>
      <c r="I28" s="2469"/>
      <c r="J28" s="2469"/>
    </row>
    <row r="29" spans="1:10" ht="15" customHeight="1" x14ac:dyDescent="0.25">
      <c r="A29" s="2469"/>
      <c r="B29" s="2469"/>
      <c r="C29" s="2469"/>
      <c r="D29" s="2469"/>
      <c r="E29" s="2469"/>
      <c r="F29" s="2469"/>
      <c r="G29" s="2469"/>
      <c r="H29" s="2469"/>
      <c r="I29" s="2469"/>
      <c r="J29" s="2469"/>
    </row>
    <row r="30" spans="1:10" ht="15" customHeight="1" x14ac:dyDescent="0.25">
      <c r="A30" s="2469"/>
      <c r="B30" s="2469"/>
      <c r="C30" s="2469"/>
      <c r="D30" s="2469"/>
      <c r="E30" s="2469"/>
      <c r="F30" s="2469"/>
      <c r="G30" s="2469"/>
      <c r="H30" s="2469"/>
      <c r="I30" s="2469"/>
      <c r="J30" s="2469"/>
    </row>
    <row r="31" spans="1:10" ht="15" customHeight="1" x14ac:dyDescent="0.25">
      <c r="A31" s="2469"/>
      <c r="B31" s="2469"/>
      <c r="C31" s="2469"/>
      <c r="D31" s="2469"/>
      <c r="E31" s="2469"/>
      <c r="F31" s="2469"/>
      <c r="G31" s="2469"/>
      <c r="H31" s="2469"/>
      <c r="I31" s="2469"/>
      <c r="J31" s="2469"/>
    </row>
    <row r="33" spans="1:11" ht="15" customHeight="1" x14ac:dyDescent="0.25">
      <c r="A33" s="1868" t="s">
        <v>2776</v>
      </c>
    </row>
    <row r="34" spans="1:11" ht="15" customHeight="1" x14ac:dyDescent="0.25">
      <c r="A34" s="3054" t="s">
        <v>2075</v>
      </c>
      <c r="B34" s="3054"/>
      <c r="C34" s="3054"/>
      <c r="D34" s="3054"/>
      <c r="E34" s="3054"/>
      <c r="F34" s="3054"/>
      <c r="G34" s="3054"/>
      <c r="H34" s="3054"/>
      <c r="I34" s="3054"/>
      <c r="J34" s="3054"/>
    </row>
    <row r="35" spans="1:11" ht="15" customHeight="1" x14ac:dyDescent="0.25">
      <c r="A35" s="3054"/>
      <c r="B35" s="3054"/>
      <c r="C35" s="3054"/>
      <c r="D35" s="3054"/>
      <c r="E35" s="3054"/>
      <c r="F35" s="3054"/>
      <c r="G35" s="3054"/>
      <c r="H35" s="3054"/>
      <c r="I35" s="3054"/>
      <c r="J35" s="3054"/>
    </row>
    <row r="36" spans="1:11" ht="15" customHeight="1" x14ac:dyDescent="0.25">
      <c r="A36" s="2260"/>
      <c r="B36" s="2260"/>
      <c r="C36" s="2260"/>
      <c r="D36" s="2260"/>
      <c r="E36" s="2260"/>
      <c r="F36" s="2260"/>
      <c r="G36" s="2260"/>
      <c r="H36" s="2260"/>
      <c r="I36" s="2260"/>
      <c r="J36" s="2260"/>
    </row>
    <row r="37" spans="1:11" ht="15" customHeight="1" x14ac:dyDescent="0.25">
      <c r="A37" s="3058" t="s">
        <v>2714</v>
      </c>
      <c r="B37" s="3058"/>
      <c r="C37" s="3058" t="str">
        <f>IF(OR(Cabeçalho!B14="Fluoroscopia",Cabeçalho!B14="Raios X com fluoroscopia"),"Semestral","Anual")</f>
        <v>Anual</v>
      </c>
      <c r="D37" s="3058"/>
      <c r="E37" s="2260"/>
      <c r="F37" s="2260"/>
      <c r="G37" s="2260"/>
      <c r="H37" s="2260"/>
      <c r="I37" s="2260"/>
      <c r="J37" s="2260"/>
    </row>
    <row r="39" spans="1:11" ht="15" customHeight="1" x14ac:dyDescent="0.25">
      <c r="A39" s="1868" t="s">
        <v>327</v>
      </c>
    </row>
    <row r="40" spans="1:11" ht="15" customHeight="1" x14ac:dyDescent="0.25">
      <c r="A40" s="1868"/>
    </row>
    <row r="41" spans="1:11" ht="15" customHeight="1" x14ac:dyDescent="0.25">
      <c r="A41" s="2246" t="s">
        <v>335</v>
      </c>
      <c r="B41" s="2246"/>
      <c r="C41" s="2247"/>
      <c r="D41" s="2247"/>
      <c r="E41" s="2247"/>
      <c r="F41" s="2247"/>
      <c r="G41" s="2247"/>
      <c r="H41" s="2247"/>
      <c r="I41" s="2247"/>
      <c r="J41" s="2247"/>
    </row>
    <row r="42" spans="1:11" ht="15" customHeight="1" x14ac:dyDescent="0.25">
      <c r="A42" s="3053" t="s">
        <v>119</v>
      </c>
      <c r="B42" s="3053"/>
      <c r="C42" s="3053" t="s">
        <v>121</v>
      </c>
      <c r="D42" s="3053"/>
      <c r="E42" s="3053" t="s">
        <v>336</v>
      </c>
      <c r="F42" s="3053"/>
      <c r="G42" s="3053" t="s">
        <v>832</v>
      </c>
      <c r="H42" s="3053"/>
      <c r="I42" s="3053" t="s">
        <v>328</v>
      </c>
      <c r="J42" s="3053"/>
    </row>
    <row r="43" spans="1:11" ht="15" customHeight="1" x14ac:dyDescent="0.25">
      <c r="A43" s="3051"/>
      <c r="B43" s="3051"/>
      <c r="C43" s="3051"/>
      <c r="D43" s="3051"/>
      <c r="E43" s="3051"/>
      <c r="F43" s="3051"/>
      <c r="G43" s="3051"/>
      <c r="H43" s="3051"/>
      <c r="I43" s="3051"/>
      <c r="J43" s="3051"/>
      <c r="K43" s="2259" t="str">
        <f t="shared" ref="K43:K92" si="0">IF(A43="","x","")</f>
        <v>x</v>
      </c>
    </row>
    <row r="44" spans="1:11" ht="15" customHeight="1" x14ac:dyDescent="0.25">
      <c r="A44" s="3051"/>
      <c r="B44" s="3051"/>
      <c r="C44" s="3051"/>
      <c r="D44" s="3051"/>
      <c r="E44" s="3051"/>
      <c r="F44" s="3051"/>
      <c r="G44" s="3051"/>
      <c r="H44" s="3051"/>
      <c r="I44" s="3051"/>
      <c r="J44" s="3051"/>
      <c r="K44" s="2259" t="str">
        <f t="shared" si="0"/>
        <v>x</v>
      </c>
    </row>
    <row r="45" spans="1:11" ht="15" customHeight="1" x14ac:dyDescent="0.25">
      <c r="A45" s="3051"/>
      <c r="B45" s="3051"/>
      <c r="C45" s="3051"/>
      <c r="D45" s="3051"/>
      <c r="E45" s="3051"/>
      <c r="F45" s="3051"/>
      <c r="G45" s="3051"/>
      <c r="H45" s="3051"/>
      <c r="I45" s="3051"/>
      <c r="J45" s="3051"/>
      <c r="K45" s="2259" t="str">
        <f t="shared" si="0"/>
        <v>x</v>
      </c>
    </row>
    <row r="46" spans="1:11" ht="15" customHeight="1" x14ac:dyDescent="0.25">
      <c r="A46" s="3051"/>
      <c r="B46" s="3051"/>
      <c r="C46" s="3051"/>
      <c r="D46" s="3051"/>
      <c r="E46" s="3051"/>
      <c r="F46" s="3051"/>
      <c r="G46" s="3051"/>
      <c r="H46" s="3051"/>
      <c r="I46" s="3051"/>
      <c r="J46" s="3051"/>
      <c r="K46" s="2259" t="str">
        <f t="shared" si="0"/>
        <v>x</v>
      </c>
    </row>
    <row r="47" spans="1:11" ht="15" customHeight="1" x14ac:dyDescent="0.25">
      <c r="A47" s="3051"/>
      <c r="B47" s="3051"/>
      <c r="C47" s="3051"/>
      <c r="D47" s="3051"/>
      <c r="E47" s="3051"/>
      <c r="F47" s="3051"/>
      <c r="G47" s="3051"/>
      <c r="H47" s="3051"/>
      <c r="I47" s="3051"/>
      <c r="J47" s="3051"/>
      <c r="K47" s="2259" t="str">
        <f t="shared" si="0"/>
        <v>x</v>
      </c>
    </row>
    <row r="48" spans="1:11" ht="15" customHeight="1" x14ac:dyDescent="0.25">
      <c r="A48" s="3051"/>
      <c r="B48" s="3051"/>
      <c r="C48" s="3051"/>
      <c r="D48" s="3051"/>
      <c r="E48" s="3051"/>
      <c r="F48" s="3051"/>
      <c r="G48" s="3051"/>
      <c r="H48" s="3051"/>
      <c r="I48" s="3051"/>
      <c r="J48" s="3051"/>
      <c r="K48" s="2259" t="str">
        <f t="shared" si="0"/>
        <v>x</v>
      </c>
    </row>
    <row r="49" spans="1:11" ht="15" customHeight="1" x14ac:dyDescent="0.25">
      <c r="A49" s="3051"/>
      <c r="B49" s="3051"/>
      <c r="C49" s="3051"/>
      <c r="D49" s="3051"/>
      <c r="E49" s="3051"/>
      <c r="F49" s="3051"/>
      <c r="G49" s="3051"/>
      <c r="H49" s="3051"/>
      <c r="I49" s="3051"/>
      <c r="J49" s="3051"/>
      <c r="K49" s="2259" t="str">
        <f t="shared" si="0"/>
        <v>x</v>
      </c>
    </row>
    <row r="50" spans="1:11" ht="15" customHeight="1" x14ac:dyDescent="0.25">
      <c r="A50" s="3051"/>
      <c r="B50" s="3051"/>
      <c r="C50" s="3051"/>
      <c r="D50" s="3051"/>
      <c r="E50" s="3051"/>
      <c r="F50" s="3051"/>
      <c r="G50" s="3051"/>
      <c r="H50" s="3051"/>
      <c r="I50" s="3051"/>
      <c r="J50" s="3051"/>
      <c r="K50" s="2259" t="str">
        <f t="shared" si="0"/>
        <v>x</v>
      </c>
    </row>
    <row r="51" spans="1:11" ht="15" customHeight="1" x14ac:dyDescent="0.25">
      <c r="A51" s="3051"/>
      <c r="B51" s="3051"/>
      <c r="C51" s="3051"/>
      <c r="D51" s="3051"/>
      <c r="E51" s="3051"/>
      <c r="F51" s="3051"/>
      <c r="G51" s="3051"/>
      <c r="H51" s="3051"/>
      <c r="I51" s="3051"/>
      <c r="J51" s="3051"/>
      <c r="K51" s="2259" t="str">
        <f t="shared" si="0"/>
        <v>x</v>
      </c>
    </row>
    <row r="52" spans="1:11" ht="15" customHeight="1" x14ac:dyDescent="0.25">
      <c r="A52" s="3051"/>
      <c r="B52" s="3051"/>
      <c r="C52" s="3051"/>
      <c r="D52" s="3051"/>
      <c r="E52" s="3051"/>
      <c r="F52" s="3051"/>
      <c r="G52" s="3051"/>
      <c r="H52" s="3051"/>
      <c r="I52" s="3051"/>
      <c r="J52" s="3051"/>
      <c r="K52" s="2259" t="str">
        <f t="shared" si="0"/>
        <v>x</v>
      </c>
    </row>
    <row r="53" spans="1:11" ht="15" customHeight="1" x14ac:dyDescent="0.25">
      <c r="A53" s="3051"/>
      <c r="B53" s="3051"/>
      <c r="C53" s="3051"/>
      <c r="D53" s="3051"/>
      <c r="E53" s="3051"/>
      <c r="F53" s="3051"/>
      <c r="G53" s="3051"/>
      <c r="H53" s="3051"/>
      <c r="I53" s="3051"/>
      <c r="J53" s="3051"/>
      <c r="K53" s="2259" t="str">
        <f t="shared" si="0"/>
        <v>x</v>
      </c>
    </row>
    <row r="54" spans="1:11" ht="15" customHeight="1" x14ac:dyDescent="0.25">
      <c r="A54" s="3051"/>
      <c r="B54" s="3051"/>
      <c r="C54" s="3051"/>
      <c r="D54" s="3051"/>
      <c r="E54" s="3051"/>
      <c r="F54" s="3051"/>
      <c r="G54" s="3051"/>
      <c r="H54" s="3051"/>
      <c r="I54" s="3051"/>
      <c r="J54" s="3051"/>
      <c r="K54" s="2259" t="str">
        <f t="shared" si="0"/>
        <v>x</v>
      </c>
    </row>
    <row r="55" spans="1:11" ht="15" customHeight="1" x14ac:dyDescent="0.25">
      <c r="A55" s="3051"/>
      <c r="B55" s="3051"/>
      <c r="C55" s="3051"/>
      <c r="D55" s="3051"/>
      <c r="E55" s="3051"/>
      <c r="F55" s="3051"/>
      <c r="G55" s="3051"/>
      <c r="H55" s="3051"/>
      <c r="I55" s="3051"/>
      <c r="J55" s="3051"/>
      <c r="K55" s="2259" t="str">
        <f t="shared" si="0"/>
        <v>x</v>
      </c>
    </row>
    <row r="56" spans="1:11" ht="15" customHeight="1" x14ac:dyDescent="0.25">
      <c r="A56" s="3051"/>
      <c r="B56" s="3051"/>
      <c r="C56" s="3051"/>
      <c r="D56" s="3051"/>
      <c r="E56" s="3051"/>
      <c r="F56" s="3051"/>
      <c r="G56" s="3051"/>
      <c r="H56" s="3051"/>
      <c r="I56" s="3051"/>
      <c r="J56" s="3051"/>
      <c r="K56" s="2259" t="str">
        <f t="shared" si="0"/>
        <v>x</v>
      </c>
    </row>
    <row r="57" spans="1:11" ht="15" customHeight="1" x14ac:dyDescent="0.25">
      <c r="A57" s="3051"/>
      <c r="B57" s="3051"/>
      <c r="C57" s="3051"/>
      <c r="D57" s="3051"/>
      <c r="E57" s="3051"/>
      <c r="F57" s="3051"/>
      <c r="G57" s="3051"/>
      <c r="H57" s="3051"/>
      <c r="I57" s="3051"/>
      <c r="J57" s="3051"/>
      <c r="K57" s="2259" t="str">
        <f t="shared" si="0"/>
        <v>x</v>
      </c>
    </row>
    <row r="58" spans="1:11" ht="15" customHeight="1" x14ac:dyDescent="0.25">
      <c r="A58" s="3051"/>
      <c r="B58" s="3051"/>
      <c r="C58" s="3051"/>
      <c r="D58" s="3051"/>
      <c r="E58" s="3051"/>
      <c r="F58" s="3051"/>
      <c r="G58" s="3051"/>
      <c r="H58" s="3051"/>
      <c r="I58" s="3051"/>
      <c r="J58" s="3051"/>
      <c r="K58" s="2259" t="str">
        <f t="shared" si="0"/>
        <v>x</v>
      </c>
    </row>
    <row r="59" spans="1:11" ht="15" customHeight="1" x14ac:dyDescent="0.25">
      <c r="A59" s="3051"/>
      <c r="B59" s="3051"/>
      <c r="C59" s="3051"/>
      <c r="D59" s="3051"/>
      <c r="E59" s="3051"/>
      <c r="F59" s="3051"/>
      <c r="G59" s="3051"/>
      <c r="H59" s="3051"/>
      <c r="I59" s="3051"/>
      <c r="J59" s="3051"/>
      <c r="K59" s="2259" t="str">
        <f t="shared" si="0"/>
        <v>x</v>
      </c>
    </row>
    <row r="60" spans="1:11" ht="15" customHeight="1" x14ac:dyDescent="0.25">
      <c r="A60" s="3051"/>
      <c r="B60" s="3051"/>
      <c r="C60" s="3051"/>
      <c r="D60" s="3051"/>
      <c r="E60" s="3051"/>
      <c r="F60" s="3051"/>
      <c r="G60" s="3051"/>
      <c r="H60" s="3051"/>
      <c r="I60" s="3051"/>
      <c r="J60" s="3051"/>
      <c r="K60" s="2259" t="str">
        <f t="shared" si="0"/>
        <v>x</v>
      </c>
    </row>
    <row r="61" spans="1:11" ht="15" customHeight="1" x14ac:dyDescent="0.25">
      <c r="A61" s="3051"/>
      <c r="B61" s="3051"/>
      <c r="C61" s="3051"/>
      <c r="D61" s="3051"/>
      <c r="E61" s="3051"/>
      <c r="F61" s="3051"/>
      <c r="G61" s="3051"/>
      <c r="H61" s="3051"/>
      <c r="I61" s="3051"/>
      <c r="J61" s="3051"/>
      <c r="K61" s="2259" t="str">
        <f t="shared" si="0"/>
        <v>x</v>
      </c>
    </row>
    <row r="62" spans="1:11" ht="15" customHeight="1" x14ac:dyDescent="0.25">
      <c r="A62" s="3051"/>
      <c r="B62" s="3051"/>
      <c r="C62" s="3051"/>
      <c r="D62" s="3051"/>
      <c r="E62" s="3051"/>
      <c r="F62" s="3051"/>
      <c r="G62" s="3051"/>
      <c r="H62" s="3051"/>
      <c r="I62" s="3051"/>
      <c r="J62" s="3051"/>
      <c r="K62" s="2259" t="str">
        <f t="shared" si="0"/>
        <v>x</v>
      </c>
    </row>
    <row r="63" spans="1:11" ht="15" customHeight="1" x14ac:dyDescent="0.25">
      <c r="A63" s="3051"/>
      <c r="B63" s="3051"/>
      <c r="C63" s="3051"/>
      <c r="D63" s="3051"/>
      <c r="E63" s="3051"/>
      <c r="F63" s="3051"/>
      <c r="G63" s="3051"/>
      <c r="H63" s="3051"/>
      <c r="I63" s="3051"/>
      <c r="J63" s="3051"/>
      <c r="K63" s="2259" t="str">
        <f t="shared" si="0"/>
        <v>x</v>
      </c>
    </row>
    <row r="64" spans="1:11" ht="15" customHeight="1" x14ac:dyDescent="0.25">
      <c r="A64" s="3051"/>
      <c r="B64" s="3051"/>
      <c r="C64" s="3051"/>
      <c r="D64" s="3051"/>
      <c r="E64" s="3051"/>
      <c r="F64" s="3051"/>
      <c r="G64" s="3051"/>
      <c r="H64" s="3051"/>
      <c r="I64" s="3051"/>
      <c r="J64" s="3051"/>
      <c r="K64" s="2259" t="str">
        <f t="shared" si="0"/>
        <v>x</v>
      </c>
    </row>
    <row r="65" spans="1:11" ht="15" customHeight="1" x14ac:dyDescent="0.25">
      <c r="A65" s="3051"/>
      <c r="B65" s="3051"/>
      <c r="C65" s="3051"/>
      <c r="D65" s="3051"/>
      <c r="E65" s="3051"/>
      <c r="F65" s="3051"/>
      <c r="G65" s="3051"/>
      <c r="H65" s="3051"/>
      <c r="I65" s="3051"/>
      <c r="J65" s="3051"/>
      <c r="K65" s="2259" t="str">
        <f t="shared" si="0"/>
        <v>x</v>
      </c>
    </row>
    <row r="66" spans="1:11" ht="15" customHeight="1" x14ac:dyDescent="0.25">
      <c r="A66" s="3051"/>
      <c r="B66" s="3051"/>
      <c r="C66" s="3051"/>
      <c r="D66" s="3051"/>
      <c r="E66" s="3051"/>
      <c r="F66" s="3051"/>
      <c r="G66" s="3051"/>
      <c r="H66" s="3051"/>
      <c r="I66" s="3051"/>
      <c r="J66" s="3051"/>
      <c r="K66" s="2259" t="str">
        <f t="shared" si="0"/>
        <v>x</v>
      </c>
    </row>
    <row r="67" spans="1:11" ht="15" customHeight="1" x14ac:dyDescent="0.25">
      <c r="A67" s="3051"/>
      <c r="B67" s="3051"/>
      <c r="C67" s="3051"/>
      <c r="D67" s="3051"/>
      <c r="E67" s="3051"/>
      <c r="F67" s="3051"/>
      <c r="G67" s="3051"/>
      <c r="H67" s="3051"/>
      <c r="I67" s="3051"/>
      <c r="J67" s="3051"/>
      <c r="K67" s="2259" t="str">
        <f t="shared" si="0"/>
        <v>x</v>
      </c>
    </row>
    <row r="68" spans="1:11" ht="15" customHeight="1" x14ac:dyDescent="0.25">
      <c r="A68" s="3051"/>
      <c r="B68" s="3051"/>
      <c r="C68" s="3051"/>
      <c r="D68" s="3051"/>
      <c r="E68" s="3051"/>
      <c r="F68" s="3051"/>
      <c r="G68" s="3051"/>
      <c r="H68" s="3051"/>
      <c r="I68" s="3051"/>
      <c r="J68" s="3051"/>
      <c r="K68" s="2259" t="str">
        <f t="shared" si="0"/>
        <v>x</v>
      </c>
    </row>
    <row r="69" spans="1:11" ht="15" customHeight="1" x14ac:dyDescent="0.25">
      <c r="A69" s="3051"/>
      <c r="B69" s="3051"/>
      <c r="C69" s="3051"/>
      <c r="D69" s="3051"/>
      <c r="E69" s="3051"/>
      <c r="F69" s="3051"/>
      <c r="G69" s="3051"/>
      <c r="H69" s="3051"/>
      <c r="I69" s="3051"/>
      <c r="J69" s="3051"/>
      <c r="K69" s="2259" t="str">
        <f t="shared" si="0"/>
        <v>x</v>
      </c>
    </row>
    <row r="70" spans="1:11" ht="15" customHeight="1" x14ac:dyDescent="0.25">
      <c r="A70" s="3051"/>
      <c r="B70" s="3051"/>
      <c r="C70" s="3051"/>
      <c r="D70" s="3051"/>
      <c r="E70" s="3051"/>
      <c r="F70" s="3051"/>
      <c r="G70" s="3051"/>
      <c r="H70" s="3051"/>
      <c r="I70" s="3051"/>
      <c r="J70" s="3051"/>
      <c r="K70" s="2259" t="str">
        <f t="shared" si="0"/>
        <v>x</v>
      </c>
    </row>
    <row r="71" spans="1:11" ht="15" customHeight="1" x14ac:dyDescent="0.25">
      <c r="A71" s="3051"/>
      <c r="B71" s="3051"/>
      <c r="C71" s="3051"/>
      <c r="D71" s="3051"/>
      <c r="E71" s="3051"/>
      <c r="F71" s="3051"/>
      <c r="G71" s="3051"/>
      <c r="H71" s="3051"/>
      <c r="I71" s="3051"/>
      <c r="J71" s="3051"/>
      <c r="K71" s="2259" t="str">
        <f t="shared" si="0"/>
        <v>x</v>
      </c>
    </row>
    <row r="72" spans="1:11" ht="15" customHeight="1" x14ac:dyDescent="0.25">
      <c r="A72" s="3051"/>
      <c r="B72" s="3051"/>
      <c r="C72" s="3051"/>
      <c r="D72" s="3051"/>
      <c r="E72" s="3051"/>
      <c r="F72" s="3051"/>
      <c r="G72" s="3051"/>
      <c r="H72" s="3051"/>
      <c r="I72" s="3051"/>
      <c r="J72" s="3051"/>
      <c r="K72" s="2259" t="str">
        <f t="shared" si="0"/>
        <v>x</v>
      </c>
    </row>
    <row r="73" spans="1:11" ht="15" customHeight="1" x14ac:dyDescent="0.25">
      <c r="A73" s="3051"/>
      <c r="B73" s="3051"/>
      <c r="C73" s="3051"/>
      <c r="D73" s="3051"/>
      <c r="E73" s="3051"/>
      <c r="F73" s="3051"/>
      <c r="G73" s="3051"/>
      <c r="H73" s="3051"/>
      <c r="I73" s="3051"/>
      <c r="J73" s="3051"/>
      <c r="K73" s="2259" t="str">
        <f t="shared" si="0"/>
        <v>x</v>
      </c>
    </row>
    <row r="74" spans="1:11" ht="15" customHeight="1" x14ac:dyDescent="0.25">
      <c r="A74" s="3051"/>
      <c r="B74" s="3051"/>
      <c r="C74" s="3051"/>
      <c r="D74" s="3051"/>
      <c r="E74" s="3051"/>
      <c r="F74" s="3051"/>
      <c r="G74" s="3051"/>
      <c r="H74" s="3051"/>
      <c r="I74" s="3051"/>
      <c r="J74" s="3051"/>
      <c r="K74" s="2259" t="str">
        <f t="shared" si="0"/>
        <v>x</v>
      </c>
    </row>
    <row r="75" spans="1:11" ht="15" customHeight="1" x14ac:dyDescent="0.25">
      <c r="A75" s="3051"/>
      <c r="B75" s="3051"/>
      <c r="C75" s="3051"/>
      <c r="D75" s="3051"/>
      <c r="E75" s="3051"/>
      <c r="F75" s="3051"/>
      <c r="G75" s="3051"/>
      <c r="H75" s="3051"/>
      <c r="I75" s="3051"/>
      <c r="J75" s="3051"/>
      <c r="K75" s="2259" t="str">
        <f t="shared" si="0"/>
        <v>x</v>
      </c>
    </row>
    <row r="76" spans="1:11" ht="15" customHeight="1" x14ac:dyDescent="0.25">
      <c r="A76" s="3051"/>
      <c r="B76" s="3051"/>
      <c r="C76" s="3051"/>
      <c r="D76" s="3051"/>
      <c r="E76" s="3051"/>
      <c r="F76" s="3051"/>
      <c r="G76" s="3051"/>
      <c r="H76" s="3051"/>
      <c r="I76" s="3051"/>
      <c r="J76" s="3051"/>
      <c r="K76" s="2259" t="str">
        <f t="shared" si="0"/>
        <v>x</v>
      </c>
    </row>
    <row r="77" spans="1:11" ht="15" customHeight="1" x14ac:dyDescent="0.25">
      <c r="A77" s="3051"/>
      <c r="B77" s="3051"/>
      <c r="C77" s="3051"/>
      <c r="D77" s="3051"/>
      <c r="E77" s="3051"/>
      <c r="F77" s="3051"/>
      <c r="G77" s="3051"/>
      <c r="H77" s="3051"/>
      <c r="I77" s="3051"/>
      <c r="J77" s="3051"/>
      <c r="K77" s="2259" t="str">
        <f t="shared" si="0"/>
        <v>x</v>
      </c>
    </row>
    <row r="78" spans="1:11" ht="15" customHeight="1" x14ac:dyDescent="0.25">
      <c r="A78" s="3051"/>
      <c r="B78" s="3051"/>
      <c r="C78" s="3051"/>
      <c r="D78" s="3051"/>
      <c r="E78" s="3051"/>
      <c r="F78" s="3051"/>
      <c r="G78" s="3051"/>
      <c r="H78" s="3051"/>
      <c r="I78" s="3051"/>
      <c r="J78" s="3051"/>
      <c r="K78" s="2259" t="str">
        <f t="shared" si="0"/>
        <v>x</v>
      </c>
    </row>
    <row r="79" spans="1:11" ht="15" customHeight="1" x14ac:dyDescent="0.25">
      <c r="A79" s="3051"/>
      <c r="B79" s="3051"/>
      <c r="C79" s="3051"/>
      <c r="D79" s="3051"/>
      <c r="E79" s="3051"/>
      <c r="F79" s="3051"/>
      <c r="G79" s="3051"/>
      <c r="H79" s="3051"/>
      <c r="I79" s="3051"/>
      <c r="J79" s="3051"/>
      <c r="K79" s="2259" t="str">
        <f t="shared" si="0"/>
        <v>x</v>
      </c>
    </row>
    <row r="80" spans="1:11" ht="15" customHeight="1" x14ac:dyDescent="0.25">
      <c r="A80" s="3051"/>
      <c r="B80" s="3051"/>
      <c r="C80" s="3051"/>
      <c r="D80" s="3051"/>
      <c r="E80" s="3051"/>
      <c r="F80" s="3051"/>
      <c r="G80" s="3051"/>
      <c r="H80" s="3051"/>
      <c r="I80" s="3051"/>
      <c r="J80" s="3051"/>
      <c r="K80" s="2259" t="str">
        <f t="shared" si="0"/>
        <v>x</v>
      </c>
    </row>
    <row r="81" spans="1:11" ht="15" customHeight="1" x14ac:dyDescent="0.25">
      <c r="A81" s="3051"/>
      <c r="B81" s="3051"/>
      <c r="C81" s="3051"/>
      <c r="D81" s="3051"/>
      <c r="E81" s="3051"/>
      <c r="F81" s="3051"/>
      <c r="G81" s="3051"/>
      <c r="H81" s="3051"/>
      <c r="I81" s="3051"/>
      <c r="J81" s="3051"/>
      <c r="K81" s="2259" t="str">
        <f t="shared" si="0"/>
        <v>x</v>
      </c>
    </row>
    <row r="82" spans="1:11" ht="15" customHeight="1" x14ac:dyDescent="0.25">
      <c r="A82" s="3051"/>
      <c r="B82" s="3051"/>
      <c r="C82" s="3051"/>
      <c r="D82" s="3051"/>
      <c r="E82" s="3051"/>
      <c r="F82" s="3051"/>
      <c r="G82" s="3051"/>
      <c r="H82" s="3051"/>
      <c r="I82" s="3051"/>
      <c r="J82" s="3051"/>
      <c r="K82" s="2259" t="str">
        <f t="shared" si="0"/>
        <v>x</v>
      </c>
    </row>
    <row r="83" spans="1:11" ht="15" customHeight="1" x14ac:dyDescent="0.25">
      <c r="A83" s="3051"/>
      <c r="B83" s="3051"/>
      <c r="C83" s="3051"/>
      <c r="D83" s="3051"/>
      <c r="E83" s="3051"/>
      <c r="F83" s="3051"/>
      <c r="G83" s="3051"/>
      <c r="H83" s="3051"/>
      <c r="I83" s="3051"/>
      <c r="J83" s="3051"/>
      <c r="K83" s="2259" t="str">
        <f t="shared" si="0"/>
        <v>x</v>
      </c>
    </row>
    <row r="84" spans="1:11" ht="15" customHeight="1" x14ac:dyDescent="0.25">
      <c r="A84" s="3051"/>
      <c r="B84" s="3051"/>
      <c r="C84" s="3051"/>
      <c r="D84" s="3051"/>
      <c r="E84" s="3051"/>
      <c r="F84" s="3051"/>
      <c r="G84" s="3051"/>
      <c r="H84" s="3051"/>
      <c r="I84" s="3051"/>
      <c r="J84" s="3051"/>
      <c r="K84" s="2259" t="str">
        <f t="shared" si="0"/>
        <v>x</v>
      </c>
    </row>
    <row r="85" spans="1:11" ht="15" customHeight="1" x14ac:dyDescent="0.25">
      <c r="A85" s="3051"/>
      <c r="B85" s="3051"/>
      <c r="C85" s="3051"/>
      <c r="D85" s="3051"/>
      <c r="E85" s="3051"/>
      <c r="F85" s="3051"/>
      <c r="G85" s="3051"/>
      <c r="H85" s="3051"/>
      <c r="I85" s="3051"/>
      <c r="J85" s="3051"/>
      <c r="K85" s="2259" t="str">
        <f t="shared" si="0"/>
        <v>x</v>
      </c>
    </row>
    <row r="86" spans="1:11" ht="15" customHeight="1" x14ac:dyDescent="0.25">
      <c r="A86" s="3051"/>
      <c r="B86" s="3051"/>
      <c r="C86" s="3051"/>
      <c r="D86" s="3051"/>
      <c r="E86" s="3051"/>
      <c r="F86" s="3051"/>
      <c r="G86" s="3051"/>
      <c r="H86" s="3051"/>
      <c r="I86" s="3051"/>
      <c r="J86" s="3051"/>
      <c r="K86" s="2259" t="str">
        <f t="shared" si="0"/>
        <v>x</v>
      </c>
    </row>
    <row r="87" spans="1:11" ht="15" customHeight="1" x14ac:dyDescent="0.25">
      <c r="A87" s="3051"/>
      <c r="B87" s="3051"/>
      <c r="C87" s="3051"/>
      <c r="D87" s="3051"/>
      <c r="E87" s="3051"/>
      <c r="F87" s="3051"/>
      <c r="G87" s="3051"/>
      <c r="H87" s="3051"/>
      <c r="I87" s="3051"/>
      <c r="J87" s="3051"/>
      <c r="K87" s="2259" t="str">
        <f t="shared" si="0"/>
        <v>x</v>
      </c>
    </row>
    <row r="88" spans="1:11" ht="15" customHeight="1" x14ac:dyDescent="0.25">
      <c r="A88" s="3051"/>
      <c r="B88" s="3051"/>
      <c r="C88" s="3051"/>
      <c r="D88" s="3051"/>
      <c r="E88" s="3051"/>
      <c r="F88" s="3051"/>
      <c r="G88" s="3051"/>
      <c r="H88" s="3051"/>
      <c r="I88" s="3051"/>
      <c r="J88" s="3051"/>
      <c r="K88" s="2259" t="str">
        <f t="shared" si="0"/>
        <v>x</v>
      </c>
    </row>
    <row r="89" spans="1:11" ht="15" customHeight="1" x14ac:dyDescent="0.25">
      <c r="A89" s="3051"/>
      <c r="B89" s="3051"/>
      <c r="C89" s="3051"/>
      <c r="D89" s="3051"/>
      <c r="E89" s="3051"/>
      <c r="F89" s="3051"/>
      <c r="G89" s="3051"/>
      <c r="H89" s="3051"/>
      <c r="I89" s="3051"/>
      <c r="J89" s="3051"/>
      <c r="K89" s="2259" t="str">
        <f t="shared" si="0"/>
        <v>x</v>
      </c>
    </row>
    <row r="90" spans="1:11" ht="15" customHeight="1" x14ac:dyDescent="0.25">
      <c r="A90" s="3051"/>
      <c r="B90" s="3051"/>
      <c r="C90" s="3051"/>
      <c r="D90" s="3051"/>
      <c r="E90" s="3051"/>
      <c r="F90" s="3051"/>
      <c r="G90" s="3051"/>
      <c r="H90" s="3051"/>
      <c r="I90" s="3051"/>
      <c r="J90" s="3051"/>
      <c r="K90" s="2259" t="str">
        <f t="shared" si="0"/>
        <v>x</v>
      </c>
    </row>
    <row r="91" spans="1:11" ht="15" customHeight="1" x14ac:dyDescent="0.25">
      <c r="A91" s="3051"/>
      <c r="B91" s="3051"/>
      <c r="C91" s="3051"/>
      <c r="D91" s="3051"/>
      <c r="E91" s="3051"/>
      <c r="F91" s="3051"/>
      <c r="G91" s="3051"/>
      <c r="H91" s="3051"/>
      <c r="I91" s="3051"/>
      <c r="J91" s="3051"/>
      <c r="K91" s="2259" t="str">
        <f t="shared" si="0"/>
        <v>x</v>
      </c>
    </row>
    <row r="92" spans="1:11" ht="15" customHeight="1" x14ac:dyDescent="0.25">
      <c r="A92" s="3051"/>
      <c r="B92" s="3051"/>
      <c r="C92" s="3051"/>
      <c r="D92" s="3051"/>
      <c r="E92" s="3051"/>
      <c r="F92" s="3051"/>
      <c r="G92" s="3051"/>
      <c r="H92" s="3051"/>
      <c r="I92" s="3051"/>
      <c r="J92" s="3051"/>
      <c r="K92" s="2259" t="str">
        <f t="shared" si="0"/>
        <v>x</v>
      </c>
    </row>
    <row r="93" spans="1:11" ht="15" customHeight="1" x14ac:dyDescent="0.25">
      <c r="K93" s="2259" t="str">
        <f>K94</f>
        <v>x</v>
      </c>
    </row>
    <row r="94" spans="1:11" ht="15" customHeight="1" x14ac:dyDescent="0.25">
      <c r="A94" s="2246" t="s">
        <v>337</v>
      </c>
      <c r="B94" s="2246"/>
      <c r="C94" s="2246"/>
      <c r="D94" s="2246"/>
      <c r="E94" s="2246"/>
      <c r="F94" s="2246"/>
      <c r="G94" s="2246"/>
      <c r="H94" s="2246"/>
      <c r="I94" s="2246"/>
      <c r="J94" s="2246"/>
      <c r="K94" s="2259" t="str">
        <f>K95</f>
        <v>x</v>
      </c>
    </row>
    <row r="95" spans="1:11" ht="15" customHeight="1" x14ac:dyDescent="0.25">
      <c r="A95" s="3052" t="s">
        <v>119</v>
      </c>
      <c r="B95" s="3052"/>
      <c r="C95" s="3052" t="s">
        <v>121</v>
      </c>
      <c r="D95" s="3052"/>
      <c r="E95" s="3052" t="s">
        <v>336</v>
      </c>
      <c r="F95" s="3052"/>
      <c r="G95" s="3052" t="s">
        <v>832</v>
      </c>
      <c r="H95" s="3052"/>
      <c r="I95" s="3052" t="s">
        <v>328</v>
      </c>
      <c r="J95" s="3052"/>
      <c r="K95" s="2259" t="str">
        <f>K96</f>
        <v>x</v>
      </c>
    </row>
    <row r="96" spans="1:11" ht="15" customHeight="1" x14ac:dyDescent="0.25">
      <c r="A96" s="3051"/>
      <c r="B96" s="3051"/>
      <c r="C96" s="3051"/>
      <c r="D96" s="3051"/>
      <c r="E96" s="3051"/>
      <c r="F96" s="3051"/>
      <c r="G96" s="3051"/>
      <c r="H96" s="3051"/>
      <c r="I96" s="3051"/>
      <c r="J96" s="3051"/>
      <c r="K96" s="2259" t="str">
        <f>IF(A96="","x","")</f>
        <v>x</v>
      </c>
    </row>
    <row r="97" spans="1:11" ht="15" customHeight="1" x14ac:dyDescent="0.25">
      <c r="A97" s="3051"/>
      <c r="B97" s="3051"/>
      <c r="C97" s="3051"/>
      <c r="D97" s="3051"/>
      <c r="E97" s="3051"/>
      <c r="F97" s="3051"/>
      <c r="G97" s="3051"/>
      <c r="H97" s="3051"/>
      <c r="I97" s="3051"/>
      <c r="J97" s="3051"/>
      <c r="K97" s="2259" t="str">
        <f t="shared" ref="K97:K146" si="1">IF(A97="","x","")</f>
        <v>x</v>
      </c>
    </row>
    <row r="98" spans="1:11" ht="15" customHeight="1" x14ac:dyDescent="0.25">
      <c r="A98" s="3051"/>
      <c r="B98" s="3051"/>
      <c r="C98" s="3051"/>
      <c r="D98" s="3051"/>
      <c r="E98" s="3051"/>
      <c r="F98" s="3051"/>
      <c r="G98" s="3051"/>
      <c r="H98" s="3051"/>
      <c r="I98" s="3051"/>
      <c r="J98" s="3051"/>
      <c r="K98" s="2259" t="str">
        <f t="shared" si="1"/>
        <v>x</v>
      </c>
    </row>
    <row r="99" spans="1:11" ht="15" customHeight="1" x14ac:dyDescent="0.25">
      <c r="A99" s="3051"/>
      <c r="B99" s="3051"/>
      <c r="C99" s="3051"/>
      <c r="D99" s="3051"/>
      <c r="E99" s="3051"/>
      <c r="F99" s="3051"/>
      <c r="G99" s="3051"/>
      <c r="H99" s="3051"/>
      <c r="I99" s="3051"/>
      <c r="J99" s="3051"/>
      <c r="K99" s="2259" t="str">
        <f t="shared" si="1"/>
        <v>x</v>
      </c>
    </row>
    <row r="100" spans="1:11" ht="15" customHeight="1" x14ac:dyDescent="0.25">
      <c r="A100" s="3051"/>
      <c r="B100" s="3051"/>
      <c r="C100" s="3051"/>
      <c r="D100" s="3051"/>
      <c r="E100" s="3051"/>
      <c r="F100" s="3051"/>
      <c r="G100" s="3051"/>
      <c r="H100" s="3051"/>
      <c r="I100" s="3051"/>
      <c r="J100" s="3051"/>
      <c r="K100" s="2259" t="str">
        <f t="shared" si="1"/>
        <v>x</v>
      </c>
    </row>
    <row r="101" spans="1:11" ht="15" customHeight="1" x14ac:dyDescent="0.25">
      <c r="A101" s="3051"/>
      <c r="B101" s="3051"/>
      <c r="C101" s="3051"/>
      <c r="D101" s="3051"/>
      <c r="E101" s="3051"/>
      <c r="F101" s="3051"/>
      <c r="G101" s="3051"/>
      <c r="H101" s="3051"/>
      <c r="I101" s="3051"/>
      <c r="J101" s="3051"/>
      <c r="K101" s="2259" t="str">
        <f t="shared" si="1"/>
        <v>x</v>
      </c>
    </row>
    <row r="102" spans="1:11" ht="15" customHeight="1" x14ac:dyDescent="0.25">
      <c r="A102" s="3051"/>
      <c r="B102" s="3051"/>
      <c r="C102" s="3051"/>
      <c r="D102" s="3051"/>
      <c r="E102" s="3051"/>
      <c r="F102" s="3051"/>
      <c r="G102" s="3051"/>
      <c r="H102" s="3051"/>
      <c r="I102" s="3051"/>
      <c r="J102" s="3051"/>
      <c r="K102" s="2259" t="str">
        <f t="shared" si="1"/>
        <v>x</v>
      </c>
    </row>
    <row r="103" spans="1:11" ht="15" customHeight="1" x14ac:dyDescent="0.25">
      <c r="A103" s="3051"/>
      <c r="B103" s="3051"/>
      <c r="C103" s="3051"/>
      <c r="D103" s="3051"/>
      <c r="E103" s="3051"/>
      <c r="F103" s="3051"/>
      <c r="G103" s="3051"/>
      <c r="H103" s="3051"/>
      <c r="I103" s="3051"/>
      <c r="J103" s="3051"/>
      <c r="K103" s="2259" t="str">
        <f t="shared" si="1"/>
        <v>x</v>
      </c>
    </row>
    <row r="104" spans="1:11" ht="15" customHeight="1" x14ac:dyDescent="0.25">
      <c r="A104" s="3051"/>
      <c r="B104" s="3051"/>
      <c r="C104" s="3051"/>
      <c r="D104" s="3051"/>
      <c r="E104" s="3051"/>
      <c r="F104" s="3051"/>
      <c r="G104" s="3051"/>
      <c r="H104" s="3051"/>
      <c r="I104" s="3051"/>
      <c r="J104" s="3051"/>
      <c r="K104" s="2259" t="str">
        <f t="shared" si="1"/>
        <v>x</v>
      </c>
    </row>
    <row r="105" spans="1:11" ht="15" customHeight="1" x14ac:dyDescent="0.25">
      <c r="A105" s="3051"/>
      <c r="B105" s="3051"/>
      <c r="C105" s="3051"/>
      <c r="D105" s="3051"/>
      <c r="E105" s="3051"/>
      <c r="F105" s="3051"/>
      <c r="G105" s="3051"/>
      <c r="H105" s="3051"/>
      <c r="I105" s="3051"/>
      <c r="J105" s="3051"/>
      <c r="K105" s="2259" t="str">
        <f t="shared" si="1"/>
        <v>x</v>
      </c>
    </row>
    <row r="106" spans="1:11" ht="15" customHeight="1" x14ac:dyDescent="0.25">
      <c r="A106" s="3051"/>
      <c r="B106" s="3051"/>
      <c r="C106" s="3051"/>
      <c r="D106" s="3051"/>
      <c r="E106" s="3051"/>
      <c r="F106" s="3051"/>
      <c r="G106" s="3051"/>
      <c r="H106" s="3051"/>
      <c r="I106" s="3051"/>
      <c r="J106" s="3051"/>
      <c r="K106" s="2259" t="str">
        <f t="shared" si="1"/>
        <v>x</v>
      </c>
    </row>
    <row r="107" spans="1:11" ht="15" customHeight="1" x14ac:dyDescent="0.25">
      <c r="A107" s="3051"/>
      <c r="B107" s="3051"/>
      <c r="C107" s="3051"/>
      <c r="D107" s="3051"/>
      <c r="E107" s="3051"/>
      <c r="F107" s="3051"/>
      <c r="G107" s="3051"/>
      <c r="H107" s="3051"/>
      <c r="I107" s="3051"/>
      <c r="J107" s="3051"/>
      <c r="K107" s="2259" t="str">
        <f t="shared" si="1"/>
        <v>x</v>
      </c>
    </row>
    <row r="108" spans="1:11" ht="15" customHeight="1" x14ac:dyDescent="0.25">
      <c r="A108" s="3051"/>
      <c r="B108" s="3051"/>
      <c r="C108" s="3051"/>
      <c r="D108" s="3051"/>
      <c r="E108" s="3051"/>
      <c r="F108" s="3051"/>
      <c r="G108" s="3051"/>
      <c r="H108" s="3051"/>
      <c r="I108" s="3051"/>
      <c r="J108" s="3051"/>
      <c r="K108" s="2259" t="str">
        <f t="shared" si="1"/>
        <v>x</v>
      </c>
    </row>
    <row r="109" spans="1:11" ht="15" customHeight="1" x14ac:dyDescent="0.25">
      <c r="A109" s="3051"/>
      <c r="B109" s="3051"/>
      <c r="C109" s="3051"/>
      <c r="D109" s="3051"/>
      <c r="E109" s="3051"/>
      <c r="F109" s="3051"/>
      <c r="G109" s="3051"/>
      <c r="H109" s="3051"/>
      <c r="I109" s="3051"/>
      <c r="J109" s="3051"/>
      <c r="K109" s="2259" t="str">
        <f t="shared" si="1"/>
        <v>x</v>
      </c>
    </row>
    <row r="110" spans="1:11" ht="15" customHeight="1" x14ac:dyDescent="0.25">
      <c r="A110" s="3051"/>
      <c r="B110" s="3051"/>
      <c r="C110" s="3051"/>
      <c r="D110" s="3051"/>
      <c r="E110" s="3051"/>
      <c r="F110" s="3051"/>
      <c r="G110" s="3051"/>
      <c r="H110" s="3051"/>
      <c r="I110" s="3051"/>
      <c r="J110" s="3051"/>
      <c r="K110" s="2259" t="str">
        <f t="shared" si="1"/>
        <v>x</v>
      </c>
    </row>
    <row r="111" spans="1:11" ht="15" customHeight="1" x14ac:dyDescent="0.25">
      <c r="A111" s="3051"/>
      <c r="B111" s="3051"/>
      <c r="C111" s="3051"/>
      <c r="D111" s="3051"/>
      <c r="E111" s="3051"/>
      <c r="F111" s="3051"/>
      <c r="G111" s="3051"/>
      <c r="H111" s="3051"/>
      <c r="I111" s="3051"/>
      <c r="J111" s="3051"/>
      <c r="K111" s="2259" t="str">
        <f t="shared" si="1"/>
        <v>x</v>
      </c>
    </row>
    <row r="112" spans="1:11" ht="15" customHeight="1" x14ac:dyDescent="0.25">
      <c r="A112" s="3051"/>
      <c r="B112" s="3051"/>
      <c r="C112" s="3051"/>
      <c r="D112" s="3051"/>
      <c r="E112" s="3051"/>
      <c r="F112" s="3051"/>
      <c r="G112" s="3051"/>
      <c r="H112" s="3051"/>
      <c r="I112" s="3051"/>
      <c r="J112" s="3051"/>
      <c r="K112" s="2259" t="str">
        <f t="shared" si="1"/>
        <v>x</v>
      </c>
    </row>
    <row r="113" spans="1:11" ht="15" customHeight="1" x14ac:dyDescent="0.25">
      <c r="A113" s="3051"/>
      <c r="B113" s="3051"/>
      <c r="C113" s="3051"/>
      <c r="D113" s="3051"/>
      <c r="E113" s="3051"/>
      <c r="F113" s="3051"/>
      <c r="G113" s="3051"/>
      <c r="H113" s="3051"/>
      <c r="I113" s="3051"/>
      <c r="J113" s="3051"/>
      <c r="K113" s="2259" t="str">
        <f t="shared" si="1"/>
        <v>x</v>
      </c>
    </row>
    <row r="114" spans="1:11" ht="15" customHeight="1" x14ac:dyDescent="0.25">
      <c r="A114" s="3051"/>
      <c r="B114" s="3051"/>
      <c r="C114" s="3051"/>
      <c r="D114" s="3051"/>
      <c r="E114" s="3051"/>
      <c r="F114" s="3051"/>
      <c r="G114" s="3051"/>
      <c r="H114" s="3051"/>
      <c r="I114" s="3051"/>
      <c r="J114" s="3051"/>
      <c r="K114" s="2259" t="str">
        <f t="shared" si="1"/>
        <v>x</v>
      </c>
    </row>
    <row r="115" spans="1:11" ht="15" customHeight="1" x14ac:dyDescent="0.25">
      <c r="A115" s="3051"/>
      <c r="B115" s="3051"/>
      <c r="C115" s="3051"/>
      <c r="D115" s="3051"/>
      <c r="E115" s="3051"/>
      <c r="F115" s="3051"/>
      <c r="G115" s="3051"/>
      <c r="H115" s="3051"/>
      <c r="I115" s="3051"/>
      <c r="J115" s="3051"/>
      <c r="K115" s="2259" t="str">
        <f t="shared" si="1"/>
        <v>x</v>
      </c>
    </row>
    <row r="116" spans="1:11" ht="15" customHeight="1" x14ac:dyDescent="0.25">
      <c r="A116" s="3051"/>
      <c r="B116" s="3051"/>
      <c r="C116" s="3051"/>
      <c r="D116" s="3051"/>
      <c r="E116" s="3051"/>
      <c r="F116" s="3051"/>
      <c r="G116" s="3051"/>
      <c r="H116" s="3051"/>
      <c r="I116" s="3051"/>
      <c r="J116" s="3051"/>
      <c r="K116" s="2259" t="str">
        <f t="shared" si="1"/>
        <v>x</v>
      </c>
    </row>
    <row r="117" spans="1:11" ht="15" customHeight="1" x14ac:dyDescent="0.25">
      <c r="A117" s="3051"/>
      <c r="B117" s="3051"/>
      <c r="C117" s="3051"/>
      <c r="D117" s="3051"/>
      <c r="E117" s="3051"/>
      <c r="F117" s="3051"/>
      <c r="G117" s="3051"/>
      <c r="H117" s="3051"/>
      <c r="I117" s="3051"/>
      <c r="J117" s="3051"/>
      <c r="K117" s="2259" t="str">
        <f t="shared" si="1"/>
        <v>x</v>
      </c>
    </row>
    <row r="118" spans="1:11" ht="15" customHeight="1" x14ac:dyDescent="0.25">
      <c r="A118" s="3051"/>
      <c r="B118" s="3051"/>
      <c r="C118" s="3051"/>
      <c r="D118" s="3051"/>
      <c r="E118" s="3051"/>
      <c r="F118" s="3051"/>
      <c r="G118" s="3051"/>
      <c r="H118" s="3051"/>
      <c r="I118" s="3051"/>
      <c r="J118" s="3051"/>
      <c r="K118" s="2259" t="str">
        <f t="shared" si="1"/>
        <v>x</v>
      </c>
    </row>
    <row r="119" spans="1:11" ht="15" customHeight="1" x14ac:dyDescent="0.25">
      <c r="A119" s="3051"/>
      <c r="B119" s="3051"/>
      <c r="C119" s="3051"/>
      <c r="D119" s="3051"/>
      <c r="E119" s="3051"/>
      <c r="F119" s="3051"/>
      <c r="G119" s="3051"/>
      <c r="H119" s="3051"/>
      <c r="I119" s="3051"/>
      <c r="J119" s="3051"/>
      <c r="K119" s="2259" t="str">
        <f t="shared" si="1"/>
        <v>x</v>
      </c>
    </row>
    <row r="120" spans="1:11" ht="15" customHeight="1" x14ac:dyDescent="0.25">
      <c r="A120" s="3051"/>
      <c r="B120" s="3051"/>
      <c r="C120" s="3051"/>
      <c r="D120" s="3051"/>
      <c r="E120" s="3051"/>
      <c r="F120" s="3051"/>
      <c r="G120" s="3051"/>
      <c r="H120" s="3051"/>
      <c r="I120" s="3051"/>
      <c r="J120" s="3051"/>
      <c r="K120" s="2259" t="str">
        <f t="shared" si="1"/>
        <v>x</v>
      </c>
    </row>
    <row r="121" spans="1:11" ht="15" customHeight="1" x14ac:dyDescent="0.25">
      <c r="A121" s="3051"/>
      <c r="B121" s="3051"/>
      <c r="C121" s="3051"/>
      <c r="D121" s="3051"/>
      <c r="E121" s="3051"/>
      <c r="F121" s="3051"/>
      <c r="G121" s="3051"/>
      <c r="H121" s="3051"/>
      <c r="I121" s="3051"/>
      <c r="J121" s="3051"/>
      <c r="K121" s="2259" t="str">
        <f t="shared" si="1"/>
        <v>x</v>
      </c>
    </row>
    <row r="122" spans="1:11" ht="15" customHeight="1" x14ac:dyDescent="0.25">
      <c r="A122" s="3051"/>
      <c r="B122" s="3051"/>
      <c r="C122" s="3051"/>
      <c r="D122" s="3051"/>
      <c r="E122" s="3051"/>
      <c r="F122" s="3051"/>
      <c r="G122" s="3051"/>
      <c r="H122" s="3051"/>
      <c r="I122" s="3051"/>
      <c r="J122" s="3051"/>
      <c r="K122" s="2259" t="str">
        <f t="shared" si="1"/>
        <v>x</v>
      </c>
    </row>
    <row r="123" spans="1:11" ht="15" customHeight="1" x14ac:dyDescent="0.25">
      <c r="A123" s="3051"/>
      <c r="B123" s="3051"/>
      <c r="C123" s="3051"/>
      <c r="D123" s="3051"/>
      <c r="E123" s="3051"/>
      <c r="F123" s="3051"/>
      <c r="G123" s="3051"/>
      <c r="H123" s="3051"/>
      <c r="I123" s="3051"/>
      <c r="J123" s="3051"/>
      <c r="K123" s="2259" t="str">
        <f t="shared" si="1"/>
        <v>x</v>
      </c>
    </row>
    <row r="124" spans="1:11" ht="15" customHeight="1" x14ac:dyDescent="0.25">
      <c r="A124" s="3051"/>
      <c r="B124" s="3051"/>
      <c r="C124" s="3051"/>
      <c r="D124" s="3051"/>
      <c r="E124" s="3051"/>
      <c r="F124" s="3051"/>
      <c r="G124" s="3051"/>
      <c r="H124" s="3051"/>
      <c r="I124" s="3051"/>
      <c r="J124" s="3051"/>
      <c r="K124" s="2259" t="str">
        <f t="shared" si="1"/>
        <v>x</v>
      </c>
    </row>
    <row r="125" spans="1:11" ht="15" customHeight="1" x14ac:dyDescent="0.25">
      <c r="A125" s="3051"/>
      <c r="B125" s="3051"/>
      <c r="C125" s="3051"/>
      <c r="D125" s="3051"/>
      <c r="E125" s="3051"/>
      <c r="F125" s="3051"/>
      <c r="G125" s="3051"/>
      <c r="H125" s="3051"/>
      <c r="I125" s="3051"/>
      <c r="J125" s="3051"/>
      <c r="K125" s="2259" t="str">
        <f t="shared" si="1"/>
        <v>x</v>
      </c>
    </row>
    <row r="126" spans="1:11" ht="15" customHeight="1" x14ac:dyDescent="0.25">
      <c r="A126" s="3051"/>
      <c r="B126" s="3051"/>
      <c r="C126" s="3051"/>
      <c r="D126" s="3051"/>
      <c r="E126" s="3051"/>
      <c r="F126" s="3051"/>
      <c r="G126" s="3051"/>
      <c r="H126" s="3051"/>
      <c r="I126" s="3051"/>
      <c r="J126" s="3051"/>
      <c r="K126" s="2259" t="str">
        <f t="shared" si="1"/>
        <v>x</v>
      </c>
    </row>
    <row r="127" spans="1:11" ht="15" customHeight="1" x14ac:dyDescent="0.25">
      <c r="A127" s="3051"/>
      <c r="B127" s="3051"/>
      <c r="C127" s="3051"/>
      <c r="D127" s="3051"/>
      <c r="E127" s="3051"/>
      <c r="F127" s="3051"/>
      <c r="G127" s="3051"/>
      <c r="H127" s="3051"/>
      <c r="I127" s="3051"/>
      <c r="J127" s="3051"/>
      <c r="K127" s="2259" t="str">
        <f t="shared" si="1"/>
        <v>x</v>
      </c>
    </row>
    <row r="128" spans="1:11" ht="15" customHeight="1" x14ac:dyDescent="0.25">
      <c r="A128" s="3051"/>
      <c r="B128" s="3051"/>
      <c r="C128" s="3051"/>
      <c r="D128" s="3051"/>
      <c r="E128" s="3051"/>
      <c r="F128" s="3051"/>
      <c r="G128" s="3051"/>
      <c r="H128" s="3051"/>
      <c r="I128" s="3051"/>
      <c r="J128" s="3051"/>
      <c r="K128" s="2259" t="str">
        <f t="shared" si="1"/>
        <v>x</v>
      </c>
    </row>
    <row r="129" spans="1:11" ht="15" customHeight="1" x14ac:dyDescent="0.25">
      <c r="A129" s="3051"/>
      <c r="B129" s="3051"/>
      <c r="C129" s="3051"/>
      <c r="D129" s="3051"/>
      <c r="E129" s="3051"/>
      <c r="F129" s="3051"/>
      <c r="G129" s="3051"/>
      <c r="H129" s="3051"/>
      <c r="I129" s="3051"/>
      <c r="J129" s="3051"/>
      <c r="K129" s="2259" t="str">
        <f t="shared" si="1"/>
        <v>x</v>
      </c>
    </row>
    <row r="130" spans="1:11" ht="15" customHeight="1" x14ac:dyDescent="0.25">
      <c r="A130" s="3051"/>
      <c r="B130" s="3051"/>
      <c r="C130" s="3051"/>
      <c r="D130" s="3051"/>
      <c r="E130" s="3051"/>
      <c r="F130" s="3051"/>
      <c r="G130" s="3051"/>
      <c r="H130" s="3051"/>
      <c r="I130" s="3051"/>
      <c r="J130" s="3051"/>
      <c r="K130" s="2259" t="str">
        <f t="shared" si="1"/>
        <v>x</v>
      </c>
    </row>
    <row r="131" spans="1:11" ht="15" customHeight="1" x14ac:dyDescent="0.25">
      <c r="A131" s="3051"/>
      <c r="B131" s="3051"/>
      <c r="C131" s="3051"/>
      <c r="D131" s="3051"/>
      <c r="E131" s="3051"/>
      <c r="F131" s="3051"/>
      <c r="G131" s="3051"/>
      <c r="H131" s="3051"/>
      <c r="I131" s="3051"/>
      <c r="J131" s="3051"/>
      <c r="K131" s="2259" t="str">
        <f t="shared" si="1"/>
        <v>x</v>
      </c>
    </row>
    <row r="132" spans="1:11" ht="15" customHeight="1" x14ac:dyDescent="0.25">
      <c r="A132" s="3051"/>
      <c r="B132" s="3051"/>
      <c r="C132" s="3051"/>
      <c r="D132" s="3051"/>
      <c r="E132" s="3051"/>
      <c r="F132" s="3051"/>
      <c r="G132" s="3051"/>
      <c r="H132" s="3051"/>
      <c r="I132" s="3051"/>
      <c r="J132" s="3051"/>
      <c r="K132" s="2259" t="str">
        <f t="shared" si="1"/>
        <v>x</v>
      </c>
    </row>
    <row r="133" spans="1:11" ht="15" customHeight="1" x14ac:dyDescent="0.25">
      <c r="A133" s="3051"/>
      <c r="B133" s="3051"/>
      <c r="C133" s="3051"/>
      <c r="D133" s="3051"/>
      <c r="E133" s="3051"/>
      <c r="F133" s="3051"/>
      <c r="G133" s="3051"/>
      <c r="H133" s="3051"/>
      <c r="I133" s="3051"/>
      <c r="J133" s="3051"/>
      <c r="K133" s="2259" t="str">
        <f t="shared" si="1"/>
        <v>x</v>
      </c>
    </row>
    <row r="134" spans="1:11" ht="15" customHeight="1" x14ac:dyDescent="0.25">
      <c r="A134" s="3051"/>
      <c r="B134" s="3051"/>
      <c r="C134" s="3051"/>
      <c r="D134" s="3051"/>
      <c r="E134" s="3051"/>
      <c r="F134" s="3051"/>
      <c r="G134" s="3051"/>
      <c r="H134" s="3051"/>
      <c r="I134" s="3051"/>
      <c r="J134" s="3051"/>
      <c r="K134" s="2259" t="str">
        <f t="shared" si="1"/>
        <v>x</v>
      </c>
    </row>
    <row r="135" spans="1:11" ht="15" customHeight="1" x14ac:dyDescent="0.25">
      <c r="A135" s="3051"/>
      <c r="B135" s="3051"/>
      <c r="C135" s="3051"/>
      <c r="D135" s="3051"/>
      <c r="E135" s="3051"/>
      <c r="F135" s="3051"/>
      <c r="G135" s="3051"/>
      <c r="H135" s="3051"/>
      <c r="I135" s="3051"/>
      <c r="J135" s="3051"/>
      <c r="K135" s="2259" t="str">
        <f t="shared" si="1"/>
        <v>x</v>
      </c>
    </row>
    <row r="136" spans="1:11" ht="15" customHeight="1" x14ac:dyDescent="0.25">
      <c r="A136" s="3051"/>
      <c r="B136" s="3051"/>
      <c r="C136" s="3051"/>
      <c r="D136" s="3051"/>
      <c r="E136" s="3051"/>
      <c r="F136" s="3051"/>
      <c r="G136" s="3051"/>
      <c r="H136" s="3051"/>
      <c r="I136" s="3051"/>
      <c r="J136" s="3051"/>
      <c r="K136" s="2259" t="str">
        <f t="shared" si="1"/>
        <v>x</v>
      </c>
    </row>
    <row r="137" spans="1:11" ht="15" customHeight="1" x14ac:dyDescent="0.25">
      <c r="A137" s="3051"/>
      <c r="B137" s="3051"/>
      <c r="C137" s="3051"/>
      <c r="D137" s="3051"/>
      <c r="E137" s="3051"/>
      <c r="F137" s="3051"/>
      <c r="G137" s="3051"/>
      <c r="H137" s="3051"/>
      <c r="I137" s="3051"/>
      <c r="J137" s="3051"/>
      <c r="K137" s="2259" t="str">
        <f t="shared" si="1"/>
        <v>x</v>
      </c>
    </row>
    <row r="138" spans="1:11" ht="15" customHeight="1" x14ac:dyDescent="0.25">
      <c r="A138" s="3051"/>
      <c r="B138" s="3051"/>
      <c r="C138" s="3051"/>
      <c r="D138" s="3051"/>
      <c r="E138" s="3051"/>
      <c r="F138" s="3051"/>
      <c r="G138" s="3051"/>
      <c r="H138" s="3051"/>
      <c r="I138" s="3051"/>
      <c r="J138" s="3051"/>
      <c r="K138" s="2259" t="str">
        <f t="shared" si="1"/>
        <v>x</v>
      </c>
    </row>
    <row r="139" spans="1:11" ht="15" customHeight="1" x14ac:dyDescent="0.25">
      <c r="A139" s="3051"/>
      <c r="B139" s="3051"/>
      <c r="C139" s="3051"/>
      <c r="D139" s="3051"/>
      <c r="E139" s="3051"/>
      <c r="F139" s="3051"/>
      <c r="G139" s="3051"/>
      <c r="H139" s="3051"/>
      <c r="I139" s="3051"/>
      <c r="J139" s="3051"/>
      <c r="K139" s="2259" t="str">
        <f t="shared" si="1"/>
        <v>x</v>
      </c>
    </row>
    <row r="140" spans="1:11" ht="15" customHeight="1" x14ac:dyDescent="0.25">
      <c r="A140" s="3051"/>
      <c r="B140" s="3051"/>
      <c r="C140" s="3051"/>
      <c r="D140" s="3051"/>
      <c r="E140" s="3051"/>
      <c r="F140" s="3051"/>
      <c r="G140" s="3051"/>
      <c r="H140" s="3051"/>
      <c r="I140" s="3051"/>
      <c r="J140" s="3051"/>
      <c r="K140" s="2259" t="str">
        <f t="shared" si="1"/>
        <v>x</v>
      </c>
    </row>
    <row r="141" spans="1:11" ht="15" customHeight="1" x14ac:dyDescent="0.25">
      <c r="A141" s="3051"/>
      <c r="B141" s="3051"/>
      <c r="C141" s="3051"/>
      <c r="D141" s="3051"/>
      <c r="E141" s="3051"/>
      <c r="F141" s="3051"/>
      <c r="G141" s="3051"/>
      <c r="H141" s="3051"/>
      <c r="I141" s="3051"/>
      <c r="J141" s="3051"/>
      <c r="K141" s="2259" t="str">
        <f t="shared" si="1"/>
        <v>x</v>
      </c>
    </row>
    <row r="142" spans="1:11" ht="15" customHeight="1" x14ac:dyDescent="0.25">
      <c r="A142" s="3051"/>
      <c r="B142" s="3051"/>
      <c r="C142" s="3051"/>
      <c r="D142" s="3051"/>
      <c r="E142" s="3051"/>
      <c r="F142" s="3051"/>
      <c r="G142" s="3051"/>
      <c r="H142" s="3051"/>
      <c r="I142" s="3051"/>
      <c r="J142" s="3051"/>
      <c r="K142" s="2259" t="str">
        <f t="shared" si="1"/>
        <v>x</v>
      </c>
    </row>
    <row r="143" spans="1:11" ht="15" customHeight="1" x14ac:dyDescent="0.25">
      <c r="A143" s="3051"/>
      <c r="B143" s="3051"/>
      <c r="C143" s="3051"/>
      <c r="D143" s="3051"/>
      <c r="E143" s="3051"/>
      <c r="F143" s="3051"/>
      <c r="G143" s="3051"/>
      <c r="H143" s="3051"/>
      <c r="I143" s="3051"/>
      <c r="J143" s="3051"/>
      <c r="K143" s="2259" t="str">
        <f t="shared" si="1"/>
        <v>x</v>
      </c>
    </row>
    <row r="144" spans="1:11" ht="15" customHeight="1" x14ac:dyDescent="0.25">
      <c r="A144" s="3051"/>
      <c r="B144" s="3051"/>
      <c r="C144" s="3051"/>
      <c r="D144" s="3051"/>
      <c r="E144" s="3051"/>
      <c r="F144" s="3051"/>
      <c r="G144" s="3051"/>
      <c r="H144" s="3051"/>
      <c r="I144" s="3051"/>
      <c r="J144" s="3051"/>
      <c r="K144" s="2259" t="str">
        <f t="shared" si="1"/>
        <v>x</v>
      </c>
    </row>
    <row r="145" spans="1:11" ht="15" customHeight="1" x14ac:dyDescent="0.25">
      <c r="A145" s="3051"/>
      <c r="B145" s="3051"/>
      <c r="C145" s="3051"/>
      <c r="D145" s="3051"/>
      <c r="E145" s="3051"/>
      <c r="F145" s="3051"/>
      <c r="G145" s="3051"/>
      <c r="H145" s="3051"/>
      <c r="I145" s="3051"/>
      <c r="J145" s="3051"/>
      <c r="K145" s="2259" t="str">
        <f t="shared" si="1"/>
        <v>x</v>
      </c>
    </row>
    <row r="146" spans="1:11" ht="15" customHeight="1" x14ac:dyDescent="0.25">
      <c r="A146" s="3051"/>
      <c r="B146" s="3051"/>
      <c r="C146" s="3051"/>
      <c r="D146" s="3051"/>
      <c r="E146" s="3051"/>
      <c r="F146" s="3051"/>
      <c r="G146" s="3051"/>
      <c r="H146" s="3051"/>
      <c r="I146" s="3051"/>
      <c r="J146" s="3051"/>
      <c r="K146" s="2259" t="str">
        <f t="shared" si="1"/>
        <v>x</v>
      </c>
    </row>
    <row r="147" spans="1:11" ht="15" customHeight="1" x14ac:dyDescent="0.25">
      <c r="K147" s="2259" t="str">
        <f>K148</f>
        <v>x</v>
      </c>
    </row>
    <row r="148" spans="1:11" ht="15" customHeight="1" x14ac:dyDescent="0.25">
      <c r="A148" s="2246" t="s">
        <v>338</v>
      </c>
      <c r="B148" s="2246"/>
      <c r="C148" s="2246"/>
      <c r="D148" s="2246"/>
      <c r="E148" s="2246"/>
      <c r="F148" s="2246"/>
      <c r="G148" s="2246"/>
      <c r="H148" s="2246"/>
      <c r="I148" s="2246"/>
      <c r="J148" s="2246"/>
      <c r="K148" s="2259" t="str">
        <f>K149</f>
        <v>x</v>
      </c>
    </row>
    <row r="149" spans="1:11" ht="15" customHeight="1" x14ac:dyDescent="0.25">
      <c r="A149" s="3052" t="s">
        <v>119</v>
      </c>
      <c r="B149" s="3052"/>
      <c r="C149" s="3052" t="s">
        <v>121</v>
      </c>
      <c r="D149" s="3052"/>
      <c r="E149" s="3052" t="s">
        <v>336</v>
      </c>
      <c r="F149" s="3052"/>
      <c r="G149" s="3052" t="s">
        <v>832</v>
      </c>
      <c r="H149" s="3052"/>
      <c r="I149" s="3052" t="s">
        <v>328</v>
      </c>
      <c r="J149" s="3052"/>
      <c r="K149" s="2259" t="str">
        <f>K150</f>
        <v>x</v>
      </c>
    </row>
    <row r="150" spans="1:11" ht="15" customHeight="1" x14ac:dyDescent="0.25">
      <c r="A150" s="3051"/>
      <c r="B150" s="3051"/>
      <c r="C150" s="3051"/>
      <c r="D150" s="3051"/>
      <c r="E150" s="3051"/>
      <c r="F150" s="3051"/>
      <c r="G150" s="3051"/>
      <c r="H150" s="3051"/>
      <c r="I150" s="3051"/>
      <c r="J150" s="3051"/>
      <c r="K150" s="2259" t="str">
        <f t="shared" ref="K150:K200" si="2">IF(A150="","x","")</f>
        <v>x</v>
      </c>
    </row>
    <row r="151" spans="1:11" ht="15" customHeight="1" x14ac:dyDescent="0.25">
      <c r="A151" s="3051"/>
      <c r="B151" s="3051"/>
      <c r="C151" s="3051"/>
      <c r="D151" s="3051"/>
      <c r="E151" s="3051"/>
      <c r="F151" s="3051"/>
      <c r="G151" s="3051"/>
      <c r="H151" s="3051"/>
      <c r="I151" s="3051"/>
      <c r="J151" s="3051"/>
      <c r="K151" s="2259" t="str">
        <f t="shared" si="2"/>
        <v>x</v>
      </c>
    </row>
    <row r="152" spans="1:11" ht="15" customHeight="1" x14ac:dyDescent="0.25">
      <c r="A152" s="3051"/>
      <c r="B152" s="3051"/>
      <c r="C152" s="3051"/>
      <c r="D152" s="3051"/>
      <c r="E152" s="3051"/>
      <c r="F152" s="3051"/>
      <c r="G152" s="3051"/>
      <c r="H152" s="3051"/>
      <c r="I152" s="3051"/>
      <c r="J152" s="3051"/>
      <c r="K152" s="2259" t="str">
        <f t="shared" si="2"/>
        <v>x</v>
      </c>
    </row>
    <row r="153" spans="1:11" ht="15" customHeight="1" x14ac:dyDescent="0.25">
      <c r="A153" s="3051"/>
      <c r="B153" s="3051"/>
      <c r="C153" s="3051"/>
      <c r="D153" s="3051"/>
      <c r="E153" s="3051"/>
      <c r="F153" s="3051"/>
      <c r="G153" s="3051"/>
      <c r="H153" s="3051"/>
      <c r="I153" s="3051"/>
      <c r="J153" s="3051"/>
      <c r="K153" s="2259" t="str">
        <f t="shared" si="2"/>
        <v>x</v>
      </c>
    </row>
    <row r="154" spans="1:11" ht="15" customHeight="1" x14ac:dyDescent="0.25">
      <c r="A154" s="3051"/>
      <c r="B154" s="3051"/>
      <c r="C154" s="3051"/>
      <c r="D154" s="3051"/>
      <c r="E154" s="3051"/>
      <c r="F154" s="3051"/>
      <c r="G154" s="3051"/>
      <c r="H154" s="3051"/>
      <c r="I154" s="3051"/>
      <c r="J154" s="3051"/>
      <c r="K154" s="2259" t="str">
        <f t="shared" si="2"/>
        <v>x</v>
      </c>
    </row>
    <row r="155" spans="1:11" ht="15" customHeight="1" x14ac:dyDescent="0.25">
      <c r="A155" s="3051"/>
      <c r="B155" s="3051"/>
      <c r="C155" s="3051"/>
      <c r="D155" s="3051"/>
      <c r="E155" s="3051"/>
      <c r="F155" s="3051"/>
      <c r="G155" s="3051"/>
      <c r="H155" s="3051"/>
      <c r="I155" s="3051"/>
      <c r="J155" s="3051"/>
      <c r="K155" s="2259" t="str">
        <f t="shared" si="2"/>
        <v>x</v>
      </c>
    </row>
    <row r="156" spans="1:11" ht="15" customHeight="1" x14ac:dyDescent="0.25">
      <c r="A156" s="3051"/>
      <c r="B156" s="3051"/>
      <c r="C156" s="3051"/>
      <c r="D156" s="3051"/>
      <c r="E156" s="3051"/>
      <c r="F156" s="3051"/>
      <c r="G156" s="3051"/>
      <c r="H156" s="3051"/>
      <c r="I156" s="3051"/>
      <c r="J156" s="3051"/>
      <c r="K156" s="2259" t="str">
        <f t="shared" si="2"/>
        <v>x</v>
      </c>
    </row>
    <row r="157" spans="1:11" ht="15" customHeight="1" x14ac:dyDescent="0.25">
      <c r="A157" s="3051"/>
      <c r="B157" s="3051"/>
      <c r="C157" s="3051"/>
      <c r="D157" s="3051"/>
      <c r="E157" s="3051"/>
      <c r="F157" s="3051"/>
      <c r="G157" s="3051"/>
      <c r="H157" s="3051"/>
      <c r="I157" s="3051"/>
      <c r="J157" s="3051"/>
      <c r="K157" s="2259" t="str">
        <f t="shared" si="2"/>
        <v>x</v>
      </c>
    </row>
    <row r="158" spans="1:11" ht="15" customHeight="1" x14ac:dyDescent="0.25">
      <c r="A158" s="3051"/>
      <c r="B158" s="3051"/>
      <c r="C158" s="3051"/>
      <c r="D158" s="3051"/>
      <c r="E158" s="3051"/>
      <c r="F158" s="3051"/>
      <c r="G158" s="3051"/>
      <c r="H158" s="3051"/>
      <c r="I158" s="3051"/>
      <c r="J158" s="3051"/>
      <c r="K158" s="2259" t="str">
        <f t="shared" si="2"/>
        <v>x</v>
      </c>
    </row>
    <row r="159" spans="1:11" ht="15" customHeight="1" x14ac:dyDescent="0.25">
      <c r="A159" s="3051"/>
      <c r="B159" s="3051"/>
      <c r="C159" s="3051"/>
      <c r="D159" s="3051"/>
      <c r="E159" s="3051"/>
      <c r="F159" s="3051"/>
      <c r="G159" s="3051"/>
      <c r="H159" s="3051"/>
      <c r="I159" s="3051"/>
      <c r="J159" s="3051"/>
      <c r="K159" s="2259" t="str">
        <f t="shared" si="2"/>
        <v>x</v>
      </c>
    </row>
    <row r="160" spans="1:11" ht="15" customHeight="1" x14ac:dyDescent="0.25">
      <c r="A160" s="3051"/>
      <c r="B160" s="3051"/>
      <c r="C160" s="3051"/>
      <c r="D160" s="3051"/>
      <c r="E160" s="3051"/>
      <c r="F160" s="3051"/>
      <c r="G160" s="3051"/>
      <c r="H160" s="3051"/>
      <c r="I160" s="3051"/>
      <c r="J160" s="3051"/>
      <c r="K160" s="2259" t="str">
        <f t="shared" si="2"/>
        <v>x</v>
      </c>
    </row>
    <row r="161" spans="1:11" ht="15" customHeight="1" x14ac:dyDescent="0.25">
      <c r="A161" s="3051"/>
      <c r="B161" s="3051"/>
      <c r="C161" s="3051"/>
      <c r="D161" s="3051"/>
      <c r="E161" s="3051"/>
      <c r="F161" s="3051"/>
      <c r="G161" s="3051"/>
      <c r="H161" s="3051"/>
      <c r="I161" s="3051"/>
      <c r="J161" s="3051"/>
      <c r="K161" s="2259" t="str">
        <f t="shared" si="2"/>
        <v>x</v>
      </c>
    </row>
    <row r="162" spans="1:11" ht="15" customHeight="1" x14ac:dyDescent="0.25">
      <c r="A162" s="3051"/>
      <c r="B162" s="3051"/>
      <c r="C162" s="3051"/>
      <c r="D162" s="3051"/>
      <c r="E162" s="3051"/>
      <c r="F162" s="3051"/>
      <c r="G162" s="3051"/>
      <c r="H162" s="3051"/>
      <c r="I162" s="3051"/>
      <c r="J162" s="3051"/>
      <c r="K162" s="2259" t="str">
        <f t="shared" si="2"/>
        <v>x</v>
      </c>
    </row>
    <row r="163" spans="1:11" ht="15" customHeight="1" x14ac:dyDescent="0.25">
      <c r="A163" s="3051"/>
      <c r="B163" s="3051"/>
      <c r="C163" s="3051"/>
      <c r="D163" s="3051"/>
      <c r="E163" s="3051"/>
      <c r="F163" s="3051"/>
      <c r="G163" s="3051"/>
      <c r="H163" s="3051"/>
      <c r="I163" s="3051"/>
      <c r="J163" s="3051"/>
      <c r="K163" s="2259" t="str">
        <f t="shared" si="2"/>
        <v>x</v>
      </c>
    </row>
    <row r="164" spans="1:11" ht="15" customHeight="1" x14ac:dyDescent="0.25">
      <c r="A164" s="3051"/>
      <c r="B164" s="3051"/>
      <c r="C164" s="3051"/>
      <c r="D164" s="3051"/>
      <c r="E164" s="3051"/>
      <c r="F164" s="3051"/>
      <c r="G164" s="3051"/>
      <c r="H164" s="3051"/>
      <c r="I164" s="3051"/>
      <c r="J164" s="3051"/>
      <c r="K164" s="2259" t="str">
        <f t="shared" si="2"/>
        <v>x</v>
      </c>
    </row>
    <row r="165" spans="1:11" ht="15" customHeight="1" x14ac:dyDescent="0.25">
      <c r="A165" s="3051"/>
      <c r="B165" s="3051"/>
      <c r="C165" s="3051"/>
      <c r="D165" s="3051"/>
      <c r="E165" s="3051"/>
      <c r="F165" s="3051"/>
      <c r="G165" s="3051"/>
      <c r="H165" s="3051"/>
      <c r="I165" s="3051"/>
      <c r="J165" s="3051"/>
      <c r="K165" s="2259" t="str">
        <f t="shared" si="2"/>
        <v>x</v>
      </c>
    </row>
    <row r="166" spans="1:11" ht="15" customHeight="1" x14ac:dyDescent="0.25">
      <c r="A166" s="3051"/>
      <c r="B166" s="3051"/>
      <c r="C166" s="3051"/>
      <c r="D166" s="3051"/>
      <c r="E166" s="3051"/>
      <c r="F166" s="3051"/>
      <c r="G166" s="3051"/>
      <c r="H166" s="3051"/>
      <c r="I166" s="3051"/>
      <c r="J166" s="3051"/>
      <c r="K166" s="2259" t="str">
        <f t="shared" si="2"/>
        <v>x</v>
      </c>
    </row>
    <row r="167" spans="1:11" ht="15" customHeight="1" x14ac:dyDescent="0.25">
      <c r="A167" s="3051"/>
      <c r="B167" s="3051"/>
      <c r="C167" s="3051"/>
      <c r="D167" s="3051"/>
      <c r="E167" s="3051"/>
      <c r="F167" s="3051"/>
      <c r="G167" s="3051"/>
      <c r="H167" s="3051"/>
      <c r="I167" s="3051"/>
      <c r="J167" s="3051"/>
      <c r="K167" s="2259" t="str">
        <f t="shared" si="2"/>
        <v>x</v>
      </c>
    </row>
    <row r="168" spans="1:11" ht="15" customHeight="1" x14ac:dyDescent="0.25">
      <c r="A168" s="3051"/>
      <c r="B168" s="3051"/>
      <c r="C168" s="3051"/>
      <c r="D168" s="3051"/>
      <c r="E168" s="3051"/>
      <c r="F168" s="3051"/>
      <c r="G168" s="3051"/>
      <c r="H168" s="3051"/>
      <c r="I168" s="3051"/>
      <c r="J168" s="3051"/>
      <c r="K168" s="2259" t="str">
        <f t="shared" si="2"/>
        <v>x</v>
      </c>
    </row>
    <row r="169" spans="1:11" ht="15" customHeight="1" x14ac:dyDescent="0.25">
      <c r="A169" s="3051"/>
      <c r="B169" s="3051"/>
      <c r="C169" s="3051"/>
      <c r="D169" s="3051"/>
      <c r="E169" s="3051"/>
      <c r="F169" s="3051"/>
      <c r="G169" s="3051"/>
      <c r="H169" s="3051"/>
      <c r="I169" s="3051"/>
      <c r="J169" s="3051"/>
      <c r="K169" s="2259" t="str">
        <f t="shared" si="2"/>
        <v>x</v>
      </c>
    </row>
    <row r="170" spans="1:11" ht="15" customHeight="1" x14ac:dyDescent="0.25">
      <c r="A170" s="3051"/>
      <c r="B170" s="3051"/>
      <c r="C170" s="3051"/>
      <c r="D170" s="3051"/>
      <c r="E170" s="3051"/>
      <c r="F170" s="3051"/>
      <c r="G170" s="3051"/>
      <c r="H170" s="3051"/>
      <c r="I170" s="3051"/>
      <c r="J170" s="3051"/>
      <c r="K170" s="2259" t="str">
        <f t="shared" si="2"/>
        <v>x</v>
      </c>
    </row>
    <row r="171" spans="1:11" ht="15" customHeight="1" x14ac:dyDescent="0.25">
      <c r="A171" s="3051"/>
      <c r="B171" s="3051"/>
      <c r="C171" s="3051"/>
      <c r="D171" s="3051"/>
      <c r="E171" s="3051"/>
      <c r="F171" s="3051"/>
      <c r="G171" s="3051"/>
      <c r="H171" s="3051"/>
      <c r="I171" s="3051"/>
      <c r="J171" s="3051"/>
      <c r="K171" s="2259" t="str">
        <f t="shared" si="2"/>
        <v>x</v>
      </c>
    </row>
    <row r="172" spans="1:11" ht="15" customHeight="1" x14ac:dyDescent="0.25">
      <c r="A172" s="3051"/>
      <c r="B172" s="3051"/>
      <c r="C172" s="3051"/>
      <c r="D172" s="3051"/>
      <c r="E172" s="3051"/>
      <c r="F172" s="3051"/>
      <c r="G172" s="3051"/>
      <c r="H172" s="3051"/>
      <c r="I172" s="3051"/>
      <c r="J172" s="3051"/>
      <c r="K172" s="2259" t="str">
        <f t="shared" si="2"/>
        <v>x</v>
      </c>
    </row>
    <row r="173" spans="1:11" ht="15" customHeight="1" x14ac:dyDescent="0.25">
      <c r="A173" s="3051"/>
      <c r="B173" s="3051"/>
      <c r="C173" s="3051"/>
      <c r="D173" s="3051"/>
      <c r="E173" s="3051"/>
      <c r="F173" s="3051"/>
      <c r="G173" s="3051"/>
      <c r="H173" s="3051"/>
      <c r="I173" s="3051"/>
      <c r="J173" s="3051"/>
      <c r="K173" s="2259" t="str">
        <f t="shared" si="2"/>
        <v>x</v>
      </c>
    </row>
    <row r="174" spans="1:11" ht="15" customHeight="1" x14ac:dyDescent="0.25">
      <c r="A174" s="3051"/>
      <c r="B174" s="3051"/>
      <c r="C174" s="3051"/>
      <c r="D174" s="3051"/>
      <c r="E174" s="3051"/>
      <c r="F174" s="3051"/>
      <c r="G174" s="3051"/>
      <c r="H174" s="3051"/>
      <c r="I174" s="3051"/>
      <c r="J174" s="3051"/>
      <c r="K174" s="2259" t="str">
        <f t="shared" si="2"/>
        <v>x</v>
      </c>
    </row>
    <row r="175" spans="1:11" ht="15" customHeight="1" x14ac:dyDescent="0.25">
      <c r="A175" s="3051"/>
      <c r="B175" s="3051"/>
      <c r="C175" s="3051"/>
      <c r="D175" s="3051"/>
      <c r="E175" s="3051"/>
      <c r="F175" s="3051"/>
      <c r="G175" s="3051"/>
      <c r="H175" s="3051"/>
      <c r="I175" s="3051"/>
      <c r="J175" s="3051"/>
      <c r="K175" s="2259" t="str">
        <f t="shared" si="2"/>
        <v>x</v>
      </c>
    </row>
    <row r="176" spans="1:11" ht="15" customHeight="1" x14ac:dyDescent="0.25">
      <c r="A176" s="3051"/>
      <c r="B176" s="3051"/>
      <c r="C176" s="3051"/>
      <c r="D176" s="3051"/>
      <c r="E176" s="3051"/>
      <c r="F176" s="3051"/>
      <c r="G176" s="3051"/>
      <c r="H176" s="3051"/>
      <c r="I176" s="3051"/>
      <c r="J176" s="3051"/>
      <c r="K176" s="2259" t="str">
        <f t="shared" si="2"/>
        <v>x</v>
      </c>
    </row>
    <row r="177" spans="1:11" ht="15" customHeight="1" x14ac:dyDescent="0.25">
      <c r="A177" s="3051"/>
      <c r="B177" s="3051"/>
      <c r="C177" s="3051"/>
      <c r="D177" s="3051"/>
      <c r="E177" s="3051"/>
      <c r="F177" s="3051"/>
      <c r="G177" s="3051"/>
      <c r="H177" s="3051"/>
      <c r="I177" s="3051"/>
      <c r="J177" s="3051"/>
      <c r="K177" s="2259" t="str">
        <f t="shared" si="2"/>
        <v>x</v>
      </c>
    </row>
    <row r="178" spans="1:11" ht="15" customHeight="1" x14ac:dyDescent="0.25">
      <c r="A178" s="3051"/>
      <c r="B178" s="3051"/>
      <c r="C178" s="3051"/>
      <c r="D178" s="3051"/>
      <c r="E178" s="3051"/>
      <c r="F178" s="3051"/>
      <c r="G178" s="3051"/>
      <c r="H178" s="3051"/>
      <c r="I178" s="3051"/>
      <c r="J178" s="3051"/>
      <c r="K178" s="2259" t="str">
        <f t="shared" si="2"/>
        <v>x</v>
      </c>
    </row>
    <row r="179" spans="1:11" ht="15" customHeight="1" x14ac:dyDescent="0.25">
      <c r="A179" s="3051"/>
      <c r="B179" s="3051"/>
      <c r="C179" s="3051"/>
      <c r="D179" s="3051"/>
      <c r="E179" s="3051"/>
      <c r="F179" s="3051"/>
      <c r="G179" s="3051"/>
      <c r="H179" s="3051"/>
      <c r="I179" s="3051"/>
      <c r="J179" s="3051"/>
      <c r="K179" s="2259" t="str">
        <f t="shared" si="2"/>
        <v>x</v>
      </c>
    </row>
    <row r="180" spans="1:11" ht="15" customHeight="1" x14ac:dyDescent="0.25">
      <c r="A180" s="3051"/>
      <c r="B180" s="3051"/>
      <c r="C180" s="3051"/>
      <c r="D180" s="3051"/>
      <c r="E180" s="3051"/>
      <c r="F180" s="3051"/>
      <c r="G180" s="3051"/>
      <c r="H180" s="3051"/>
      <c r="I180" s="3051"/>
      <c r="J180" s="3051"/>
      <c r="K180" s="2259" t="str">
        <f t="shared" si="2"/>
        <v>x</v>
      </c>
    </row>
    <row r="181" spans="1:11" ht="15" customHeight="1" x14ac:dyDescent="0.25">
      <c r="A181" s="3051"/>
      <c r="B181" s="3051"/>
      <c r="C181" s="3051"/>
      <c r="D181" s="3051"/>
      <c r="E181" s="3051"/>
      <c r="F181" s="3051"/>
      <c r="G181" s="3051"/>
      <c r="H181" s="3051"/>
      <c r="I181" s="3051"/>
      <c r="J181" s="3051"/>
      <c r="K181" s="2259" t="str">
        <f t="shared" si="2"/>
        <v>x</v>
      </c>
    </row>
    <row r="182" spans="1:11" ht="15" customHeight="1" x14ac:dyDescent="0.25">
      <c r="A182" s="3051"/>
      <c r="B182" s="3051"/>
      <c r="C182" s="3051"/>
      <c r="D182" s="3051"/>
      <c r="E182" s="3051"/>
      <c r="F182" s="3051"/>
      <c r="G182" s="3051"/>
      <c r="H182" s="3051"/>
      <c r="I182" s="3051"/>
      <c r="J182" s="3051"/>
      <c r="K182" s="2259" t="str">
        <f t="shared" si="2"/>
        <v>x</v>
      </c>
    </row>
    <row r="183" spans="1:11" ht="15" customHeight="1" x14ac:dyDescent="0.25">
      <c r="A183" s="3051"/>
      <c r="B183" s="3051"/>
      <c r="C183" s="3051"/>
      <c r="D183" s="3051"/>
      <c r="E183" s="3051"/>
      <c r="F183" s="3051"/>
      <c r="G183" s="3051"/>
      <c r="H183" s="3051"/>
      <c r="I183" s="3051"/>
      <c r="J183" s="3051"/>
      <c r="K183" s="2259" t="str">
        <f t="shared" si="2"/>
        <v>x</v>
      </c>
    </row>
    <row r="184" spans="1:11" ht="15" customHeight="1" x14ac:dyDescent="0.25">
      <c r="A184" s="3051"/>
      <c r="B184" s="3051"/>
      <c r="C184" s="3051"/>
      <c r="D184" s="3051"/>
      <c r="E184" s="3051"/>
      <c r="F184" s="3051"/>
      <c r="G184" s="3051"/>
      <c r="H184" s="3051"/>
      <c r="I184" s="3051"/>
      <c r="J184" s="3051"/>
      <c r="K184" s="2259" t="str">
        <f t="shared" si="2"/>
        <v>x</v>
      </c>
    </row>
    <row r="185" spans="1:11" ht="15" customHeight="1" x14ac:dyDescent="0.25">
      <c r="A185" s="3051"/>
      <c r="B185" s="3051"/>
      <c r="C185" s="3051"/>
      <c r="D185" s="3051"/>
      <c r="E185" s="3051"/>
      <c r="F185" s="3051"/>
      <c r="G185" s="3051"/>
      <c r="H185" s="3051"/>
      <c r="I185" s="3051"/>
      <c r="J185" s="3051"/>
      <c r="K185" s="2259" t="str">
        <f t="shared" si="2"/>
        <v>x</v>
      </c>
    </row>
    <row r="186" spans="1:11" ht="15" customHeight="1" x14ac:dyDescent="0.25">
      <c r="A186" s="3051"/>
      <c r="B186" s="3051"/>
      <c r="C186" s="3051"/>
      <c r="D186" s="3051"/>
      <c r="E186" s="3051"/>
      <c r="F186" s="3051"/>
      <c r="G186" s="3051"/>
      <c r="H186" s="3051"/>
      <c r="I186" s="3051"/>
      <c r="J186" s="3051"/>
      <c r="K186" s="2259" t="str">
        <f t="shared" si="2"/>
        <v>x</v>
      </c>
    </row>
    <row r="187" spans="1:11" ht="15" customHeight="1" x14ac:dyDescent="0.25">
      <c r="A187" s="3051"/>
      <c r="B187" s="3051"/>
      <c r="C187" s="3051"/>
      <c r="D187" s="3051"/>
      <c r="E187" s="3051"/>
      <c r="F187" s="3051"/>
      <c r="G187" s="3051"/>
      <c r="H187" s="3051"/>
      <c r="I187" s="3051"/>
      <c r="J187" s="3051"/>
      <c r="K187" s="2259" t="str">
        <f t="shared" si="2"/>
        <v>x</v>
      </c>
    </row>
    <row r="188" spans="1:11" ht="15" customHeight="1" x14ac:dyDescent="0.25">
      <c r="A188" s="3051"/>
      <c r="B188" s="3051"/>
      <c r="C188" s="3051"/>
      <c r="D188" s="3051"/>
      <c r="E188" s="3051"/>
      <c r="F188" s="3051"/>
      <c r="G188" s="3051"/>
      <c r="H188" s="3051"/>
      <c r="I188" s="3051"/>
      <c r="J188" s="3051"/>
      <c r="K188" s="2259" t="str">
        <f t="shared" si="2"/>
        <v>x</v>
      </c>
    </row>
    <row r="189" spans="1:11" ht="15" customHeight="1" x14ac:dyDescent="0.25">
      <c r="A189" s="3051"/>
      <c r="B189" s="3051"/>
      <c r="C189" s="3051"/>
      <c r="D189" s="3051"/>
      <c r="E189" s="3051"/>
      <c r="F189" s="3051"/>
      <c r="G189" s="3051"/>
      <c r="H189" s="3051"/>
      <c r="I189" s="3051"/>
      <c r="J189" s="3051"/>
      <c r="K189" s="2259" t="str">
        <f t="shared" si="2"/>
        <v>x</v>
      </c>
    </row>
    <row r="190" spans="1:11" ht="15" customHeight="1" x14ac:dyDescent="0.25">
      <c r="A190" s="3051"/>
      <c r="B190" s="3051"/>
      <c r="C190" s="3051"/>
      <c r="D190" s="3051"/>
      <c r="E190" s="3051"/>
      <c r="F190" s="3051"/>
      <c r="G190" s="3051"/>
      <c r="H190" s="3051"/>
      <c r="I190" s="3051"/>
      <c r="J190" s="3051"/>
      <c r="K190" s="2259" t="str">
        <f t="shared" si="2"/>
        <v>x</v>
      </c>
    </row>
    <row r="191" spans="1:11" ht="15" customHeight="1" x14ac:dyDescent="0.25">
      <c r="A191" s="3051"/>
      <c r="B191" s="3051"/>
      <c r="C191" s="3051"/>
      <c r="D191" s="3051"/>
      <c r="E191" s="3051"/>
      <c r="F191" s="3051"/>
      <c r="G191" s="3051"/>
      <c r="H191" s="3051"/>
      <c r="I191" s="3051"/>
      <c r="J191" s="3051"/>
      <c r="K191" s="2259" t="str">
        <f t="shared" si="2"/>
        <v>x</v>
      </c>
    </row>
    <row r="192" spans="1:11" ht="15" customHeight="1" x14ac:dyDescent="0.25">
      <c r="A192" s="3051"/>
      <c r="B192" s="3051"/>
      <c r="C192" s="3051"/>
      <c r="D192" s="3051"/>
      <c r="E192" s="3051"/>
      <c r="F192" s="3051"/>
      <c r="G192" s="3051"/>
      <c r="H192" s="3051"/>
      <c r="I192" s="3051"/>
      <c r="J192" s="3051"/>
      <c r="K192" s="2259" t="str">
        <f t="shared" si="2"/>
        <v>x</v>
      </c>
    </row>
    <row r="193" spans="1:11" ht="15" customHeight="1" x14ac:dyDescent="0.25">
      <c r="A193" s="3051"/>
      <c r="B193" s="3051"/>
      <c r="C193" s="3051"/>
      <c r="D193" s="3051"/>
      <c r="E193" s="3051"/>
      <c r="F193" s="3051"/>
      <c r="G193" s="3051"/>
      <c r="H193" s="3051"/>
      <c r="I193" s="3051"/>
      <c r="J193" s="3051"/>
      <c r="K193" s="2259" t="str">
        <f t="shared" si="2"/>
        <v>x</v>
      </c>
    </row>
    <row r="194" spans="1:11" ht="15" customHeight="1" x14ac:dyDescent="0.25">
      <c r="A194" s="3051"/>
      <c r="B194" s="3051"/>
      <c r="C194" s="3051"/>
      <c r="D194" s="3051"/>
      <c r="E194" s="3051"/>
      <c r="F194" s="3051"/>
      <c r="G194" s="3051"/>
      <c r="H194" s="3051"/>
      <c r="I194" s="3051"/>
      <c r="J194" s="3051"/>
      <c r="K194" s="2259" t="str">
        <f t="shared" si="2"/>
        <v>x</v>
      </c>
    </row>
    <row r="195" spans="1:11" ht="15" customHeight="1" x14ac:dyDescent="0.25">
      <c r="A195" s="3051"/>
      <c r="B195" s="3051"/>
      <c r="C195" s="3051"/>
      <c r="D195" s="3051"/>
      <c r="E195" s="3051"/>
      <c r="F195" s="3051"/>
      <c r="G195" s="3051"/>
      <c r="H195" s="3051"/>
      <c r="I195" s="3051"/>
      <c r="J195" s="3051"/>
      <c r="K195" s="2259" t="str">
        <f t="shared" si="2"/>
        <v>x</v>
      </c>
    </row>
    <row r="196" spans="1:11" ht="15" customHeight="1" x14ac:dyDescent="0.25">
      <c r="A196" s="3051"/>
      <c r="B196" s="3051"/>
      <c r="C196" s="3051"/>
      <c r="D196" s="3051"/>
      <c r="E196" s="3051"/>
      <c r="F196" s="3051"/>
      <c r="G196" s="3051"/>
      <c r="H196" s="3051"/>
      <c r="I196" s="3051"/>
      <c r="J196" s="3051"/>
      <c r="K196" s="2259" t="str">
        <f t="shared" si="2"/>
        <v>x</v>
      </c>
    </row>
    <row r="197" spans="1:11" ht="15" customHeight="1" x14ac:dyDescent="0.25">
      <c r="A197" s="3051"/>
      <c r="B197" s="3051"/>
      <c r="C197" s="3051"/>
      <c r="D197" s="3051"/>
      <c r="E197" s="3051"/>
      <c r="F197" s="3051"/>
      <c r="G197" s="3051"/>
      <c r="H197" s="3051"/>
      <c r="I197" s="3051"/>
      <c r="J197" s="3051"/>
      <c r="K197" s="2259" t="str">
        <f t="shared" si="2"/>
        <v>x</v>
      </c>
    </row>
    <row r="198" spans="1:11" ht="15" customHeight="1" x14ac:dyDescent="0.25">
      <c r="A198" s="3051"/>
      <c r="B198" s="3051"/>
      <c r="C198" s="3051"/>
      <c r="D198" s="3051"/>
      <c r="E198" s="3051"/>
      <c r="F198" s="3051"/>
      <c r="G198" s="3051"/>
      <c r="H198" s="3051"/>
      <c r="I198" s="3051"/>
      <c r="J198" s="3051"/>
      <c r="K198" s="2259" t="str">
        <f t="shared" si="2"/>
        <v>x</v>
      </c>
    </row>
    <row r="199" spans="1:11" ht="15" customHeight="1" x14ac:dyDescent="0.25">
      <c r="A199" s="3051"/>
      <c r="B199" s="3051"/>
      <c r="C199" s="3051"/>
      <c r="D199" s="3051"/>
      <c r="E199" s="3051"/>
      <c r="F199" s="3051"/>
      <c r="G199" s="3051"/>
      <c r="H199" s="3051"/>
      <c r="I199" s="3051"/>
      <c r="J199" s="3051"/>
      <c r="K199" s="2259" t="str">
        <f t="shared" si="2"/>
        <v>x</v>
      </c>
    </row>
    <row r="200" spans="1:11" ht="15" customHeight="1" x14ac:dyDescent="0.25">
      <c r="A200" s="3051"/>
      <c r="B200" s="3051"/>
      <c r="C200" s="3051"/>
      <c r="D200" s="3051"/>
      <c r="E200" s="3051"/>
      <c r="F200" s="3051"/>
      <c r="G200" s="3051"/>
      <c r="H200" s="3051"/>
      <c r="I200" s="3051"/>
      <c r="J200" s="3051"/>
      <c r="K200" s="2259" t="str">
        <f t="shared" si="2"/>
        <v>x</v>
      </c>
    </row>
    <row r="201" spans="1:11" ht="15" customHeight="1" x14ac:dyDescent="0.25">
      <c r="K201" s="2259" t="str">
        <f>K202</f>
        <v>x</v>
      </c>
    </row>
    <row r="202" spans="1:11" ht="15" customHeight="1" x14ac:dyDescent="0.25">
      <c r="A202" s="2246" t="s">
        <v>339</v>
      </c>
      <c r="B202" s="2246"/>
      <c r="C202" s="2246"/>
      <c r="D202" s="2246"/>
      <c r="E202" s="2246"/>
      <c r="F202" s="2246"/>
      <c r="G202" s="2246"/>
      <c r="H202" s="2246"/>
      <c r="I202" s="2246"/>
      <c r="J202" s="2246"/>
      <c r="K202" s="2259" t="str">
        <f>K203</f>
        <v>x</v>
      </c>
    </row>
    <row r="203" spans="1:11" ht="15" customHeight="1" x14ac:dyDescent="0.25">
      <c r="A203" s="3052" t="s">
        <v>119</v>
      </c>
      <c r="B203" s="3052"/>
      <c r="C203" s="3052" t="s">
        <v>121</v>
      </c>
      <c r="D203" s="3052"/>
      <c r="E203" s="3052" t="s">
        <v>336</v>
      </c>
      <c r="F203" s="3052"/>
      <c r="G203" s="3052" t="s">
        <v>832</v>
      </c>
      <c r="H203" s="3052"/>
      <c r="I203" s="3052" t="s">
        <v>328</v>
      </c>
      <c r="J203" s="3052"/>
      <c r="K203" s="2259" t="str">
        <f>K204</f>
        <v>x</v>
      </c>
    </row>
    <row r="204" spans="1:11" ht="15" customHeight="1" x14ac:dyDescent="0.25">
      <c r="A204" s="3051"/>
      <c r="B204" s="3051"/>
      <c r="C204" s="3051"/>
      <c r="D204" s="3051"/>
      <c r="E204" s="3051"/>
      <c r="F204" s="3051"/>
      <c r="G204" s="3051"/>
      <c r="H204" s="3051"/>
      <c r="I204" s="3051"/>
      <c r="J204" s="3051"/>
      <c r="K204" s="2259" t="str">
        <f t="shared" ref="K204:K254" si="3">IF(A204="","x","")</f>
        <v>x</v>
      </c>
    </row>
    <row r="205" spans="1:11" ht="15" customHeight="1" x14ac:dyDescent="0.25">
      <c r="A205" s="3051"/>
      <c r="B205" s="3051"/>
      <c r="C205" s="3051"/>
      <c r="D205" s="3051"/>
      <c r="E205" s="3051"/>
      <c r="F205" s="3051"/>
      <c r="G205" s="3051"/>
      <c r="H205" s="3051"/>
      <c r="I205" s="3051"/>
      <c r="J205" s="3051"/>
      <c r="K205" s="2259" t="str">
        <f t="shared" si="3"/>
        <v>x</v>
      </c>
    </row>
    <row r="206" spans="1:11" ht="15" customHeight="1" x14ac:dyDescent="0.25">
      <c r="A206" s="3051"/>
      <c r="B206" s="3051"/>
      <c r="C206" s="3051"/>
      <c r="D206" s="3051"/>
      <c r="E206" s="3051"/>
      <c r="F206" s="3051"/>
      <c r="G206" s="3051"/>
      <c r="H206" s="3051"/>
      <c r="I206" s="3051"/>
      <c r="J206" s="3051"/>
      <c r="K206" s="2259" t="str">
        <f t="shared" si="3"/>
        <v>x</v>
      </c>
    </row>
    <row r="207" spans="1:11" ht="15" customHeight="1" x14ac:dyDescent="0.25">
      <c r="A207" s="3051"/>
      <c r="B207" s="3051"/>
      <c r="C207" s="3051"/>
      <c r="D207" s="3051"/>
      <c r="E207" s="3051"/>
      <c r="F207" s="3051"/>
      <c r="G207" s="3051"/>
      <c r="H207" s="3051"/>
      <c r="I207" s="3051"/>
      <c r="J207" s="3051"/>
      <c r="K207" s="2259" t="str">
        <f t="shared" si="3"/>
        <v>x</v>
      </c>
    </row>
    <row r="208" spans="1:11" ht="15" customHeight="1" x14ac:dyDescent="0.25">
      <c r="A208" s="3051"/>
      <c r="B208" s="3051"/>
      <c r="C208" s="3051"/>
      <c r="D208" s="3051"/>
      <c r="E208" s="3051"/>
      <c r="F208" s="3051"/>
      <c r="G208" s="3051"/>
      <c r="H208" s="3051"/>
      <c r="I208" s="3051"/>
      <c r="J208" s="3051"/>
      <c r="K208" s="2259" t="str">
        <f t="shared" si="3"/>
        <v>x</v>
      </c>
    </row>
    <row r="209" spans="1:11" ht="15" customHeight="1" x14ac:dyDescent="0.25">
      <c r="A209" s="3051"/>
      <c r="B209" s="3051"/>
      <c r="C209" s="3051"/>
      <c r="D209" s="3051"/>
      <c r="E209" s="3051"/>
      <c r="F209" s="3051"/>
      <c r="G209" s="3051"/>
      <c r="H209" s="3051"/>
      <c r="I209" s="3051"/>
      <c r="J209" s="3051"/>
      <c r="K209" s="2259" t="str">
        <f t="shared" si="3"/>
        <v>x</v>
      </c>
    </row>
    <row r="210" spans="1:11" ht="15" customHeight="1" x14ac:dyDescent="0.25">
      <c r="A210" s="3051"/>
      <c r="B210" s="3051"/>
      <c r="C210" s="3051"/>
      <c r="D210" s="3051"/>
      <c r="E210" s="3051"/>
      <c r="F210" s="3051"/>
      <c r="G210" s="3051"/>
      <c r="H210" s="3051"/>
      <c r="I210" s="3051"/>
      <c r="J210" s="3051"/>
      <c r="K210" s="2259" t="str">
        <f t="shared" si="3"/>
        <v>x</v>
      </c>
    </row>
    <row r="211" spans="1:11" ht="15" customHeight="1" x14ac:dyDescent="0.25">
      <c r="A211" s="3051"/>
      <c r="B211" s="3051"/>
      <c r="C211" s="3051"/>
      <c r="D211" s="3051"/>
      <c r="E211" s="3051"/>
      <c r="F211" s="3051"/>
      <c r="G211" s="3051"/>
      <c r="H211" s="3051"/>
      <c r="I211" s="3051"/>
      <c r="J211" s="3051"/>
      <c r="K211" s="2259" t="str">
        <f t="shared" si="3"/>
        <v>x</v>
      </c>
    </row>
    <row r="212" spans="1:11" ht="15" customHeight="1" x14ac:dyDescent="0.25">
      <c r="A212" s="3051"/>
      <c r="B212" s="3051"/>
      <c r="C212" s="3051"/>
      <c r="D212" s="3051"/>
      <c r="E212" s="3051"/>
      <c r="F212" s="3051"/>
      <c r="G212" s="3051"/>
      <c r="H212" s="3051"/>
      <c r="I212" s="3051"/>
      <c r="J212" s="3051"/>
      <c r="K212" s="2259" t="str">
        <f t="shared" si="3"/>
        <v>x</v>
      </c>
    </row>
    <row r="213" spans="1:11" ht="15" customHeight="1" x14ac:dyDescent="0.25">
      <c r="A213" s="3051"/>
      <c r="B213" s="3051"/>
      <c r="C213" s="3051"/>
      <c r="D213" s="3051"/>
      <c r="E213" s="3051"/>
      <c r="F213" s="3051"/>
      <c r="G213" s="3051"/>
      <c r="H213" s="3051"/>
      <c r="I213" s="3051"/>
      <c r="J213" s="3051"/>
      <c r="K213" s="2259" t="str">
        <f t="shared" si="3"/>
        <v>x</v>
      </c>
    </row>
    <row r="214" spans="1:11" ht="15" customHeight="1" x14ac:dyDescent="0.25">
      <c r="A214" s="3051"/>
      <c r="B214" s="3051"/>
      <c r="C214" s="3051"/>
      <c r="D214" s="3051"/>
      <c r="E214" s="3051"/>
      <c r="F214" s="3051"/>
      <c r="G214" s="3051"/>
      <c r="H214" s="3051"/>
      <c r="I214" s="3051"/>
      <c r="J214" s="3051"/>
      <c r="K214" s="2259" t="str">
        <f t="shared" si="3"/>
        <v>x</v>
      </c>
    </row>
    <row r="215" spans="1:11" ht="15" customHeight="1" x14ac:dyDescent="0.25">
      <c r="A215" s="3051"/>
      <c r="B215" s="3051"/>
      <c r="C215" s="3051"/>
      <c r="D215" s="3051"/>
      <c r="E215" s="3051"/>
      <c r="F215" s="3051"/>
      <c r="G215" s="3051"/>
      <c r="H215" s="3051"/>
      <c r="I215" s="3051"/>
      <c r="J215" s="3051"/>
      <c r="K215" s="2259" t="str">
        <f t="shared" si="3"/>
        <v>x</v>
      </c>
    </row>
    <row r="216" spans="1:11" ht="15" customHeight="1" x14ac:dyDescent="0.25">
      <c r="A216" s="3051"/>
      <c r="B216" s="3051"/>
      <c r="C216" s="3051"/>
      <c r="D216" s="3051"/>
      <c r="E216" s="3051"/>
      <c r="F216" s="3051"/>
      <c r="G216" s="3051"/>
      <c r="H216" s="3051"/>
      <c r="I216" s="3051"/>
      <c r="J216" s="3051"/>
      <c r="K216" s="2259" t="str">
        <f t="shared" si="3"/>
        <v>x</v>
      </c>
    </row>
    <row r="217" spans="1:11" ht="15" customHeight="1" x14ac:dyDescent="0.25">
      <c r="A217" s="3051"/>
      <c r="B217" s="3051"/>
      <c r="C217" s="3051"/>
      <c r="D217" s="3051"/>
      <c r="E217" s="3051"/>
      <c r="F217" s="3051"/>
      <c r="G217" s="3051"/>
      <c r="H217" s="3051"/>
      <c r="I217" s="3051"/>
      <c r="J217" s="3051"/>
      <c r="K217" s="2259" t="str">
        <f t="shared" si="3"/>
        <v>x</v>
      </c>
    </row>
    <row r="218" spans="1:11" ht="15" customHeight="1" x14ac:dyDescent="0.25">
      <c r="A218" s="3051"/>
      <c r="B218" s="3051"/>
      <c r="C218" s="3051"/>
      <c r="D218" s="3051"/>
      <c r="E218" s="3051"/>
      <c r="F218" s="3051"/>
      <c r="G218" s="3051"/>
      <c r="H218" s="3051"/>
      <c r="I218" s="3051"/>
      <c r="J218" s="3051"/>
      <c r="K218" s="2259" t="str">
        <f t="shared" si="3"/>
        <v>x</v>
      </c>
    </row>
    <row r="219" spans="1:11" ht="15" customHeight="1" x14ac:dyDescent="0.25">
      <c r="A219" s="3051"/>
      <c r="B219" s="3051"/>
      <c r="C219" s="3051"/>
      <c r="D219" s="3051"/>
      <c r="E219" s="3051"/>
      <c r="F219" s="3051"/>
      <c r="G219" s="3051"/>
      <c r="H219" s="3051"/>
      <c r="I219" s="3051"/>
      <c r="J219" s="3051"/>
      <c r="K219" s="2259" t="str">
        <f t="shared" si="3"/>
        <v>x</v>
      </c>
    </row>
    <row r="220" spans="1:11" ht="15" customHeight="1" x14ac:dyDescent="0.25">
      <c r="A220" s="3051"/>
      <c r="B220" s="3051"/>
      <c r="C220" s="3051"/>
      <c r="D220" s="3051"/>
      <c r="E220" s="3051"/>
      <c r="F220" s="3051"/>
      <c r="G220" s="3051"/>
      <c r="H220" s="3051"/>
      <c r="I220" s="3051"/>
      <c r="J220" s="3051"/>
      <c r="K220" s="2259" t="str">
        <f t="shared" si="3"/>
        <v>x</v>
      </c>
    </row>
    <row r="221" spans="1:11" ht="15" customHeight="1" x14ac:dyDescent="0.25">
      <c r="A221" s="3051"/>
      <c r="B221" s="3051"/>
      <c r="C221" s="3051"/>
      <c r="D221" s="3051"/>
      <c r="E221" s="3051"/>
      <c r="F221" s="3051"/>
      <c r="G221" s="3051"/>
      <c r="H221" s="3051"/>
      <c r="I221" s="3051"/>
      <c r="J221" s="3051"/>
      <c r="K221" s="2259" t="str">
        <f t="shared" si="3"/>
        <v>x</v>
      </c>
    </row>
    <row r="222" spans="1:11" ht="15" customHeight="1" x14ac:dyDescent="0.25">
      <c r="A222" s="3051"/>
      <c r="B222" s="3051"/>
      <c r="C222" s="3051"/>
      <c r="D222" s="3051"/>
      <c r="E222" s="3051"/>
      <c r="F222" s="3051"/>
      <c r="G222" s="3051"/>
      <c r="H222" s="3051"/>
      <c r="I222" s="3051"/>
      <c r="J222" s="3051"/>
      <c r="K222" s="2259" t="str">
        <f t="shared" si="3"/>
        <v>x</v>
      </c>
    </row>
    <row r="223" spans="1:11" ht="15" customHeight="1" x14ac:dyDescent="0.25">
      <c r="A223" s="3051"/>
      <c r="B223" s="3051"/>
      <c r="C223" s="3051"/>
      <c r="D223" s="3051"/>
      <c r="E223" s="3051"/>
      <c r="F223" s="3051"/>
      <c r="G223" s="3051"/>
      <c r="H223" s="3051"/>
      <c r="I223" s="3051"/>
      <c r="J223" s="3051"/>
      <c r="K223" s="2259" t="str">
        <f t="shared" si="3"/>
        <v>x</v>
      </c>
    </row>
    <row r="224" spans="1:11" ht="15" customHeight="1" x14ac:dyDescent="0.25">
      <c r="A224" s="3051"/>
      <c r="B224" s="3051"/>
      <c r="C224" s="3051"/>
      <c r="D224" s="3051"/>
      <c r="E224" s="3051"/>
      <c r="F224" s="3051"/>
      <c r="G224" s="3051"/>
      <c r="H224" s="3051"/>
      <c r="I224" s="3051"/>
      <c r="J224" s="3051"/>
      <c r="K224" s="2259" t="str">
        <f t="shared" si="3"/>
        <v>x</v>
      </c>
    </row>
    <row r="225" spans="1:11" ht="15" customHeight="1" x14ac:dyDescent="0.25">
      <c r="A225" s="3051"/>
      <c r="B225" s="3051"/>
      <c r="C225" s="3051"/>
      <c r="D225" s="3051"/>
      <c r="E225" s="3051"/>
      <c r="F225" s="3051"/>
      <c r="G225" s="3051"/>
      <c r="H225" s="3051"/>
      <c r="I225" s="3051"/>
      <c r="J225" s="3051"/>
      <c r="K225" s="2259" t="str">
        <f t="shared" si="3"/>
        <v>x</v>
      </c>
    </row>
    <row r="226" spans="1:11" ht="15" customHeight="1" x14ac:dyDescent="0.25">
      <c r="A226" s="3051"/>
      <c r="B226" s="3051"/>
      <c r="C226" s="3051"/>
      <c r="D226" s="3051"/>
      <c r="E226" s="3051"/>
      <c r="F226" s="3051"/>
      <c r="G226" s="3051"/>
      <c r="H226" s="3051"/>
      <c r="I226" s="3051"/>
      <c r="J226" s="3051"/>
      <c r="K226" s="2259" t="str">
        <f t="shared" si="3"/>
        <v>x</v>
      </c>
    </row>
    <row r="227" spans="1:11" ht="15" customHeight="1" x14ac:dyDescent="0.25">
      <c r="A227" s="3051"/>
      <c r="B227" s="3051"/>
      <c r="C227" s="3051"/>
      <c r="D227" s="3051"/>
      <c r="E227" s="3051"/>
      <c r="F227" s="3051"/>
      <c r="G227" s="3051"/>
      <c r="H227" s="3051"/>
      <c r="I227" s="3051"/>
      <c r="J227" s="3051"/>
      <c r="K227" s="2259" t="str">
        <f t="shared" si="3"/>
        <v>x</v>
      </c>
    </row>
    <row r="228" spans="1:11" ht="15" customHeight="1" x14ac:dyDescent="0.25">
      <c r="A228" s="3051"/>
      <c r="B228" s="3051"/>
      <c r="C228" s="3051"/>
      <c r="D228" s="3051"/>
      <c r="E228" s="3051"/>
      <c r="F228" s="3051"/>
      <c r="G228" s="3051"/>
      <c r="H228" s="3051"/>
      <c r="I228" s="3051"/>
      <c r="J228" s="3051"/>
      <c r="K228" s="2259" t="str">
        <f t="shared" si="3"/>
        <v>x</v>
      </c>
    </row>
    <row r="229" spans="1:11" ht="15" customHeight="1" x14ac:dyDescent="0.25">
      <c r="A229" s="3051"/>
      <c r="B229" s="3051"/>
      <c r="C229" s="3051"/>
      <c r="D229" s="3051"/>
      <c r="E229" s="3051"/>
      <c r="F229" s="3051"/>
      <c r="G229" s="3051"/>
      <c r="H229" s="3051"/>
      <c r="I229" s="3051"/>
      <c r="J229" s="3051"/>
      <c r="K229" s="2259" t="str">
        <f t="shared" si="3"/>
        <v>x</v>
      </c>
    </row>
    <row r="230" spans="1:11" ht="15" customHeight="1" x14ac:dyDescent="0.25">
      <c r="A230" s="3051"/>
      <c r="B230" s="3051"/>
      <c r="C230" s="3051"/>
      <c r="D230" s="3051"/>
      <c r="E230" s="3051"/>
      <c r="F230" s="3051"/>
      <c r="G230" s="3051"/>
      <c r="H230" s="3051"/>
      <c r="I230" s="3051"/>
      <c r="J230" s="3051"/>
      <c r="K230" s="2259" t="str">
        <f t="shared" si="3"/>
        <v>x</v>
      </c>
    </row>
    <row r="231" spans="1:11" ht="15" customHeight="1" x14ac:dyDescent="0.25">
      <c r="A231" s="3051"/>
      <c r="B231" s="3051"/>
      <c r="C231" s="3051"/>
      <c r="D231" s="3051"/>
      <c r="E231" s="3051"/>
      <c r="F231" s="3051"/>
      <c r="G231" s="3051"/>
      <c r="H231" s="3051"/>
      <c r="I231" s="3051"/>
      <c r="J231" s="3051"/>
      <c r="K231" s="2259" t="str">
        <f t="shared" si="3"/>
        <v>x</v>
      </c>
    </row>
    <row r="232" spans="1:11" ht="15" customHeight="1" x14ac:dyDescent="0.25">
      <c r="A232" s="3051"/>
      <c r="B232" s="3051"/>
      <c r="C232" s="3051"/>
      <c r="D232" s="3051"/>
      <c r="E232" s="3051"/>
      <c r="F232" s="3051"/>
      <c r="G232" s="3051"/>
      <c r="H232" s="3051"/>
      <c r="I232" s="3051"/>
      <c r="J232" s="3051"/>
      <c r="K232" s="2259" t="str">
        <f t="shared" si="3"/>
        <v>x</v>
      </c>
    </row>
    <row r="233" spans="1:11" ht="15" customHeight="1" x14ac:dyDescent="0.25">
      <c r="A233" s="3051"/>
      <c r="B233" s="3051"/>
      <c r="C233" s="3051"/>
      <c r="D233" s="3051"/>
      <c r="E233" s="3051"/>
      <c r="F233" s="3051"/>
      <c r="G233" s="3051"/>
      <c r="H233" s="3051"/>
      <c r="I233" s="3051"/>
      <c r="J233" s="3051"/>
      <c r="K233" s="2259" t="str">
        <f t="shared" si="3"/>
        <v>x</v>
      </c>
    </row>
    <row r="234" spans="1:11" ht="15" customHeight="1" x14ac:dyDescent="0.25">
      <c r="A234" s="3051"/>
      <c r="B234" s="3051"/>
      <c r="C234" s="3051"/>
      <c r="D234" s="3051"/>
      <c r="E234" s="3051"/>
      <c r="F234" s="3051"/>
      <c r="G234" s="3051"/>
      <c r="H234" s="3051"/>
      <c r="I234" s="3051"/>
      <c r="J234" s="3051"/>
      <c r="K234" s="2259" t="str">
        <f t="shared" si="3"/>
        <v>x</v>
      </c>
    </row>
    <row r="235" spans="1:11" ht="15" customHeight="1" x14ac:dyDescent="0.25">
      <c r="A235" s="3051"/>
      <c r="B235" s="3051"/>
      <c r="C235" s="3051"/>
      <c r="D235" s="3051"/>
      <c r="E235" s="3051"/>
      <c r="F235" s="3051"/>
      <c r="G235" s="3051"/>
      <c r="H235" s="3051"/>
      <c r="I235" s="3051"/>
      <c r="J235" s="3051"/>
      <c r="K235" s="2259" t="str">
        <f t="shared" si="3"/>
        <v>x</v>
      </c>
    </row>
    <row r="236" spans="1:11" ht="15" customHeight="1" x14ac:dyDescent="0.25">
      <c r="A236" s="3051"/>
      <c r="B236" s="3051"/>
      <c r="C236" s="3051"/>
      <c r="D236" s="3051"/>
      <c r="E236" s="3051"/>
      <c r="F236" s="3051"/>
      <c r="G236" s="3051"/>
      <c r="H236" s="3051"/>
      <c r="I236" s="3051"/>
      <c r="J236" s="3051"/>
      <c r="K236" s="2259" t="str">
        <f t="shared" si="3"/>
        <v>x</v>
      </c>
    </row>
    <row r="237" spans="1:11" ht="15" customHeight="1" x14ac:dyDescent="0.25">
      <c r="A237" s="3051"/>
      <c r="B237" s="3051"/>
      <c r="C237" s="3051"/>
      <c r="D237" s="3051"/>
      <c r="E237" s="3051"/>
      <c r="F237" s="3051"/>
      <c r="G237" s="3051"/>
      <c r="H237" s="3051"/>
      <c r="I237" s="3051"/>
      <c r="J237" s="3051"/>
      <c r="K237" s="2259" t="str">
        <f t="shared" si="3"/>
        <v>x</v>
      </c>
    </row>
    <row r="238" spans="1:11" ht="15" customHeight="1" x14ac:dyDescent="0.25">
      <c r="A238" s="3051"/>
      <c r="B238" s="3051"/>
      <c r="C238" s="3051"/>
      <c r="D238" s="3051"/>
      <c r="E238" s="3051"/>
      <c r="F238" s="3051"/>
      <c r="G238" s="3051"/>
      <c r="H238" s="3051"/>
      <c r="I238" s="3051"/>
      <c r="J238" s="3051"/>
      <c r="K238" s="2259" t="str">
        <f t="shared" si="3"/>
        <v>x</v>
      </c>
    </row>
    <row r="239" spans="1:11" ht="15" customHeight="1" x14ac:dyDescent="0.25">
      <c r="A239" s="3051"/>
      <c r="B239" s="3051"/>
      <c r="C239" s="3051"/>
      <c r="D239" s="3051"/>
      <c r="E239" s="3051"/>
      <c r="F239" s="3051"/>
      <c r="G239" s="3051"/>
      <c r="H239" s="3051"/>
      <c r="I239" s="3051"/>
      <c r="J239" s="3051"/>
      <c r="K239" s="2259" t="str">
        <f t="shared" si="3"/>
        <v>x</v>
      </c>
    </row>
    <row r="240" spans="1:11" ht="15" customHeight="1" x14ac:dyDescent="0.25">
      <c r="A240" s="3051"/>
      <c r="B240" s="3051"/>
      <c r="C240" s="3051"/>
      <c r="D240" s="3051"/>
      <c r="E240" s="3051"/>
      <c r="F240" s="3051"/>
      <c r="G240" s="3051"/>
      <c r="H240" s="3051"/>
      <c r="I240" s="3051"/>
      <c r="J240" s="3051"/>
      <c r="K240" s="2259" t="str">
        <f t="shared" si="3"/>
        <v>x</v>
      </c>
    </row>
    <row r="241" spans="1:11" ht="15" customHeight="1" x14ac:dyDescent="0.25">
      <c r="A241" s="3051"/>
      <c r="B241" s="3051"/>
      <c r="C241" s="3051"/>
      <c r="D241" s="3051"/>
      <c r="E241" s="3051"/>
      <c r="F241" s="3051"/>
      <c r="G241" s="3051"/>
      <c r="H241" s="3051"/>
      <c r="I241" s="3051"/>
      <c r="J241" s="3051"/>
      <c r="K241" s="2259" t="str">
        <f t="shared" si="3"/>
        <v>x</v>
      </c>
    </row>
    <row r="242" spans="1:11" ht="15" customHeight="1" x14ac:dyDescent="0.25">
      <c r="A242" s="3051"/>
      <c r="B242" s="3051"/>
      <c r="C242" s="3051"/>
      <c r="D242" s="3051"/>
      <c r="E242" s="3051"/>
      <c r="F242" s="3051"/>
      <c r="G242" s="3051"/>
      <c r="H242" s="3051"/>
      <c r="I242" s="3051"/>
      <c r="J242" s="3051"/>
      <c r="K242" s="2259" t="str">
        <f t="shared" si="3"/>
        <v>x</v>
      </c>
    </row>
    <row r="243" spans="1:11" ht="15" customHeight="1" x14ac:dyDescent="0.25">
      <c r="A243" s="3051"/>
      <c r="B243" s="3051"/>
      <c r="C243" s="3051"/>
      <c r="D243" s="3051"/>
      <c r="E243" s="3051"/>
      <c r="F243" s="3051"/>
      <c r="G243" s="3051"/>
      <c r="H243" s="3051"/>
      <c r="I243" s="3051"/>
      <c r="J243" s="3051"/>
      <c r="K243" s="2259" t="str">
        <f t="shared" si="3"/>
        <v>x</v>
      </c>
    </row>
    <row r="244" spans="1:11" ht="15" customHeight="1" x14ac:dyDescent="0.25">
      <c r="A244" s="3051"/>
      <c r="B244" s="3051"/>
      <c r="C244" s="3051"/>
      <c r="D244" s="3051"/>
      <c r="E244" s="3051"/>
      <c r="F244" s="3051"/>
      <c r="G244" s="3051"/>
      <c r="H244" s="3051"/>
      <c r="I244" s="3051"/>
      <c r="J244" s="3051"/>
      <c r="K244" s="2259" t="str">
        <f t="shared" si="3"/>
        <v>x</v>
      </c>
    </row>
    <row r="245" spans="1:11" ht="15" customHeight="1" x14ac:dyDescent="0.25">
      <c r="A245" s="3051"/>
      <c r="B245" s="3051"/>
      <c r="C245" s="3051"/>
      <c r="D245" s="3051"/>
      <c r="E245" s="3051"/>
      <c r="F245" s="3051"/>
      <c r="G245" s="3051"/>
      <c r="H245" s="3051"/>
      <c r="I245" s="3051"/>
      <c r="J245" s="3051"/>
      <c r="K245" s="2259" t="str">
        <f t="shared" si="3"/>
        <v>x</v>
      </c>
    </row>
    <row r="246" spans="1:11" ht="15" customHeight="1" x14ac:dyDescent="0.25">
      <c r="A246" s="3051"/>
      <c r="B246" s="3051"/>
      <c r="C246" s="3051"/>
      <c r="D246" s="3051"/>
      <c r="E246" s="3051"/>
      <c r="F246" s="3051"/>
      <c r="G246" s="3051"/>
      <c r="H246" s="3051"/>
      <c r="I246" s="3051"/>
      <c r="J246" s="3051"/>
      <c r="K246" s="2259" t="str">
        <f t="shared" si="3"/>
        <v>x</v>
      </c>
    </row>
    <row r="247" spans="1:11" ht="15" customHeight="1" x14ac:dyDescent="0.25">
      <c r="A247" s="3051"/>
      <c r="B247" s="3051"/>
      <c r="C247" s="3051"/>
      <c r="D247" s="3051"/>
      <c r="E247" s="3051"/>
      <c r="F247" s="3051"/>
      <c r="G247" s="3051"/>
      <c r="H247" s="3051"/>
      <c r="I247" s="3051"/>
      <c r="J247" s="3051"/>
      <c r="K247" s="2259" t="str">
        <f t="shared" si="3"/>
        <v>x</v>
      </c>
    </row>
    <row r="248" spans="1:11" ht="15" customHeight="1" x14ac:dyDescent="0.25">
      <c r="A248" s="3051"/>
      <c r="B248" s="3051"/>
      <c r="C248" s="3051"/>
      <c r="D248" s="3051"/>
      <c r="E248" s="3051"/>
      <c r="F248" s="3051"/>
      <c r="G248" s="3051"/>
      <c r="H248" s="3051"/>
      <c r="I248" s="3051"/>
      <c r="J248" s="3051"/>
      <c r="K248" s="2259" t="str">
        <f t="shared" si="3"/>
        <v>x</v>
      </c>
    </row>
    <row r="249" spans="1:11" ht="15" customHeight="1" x14ac:dyDescent="0.25">
      <c r="A249" s="3051"/>
      <c r="B249" s="3051"/>
      <c r="C249" s="3051"/>
      <c r="D249" s="3051"/>
      <c r="E249" s="3051"/>
      <c r="F249" s="3051"/>
      <c r="G249" s="3051"/>
      <c r="H249" s="3051"/>
      <c r="I249" s="3051"/>
      <c r="J249" s="3051"/>
      <c r="K249" s="2259" t="str">
        <f t="shared" si="3"/>
        <v>x</v>
      </c>
    </row>
    <row r="250" spans="1:11" ht="15" customHeight="1" x14ac:dyDescent="0.25">
      <c r="A250" s="3051"/>
      <c r="B250" s="3051"/>
      <c r="C250" s="3051"/>
      <c r="D250" s="3051"/>
      <c r="E250" s="3051"/>
      <c r="F250" s="3051"/>
      <c r="G250" s="3051"/>
      <c r="H250" s="3051"/>
      <c r="I250" s="3051"/>
      <c r="J250" s="3051"/>
      <c r="K250" s="2259" t="str">
        <f t="shared" si="3"/>
        <v>x</v>
      </c>
    </row>
    <row r="251" spans="1:11" ht="15" customHeight="1" x14ac:dyDescent="0.25">
      <c r="A251" s="3051"/>
      <c r="B251" s="3051"/>
      <c r="C251" s="3051"/>
      <c r="D251" s="3051"/>
      <c r="E251" s="3051"/>
      <c r="F251" s="3051"/>
      <c r="G251" s="3051"/>
      <c r="H251" s="3051"/>
      <c r="I251" s="3051"/>
      <c r="J251" s="3051"/>
      <c r="K251" s="2259" t="str">
        <f t="shared" si="3"/>
        <v>x</v>
      </c>
    </row>
    <row r="252" spans="1:11" ht="15" customHeight="1" x14ac:dyDescent="0.25">
      <c r="A252" s="3051"/>
      <c r="B252" s="3051"/>
      <c r="C252" s="3051"/>
      <c r="D252" s="3051"/>
      <c r="E252" s="3051"/>
      <c r="F252" s="3051"/>
      <c r="G252" s="3051"/>
      <c r="H252" s="3051"/>
      <c r="I252" s="3051"/>
      <c r="J252" s="3051"/>
      <c r="K252" s="2259" t="str">
        <f t="shared" si="3"/>
        <v>x</v>
      </c>
    </row>
    <row r="253" spans="1:11" ht="15" customHeight="1" x14ac:dyDescent="0.25">
      <c r="A253" s="3051"/>
      <c r="B253" s="3051"/>
      <c r="C253" s="3051"/>
      <c r="D253" s="3051"/>
      <c r="E253" s="3051"/>
      <c r="F253" s="3051"/>
      <c r="G253" s="3051"/>
      <c r="H253" s="3051"/>
      <c r="I253" s="3051"/>
      <c r="J253" s="3051"/>
      <c r="K253" s="2259" t="str">
        <f t="shared" si="3"/>
        <v>x</v>
      </c>
    </row>
    <row r="254" spans="1:11" ht="15" customHeight="1" x14ac:dyDescent="0.25">
      <c r="A254" s="3051"/>
      <c r="B254" s="3051"/>
      <c r="C254" s="3051"/>
      <c r="D254" s="3051"/>
      <c r="E254" s="3051"/>
      <c r="F254" s="3051"/>
      <c r="G254" s="3051"/>
      <c r="H254" s="3051"/>
      <c r="I254" s="3051"/>
      <c r="J254" s="3051"/>
      <c r="K254" s="2259" t="str">
        <f t="shared" si="3"/>
        <v>x</v>
      </c>
    </row>
    <row r="255" spans="1:11" ht="15" customHeight="1" x14ac:dyDescent="0.25">
      <c r="K255" s="2259" t="str">
        <f>K256</f>
        <v>x</v>
      </c>
    </row>
    <row r="256" spans="1:11" ht="15" customHeight="1" x14ac:dyDescent="0.25">
      <c r="A256" s="2246" t="s">
        <v>332</v>
      </c>
      <c r="B256" s="2246"/>
      <c r="C256" s="2246"/>
      <c r="D256" s="2246"/>
      <c r="E256" s="2246"/>
      <c r="F256" s="2246"/>
      <c r="G256" s="2246"/>
      <c r="H256" s="2246"/>
      <c r="I256" s="2246"/>
      <c r="J256" s="2246"/>
      <c r="K256" s="2259" t="str">
        <f>K257</f>
        <v>x</v>
      </c>
    </row>
    <row r="257" spans="1:11" ht="15" customHeight="1" x14ac:dyDescent="0.25">
      <c r="A257" s="3052" t="s">
        <v>119</v>
      </c>
      <c r="B257" s="3052"/>
      <c r="C257" s="3052" t="s">
        <v>121</v>
      </c>
      <c r="D257" s="3052"/>
      <c r="E257" s="3052" t="s">
        <v>336</v>
      </c>
      <c r="F257" s="3052"/>
      <c r="G257" s="3052" t="s">
        <v>832</v>
      </c>
      <c r="H257" s="3052"/>
      <c r="I257" s="3052" t="s">
        <v>328</v>
      </c>
      <c r="J257" s="3052"/>
      <c r="K257" s="2259" t="str">
        <f>K258</f>
        <v>x</v>
      </c>
    </row>
    <row r="258" spans="1:11" ht="15" customHeight="1" x14ac:dyDescent="0.25">
      <c r="A258" s="3051"/>
      <c r="B258" s="3051"/>
      <c r="C258" s="3051"/>
      <c r="D258" s="3051"/>
      <c r="E258" s="3051"/>
      <c r="F258" s="3051"/>
      <c r="G258" s="3051"/>
      <c r="H258" s="3051"/>
      <c r="I258" s="3051"/>
      <c r="J258" s="3051"/>
      <c r="K258" s="2259" t="str">
        <f t="shared" ref="K258:K308" si="4">IF(A258="","x","")</f>
        <v>x</v>
      </c>
    </row>
    <row r="259" spans="1:11" ht="15" customHeight="1" x14ac:dyDescent="0.25">
      <c r="A259" s="3051"/>
      <c r="B259" s="3051"/>
      <c r="C259" s="3051"/>
      <c r="D259" s="3051"/>
      <c r="E259" s="3051"/>
      <c r="F259" s="3051"/>
      <c r="G259" s="3051"/>
      <c r="H259" s="3051"/>
      <c r="I259" s="3051"/>
      <c r="J259" s="3051"/>
      <c r="K259" s="2259" t="str">
        <f t="shared" si="4"/>
        <v>x</v>
      </c>
    </row>
    <row r="260" spans="1:11" ht="15" customHeight="1" x14ac:dyDescent="0.25">
      <c r="A260" s="3051"/>
      <c r="B260" s="3051"/>
      <c r="C260" s="3051"/>
      <c r="D260" s="3051"/>
      <c r="E260" s="3051"/>
      <c r="F260" s="3051"/>
      <c r="G260" s="3051"/>
      <c r="H260" s="3051"/>
      <c r="I260" s="3051"/>
      <c r="J260" s="3051"/>
      <c r="K260" s="2259" t="str">
        <f t="shared" si="4"/>
        <v>x</v>
      </c>
    </row>
    <row r="261" spans="1:11" ht="15" customHeight="1" x14ac:dyDescent="0.25">
      <c r="A261" s="3051"/>
      <c r="B261" s="3051"/>
      <c r="C261" s="3051"/>
      <c r="D261" s="3051"/>
      <c r="E261" s="3051"/>
      <c r="F261" s="3051"/>
      <c r="G261" s="3051"/>
      <c r="H261" s="3051"/>
      <c r="I261" s="3051"/>
      <c r="J261" s="3051"/>
      <c r="K261" s="2259" t="str">
        <f t="shared" si="4"/>
        <v>x</v>
      </c>
    </row>
    <row r="262" spans="1:11" ht="15" customHeight="1" x14ac:dyDescent="0.25">
      <c r="A262" s="3051"/>
      <c r="B262" s="3051"/>
      <c r="C262" s="3051"/>
      <c r="D262" s="3051"/>
      <c r="E262" s="3051"/>
      <c r="F262" s="3051"/>
      <c r="G262" s="3051"/>
      <c r="H262" s="3051"/>
      <c r="I262" s="3051"/>
      <c r="J262" s="3051"/>
      <c r="K262" s="2259" t="str">
        <f t="shared" si="4"/>
        <v>x</v>
      </c>
    </row>
    <row r="263" spans="1:11" ht="15" customHeight="1" x14ac:dyDescent="0.25">
      <c r="A263" s="3051"/>
      <c r="B263" s="3051"/>
      <c r="C263" s="3051"/>
      <c r="D263" s="3051"/>
      <c r="E263" s="3051"/>
      <c r="F263" s="3051"/>
      <c r="G263" s="3051"/>
      <c r="H263" s="3051"/>
      <c r="I263" s="3051"/>
      <c r="J263" s="3051"/>
      <c r="K263" s="2259" t="str">
        <f t="shared" si="4"/>
        <v>x</v>
      </c>
    </row>
    <row r="264" spans="1:11" ht="15" customHeight="1" x14ac:dyDescent="0.25">
      <c r="A264" s="3051"/>
      <c r="B264" s="3051"/>
      <c r="C264" s="3051"/>
      <c r="D264" s="3051"/>
      <c r="E264" s="3051"/>
      <c r="F264" s="3051"/>
      <c r="G264" s="3051"/>
      <c r="H264" s="3051"/>
      <c r="I264" s="3051"/>
      <c r="J264" s="3051"/>
      <c r="K264" s="2259" t="str">
        <f t="shared" si="4"/>
        <v>x</v>
      </c>
    </row>
    <row r="265" spans="1:11" ht="15" customHeight="1" x14ac:dyDescent="0.25">
      <c r="A265" s="3051"/>
      <c r="B265" s="3051"/>
      <c r="C265" s="3051"/>
      <c r="D265" s="3051"/>
      <c r="E265" s="3051"/>
      <c r="F265" s="3051"/>
      <c r="G265" s="3051"/>
      <c r="H265" s="3051"/>
      <c r="I265" s="3051"/>
      <c r="J265" s="3051"/>
      <c r="K265" s="2259" t="str">
        <f t="shared" si="4"/>
        <v>x</v>
      </c>
    </row>
    <row r="266" spans="1:11" ht="15" customHeight="1" x14ac:dyDescent="0.25">
      <c r="A266" s="3051"/>
      <c r="B266" s="3051"/>
      <c r="C266" s="3051"/>
      <c r="D266" s="3051"/>
      <c r="E266" s="3051"/>
      <c r="F266" s="3051"/>
      <c r="G266" s="3051"/>
      <c r="H266" s="3051"/>
      <c r="I266" s="3051"/>
      <c r="J266" s="3051"/>
      <c r="K266" s="2259" t="str">
        <f t="shared" si="4"/>
        <v>x</v>
      </c>
    </row>
    <row r="267" spans="1:11" ht="15" customHeight="1" x14ac:dyDescent="0.25">
      <c r="A267" s="3051"/>
      <c r="B267" s="3051"/>
      <c r="C267" s="3051"/>
      <c r="D267" s="3051"/>
      <c r="E267" s="3051"/>
      <c r="F267" s="3051"/>
      <c r="G267" s="3051"/>
      <c r="H267" s="3051"/>
      <c r="I267" s="3051"/>
      <c r="J267" s="3051"/>
      <c r="K267" s="2259" t="str">
        <f t="shared" si="4"/>
        <v>x</v>
      </c>
    </row>
    <row r="268" spans="1:11" ht="15" customHeight="1" x14ac:dyDescent="0.25">
      <c r="A268" s="3051"/>
      <c r="B268" s="3051"/>
      <c r="C268" s="3051"/>
      <c r="D268" s="3051"/>
      <c r="E268" s="3051"/>
      <c r="F268" s="3051"/>
      <c r="G268" s="3051"/>
      <c r="H268" s="3051"/>
      <c r="I268" s="3051"/>
      <c r="J268" s="3051"/>
      <c r="K268" s="2259" t="str">
        <f t="shared" si="4"/>
        <v>x</v>
      </c>
    </row>
    <row r="269" spans="1:11" ht="15" customHeight="1" x14ac:dyDescent="0.25">
      <c r="A269" s="3051"/>
      <c r="B269" s="3051"/>
      <c r="C269" s="3051"/>
      <c r="D269" s="3051"/>
      <c r="E269" s="3051"/>
      <c r="F269" s="3051"/>
      <c r="G269" s="3051"/>
      <c r="H269" s="3051"/>
      <c r="I269" s="3051"/>
      <c r="J269" s="3051"/>
      <c r="K269" s="2259" t="str">
        <f t="shared" si="4"/>
        <v>x</v>
      </c>
    </row>
    <row r="270" spans="1:11" ht="15" customHeight="1" x14ac:dyDescent="0.25">
      <c r="A270" s="3051"/>
      <c r="B270" s="3051"/>
      <c r="C270" s="3051"/>
      <c r="D270" s="3051"/>
      <c r="E270" s="3051"/>
      <c r="F270" s="3051"/>
      <c r="G270" s="3051"/>
      <c r="H270" s="3051"/>
      <c r="I270" s="3051"/>
      <c r="J270" s="3051"/>
      <c r="K270" s="2259" t="str">
        <f t="shared" si="4"/>
        <v>x</v>
      </c>
    </row>
    <row r="271" spans="1:11" ht="15" customHeight="1" x14ac:dyDescent="0.25">
      <c r="A271" s="3051"/>
      <c r="B271" s="3051"/>
      <c r="C271" s="3051"/>
      <c r="D271" s="3051"/>
      <c r="E271" s="3051"/>
      <c r="F271" s="3051"/>
      <c r="G271" s="3051"/>
      <c r="H271" s="3051"/>
      <c r="I271" s="3051"/>
      <c r="J271" s="3051"/>
      <c r="K271" s="2259" t="str">
        <f t="shared" si="4"/>
        <v>x</v>
      </c>
    </row>
    <row r="272" spans="1:11" ht="15" customHeight="1" x14ac:dyDescent="0.25">
      <c r="A272" s="3051"/>
      <c r="B272" s="3051"/>
      <c r="C272" s="3051"/>
      <c r="D272" s="3051"/>
      <c r="E272" s="3051"/>
      <c r="F272" s="3051"/>
      <c r="G272" s="3051"/>
      <c r="H272" s="3051"/>
      <c r="I272" s="3051"/>
      <c r="J272" s="3051"/>
      <c r="K272" s="2259" t="str">
        <f t="shared" si="4"/>
        <v>x</v>
      </c>
    </row>
    <row r="273" spans="1:11" ht="15" customHeight="1" x14ac:dyDescent="0.25">
      <c r="A273" s="3051"/>
      <c r="B273" s="3051"/>
      <c r="C273" s="3051"/>
      <c r="D273" s="3051"/>
      <c r="E273" s="3051"/>
      <c r="F273" s="3051"/>
      <c r="G273" s="3051"/>
      <c r="H273" s="3051"/>
      <c r="I273" s="3051"/>
      <c r="J273" s="3051"/>
      <c r="K273" s="2259" t="str">
        <f t="shared" si="4"/>
        <v>x</v>
      </c>
    </row>
    <row r="274" spans="1:11" ht="15" customHeight="1" x14ac:dyDescent="0.25">
      <c r="A274" s="3051"/>
      <c r="B274" s="3051"/>
      <c r="C274" s="3051"/>
      <c r="D274" s="3051"/>
      <c r="E274" s="3051"/>
      <c r="F274" s="3051"/>
      <c r="G274" s="3051"/>
      <c r="H274" s="3051"/>
      <c r="I274" s="3051"/>
      <c r="J274" s="3051"/>
      <c r="K274" s="2259" t="str">
        <f t="shared" si="4"/>
        <v>x</v>
      </c>
    </row>
    <row r="275" spans="1:11" ht="15" customHeight="1" x14ac:dyDescent="0.25">
      <c r="A275" s="3051"/>
      <c r="B275" s="3051"/>
      <c r="C275" s="3051"/>
      <c r="D275" s="3051"/>
      <c r="E275" s="3051"/>
      <c r="F275" s="3051"/>
      <c r="G275" s="3051"/>
      <c r="H275" s="3051"/>
      <c r="I275" s="3051"/>
      <c r="J275" s="3051"/>
      <c r="K275" s="2259" t="str">
        <f t="shared" si="4"/>
        <v>x</v>
      </c>
    </row>
    <row r="276" spans="1:11" ht="15" customHeight="1" x14ac:dyDescent="0.25">
      <c r="A276" s="3051"/>
      <c r="B276" s="3051"/>
      <c r="C276" s="3051"/>
      <c r="D276" s="3051"/>
      <c r="E276" s="3051"/>
      <c r="F276" s="3051"/>
      <c r="G276" s="3051"/>
      <c r="H276" s="3051"/>
      <c r="I276" s="3051"/>
      <c r="J276" s="3051"/>
      <c r="K276" s="2259" t="str">
        <f t="shared" si="4"/>
        <v>x</v>
      </c>
    </row>
    <row r="277" spans="1:11" ht="15" customHeight="1" x14ac:dyDescent="0.25">
      <c r="A277" s="3051"/>
      <c r="B277" s="3051"/>
      <c r="C277" s="3051"/>
      <c r="D277" s="3051"/>
      <c r="E277" s="3051"/>
      <c r="F277" s="3051"/>
      <c r="G277" s="3051"/>
      <c r="H277" s="3051"/>
      <c r="I277" s="3051"/>
      <c r="J277" s="3051"/>
      <c r="K277" s="2259" t="str">
        <f t="shared" si="4"/>
        <v>x</v>
      </c>
    </row>
    <row r="278" spans="1:11" ht="15" customHeight="1" x14ac:dyDescent="0.25">
      <c r="A278" s="3051"/>
      <c r="B278" s="3051"/>
      <c r="C278" s="3051"/>
      <c r="D278" s="3051"/>
      <c r="E278" s="3051"/>
      <c r="F278" s="3051"/>
      <c r="G278" s="3051"/>
      <c r="H278" s="3051"/>
      <c r="I278" s="3051"/>
      <c r="J278" s="3051"/>
      <c r="K278" s="2259" t="str">
        <f t="shared" si="4"/>
        <v>x</v>
      </c>
    </row>
    <row r="279" spans="1:11" ht="15" customHeight="1" x14ac:dyDescent="0.25">
      <c r="A279" s="3051"/>
      <c r="B279" s="3051"/>
      <c r="C279" s="3051"/>
      <c r="D279" s="3051"/>
      <c r="E279" s="3051"/>
      <c r="F279" s="3051"/>
      <c r="G279" s="3051"/>
      <c r="H279" s="3051"/>
      <c r="I279" s="3051"/>
      <c r="J279" s="3051"/>
      <c r="K279" s="2259" t="str">
        <f t="shared" si="4"/>
        <v>x</v>
      </c>
    </row>
    <row r="280" spans="1:11" ht="15" customHeight="1" x14ac:dyDescent="0.25">
      <c r="A280" s="3051"/>
      <c r="B280" s="3051"/>
      <c r="C280" s="3051"/>
      <c r="D280" s="3051"/>
      <c r="E280" s="3051"/>
      <c r="F280" s="3051"/>
      <c r="G280" s="3051"/>
      <c r="H280" s="3051"/>
      <c r="I280" s="3051"/>
      <c r="J280" s="3051"/>
      <c r="K280" s="2259" t="str">
        <f t="shared" si="4"/>
        <v>x</v>
      </c>
    </row>
    <row r="281" spans="1:11" ht="15" customHeight="1" x14ac:dyDescent="0.25">
      <c r="A281" s="3051"/>
      <c r="B281" s="3051"/>
      <c r="C281" s="3051"/>
      <c r="D281" s="3051"/>
      <c r="E281" s="3051"/>
      <c r="F281" s="3051"/>
      <c r="G281" s="3051"/>
      <c r="H281" s="3051"/>
      <c r="I281" s="3051"/>
      <c r="J281" s="3051"/>
      <c r="K281" s="2259" t="str">
        <f t="shared" si="4"/>
        <v>x</v>
      </c>
    </row>
    <row r="282" spans="1:11" ht="15" customHeight="1" x14ac:dyDescent="0.25">
      <c r="A282" s="3051"/>
      <c r="B282" s="3051"/>
      <c r="C282" s="3051"/>
      <c r="D282" s="3051"/>
      <c r="E282" s="3051"/>
      <c r="F282" s="3051"/>
      <c r="G282" s="3051"/>
      <c r="H282" s="3051"/>
      <c r="I282" s="3051"/>
      <c r="J282" s="3051"/>
      <c r="K282" s="2259" t="str">
        <f t="shared" si="4"/>
        <v>x</v>
      </c>
    </row>
    <row r="283" spans="1:11" ht="15" customHeight="1" x14ac:dyDescent="0.25">
      <c r="A283" s="3051"/>
      <c r="B283" s="3051"/>
      <c r="C283" s="3051"/>
      <c r="D283" s="3051"/>
      <c r="E283" s="3051"/>
      <c r="F283" s="3051"/>
      <c r="G283" s="3051"/>
      <c r="H283" s="3051"/>
      <c r="I283" s="3051"/>
      <c r="J283" s="3051"/>
      <c r="K283" s="2259" t="str">
        <f t="shared" si="4"/>
        <v>x</v>
      </c>
    </row>
    <row r="284" spans="1:11" ht="15" customHeight="1" x14ac:dyDescent="0.25">
      <c r="A284" s="3051"/>
      <c r="B284" s="3051"/>
      <c r="C284" s="3051"/>
      <c r="D284" s="3051"/>
      <c r="E284" s="3051"/>
      <c r="F284" s="3051"/>
      <c r="G284" s="3051"/>
      <c r="H284" s="3051"/>
      <c r="I284" s="3051"/>
      <c r="J284" s="3051"/>
      <c r="K284" s="2259" t="str">
        <f t="shared" si="4"/>
        <v>x</v>
      </c>
    </row>
    <row r="285" spans="1:11" ht="15" customHeight="1" x14ac:dyDescent="0.25">
      <c r="A285" s="3051"/>
      <c r="B285" s="3051"/>
      <c r="C285" s="3051"/>
      <c r="D285" s="3051"/>
      <c r="E285" s="3051"/>
      <c r="F285" s="3051"/>
      <c r="G285" s="3051"/>
      <c r="H285" s="3051"/>
      <c r="I285" s="3051"/>
      <c r="J285" s="3051"/>
      <c r="K285" s="2259" t="str">
        <f t="shared" si="4"/>
        <v>x</v>
      </c>
    </row>
    <row r="286" spans="1:11" ht="15" customHeight="1" x14ac:dyDescent="0.25">
      <c r="A286" s="3051"/>
      <c r="B286" s="3051"/>
      <c r="C286" s="3051"/>
      <c r="D286" s="3051"/>
      <c r="E286" s="3051"/>
      <c r="F286" s="3051"/>
      <c r="G286" s="3051"/>
      <c r="H286" s="3051"/>
      <c r="I286" s="3051"/>
      <c r="J286" s="3051"/>
      <c r="K286" s="2259" t="str">
        <f t="shared" si="4"/>
        <v>x</v>
      </c>
    </row>
    <row r="287" spans="1:11" ht="15" customHeight="1" x14ac:dyDescent="0.25">
      <c r="A287" s="3051"/>
      <c r="B287" s="3051"/>
      <c r="C287" s="3051"/>
      <c r="D287" s="3051"/>
      <c r="E287" s="3051"/>
      <c r="F287" s="3051"/>
      <c r="G287" s="3051"/>
      <c r="H287" s="3051"/>
      <c r="I287" s="3051"/>
      <c r="J287" s="3051"/>
      <c r="K287" s="2259" t="str">
        <f t="shared" si="4"/>
        <v>x</v>
      </c>
    </row>
    <row r="288" spans="1:11" ht="15" customHeight="1" x14ac:dyDescent="0.25">
      <c r="A288" s="3051"/>
      <c r="B288" s="3051"/>
      <c r="C288" s="3051"/>
      <c r="D288" s="3051"/>
      <c r="E288" s="3051"/>
      <c r="F288" s="3051"/>
      <c r="G288" s="3051"/>
      <c r="H288" s="3051"/>
      <c r="I288" s="3051"/>
      <c r="J288" s="3051"/>
      <c r="K288" s="2259" t="str">
        <f t="shared" si="4"/>
        <v>x</v>
      </c>
    </row>
    <row r="289" spans="1:11" ht="15" customHeight="1" x14ac:dyDescent="0.25">
      <c r="A289" s="3051"/>
      <c r="B289" s="3051"/>
      <c r="C289" s="3051"/>
      <c r="D289" s="3051"/>
      <c r="E289" s="3051"/>
      <c r="F289" s="3051"/>
      <c r="G289" s="3051"/>
      <c r="H289" s="3051"/>
      <c r="I289" s="3051"/>
      <c r="J289" s="3051"/>
      <c r="K289" s="2259" t="str">
        <f t="shared" si="4"/>
        <v>x</v>
      </c>
    </row>
    <row r="290" spans="1:11" ht="15" customHeight="1" x14ac:dyDescent="0.25">
      <c r="A290" s="3051"/>
      <c r="B290" s="3051"/>
      <c r="C290" s="3051"/>
      <c r="D290" s="3051"/>
      <c r="E290" s="3051"/>
      <c r="F290" s="3051"/>
      <c r="G290" s="3051"/>
      <c r="H290" s="3051"/>
      <c r="I290" s="3051"/>
      <c r="J290" s="3051"/>
      <c r="K290" s="2259" t="str">
        <f t="shared" si="4"/>
        <v>x</v>
      </c>
    </row>
    <row r="291" spans="1:11" ht="15" customHeight="1" x14ac:dyDescent="0.25">
      <c r="A291" s="3051"/>
      <c r="B291" s="3051"/>
      <c r="C291" s="3051"/>
      <c r="D291" s="3051"/>
      <c r="E291" s="3051"/>
      <c r="F291" s="3051"/>
      <c r="G291" s="3051"/>
      <c r="H291" s="3051"/>
      <c r="I291" s="3051"/>
      <c r="J291" s="3051"/>
      <c r="K291" s="2259" t="str">
        <f t="shared" si="4"/>
        <v>x</v>
      </c>
    </row>
    <row r="292" spans="1:11" ht="15" customHeight="1" x14ac:dyDescent="0.25">
      <c r="A292" s="3051"/>
      <c r="B292" s="3051"/>
      <c r="C292" s="3051"/>
      <c r="D292" s="3051"/>
      <c r="E292" s="3051"/>
      <c r="F292" s="3051"/>
      <c r="G292" s="3051"/>
      <c r="H292" s="3051"/>
      <c r="I292" s="3051"/>
      <c r="J292" s="3051"/>
      <c r="K292" s="2259" t="str">
        <f t="shared" si="4"/>
        <v>x</v>
      </c>
    </row>
    <row r="293" spans="1:11" ht="15" customHeight="1" x14ac:dyDescent="0.25">
      <c r="A293" s="3051"/>
      <c r="B293" s="3051"/>
      <c r="C293" s="3051"/>
      <c r="D293" s="3051"/>
      <c r="E293" s="3051"/>
      <c r="F293" s="3051"/>
      <c r="G293" s="3051"/>
      <c r="H293" s="3051"/>
      <c r="I293" s="3051"/>
      <c r="J293" s="3051"/>
      <c r="K293" s="2259" t="str">
        <f t="shared" si="4"/>
        <v>x</v>
      </c>
    </row>
    <row r="294" spans="1:11" ht="15" customHeight="1" x14ac:dyDescent="0.25">
      <c r="A294" s="3051"/>
      <c r="B294" s="3051"/>
      <c r="C294" s="3051"/>
      <c r="D294" s="3051"/>
      <c r="E294" s="3051"/>
      <c r="F294" s="3051"/>
      <c r="G294" s="3051"/>
      <c r="H294" s="3051"/>
      <c r="I294" s="3051"/>
      <c r="J294" s="3051"/>
      <c r="K294" s="2259" t="str">
        <f t="shared" si="4"/>
        <v>x</v>
      </c>
    </row>
    <row r="295" spans="1:11" ht="15" customHeight="1" x14ac:dyDescent="0.25">
      <c r="A295" s="3051"/>
      <c r="B295" s="3051"/>
      <c r="C295" s="3051"/>
      <c r="D295" s="3051"/>
      <c r="E295" s="3051"/>
      <c r="F295" s="3051"/>
      <c r="G295" s="3051"/>
      <c r="H295" s="3051"/>
      <c r="I295" s="3051"/>
      <c r="J295" s="3051"/>
      <c r="K295" s="2259" t="str">
        <f t="shared" si="4"/>
        <v>x</v>
      </c>
    </row>
    <row r="296" spans="1:11" ht="15" customHeight="1" x14ac:dyDescent="0.25">
      <c r="A296" s="3051"/>
      <c r="B296" s="3051"/>
      <c r="C296" s="3051"/>
      <c r="D296" s="3051"/>
      <c r="E296" s="3051"/>
      <c r="F296" s="3051"/>
      <c r="G296" s="3051"/>
      <c r="H296" s="3051"/>
      <c r="I296" s="3051"/>
      <c r="J296" s="3051"/>
      <c r="K296" s="2259" t="str">
        <f t="shared" si="4"/>
        <v>x</v>
      </c>
    </row>
    <row r="297" spans="1:11" ht="15" customHeight="1" x14ac:dyDescent="0.25">
      <c r="A297" s="3051"/>
      <c r="B297" s="3051"/>
      <c r="C297" s="3051"/>
      <c r="D297" s="3051"/>
      <c r="E297" s="3051"/>
      <c r="F297" s="3051"/>
      <c r="G297" s="3051"/>
      <c r="H297" s="3051"/>
      <c r="I297" s="3051"/>
      <c r="J297" s="3051"/>
      <c r="K297" s="2259" t="str">
        <f t="shared" si="4"/>
        <v>x</v>
      </c>
    </row>
    <row r="298" spans="1:11" ht="15" customHeight="1" x14ac:dyDescent="0.25">
      <c r="A298" s="3051"/>
      <c r="B298" s="3051"/>
      <c r="C298" s="3051"/>
      <c r="D298" s="3051"/>
      <c r="E298" s="3051"/>
      <c r="F298" s="3051"/>
      <c r="G298" s="3051"/>
      <c r="H298" s="3051"/>
      <c r="I298" s="3051"/>
      <c r="J298" s="3051"/>
      <c r="K298" s="2259" t="str">
        <f t="shared" si="4"/>
        <v>x</v>
      </c>
    </row>
    <row r="299" spans="1:11" ht="15" customHeight="1" x14ac:dyDescent="0.25">
      <c r="A299" s="3051"/>
      <c r="B299" s="3051"/>
      <c r="C299" s="3051"/>
      <c r="D299" s="3051"/>
      <c r="E299" s="3051"/>
      <c r="F299" s="3051"/>
      <c r="G299" s="3051"/>
      <c r="H299" s="3051"/>
      <c r="I299" s="3051"/>
      <c r="J299" s="3051"/>
      <c r="K299" s="2259" t="str">
        <f t="shared" si="4"/>
        <v>x</v>
      </c>
    </row>
    <row r="300" spans="1:11" ht="15" customHeight="1" x14ac:dyDescent="0.25">
      <c r="A300" s="3051"/>
      <c r="B300" s="3051"/>
      <c r="C300" s="3051"/>
      <c r="D300" s="3051"/>
      <c r="E300" s="3051"/>
      <c r="F300" s="3051"/>
      <c r="G300" s="3051"/>
      <c r="H300" s="3051"/>
      <c r="I300" s="3051"/>
      <c r="J300" s="3051"/>
      <c r="K300" s="2259" t="str">
        <f t="shared" si="4"/>
        <v>x</v>
      </c>
    </row>
    <row r="301" spans="1:11" ht="15" customHeight="1" x14ac:dyDescent="0.25">
      <c r="A301" s="3051"/>
      <c r="B301" s="3051"/>
      <c r="C301" s="3051"/>
      <c r="D301" s="3051"/>
      <c r="E301" s="3051"/>
      <c r="F301" s="3051"/>
      <c r="G301" s="3051"/>
      <c r="H301" s="3051"/>
      <c r="I301" s="3051"/>
      <c r="J301" s="3051"/>
      <c r="K301" s="2259" t="str">
        <f t="shared" si="4"/>
        <v>x</v>
      </c>
    </row>
    <row r="302" spans="1:11" ht="15" customHeight="1" x14ac:dyDescent="0.25">
      <c r="A302" s="3051"/>
      <c r="B302" s="3051"/>
      <c r="C302" s="3051"/>
      <c r="D302" s="3051"/>
      <c r="E302" s="3051"/>
      <c r="F302" s="3051"/>
      <c r="G302" s="3051"/>
      <c r="H302" s="3051"/>
      <c r="I302" s="3051"/>
      <c r="J302" s="3051"/>
      <c r="K302" s="2259" t="str">
        <f t="shared" si="4"/>
        <v>x</v>
      </c>
    </row>
    <row r="303" spans="1:11" ht="15" customHeight="1" x14ac:dyDescent="0.25">
      <c r="A303" s="3051"/>
      <c r="B303" s="3051"/>
      <c r="C303" s="3051"/>
      <c r="D303" s="3051"/>
      <c r="E303" s="3051"/>
      <c r="F303" s="3051"/>
      <c r="G303" s="3051"/>
      <c r="H303" s="3051"/>
      <c r="I303" s="3051"/>
      <c r="J303" s="3051"/>
      <c r="K303" s="2259" t="str">
        <f t="shared" si="4"/>
        <v>x</v>
      </c>
    </row>
    <row r="304" spans="1:11" ht="15" customHeight="1" x14ac:dyDescent="0.25">
      <c r="A304" s="3051"/>
      <c r="B304" s="3051"/>
      <c r="C304" s="3051"/>
      <c r="D304" s="3051"/>
      <c r="E304" s="3051"/>
      <c r="F304" s="3051"/>
      <c r="G304" s="3051"/>
      <c r="H304" s="3051"/>
      <c r="I304" s="3051"/>
      <c r="J304" s="3051"/>
      <c r="K304" s="2259" t="str">
        <f t="shared" si="4"/>
        <v>x</v>
      </c>
    </row>
    <row r="305" spans="1:11" ht="15" customHeight="1" x14ac:dyDescent="0.25">
      <c r="A305" s="3051"/>
      <c r="B305" s="3051"/>
      <c r="C305" s="3051"/>
      <c r="D305" s="3051"/>
      <c r="E305" s="3051"/>
      <c r="F305" s="3051"/>
      <c r="G305" s="3051"/>
      <c r="H305" s="3051"/>
      <c r="I305" s="3051"/>
      <c r="J305" s="3051"/>
      <c r="K305" s="2259" t="str">
        <f t="shared" si="4"/>
        <v>x</v>
      </c>
    </row>
    <row r="306" spans="1:11" ht="15" customHeight="1" x14ac:dyDescent="0.25">
      <c r="A306" s="3051"/>
      <c r="B306" s="3051"/>
      <c r="C306" s="3051"/>
      <c r="D306" s="3051"/>
      <c r="E306" s="3051"/>
      <c r="F306" s="3051"/>
      <c r="G306" s="3051"/>
      <c r="H306" s="3051"/>
      <c r="I306" s="3051"/>
      <c r="J306" s="3051"/>
      <c r="K306" s="2259" t="str">
        <f t="shared" si="4"/>
        <v>x</v>
      </c>
    </row>
    <row r="307" spans="1:11" ht="15" customHeight="1" x14ac:dyDescent="0.25">
      <c r="A307" s="3051"/>
      <c r="B307" s="3051"/>
      <c r="C307" s="3051"/>
      <c r="D307" s="3051"/>
      <c r="E307" s="3051"/>
      <c r="F307" s="3051"/>
      <c r="G307" s="3051"/>
      <c r="H307" s="3051"/>
      <c r="I307" s="3051"/>
      <c r="J307" s="3051"/>
      <c r="K307" s="2259" t="str">
        <f t="shared" si="4"/>
        <v>x</v>
      </c>
    </row>
    <row r="308" spans="1:11" ht="15" customHeight="1" x14ac:dyDescent="0.25">
      <c r="A308" s="3051"/>
      <c r="B308" s="3051"/>
      <c r="C308" s="3051"/>
      <c r="D308" s="3051"/>
      <c r="E308" s="3051"/>
      <c r="F308" s="3051"/>
      <c r="G308" s="3051"/>
      <c r="H308" s="3051"/>
      <c r="I308" s="3051"/>
      <c r="J308" s="3051"/>
      <c r="K308" s="2259" t="str">
        <f t="shared" si="4"/>
        <v>x</v>
      </c>
    </row>
    <row r="309" spans="1:11" ht="15" customHeight="1" x14ac:dyDescent="0.25">
      <c r="K309" s="2259" t="str">
        <f>K310</f>
        <v>x</v>
      </c>
    </row>
    <row r="310" spans="1:11" ht="15" customHeight="1" x14ac:dyDescent="0.25">
      <c r="A310" s="2246" t="s">
        <v>340</v>
      </c>
      <c r="B310" s="2246"/>
      <c r="C310" s="2246"/>
      <c r="D310" s="2246"/>
      <c r="E310" s="2246"/>
      <c r="F310" s="2246"/>
      <c r="G310" s="2246"/>
      <c r="H310" s="2246"/>
      <c r="I310" s="2246"/>
      <c r="J310" s="2246"/>
      <c r="K310" s="2259" t="str">
        <f>K311</f>
        <v>x</v>
      </c>
    </row>
    <row r="311" spans="1:11" ht="15" customHeight="1" x14ac:dyDescent="0.25">
      <c r="A311" s="3052" t="s">
        <v>119</v>
      </c>
      <c r="B311" s="3052"/>
      <c r="C311" s="3052" t="s">
        <v>121</v>
      </c>
      <c r="D311" s="3052"/>
      <c r="E311" s="3052" t="s">
        <v>336</v>
      </c>
      <c r="F311" s="3052"/>
      <c r="G311" s="3052" t="s">
        <v>832</v>
      </c>
      <c r="H311" s="3052"/>
      <c r="I311" s="3052" t="s">
        <v>328</v>
      </c>
      <c r="J311" s="3052"/>
      <c r="K311" s="2259" t="str">
        <f>K312</f>
        <v>x</v>
      </c>
    </row>
    <row r="312" spans="1:11" ht="15" customHeight="1" x14ac:dyDescent="0.25">
      <c r="A312" s="3051"/>
      <c r="B312" s="3051"/>
      <c r="C312" s="3051"/>
      <c r="D312" s="3051"/>
      <c r="E312" s="3051"/>
      <c r="F312" s="3051"/>
      <c r="G312" s="3051"/>
      <c r="H312" s="3051"/>
      <c r="I312" s="3051"/>
      <c r="J312" s="3051"/>
      <c r="K312" s="2259" t="str">
        <f t="shared" ref="K312:K362" si="5">IF(A312="","x","")</f>
        <v>x</v>
      </c>
    </row>
    <row r="313" spans="1:11" ht="15" customHeight="1" x14ac:dyDescent="0.25">
      <c r="A313" s="3051"/>
      <c r="B313" s="3051"/>
      <c r="C313" s="3051"/>
      <c r="D313" s="3051"/>
      <c r="E313" s="3051"/>
      <c r="F313" s="3051"/>
      <c r="G313" s="3051"/>
      <c r="H313" s="3051"/>
      <c r="I313" s="3051"/>
      <c r="J313" s="3051"/>
      <c r="K313" s="2259" t="str">
        <f t="shared" si="5"/>
        <v>x</v>
      </c>
    </row>
    <row r="314" spans="1:11" ht="15" customHeight="1" x14ac:dyDescent="0.25">
      <c r="A314" s="3051"/>
      <c r="B314" s="3051"/>
      <c r="C314" s="3051"/>
      <c r="D314" s="3051"/>
      <c r="E314" s="3051"/>
      <c r="F314" s="3051"/>
      <c r="G314" s="3051"/>
      <c r="H314" s="3051"/>
      <c r="I314" s="3051"/>
      <c r="J314" s="3051"/>
      <c r="K314" s="2259" t="str">
        <f t="shared" si="5"/>
        <v>x</v>
      </c>
    </row>
    <row r="315" spans="1:11" ht="15" customHeight="1" x14ac:dyDescent="0.25">
      <c r="A315" s="3051"/>
      <c r="B315" s="3051"/>
      <c r="C315" s="3051"/>
      <c r="D315" s="3051"/>
      <c r="E315" s="3051"/>
      <c r="F315" s="3051"/>
      <c r="G315" s="3051"/>
      <c r="H315" s="3051"/>
      <c r="I315" s="3051"/>
      <c r="J315" s="3051"/>
      <c r="K315" s="2259" t="str">
        <f t="shared" si="5"/>
        <v>x</v>
      </c>
    </row>
    <row r="316" spans="1:11" ht="15" customHeight="1" x14ac:dyDescent="0.25">
      <c r="A316" s="3051"/>
      <c r="B316" s="3051"/>
      <c r="C316" s="3051"/>
      <c r="D316" s="3051"/>
      <c r="E316" s="3051"/>
      <c r="F316" s="3051"/>
      <c r="G316" s="3051"/>
      <c r="H316" s="3051"/>
      <c r="I316" s="3051"/>
      <c r="J316" s="3051"/>
      <c r="K316" s="2259" t="str">
        <f t="shared" si="5"/>
        <v>x</v>
      </c>
    </row>
    <row r="317" spans="1:11" ht="15" customHeight="1" x14ac:dyDescent="0.25">
      <c r="A317" s="3051"/>
      <c r="B317" s="3051"/>
      <c r="C317" s="3051"/>
      <c r="D317" s="3051"/>
      <c r="E317" s="3051"/>
      <c r="F317" s="3051"/>
      <c r="G317" s="3051"/>
      <c r="H317" s="3051"/>
      <c r="I317" s="3051"/>
      <c r="J317" s="3051"/>
      <c r="K317" s="2259" t="str">
        <f t="shared" si="5"/>
        <v>x</v>
      </c>
    </row>
    <row r="318" spans="1:11" ht="15" customHeight="1" x14ac:dyDescent="0.25">
      <c r="A318" s="3051"/>
      <c r="B318" s="3051"/>
      <c r="C318" s="3051"/>
      <c r="D318" s="3051"/>
      <c r="E318" s="3051"/>
      <c r="F318" s="3051"/>
      <c r="G318" s="3051"/>
      <c r="H318" s="3051"/>
      <c r="I318" s="3051"/>
      <c r="J318" s="3051"/>
      <c r="K318" s="2259" t="str">
        <f t="shared" si="5"/>
        <v>x</v>
      </c>
    </row>
    <row r="319" spans="1:11" ht="15" customHeight="1" x14ac:dyDescent="0.25">
      <c r="A319" s="3051"/>
      <c r="B319" s="3051"/>
      <c r="C319" s="3051"/>
      <c r="D319" s="3051"/>
      <c r="E319" s="3051"/>
      <c r="F319" s="3051"/>
      <c r="G319" s="3051"/>
      <c r="H319" s="3051"/>
      <c r="I319" s="3051"/>
      <c r="J319" s="3051"/>
      <c r="K319" s="2259" t="str">
        <f t="shared" si="5"/>
        <v>x</v>
      </c>
    </row>
    <row r="320" spans="1:11" ht="15" customHeight="1" x14ac:dyDescent="0.25">
      <c r="A320" s="3051"/>
      <c r="B320" s="3051"/>
      <c r="C320" s="3051"/>
      <c r="D320" s="3051"/>
      <c r="E320" s="3051"/>
      <c r="F320" s="3051"/>
      <c r="G320" s="3051"/>
      <c r="H320" s="3051"/>
      <c r="I320" s="3051"/>
      <c r="J320" s="3051"/>
      <c r="K320" s="2259" t="str">
        <f t="shared" si="5"/>
        <v>x</v>
      </c>
    </row>
    <row r="321" spans="1:11" ht="15" customHeight="1" x14ac:dyDescent="0.25">
      <c r="A321" s="3051"/>
      <c r="B321" s="3051"/>
      <c r="C321" s="3051"/>
      <c r="D321" s="3051"/>
      <c r="E321" s="3051"/>
      <c r="F321" s="3051"/>
      <c r="G321" s="3051"/>
      <c r="H321" s="3051"/>
      <c r="I321" s="3051"/>
      <c r="J321" s="3051"/>
      <c r="K321" s="2259" t="str">
        <f t="shared" si="5"/>
        <v>x</v>
      </c>
    </row>
    <row r="322" spans="1:11" ht="15" customHeight="1" x14ac:dyDescent="0.25">
      <c r="A322" s="3051"/>
      <c r="B322" s="3051"/>
      <c r="C322" s="3051"/>
      <c r="D322" s="3051"/>
      <c r="E322" s="3051"/>
      <c r="F322" s="3051"/>
      <c r="G322" s="3051"/>
      <c r="H322" s="3051"/>
      <c r="I322" s="3051"/>
      <c r="J322" s="3051"/>
      <c r="K322" s="2259" t="str">
        <f t="shared" si="5"/>
        <v>x</v>
      </c>
    </row>
    <row r="323" spans="1:11" ht="15" customHeight="1" x14ac:dyDescent="0.25">
      <c r="A323" s="3051"/>
      <c r="B323" s="3051"/>
      <c r="C323" s="3051"/>
      <c r="D323" s="3051"/>
      <c r="E323" s="3051"/>
      <c r="F323" s="3051"/>
      <c r="G323" s="3051"/>
      <c r="H323" s="3051"/>
      <c r="I323" s="3051"/>
      <c r="J323" s="3051"/>
      <c r="K323" s="2259" t="str">
        <f t="shared" si="5"/>
        <v>x</v>
      </c>
    </row>
    <row r="324" spans="1:11" ht="15" customHeight="1" x14ac:dyDescent="0.25">
      <c r="A324" s="3051"/>
      <c r="B324" s="3051"/>
      <c r="C324" s="3051"/>
      <c r="D324" s="3051"/>
      <c r="E324" s="3051"/>
      <c r="F324" s="3051"/>
      <c r="G324" s="3051"/>
      <c r="H324" s="3051"/>
      <c r="I324" s="3051"/>
      <c r="J324" s="3051"/>
      <c r="K324" s="2259" t="str">
        <f t="shared" si="5"/>
        <v>x</v>
      </c>
    </row>
    <row r="325" spans="1:11" ht="15" customHeight="1" x14ac:dyDescent="0.25">
      <c r="A325" s="3051"/>
      <c r="B325" s="3051"/>
      <c r="C325" s="3051"/>
      <c r="D325" s="3051"/>
      <c r="E325" s="3051"/>
      <c r="F325" s="3051"/>
      <c r="G325" s="3051"/>
      <c r="H325" s="3051"/>
      <c r="I325" s="3051"/>
      <c r="J325" s="3051"/>
      <c r="K325" s="2259" t="str">
        <f t="shared" si="5"/>
        <v>x</v>
      </c>
    </row>
    <row r="326" spans="1:11" ht="15" customHeight="1" x14ac:dyDescent="0.25">
      <c r="A326" s="3051"/>
      <c r="B326" s="3051"/>
      <c r="C326" s="3051"/>
      <c r="D326" s="3051"/>
      <c r="E326" s="3051"/>
      <c r="F326" s="3051"/>
      <c r="G326" s="3051"/>
      <c r="H326" s="3051"/>
      <c r="I326" s="3051"/>
      <c r="J326" s="3051"/>
      <c r="K326" s="2259" t="str">
        <f t="shared" si="5"/>
        <v>x</v>
      </c>
    </row>
    <row r="327" spans="1:11" ht="15" customHeight="1" x14ac:dyDescent="0.25">
      <c r="A327" s="3051"/>
      <c r="B327" s="3051"/>
      <c r="C327" s="3051"/>
      <c r="D327" s="3051"/>
      <c r="E327" s="3051"/>
      <c r="F327" s="3051"/>
      <c r="G327" s="3051"/>
      <c r="H327" s="3051"/>
      <c r="I327" s="3051"/>
      <c r="J327" s="3051"/>
      <c r="K327" s="2259" t="str">
        <f t="shared" si="5"/>
        <v>x</v>
      </c>
    </row>
    <row r="328" spans="1:11" ht="15" customHeight="1" x14ac:dyDescent="0.25">
      <c r="A328" s="3051"/>
      <c r="B328" s="3051"/>
      <c r="C328" s="3051"/>
      <c r="D328" s="3051"/>
      <c r="E328" s="3051"/>
      <c r="F328" s="3051"/>
      <c r="G328" s="3051"/>
      <c r="H328" s="3051"/>
      <c r="I328" s="3051"/>
      <c r="J328" s="3051"/>
      <c r="K328" s="2259" t="str">
        <f t="shared" si="5"/>
        <v>x</v>
      </c>
    </row>
    <row r="329" spans="1:11" ht="15" customHeight="1" x14ac:dyDescent="0.25">
      <c r="A329" s="3051"/>
      <c r="B329" s="3051"/>
      <c r="C329" s="3051"/>
      <c r="D329" s="3051"/>
      <c r="E329" s="3051"/>
      <c r="F329" s="3051"/>
      <c r="G329" s="3051"/>
      <c r="H329" s="3051"/>
      <c r="I329" s="3051"/>
      <c r="J329" s="3051"/>
      <c r="K329" s="2259" t="str">
        <f t="shared" si="5"/>
        <v>x</v>
      </c>
    </row>
    <row r="330" spans="1:11" ht="15" customHeight="1" x14ac:dyDescent="0.25">
      <c r="A330" s="3051"/>
      <c r="B330" s="3051"/>
      <c r="C330" s="3051"/>
      <c r="D330" s="3051"/>
      <c r="E330" s="3051"/>
      <c r="F330" s="3051"/>
      <c r="G330" s="3051"/>
      <c r="H330" s="3051"/>
      <c r="I330" s="3051"/>
      <c r="J330" s="3051"/>
      <c r="K330" s="2259" t="str">
        <f t="shared" si="5"/>
        <v>x</v>
      </c>
    </row>
    <row r="331" spans="1:11" ht="15" customHeight="1" x14ac:dyDescent="0.25">
      <c r="A331" s="3051"/>
      <c r="B331" s="3051"/>
      <c r="C331" s="3051"/>
      <c r="D331" s="3051"/>
      <c r="E331" s="3051"/>
      <c r="F331" s="3051"/>
      <c r="G331" s="3051"/>
      <c r="H331" s="3051"/>
      <c r="I331" s="3051"/>
      <c r="J331" s="3051"/>
      <c r="K331" s="2259" t="str">
        <f t="shared" si="5"/>
        <v>x</v>
      </c>
    </row>
    <row r="332" spans="1:11" ht="15" customHeight="1" x14ac:dyDescent="0.25">
      <c r="A332" s="3051"/>
      <c r="B332" s="3051"/>
      <c r="C332" s="3051"/>
      <c r="D332" s="3051"/>
      <c r="E332" s="3051"/>
      <c r="F332" s="3051"/>
      <c r="G332" s="3051"/>
      <c r="H332" s="3051"/>
      <c r="I332" s="3051"/>
      <c r="J332" s="3051"/>
      <c r="K332" s="2259" t="str">
        <f t="shared" si="5"/>
        <v>x</v>
      </c>
    </row>
    <row r="333" spans="1:11" ht="15" customHeight="1" x14ac:dyDescent="0.25">
      <c r="A333" s="3051"/>
      <c r="B333" s="3051"/>
      <c r="C333" s="3051"/>
      <c r="D333" s="3051"/>
      <c r="E333" s="3051"/>
      <c r="F333" s="3051"/>
      <c r="G333" s="3051"/>
      <c r="H333" s="3051"/>
      <c r="I333" s="3051"/>
      <c r="J333" s="3051"/>
      <c r="K333" s="2259" t="str">
        <f t="shared" si="5"/>
        <v>x</v>
      </c>
    </row>
    <row r="334" spans="1:11" ht="15" customHeight="1" x14ac:dyDescent="0.25">
      <c r="A334" s="3051"/>
      <c r="B334" s="3051"/>
      <c r="C334" s="3051"/>
      <c r="D334" s="3051"/>
      <c r="E334" s="3051"/>
      <c r="F334" s="3051"/>
      <c r="G334" s="3051"/>
      <c r="H334" s="3051"/>
      <c r="I334" s="3051"/>
      <c r="J334" s="3051"/>
      <c r="K334" s="2259" t="str">
        <f t="shared" si="5"/>
        <v>x</v>
      </c>
    </row>
    <row r="335" spans="1:11" ht="15" customHeight="1" x14ac:dyDescent="0.25">
      <c r="A335" s="3051"/>
      <c r="B335" s="3051"/>
      <c r="C335" s="3051"/>
      <c r="D335" s="3051"/>
      <c r="E335" s="3051"/>
      <c r="F335" s="3051"/>
      <c r="G335" s="3051"/>
      <c r="H335" s="3051"/>
      <c r="I335" s="3051"/>
      <c r="J335" s="3051"/>
      <c r="K335" s="2259" t="str">
        <f t="shared" si="5"/>
        <v>x</v>
      </c>
    </row>
    <row r="336" spans="1:11" ht="15" customHeight="1" x14ac:dyDescent="0.25">
      <c r="A336" s="3051"/>
      <c r="B336" s="3051"/>
      <c r="C336" s="3051"/>
      <c r="D336" s="3051"/>
      <c r="E336" s="3051"/>
      <c r="F336" s="3051"/>
      <c r="G336" s="3051"/>
      <c r="H336" s="3051"/>
      <c r="I336" s="3051"/>
      <c r="J336" s="3051"/>
      <c r="K336" s="2259" t="str">
        <f t="shared" si="5"/>
        <v>x</v>
      </c>
    </row>
    <row r="337" spans="1:11" ht="15" customHeight="1" x14ac:dyDescent="0.25">
      <c r="A337" s="3051"/>
      <c r="B337" s="3051"/>
      <c r="C337" s="3051"/>
      <c r="D337" s="3051"/>
      <c r="E337" s="3051"/>
      <c r="F337" s="3051"/>
      <c r="G337" s="3051"/>
      <c r="H337" s="3051"/>
      <c r="I337" s="3051"/>
      <c r="J337" s="3051"/>
      <c r="K337" s="2259" t="str">
        <f t="shared" si="5"/>
        <v>x</v>
      </c>
    </row>
    <row r="338" spans="1:11" ht="15" customHeight="1" x14ac:dyDescent="0.25">
      <c r="A338" s="3051"/>
      <c r="B338" s="3051"/>
      <c r="C338" s="3051"/>
      <c r="D338" s="3051"/>
      <c r="E338" s="3051"/>
      <c r="F338" s="3051"/>
      <c r="G338" s="3051"/>
      <c r="H338" s="3051"/>
      <c r="I338" s="3051"/>
      <c r="J338" s="3051"/>
      <c r="K338" s="2259" t="str">
        <f t="shared" si="5"/>
        <v>x</v>
      </c>
    </row>
    <row r="339" spans="1:11" ht="15" customHeight="1" x14ac:dyDescent="0.25">
      <c r="A339" s="3051"/>
      <c r="B339" s="3051"/>
      <c r="C339" s="3051"/>
      <c r="D339" s="3051"/>
      <c r="E339" s="3051"/>
      <c r="F339" s="3051"/>
      <c r="G339" s="3051"/>
      <c r="H339" s="3051"/>
      <c r="I339" s="3051"/>
      <c r="J339" s="3051"/>
      <c r="K339" s="2259" t="str">
        <f t="shared" si="5"/>
        <v>x</v>
      </c>
    </row>
    <row r="340" spans="1:11" ht="15" customHeight="1" x14ac:dyDescent="0.25">
      <c r="A340" s="3051"/>
      <c r="B340" s="3051"/>
      <c r="C340" s="3051"/>
      <c r="D340" s="3051"/>
      <c r="E340" s="3051"/>
      <c r="F340" s="3051"/>
      <c r="G340" s="3051"/>
      <c r="H340" s="3051"/>
      <c r="I340" s="3051"/>
      <c r="J340" s="3051"/>
      <c r="K340" s="2259" t="str">
        <f t="shared" si="5"/>
        <v>x</v>
      </c>
    </row>
    <row r="341" spans="1:11" ht="15" customHeight="1" x14ac:dyDescent="0.25">
      <c r="A341" s="3051"/>
      <c r="B341" s="3051"/>
      <c r="C341" s="3051"/>
      <c r="D341" s="3051"/>
      <c r="E341" s="3051"/>
      <c r="F341" s="3051"/>
      <c r="G341" s="3051"/>
      <c r="H341" s="3051"/>
      <c r="I341" s="3051"/>
      <c r="J341" s="3051"/>
      <c r="K341" s="2259" t="str">
        <f t="shared" si="5"/>
        <v>x</v>
      </c>
    </row>
    <row r="342" spans="1:11" ht="15" customHeight="1" x14ac:dyDescent="0.25">
      <c r="A342" s="3051"/>
      <c r="B342" s="3051"/>
      <c r="C342" s="3051"/>
      <c r="D342" s="3051"/>
      <c r="E342" s="3051"/>
      <c r="F342" s="3051"/>
      <c r="G342" s="3051"/>
      <c r="H342" s="3051"/>
      <c r="I342" s="3051"/>
      <c r="J342" s="3051"/>
      <c r="K342" s="2259" t="str">
        <f t="shared" si="5"/>
        <v>x</v>
      </c>
    </row>
    <row r="343" spans="1:11" ht="15" customHeight="1" x14ac:dyDescent="0.25">
      <c r="A343" s="3051"/>
      <c r="B343" s="3051"/>
      <c r="C343" s="3051"/>
      <c r="D343" s="3051"/>
      <c r="E343" s="3051"/>
      <c r="F343" s="3051"/>
      <c r="G343" s="3051"/>
      <c r="H343" s="3051"/>
      <c r="I343" s="3051"/>
      <c r="J343" s="3051"/>
      <c r="K343" s="2259" t="str">
        <f t="shared" si="5"/>
        <v>x</v>
      </c>
    </row>
    <row r="344" spans="1:11" ht="15" customHeight="1" x14ac:dyDescent="0.25">
      <c r="A344" s="3051"/>
      <c r="B344" s="3051"/>
      <c r="C344" s="3051"/>
      <c r="D344" s="3051"/>
      <c r="E344" s="3051"/>
      <c r="F344" s="3051"/>
      <c r="G344" s="3051"/>
      <c r="H344" s="3051"/>
      <c r="I344" s="3051"/>
      <c r="J344" s="3051"/>
      <c r="K344" s="2259" t="str">
        <f t="shared" si="5"/>
        <v>x</v>
      </c>
    </row>
    <row r="345" spans="1:11" ht="15" customHeight="1" x14ac:dyDescent="0.25">
      <c r="A345" s="3051"/>
      <c r="B345" s="3051"/>
      <c r="C345" s="3051"/>
      <c r="D345" s="3051"/>
      <c r="E345" s="3051"/>
      <c r="F345" s="3051"/>
      <c r="G345" s="3051"/>
      <c r="H345" s="3051"/>
      <c r="I345" s="3051"/>
      <c r="J345" s="3051"/>
      <c r="K345" s="2259" t="str">
        <f t="shared" si="5"/>
        <v>x</v>
      </c>
    </row>
    <row r="346" spans="1:11" ht="15" customHeight="1" x14ac:dyDescent="0.25">
      <c r="A346" s="3051"/>
      <c r="B346" s="3051"/>
      <c r="C346" s="3051"/>
      <c r="D346" s="3051"/>
      <c r="E346" s="3051"/>
      <c r="F346" s="3051"/>
      <c r="G346" s="3051"/>
      <c r="H346" s="3051"/>
      <c r="I346" s="3051"/>
      <c r="J346" s="3051"/>
      <c r="K346" s="2259" t="str">
        <f t="shared" si="5"/>
        <v>x</v>
      </c>
    </row>
    <row r="347" spans="1:11" ht="15" customHeight="1" x14ac:dyDescent="0.25">
      <c r="A347" s="3051"/>
      <c r="B347" s="3051"/>
      <c r="C347" s="3051"/>
      <c r="D347" s="3051"/>
      <c r="E347" s="3051"/>
      <c r="F347" s="3051"/>
      <c r="G347" s="3051"/>
      <c r="H347" s="3051"/>
      <c r="I347" s="3051"/>
      <c r="J347" s="3051"/>
      <c r="K347" s="2259" t="str">
        <f t="shared" si="5"/>
        <v>x</v>
      </c>
    </row>
    <row r="348" spans="1:11" ht="15" customHeight="1" x14ac:dyDescent="0.25">
      <c r="A348" s="3051"/>
      <c r="B348" s="3051"/>
      <c r="C348" s="3051"/>
      <c r="D348" s="3051"/>
      <c r="E348" s="3051"/>
      <c r="F348" s="3051"/>
      <c r="G348" s="3051"/>
      <c r="H348" s="3051"/>
      <c r="I348" s="3051"/>
      <c r="J348" s="3051"/>
      <c r="K348" s="2259" t="str">
        <f t="shared" si="5"/>
        <v>x</v>
      </c>
    </row>
    <row r="349" spans="1:11" ht="15" customHeight="1" x14ac:dyDescent="0.25">
      <c r="A349" s="3051"/>
      <c r="B349" s="3051"/>
      <c r="C349" s="3051"/>
      <c r="D349" s="3051"/>
      <c r="E349" s="3051"/>
      <c r="F349" s="3051"/>
      <c r="G349" s="3051"/>
      <c r="H349" s="3051"/>
      <c r="I349" s="3051"/>
      <c r="J349" s="3051"/>
      <c r="K349" s="2259" t="str">
        <f t="shared" si="5"/>
        <v>x</v>
      </c>
    </row>
    <row r="350" spans="1:11" ht="15" customHeight="1" x14ac:dyDescent="0.25">
      <c r="A350" s="3051"/>
      <c r="B350" s="3051"/>
      <c r="C350" s="3051"/>
      <c r="D350" s="3051"/>
      <c r="E350" s="3051"/>
      <c r="F350" s="3051"/>
      <c r="G350" s="3051"/>
      <c r="H350" s="3051"/>
      <c r="I350" s="3051"/>
      <c r="J350" s="3051"/>
      <c r="K350" s="2259" t="str">
        <f t="shared" si="5"/>
        <v>x</v>
      </c>
    </row>
    <row r="351" spans="1:11" ht="15" customHeight="1" x14ac:dyDescent="0.25">
      <c r="A351" s="3051"/>
      <c r="B351" s="3051"/>
      <c r="C351" s="3051"/>
      <c r="D351" s="3051"/>
      <c r="E351" s="3051"/>
      <c r="F351" s="3051"/>
      <c r="G351" s="3051"/>
      <c r="H351" s="3051"/>
      <c r="I351" s="3051"/>
      <c r="J351" s="3051"/>
      <c r="K351" s="2259" t="str">
        <f t="shared" si="5"/>
        <v>x</v>
      </c>
    </row>
    <row r="352" spans="1:11" ht="15" customHeight="1" x14ac:dyDescent="0.25">
      <c r="A352" s="3051"/>
      <c r="B352" s="3051"/>
      <c r="C352" s="3051"/>
      <c r="D352" s="3051"/>
      <c r="E352" s="3051"/>
      <c r="F352" s="3051"/>
      <c r="G352" s="3051"/>
      <c r="H352" s="3051"/>
      <c r="I352" s="3051"/>
      <c r="J352" s="3051"/>
      <c r="K352" s="2259" t="str">
        <f t="shared" si="5"/>
        <v>x</v>
      </c>
    </row>
    <row r="353" spans="1:11" ht="15" customHeight="1" x14ac:dyDescent="0.25">
      <c r="A353" s="3051"/>
      <c r="B353" s="3051"/>
      <c r="C353" s="3051"/>
      <c r="D353" s="3051"/>
      <c r="E353" s="3051"/>
      <c r="F353" s="3051"/>
      <c r="G353" s="3051"/>
      <c r="H353" s="3051"/>
      <c r="I353" s="3051"/>
      <c r="J353" s="3051"/>
      <c r="K353" s="2259" t="str">
        <f t="shared" si="5"/>
        <v>x</v>
      </c>
    </row>
    <row r="354" spans="1:11" ht="15" customHeight="1" x14ac:dyDescent="0.25">
      <c r="A354" s="3051"/>
      <c r="B354" s="3051"/>
      <c r="C354" s="3051"/>
      <c r="D354" s="3051"/>
      <c r="E354" s="3051"/>
      <c r="F354" s="3051"/>
      <c r="G354" s="3051"/>
      <c r="H354" s="3051"/>
      <c r="I354" s="3051"/>
      <c r="J354" s="3051"/>
      <c r="K354" s="2259" t="str">
        <f t="shared" si="5"/>
        <v>x</v>
      </c>
    </row>
    <row r="355" spans="1:11" ht="15" customHeight="1" x14ac:dyDescent="0.25">
      <c r="A355" s="3051"/>
      <c r="B355" s="3051"/>
      <c r="C355" s="3051"/>
      <c r="D355" s="3051"/>
      <c r="E355" s="3051"/>
      <c r="F355" s="3051"/>
      <c r="G355" s="3051"/>
      <c r="H355" s="3051"/>
      <c r="I355" s="3051"/>
      <c r="J355" s="3051"/>
      <c r="K355" s="2259" t="str">
        <f t="shared" si="5"/>
        <v>x</v>
      </c>
    </row>
    <row r="356" spans="1:11" ht="15" customHeight="1" x14ac:dyDescent="0.25">
      <c r="A356" s="3051"/>
      <c r="B356" s="3051"/>
      <c r="C356" s="3051"/>
      <c r="D356" s="3051"/>
      <c r="E356" s="3051"/>
      <c r="F356" s="3051"/>
      <c r="G356" s="3051"/>
      <c r="H356" s="3051"/>
      <c r="I356" s="3051"/>
      <c r="J356" s="3051"/>
      <c r="K356" s="2259" t="str">
        <f t="shared" si="5"/>
        <v>x</v>
      </c>
    </row>
    <row r="357" spans="1:11" ht="15" customHeight="1" x14ac:dyDescent="0.25">
      <c r="A357" s="3051"/>
      <c r="B357" s="3051"/>
      <c r="C357" s="3051"/>
      <c r="D357" s="3051"/>
      <c r="E357" s="3051"/>
      <c r="F357" s="3051"/>
      <c r="G357" s="3051"/>
      <c r="H357" s="3051"/>
      <c r="I357" s="3051"/>
      <c r="J357" s="3051"/>
      <c r="K357" s="2259" t="str">
        <f t="shared" si="5"/>
        <v>x</v>
      </c>
    </row>
    <row r="358" spans="1:11" ht="15" customHeight="1" x14ac:dyDescent="0.25">
      <c r="A358" s="3051"/>
      <c r="B358" s="3051"/>
      <c r="C358" s="3051"/>
      <c r="D358" s="3051"/>
      <c r="E358" s="3051"/>
      <c r="F358" s="3051"/>
      <c r="G358" s="3051"/>
      <c r="H358" s="3051"/>
      <c r="I358" s="3051"/>
      <c r="J358" s="3051"/>
      <c r="K358" s="2259" t="str">
        <f t="shared" si="5"/>
        <v>x</v>
      </c>
    </row>
    <row r="359" spans="1:11" ht="15" customHeight="1" x14ac:dyDescent="0.25">
      <c r="A359" s="3051"/>
      <c r="B359" s="3051"/>
      <c r="C359" s="3051"/>
      <c r="D359" s="3051"/>
      <c r="E359" s="3051"/>
      <c r="F359" s="3051"/>
      <c r="G359" s="3051"/>
      <c r="H359" s="3051"/>
      <c r="I359" s="3051"/>
      <c r="J359" s="3051"/>
      <c r="K359" s="2259" t="str">
        <f t="shared" si="5"/>
        <v>x</v>
      </c>
    </row>
    <row r="360" spans="1:11" ht="15" customHeight="1" x14ac:dyDescent="0.25">
      <c r="A360" s="3051"/>
      <c r="B360" s="3051"/>
      <c r="C360" s="3051"/>
      <c r="D360" s="3051"/>
      <c r="E360" s="3051"/>
      <c r="F360" s="3051"/>
      <c r="G360" s="3051"/>
      <c r="H360" s="3051"/>
      <c r="I360" s="3051"/>
      <c r="J360" s="3051"/>
      <c r="K360" s="2259" t="str">
        <f t="shared" si="5"/>
        <v>x</v>
      </c>
    </row>
    <row r="361" spans="1:11" ht="15" customHeight="1" x14ac:dyDescent="0.25">
      <c r="A361" s="3051"/>
      <c r="B361" s="3051"/>
      <c r="C361" s="3051"/>
      <c r="D361" s="3051"/>
      <c r="E361" s="3051"/>
      <c r="F361" s="3051"/>
      <c r="G361" s="3051"/>
      <c r="H361" s="3051"/>
      <c r="I361" s="3051"/>
      <c r="J361" s="3051"/>
      <c r="K361" s="2259" t="str">
        <f t="shared" si="5"/>
        <v>x</v>
      </c>
    </row>
    <row r="362" spans="1:11" ht="15" customHeight="1" x14ac:dyDescent="0.25">
      <c r="A362" s="3051"/>
      <c r="B362" s="3051"/>
      <c r="C362" s="3051"/>
      <c r="D362" s="3051"/>
      <c r="E362" s="3051"/>
      <c r="F362" s="3051"/>
      <c r="G362" s="3051"/>
      <c r="H362" s="3051"/>
      <c r="I362" s="3051"/>
      <c r="J362" s="3051"/>
      <c r="K362" s="2259" t="str">
        <f t="shared" si="5"/>
        <v>x</v>
      </c>
    </row>
    <row r="363" spans="1:11" ht="15" customHeight="1" x14ac:dyDescent="0.25">
      <c r="A363" s="3059" t="s">
        <v>2775</v>
      </c>
      <c r="B363" s="3059"/>
      <c r="C363" s="3059"/>
      <c r="D363" s="3059"/>
      <c r="E363" s="3059"/>
      <c r="F363" s="3059"/>
      <c r="G363" s="3059"/>
      <c r="H363" s="3059"/>
      <c r="I363" s="3059"/>
      <c r="J363" s="3059"/>
    </row>
    <row r="364" spans="1:11" ht="15" customHeight="1" x14ac:dyDescent="0.25">
      <c r="A364" s="3059"/>
      <c r="B364" s="3059"/>
      <c r="C364" s="3059"/>
      <c r="D364" s="3059"/>
      <c r="E364" s="3059"/>
      <c r="F364" s="3059"/>
      <c r="G364" s="3059"/>
      <c r="H364" s="3059"/>
      <c r="I364" s="3059"/>
      <c r="J364" s="3059"/>
    </row>
    <row r="366" spans="1:11" ht="15" customHeight="1" x14ac:dyDescent="0.25">
      <c r="A366" s="1868" t="s">
        <v>342</v>
      </c>
    </row>
    <row r="367" spans="1:11" ht="15" customHeight="1" x14ac:dyDescent="0.25">
      <c r="A367" s="3057" t="str">
        <f>IntroPrazoArmazenamento</f>
        <v xml:space="preserve">               Este documento deve ser arquivado e mantido à disposição da autoridade sanitária local, garantindo sua rastreabilidade pelo prazo mínimo de 5 anos. </v>
      </c>
      <c r="B367" s="3057"/>
      <c r="C367" s="3057"/>
      <c r="D367" s="3057"/>
      <c r="E367" s="3057"/>
      <c r="F367" s="3057"/>
      <c r="G367" s="3057"/>
      <c r="H367" s="3057"/>
      <c r="I367" s="3057"/>
      <c r="J367" s="3057"/>
    </row>
    <row r="368" spans="1:11" ht="15" customHeight="1" x14ac:dyDescent="0.25">
      <c r="A368" s="3057"/>
      <c r="B368" s="3057"/>
      <c r="C368" s="3057"/>
      <c r="D368" s="3057"/>
      <c r="E368" s="3057"/>
      <c r="F368" s="3057"/>
      <c r="G368" s="3057"/>
      <c r="H368" s="3057"/>
      <c r="I368" s="3057"/>
      <c r="J368" s="3057"/>
    </row>
    <row r="369" spans="1:12" ht="15" customHeight="1" x14ac:dyDescent="0.2">
      <c r="A369" s="3057" t="s">
        <v>2081</v>
      </c>
      <c r="B369" s="3057"/>
      <c r="C369" s="3057"/>
      <c r="D369" s="3057"/>
      <c r="E369" s="3057"/>
      <c r="F369" s="3057"/>
      <c r="G369" s="3057"/>
      <c r="H369" s="3057"/>
      <c r="I369" s="3057"/>
      <c r="J369" s="3057"/>
      <c r="L369" s="2248"/>
    </row>
    <row r="370" spans="1:12" ht="15" customHeight="1" x14ac:dyDescent="0.2">
      <c r="A370" s="3057"/>
      <c r="B370" s="3057"/>
      <c r="C370" s="3057"/>
      <c r="D370" s="3057"/>
      <c r="E370" s="3057"/>
      <c r="F370" s="3057"/>
      <c r="G370" s="3057"/>
      <c r="H370" s="3057"/>
      <c r="I370" s="3057"/>
      <c r="J370" s="3057"/>
      <c r="L370" s="2248"/>
    </row>
    <row r="371" spans="1:12" ht="15" customHeight="1" x14ac:dyDescent="0.25">
      <c r="A371" s="3057"/>
      <c r="B371" s="3057"/>
      <c r="C371" s="3057"/>
      <c r="D371" s="3057"/>
      <c r="E371" s="3057"/>
      <c r="F371" s="3057"/>
      <c r="G371" s="3057"/>
      <c r="H371" s="3057"/>
      <c r="I371" s="3057"/>
      <c r="J371" s="3057"/>
    </row>
    <row r="372" spans="1:12" ht="15" customHeight="1" x14ac:dyDescent="0.25">
      <c r="A372" s="3057"/>
      <c r="B372" s="3057"/>
      <c r="C372" s="3057"/>
      <c r="D372" s="3057"/>
      <c r="E372" s="3057"/>
      <c r="F372" s="3057"/>
      <c r="G372" s="3057"/>
      <c r="H372" s="3057"/>
      <c r="I372" s="3057"/>
      <c r="J372" s="3057"/>
    </row>
    <row r="373" spans="1:12" ht="15" customHeight="1" x14ac:dyDescent="0.25">
      <c r="A373" s="2262"/>
      <c r="B373" s="2262"/>
      <c r="C373" s="2262"/>
      <c r="D373" s="2262"/>
      <c r="E373" s="2262"/>
      <c r="F373" s="2262"/>
      <c r="G373" s="2262"/>
      <c r="H373" s="2262"/>
      <c r="I373" s="2262"/>
      <c r="J373" s="2262"/>
    </row>
    <row r="374" spans="1:12" ht="15" customHeight="1" x14ac:dyDescent="0.25">
      <c r="A374" s="1868" t="s">
        <v>2076</v>
      </c>
      <c r="B374" s="2262"/>
      <c r="C374" s="2262"/>
      <c r="D374" s="2262"/>
      <c r="E374" s="2262"/>
      <c r="F374" s="2262"/>
      <c r="G374" s="2262"/>
      <c r="H374" s="2262"/>
      <c r="I374" s="2262"/>
      <c r="J374" s="2262"/>
    </row>
    <row r="375" spans="1:12" ht="15" customHeight="1" x14ac:dyDescent="0.25">
      <c r="A375" s="3057"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375" s="3057"/>
      <c r="C375" s="3057"/>
      <c r="D375" s="3057"/>
      <c r="E375" s="3057"/>
      <c r="F375" s="3057"/>
      <c r="G375" s="3057"/>
      <c r="H375" s="3057"/>
      <c r="I375" s="3057"/>
      <c r="J375" s="3057"/>
    </row>
    <row r="376" spans="1:12" ht="15" customHeight="1" x14ac:dyDescent="0.25">
      <c r="A376" s="3057"/>
      <c r="B376" s="3057"/>
      <c r="C376" s="3057"/>
      <c r="D376" s="3057"/>
      <c r="E376" s="3057"/>
      <c r="F376" s="3057"/>
      <c r="G376" s="3057"/>
      <c r="H376" s="3057"/>
      <c r="I376" s="3057"/>
      <c r="J376" s="3057"/>
    </row>
    <row r="377" spans="1:12" ht="15" customHeight="1" x14ac:dyDescent="0.25">
      <c r="A377" s="3057"/>
      <c r="B377" s="3057"/>
      <c r="C377" s="3057"/>
      <c r="D377" s="3057"/>
      <c r="E377" s="3057"/>
      <c r="F377" s="3057"/>
      <c r="G377" s="3057"/>
      <c r="H377" s="3057"/>
      <c r="I377" s="3057"/>
      <c r="J377" s="3057"/>
    </row>
    <row r="378" spans="1:12" ht="15" customHeight="1" x14ac:dyDescent="0.25">
      <c r="A378" s="3057"/>
      <c r="B378" s="3057"/>
      <c r="C378" s="3057"/>
      <c r="D378" s="3057"/>
      <c r="E378" s="3057"/>
      <c r="F378" s="3057"/>
      <c r="G378" s="3057"/>
      <c r="H378" s="3057"/>
      <c r="I378" s="3057"/>
      <c r="J378" s="3057"/>
    </row>
    <row r="379" spans="1:12" ht="15" customHeight="1" x14ac:dyDescent="0.25">
      <c r="A379" s="3057"/>
      <c r="B379" s="3057"/>
      <c r="C379" s="3057"/>
      <c r="D379" s="3057"/>
      <c r="E379" s="3057"/>
      <c r="F379" s="3057"/>
      <c r="G379" s="3057"/>
      <c r="H379" s="3057"/>
      <c r="I379" s="3057"/>
      <c r="J379" s="3057"/>
    </row>
    <row r="380" spans="1:12" ht="15" customHeight="1" x14ac:dyDescent="0.25">
      <c r="A380" s="3057"/>
      <c r="B380" s="3057"/>
      <c r="C380" s="3057"/>
      <c r="D380" s="3057"/>
      <c r="E380" s="3057"/>
      <c r="F380" s="3057"/>
      <c r="G380" s="3057"/>
      <c r="H380" s="3057"/>
      <c r="I380" s="3057"/>
      <c r="J380" s="3057"/>
    </row>
    <row r="381" spans="1:12" ht="15" customHeight="1" x14ac:dyDescent="0.25">
      <c r="A381" s="2787" t="s">
        <v>2715</v>
      </c>
      <c r="B381" s="2787"/>
      <c r="C381" s="2918" t="e">
        <f>IF(C37="Semestral",EDATE(Cabeçalho!B12,6),EDATE(Cabeçalho!B12,12))</f>
        <v>#N/A</v>
      </c>
      <c r="D381" s="2918"/>
      <c r="E381" s="2249"/>
      <c r="F381" s="2262"/>
      <c r="G381" s="2262"/>
      <c r="H381" s="2262"/>
      <c r="I381" s="2262"/>
      <c r="J381" s="2262"/>
    </row>
    <row r="382" spans="1:12" ht="15" customHeight="1" x14ac:dyDescent="0.25">
      <c r="A382" s="2262"/>
      <c r="B382" s="2262"/>
      <c r="C382" s="2262"/>
      <c r="D382" s="2262"/>
      <c r="E382" s="2262"/>
      <c r="F382" s="2262"/>
      <c r="G382" s="2262"/>
      <c r="H382" s="2262"/>
      <c r="I382" s="2262"/>
      <c r="J382" s="2262"/>
    </row>
    <row r="383" spans="1:12" ht="15" customHeight="1" x14ac:dyDescent="0.25">
      <c r="A383" s="1868" t="s">
        <v>180</v>
      </c>
    </row>
    <row r="384" spans="1:12" ht="15" customHeight="1" x14ac:dyDescent="0.25">
      <c r="A384" s="3057" t="s">
        <v>1161</v>
      </c>
      <c r="B384" s="3057"/>
      <c r="C384" s="3057"/>
      <c r="D384" s="3057"/>
      <c r="E384" s="3057"/>
      <c r="F384" s="3057"/>
      <c r="G384" s="3057"/>
      <c r="H384" s="3057"/>
      <c r="I384" s="3057"/>
      <c r="J384" s="3057"/>
      <c r="K384" s="2259" t="str">
        <f>IF(COUNTIF(I43:J362,"Inadequada")=0,"","x")</f>
        <v/>
      </c>
    </row>
    <row r="385" spans="1:11" ht="15" customHeight="1" x14ac:dyDescent="0.25">
      <c r="A385" s="3057"/>
      <c r="B385" s="3057"/>
      <c r="C385" s="3057"/>
      <c r="D385" s="3057"/>
      <c r="E385" s="3057"/>
      <c r="F385" s="3057"/>
      <c r="G385" s="3057"/>
      <c r="H385" s="3057"/>
      <c r="I385" s="3057"/>
      <c r="J385" s="3057"/>
      <c r="K385" s="2259" t="str">
        <f>K384</f>
        <v/>
      </c>
    </row>
    <row r="386" spans="1:11" ht="15" customHeight="1" x14ac:dyDescent="0.25">
      <c r="A386" s="3057" t="s">
        <v>344</v>
      </c>
      <c r="B386" s="3057"/>
      <c r="C386" s="3057"/>
      <c r="D386" s="3057"/>
      <c r="E386" s="3057"/>
      <c r="F386" s="3057"/>
      <c r="G386" s="3057"/>
      <c r="H386" s="3057"/>
      <c r="I386" s="3057"/>
      <c r="J386" s="3057"/>
      <c r="K386" s="2259" t="str">
        <f>IF(COUNTIF(I258:J309,"Inadequada")&gt;0,"","x")</f>
        <v>x</v>
      </c>
    </row>
    <row r="387" spans="1:11" ht="15" customHeight="1" x14ac:dyDescent="0.25">
      <c r="A387" s="3057"/>
      <c r="B387" s="3057"/>
      <c r="C387" s="3057"/>
      <c r="D387" s="3057"/>
      <c r="E387" s="3057"/>
      <c r="F387" s="3057"/>
      <c r="G387" s="3057"/>
      <c r="H387" s="3057"/>
      <c r="I387" s="3057"/>
      <c r="J387" s="3057"/>
      <c r="K387" s="2259" t="str">
        <f>K386</f>
        <v>x</v>
      </c>
    </row>
    <row r="388" spans="1:11" ht="15" customHeight="1" x14ac:dyDescent="0.25">
      <c r="A388" s="3057"/>
      <c r="B388" s="3057"/>
      <c r="C388" s="3057"/>
      <c r="D388" s="3057"/>
      <c r="E388" s="3057"/>
      <c r="F388" s="3057"/>
      <c r="G388" s="3057"/>
      <c r="H388" s="3057"/>
      <c r="I388" s="3057"/>
      <c r="J388" s="3057"/>
      <c r="K388" s="2259" t="str">
        <f>K387</f>
        <v>x</v>
      </c>
    </row>
    <row r="389" spans="1:11" ht="15" customHeight="1" x14ac:dyDescent="0.25">
      <c r="A389" s="3057" t="s">
        <v>677</v>
      </c>
      <c r="B389" s="3057"/>
      <c r="C389" s="3057"/>
      <c r="D389" s="3057"/>
      <c r="E389" s="3057"/>
      <c r="F389" s="3057"/>
      <c r="G389" s="3057"/>
      <c r="H389" s="3057"/>
      <c r="I389" s="3057"/>
      <c r="J389" s="3057"/>
      <c r="K389" s="2259" t="str">
        <f>IF(K384="x","","x")</f>
        <v>x</v>
      </c>
    </row>
    <row r="390" spans="1:11" ht="15" customHeight="1" x14ac:dyDescent="0.25">
      <c r="A390" s="3057"/>
      <c r="B390" s="3057"/>
      <c r="C390" s="3057"/>
      <c r="D390" s="3057"/>
      <c r="E390" s="3057"/>
      <c r="F390" s="3057"/>
      <c r="G390" s="3057"/>
      <c r="H390" s="3057"/>
      <c r="I390" s="3057"/>
      <c r="J390" s="3057"/>
      <c r="K390" s="2259" t="str">
        <f>K389</f>
        <v>x</v>
      </c>
    </row>
    <row r="391" spans="1:11" ht="15" customHeight="1" x14ac:dyDescent="0.25">
      <c r="A391" s="3057"/>
      <c r="B391" s="3057"/>
      <c r="C391" s="3057"/>
      <c r="D391" s="3057"/>
      <c r="E391" s="3057"/>
      <c r="F391" s="3057"/>
      <c r="G391" s="3057"/>
      <c r="H391" s="3057"/>
      <c r="I391" s="3057"/>
      <c r="J391" s="3057"/>
      <c r="K391" s="2259" t="str">
        <f>K390</f>
        <v>x</v>
      </c>
    </row>
    <row r="392" spans="1:11" ht="15" customHeight="1" x14ac:dyDescent="0.25">
      <c r="A392" s="3057" t="s">
        <v>599</v>
      </c>
      <c r="B392" s="3057"/>
      <c r="C392" s="3057"/>
      <c r="D392" s="3057"/>
      <c r="E392" s="3057"/>
      <c r="F392" s="3057"/>
      <c r="G392" s="3057"/>
      <c r="H392" s="3057"/>
      <c r="I392" s="3057"/>
      <c r="J392" s="3057"/>
      <c r="K392" s="2259" t="str">
        <f>K391</f>
        <v>x</v>
      </c>
    </row>
    <row r="393" spans="1:11" ht="15" customHeight="1" x14ac:dyDescent="0.25">
      <c r="K393" s="2259" t="str">
        <f>K394</f>
        <v>x</v>
      </c>
    </row>
    <row r="394" spans="1:11" ht="15" customHeight="1" x14ac:dyDescent="0.25">
      <c r="K394" s="2259" t="str">
        <f>K395</f>
        <v>x</v>
      </c>
    </row>
    <row r="395" spans="1:11" ht="15" customHeight="1" x14ac:dyDescent="0.25">
      <c r="A395" s="2259" t="s">
        <v>600</v>
      </c>
      <c r="K395" s="2259" t="s">
        <v>649</v>
      </c>
    </row>
    <row r="396" spans="1:11" ht="15" customHeight="1" x14ac:dyDescent="0.25">
      <c r="A396" s="3057" t="s">
        <v>343</v>
      </c>
      <c r="B396" s="3057"/>
      <c r="C396" s="3057"/>
      <c r="D396" s="3057"/>
      <c r="E396" s="3057"/>
      <c r="F396" s="3057"/>
      <c r="G396" s="3057"/>
      <c r="H396" s="3057"/>
      <c r="I396" s="3057"/>
      <c r="J396" s="3057"/>
      <c r="K396" s="2259" t="str">
        <f>K395</f>
        <v>x</v>
      </c>
    </row>
    <row r="397" spans="1:11" ht="15" customHeight="1" x14ac:dyDescent="0.25">
      <c r="A397" s="3057"/>
      <c r="B397" s="3057"/>
      <c r="C397" s="3057"/>
      <c r="D397" s="3057"/>
      <c r="E397" s="3057"/>
      <c r="F397" s="3057"/>
      <c r="G397" s="3057"/>
      <c r="H397" s="3057"/>
      <c r="I397" s="3057"/>
      <c r="J397" s="3057"/>
      <c r="K397" s="2259" t="str">
        <f t="shared" ref="K397:K404" si="6">K396</f>
        <v>x</v>
      </c>
    </row>
    <row r="398" spans="1:11" ht="15" customHeight="1" x14ac:dyDescent="0.25">
      <c r="A398" s="3057" t="s">
        <v>346</v>
      </c>
      <c r="B398" s="3057"/>
      <c r="C398" s="3057"/>
      <c r="D398" s="3057"/>
      <c r="E398" s="3057"/>
      <c r="F398" s="3057"/>
      <c r="G398" s="3057"/>
      <c r="H398" s="3057"/>
      <c r="I398" s="3057"/>
      <c r="J398" s="3057"/>
      <c r="K398" s="2259" t="str">
        <f t="shared" si="6"/>
        <v>x</v>
      </c>
    </row>
    <row r="399" spans="1:11" ht="15" customHeight="1" x14ac:dyDescent="0.25">
      <c r="A399" s="3057"/>
      <c r="B399" s="3057"/>
      <c r="C399" s="3057"/>
      <c r="D399" s="3057"/>
      <c r="E399" s="3057"/>
      <c r="F399" s="3057"/>
      <c r="G399" s="3057"/>
      <c r="H399" s="3057"/>
      <c r="I399" s="3057"/>
      <c r="J399" s="3057"/>
      <c r="K399" s="2259" t="str">
        <f t="shared" si="6"/>
        <v>x</v>
      </c>
    </row>
    <row r="400" spans="1:11" ht="15" customHeight="1" x14ac:dyDescent="0.25">
      <c r="A400" s="3057" t="s">
        <v>931</v>
      </c>
      <c r="B400" s="3057"/>
      <c r="C400" s="3057"/>
      <c r="D400" s="3057"/>
      <c r="E400" s="3057"/>
      <c r="F400" s="3057"/>
      <c r="G400" s="3057"/>
      <c r="H400" s="3057"/>
      <c r="I400" s="3057"/>
      <c r="J400" s="3057"/>
      <c r="K400" s="2259" t="str">
        <f t="shared" si="6"/>
        <v>x</v>
      </c>
    </row>
    <row r="401" spans="1:11" ht="15" customHeight="1" x14ac:dyDescent="0.25">
      <c r="A401" s="3057"/>
      <c r="B401" s="3057"/>
      <c r="C401" s="3057"/>
      <c r="D401" s="3057"/>
      <c r="E401" s="3057"/>
      <c r="F401" s="3057"/>
      <c r="G401" s="3057"/>
      <c r="H401" s="3057"/>
      <c r="I401" s="3057"/>
      <c r="J401" s="3057"/>
      <c r="K401" s="2259" t="str">
        <f t="shared" si="6"/>
        <v>x</v>
      </c>
    </row>
    <row r="402" spans="1:11" ht="15" customHeight="1" x14ac:dyDescent="0.25">
      <c r="A402" s="3057"/>
      <c r="B402" s="3057"/>
      <c r="C402" s="3057"/>
      <c r="D402" s="3057"/>
      <c r="E402" s="3057"/>
      <c r="F402" s="3057"/>
      <c r="G402" s="3057"/>
      <c r="H402" s="3057"/>
      <c r="I402" s="3057"/>
      <c r="J402" s="3057"/>
      <c r="K402" s="2259" t="str">
        <f t="shared" si="6"/>
        <v>x</v>
      </c>
    </row>
    <row r="403" spans="1:11" ht="15" customHeight="1" x14ac:dyDescent="0.25">
      <c r="A403" s="3057" t="s">
        <v>345</v>
      </c>
      <c r="B403" s="3057"/>
      <c r="C403" s="3057"/>
      <c r="D403" s="3057"/>
      <c r="E403" s="3057"/>
      <c r="F403" s="3057"/>
      <c r="G403" s="3057"/>
      <c r="H403" s="3057"/>
      <c r="I403" s="3057"/>
      <c r="J403" s="3057"/>
      <c r="K403" s="2259" t="str">
        <f>K402</f>
        <v>x</v>
      </c>
    </row>
    <row r="404" spans="1:11" ht="15" customHeight="1" x14ac:dyDescent="0.25">
      <c r="A404" s="3057"/>
      <c r="B404" s="3057"/>
      <c r="C404" s="3057"/>
      <c r="D404" s="3057"/>
      <c r="E404" s="3057"/>
      <c r="F404" s="3057"/>
      <c r="G404" s="3057"/>
      <c r="H404" s="3057"/>
      <c r="I404" s="3057"/>
      <c r="J404" s="3057"/>
      <c r="K404" s="2259" t="str">
        <f t="shared" si="6"/>
        <v>x</v>
      </c>
    </row>
  </sheetData>
  <sheetProtection selectLockedCells="1" autoFilter="0"/>
  <autoFilter ref="K1:K404"/>
  <sortState ref="A34:J46">
    <sortCondition ref="A34"/>
  </sortState>
  <mergeCells count="1583">
    <mergeCell ref="A302:B302"/>
    <mergeCell ref="A37:B37"/>
    <mergeCell ref="C37:D37"/>
    <mergeCell ref="A381:B381"/>
    <mergeCell ref="C381:D381"/>
    <mergeCell ref="G56:H56"/>
    <mergeCell ref="G57:H57"/>
    <mergeCell ref="G58:H58"/>
    <mergeCell ref="G59:H59"/>
    <mergeCell ref="G60:H60"/>
    <mergeCell ref="G61:H61"/>
    <mergeCell ref="A367:J368"/>
    <mergeCell ref="A375:J380"/>
    <mergeCell ref="A28:J31"/>
    <mergeCell ref="A24:J25"/>
    <mergeCell ref="A398:J399"/>
    <mergeCell ref="A363:J364"/>
    <mergeCell ref="A369:J372"/>
    <mergeCell ref="A396:J397"/>
    <mergeCell ref="G62:H62"/>
    <mergeCell ref="G63:H63"/>
    <mergeCell ref="A62:B62"/>
    <mergeCell ref="C62:D62"/>
    <mergeCell ref="E62:F62"/>
    <mergeCell ref="I62:J62"/>
    <mergeCell ref="I68:J68"/>
    <mergeCell ref="I65:J65"/>
    <mergeCell ref="A66:B66"/>
    <mergeCell ref="C66:D66"/>
    <mergeCell ref="E66:F66"/>
    <mergeCell ref="I66:J66"/>
    <mergeCell ref="I63:J63"/>
    <mergeCell ref="A43:B43"/>
    <mergeCell ref="C43:D43"/>
    <mergeCell ref="C64:D64"/>
    <mergeCell ref="A57:B57"/>
    <mergeCell ref="A59:B59"/>
    <mergeCell ref="C59:D59"/>
    <mergeCell ref="A400:J402"/>
    <mergeCell ref="A403:J404"/>
    <mergeCell ref="G356:H356"/>
    <mergeCell ref="G357:H357"/>
    <mergeCell ref="G358:H358"/>
    <mergeCell ref="G359:H359"/>
    <mergeCell ref="G360:H360"/>
    <mergeCell ref="G361:H361"/>
    <mergeCell ref="G362:H362"/>
    <mergeCell ref="G302:H302"/>
    <mergeCell ref="G303:H303"/>
    <mergeCell ref="G304:H304"/>
    <mergeCell ref="G305:H305"/>
    <mergeCell ref="G306:H306"/>
    <mergeCell ref="G307:H307"/>
    <mergeCell ref="G308:H308"/>
    <mergeCell ref="G311:H311"/>
    <mergeCell ref="G312:H312"/>
    <mergeCell ref="A384:J385"/>
    <mergeCell ref="A386:J388"/>
    <mergeCell ref="A389:J391"/>
    <mergeCell ref="A392:J392"/>
    <mergeCell ref="I304:J304"/>
    <mergeCell ref="A305:B305"/>
    <mergeCell ref="C305:D305"/>
    <mergeCell ref="E305:F305"/>
    <mergeCell ref="A58:B58"/>
    <mergeCell ref="E55:F55"/>
    <mergeCell ref="C302:D302"/>
    <mergeCell ref="E302:F302"/>
    <mergeCell ref="I302:J302"/>
    <mergeCell ref="C303:D303"/>
    <mergeCell ref="C17:J17"/>
    <mergeCell ref="C53:D53"/>
    <mergeCell ref="A34:J35"/>
    <mergeCell ref="E1:G1"/>
    <mergeCell ref="A3:J3"/>
    <mergeCell ref="A5:J5"/>
    <mergeCell ref="C12:J13"/>
    <mergeCell ref="C51:D51"/>
    <mergeCell ref="A51:B51"/>
    <mergeCell ref="E51:F51"/>
    <mergeCell ref="A50:B50"/>
    <mergeCell ref="A53:B53"/>
    <mergeCell ref="A54:B54"/>
    <mergeCell ref="G55:H55"/>
    <mergeCell ref="E44:F44"/>
    <mergeCell ref="C44:D44"/>
    <mergeCell ref="A44:B44"/>
    <mergeCell ref="A47:B47"/>
    <mergeCell ref="C47:D47"/>
    <mergeCell ref="E47:F47"/>
    <mergeCell ref="A45:B45"/>
    <mergeCell ref="C45:D45"/>
    <mergeCell ref="A42:B42"/>
    <mergeCell ref="C42:D42"/>
    <mergeCell ref="E42:F42"/>
    <mergeCell ref="I42:J42"/>
    <mergeCell ref="A67:B67"/>
    <mergeCell ref="C67:D67"/>
    <mergeCell ref="E67:F67"/>
    <mergeCell ref="A68:B68"/>
    <mergeCell ref="C68:D68"/>
    <mergeCell ref="E68:F68"/>
    <mergeCell ref="G64:H64"/>
    <mergeCell ref="G65:H65"/>
    <mergeCell ref="G66:H66"/>
    <mergeCell ref="G67:H67"/>
    <mergeCell ref="G68:H68"/>
    <mergeCell ref="E64:F64"/>
    <mergeCell ref="E59:F59"/>
    <mergeCell ref="E61:F61"/>
    <mergeCell ref="A60:B60"/>
    <mergeCell ref="A61:B61"/>
    <mergeCell ref="C61:D61"/>
    <mergeCell ref="C60:D60"/>
    <mergeCell ref="E60:F60"/>
    <mergeCell ref="A63:B63"/>
    <mergeCell ref="C63:D63"/>
    <mergeCell ref="E63:F63"/>
    <mergeCell ref="A65:B65"/>
    <mergeCell ref="C65:D65"/>
    <mergeCell ref="E65:F65"/>
    <mergeCell ref="A64:B64"/>
    <mergeCell ref="C58:D58"/>
    <mergeCell ref="E58:F58"/>
    <mergeCell ref="I58:J58"/>
    <mergeCell ref="G43:H43"/>
    <mergeCell ref="G44:H44"/>
    <mergeCell ref="G45:H45"/>
    <mergeCell ref="G46:H46"/>
    <mergeCell ref="G47:H47"/>
    <mergeCell ref="G48:H48"/>
    <mergeCell ref="G49:H49"/>
    <mergeCell ref="G50:H50"/>
    <mergeCell ref="G51:H51"/>
    <mergeCell ref="I55:J55"/>
    <mergeCell ref="I49:J49"/>
    <mergeCell ref="I44:J44"/>
    <mergeCell ref="I45:J45"/>
    <mergeCell ref="I46:J46"/>
    <mergeCell ref="I47:J47"/>
    <mergeCell ref="I48:J48"/>
    <mergeCell ref="E43:F43"/>
    <mergeCell ref="I43:J43"/>
    <mergeCell ref="I51:J51"/>
    <mergeCell ref="C57:D57"/>
    <mergeCell ref="A56:B56"/>
    <mergeCell ref="C56:D56"/>
    <mergeCell ref="E56:F56"/>
    <mergeCell ref="I56:J56"/>
    <mergeCell ref="E50:F50"/>
    <mergeCell ref="I50:J50"/>
    <mergeCell ref="E53:F53"/>
    <mergeCell ref="I53:J53"/>
    <mergeCell ref="C54:D54"/>
    <mergeCell ref="E54:F54"/>
    <mergeCell ref="I54:J54"/>
    <mergeCell ref="E57:F57"/>
    <mergeCell ref="A55:B55"/>
    <mergeCell ref="C55:D55"/>
    <mergeCell ref="C52:D52"/>
    <mergeCell ref="E52:F52"/>
    <mergeCell ref="I52:J52"/>
    <mergeCell ref="G52:H52"/>
    <mergeCell ref="G53:H53"/>
    <mergeCell ref="G54:H54"/>
    <mergeCell ref="I57:J57"/>
    <mergeCell ref="A52:B52"/>
    <mergeCell ref="I60:J60"/>
    <mergeCell ref="I61:J61"/>
    <mergeCell ref="I59:J59"/>
    <mergeCell ref="A74:B74"/>
    <mergeCell ref="C74:D74"/>
    <mergeCell ref="E74:F74"/>
    <mergeCell ref="G69:H69"/>
    <mergeCell ref="G70:H70"/>
    <mergeCell ref="G71:H71"/>
    <mergeCell ref="A79:B79"/>
    <mergeCell ref="C79:D79"/>
    <mergeCell ref="E79:F79"/>
    <mergeCell ref="I79:J79"/>
    <mergeCell ref="A80:B80"/>
    <mergeCell ref="C80:D80"/>
    <mergeCell ref="E80:F80"/>
    <mergeCell ref="I80:J80"/>
    <mergeCell ref="I74:J74"/>
    <mergeCell ref="I70:J70"/>
    <mergeCell ref="G72:H72"/>
    <mergeCell ref="G73:H73"/>
    <mergeCell ref="G74:H74"/>
    <mergeCell ref="A77:B77"/>
    <mergeCell ref="C77:D77"/>
    <mergeCell ref="E77:F77"/>
    <mergeCell ref="I77:J77"/>
    <mergeCell ref="A78:B78"/>
    <mergeCell ref="C78:D78"/>
    <mergeCell ref="E78:F78"/>
    <mergeCell ref="I78:J78"/>
    <mergeCell ref="A75:B75"/>
    <mergeCell ref="C75:D75"/>
    <mergeCell ref="A48:B48"/>
    <mergeCell ref="C48:D48"/>
    <mergeCell ref="E48:F48"/>
    <mergeCell ref="A49:B49"/>
    <mergeCell ref="C49:D49"/>
    <mergeCell ref="E49:F49"/>
    <mergeCell ref="C50:D50"/>
    <mergeCell ref="G42:H42"/>
    <mergeCell ref="E45:F45"/>
    <mergeCell ref="A46:B46"/>
    <mergeCell ref="C46:D46"/>
    <mergeCell ref="E46:F46"/>
    <mergeCell ref="I64:J64"/>
    <mergeCell ref="A73:B73"/>
    <mergeCell ref="C73:D73"/>
    <mergeCell ref="E73:F73"/>
    <mergeCell ref="I73:J73"/>
    <mergeCell ref="I67:J67"/>
    <mergeCell ref="A71:B71"/>
    <mergeCell ref="C71:D71"/>
    <mergeCell ref="E71:F71"/>
    <mergeCell ref="I71:J71"/>
    <mergeCell ref="A72:B72"/>
    <mergeCell ref="C72:D72"/>
    <mergeCell ref="E72:F72"/>
    <mergeCell ref="I72:J72"/>
    <mergeCell ref="A69:B69"/>
    <mergeCell ref="C69:D69"/>
    <mergeCell ref="E69:F69"/>
    <mergeCell ref="I69:J69"/>
    <mergeCell ref="A70:B70"/>
    <mergeCell ref="C70:D70"/>
    <mergeCell ref="E70:F70"/>
    <mergeCell ref="E75:F75"/>
    <mergeCell ref="I75:J75"/>
    <mergeCell ref="A76:B76"/>
    <mergeCell ref="C76:D76"/>
    <mergeCell ref="E76:F76"/>
    <mergeCell ref="I76:J76"/>
    <mergeCell ref="G75:H75"/>
    <mergeCell ref="G76:H76"/>
    <mergeCell ref="G77:H77"/>
    <mergeCell ref="G78:H78"/>
    <mergeCell ref="G79:H79"/>
    <mergeCell ref="G80:H80"/>
    <mergeCell ref="A85:B85"/>
    <mergeCell ref="C85:D85"/>
    <mergeCell ref="E85:F85"/>
    <mergeCell ref="I85:J85"/>
    <mergeCell ref="A86:B86"/>
    <mergeCell ref="C86:D86"/>
    <mergeCell ref="E86:F86"/>
    <mergeCell ref="I86:J86"/>
    <mergeCell ref="A83:B83"/>
    <mergeCell ref="C83:D83"/>
    <mergeCell ref="E83:F83"/>
    <mergeCell ref="I83:J83"/>
    <mergeCell ref="A84:B84"/>
    <mergeCell ref="C84:D84"/>
    <mergeCell ref="E84:F84"/>
    <mergeCell ref="I84:J84"/>
    <mergeCell ref="A81:B81"/>
    <mergeCell ref="C81:D81"/>
    <mergeCell ref="E81:F81"/>
    <mergeCell ref="I81:J81"/>
    <mergeCell ref="A82:B82"/>
    <mergeCell ref="C82:D82"/>
    <mergeCell ref="E82:F82"/>
    <mergeCell ref="I82:J82"/>
    <mergeCell ref="G81:H81"/>
    <mergeCell ref="G82:H82"/>
    <mergeCell ref="G83:H83"/>
    <mergeCell ref="G84:H84"/>
    <mergeCell ref="G85:H85"/>
    <mergeCell ref="G86:H86"/>
    <mergeCell ref="A91:B91"/>
    <mergeCell ref="C91:D91"/>
    <mergeCell ref="E91:F91"/>
    <mergeCell ref="I91:J91"/>
    <mergeCell ref="A92:B92"/>
    <mergeCell ref="C92:D92"/>
    <mergeCell ref="E92:F92"/>
    <mergeCell ref="I92:J92"/>
    <mergeCell ref="A89:B89"/>
    <mergeCell ref="C89:D89"/>
    <mergeCell ref="E89:F89"/>
    <mergeCell ref="I89:J89"/>
    <mergeCell ref="A90:B90"/>
    <mergeCell ref="C90:D90"/>
    <mergeCell ref="E90:F90"/>
    <mergeCell ref="I90:J90"/>
    <mergeCell ref="A87:B87"/>
    <mergeCell ref="C87:D87"/>
    <mergeCell ref="E87:F87"/>
    <mergeCell ref="I87:J87"/>
    <mergeCell ref="A88:B88"/>
    <mergeCell ref="C88:D88"/>
    <mergeCell ref="E88:F88"/>
    <mergeCell ref="I88:J88"/>
    <mergeCell ref="G87:H87"/>
    <mergeCell ref="G88:H88"/>
    <mergeCell ref="G89:H89"/>
    <mergeCell ref="G90:H90"/>
    <mergeCell ref="G91:H91"/>
    <mergeCell ref="G92:H92"/>
    <mergeCell ref="A99:B99"/>
    <mergeCell ref="C99:D99"/>
    <mergeCell ref="E99:F99"/>
    <mergeCell ref="I99:J99"/>
    <mergeCell ref="A100:B100"/>
    <mergeCell ref="C100:D100"/>
    <mergeCell ref="E100:F100"/>
    <mergeCell ref="I100:J100"/>
    <mergeCell ref="A97:B97"/>
    <mergeCell ref="C97:D97"/>
    <mergeCell ref="E97:F97"/>
    <mergeCell ref="I97:J97"/>
    <mergeCell ref="A98:B98"/>
    <mergeCell ref="C98:D98"/>
    <mergeCell ref="E98:F98"/>
    <mergeCell ref="I98:J98"/>
    <mergeCell ref="A95:B95"/>
    <mergeCell ref="C95:D95"/>
    <mergeCell ref="E95:F95"/>
    <mergeCell ref="I95:J95"/>
    <mergeCell ref="A96:B96"/>
    <mergeCell ref="C96:D96"/>
    <mergeCell ref="E96:F96"/>
    <mergeCell ref="I96:J96"/>
    <mergeCell ref="G95:H95"/>
    <mergeCell ref="G96:H96"/>
    <mergeCell ref="G97:H97"/>
    <mergeCell ref="G98:H98"/>
    <mergeCell ref="G99:H99"/>
    <mergeCell ref="G100:H100"/>
    <mergeCell ref="A105:B105"/>
    <mergeCell ref="C105:D105"/>
    <mergeCell ref="E105:F105"/>
    <mergeCell ref="I105:J105"/>
    <mergeCell ref="A106:B106"/>
    <mergeCell ref="C106:D106"/>
    <mergeCell ref="E106:F106"/>
    <mergeCell ref="I106:J106"/>
    <mergeCell ref="A103:B103"/>
    <mergeCell ref="C103:D103"/>
    <mergeCell ref="E103:F103"/>
    <mergeCell ref="I103:J103"/>
    <mergeCell ref="A104:B104"/>
    <mergeCell ref="C104:D104"/>
    <mergeCell ref="E104:F104"/>
    <mergeCell ref="I104:J104"/>
    <mergeCell ref="A101:B101"/>
    <mergeCell ref="C101:D101"/>
    <mergeCell ref="E101:F101"/>
    <mergeCell ref="I101:J101"/>
    <mergeCell ref="A102:B102"/>
    <mergeCell ref="C102:D102"/>
    <mergeCell ref="E102:F102"/>
    <mergeCell ref="I102:J102"/>
    <mergeCell ref="G101:H101"/>
    <mergeCell ref="G102:H102"/>
    <mergeCell ref="G103:H103"/>
    <mergeCell ref="G104:H104"/>
    <mergeCell ref="G105:H105"/>
    <mergeCell ref="G106:H106"/>
    <mergeCell ref="A111:B111"/>
    <mergeCell ref="C111:D111"/>
    <mergeCell ref="E111:F111"/>
    <mergeCell ref="I111:J111"/>
    <mergeCell ref="A112:B112"/>
    <mergeCell ref="C112:D112"/>
    <mergeCell ref="E112:F112"/>
    <mergeCell ref="I112:J112"/>
    <mergeCell ref="A109:B109"/>
    <mergeCell ref="C109:D109"/>
    <mergeCell ref="E109:F109"/>
    <mergeCell ref="I109:J109"/>
    <mergeCell ref="A110:B110"/>
    <mergeCell ref="C110:D110"/>
    <mergeCell ref="E110:F110"/>
    <mergeCell ref="I110:J110"/>
    <mergeCell ref="A107:B107"/>
    <mergeCell ref="C107:D107"/>
    <mergeCell ref="E107:F107"/>
    <mergeCell ref="I107:J107"/>
    <mergeCell ref="A108:B108"/>
    <mergeCell ref="C108:D108"/>
    <mergeCell ref="E108:F108"/>
    <mergeCell ref="I108:J108"/>
    <mergeCell ref="G107:H107"/>
    <mergeCell ref="G108:H108"/>
    <mergeCell ref="G109:H109"/>
    <mergeCell ref="G110:H110"/>
    <mergeCell ref="G111:H111"/>
    <mergeCell ref="G112:H112"/>
    <mergeCell ref="A117:B117"/>
    <mergeCell ref="C117:D117"/>
    <mergeCell ref="E117:F117"/>
    <mergeCell ref="I117:J117"/>
    <mergeCell ref="A118:B118"/>
    <mergeCell ref="C118:D118"/>
    <mergeCell ref="E118:F118"/>
    <mergeCell ref="I118:J118"/>
    <mergeCell ref="A115:B115"/>
    <mergeCell ref="C115:D115"/>
    <mergeCell ref="E115:F115"/>
    <mergeCell ref="I115:J115"/>
    <mergeCell ref="A116:B116"/>
    <mergeCell ref="C116:D116"/>
    <mergeCell ref="E116:F116"/>
    <mergeCell ref="I116:J116"/>
    <mergeCell ref="A113:B113"/>
    <mergeCell ref="C113:D113"/>
    <mergeCell ref="E113:F113"/>
    <mergeCell ref="I113:J113"/>
    <mergeCell ref="A114:B114"/>
    <mergeCell ref="C114:D114"/>
    <mergeCell ref="E114:F114"/>
    <mergeCell ref="I114:J114"/>
    <mergeCell ref="G113:H113"/>
    <mergeCell ref="G114:H114"/>
    <mergeCell ref="G115:H115"/>
    <mergeCell ref="G116:H116"/>
    <mergeCell ref="G117:H117"/>
    <mergeCell ref="G118:H118"/>
    <mergeCell ref="A123:B123"/>
    <mergeCell ref="C123:D123"/>
    <mergeCell ref="E123:F123"/>
    <mergeCell ref="I123:J123"/>
    <mergeCell ref="A124:B124"/>
    <mergeCell ref="C124:D124"/>
    <mergeCell ref="E124:F124"/>
    <mergeCell ref="I124:J124"/>
    <mergeCell ref="A121:B121"/>
    <mergeCell ref="C121:D121"/>
    <mergeCell ref="E121:F121"/>
    <mergeCell ref="I121:J121"/>
    <mergeCell ref="A122:B122"/>
    <mergeCell ref="C122:D122"/>
    <mergeCell ref="E122:F122"/>
    <mergeCell ref="I122:J122"/>
    <mergeCell ref="A119:B119"/>
    <mergeCell ref="C119:D119"/>
    <mergeCell ref="E119:F119"/>
    <mergeCell ref="I119:J119"/>
    <mergeCell ref="A120:B120"/>
    <mergeCell ref="C120:D120"/>
    <mergeCell ref="E120:F120"/>
    <mergeCell ref="I120:J120"/>
    <mergeCell ref="G119:H119"/>
    <mergeCell ref="G120:H120"/>
    <mergeCell ref="G121:H121"/>
    <mergeCell ref="G122:H122"/>
    <mergeCell ref="G123:H123"/>
    <mergeCell ref="G124:H124"/>
    <mergeCell ref="A129:B129"/>
    <mergeCell ref="C129:D129"/>
    <mergeCell ref="E129:F129"/>
    <mergeCell ref="I129:J129"/>
    <mergeCell ref="A130:B130"/>
    <mergeCell ref="C130:D130"/>
    <mergeCell ref="E130:F130"/>
    <mergeCell ref="I130:J130"/>
    <mergeCell ref="A127:B127"/>
    <mergeCell ref="C127:D127"/>
    <mergeCell ref="E127:F127"/>
    <mergeCell ref="I127:J127"/>
    <mergeCell ref="A128:B128"/>
    <mergeCell ref="C128:D128"/>
    <mergeCell ref="E128:F128"/>
    <mergeCell ref="I128:J128"/>
    <mergeCell ref="A125:B125"/>
    <mergeCell ref="C125:D125"/>
    <mergeCell ref="E125:F125"/>
    <mergeCell ref="I125:J125"/>
    <mergeCell ref="A126:B126"/>
    <mergeCell ref="C126:D126"/>
    <mergeCell ref="E126:F126"/>
    <mergeCell ref="I126:J126"/>
    <mergeCell ref="G125:H125"/>
    <mergeCell ref="G126:H126"/>
    <mergeCell ref="G127:H127"/>
    <mergeCell ref="G128:H128"/>
    <mergeCell ref="G129:H129"/>
    <mergeCell ref="G130:H130"/>
    <mergeCell ref="A135:B135"/>
    <mergeCell ref="C135:D135"/>
    <mergeCell ref="E135:F135"/>
    <mergeCell ref="I135:J135"/>
    <mergeCell ref="A136:B136"/>
    <mergeCell ref="C136:D136"/>
    <mergeCell ref="E136:F136"/>
    <mergeCell ref="I136:J136"/>
    <mergeCell ref="A133:B133"/>
    <mergeCell ref="C133:D133"/>
    <mergeCell ref="E133:F133"/>
    <mergeCell ref="I133:J133"/>
    <mergeCell ref="A134:B134"/>
    <mergeCell ref="C134:D134"/>
    <mergeCell ref="E134:F134"/>
    <mergeCell ref="I134:J134"/>
    <mergeCell ref="A131:B131"/>
    <mergeCell ref="C131:D131"/>
    <mergeCell ref="E131:F131"/>
    <mergeCell ref="I131:J131"/>
    <mergeCell ref="A132:B132"/>
    <mergeCell ref="C132:D132"/>
    <mergeCell ref="E132:F132"/>
    <mergeCell ref="I132:J132"/>
    <mergeCell ref="G131:H131"/>
    <mergeCell ref="G132:H132"/>
    <mergeCell ref="G133:H133"/>
    <mergeCell ref="G134:H134"/>
    <mergeCell ref="G135:H135"/>
    <mergeCell ref="G136:H136"/>
    <mergeCell ref="A141:B141"/>
    <mergeCell ref="C141:D141"/>
    <mergeCell ref="E141:F141"/>
    <mergeCell ref="I141:J141"/>
    <mergeCell ref="A142:B142"/>
    <mergeCell ref="C142:D142"/>
    <mergeCell ref="E142:F142"/>
    <mergeCell ref="I142:J142"/>
    <mergeCell ref="A139:B139"/>
    <mergeCell ref="C139:D139"/>
    <mergeCell ref="E139:F139"/>
    <mergeCell ref="I139:J139"/>
    <mergeCell ref="A140:B140"/>
    <mergeCell ref="C140:D140"/>
    <mergeCell ref="E140:F140"/>
    <mergeCell ref="I140:J140"/>
    <mergeCell ref="A137:B137"/>
    <mergeCell ref="C137:D137"/>
    <mergeCell ref="E137:F137"/>
    <mergeCell ref="I137:J137"/>
    <mergeCell ref="A138:B138"/>
    <mergeCell ref="C138:D138"/>
    <mergeCell ref="E138:F138"/>
    <mergeCell ref="I138:J138"/>
    <mergeCell ref="G137:H137"/>
    <mergeCell ref="G138:H138"/>
    <mergeCell ref="G139:H139"/>
    <mergeCell ref="G140:H140"/>
    <mergeCell ref="G141:H141"/>
    <mergeCell ref="G142:H142"/>
    <mergeCell ref="A149:B149"/>
    <mergeCell ref="C149:D149"/>
    <mergeCell ref="E149:F149"/>
    <mergeCell ref="I149:J149"/>
    <mergeCell ref="A145:B145"/>
    <mergeCell ref="C145:D145"/>
    <mergeCell ref="E145:F145"/>
    <mergeCell ref="I145:J145"/>
    <mergeCell ref="A146:B146"/>
    <mergeCell ref="C146:D146"/>
    <mergeCell ref="E146:F146"/>
    <mergeCell ref="I146:J146"/>
    <mergeCell ref="A143:B143"/>
    <mergeCell ref="C143:D143"/>
    <mergeCell ref="E143:F143"/>
    <mergeCell ref="I143:J143"/>
    <mergeCell ref="A144:B144"/>
    <mergeCell ref="C144:D144"/>
    <mergeCell ref="E144:F144"/>
    <mergeCell ref="I144:J144"/>
    <mergeCell ref="G143:H143"/>
    <mergeCell ref="G144:H144"/>
    <mergeCell ref="G145:H145"/>
    <mergeCell ref="G146:H146"/>
    <mergeCell ref="G149:H149"/>
    <mergeCell ref="A154:B154"/>
    <mergeCell ref="C154:D154"/>
    <mergeCell ref="E154:F154"/>
    <mergeCell ref="I154:J154"/>
    <mergeCell ref="A155:B155"/>
    <mergeCell ref="C155:D155"/>
    <mergeCell ref="E155:F155"/>
    <mergeCell ref="I155:J155"/>
    <mergeCell ref="A152:B152"/>
    <mergeCell ref="C152:D152"/>
    <mergeCell ref="E152:F152"/>
    <mergeCell ref="I152:J152"/>
    <mergeCell ref="A153:B153"/>
    <mergeCell ref="C153:D153"/>
    <mergeCell ref="E153:F153"/>
    <mergeCell ref="I153:J153"/>
    <mergeCell ref="A150:B150"/>
    <mergeCell ref="C150:D150"/>
    <mergeCell ref="E150:F150"/>
    <mergeCell ref="I150:J150"/>
    <mergeCell ref="A151:B151"/>
    <mergeCell ref="C151:D151"/>
    <mergeCell ref="E151:F151"/>
    <mergeCell ref="I151:J151"/>
    <mergeCell ref="G150:H150"/>
    <mergeCell ref="G151:H151"/>
    <mergeCell ref="G152:H152"/>
    <mergeCell ref="G153:H153"/>
    <mergeCell ref="G154:H154"/>
    <mergeCell ref="G155:H155"/>
    <mergeCell ref="A160:B160"/>
    <mergeCell ref="C160:D160"/>
    <mergeCell ref="E160:F160"/>
    <mergeCell ref="I160:J160"/>
    <mergeCell ref="A161:B161"/>
    <mergeCell ref="C161:D161"/>
    <mergeCell ref="E161:F161"/>
    <mergeCell ref="I161:J161"/>
    <mergeCell ref="A158:B158"/>
    <mergeCell ref="C158:D158"/>
    <mergeCell ref="E158:F158"/>
    <mergeCell ref="I158:J158"/>
    <mergeCell ref="A159:B159"/>
    <mergeCell ref="C159:D159"/>
    <mergeCell ref="E159:F159"/>
    <mergeCell ref="I159:J159"/>
    <mergeCell ref="A156:B156"/>
    <mergeCell ref="C156:D156"/>
    <mergeCell ref="E156:F156"/>
    <mergeCell ref="I156:J156"/>
    <mergeCell ref="A157:B157"/>
    <mergeCell ref="C157:D157"/>
    <mergeCell ref="E157:F157"/>
    <mergeCell ref="I157:J157"/>
    <mergeCell ref="G156:H156"/>
    <mergeCell ref="G157:H157"/>
    <mergeCell ref="G158:H158"/>
    <mergeCell ref="G159:H159"/>
    <mergeCell ref="G160:H160"/>
    <mergeCell ref="G161:H161"/>
    <mergeCell ref="A166:B166"/>
    <mergeCell ref="C166:D166"/>
    <mergeCell ref="E166:F166"/>
    <mergeCell ref="I166:J166"/>
    <mergeCell ref="A167:B167"/>
    <mergeCell ref="C167:D167"/>
    <mergeCell ref="E167:F167"/>
    <mergeCell ref="I167:J167"/>
    <mergeCell ref="A164:B164"/>
    <mergeCell ref="C164:D164"/>
    <mergeCell ref="E164:F164"/>
    <mergeCell ref="I164:J164"/>
    <mergeCell ref="A165:B165"/>
    <mergeCell ref="C165:D165"/>
    <mergeCell ref="E165:F165"/>
    <mergeCell ref="I165:J165"/>
    <mergeCell ref="A162:B162"/>
    <mergeCell ref="C162:D162"/>
    <mergeCell ref="E162:F162"/>
    <mergeCell ref="I162:J162"/>
    <mergeCell ref="A163:B163"/>
    <mergeCell ref="C163:D163"/>
    <mergeCell ref="E163:F163"/>
    <mergeCell ref="I163:J163"/>
    <mergeCell ref="G162:H162"/>
    <mergeCell ref="G163:H163"/>
    <mergeCell ref="G164:H164"/>
    <mergeCell ref="G165:H165"/>
    <mergeCell ref="G166:H166"/>
    <mergeCell ref="G167:H167"/>
    <mergeCell ref="A172:B172"/>
    <mergeCell ref="C172:D172"/>
    <mergeCell ref="E172:F172"/>
    <mergeCell ref="I172:J172"/>
    <mergeCell ref="A173:B173"/>
    <mergeCell ref="C173:D173"/>
    <mergeCell ref="E173:F173"/>
    <mergeCell ref="I173:J173"/>
    <mergeCell ref="A170:B170"/>
    <mergeCell ref="C170:D170"/>
    <mergeCell ref="E170:F170"/>
    <mergeCell ref="I170:J170"/>
    <mergeCell ref="A171:B171"/>
    <mergeCell ref="C171:D171"/>
    <mergeCell ref="E171:F171"/>
    <mergeCell ref="I171:J171"/>
    <mergeCell ref="A168:B168"/>
    <mergeCell ref="C168:D168"/>
    <mergeCell ref="E168:F168"/>
    <mergeCell ref="I168:J168"/>
    <mergeCell ref="A169:B169"/>
    <mergeCell ref="C169:D169"/>
    <mergeCell ref="E169:F169"/>
    <mergeCell ref="I169:J169"/>
    <mergeCell ref="G168:H168"/>
    <mergeCell ref="G169:H169"/>
    <mergeCell ref="G170:H170"/>
    <mergeCell ref="G171:H171"/>
    <mergeCell ref="G172:H172"/>
    <mergeCell ref="G173:H173"/>
    <mergeCell ref="A178:B178"/>
    <mergeCell ref="C178:D178"/>
    <mergeCell ref="E178:F178"/>
    <mergeCell ref="I178:J178"/>
    <mergeCell ref="A179:B179"/>
    <mergeCell ref="C179:D179"/>
    <mergeCell ref="E179:F179"/>
    <mergeCell ref="I179:J179"/>
    <mergeCell ref="A176:B176"/>
    <mergeCell ref="C176:D176"/>
    <mergeCell ref="E176:F176"/>
    <mergeCell ref="I176:J176"/>
    <mergeCell ref="A177:B177"/>
    <mergeCell ref="C177:D177"/>
    <mergeCell ref="E177:F177"/>
    <mergeCell ref="I177:J177"/>
    <mergeCell ref="A174:B174"/>
    <mergeCell ref="C174:D174"/>
    <mergeCell ref="E174:F174"/>
    <mergeCell ref="I174:J174"/>
    <mergeCell ref="A175:B175"/>
    <mergeCell ref="C175:D175"/>
    <mergeCell ref="E175:F175"/>
    <mergeCell ref="I175:J175"/>
    <mergeCell ref="G174:H174"/>
    <mergeCell ref="G175:H175"/>
    <mergeCell ref="G176:H176"/>
    <mergeCell ref="G177:H177"/>
    <mergeCell ref="G178:H178"/>
    <mergeCell ref="G179:H179"/>
    <mergeCell ref="A184:B184"/>
    <mergeCell ref="C184:D184"/>
    <mergeCell ref="E184:F184"/>
    <mergeCell ref="I184:J184"/>
    <mergeCell ref="A185:B185"/>
    <mergeCell ref="C185:D185"/>
    <mergeCell ref="E185:F185"/>
    <mergeCell ref="I185:J185"/>
    <mergeCell ref="A182:B182"/>
    <mergeCell ref="C182:D182"/>
    <mergeCell ref="E182:F182"/>
    <mergeCell ref="I182:J182"/>
    <mergeCell ref="A183:B183"/>
    <mergeCell ref="C183:D183"/>
    <mergeCell ref="E183:F183"/>
    <mergeCell ref="I183:J183"/>
    <mergeCell ref="A180:B180"/>
    <mergeCell ref="C180:D180"/>
    <mergeCell ref="E180:F180"/>
    <mergeCell ref="I180:J180"/>
    <mergeCell ref="A181:B181"/>
    <mergeCell ref="C181:D181"/>
    <mergeCell ref="E181:F181"/>
    <mergeCell ref="I181:J181"/>
    <mergeCell ref="G180:H180"/>
    <mergeCell ref="G181:H181"/>
    <mergeCell ref="G182:H182"/>
    <mergeCell ref="G183:H183"/>
    <mergeCell ref="G184:H184"/>
    <mergeCell ref="G185:H185"/>
    <mergeCell ref="A190:B190"/>
    <mergeCell ref="C190:D190"/>
    <mergeCell ref="E190:F190"/>
    <mergeCell ref="I190:J190"/>
    <mergeCell ref="A191:B191"/>
    <mergeCell ref="C191:D191"/>
    <mergeCell ref="E191:F191"/>
    <mergeCell ref="I191:J191"/>
    <mergeCell ref="A188:B188"/>
    <mergeCell ref="C188:D188"/>
    <mergeCell ref="E188:F188"/>
    <mergeCell ref="I188:J188"/>
    <mergeCell ref="A189:B189"/>
    <mergeCell ref="C189:D189"/>
    <mergeCell ref="E189:F189"/>
    <mergeCell ref="I189:J189"/>
    <mergeCell ref="A186:B186"/>
    <mergeCell ref="C186:D186"/>
    <mergeCell ref="E186:F186"/>
    <mergeCell ref="I186:J186"/>
    <mergeCell ref="A187:B187"/>
    <mergeCell ref="C187:D187"/>
    <mergeCell ref="E187:F187"/>
    <mergeCell ref="I187:J187"/>
    <mergeCell ref="G186:H186"/>
    <mergeCell ref="G187:H187"/>
    <mergeCell ref="G188:H188"/>
    <mergeCell ref="G189:H189"/>
    <mergeCell ref="G190:H190"/>
    <mergeCell ref="G191:H191"/>
    <mergeCell ref="A196:B196"/>
    <mergeCell ref="C196:D196"/>
    <mergeCell ref="E196:F196"/>
    <mergeCell ref="I196:J196"/>
    <mergeCell ref="A197:B197"/>
    <mergeCell ref="C197:D197"/>
    <mergeCell ref="E197:F197"/>
    <mergeCell ref="I197:J197"/>
    <mergeCell ref="A194:B194"/>
    <mergeCell ref="C194:D194"/>
    <mergeCell ref="E194:F194"/>
    <mergeCell ref="I194:J194"/>
    <mergeCell ref="A195:B195"/>
    <mergeCell ref="C195:D195"/>
    <mergeCell ref="E195:F195"/>
    <mergeCell ref="I195:J195"/>
    <mergeCell ref="A192:B192"/>
    <mergeCell ref="C192:D192"/>
    <mergeCell ref="E192:F192"/>
    <mergeCell ref="I192:J192"/>
    <mergeCell ref="A193:B193"/>
    <mergeCell ref="C193:D193"/>
    <mergeCell ref="E193:F193"/>
    <mergeCell ref="I193:J193"/>
    <mergeCell ref="G192:H192"/>
    <mergeCell ref="G193:H193"/>
    <mergeCell ref="G194:H194"/>
    <mergeCell ref="G195:H195"/>
    <mergeCell ref="G196:H196"/>
    <mergeCell ref="G197:H197"/>
    <mergeCell ref="A203:B203"/>
    <mergeCell ref="C203:D203"/>
    <mergeCell ref="E203:F203"/>
    <mergeCell ref="I203:J203"/>
    <mergeCell ref="A204:B204"/>
    <mergeCell ref="C204:D204"/>
    <mergeCell ref="E204:F204"/>
    <mergeCell ref="I204:J204"/>
    <mergeCell ref="A200:B200"/>
    <mergeCell ref="C200:D200"/>
    <mergeCell ref="E200:F200"/>
    <mergeCell ref="I200:J200"/>
    <mergeCell ref="A198:B198"/>
    <mergeCell ref="C198:D198"/>
    <mergeCell ref="E198:F198"/>
    <mergeCell ref="I198:J198"/>
    <mergeCell ref="A199:B199"/>
    <mergeCell ref="C199:D199"/>
    <mergeCell ref="E199:F199"/>
    <mergeCell ref="I199:J199"/>
    <mergeCell ref="G198:H198"/>
    <mergeCell ref="G199:H199"/>
    <mergeCell ref="G200:H200"/>
    <mergeCell ref="G203:H203"/>
    <mergeCell ref="G204:H204"/>
    <mergeCell ref="A209:B209"/>
    <mergeCell ref="C209:D209"/>
    <mergeCell ref="E209:F209"/>
    <mergeCell ref="I209:J209"/>
    <mergeCell ref="A210:B210"/>
    <mergeCell ref="C210:D210"/>
    <mergeCell ref="E210:F210"/>
    <mergeCell ref="I210:J210"/>
    <mergeCell ref="A207:B207"/>
    <mergeCell ref="C207:D207"/>
    <mergeCell ref="E207:F207"/>
    <mergeCell ref="I207:J207"/>
    <mergeCell ref="A208:B208"/>
    <mergeCell ref="C208:D208"/>
    <mergeCell ref="E208:F208"/>
    <mergeCell ref="I208:J208"/>
    <mergeCell ref="A205:B205"/>
    <mergeCell ref="C205:D205"/>
    <mergeCell ref="E205:F205"/>
    <mergeCell ref="I205:J205"/>
    <mergeCell ref="A206:B206"/>
    <mergeCell ref="C206:D206"/>
    <mergeCell ref="E206:F206"/>
    <mergeCell ref="I206:J206"/>
    <mergeCell ref="G205:H205"/>
    <mergeCell ref="G206:H206"/>
    <mergeCell ref="G207:H207"/>
    <mergeCell ref="G208:H208"/>
    <mergeCell ref="G209:H209"/>
    <mergeCell ref="G210:H210"/>
    <mergeCell ref="A215:B215"/>
    <mergeCell ref="C215:D215"/>
    <mergeCell ref="E215:F215"/>
    <mergeCell ref="I215:J215"/>
    <mergeCell ref="A216:B216"/>
    <mergeCell ref="C216:D216"/>
    <mergeCell ref="E216:F216"/>
    <mergeCell ref="I216:J216"/>
    <mergeCell ref="A213:B213"/>
    <mergeCell ref="C213:D213"/>
    <mergeCell ref="E213:F213"/>
    <mergeCell ref="I213:J213"/>
    <mergeCell ref="A214:B214"/>
    <mergeCell ref="C214:D214"/>
    <mergeCell ref="E214:F214"/>
    <mergeCell ref="I214:J214"/>
    <mergeCell ref="A211:B211"/>
    <mergeCell ref="C211:D211"/>
    <mergeCell ref="E211:F211"/>
    <mergeCell ref="I211:J211"/>
    <mergeCell ref="A212:B212"/>
    <mergeCell ref="C212:D212"/>
    <mergeCell ref="E212:F212"/>
    <mergeCell ref="I212:J212"/>
    <mergeCell ref="G211:H211"/>
    <mergeCell ref="G212:H212"/>
    <mergeCell ref="G213:H213"/>
    <mergeCell ref="G214:H214"/>
    <mergeCell ref="G215:H215"/>
    <mergeCell ref="G216:H216"/>
    <mergeCell ref="A221:B221"/>
    <mergeCell ref="C221:D221"/>
    <mergeCell ref="E221:F221"/>
    <mergeCell ref="I221:J221"/>
    <mergeCell ref="A222:B222"/>
    <mergeCell ref="C222:D222"/>
    <mergeCell ref="E222:F222"/>
    <mergeCell ref="I222:J222"/>
    <mergeCell ref="A219:B219"/>
    <mergeCell ref="C219:D219"/>
    <mergeCell ref="E219:F219"/>
    <mergeCell ref="I219:J219"/>
    <mergeCell ref="A220:B220"/>
    <mergeCell ref="C220:D220"/>
    <mergeCell ref="E220:F220"/>
    <mergeCell ref="I220:J220"/>
    <mergeCell ref="A217:B217"/>
    <mergeCell ref="C217:D217"/>
    <mergeCell ref="E217:F217"/>
    <mergeCell ref="I217:J217"/>
    <mergeCell ref="A218:B218"/>
    <mergeCell ref="C218:D218"/>
    <mergeCell ref="E218:F218"/>
    <mergeCell ref="I218:J218"/>
    <mergeCell ref="G217:H217"/>
    <mergeCell ref="G218:H218"/>
    <mergeCell ref="G219:H219"/>
    <mergeCell ref="G220:H220"/>
    <mergeCell ref="G221:H221"/>
    <mergeCell ref="G222:H222"/>
    <mergeCell ref="A227:B227"/>
    <mergeCell ref="C227:D227"/>
    <mergeCell ref="E227:F227"/>
    <mergeCell ref="I227:J227"/>
    <mergeCell ref="A228:B228"/>
    <mergeCell ref="C228:D228"/>
    <mergeCell ref="E228:F228"/>
    <mergeCell ref="I228:J228"/>
    <mergeCell ref="A225:B225"/>
    <mergeCell ref="C225:D225"/>
    <mergeCell ref="E225:F225"/>
    <mergeCell ref="I225:J225"/>
    <mergeCell ref="A226:B226"/>
    <mergeCell ref="C226:D226"/>
    <mergeCell ref="E226:F226"/>
    <mergeCell ref="I226:J226"/>
    <mergeCell ref="A223:B223"/>
    <mergeCell ref="C223:D223"/>
    <mergeCell ref="E223:F223"/>
    <mergeCell ref="I223:J223"/>
    <mergeCell ref="A224:B224"/>
    <mergeCell ref="C224:D224"/>
    <mergeCell ref="E224:F224"/>
    <mergeCell ref="I224:J224"/>
    <mergeCell ref="G223:H223"/>
    <mergeCell ref="G224:H224"/>
    <mergeCell ref="G225:H225"/>
    <mergeCell ref="G226:H226"/>
    <mergeCell ref="G227:H227"/>
    <mergeCell ref="G228:H228"/>
    <mergeCell ref="A233:B233"/>
    <mergeCell ref="C233:D233"/>
    <mergeCell ref="E233:F233"/>
    <mergeCell ref="I233:J233"/>
    <mergeCell ref="A234:B234"/>
    <mergeCell ref="C234:D234"/>
    <mergeCell ref="E234:F234"/>
    <mergeCell ref="I234:J234"/>
    <mergeCell ref="A231:B231"/>
    <mergeCell ref="C231:D231"/>
    <mergeCell ref="E231:F231"/>
    <mergeCell ref="I231:J231"/>
    <mergeCell ref="A232:B232"/>
    <mergeCell ref="C232:D232"/>
    <mergeCell ref="E232:F232"/>
    <mergeCell ref="I232:J232"/>
    <mergeCell ref="A229:B229"/>
    <mergeCell ref="C229:D229"/>
    <mergeCell ref="E229:F229"/>
    <mergeCell ref="I229:J229"/>
    <mergeCell ref="A230:B230"/>
    <mergeCell ref="C230:D230"/>
    <mergeCell ref="E230:F230"/>
    <mergeCell ref="I230:J230"/>
    <mergeCell ref="G229:H229"/>
    <mergeCell ref="G230:H230"/>
    <mergeCell ref="G231:H231"/>
    <mergeCell ref="G232:H232"/>
    <mergeCell ref="G233:H233"/>
    <mergeCell ref="G234:H234"/>
    <mergeCell ref="A239:B239"/>
    <mergeCell ref="C239:D239"/>
    <mergeCell ref="E239:F239"/>
    <mergeCell ref="I239:J239"/>
    <mergeCell ref="A240:B240"/>
    <mergeCell ref="C240:D240"/>
    <mergeCell ref="E240:F240"/>
    <mergeCell ref="I240:J240"/>
    <mergeCell ref="A237:B237"/>
    <mergeCell ref="C237:D237"/>
    <mergeCell ref="E237:F237"/>
    <mergeCell ref="I237:J237"/>
    <mergeCell ref="A238:B238"/>
    <mergeCell ref="C238:D238"/>
    <mergeCell ref="E238:F238"/>
    <mergeCell ref="I238:J238"/>
    <mergeCell ref="A235:B235"/>
    <mergeCell ref="C235:D235"/>
    <mergeCell ref="E235:F235"/>
    <mergeCell ref="I235:J235"/>
    <mergeCell ref="A236:B236"/>
    <mergeCell ref="C236:D236"/>
    <mergeCell ref="E236:F236"/>
    <mergeCell ref="I236:J236"/>
    <mergeCell ref="G235:H235"/>
    <mergeCell ref="G236:H236"/>
    <mergeCell ref="G237:H237"/>
    <mergeCell ref="G238:H238"/>
    <mergeCell ref="G239:H239"/>
    <mergeCell ref="G240:H240"/>
    <mergeCell ref="A245:B245"/>
    <mergeCell ref="C245:D245"/>
    <mergeCell ref="E245:F245"/>
    <mergeCell ref="I245:J245"/>
    <mergeCell ref="A246:B246"/>
    <mergeCell ref="C246:D246"/>
    <mergeCell ref="E246:F246"/>
    <mergeCell ref="I246:J246"/>
    <mergeCell ref="A243:B243"/>
    <mergeCell ref="C243:D243"/>
    <mergeCell ref="E243:F243"/>
    <mergeCell ref="I243:J243"/>
    <mergeCell ref="A244:B244"/>
    <mergeCell ref="C244:D244"/>
    <mergeCell ref="E244:F244"/>
    <mergeCell ref="I244:J244"/>
    <mergeCell ref="A241:B241"/>
    <mergeCell ref="C241:D241"/>
    <mergeCell ref="E241:F241"/>
    <mergeCell ref="I241:J241"/>
    <mergeCell ref="A242:B242"/>
    <mergeCell ref="C242:D242"/>
    <mergeCell ref="E242:F242"/>
    <mergeCell ref="I242:J242"/>
    <mergeCell ref="G241:H241"/>
    <mergeCell ref="G242:H242"/>
    <mergeCell ref="G243:H243"/>
    <mergeCell ref="G244:H244"/>
    <mergeCell ref="G245:H245"/>
    <mergeCell ref="G246:H246"/>
    <mergeCell ref="A251:B251"/>
    <mergeCell ref="C251:D251"/>
    <mergeCell ref="E251:F251"/>
    <mergeCell ref="I251:J251"/>
    <mergeCell ref="A252:B252"/>
    <mergeCell ref="C252:D252"/>
    <mergeCell ref="E252:F252"/>
    <mergeCell ref="I252:J252"/>
    <mergeCell ref="A249:B249"/>
    <mergeCell ref="C249:D249"/>
    <mergeCell ref="E249:F249"/>
    <mergeCell ref="I249:J249"/>
    <mergeCell ref="A250:B250"/>
    <mergeCell ref="C250:D250"/>
    <mergeCell ref="E250:F250"/>
    <mergeCell ref="I250:J250"/>
    <mergeCell ref="A247:B247"/>
    <mergeCell ref="C247:D247"/>
    <mergeCell ref="E247:F247"/>
    <mergeCell ref="I247:J247"/>
    <mergeCell ref="A248:B248"/>
    <mergeCell ref="C248:D248"/>
    <mergeCell ref="E248:F248"/>
    <mergeCell ref="I248:J248"/>
    <mergeCell ref="G247:H247"/>
    <mergeCell ref="G248:H248"/>
    <mergeCell ref="G249:H249"/>
    <mergeCell ref="G250:H250"/>
    <mergeCell ref="G251:H251"/>
    <mergeCell ref="G252:H252"/>
    <mergeCell ref="A258:B258"/>
    <mergeCell ref="C258:D258"/>
    <mergeCell ref="E258:F258"/>
    <mergeCell ref="I258:J258"/>
    <mergeCell ref="A259:B259"/>
    <mergeCell ref="C259:D259"/>
    <mergeCell ref="E259:F259"/>
    <mergeCell ref="I259:J259"/>
    <mergeCell ref="A257:B257"/>
    <mergeCell ref="C257:D257"/>
    <mergeCell ref="E257:F257"/>
    <mergeCell ref="I257:J257"/>
    <mergeCell ref="A253:B253"/>
    <mergeCell ref="C253:D253"/>
    <mergeCell ref="E253:F253"/>
    <mergeCell ref="I253:J253"/>
    <mergeCell ref="A254:B254"/>
    <mergeCell ref="C254:D254"/>
    <mergeCell ref="E254:F254"/>
    <mergeCell ref="I254:J254"/>
    <mergeCell ref="G253:H253"/>
    <mergeCell ref="G254:H254"/>
    <mergeCell ref="G257:H257"/>
    <mergeCell ref="G258:H258"/>
    <mergeCell ref="G259:H259"/>
    <mergeCell ref="A264:B264"/>
    <mergeCell ref="C264:D264"/>
    <mergeCell ref="E264:F264"/>
    <mergeCell ref="I264:J264"/>
    <mergeCell ref="A265:B265"/>
    <mergeCell ref="C265:D265"/>
    <mergeCell ref="E265:F265"/>
    <mergeCell ref="I265:J265"/>
    <mergeCell ref="A262:B262"/>
    <mergeCell ref="C262:D262"/>
    <mergeCell ref="E262:F262"/>
    <mergeCell ref="I262:J262"/>
    <mergeCell ref="A263:B263"/>
    <mergeCell ref="C263:D263"/>
    <mergeCell ref="E263:F263"/>
    <mergeCell ref="I263:J263"/>
    <mergeCell ref="A260:B260"/>
    <mergeCell ref="C260:D260"/>
    <mergeCell ref="E260:F260"/>
    <mergeCell ref="I260:J260"/>
    <mergeCell ref="A261:B261"/>
    <mergeCell ref="C261:D261"/>
    <mergeCell ref="E261:F261"/>
    <mergeCell ref="I261:J261"/>
    <mergeCell ref="G260:H260"/>
    <mergeCell ref="G261:H261"/>
    <mergeCell ref="G262:H262"/>
    <mergeCell ref="G263:H263"/>
    <mergeCell ref="G264:H264"/>
    <mergeCell ref="G265:H265"/>
    <mergeCell ref="A270:B270"/>
    <mergeCell ref="C270:D270"/>
    <mergeCell ref="E270:F270"/>
    <mergeCell ref="I270:J270"/>
    <mergeCell ref="A271:B271"/>
    <mergeCell ref="C271:D271"/>
    <mergeCell ref="E271:F271"/>
    <mergeCell ref="I271:J271"/>
    <mergeCell ref="A268:B268"/>
    <mergeCell ref="C268:D268"/>
    <mergeCell ref="E268:F268"/>
    <mergeCell ref="I268:J268"/>
    <mergeCell ref="A269:B269"/>
    <mergeCell ref="C269:D269"/>
    <mergeCell ref="E269:F269"/>
    <mergeCell ref="I269:J269"/>
    <mergeCell ref="A266:B266"/>
    <mergeCell ref="C266:D266"/>
    <mergeCell ref="E266:F266"/>
    <mergeCell ref="I266:J266"/>
    <mergeCell ref="A267:B267"/>
    <mergeCell ref="C267:D267"/>
    <mergeCell ref="E267:F267"/>
    <mergeCell ref="I267:J267"/>
    <mergeCell ref="G266:H266"/>
    <mergeCell ref="G267:H267"/>
    <mergeCell ref="G268:H268"/>
    <mergeCell ref="G269:H269"/>
    <mergeCell ref="G270:H270"/>
    <mergeCell ref="G271:H271"/>
    <mergeCell ref="A276:B276"/>
    <mergeCell ref="C276:D276"/>
    <mergeCell ref="E276:F276"/>
    <mergeCell ref="I276:J276"/>
    <mergeCell ref="A277:B277"/>
    <mergeCell ref="C277:D277"/>
    <mergeCell ref="E277:F277"/>
    <mergeCell ref="I277:J277"/>
    <mergeCell ref="A274:B274"/>
    <mergeCell ref="C274:D274"/>
    <mergeCell ref="E274:F274"/>
    <mergeCell ref="I274:J274"/>
    <mergeCell ref="A275:B275"/>
    <mergeCell ref="C275:D275"/>
    <mergeCell ref="E275:F275"/>
    <mergeCell ref="I275:J275"/>
    <mergeCell ref="A272:B272"/>
    <mergeCell ref="C272:D272"/>
    <mergeCell ref="E272:F272"/>
    <mergeCell ref="I272:J272"/>
    <mergeCell ref="A273:B273"/>
    <mergeCell ref="C273:D273"/>
    <mergeCell ref="E273:F273"/>
    <mergeCell ref="I273:J273"/>
    <mergeCell ref="G272:H272"/>
    <mergeCell ref="G273:H273"/>
    <mergeCell ref="G274:H274"/>
    <mergeCell ref="G275:H275"/>
    <mergeCell ref="G276:H276"/>
    <mergeCell ref="G277:H277"/>
    <mergeCell ref="A282:B282"/>
    <mergeCell ref="C282:D282"/>
    <mergeCell ref="E282:F282"/>
    <mergeCell ref="I282:J282"/>
    <mergeCell ref="A283:B283"/>
    <mergeCell ref="C283:D283"/>
    <mergeCell ref="E283:F283"/>
    <mergeCell ref="I283:J283"/>
    <mergeCell ref="A280:B280"/>
    <mergeCell ref="C280:D280"/>
    <mergeCell ref="E280:F280"/>
    <mergeCell ref="I280:J280"/>
    <mergeCell ref="A281:B281"/>
    <mergeCell ref="C281:D281"/>
    <mergeCell ref="E281:F281"/>
    <mergeCell ref="I281:J281"/>
    <mergeCell ref="A278:B278"/>
    <mergeCell ref="C278:D278"/>
    <mergeCell ref="E278:F278"/>
    <mergeCell ref="I278:J278"/>
    <mergeCell ref="A279:B279"/>
    <mergeCell ref="C279:D279"/>
    <mergeCell ref="E279:F279"/>
    <mergeCell ref="I279:J279"/>
    <mergeCell ref="G278:H278"/>
    <mergeCell ref="G279:H279"/>
    <mergeCell ref="G280:H280"/>
    <mergeCell ref="G281:H281"/>
    <mergeCell ref="G282:H282"/>
    <mergeCell ref="G283:H283"/>
    <mergeCell ref="A288:B288"/>
    <mergeCell ref="C288:D288"/>
    <mergeCell ref="E288:F288"/>
    <mergeCell ref="I288:J288"/>
    <mergeCell ref="A289:B289"/>
    <mergeCell ref="C289:D289"/>
    <mergeCell ref="E289:F289"/>
    <mergeCell ref="I289:J289"/>
    <mergeCell ref="A286:B286"/>
    <mergeCell ref="C286:D286"/>
    <mergeCell ref="E286:F286"/>
    <mergeCell ref="I286:J286"/>
    <mergeCell ref="A287:B287"/>
    <mergeCell ref="C287:D287"/>
    <mergeCell ref="E287:F287"/>
    <mergeCell ref="I287:J287"/>
    <mergeCell ref="A284:B284"/>
    <mergeCell ref="C284:D284"/>
    <mergeCell ref="E284:F284"/>
    <mergeCell ref="I284:J284"/>
    <mergeCell ref="A285:B285"/>
    <mergeCell ref="C285:D285"/>
    <mergeCell ref="E285:F285"/>
    <mergeCell ref="I285:J285"/>
    <mergeCell ref="G284:H284"/>
    <mergeCell ref="G285:H285"/>
    <mergeCell ref="G286:H286"/>
    <mergeCell ref="G287:H287"/>
    <mergeCell ref="G288:H288"/>
    <mergeCell ref="G289:H289"/>
    <mergeCell ref="A294:B294"/>
    <mergeCell ref="C294:D294"/>
    <mergeCell ref="E294:F294"/>
    <mergeCell ref="I294:J294"/>
    <mergeCell ref="A295:B295"/>
    <mergeCell ref="C295:D295"/>
    <mergeCell ref="E295:F295"/>
    <mergeCell ref="I295:J295"/>
    <mergeCell ref="A292:B292"/>
    <mergeCell ref="C292:D292"/>
    <mergeCell ref="E292:F292"/>
    <mergeCell ref="I292:J292"/>
    <mergeCell ref="A293:B293"/>
    <mergeCell ref="C293:D293"/>
    <mergeCell ref="E293:F293"/>
    <mergeCell ref="I293:J293"/>
    <mergeCell ref="A290:B290"/>
    <mergeCell ref="C290:D290"/>
    <mergeCell ref="E290:F290"/>
    <mergeCell ref="I290:J290"/>
    <mergeCell ref="A291:B291"/>
    <mergeCell ref="C291:D291"/>
    <mergeCell ref="E291:F291"/>
    <mergeCell ref="I291:J291"/>
    <mergeCell ref="G290:H290"/>
    <mergeCell ref="G291:H291"/>
    <mergeCell ref="G292:H292"/>
    <mergeCell ref="G293:H293"/>
    <mergeCell ref="G294:H294"/>
    <mergeCell ref="G295:H295"/>
    <mergeCell ref="A300:B300"/>
    <mergeCell ref="C300:D300"/>
    <mergeCell ref="E300:F300"/>
    <mergeCell ref="I300:J300"/>
    <mergeCell ref="A301:B301"/>
    <mergeCell ref="C301:D301"/>
    <mergeCell ref="E301:F301"/>
    <mergeCell ref="I301:J301"/>
    <mergeCell ref="A298:B298"/>
    <mergeCell ref="C298:D298"/>
    <mergeCell ref="E298:F298"/>
    <mergeCell ref="I298:J298"/>
    <mergeCell ref="A299:B299"/>
    <mergeCell ref="C299:D299"/>
    <mergeCell ref="E299:F299"/>
    <mergeCell ref="I299:J299"/>
    <mergeCell ref="A296:B296"/>
    <mergeCell ref="C296:D296"/>
    <mergeCell ref="E296:F296"/>
    <mergeCell ref="I296:J296"/>
    <mergeCell ref="A297:B297"/>
    <mergeCell ref="C297:D297"/>
    <mergeCell ref="E297:F297"/>
    <mergeCell ref="I297:J297"/>
    <mergeCell ref="G296:H296"/>
    <mergeCell ref="G297:H297"/>
    <mergeCell ref="G298:H298"/>
    <mergeCell ref="G299:H299"/>
    <mergeCell ref="G300:H300"/>
    <mergeCell ref="G301:H301"/>
    <mergeCell ref="E303:F303"/>
    <mergeCell ref="I303:J303"/>
    <mergeCell ref="I312:J312"/>
    <mergeCell ref="A313:B313"/>
    <mergeCell ref="C313:D313"/>
    <mergeCell ref="E313:F313"/>
    <mergeCell ref="I313:J313"/>
    <mergeCell ref="A311:B311"/>
    <mergeCell ref="C311:D311"/>
    <mergeCell ref="E311:F311"/>
    <mergeCell ref="I311:J311"/>
    <mergeCell ref="A308:B308"/>
    <mergeCell ref="C308:D308"/>
    <mergeCell ref="E308:F308"/>
    <mergeCell ref="I308:J308"/>
    <mergeCell ref="E304:F304"/>
    <mergeCell ref="E307:F307"/>
    <mergeCell ref="I307:J307"/>
    <mergeCell ref="A304:B304"/>
    <mergeCell ref="C304:D304"/>
    <mergeCell ref="A306:B306"/>
    <mergeCell ref="C306:D306"/>
    <mergeCell ref="E306:F306"/>
    <mergeCell ref="I306:J306"/>
    <mergeCell ref="A307:B307"/>
    <mergeCell ref="C307:D307"/>
    <mergeCell ref="A303:B303"/>
    <mergeCell ref="I305:J305"/>
    <mergeCell ref="A318:B318"/>
    <mergeCell ref="C318:D318"/>
    <mergeCell ref="E318:F318"/>
    <mergeCell ref="I318:J318"/>
    <mergeCell ref="C312:D312"/>
    <mergeCell ref="E312:F312"/>
    <mergeCell ref="G313:H313"/>
    <mergeCell ref="G314:H314"/>
    <mergeCell ref="G315:H315"/>
    <mergeCell ref="G316:H316"/>
    <mergeCell ref="G317:H317"/>
    <mergeCell ref="G318:H318"/>
    <mergeCell ref="A312:B312"/>
    <mergeCell ref="I319:J319"/>
    <mergeCell ref="A316:B316"/>
    <mergeCell ref="C316:D316"/>
    <mergeCell ref="E316:F316"/>
    <mergeCell ref="I316:J316"/>
    <mergeCell ref="A317:B317"/>
    <mergeCell ref="C317:D317"/>
    <mergeCell ref="E317:F317"/>
    <mergeCell ref="I317:J317"/>
    <mergeCell ref="A314:B314"/>
    <mergeCell ref="C314:D314"/>
    <mergeCell ref="E314:F314"/>
    <mergeCell ref="I314:J314"/>
    <mergeCell ref="A315:B315"/>
    <mergeCell ref="C315:D315"/>
    <mergeCell ref="E315:F315"/>
    <mergeCell ref="I315:J315"/>
    <mergeCell ref="A319:B319"/>
    <mergeCell ref="C319:D319"/>
    <mergeCell ref="E319:F319"/>
    <mergeCell ref="G319:H319"/>
    <mergeCell ref="C324:D324"/>
    <mergeCell ref="E324:F324"/>
    <mergeCell ref="I324:J324"/>
    <mergeCell ref="A325:B325"/>
    <mergeCell ref="C325:D325"/>
    <mergeCell ref="E325:F325"/>
    <mergeCell ref="I325:J325"/>
    <mergeCell ref="A322:B322"/>
    <mergeCell ref="C322:D322"/>
    <mergeCell ref="E322:F322"/>
    <mergeCell ref="I322:J322"/>
    <mergeCell ref="A323:B323"/>
    <mergeCell ref="C323:D323"/>
    <mergeCell ref="E323:F323"/>
    <mergeCell ref="I323:J323"/>
    <mergeCell ref="A320:B320"/>
    <mergeCell ref="C320:D320"/>
    <mergeCell ref="E320:F320"/>
    <mergeCell ref="I320:J320"/>
    <mergeCell ref="A321:B321"/>
    <mergeCell ref="C321:D321"/>
    <mergeCell ref="E321:F321"/>
    <mergeCell ref="I321:J321"/>
    <mergeCell ref="G321:H321"/>
    <mergeCell ref="G322:H322"/>
    <mergeCell ref="G323:H323"/>
    <mergeCell ref="G324:H324"/>
    <mergeCell ref="G325:H325"/>
    <mergeCell ref="A324:B324"/>
    <mergeCell ref="G320:H320"/>
    <mergeCell ref="A330:B330"/>
    <mergeCell ref="C330:D330"/>
    <mergeCell ref="E330:F330"/>
    <mergeCell ref="I330:J330"/>
    <mergeCell ref="A331:B331"/>
    <mergeCell ref="C331:D331"/>
    <mergeCell ref="E331:F331"/>
    <mergeCell ref="I331:J331"/>
    <mergeCell ref="A328:B328"/>
    <mergeCell ref="C328:D328"/>
    <mergeCell ref="E328:F328"/>
    <mergeCell ref="I328:J328"/>
    <mergeCell ref="A329:B329"/>
    <mergeCell ref="C329:D329"/>
    <mergeCell ref="E329:F329"/>
    <mergeCell ref="I329:J329"/>
    <mergeCell ref="A326:B326"/>
    <mergeCell ref="C326:D326"/>
    <mergeCell ref="E326:F326"/>
    <mergeCell ref="I326:J326"/>
    <mergeCell ref="A327:B327"/>
    <mergeCell ref="C327:D327"/>
    <mergeCell ref="E327:F327"/>
    <mergeCell ref="I327:J327"/>
    <mergeCell ref="G326:H326"/>
    <mergeCell ref="G327:H327"/>
    <mergeCell ref="G328:H328"/>
    <mergeCell ref="G329:H329"/>
    <mergeCell ref="G330:H330"/>
    <mergeCell ref="G331:H331"/>
    <mergeCell ref="A336:B336"/>
    <mergeCell ref="C336:D336"/>
    <mergeCell ref="E336:F336"/>
    <mergeCell ref="I336:J336"/>
    <mergeCell ref="A337:B337"/>
    <mergeCell ref="C337:D337"/>
    <mergeCell ref="E337:F337"/>
    <mergeCell ref="I337:J337"/>
    <mergeCell ref="A334:B334"/>
    <mergeCell ref="C334:D334"/>
    <mergeCell ref="E334:F334"/>
    <mergeCell ref="I334:J334"/>
    <mergeCell ref="A335:B335"/>
    <mergeCell ref="C335:D335"/>
    <mergeCell ref="E335:F335"/>
    <mergeCell ref="I335:J335"/>
    <mergeCell ref="A332:B332"/>
    <mergeCell ref="C332:D332"/>
    <mergeCell ref="E332:F332"/>
    <mergeCell ref="I332:J332"/>
    <mergeCell ref="A333:B333"/>
    <mergeCell ref="C333:D333"/>
    <mergeCell ref="E333:F333"/>
    <mergeCell ref="I333:J333"/>
    <mergeCell ref="G332:H332"/>
    <mergeCell ref="G333:H333"/>
    <mergeCell ref="G334:H334"/>
    <mergeCell ref="G335:H335"/>
    <mergeCell ref="G336:H336"/>
    <mergeCell ref="G337:H337"/>
    <mergeCell ref="A342:B342"/>
    <mergeCell ref="C342:D342"/>
    <mergeCell ref="E342:F342"/>
    <mergeCell ref="I342:J342"/>
    <mergeCell ref="A343:B343"/>
    <mergeCell ref="C343:D343"/>
    <mergeCell ref="E343:F343"/>
    <mergeCell ref="I343:J343"/>
    <mergeCell ref="A340:B340"/>
    <mergeCell ref="C340:D340"/>
    <mergeCell ref="E340:F340"/>
    <mergeCell ref="I340:J340"/>
    <mergeCell ref="A341:B341"/>
    <mergeCell ref="C341:D341"/>
    <mergeCell ref="E341:F341"/>
    <mergeCell ref="I341:J341"/>
    <mergeCell ref="A338:B338"/>
    <mergeCell ref="C338:D338"/>
    <mergeCell ref="E338:F338"/>
    <mergeCell ref="I338:J338"/>
    <mergeCell ref="A339:B339"/>
    <mergeCell ref="C339:D339"/>
    <mergeCell ref="E339:F339"/>
    <mergeCell ref="I339:J339"/>
    <mergeCell ref="G338:H338"/>
    <mergeCell ref="G339:H339"/>
    <mergeCell ref="G340:H340"/>
    <mergeCell ref="G341:H341"/>
    <mergeCell ref="G342:H342"/>
    <mergeCell ref="G343:H343"/>
    <mergeCell ref="A348:B348"/>
    <mergeCell ref="C348:D348"/>
    <mergeCell ref="E348:F348"/>
    <mergeCell ref="I348:J348"/>
    <mergeCell ref="A349:B349"/>
    <mergeCell ref="C349:D349"/>
    <mergeCell ref="E349:F349"/>
    <mergeCell ref="I349:J349"/>
    <mergeCell ref="A346:B346"/>
    <mergeCell ref="C346:D346"/>
    <mergeCell ref="E346:F346"/>
    <mergeCell ref="I346:J346"/>
    <mergeCell ref="A347:B347"/>
    <mergeCell ref="C347:D347"/>
    <mergeCell ref="E347:F347"/>
    <mergeCell ref="I347:J347"/>
    <mergeCell ref="A344:B344"/>
    <mergeCell ref="C344:D344"/>
    <mergeCell ref="E344:F344"/>
    <mergeCell ref="I344:J344"/>
    <mergeCell ref="A345:B345"/>
    <mergeCell ref="C345:D345"/>
    <mergeCell ref="E345:F345"/>
    <mergeCell ref="I345:J345"/>
    <mergeCell ref="G344:H344"/>
    <mergeCell ref="G345:H345"/>
    <mergeCell ref="G346:H346"/>
    <mergeCell ref="G347:H347"/>
    <mergeCell ref="G348:H348"/>
    <mergeCell ref="G349:H349"/>
    <mergeCell ref="A354:B354"/>
    <mergeCell ref="C354:D354"/>
    <mergeCell ref="E354:F354"/>
    <mergeCell ref="I354:J354"/>
    <mergeCell ref="A355:B355"/>
    <mergeCell ref="C355:D355"/>
    <mergeCell ref="E355:F355"/>
    <mergeCell ref="I355:J355"/>
    <mergeCell ref="A352:B352"/>
    <mergeCell ref="C352:D352"/>
    <mergeCell ref="E352:F352"/>
    <mergeCell ref="I352:J352"/>
    <mergeCell ref="A353:B353"/>
    <mergeCell ref="C353:D353"/>
    <mergeCell ref="E353:F353"/>
    <mergeCell ref="I353:J353"/>
    <mergeCell ref="A350:B350"/>
    <mergeCell ref="C350:D350"/>
    <mergeCell ref="E350:F350"/>
    <mergeCell ref="I350:J350"/>
    <mergeCell ref="A351:B351"/>
    <mergeCell ref="C351:D351"/>
    <mergeCell ref="E351:F351"/>
    <mergeCell ref="I351:J351"/>
    <mergeCell ref="G350:H350"/>
    <mergeCell ref="G351:H351"/>
    <mergeCell ref="G352:H352"/>
    <mergeCell ref="G353:H353"/>
    <mergeCell ref="G354:H354"/>
    <mergeCell ref="G355:H355"/>
    <mergeCell ref="A22:J23"/>
    <mergeCell ref="A26:J27"/>
    <mergeCell ref="C9:J10"/>
    <mergeCell ref="A362:B362"/>
    <mergeCell ref="C362:D362"/>
    <mergeCell ref="E362:F362"/>
    <mergeCell ref="I362:J362"/>
    <mergeCell ref="A1:D1"/>
    <mergeCell ref="A360:B360"/>
    <mergeCell ref="C360:D360"/>
    <mergeCell ref="E360:F360"/>
    <mergeCell ref="I360:J360"/>
    <mergeCell ref="A361:B361"/>
    <mergeCell ref="C361:D361"/>
    <mergeCell ref="E361:F361"/>
    <mergeCell ref="I361:J361"/>
    <mergeCell ref="A358:B358"/>
    <mergeCell ref="C358:D358"/>
    <mergeCell ref="E358:F358"/>
    <mergeCell ref="I358:J358"/>
    <mergeCell ref="A359:B359"/>
    <mergeCell ref="C359:D359"/>
    <mergeCell ref="E359:F359"/>
    <mergeCell ref="I359:J359"/>
    <mergeCell ref="A356:B356"/>
    <mergeCell ref="C356:D356"/>
    <mergeCell ref="E356:F356"/>
    <mergeCell ref="I356:J356"/>
    <mergeCell ref="A357:B357"/>
    <mergeCell ref="C357:D357"/>
    <mergeCell ref="E357:F357"/>
    <mergeCell ref="I357:J357"/>
  </mergeCells>
  <conditionalFormatting sqref="A313:J362 A311:F311 I311:J311 A43:J44">
    <cfRule type="notContainsBlanks" dxfId="233" priority="21">
      <formula>LEN(TRIM(A43))&gt;0</formula>
    </cfRule>
  </conditionalFormatting>
  <conditionalFormatting sqref="A258:J308 A257:F257 I257:J257">
    <cfRule type="notContainsBlanks" dxfId="232" priority="19">
      <formula>LEN(TRIM(A257))&gt;0</formula>
    </cfRule>
  </conditionalFormatting>
  <conditionalFormatting sqref="A42:J42 A45:J92">
    <cfRule type="notContainsBlanks" dxfId="231" priority="18">
      <formula>LEN(TRIM(A42))&gt;0</formula>
    </cfRule>
  </conditionalFormatting>
  <conditionalFormatting sqref="A96:J146 A95:F95 I95:J95">
    <cfRule type="notContainsBlanks" dxfId="230" priority="17">
      <formula>LEN(TRIM(A95))&gt;0</formula>
    </cfRule>
  </conditionalFormatting>
  <conditionalFormatting sqref="A151:J200 A149:F149 I149:J149">
    <cfRule type="notContainsBlanks" dxfId="229" priority="16">
      <formula>LEN(TRIM(A149))&gt;0</formula>
    </cfRule>
  </conditionalFormatting>
  <conditionalFormatting sqref="A204:J254 A203:F203 I203:J203">
    <cfRule type="notContainsBlanks" dxfId="228" priority="15">
      <formula>LEN(TRIM(A203))&gt;0</formula>
    </cfRule>
  </conditionalFormatting>
  <conditionalFormatting sqref="I151:J311 I313:J362 I41:J149">
    <cfRule type="cellIs" dxfId="227" priority="14" operator="equal">
      <formula>"Inadequada"</formula>
    </cfRule>
  </conditionalFormatting>
  <conditionalFormatting sqref="G95:H95">
    <cfRule type="notContainsBlanks" dxfId="226" priority="13">
      <formula>LEN(TRIM(G95))&gt;0</formula>
    </cfRule>
  </conditionalFormatting>
  <conditionalFormatting sqref="G149:H149">
    <cfRule type="notContainsBlanks" dxfId="225" priority="12">
      <formula>LEN(TRIM(G149))&gt;0</formula>
    </cfRule>
  </conditionalFormatting>
  <conditionalFormatting sqref="G203:H203">
    <cfRule type="notContainsBlanks" dxfId="224" priority="11">
      <formula>LEN(TRIM(G203))&gt;0</formula>
    </cfRule>
  </conditionalFormatting>
  <conditionalFormatting sqref="G257:H257">
    <cfRule type="notContainsBlanks" dxfId="223" priority="10">
      <formula>LEN(TRIM(G257))&gt;0</formula>
    </cfRule>
  </conditionalFormatting>
  <conditionalFormatting sqref="G311:H311">
    <cfRule type="notContainsBlanks" dxfId="222" priority="9">
      <formula>LEN(TRIM(G311))&gt;0</formula>
    </cfRule>
  </conditionalFormatting>
  <conditionalFormatting sqref="I312:J312">
    <cfRule type="cellIs" dxfId="221" priority="1" operator="equal">
      <formula>"Inadequada"</formula>
    </cfRule>
  </conditionalFormatting>
  <conditionalFormatting sqref="A312:J312">
    <cfRule type="notContainsBlanks" dxfId="220" priority="2">
      <formula>LEN(TRIM(A312))&gt;0</formula>
    </cfRule>
  </conditionalFormatting>
  <conditionalFormatting sqref="A150:J150">
    <cfRule type="notContainsBlanks" dxfId="219" priority="4">
      <formula>LEN(TRIM(A150))&gt;0</formula>
    </cfRule>
  </conditionalFormatting>
  <conditionalFormatting sqref="I150:J150">
    <cfRule type="cellIs" dxfId="218" priority="3" operator="equal">
      <formula>"Inadequada"</formula>
    </cfRule>
  </conditionalFormatting>
  <dataValidations disablePrompts="1" count="1">
    <dataValidation type="list" allowBlank="1" showInputMessage="1" showErrorMessage="1" sqref="I149:J200 I257:J308 I203:J254 I95:J146 I311:J362 I42:J92">
      <formula1>"Adequada,Inadequada"</formula1>
    </dataValidation>
  </dataValidations>
  <pageMargins left="0.78740157480314965" right="0.19685039370078741" top="1.3779527559055118" bottom="1.1811023622047245" header="0.31496062992125984" footer="0.51181102362204722"/>
  <pageSetup paperSize="9" orientation="portrait" r:id="rId1"/>
  <headerFooter>
    <oddFooter>&amp;L&amp;F&amp;R&amp;P de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V200"/>
  <sheetViews>
    <sheetView zoomScaleNormal="100" workbookViewId="0">
      <selection activeCell="C12" sqref="C12:J13"/>
    </sheetView>
  </sheetViews>
  <sheetFormatPr defaultColWidth="9.140625" defaultRowHeight="15" x14ac:dyDescent="0.25"/>
  <cols>
    <col min="1" max="1" width="26.42578125" style="159" bestFit="1" customWidth="1"/>
    <col min="2" max="5" width="9.140625" style="159"/>
    <col min="6" max="6" width="11.42578125" style="159" bestFit="1" customWidth="1"/>
    <col min="7" max="13" width="9.140625" style="159"/>
    <col min="14" max="14" width="25.85546875" style="159" bestFit="1" customWidth="1"/>
    <col min="15" max="15" width="14.140625" style="159" bestFit="1" customWidth="1"/>
    <col min="16" max="16" width="10.140625" style="159" bestFit="1" customWidth="1"/>
    <col min="17" max="17" width="13.42578125" style="159" bestFit="1" customWidth="1"/>
    <col min="18" max="18" width="13.5703125" style="159" bestFit="1" customWidth="1"/>
    <col min="19" max="19" width="12.85546875" style="159" bestFit="1" customWidth="1"/>
    <col min="20" max="20" width="9.140625" style="159"/>
    <col min="21" max="21" width="13.42578125" style="159" bestFit="1" customWidth="1"/>
    <col min="22" max="22" width="13.5703125" style="159" bestFit="1" customWidth="1"/>
    <col min="23" max="16384" width="9.140625" style="159"/>
  </cols>
  <sheetData>
    <row r="1" spans="1:22" s="213" customFormat="1" x14ac:dyDescent="0.25">
      <c r="A1" s="1350" t="s">
        <v>1326</v>
      </c>
      <c r="B1" s="1361" t="str">
        <f>M13&amp;", "&amp;M14&amp;", "&amp;M15&amp;", "&amp;M16</f>
        <v>IN 90, IN 92, IN 93, IN 94</v>
      </c>
    </row>
    <row r="2" spans="1:22" s="213" customFormat="1" ht="17.25" x14ac:dyDescent="0.25">
      <c r="A2" s="13" t="s">
        <v>97</v>
      </c>
      <c r="B2" s="13"/>
      <c r="C2" s="1914">
        <v>3.77</v>
      </c>
      <c r="D2" s="214" t="s">
        <v>674</v>
      </c>
    </row>
    <row r="3" spans="1:22" s="213" customFormat="1" x14ac:dyDescent="0.25"/>
    <row r="4" spans="1:22" x14ac:dyDescent="0.25">
      <c r="A4" s="159" t="s">
        <v>617</v>
      </c>
      <c r="B4" s="694"/>
      <c r="C4" s="13"/>
      <c r="D4" s="13"/>
      <c r="E4" s="13"/>
      <c r="F4" s="13"/>
      <c r="J4" s="2044" t="s">
        <v>2324</v>
      </c>
      <c r="K4" s="2046" t="s">
        <v>2329</v>
      </c>
      <c r="V4" s="159">
        <f>B4</f>
        <v>0</v>
      </c>
    </row>
    <row r="5" spans="1:22" x14ac:dyDescent="0.25">
      <c r="A5" s="159" t="s">
        <v>621</v>
      </c>
      <c r="B5" s="3060"/>
      <c r="C5" s="3060"/>
      <c r="D5" s="3060"/>
      <c r="E5" s="3060"/>
      <c r="G5" s="1907" t="s">
        <v>1999</v>
      </c>
      <c r="J5" s="2044" t="s">
        <v>2323</v>
      </c>
      <c r="K5" s="2046" t="s">
        <v>2329</v>
      </c>
    </row>
    <row r="6" spans="1:22" x14ac:dyDescent="0.25">
      <c r="A6" s="159" t="s">
        <v>1325</v>
      </c>
      <c r="B6" s="1217"/>
      <c r="C6" s="159" t="s">
        <v>622</v>
      </c>
      <c r="G6" s="1217"/>
      <c r="H6" s="1075" t="s">
        <v>1327</v>
      </c>
    </row>
    <row r="7" spans="1:22" x14ac:dyDescent="0.25">
      <c r="A7" s="159" t="s">
        <v>623</v>
      </c>
      <c r="B7" s="3060"/>
      <c r="C7" s="3060"/>
      <c r="D7" s="3060"/>
      <c r="E7" s="3060"/>
      <c r="G7" s="1217"/>
      <c r="H7" s="1075" t="s">
        <v>1328</v>
      </c>
    </row>
    <row r="8" spans="1:22" x14ac:dyDescent="0.25">
      <c r="A8" s="159" t="s">
        <v>119</v>
      </c>
      <c r="B8" s="3060"/>
      <c r="C8" s="3060"/>
      <c r="D8" s="3060"/>
      <c r="E8" s="3060"/>
      <c r="G8" s="1056" t="e">
        <f>G7/G6</f>
        <v>#DIV/0!</v>
      </c>
      <c r="H8" s="1075" t="s">
        <v>1329</v>
      </c>
      <c r="S8" s="156"/>
      <c r="T8" s="156"/>
      <c r="U8" s="156"/>
      <c r="V8" s="156"/>
    </row>
    <row r="9" spans="1:22" x14ac:dyDescent="0.25">
      <c r="A9" s="159" t="s">
        <v>121</v>
      </c>
      <c r="B9" s="3060"/>
      <c r="C9" s="3060"/>
      <c r="D9" s="3060"/>
      <c r="E9" s="3060"/>
      <c r="G9" s="1056" t="e">
        <f>(G7+B6)/(G6+B6)</f>
        <v>#DIV/0!</v>
      </c>
      <c r="H9" s="1075" t="s">
        <v>1330</v>
      </c>
      <c r="O9" s="159" t="s">
        <v>1041</v>
      </c>
      <c r="P9" s="159" t="s">
        <v>1042</v>
      </c>
      <c r="S9" s="156"/>
      <c r="T9" s="156"/>
      <c r="U9" s="156"/>
      <c r="V9" s="156"/>
    </row>
    <row r="10" spans="1:22" x14ac:dyDescent="0.25">
      <c r="A10" s="159" t="s">
        <v>624</v>
      </c>
      <c r="B10" s="3060"/>
      <c r="C10" s="3060"/>
      <c r="D10" s="3060"/>
      <c r="E10" s="3060"/>
      <c r="M10" s="2802" t="s">
        <v>1040</v>
      </c>
      <c r="N10" s="2802"/>
      <c r="O10" s="159">
        <f>COUNTIF(B:B,"Negatoscópio")</f>
        <v>0</v>
      </c>
      <c r="P10" s="689">
        <f>COUNTIF(B:B,"Monitor")</f>
        <v>0</v>
      </c>
      <c r="Q10" s="159" t="str">
        <f>IF(AND(O10&gt;1,P10&gt;1),"negatoscópios e monitores",IF(O10:O101,"negatoscópios","monitores"))</f>
        <v>monitores</v>
      </c>
      <c r="S10" s="156"/>
      <c r="T10" s="156"/>
      <c r="U10" s="156"/>
      <c r="V10" s="156"/>
    </row>
    <row r="11" spans="1:22" x14ac:dyDescent="0.25">
      <c r="A11" s="162" t="s">
        <v>618</v>
      </c>
      <c r="B11" s="162">
        <v>1</v>
      </c>
      <c r="C11" s="162">
        <v>2</v>
      </c>
      <c r="D11" s="162">
        <v>3</v>
      </c>
      <c r="E11" s="162">
        <v>4</v>
      </c>
      <c r="F11" s="162">
        <v>5</v>
      </c>
      <c r="G11" s="162">
        <v>6</v>
      </c>
      <c r="H11" s="162">
        <v>7</v>
      </c>
      <c r="I11" s="162">
        <v>8</v>
      </c>
      <c r="J11" s="162">
        <v>9</v>
      </c>
      <c r="K11" s="162">
        <v>10</v>
      </c>
      <c r="S11" s="156"/>
      <c r="T11" s="156"/>
      <c r="U11" s="156"/>
      <c r="V11" s="156"/>
    </row>
    <row r="12" spans="1:22" x14ac:dyDescent="0.25">
      <c r="B12" s="213" t="s">
        <v>98</v>
      </c>
      <c r="C12" s="213" t="s">
        <v>98</v>
      </c>
      <c r="D12" s="213" t="s">
        <v>98</v>
      </c>
      <c r="E12" s="213" t="s">
        <v>98</v>
      </c>
      <c r="F12" s="213" t="s">
        <v>98</v>
      </c>
      <c r="G12" s="213" t="s">
        <v>98</v>
      </c>
      <c r="H12" s="213" t="s">
        <v>98</v>
      </c>
      <c r="I12" s="213" t="s">
        <v>98</v>
      </c>
      <c r="J12" s="213" t="s">
        <v>98</v>
      </c>
      <c r="K12" s="213" t="s">
        <v>98</v>
      </c>
      <c r="M12" s="796"/>
      <c r="N12" s="1362"/>
      <c r="O12" s="1362" t="s">
        <v>603</v>
      </c>
      <c r="P12" s="1362" t="s">
        <v>604</v>
      </c>
      <c r="Q12" s="1362" t="s">
        <v>606</v>
      </c>
      <c r="R12" s="1362" t="s">
        <v>607</v>
      </c>
      <c r="S12" s="1362"/>
      <c r="T12" s="795"/>
    </row>
    <row r="13" spans="1:22" x14ac:dyDescent="0.25">
      <c r="B13" s="1913"/>
      <c r="C13" s="1913"/>
      <c r="D13" s="1913"/>
      <c r="E13" s="1913"/>
      <c r="F13" s="1913"/>
      <c r="G13" s="1913"/>
      <c r="H13" s="1913"/>
      <c r="I13" s="1913"/>
      <c r="J13" s="1913"/>
      <c r="K13" s="1913"/>
      <c r="M13" s="115" t="str">
        <f>"IN "&amp;VLOOKUP(N13,IN_ANVISA[],2)</f>
        <v>IN 90</v>
      </c>
      <c r="N13" s="1330" t="s">
        <v>171</v>
      </c>
      <c r="O13" s="1330" t="s">
        <v>602</v>
      </c>
      <c r="P13" s="1330" t="s">
        <v>605</v>
      </c>
      <c r="Q13" s="1363" t="s">
        <v>611</v>
      </c>
      <c r="R13" s="1330" t="s">
        <v>608</v>
      </c>
      <c r="S13" s="1331" t="str">
        <f>"IN "&amp;VLOOKUP(N13,IN_ANVISA[],2)&amp;"/"&amp;VLOOKUP(N13,IN_ANVISA[],3)</f>
        <v>IN 90/2021</v>
      </c>
      <c r="T13" s="1364" t="str">
        <f>VLOOKUP(N13,IN_ANVISA[],2)&amp;"/"&amp;VLOOKUP(N13,IN_ANVISA[],3)</f>
        <v>90/2021</v>
      </c>
      <c r="U13" s="161"/>
    </row>
    <row r="14" spans="1:22" x14ac:dyDescent="0.25">
      <c r="B14" s="1913"/>
      <c r="C14" s="1913"/>
      <c r="D14" s="1913"/>
      <c r="E14" s="1913"/>
      <c r="F14" s="1913"/>
      <c r="G14" s="1913"/>
      <c r="H14" s="1913"/>
      <c r="I14" s="1913"/>
      <c r="J14" s="1913"/>
      <c r="K14" s="1913"/>
      <c r="M14" s="115" t="str">
        <f>"IN "&amp;VLOOKUP(N14,IN_ANVISA[],2)</f>
        <v>IN 92</v>
      </c>
      <c r="N14" s="1330" t="s">
        <v>92</v>
      </c>
      <c r="O14" s="1365" t="s">
        <v>609</v>
      </c>
      <c r="P14" s="1365" t="s">
        <v>610</v>
      </c>
      <c r="Q14" s="1365" t="s">
        <v>612</v>
      </c>
      <c r="R14" s="1330" t="s">
        <v>613</v>
      </c>
      <c r="S14" s="1331" t="str">
        <f>"IN "&amp;VLOOKUP(N14,IN_ANVISA[],2)&amp;"/"&amp;VLOOKUP(N14,IN_ANVISA[],3)</f>
        <v>IN 92/2021</v>
      </c>
      <c r="T14" s="1364" t="str">
        <f>VLOOKUP(N14,IN_ANVISA[],2)&amp;"/"&amp;VLOOKUP(N14,IN_ANVISA[],3)</f>
        <v>92/2021</v>
      </c>
      <c r="U14" s="161"/>
    </row>
    <row r="15" spans="1:22" x14ac:dyDescent="0.25">
      <c r="B15" s="1913"/>
      <c r="C15" s="1913"/>
      <c r="D15" s="1913"/>
      <c r="E15" s="1913"/>
      <c r="F15" s="1913"/>
      <c r="G15" s="1913"/>
      <c r="H15" s="1913"/>
      <c r="I15" s="1913"/>
      <c r="J15" s="1913"/>
      <c r="K15" s="1913"/>
      <c r="M15" s="115" t="str">
        <f>"IN "&amp;VLOOKUP(N15,IN_ANVISA[],2)</f>
        <v>IN 93</v>
      </c>
      <c r="N15" s="1330" t="s">
        <v>174</v>
      </c>
      <c r="O15" s="1330" t="s">
        <v>614</v>
      </c>
      <c r="P15" s="1330" t="s">
        <v>605</v>
      </c>
      <c r="Q15" s="1330" t="s">
        <v>615</v>
      </c>
      <c r="R15" s="1330" t="s">
        <v>616</v>
      </c>
      <c r="S15" s="1331" t="str">
        <f>"IN "&amp;VLOOKUP(N15,IN_ANVISA[],2)&amp;"/"&amp;VLOOKUP(N15,IN_ANVISA[],3)</f>
        <v>IN 93/2021</v>
      </c>
      <c r="T15" s="1364" t="str">
        <f>VLOOKUP(N15,IN_ANVISA[],2)&amp;"/"&amp;VLOOKUP(N15,IN_ANVISA[],3)</f>
        <v>93/2021</v>
      </c>
      <c r="U15" s="161"/>
    </row>
    <row r="16" spans="1:22" x14ac:dyDescent="0.25">
      <c r="B16" s="1913"/>
      <c r="C16" s="1913"/>
      <c r="D16" s="1913"/>
      <c r="E16" s="1913"/>
      <c r="F16" s="1913"/>
      <c r="G16" s="1913"/>
      <c r="H16" s="1913"/>
      <c r="I16" s="1913"/>
      <c r="J16" s="1913"/>
      <c r="K16" s="1913"/>
      <c r="M16" s="117" t="str">
        <f>"IN "&amp;VLOOKUP(N16,IN_ANVISA[],2)</f>
        <v>IN 94</v>
      </c>
      <c r="N16" s="118" t="s">
        <v>170</v>
      </c>
      <c r="O16" s="118" t="s">
        <v>614</v>
      </c>
      <c r="P16" s="118" t="s">
        <v>605</v>
      </c>
      <c r="Q16" s="118" t="s">
        <v>615</v>
      </c>
      <c r="R16" s="118" t="s">
        <v>616</v>
      </c>
      <c r="S16" s="1366" t="str">
        <f>"IN "&amp;VLOOKUP(N16,IN_ANVISA[],2)&amp;"/"&amp;VLOOKUP(N16,IN_ANVISA[],3)</f>
        <v>IN 94/2021</v>
      </c>
      <c r="T16" s="1367" t="str">
        <f>VLOOKUP(N16,IN_ANVISA[],2)&amp;"/"&amp;VLOOKUP(N16,IN_ANVISA[],3)</f>
        <v>94/2021</v>
      </c>
      <c r="U16" s="161"/>
    </row>
    <row r="17" spans="1:22" x14ac:dyDescent="0.25">
      <c r="B17" s="1913"/>
      <c r="C17" s="1913"/>
      <c r="D17" s="1913"/>
      <c r="E17" s="1913"/>
      <c r="F17" s="1913"/>
      <c r="G17" s="1913"/>
      <c r="H17" s="1913"/>
      <c r="I17" s="1913"/>
      <c r="J17" s="1913"/>
      <c r="K17" s="1913"/>
      <c r="U17" s="161"/>
    </row>
    <row r="18" spans="1:22" x14ac:dyDescent="0.25">
      <c r="U18" s="161"/>
    </row>
    <row r="19" spans="1:22" ht="17.25" x14ac:dyDescent="0.25">
      <c r="A19" s="162" t="s">
        <v>619</v>
      </c>
      <c r="B19" s="213" t="e">
        <f>ROUND(IF($B4="Monitor",IF(COUNTA(B13:B17)&gt;0,$G7,""),LARGE(B13:B17,1))*$C$2,0)</f>
        <v>#NUM!</v>
      </c>
      <c r="C19" s="1619" t="e">
        <f t="shared" ref="C19:K19" si="0">ROUND(IF($B4="Monitor",IF(COUNTA(C13:C17)&gt;0,$G7,""),LARGE(C13:C17,1))*$C$2,0)</f>
        <v>#NUM!</v>
      </c>
      <c r="D19" s="1619" t="e">
        <f t="shared" si="0"/>
        <v>#NUM!</v>
      </c>
      <c r="E19" s="1619" t="e">
        <f t="shared" si="0"/>
        <v>#NUM!</v>
      </c>
      <c r="F19" s="1619" t="e">
        <f t="shared" si="0"/>
        <v>#NUM!</v>
      </c>
      <c r="G19" s="1619" t="e">
        <f t="shared" si="0"/>
        <v>#NUM!</v>
      </c>
      <c r="H19" s="1619" t="e">
        <f t="shared" si="0"/>
        <v>#NUM!</v>
      </c>
      <c r="I19" s="1619" t="e">
        <f t="shared" si="0"/>
        <v>#NUM!</v>
      </c>
      <c r="J19" s="1619" t="e">
        <f t="shared" si="0"/>
        <v>#NUM!</v>
      </c>
      <c r="K19" s="1619" t="e">
        <f t="shared" si="0"/>
        <v>#NUM!</v>
      </c>
      <c r="U19" s="161"/>
    </row>
    <row r="20" spans="1:22" x14ac:dyDescent="0.25">
      <c r="A20" s="162" t="s">
        <v>620</v>
      </c>
      <c r="B20" s="1909" t="e">
        <f>ROUND(200*(MAX(B13:B17)-MIN(B13:B17))/(MAX(B13:B17)+MIN(B13:B17)),1)</f>
        <v>#DIV/0!</v>
      </c>
      <c r="C20" s="1909" t="e">
        <f t="shared" ref="C20:K20" si="1">ROUND(200*(MAX(C13:C17)-MIN(C13:C17))/(MAX(C13:C17)+MIN(C13:C17)),1)</f>
        <v>#DIV/0!</v>
      </c>
      <c r="D20" s="1909" t="e">
        <f t="shared" si="1"/>
        <v>#DIV/0!</v>
      </c>
      <c r="E20" s="1909" t="e">
        <f t="shared" si="1"/>
        <v>#DIV/0!</v>
      </c>
      <c r="F20" s="1909" t="e">
        <f t="shared" si="1"/>
        <v>#DIV/0!</v>
      </c>
      <c r="G20" s="1909" t="e">
        <f t="shared" si="1"/>
        <v>#DIV/0!</v>
      </c>
      <c r="H20" s="1909" t="e">
        <f t="shared" si="1"/>
        <v>#DIV/0!</v>
      </c>
      <c r="I20" s="1909" t="e">
        <f t="shared" si="1"/>
        <v>#DIV/0!</v>
      </c>
      <c r="J20" s="1909" t="e">
        <f t="shared" si="1"/>
        <v>#DIV/0!</v>
      </c>
      <c r="K20" s="1909" t="e">
        <f t="shared" si="1"/>
        <v>#DIV/0!</v>
      </c>
      <c r="U20" s="161"/>
    </row>
    <row r="21" spans="1:22" x14ac:dyDescent="0.25">
      <c r="B21" s="1909"/>
      <c r="C21" s="1909"/>
      <c r="D21" s="1909"/>
      <c r="E21" s="1909"/>
      <c r="F21" s="1909"/>
      <c r="G21" s="1909"/>
      <c r="H21" s="1909"/>
      <c r="I21" s="1909"/>
      <c r="J21" s="1909"/>
      <c r="K21" s="1909"/>
      <c r="U21" s="161"/>
    </row>
    <row r="22" spans="1:22" x14ac:dyDescent="0.25">
      <c r="U22" s="161"/>
    </row>
    <row r="23" spans="1:22" x14ac:dyDescent="0.25">
      <c r="U23" s="161"/>
      <c r="V23" s="159">
        <f>B24</f>
        <v>0</v>
      </c>
    </row>
    <row r="24" spans="1:22" x14ac:dyDescent="0.25">
      <c r="A24" s="160" t="s">
        <v>617</v>
      </c>
      <c r="B24" s="694"/>
      <c r="C24" s="13"/>
      <c r="D24" s="13"/>
      <c r="E24" s="13"/>
      <c r="F24" s="13"/>
      <c r="G24" s="160"/>
      <c r="H24" s="160"/>
      <c r="I24" s="160"/>
      <c r="J24" s="2044" t="s">
        <v>2324</v>
      </c>
      <c r="K24" s="2046" t="s">
        <v>2329</v>
      </c>
      <c r="U24" s="161"/>
    </row>
    <row r="25" spans="1:22" x14ac:dyDescent="0.25">
      <c r="A25" s="160" t="s">
        <v>621</v>
      </c>
      <c r="B25" s="3060"/>
      <c r="C25" s="3060"/>
      <c r="D25" s="3060"/>
      <c r="E25" s="3060"/>
      <c r="F25" s="160"/>
      <c r="G25" s="1907" t="s">
        <v>1999</v>
      </c>
      <c r="H25" s="160"/>
      <c r="I25" s="160"/>
      <c r="J25" s="2044" t="s">
        <v>2323</v>
      </c>
      <c r="K25" s="2046" t="s">
        <v>2329</v>
      </c>
      <c r="U25" s="161"/>
    </row>
    <row r="26" spans="1:22" x14ac:dyDescent="0.25">
      <c r="A26" s="1059" t="s">
        <v>1325</v>
      </c>
      <c r="B26" s="1217"/>
      <c r="C26" s="160" t="s">
        <v>622</v>
      </c>
      <c r="D26" s="160"/>
      <c r="E26" s="160"/>
      <c r="F26" s="160"/>
      <c r="G26" s="1217"/>
      <c r="H26" s="1075" t="s">
        <v>1327</v>
      </c>
      <c r="I26" s="160"/>
      <c r="J26" s="160"/>
      <c r="K26" s="160"/>
    </row>
    <row r="27" spans="1:22" x14ac:dyDescent="0.25">
      <c r="A27" s="160" t="s">
        <v>623</v>
      </c>
      <c r="B27" s="3060">
        <v>2</v>
      </c>
      <c r="C27" s="3060"/>
      <c r="D27" s="3060"/>
      <c r="E27" s="3060"/>
      <c r="F27" s="160"/>
      <c r="G27" s="1217"/>
      <c r="H27" s="1075" t="s">
        <v>1328</v>
      </c>
      <c r="I27" s="160"/>
      <c r="J27" s="160"/>
      <c r="K27" s="160"/>
    </row>
    <row r="28" spans="1:22" x14ac:dyDescent="0.25">
      <c r="A28" s="160" t="s">
        <v>119</v>
      </c>
      <c r="B28" s="3060"/>
      <c r="C28" s="3060"/>
      <c r="D28" s="3060"/>
      <c r="E28" s="3060"/>
      <c r="F28" s="160"/>
      <c r="G28" s="1056" t="e">
        <f>G27/G26</f>
        <v>#DIV/0!</v>
      </c>
      <c r="H28" s="1075" t="s">
        <v>1329</v>
      </c>
      <c r="I28" s="160"/>
      <c r="J28" s="160"/>
      <c r="K28" s="160"/>
    </row>
    <row r="29" spans="1:22" x14ac:dyDescent="0.25">
      <c r="A29" s="160" t="s">
        <v>121</v>
      </c>
      <c r="B29" s="3060"/>
      <c r="C29" s="3060"/>
      <c r="D29" s="3060"/>
      <c r="E29" s="3060"/>
      <c r="F29" s="160"/>
      <c r="G29" s="1056" t="e">
        <f>(G27+B26)/(G26+B26)</f>
        <v>#DIV/0!</v>
      </c>
      <c r="H29" s="1075" t="s">
        <v>1330</v>
      </c>
      <c r="I29" s="160"/>
      <c r="J29" s="160"/>
      <c r="K29" s="160"/>
    </row>
    <row r="30" spans="1:22" x14ac:dyDescent="0.25">
      <c r="A30" s="160" t="s">
        <v>624</v>
      </c>
      <c r="B30" s="3060"/>
      <c r="C30" s="3060"/>
      <c r="D30" s="3060"/>
      <c r="E30" s="3060"/>
      <c r="F30" s="160"/>
      <c r="G30" s="160"/>
      <c r="H30" s="160"/>
      <c r="I30" s="160"/>
      <c r="J30" s="160"/>
      <c r="K30" s="160"/>
    </row>
    <row r="31" spans="1:22" x14ac:dyDescent="0.25">
      <c r="A31" s="162" t="s">
        <v>618</v>
      </c>
      <c r="B31" s="162">
        <v>1</v>
      </c>
      <c r="C31" s="162">
        <v>2</v>
      </c>
      <c r="D31" s="162">
        <v>3</v>
      </c>
      <c r="E31" s="162">
        <v>4</v>
      </c>
      <c r="F31" s="162">
        <v>5</v>
      </c>
      <c r="G31" s="162">
        <v>6</v>
      </c>
      <c r="H31" s="162">
        <v>7</v>
      </c>
      <c r="I31" s="162">
        <v>8</v>
      </c>
      <c r="J31" s="162">
        <v>9</v>
      </c>
      <c r="K31" s="162">
        <v>10</v>
      </c>
      <c r="V31" s="159">
        <f>B24</f>
        <v>0</v>
      </c>
    </row>
    <row r="32" spans="1:22" x14ac:dyDescent="0.25">
      <c r="A32" s="160"/>
      <c r="B32" s="160" t="s">
        <v>98</v>
      </c>
      <c r="C32" s="160" t="s">
        <v>98</v>
      </c>
      <c r="D32" s="160" t="s">
        <v>98</v>
      </c>
      <c r="E32" s="160" t="s">
        <v>98</v>
      </c>
      <c r="F32" s="160" t="s">
        <v>98</v>
      </c>
      <c r="G32" s="160" t="s">
        <v>98</v>
      </c>
      <c r="H32" s="160" t="s">
        <v>98</v>
      </c>
      <c r="I32" s="160" t="s">
        <v>98</v>
      </c>
      <c r="J32" s="160" t="s">
        <v>98</v>
      </c>
      <c r="K32" s="160" t="s">
        <v>98</v>
      </c>
    </row>
    <row r="33" spans="1:22" x14ac:dyDescent="0.25">
      <c r="A33" s="160"/>
      <c r="B33" s="1217"/>
      <c r="C33" s="1217"/>
      <c r="D33" s="1217"/>
      <c r="E33" s="1217"/>
      <c r="F33" s="1217"/>
      <c r="G33" s="1217"/>
      <c r="H33" s="1217"/>
      <c r="I33" s="1217"/>
      <c r="J33" s="1217"/>
      <c r="K33" s="1217"/>
    </row>
    <row r="34" spans="1:22" x14ac:dyDescent="0.25">
      <c r="A34" s="160"/>
      <c r="B34" s="1217"/>
      <c r="C34" s="1217"/>
      <c r="D34" s="1217"/>
      <c r="E34" s="1217"/>
      <c r="F34" s="1217"/>
      <c r="G34" s="1217"/>
      <c r="H34" s="1217"/>
      <c r="I34" s="1217"/>
      <c r="J34" s="1217"/>
      <c r="K34" s="1217"/>
    </row>
    <row r="35" spans="1:22" x14ac:dyDescent="0.25">
      <c r="A35" s="160"/>
      <c r="B35" s="1217"/>
      <c r="C35" s="1217"/>
      <c r="D35" s="1217"/>
      <c r="E35" s="1217"/>
      <c r="F35" s="1217"/>
      <c r="G35" s="1217"/>
      <c r="H35" s="1217"/>
      <c r="I35" s="1217"/>
      <c r="J35" s="1217"/>
      <c r="K35" s="1217"/>
    </row>
    <row r="36" spans="1:22" x14ac:dyDescent="0.25">
      <c r="A36" s="160"/>
      <c r="B36" s="1217"/>
      <c r="C36" s="1217"/>
      <c r="D36" s="1217"/>
      <c r="E36" s="1217"/>
      <c r="F36" s="1217"/>
      <c r="G36" s="1217"/>
      <c r="H36" s="1217"/>
      <c r="I36" s="1217"/>
      <c r="J36" s="1217"/>
      <c r="K36" s="1217"/>
    </row>
    <row r="37" spans="1:22" x14ac:dyDescent="0.25">
      <c r="A37" s="160"/>
      <c r="B37" s="1217"/>
      <c r="C37" s="1217"/>
      <c r="D37" s="1217"/>
      <c r="E37" s="1217"/>
      <c r="F37" s="1217"/>
      <c r="G37" s="1217"/>
      <c r="H37" s="1217"/>
      <c r="I37" s="1217"/>
      <c r="J37" s="1217"/>
      <c r="K37" s="1217"/>
    </row>
    <row r="38" spans="1:22" x14ac:dyDescent="0.25">
      <c r="A38" s="160"/>
      <c r="B38" s="160"/>
      <c r="C38" s="160"/>
      <c r="D38" s="160"/>
      <c r="E38" s="160"/>
      <c r="F38" s="160"/>
      <c r="G38" s="160"/>
      <c r="H38" s="160"/>
      <c r="I38" s="160"/>
      <c r="J38" s="160"/>
      <c r="K38" s="160"/>
    </row>
    <row r="39" spans="1:22" ht="17.25" x14ac:dyDescent="0.25">
      <c r="A39" s="162" t="s">
        <v>619</v>
      </c>
      <c r="B39" s="1619" t="e">
        <f>ROUND(IF($B24="Monitor",IF(COUNTA(B33:B37)&gt;0,$G27,""),LARGE(B33:B37,1))*$C$2,0)</f>
        <v>#NUM!</v>
      </c>
      <c r="C39" s="1619" t="e">
        <f t="shared" ref="C39:K39" si="2">ROUND(IF($B24="Monitor",IF(COUNTA(C33:C37)&gt;0,$G27,""),LARGE(C33:C37,1))*$C$2,0)</f>
        <v>#NUM!</v>
      </c>
      <c r="D39" s="1619" t="e">
        <f t="shared" si="2"/>
        <v>#NUM!</v>
      </c>
      <c r="E39" s="1619" t="e">
        <f t="shared" si="2"/>
        <v>#NUM!</v>
      </c>
      <c r="F39" s="1619" t="e">
        <f t="shared" si="2"/>
        <v>#NUM!</v>
      </c>
      <c r="G39" s="1619" t="e">
        <f t="shared" si="2"/>
        <v>#NUM!</v>
      </c>
      <c r="H39" s="1619" t="e">
        <f t="shared" si="2"/>
        <v>#NUM!</v>
      </c>
      <c r="I39" s="1619" t="e">
        <f t="shared" si="2"/>
        <v>#NUM!</v>
      </c>
      <c r="J39" s="1619" t="e">
        <f t="shared" si="2"/>
        <v>#NUM!</v>
      </c>
      <c r="K39" s="1619" t="e">
        <f t="shared" si="2"/>
        <v>#NUM!</v>
      </c>
    </row>
    <row r="40" spans="1:22" x14ac:dyDescent="0.25">
      <c r="A40" s="162" t="s">
        <v>620</v>
      </c>
      <c r="B40" s="1909" t="e">
        <f>ROUND(200*(MAX(B33:B37)-MIN(B33:B37))/(MAX(B33:B37)+MIN(B33:B37)),1)</f>
        <v>#DIV/0!</v>
      </c>
      <c r="C40" s="1909" t="e">
        <f t="shared" ref="C40:K40" si="3">ROUND(200*(MAX(C33:C37)-MIN(C33:C37))/(MAX(C33:C37)+MIN(C33:C37)),1)</f>
        <v>#DIV/0!</v>
      </c>
      <c r="D40" s="1909" t="e">
        <f t="shared" si="3"/>
        <v>#DIV/0!</v>
      </c>
      <c r="E40" s="1909" t="e">
        <f t="shared" si="3"/>
        <v>#DIV/0!</v>
      </c>
      <c r="F40" s="1909" t="e">
        <f t="shared" si="3"/>
        <v>#DIV/0!</v>
      </c>
      <c r="G40" s="1909" t="e">
        <f t="shared" si="3"/>
        <v>#DIV/0!</v>
      </c>
      <c r="H40" s="1909" t="e">
        <f t="shared" si="3"/>
        <v>#DIV/0!</v>
      </c>
      <c r="I40" s="1909" t="e">
        <f t="shared" si="3"/>
        <v>#DIV/0!</v>
      </c>
      <c r="J40" s="1909" t="e">
        <f t="shared" si="3"/>
        <v>#DIV/0!</v>
      </c>
      <c r="K40" s="1909" t="e">
        <f t="shared" si="3"/>
        <v>#DIV/0!</v>
      </c>
    </row>
    <row r="44" spans="1:22" x14ac:dyDescent="0.25">
      <c r="A44" s="160" t="s">
        <v>617</v>
      </c>
      <c r="B44" s="694"/>
      <c r="C44" s="3061"/>
      <c r="D44" s="3061"/>
      <c r="E44" s="3061"/>
      <c r="F44" s="3061"/>
      <c r="G44" s="160"/>
      <c r="H44" s="160"/>
      <c r="I44" s="160"/>
      <c r="J44" s="2044" t="s">
        <v>2324</v>
      </c>
      <c r="K44" s="2046" t="s">
        <v>2329</v>
      </c>
    </row>
    <row r="45" spans="1:22" x14ac:dyDescent="0.25">
      <c r="A45" s="160" t="s">
        <v>621</v>
      </c>
      <c r="B45" s="3060"/>
      <c r="C45" s="3060"/>
      <c r="D45" s="3060"/>
      <c r="E45" s="3060"/>
      <c r="F45" s="160"/>
      <c r="G45" s="1907" t="s">
        <v>1999</v>
      </c>
      <c r="H45" s="160"/>
      <c r="I45" s="160"/>
      <c r="J45" s="2044" t="s">
        <v>2323</v>
      </c>
      <c r="K45" s="2046" t="s">
        <v>2329</v>
      </c>
      <c r="V45" s="159">
        <f>B44</f>
        <v>0</v>
      </c>
    </row>
    <row r="46" spans="1:22" x14ac:dyDescent="0.25">
      <c r="A46" s="1059" t="s">
        <v>1325</v>
      </c>
      <c r="B46" s="1217"/>
      <c r="C46" s="160" t="s">
        <v>622</v>
      </c>
      <c r="D46" s="160"/>
      <c r="E46" s="160"/>
      <c r="F46" s="160"/>
      <c r="G46" s="1217"/>
      <c r="H46" s="1075" t="s">
        <v>1327</v>
      </c>
      <c r="I46" s="160"/>
      <c r="J46" s="160"/>
      <c r="K46" s="160"/>
    </row>
    <row r="47" spans="1:22" x14ac:dyDescent="0.25">
      <c r="A47" s="160" t="s">
        <v>623</v>
      </c>
      <c r="B47" s="3060">
        <v>3</v>
      </c>
      <c r="C47" s="3060"/>
      <c r="D47" s="3060"/>
      <c r="E47" s="3060"/>
      <c r="F47" s="160"/>
      <c r="G47" s="1217"/>
      <c r="H47" s="1075" t="s">
        <v>1328</v>
      </c>
      <c r="I47" s="160"/>
      <c r="J47" s="160"/>
      <c r="K47" s="160"/>
    </row>
    <row r="48" spans="1:22" x14ac:dyDescent="0.25">
      <c r="A48" s="160" t="s">
        <v>119</v>
      </c>
      <c r="B48" s="3060"/>
      <c r="C48" s="3060"/>
      <c r="D48" s="3060"/>
      <c r="E48" s="3060"/>
      <c r="F48" s="160"/>
      <c r="G48" s="1056" t="e">
        <f>G47/G46</f>
        <v>#DIV/0!</v>
      </c>
      <c r="H48" s="1075" t="s">
        <v>1329</v>
      </c>
      <c r="I48" s="160"/>
      <c r="J48" s="160"/>
      <c r="K48" s="160"/>
    </row>
    <row r="49" spans="1:11" x14ac:dyDescent="0.25">
      <c r="A49" s="160" t="s">
        <v>121</v>
      </c>
      <c r="B49" s="3060"/>
      <c r="C49" s="3060"/>
      <c r="D49" s="3060"/>
      <c r="E49" s="3060"/>
      <c r="F49" s="160"/>
      <c r="G49" s="1056" t="e">
        <f>(G47+B46)/(G46+B46)</f>
        <v>#DIV/0!</v>
      </c>
      <c r="H49" s="1075" t="s">
        <v>1330</v>
      </c>
      <c r="I49" s="160"/>
      <c r="J49" s="160"/>
      <c r="K49" s="160"/>
    </row>
    <row r="50" spans="1:11" x14ac:dyDescent="0.25">
      <c r="A50" s="160" t="s">
        <v>624</v>
      </c>
      <c r="B50" s="3060"/>
      <c r="C50" s="3060"/>
      <c r="D50" s="3060"/>
      <c r="E50" s="3060"/>
      <c r="F50" s="160"/>
      <c r="G50" s="160"/>
      <c r="H50" s="160"/>
      <c r="I50" s="160"/>
      <c r="J50" s="160"/>
      <c r="K50" s="160"/>
    </row>
    <row r="51" spans="1:11" x14ac:dyDescent="0.25">
      <c r="A51" s="162" t="s">
        <v>618</v>
      </c>
      <c r="B51" s="162">
        <v>1</v>
      </c>
      <c r="C51" s="162">
        <v>2</v>
      </c>
      <c r="D51" s="162">
        <v>3</v>
      </c>
      <c r="E51" s="162">
        <v>4</v>
      </c>
      <c r="F51" s="162">
        <v>5</v>
      </c>
      <c r="G51" s="162">
        <v>6</v>
      </c>
      <c r="H51" s="162">
        <v>7</v>
      </c>
      <c r="I51" s="162">
        <v>8</v>
      </c>
      <c r="J51" s="162">
        <v>9</v>
      </c>
      <c r="K51" s="162">
        <v>10</v>
      </c>
    </row>
    <row r="52" spans="1:11" x14ac:dyDescent="0.25">
      <c r="A52" s="160"/>
      <c r="B52" s="160" t="s">
        <v>98</v>
      </c>
      <c r="C52" s="160" t="s">
        <v>98</v>
      </c>
      <c r="D52" s="160" t="s">
        <v>98</v>
      </c>
      <c r="E52" s="160" t="s">
        <v>98</v>
      </c>
      <c r="F52" s="160" t="s">
        <v>98</v>
      </c>
      <c r="G52" s="160" t="s">
        <v>98</v>
      </c>
      <c r="H52" s="160" t="s">
        <v>98</v>
      </c>
      <c r="I52" s="160" t="s">
        <v>98</v>
      </c>
      <c r="J52" s="160" t="s">
        <v>98</v>
      </c>
      <c r="K52" s="160" t="s">
        <v>98</v>
      </c>
    </row>
    <row r="53" spans="1:11" x14ac:dyDescent="0.25">
      <c r="A53" s="160"/>
      <c r="B53" s="1217"/>
      <c r="C53" s="1217"/>
      <c r="D53" s="1217"/>
      <c r="E53" s="1217"/>
      <c r="F53" s="1217"/>
      <c r="G53" s="1217"/>
      <c r="H53" s="1217"/>
      <c r="I53" s="1217"/>
      <c r="J53" s="1217"/>
      <c r="K53" s="1217"/>
    </row>
    <row r="54" spans="1:11" x14ac:dyDescent="0.25">
      <c r="A54" s="160"/>
      <c r="B54" s="1217"/>
      <c r="C54" s="1217"/>
      <c r="D54" s="1217"/>
      <c r="E54" s="1217"/>
      <c r="F54" s="1217"/>
      <c r="G54" s="1217"/>
      <c r="H54" s="1217"/>
      <c r="I54" s="1217"/>
      <c r="J54" s="1217"/>
      <c r="K54" s="1217"/>
    </row>
    <row r="55" spans="1:11" x14ac:dyDescent="0.25">
      <c r="A55" s="160"/>
      <c r="B55" s="1217"/>
      <c r="C55" s="1217"/>
      <c r="D55" s="1217"/>
      <c r="E55" s="1217"/>
      <c r="F55" s="1217"/>
      <c r="G55" s="1217"/>
      <c r="H55" s="1217"/>
      <c r="I55" s="1217"/>
      <c r="J55" s="1217"/>
      <c r="K55" s="1217"/>
    </row>
    <row r="56" spans="1:11" x14ac:dyDescent="0.25">
      <c r="A56" s="160"/>
      <c r="B56" s="1217"/>
      <c r="C56" s="1217"/>
      <c r="D56" s="1217"/>
      <c r="E56" s="1217"/>
      <c r="F56" s="1217"/>
      <c r="G56" s="1217"/>
      <c r="H56" s="1217"/>
      <c r="I56" s="1217"/>
      <c r="J56" s="1217"/>
      <c r="K56" s="1217"/>
    </row>
    <row r="57" spans="1:11" x14ac:dyDescent="0.25">
      <c r="A57" s="160"/>
      <c r="B57" s="1217"/>
      <c r="C57" s="1217"/>
      <c r="D57" s="1217"/>
      <c r="E57" s="1217"/>
      <c r="F57" s="1217"/>
      <c r="G57" s="1217"/>
      <c r="H57" s="1217"/>
      <c r="I57" s="1217"/>
      <c r="J57" s="1217"/>
      <c r="K57" s="1217"/>
    </row>
    <row r="58" spans="1:11" x14ac:dyDescent="0.25">
      <c r="A58" s="160"/>
      <c r="B58" s="160"/>
      <c r="C58" s="160"/>
      <c r="D58" s="160"/>
      <c r="E58" s="160"/>
      <c r="F58" s="160"/>
      <c r="G58" s="160"/>
      <c r="H58" s="160"/>
      <c r="I58" s="160"/>
      <c r="J58" s="160"/>
      <c r="K58" s="160"/>
    </row>
    <row r="59" spans="1:11" ht="17.25" x14ac:dyDescent="0.25">
      <c r="A59" s="162" t="s">
        <v>619</v>
      </c>
      <c r="B59" s="1619" t="e">
        <f>ROUND(IF($B44="Monitor",IF(COUNTA(B53:B57)&gt;0,$G47,""),LARGE(B53:B57,1))*$C$2,0)</f>
        <v>#NUM!</v>
      </c>
      <c r="C59" s="1619" t="e">
        <f t="shared" ref="C59:K59" si="4">ROUND(IF($B44="Monitor",IF(COUNTA(C53:C57)&gt;0,$G47,""),LARGE(C53:C57,1))*$C$2,0)</f>
        <v>#NUM!</v>
      </c>
      <c r="D59" s="1619" t="e">
        <f t="shared" si="4"/>
        <v>#NUM!</v>
      </c>
      <c r="E59" s="1619" t="e">
        <f t="shared" si="4"/>
        <v>#NUM!</v>
      </c>
      <c r="F59" s="1619" t="e">
        <f t="shared" si="4"/>
        <v>#NUM!</v>
      </c>
      <c r="G59" s="1619" t="e">
        <f t="shared" si="4"/>
        <v>#NUM!</v>
      </c>
      <c r="H59" s="1619" t="e">
        <f t="shared" si="4"/>
        <v>#NUM!</v>
      </c>
      <c r="I59" s="1619" t="e">
        <f t="shared" si="4"/>
        <v>#NUM!</v>
      </c>
      <c r="J59" s="1619" t="e">
        <f t="shared" si="4"/>
        <v>#NUM!</v>
      </c>
      <c r="K59" s="1619" t="e">
        <f t="shared" si="4"/>
        <v>#NUM!</v>
      </c>
    </row>
    <row r="60" spans="1:11" x14ac:dyDescent="0.25">
      <c r="A60" s="162" t="s">
        <v>620</v>
      </c>
      <c r="B60" s="1909" t="e">
        <f>ROUND(200*(MAX(B53:B57)-MIN(B53:B57))/(MAX(B53:B57)+MIN(B53:B57)),1)</f>
        <v>#DIV/0!</v>
      </c>
      <c r="C60" s="1909" t="e">
        <f t="shared" ref="C60:K60" si="5">ROUND(200*(MAX(C53:C57)-MIN(C53:C57))/(MAX(C53:C57)+MIN(C53:C57)),1)</f>
        <v>#DIV/0!</v>
      </c>
      <c r="D60" s="1909" t="e">
        <f t="shared" si="5"/>
        <v>#DIV/0!</v>
      </c>
      <c r="E60" s="1909" t="e">
        <f t="shared" si="5"/>
        <v>#DIV/0!</v>
      </c>
      <c r="F60" s="1909" t="e">
        <f t="shared" si="5"/>
        <v>#DIV/0!</v>
      </c>
      <c r="G60" s="1909" t="e">
        <f t="shared" si="5"/>
        <v>#DIV/0!</v>
      </c>
      <c r="H60" s="1909" t="e">
        <f t="shared" si="5"/>
        <v>#DIV/0!</v>
      </c>
      <c r="I60" s="1909" t="e">
        <f t="shared" si="5"/>
        <v>#DIV/0!</v>
      </c>
      <c r="J60" s="1909" t="e">
        <f t="shared" si="5"/>
        <v>#DIV/0!</v>
      </c>
      <c r="K60" s="1909" t="e">
        <f t="shared" si="5"/>
        <v>#DIV/0!</v>
      </c>
    </row>
    <row r="64" spans="1:11" x14ac:dyDescent="0.25">
      <c r="A64" s="160" t="s">
        <v>617</v>
      </c>
      <c r="B64" s="694"/>
      <c r="C64" s="3061"/>
      <c r="D64" s="3061"/>
      <c r="E64" s="3061"/>
      <c r="F64" s="3061"/>
      <c r="G64" s="160"/>
      <c r="H64" s="160"/>
      <c r="I64" s="160"/>
      <c r="J64" s="2044" t="s">
        <v>2324</v>
      </c>
      <c r="K64" s="2046" t="s">
        <v>2329</v>
      </c>
    </row>
    <row r="65" spans="1:22" x14ac:dyDescent="0.25">
      <c r="A65" s="160" t="s">
        <v>621</v>
      </c>
      <c r="B65" s="3060"/>
      <c r="C65" s="3060"/>
      <c r="D65" s="3060"/>
      <c r="E65" s="3060"/>
      <c r="F65" s="160"/>
      <c r="G65" s="1907" t="s">
        <v>1999</v>
      </c>
      <c r="H65" s="160"/>
      <c r="I65" s="160"/>
      <c r="J65" s="2044" t="s">
        <v>2323</v>
      </c>
      <c r="K65" s="2046" t="s">
        <v>2329</v>
      </c>
      <c r="V65" s="159">
        <f>B64</f>
        <v>0</v>
      </c>
    </row>
    <row r="66" spans="1:22" x14ac:dyDescent="0.25">
      <c r="A66" s="1059" t="s">
        <v>1325</v>
      </c>
      <c r="B66" s="1217"/>
      <c r="C66" s="160" t="s">
        <v>622</v>
      </c>
      <c r="D66" s="160"/>
      <c r="E66" s="160"/>
      <c r="F66" s="160"/>
      <c r="G66" s="1217"/>
      <c r="H66" s="1075" t="s">
        <v>1327</v>
      </c>
      <c r="I66" s="160"/>
      <c r="J66" s="160"/>
      <c r="K66" s="160"/>
    </row>
    <row r="67" spans="1:22" x14ac:dyDescent="0.25">
      <c r="A67" s="160" t="s">
        <v>623</v>
      </c>
      <c r="B67" s="3060">
        <v>4</v>
      </c>
      <c r="C67" s="3060"/>
      <c r="D67" s="3060"/>
      <c r="E67" s="3060"/>
      <c r="F67" s="160"/>
      <c r="G67" s="1217"/>
      <c r="H67" s="1075" t="s">
        <v>1328</v>
      </c>
      <c r="I67" s="160"/>
      <c r="J67" s="160"/>
      <c r="K67" s="160"/>
    </row>
    <row r="68" spans="1:22" x14ac:dyDescent="0.25">
      <c r="A68" s="160" t="s">
        <v>119</v>
      </c>
      <c r="B68" s="3060"/>
      <c r="C68" s="3060"/>
      <c r="D68" s="3060"/>
      <c r="E68" s="3060"/>
      <c r="F68" s="160"/>
      <c r="G68" s="1056" t="e">
        <f>G67/G66</f>
        <v>#DIV/0!</v>
      </c>
      <c r="H68" s="1075" t="s">
        <v>1329</v>
      </c>
      <c r="I68" s="160"/>
      <c r="J68" s="160"/>
      <c r="K68" s="160"/>
    </row>
    <row r="69" spans="1:22" x14ac:dyDescent="0.25">
      <c r="A69" s="160" t="s">
        <v>121</v>
      </c>
      <c r="B69" s="3060"/>
      <c r="C69" s="3060"/>
      <c r="D69" s="3060"/>
      <c r="E69" s="3060"/>
      <c r="F69" s="160"/>
      <c r="G69" s="1056" t="e">
        <f>(G67+B66)/(G66+B66)</f>
        <v>#DIV/0!</v>
      </c>
      <c r="H69" s="1075" t="s">
        <v>1330</v>
      </c>
      <c r="I69" s="160"/>
      <c r="J69" s="160"/>
      <c r="K69" s="160"/>
    </row>
    <row r="70" spans="1:22" x14ac:dyDescent="0.25">
      <c r="A70" s="160" t="s">
        <v>624</v>
      </c>
      <c r="B70" s="3060"/>
      <c r="C70" s="3060"/>
      <c r="D70" s="3060"/>
      <c r="E70" s="3060"/>
      <c r="F70" s="160"/>
      <c r="G70" s="160"/>
      <c r="H70" s="160"/>
      <c r="I70" s="160"/>
      <c r="J70" s="160"/>
      <c r="K70" s="160"/>
    </row>
    <row r="71" spans="1:22" x14ac:dyDescent="0.25">
      <c r="A71" s="162" t="s">
        <v>618</v>
      </c>
      <c r="B71" s="162">
        <v>1</v>
      </c>
      <c r="C71" s="162">
        <v>2</v>
      </c>
      <c r="D71" s="162">
        <v>3</v>
      </c>
      <c r="E71" s="162">
        <v>4</v>
      </c>
      <c r="F71" s="162">
        <v>5</v>
      </c>
      <c r="G71" s="162">
        <v>6</v>
      </c>
      <c r="H71" s="162">
        <v>7</v>
      </c>
      <c r="I71" s="162">
        <v>8</v>
      </c>
      <c r="J71" s="162">
        <v>9</v>
      </c>
      <c r="K71" s="162">
        <v>10</v>
      </c>
    </row>
    <row r="72" spans="1:22" x14ac:dyDescent="0.25">
      <c r="A72" s="160"/>
      <c r="B72" s="160" t="s">
        <v>98</v>
      </c>
      <c r="C72" s="160" t="s">
        <v>98</v>
      </c>
      <c r="D72" s="160" t="s">
        <v>98</v>
      </c>
      <c r="E72" s="160" t="s">
        <v>98</v>
      </c>
      <c r="F72" s="160" t="s">
        <v>98</v>
      </c>
      <c r="G72" s="160" t="s">
        <v>98</v>
      </c>
      <c r="H72" s="160" t="s">
        <v>98</v>
      </c>
      <c r="I72" s="160" t="s">
        <v>98</v>
      </c>
      <c r="J72" s="160" t="s">
        <v>98</v>
      </c>
      <c r="K72" s="160" t="s">
        <v>98</v>
      </c>
    </row>
    <row r="73" spans="1:22" x14ac:dyDescent="0.25">
      <c r="A73" s="160"/>
      <c r="B73" s="1217"/>
      <c r="C73" s="1217"/>
      <c r="D73" s="1217"/>
      <c r="E73" s="1217"/>
      <c r="F73" s="1217"/>
      <c r="G73" s="1217"/>
      <c r="H73" s="1217"/>
      <c r="I73" s="1217"/>
      <c r="J73" s="1217"/>
      <c r="K73" s="1217"/>
    </row>
    <row r="74" spans="1:22" x14ac:dyDescent="0.25">
      <c r="A74" s="160"/>
      <c r="B74" s="1217"/>
      <c r="C74" s="1217"/>
      <c r="D74" s="1217"/>
      <c r="E74" s="1217"/>
      <c r="F74" s="1217"/>
      <c r="G74" s="1217"/>
      <c r="H74" s="1217"/>
      <c r="I74" s="1217"/>
      <c r="J74" s="1217"/>
      <c r="K74" s="1217"/>
    </row>
    <row r="75" spans="1:22" x14ac:dyDescent="0.25">
      <c r="A75" s="160"/>
      <c r="B75" s="1217"/>
      <c r="C75" s="1217"/>
      <c r="D75" s="1217"/>
      <c r="E75" s="1217"/>
      <c r="F75" s="1217"/>
      <c r="G75" s="1217"/>
      <c r="H75" s="1217"/>
      <c r="I75" s="1217"/>
      <c r="J75" s="1217"/>
      <c r="K75" s="1217"/>
    </row>
    <row r="76" spans="1:22" x14ac:dyDescent="0.25">
      <c r="A76" s="160"/>
      <c r="B76" s="1217"/>
      <c r="C76" s="1217"/>
      <c r="D76" s="1217"/>
      <c r="E76" s="1217"/>
      <c r="F76" s="1217"/>
      <c r="G76" s="1217"/>
      <c r="H76" s="1217"/>
      <c r="I76" s="1217"/>
      <c r="J76" s="1217"/>
      <c r="K76" s="1217"/>
    </row>
    <row r="77" spans="1:22" x14ac:dyDescent="0.25">
      <c r="A77" s="160"/>
      <c r="B77" s="1217"/>
      <c r="C77" s="1217"/>
      <c r="D77" s="1217"/>
      <c r="E77" s="1217"/>
      <c r="F77" s="1217"/>
      <c r="G77" s="1217"/>
      <c r="H77" s="1217"/>
      <c r="I77" s="1217"/>
      <c r="J77" s="1217"/>
      <c r="K77" s="1217"/>
    </row>
    <row r="78" spans="1:22" x14ac:dyDescent="0.25">
      <c r="A78" s="160"/>
      <c r="B78" s="160"/>
      <c r="C78" s="160"/>
      <c r="D78" s="160"/>
      <c r="E78" s="160"/>
      <c r="F78" s="160"/>
      <c r="G78" s="160"/>
      <c r="H78" s="160"/>
      <c r="I78" s="160"/>
      <c r="J78" s="160"/>
      <c r="K78" s="160"/>
    </row>
    <row r="79" spans="1:22" ht="17.25" x14ac:dyDescent="0.25">
      <c r="A79" s="162" t="s">
        <v>619</v>
      </c>
      <c r="B79" s="1619" t="e">
        <f>ROUND(IF($B64="Monitor",IF(COUNTA(B73:B77)&gt;0,$G67,""),LARGE(B73:B77,1))*$C$2,0)</f>
        <v>#NUM!</v>
      </c>
      <c r="C79" s="1619" t="e">
        <f t="shared" ref="C79:K79" si="6">ROUND(IF($B64="Monitor",IF(COUNTA(C73:C77)&gt;0,$G67,""),LARGE(C73:C77,1))*$C$2,0)</f>
        <v>#NUM!</v>
      </c>
      <c r="D79" s="1619" t="e">
        <f t="shared" si="6"/>
        <v>#NUM!</v>
      </c>
      <c r="E79" s="1619" t="e">
        <f t="shared" si="6"/>
        <v>#NUM!</v>
      </c>
      <c r="F79" s="1619" t="e">
        <f t="shared" si="6"/>
        <v>#NUM!</v>
      </c>
      <c r="G79" s="1619" t="e">
        <f t="shared" si="6"/>
        <v>#NUM!</v>
      </c>
      <c r="H79" s="1619" t="e">
        <f t="shared" si="6"/>
        <v>#NUM!</v>
      </c>
      <c r="I79" s="1619" t="e">
        <f t="shared" si="6"/>
        <v>#NUM!</v>
      </c>
      <c r="J79" s="1619" t="e">
        <f t="shared" si="6"/>
        <v>#NUM!</v>
      </c>
      <c r="K79" s="1619" t="e">
        <f t="shared" si="6"/>
        <v>#NUM!</v>
      </c>
    </row>
    <row r="80" spans="1:22" x14ac:dyDescent="0.25">
      <c r="A80" s="162" t="s">
        <v>620</v>
      </c>
      <c r="B80" s="1909" t="e">
        <f>ROUND(200*(MAX(B73:B77)-MIN(B73:B77))/(MAX(B73:B77)+MIN(B73:B77)),1)</f>
        <v>#DIV/0!</v>
      </c>
      <c r="C80" s="1909" t="e">
        <f t="shared" ref="C80:K80" si="7">ROUND(200*(MAX(C73:C77)-MIN(C73:C77))/(MAX(C73:C77)+MIN(C73:C77)),1)</f>
        <v>#DIV/0!</v>
      </c>
      <c r="D80" s="1909" t="e">
        <f t="shared" si="7"/>
        <v>#DIV/0!</v>
      </c>
      <c r="E80" s="1909" t="e">
        <f t="shared" si="7"/>
        <v>#DIV/0!</v>
      </c>
      <c r="F80" s="1909" t="e">
        <f t="shared" si="7"/>
        <v>#DIV/0!</v>
      </c>
      <c r="G80" s="1909" t="e">
        <f t="shared" si="7"/>
        <v>#DIV/0!</v>
      </c>
      <c r="H80" s="1909" t="e">
        <f t="shared" si="7"/>
        <v>#DIV/0!</v>
      </c>
      <c r="I80" s="1909" t="e">
        <f t="shared" si="7"/>
        <v>#DIV/0!</v>
      </c>
      <c r="J80" s="1909" t="e">
        <f t="shared" si="7"/>
        <v>#DIV/0!</v>
      </c>
      <c r="K80" s="1909" t="e">
        <f t="shared" si="7"/>
        <v>#DIV/0!</v>
      </c>
    </row>
    <row r="84" spans="1:22" x14ac:dyDescent="0.25">
      <c r="A84" s="160" t="s">
        <v>617</v>
      </c>
      <c r="B84" s="694"/>
      <c r="C84" s="3061"/>
      <c r="D84" s="3061"/>
      <c r="E84" s="3061"/>
      <c r="F84" s="3061"/>
      <c r="G84" s="160"/>
      <c r="H84" s="160"/>
      <c r="I84" s="160"/>
      <c r="J84" s="2044" t="s">
        <v>2324</v>
      </c>
      <c r="K84" s="2046" t="s">
        <v>2329</v>
      </c>
    </row>
    <row r="85" spans="1:22" x14ac:dyDescent="0.25">
      <c r="A85" s="160" t="s">
        <v>621</v>
      </c>
      <c r="B85" s="3060"/>
      <c r="C85" s="3060"/>
      <c r="D85" s="3060"/>
      <c r="E85" s="3060"/>
      <c r="F85" s="160"/>
      <c r="G85" s="1907" t="s">
        <v>1999</v>
      </c>
      <c r="H85" s="160"/>
      <c r="I85" s="160"/>
      <c r="J85" s="2044" t="s">
        <v>2323</v>
      </c>
      <c r="K85" s="2046" t="s">
        <v>2329</v>
      </c>
      <c r="V85" s="159">
        <f>B84</f>
        <v>0</v>
      </c>
    </row>
    <row r="86" spans="1:22" x14ac:dyDescent="0.25">
      <c r="A86" s="1059" t="s">
        <v>1325</v>
      </c>
      <c r="B86" s="1217"/>
      <c r="C86" s="160" t="s">
        <v>622</v>
      </c>
      <c r="D86" s="160"/>
      <c r="E86" s="160"/>
      <c r="F86" s="160"/>
      <c r="G86" s="1217"/>
      <c r="H86" s="1075" t="s">
        <v>1327</v>
      </c>
      <c r="I86" s="160"/>
      <c r="J86" s="160"/>
      <c r="K86" s="160"/>
    </row>
    <row r="87" spans="1:22" x14ac:dyDescent="0.25">
      <c r="A87" s="160" t="s">
        <v>623</v>
      </c>
      <c r="B87" s="3060">
        <v>5</v>
      </c>
      <c r="C87" s="3060"/>
      <c r="D87" s="3060"/>
      <c r="E87" s="3060"/>
      <c r="F87" s="160"/>
      <c r="G87" s="1217"/>
      <c r="H87" s="1075" t="s">
        <v>1328</v>
      </c>
      <c r="I87" s="160"/>
      <c r="J87" s="160"/>
      <c r="K87" s="160"/>
    </row>
    <row r="88" spans="1:22" x14ac:dyDescent="0.25">
      <c r="A88" s="160" t="s">
        <v>119</v>
      </c>
      <c r="B88" s="3060"/>
      <c r="C88" s="3060"/>
      <c r="D88" s="3060"/>
      <c r="E88" s="3060"/>
      <c r="F88" s="160"/>
      <c r="G88" s="1056" t="e">
        <f>G87/G86</f>
        <v>#DIV/0!</v>
      </c>
      <c r="H88" s="1075" t="s">
        <v>1329</v>
      </c>
      <c r="I88" s="160"/>
      <c r="J88" s="160"/>
      <c r="K88" s="160"/>
    </row>
    <row r="89" spans="1:22" x14ac:dyDescent="0.25">
      <c r="A89" s="160" t="s">
        <v>121</v>
      </c>
      <c r="B89" s="3060"/>
      <c r="C89" s="3060"/>
      <c r="D89" s="3060"/>
      <c r="E89" s="3060"/>
      <c r="F89" s="160"/>
      <c r="G89" s="1056" t="e">
        <f>(G87+B86)/(G86+B86)</f>
        <v>#DIV/0!</v>
      </c>
      <c r="H89" s="1075" t="s">
        <v>1330</v>
      </c>
      <c r="I89" s="160"/>
      <c r="J89" s="160"/>
      <c r="K89" s="160"/>
    </row>
    <row r="90" spans="1:22" x14ac:dyDescent="0.25">
      <c r="A90" s="160" t="s">
        <v>624</v>
      </c>
      <c r="B90" s="3060"/>
      <c r="C90" s="3060"/>
      <c r="D90" s="3060"/>
      <c r="E90" s="3060"/>
      <c r="F90" s="160"/>
      <c r="G90" s="160"/>
      <c r="H90" s="160"/>
      <c r="I90" s="160"/>
      <c r="J90" s="160"/>
      <c r="K90" s="160"/>
    </row>
    <row r="91" spans="1:22" x14ac:dyDescent="0.25">
      <c r="A91" s="162" t="s">
        <v>618</v>
      </c>
      <c r="B91" s="162">
        <v>1</v>
      </c>
      <c r="C91" s="162">
        <v>2</v>
      </c>
      <c r="D91" s="162">
        <v>3</v>
      </c>
      <c r="E91" s="162">
        <v>4</v>
      </c>
      <c r="F91" s="162">
        <v>5</v>
      </c>
      <c r="G91" s="162">
        <v>6</v>
      </c>
      <c r="H91" s="162">
        <v>7</v>
      </c>
      <c r="I91" s="162">
        <v>8</v>
      </c>
      <c r="J91" s="162">
        <v>9</v>
      </c>
      <c r="K91" s="162">
        <v>10</v>
      </c>
    </row>
    <row r="92" spans="1:22" x14ac:dyDescent="0.25">
      <c r="A92" s="160"/>
      <c r="B92" s="160" t="s">
        <v>98</v>
      </c>
      <c r="C92" s="160" t="s">
        <v>98</v>
      </c>
      <c r="D92" s="160" t="s">
        <v>98</v>
      </c>
      <c r="E92" s="160" t="s">
        <v>98</v>
      </c>
      <c r="F92" s="160" t="s">
        <v>98</v>
      </c>
      <c r="G92" s="160" t="s">
        <v>98</v>
      </c>
      <c r="H92" s="160" t="s">
        <v>98</v>
      </c>
      <c r="I92" s="160" t="s">
        <v>98</v>
      </c>
      <c r="J92" s="160" t="s">
        <v>98</v>
      </c>
      <c r="K92" s="160" t="s">
        <v>98</v>
      </c>
    </row>
    <row r="93" spans="1:22" x14ac:dyDescent="0.25">
      <c r="A93" s="160"/>
      <c r="B93" s="1217"/>
      <c r="C93" s="1217"/>
      <c r="D93" s="1217"/>
      <c r="E93" s="1217"/>
      <c r="F93" s="1217"/>
      <c r="G93" s="1217"/>
      <c r="H93" s="1217"/>
      <c r="I93" s="1217"/>
      <c r="J93" s="1217"/>
      <c r="K93" s="1217"/>
    </row>
    <row r="94" spans="1:22" x14ac:dyDescent="0.25">
      <c r="A94" s="160"/>
      <c r="B94" s="1217"/>
      <c r="C94" s="1217"/>
      <c r="D94" s="1217"/>
      <c r="E94" s="1217"/>
      <c r="F94" s="1217"/>
      <c r="G94" s="1217"/>
      <c r="H94" s="1217"/>
      <c r="I94" s="1217"/>
      <c r="J94" s="1217"/>
      <c r="K94" s="1217"/>
    </row>
    <row r="95" spans="1:22" x14ac:dyDescent="0.25">
      <c r="A95" s="160"/>
      <c r="B95" s="1217"/>
      <c r="C95" s="1217"/>
      <c r="D95" s="1217"/>
      <c r="E95" s="1217"/>
      <c r="F95" s="1217"/>
      <c r="G95" s="1217"/>
      <c r="H95" s="1217"/>
      <c r="I95" s="1217"/>
      <c r="J95" s="1217"/>
      <c r="K95" s="1217"/>
    </row>
    <row r="96" spans="1:22" x14ac:dyDescent="0.25">
      <c r="A96" s="160"/>
      <c r="B96" s="1217"/>
      <c r="C96" s="1217"/>
      <c r="D96" s="1217"/>
      <c r="E96" s="1217"/>
      <c r="F96" s="1217"/>
      <c r="G96" s="1217"/>
      <c r="H96" s="1217"/>
      <c r="I96" s="1217"/>
      <c r="J96" s="1217"/>
      <c r="K96" s="1217"/>
    </row>
    <row r="97" spans="1:22" x14ac:dyDescent="0.25">
      <c r="A97" s="160"/>
      <c r="B97" s="1217"/>
      <c r="C97" s="1217"/>
      <c r="D97" s="1217"/>
      <c r="E97" s="1217"/>
      <c r="F97" s="1217"/>
      <c r="G97" s="1217"/>
      <c r="H97" s="1217"/>
      <c r="I97" s="1217"/>
      <c r="J97" s="1217"/>
      <c r="K97" s="1217"/>
    </row>
    <row r="98" spans="1:22" x14ac:dyDescent="0.25">
      <c r="A98" s="160"/>
      <c r="B98" s="160"/>
      <c r="C98" s="160"/>
      <c r="D98" s="160"/>
      <c r="E98" s="160"/>
      <c r="F98" s="160"/>
      <c r="G98" s="160"/>
      <c r="H98" s="160"/>
      <c r="I98" s="160"/>
      <c r="J98" s="160"/>
      <c r="K98" s="160"/>
    </row>
    <row r="99" spans="1:22" ht="17.25" x14ac:dyDescent="0.25">
      <c r="A99" s="162" t="s">
        <v>619</v>
      </c>
      <c r="B99" s="1619" t="e">
        <f>ROUND(IF($B84="Monitor",IF(COUNTA(B93:B97)&gt;0,$G87,""),LARGE(B93:B97,1))*$C$2,0)</f>
        <v>#NUM!</v>
      </c>
      <c r="C99" s="1619" t="e">
        <f t="shared" ref="C99:K99" si="8">ROUND(IF($B84="Monitor",IF(COUNTA(C93:C97)&gt;0,$G87,""),LARGE(C93:C97,1))*$C$2,0)</f>
        <v>#NUM!</v>
      </c>
      <c r="D99" s="1619" t="e">
        <f t="shared" si="8"/>
        <v>#NUM!</v>
      </c>
      <c r="E99" s="1619" t="e">
        <f t="shared" si="8"/>
        <v>#NUM!</v>
      </c>
      <c r="F99" s="1619" t="e">
        <f t="shared" si="8"/>
        <v>#NUM!</v>
      </c>
      <c r="G99" s="1619" t="e">
        <f t="shared" si="8"/>
        <v>#NUM!</v>
      </c>
      <c r="H99" s="1619" t="e">
        <f t="shared" si="8"/>
        <v>#NUM!</v>
      </c>
      <c r="I99" s="1619" t="e">
        <f t="shared" si="8"/>
        <v>#NUM!</v>
      </c>
      <c r="J99" s="1619" t="e">
        <f t="shared" si="8"/>
        <v>#NUM!</v>
      </c>
      <c r="K99" s="1619" t="e">
        <f t="shared" si="8"/>
        <v>#NUM!</v>
      </c>
    </row>
    <row r="100" spans="1:22" x14ac:dyDescent="0.25">
      <c r="A100" s="162" t="s">
        <v>620</v>
      </c>
      <c r="B100" s="1909" t="e">
        <f>ROUND(200*(MAX(B93:B97)-MIN(B93:B97))/(MAX(B93:B97)+MIN(B93:B97)),1)</f>
        <v>#DIV/0!</v>
      </c>
      <c r="C100" s="1909" t="e">
        <f t="shared" ref="C100:K100" si="9">ROUND(200*(MAX(C93:C97)-MIN(C93:C97))/(MAX(C93:C97)+MIN(C93:C97)),1)</f>
        <v>#DIV/0!</v>
      </c>
      <c r="D100" s="1909" t="e">
        <f t="shared" si="9"/>
        <v>#DIV/0!</v>
      </c>
      <c r="E100" s="1909" t="e">
        <f t="shared" si="9"/>
        <v>#DIV/0!</v>
      </c>
      <c r="F100" s="1909" t="e">
        <f t="shared" si="9"/>
        <v>#DIV/0!</v>
      </c>
      <c r="G100" s="1909" t="e">
        <f t="shared" si="9"/>
        <v>#DIV/0!</v>
      </c>
      <c r="H100" s="1909" t="e">
        <f t="shared" si="9"/>
        <v>#DIV/0!</v>
      </c>
      <c r="I100" s="1909" t="e">
        <f t="shared" si="9"/>
        <v>#DIV/0!</v>
      </c>
      <c r="J100" s="1909" t="e">
        <f t="shared" si="9"/>
        <v>#DIV/0!</v>
      </c>
      <c r="K100" s="1909" t="e">
        <f t="shared" si="9"/>
        <v>#DIV/0!</v>
      </c>
    </row>
    <row r="103" spans="1:22" x14ac:dyDescent="0.25">
      <c r="V103" s="159">
        <f>B104</f>
        <v>0</v>
      </c>
    </row>
    <row r="104" spans="1:22" x14ac:dyDescent="0.25">
      <c r="A104" s="160" t="s">
        <v>617</v>
      </c>
      <c r="B104" s="694"/>
      <c r="C104" s="3061"/>
      <c r="D104" s="3061"/>
      <c r="E104" s="3061"/>
      <c r="F104" s="3061"/>
      <c r="G104" s="160"/>
      <c r="H104" s="160"/>
      <c r="I104" s="160"/>
      <c r="J104" s="2044" t="s">
        <v>2324</v>
      </c>
      <c r="K104" s="2046" t="s">
        <v>2329</v>
      </c>
    </row>
    <row r="105" spans="1:22" x14ac:dyDescent="0.25">
      <c r="A105" s="160" t="s">
        <v>621</v>
      </c>
      <c r="B105" s="3060"/>
      <c r="C105" s="3060"/>
      <c r="D105" s="3060"/>
      <c r="E105" s="3060"/>
      <c r="F105" s="160"/>
      <c r="G105" s="1907" t="s">
        <v>1999</v>
      </c>
      <c r="H105" s="160"/>
      <c r="I105" s="160"/>
      <c r="J105" s="2044" t="s">
        <v>2323</v>
      </c>
      <c r="K105" s="2046" t="s">
        <v>2329</v>
      </c>
    </row>
    <row r="106" spans="1:22" x14ac:dyDescent="0.25">
      <c r="A106" s="1059" t="s">
        <v>1325</v>
      </c>
      <c r="B106" s="1217"/>
      <c r="C106" s="160" t="s">
        <v>622</v>
      </c>
      <c r="D106" s="160"/>
      <c r="E106" s="160"/>
      <c r="F106" s="160"/>
      <c r="G106" s="1217"/>
      <c r="H106" s="1075" t="s">
        <v>1327</v>
      </c>
      <c r="I106" s="160"/>
      <c r="J106" s="160"/>
      <c r="K106" s="160"/>
    </row>
    <row r="107" spans="1:22" x14ac:dyDescent="0.25">
      <c r="A107" s="160" t="s">
        <v>623</v>
      </c>
      <c r="B107" s="3060">
        <v>6</v>
      </c>
      <c r="C107" s="3060"/>
      <c r="D107" s="3060"/>
      <c r="E107" s="3060"/>
      <c r="F107" s="160"/>
      <c r="G107" s="1217"/>
      <c r="H107" s="1075" t="s">
        <v>1328</v>
      </c>
      <c r="I107" s="160"/>
      <c r="J107" s="160"/>
      <c r="K107" s="160"/>
    </row>
    <row r="108" spans="1:22" x14ac:dyDescent="0.25">
      <c r="A108" s="160" t="s">
        <v>119</v>
      </c>
      <c r="B108" s="3060"/>
      <c r="C108" s="3060"/>
      <c r="D108" s="3060"/>
      <c r="E108" s="3060"/>
      <c r="F108" s="160"/>
      <c r="G108" s="1056" t="e">
        <f>G107/G106</f>
        <v>#DIV/0!</v>
      </c>
      <c r="H108" s="1075" t="s">
        <v>1329</v>
      </c>
      <c r="I108" s="160"/>
      <c r="J108" s="160"/>
      <c r="K108" s="160"/>
    </row>
    <row r="109" spans="1:22" x14ac:dyDescent="0.25">
      <c r="A109" s="160" t="s">
        <v>121</v>
      </c>
      <c r="B109" s="3060"/>
      <c r="C109" s="3060"/>
      <c r="D109" s="3060"/>
      <c r="E109" s="3060"/>
      <c r="F109" s="160"/>
      <c r="G109" s="1056" t="e">
        <f>(G107+B106)/(G106+B106)</f>
        <v>#DIV/0!</v>
      </c>
      <c r="H109" s="1075" t="s">
        <v>1330</v>
      </c>
      <c r="I109" s="160"/>
      <c r="J109" s="160"/>
      <c r="K109" s="160"/>
    </row>
    <row r="110" spans="1:22" x14ac:dyDescent="0.25">
      <c r="A110" s="160" t="s">
        <v>624</v>
      </c>
      <c r="B110" s="3060"/>
      <c r="C110" s="3060"/>
      <c r="D110" s="3060"/>
      <c r="E110" s="3060"/>
      <c r="F110" s="160"/>
      <c r="G110" s="160"/>
      <c r="H110" s="160"/>
      <c r="I110" s="160"/>
      <c r="J110" s="160"/>
      <c r="K110" s="160"/>
    </row>
    <row r="111" spans="1:22" x14ac:dyDescent="0.25">
      <c r="A111" s="162" t="s">
        <v>618</v>
      </c>
      <c r="B111" s="162">
        <v>1</v>
      </c>
      <c r="C111" s="162">
        <v>2</v>
      </c>
      <c r="D111" s="162">
        <v>3</v>
      </c>
      <c r="E111" s="162">
        <v>4</v>
      </c>
      <c r="F111" s="162">
        <v>5</v>
      </c>
      <c r="G111" s="162">
        <v>6</v>
      </c>
      <c r="H111" s="162">
        <v>7</v>
      </c>
      <c r="I111" s="162">
        <v>8</v>
      </c>
      <c r="J111" s="162">
        <v>9</v>
      </c>
      <c r="K111" s="162">
        <v>10</v>
      </c>
    </row>
    <row r="112" spans="1:22" x14ac:dyDescent="0.25">
      <c r="A112" s="160"/>
      <c r="B112" s="160" t="s">
        <v>98</v>
      </c>
      <c r="C112" s="160" t="s">
        <v>98</v>
      </c>
      <c r="D112" s="160" t="s">
        <v>98</v>
      </c>
      <c r="E112" s="160" t="s">
        <v>98</v>
      </c>
      <c r="F112" s="160" t="s">
        <v>98</v>
      </c>
      <c r="G112" s="160" t="s">
        <v>98</v>
      </c>
      <c r="H112" s="160" t="s">
        <v>98</v>
      </c>
      <c r="I112" s="160" t="s">
        <v>98</v>
      </c>
      <c r="J112" s="160" t="s">
        <v>98</v>
      </c>
      <c r="K112" s="160" t="s">
        <v>98</v>
      </c>
    </row>
    <row r="113" spans="1:22" x14ac:dyDescent="0.25">
      <c r="A113" s="160"/>
      <c r="B113" s="1217"/>
      <c r="C113" s="1217"/>
      <c r="D113" s="1217"/>
      <c r="E113" s="1217"/>
      <c r="F113" s="1217"/>
      <c r="G113" s="1217"/>
      <c r="H113" s="1217"/>
      <c r="I113" s="1217"/>
      <c r="J113" s="1217"/>
      <c r="K113" s="1217"/>
    </row>
    <row r="114" spans="1:22" x14ac:dyDescent="0.25">
      <c r="A114" s="160"/>
      <c r="B114" s="1217"/>
      <c r="C114" s="1217"/>
      <c r="D114" s="1217"/>
      <c r="E114" s="1217"/>
      <c r="F114" s="1217"/>
      <c r="G114" s="1217"/>
      <c r="H114" s="1217"/>
      <c r="I114" s="1217"/>
      <c r="J114" s="1217"/>
      <c r="K114" s="1217"/>
    </row>
    <row r="115" spans="1:22" x14ac:dyDescent="0.25">
      <c r="A115" s="160"/>
      <c r="B115" s="1217"/>
      <c r="C115" s="1217"/>
      <c r="D115" s="1217"/>
      <c r="E115" s="1217"/>
      <c r="F115" s="1217"/>
      <c r="G115" s="1217"/>
      <c r="H115" s="1217"/>
      <c r="I115" s="1217"/>
      <c r="J115" s="1217"/>
      <c r="K115" s="1217"/>
    </row>
    <row r="116" spans="1:22" x14ac:dyDescent="0.25">
      <c r="A116" s="160"/>
      <c r="B116" s="1217"/>
      <c r="C116" s="1217"/>
      <c r="D116" s="1217"/>
      <c r="E116" s="1217"/>
      <c r="F116" s="1217"/>
      <c r="G116" s="1217"/>
      <c r="H116" s="1217"/>
      <c r="I116" s="1217"/>
      <c r="J116" s="1217"/>
      <c r="K116" s="1217"/>
    </row>
    <row r="117" spans="1:22" x14ac:dyDescent="0.25">
      <c r="A117" s="160"/>
      <c r="B117" s="1217"/>
      <c r="C117" s="1217"/>
      <c r="D117" s="1217"/>
      <c r="E117" s="1217"/>
      <c r="F117" s="1217"/>
      <c r="G117" s="1217"/>
      <c r="H117" s="1217"/>
      <c r="I117" s="1217"/>
      <c r="J117" s="1217"/>
      <c r="K117" s="1217"/>
    </row>
    <row r="118" spans="1:22" x14ac:dyDescent="0.25">
      <c r="A118" s="160"/>
      <c r="B118" s="160"/>
      <c r="C118" s="160"/>
      <c r="D118" s="160"/>
      <c r="E118" s="160"/>
      <c r="F118" s="160"/>
      <c r="G118" s="160"/>
      <c r="H118" s="160"/>
      <c r="I118" s="160"/>
      <c r="J118" s="160"/>
      <c r="K118" s="160"/>
    </row>
    <row r="119" spans="1:22" ht="17.25" x14ac:dyDescent="0.25">
      <c r="A119" s="162" t="s">
        <v>619</v>
      </c>
      <c r="B119" s="1619" t="e">
        <f>ROUND(IF($B104="Monitor",IF(COUNTA(B113:B117)&gt;0,$G107,""),LARGE(B113:B117,1))*$C$2,0)</f>
        <v>#NUM!</v>
      </c>
      <c r="C119" s="1619" t="e">
        <f t="shared" ref="C119:K119" si="10">ROUND(IF($B104="Monitor",IF(COUNTA(C113:C117)&gt;0,$G107,""),LARGE(C113:C117,1))*$C$2,0)</f>
        <v>#NUM!</v>
      </c>
      <c r="D119" s="1619" t="e">
        <f t="shared" si="10"/>
        <v>#NUM!</v>
      </c>
      <c r="E119" s="1619" t="e">
        <f t="shared" si="10"/>
        <v>#NUM!</v>
      </c>
      <c r="F119" s="1619" t="e">
        <f t="shared" si="10"/>
        <v>#NUM!</v>
      </c>
      <c r="G119" s="1619" t="e">
        <f t="shared" si="10"/>
        <v>#NUM!</v>
      </c>
      <c r="H119" s="1619" t="e">
        <f t="shared" si="10"/>
        <v>#NUM!</v>
      </c>
      <c r="I119" s="1619" t="e">
        <f t="shared" si="10"/>
        <v>#NUM!</v>
      </c>
      <c r="J119" s="1619" t="e">
        <f t="shared" si="10"/>
        <v>#NUM!</v>
      </c>
      <c r="K119" s="1619" t="e">
        <f t="shared" si="10"/>
        <v>#NUM!</v>
      </c>
    </row>
    <row r="120" spans="1:22" x14ac:dyDescent="0.25">
      <c r="A120" s="162" t="s">
        <v>620</v>
      </c>
      <c r="B120" s="1909" t="e">
        <f>ROUND(200*(MAX(B113:B117)-MIN(B113:B117))/(MAX(B113:B117)+MIN(B113:B117)),1)</f>
        <v>#DIV/0!</v>
      </c>
      <c r="C120" s="1909" t="e">
        <f t="shared" ref="C120:K120" si="11">ROUND(200*(MAX(C113:C117)-MIN(C113:C117))/(MAX(C113:C117)+MIN(C113:C117)),1)</f>
        <v>#DIV/0!</v>
      </c>
      <c r="D120" s="1909" t="e">
        <f t="shared" si="11"/>
        <v>#DIV/0!</v>
      </c>
      <c r="E120" s="1909" t="e">
        <f t="shared" si="11"/>
        <v>#DIV/0!</v>
      </c>
      <c r="F120" s="1909" t="e">
        <f t="shared" si="11"/>
        <v>#DIV/0!</v>
      </c>
      <c r="G120" s="1909" t="e">
        <f t="shared" si="11"/>
        <v>#DIV/0!</v>
      </c>
      <c r="H120" s="1909" t="e">
        <f t="shared" si="11"/>
        <v>#DIV/0!</v>
      </c>
      <c r="I120" s="1909" t="e">
        <f t="shared" si="11"/>
        <v>#DIV/0!</v>
      </c>
      <c r="J120" s="1909" t="e">
        <f t="shared" si="11"/>
        <v>#DIV/0!</v>
      </c>
      <c r="K120" s="1909" t="e">
        <f t="shared" si="11"/>
        <v>#DIV/0!</v>
      </c>
    </row>
    <row r="122" spans="1:22" x14ac:dyDescent="0.25">
      <c r="V122" s="159">
        <f>B124</f>
        <v>0</v>
      </c>
    </row>
    <row r="124" spans="1:22" x14ac:dyDescent="0.25">
      <c r="A124" s="160" t="s">
        <v>617</v>
      </c>
      <c r="B124" s="694"/>
      <c r="C124" s="3061"/>
      <c r="D124" s="3061"/>
      <c r="E124" s="3061"/>
      <c r="F124" s="3061"/>
      <c r="G124" s="160"/>
      <c r="H124" s="160"/>
      <c r="I124" s="160"/>
      <c r="J124" s="2044" t="s">
        <v>2324</v>
      </c>
      <c r="K124" s="2046" t="s">
        <v>2329</v>
      </c>
    </row>
    <row r="125" spans="1:22" x14ac:dyDescent="0.25">
      <c r="A125" s="160" t="s">
        <v>621</v>
      </c>
      <c r="B125" s="3060"/>
      <c r="C125" s="3060"/>
      <c r="D125" s="3060"/>
      <c r="E125" s="3060"/>
      <c r="F125" s="160"/>
      <c r="G125" s="1907" t="s">
        <v>1999</v>
      </c>
      <c r="H125" s="160"/>
      <c r="I125" s="160"/>
      <c r="J125" s="2044" t="s">
        <v>2323</v>
      </c>
      <c r="K125" s="2046" t="s">
        <v>2329</v>
      </c>
    </row>
    <row r="126" spans="1:22" x14ac:dyDescent="0.25">
      <c r="A126" s="1059" t="s">
        <v>1325</v>
      </c>
      <c r="B126" s="1217"/>
      <c r="C126" s="160" t="s">
        <v>622</v>
      </c>
      <c r="D126" s="160"/>
      <c r="E126" s="160"/>
      <c r="F126" s="160"/>
      <c r="G126" s="1217"/>
      <c r="H126" s="1075" t="s">
        <v>1327</v>
      </c>
      <c r="I126" s="160"/>
      <c r="J126" s="160"/>
      <c r="K126" s="160"/>
    </row>
    <row r="127" spans="1:22" x14ac:dyDescent="0.25">
      <c r="A127" s="160" t="s">
        <v>623</v>
      </c>
      <c r="B127" s="3060">
        <v>7</v>
      </c>
      <c r="C127" s="3060"/>
      <c r="D127" s="3060"/>
      <c r="E127" s="3060"/>
      <c r="F127" s="160"/>
      <c r="G127" s="1217"/>
      <c r="H127" s="1075" t="s">
        <v>1328</v>
      </c>
      <c r="I127" s="160"/>
      <c r="J127" s="160"/>
      <c r="K127" s="160"/>
    </row>
    <row r="128" spans="1:22" x14ac:dyDescent="0.25">
      <c r="A128" s="160" t="s">
        <v>119</v>
      </c>
      <c r="B128" s="3060"/>
      <c r="C128" s="3060"/>
      <c r="D128" s="3060"/>
      <c r="E128" s="3060"/>
      <c r="F128" s="160"/>
      <c r="G128" s="1056" t="e">
        <f>G127/G126</f>
        <v>#DIV/0!</v>
      </c>
      <c r="H128" s="1075" t="s">
        <v>1329</v>
      </c>
      <c r="I128" s="160"/>
      <c r="J128" s="160"/>
      <c r="K128" s="160"/>
    </row>
    <row r="129" spans="1:11" x14ac:dyDescent="0.25">
      <c r="A129" s="160" t="s">
        <v>121</v>
      </c>
      <c r="B129" s="3060"/>
      <c r="C129" s="3060"/>
      <c r="D129" s="3060"/>
      <c r="E129" s="3060"/>
      <c r="F129" s="160"/>
      <c r="G129" s="1056" t="e">
        <f>(G127+B126)/(G126+B126)</f>
        <v>#DIV/0!</v>
      </c>
      <c r="H129" s="1075" t="s">
        <v>1330</v>
      </c>
      <c r="I129" s="160"/>
      <c r="J129" s="160"/>
      <c r="K129" s="160"/>
    </row>
    <row r="130" spans="1:11" x14ac:dyDescent="0.25">
      <c r="A130" s="160" t="s">
        <v>624</v>
      </c>
      <c r="B130" s="3060"/>
      <c r="C130" s="3060"/>
      <c r="D130" s="3060"/>
      <c r="E130" s="3060"/>
      <c r="F130" s="160"/>
      <c r="G130" s="160"/>
      <c r="H130" s="160"/>
      <c r="I130" s="160"/>
      <c r="J130" s="160"/>
      <c r="K130" s="160"/>
    </row>
    <row r="131" spans="1:11" x14ac:dyDescent="0.25">
      <c r="A131" s="162" t="s">
        <v>618</v>
      </c>
      <c r="B131" s="162">
        <v>1</v>
      </c>
      <c r="C131" s="162">
        <v>2</v>
      </c>
      <c r="D131" s="162">
        <v>3</v>
      </c>
      <c r="E131" s="162">
        <v>4</v>
      </c>
      <c r="F131" s="162">
        <v>5</v>
      </c>
      <c r="G131" s="162">
        <v>6</v>
      </c>
      <c r="H131" s="162">
        <v>7</v>
      </c>
      <c r="I131" s="162">
        <v>8</v>
      </c>
      <c r="J131" s="162">
        <v>9</v>
      </c>
      <c r="K131" s="162">
        <v>10</v>
      </c>
    </row>
    <row r="132" spans="1:11" x14ac:dyDescent="0.25">
      <c r="A132" s="160"/>
      <c r="B132" s="160" t="s">
        <v>98</v>
      </c>
      <c r="C132" s="160" t="s">
        <v>98</v>
      </c>
      <c r="D132" s="160" t="s">
        <v>98</v>
      </c>
      <c r="E132" s="160" t="s">
        <v>98</v>
      </c>
      <c r="F132" s="160" t="s">
        <v>98</v>
      </c>
      <c r="G132" s="160" t="s">
        <v>98</v>
      </c>
      <c r="H132" s="160" t="s">
        <v>98</v>
      </c>
      <c r="I132" s="160" t="s">
        <v>98</v>
      </c>
      <c r="J132" s="160" t="s">
        <v>98</v>
      </c>
      <c r="K132" s="160" t="s">
        <v>98</v>
      </c>
    </row>
    <row r="133" spans="1:11" x14ac:dyDescent="0.25">
      <c r="A133" s="160"/>
      <c r="B133" s="1217"/>
      <c r="C133" s="1217"/>
      <c r="D133" s="1217"/>
      <c r="E133" s="1217"/>
      <c r="F133" s="1217"/>
      <c r="G133" s="1217"/>
      <c r="H133" s="1217"/>
      <c r="I133" s="1217"/>
      <c r="J133" s="1217"/>
      <c r="K133" s="1217"/>
    </row>
    <row r="134" spans="1:11" x14ac:dyDescent="0.25">
      <c r="A134" s="160"/>
      <c r="B134" s="1217"/>
      <c r="C134" s="1217"/>
      <c r="D134" s="1217"/>
      <c r="E134" s="1217"/>
      <c r="F134" s="1217"/>
      <c r="G134" s="1217"/>
      <c r="H134" s="1217"/>
      <c r="I134" s="1217"/>
      <c r="J134" s="1217"/>
      <c r="K134" s="1217"/>
    </row>
    <row r="135" spans="1:11" x14ac:dyDescent="0.25">
      <c r="A135" s="160"/>
      <c r="B135" s="1217"/>
      <c r="C135" s="1217"/>
      <c r="D135" s="1217"/>
      <c r="E135" s="1217"/>
      <c r="F135" s="1217"/>
      <c r="G135" s="1217"/>
      <c r="H135" s="1217"/>
      <c r="I135" s="1217"/>
      <c r="J135" s="1217"/>
      <c r="K135" s="1217"/>
    </row>
    <row r="136" spans="1:11" x14ac:dyDescent="0.25">
      <c r="A136" s="160"/>
      <c r="B136" s="1217"/>
      <c r="C136" s="1217"/>
      <c r="D136" s="1217"/>
      <c r="E136" s="1217"/>
      <c r="F136" s="1217"/>
      <c r="G136" s="1217"/>
      <c r="H136" s="1217"/>
      <c r="I136" s="1217"/>
      <c r="J136" s="1217"/>
      <c r="K136" s="1217"/>
    </row>
    <row r="137" spans="1:11" x14ac:dyDescent="0.25">
      <c r="A137" s="160"/>
      <c r="B137" s="1217"/>
      <c r="C137" s="1217"/>
      <c r="D137" s="1217"/>
      <c r="E137" s="1217"/>
      <c r="F137" s="1217"/>
      <c r="G137" s="1217"/>
      <c r="H137" s="1217"/>
      <c r="I137" s="1217"/>
      <c r="J137" s="1217"/>
      <c r="K137" s="1217"/>
    </row>
    <row r="138" spans="1:11" x14ac:dyDescent="0.25">
      <c r="A138" s="160"/>
      <c r="B138" s="160"/>
      <c r="C138" s="160"/>
      <c r="D138" s="160"/>
      <c r="E138" s="160"/>
      <c r="F138" s="160"/>
      <c r="G138" s="160"/>
      <c r="H138" s="160"/>
      <c r="I138" s="160"/>
      <c r="J138" s="160"/>
      <c r="K138" s="160"/>
    </row>
    <row r="139" spans="1:11" ht="17.25" x14ac:dyDescent="0.25">
      <c r="A139" s="162" t="s">
        <v>619</v>
      </c>
      <c r="B139" s="1619" t="e">
        <f>ROUND(IF($B124="Monitor",IF(COUNTA(B133:B137)&gt;0,$G127,""),LARGE(B133:B137,1))*$C$2,0)</f>
        <v>#NUM!</v>
      </c>
      <c r="C139" s="1619" t="e">
        <f t="shared" ref="C139:K139" si="12">ROUND(IF($B124="Monitor",IF(COUNTA(C133:C137)&gt;0,$G127,""),LARGE(C133:C137,1))*$C$2,0)</f>
        <v>#NUM!</v>
      </c>
      <c r="D139" s="1619" t="e">
        <f t="shared" si="12"/>
        <v>#NUM!</v>
      </c>
      <c r="E139" s="1619" t="e">
        <f t="shared" si="12"/>
        <v>#NUM!</v>
      </c>
      <c r="F139" s="1619" t="e">
        <f t="shared" si="12"/>
        <v>#NUM!</v>
      </c>
      <c r="G139" s="1619" t="e">
        <f t="shared" si="12"/>
        <v>#NUM!</v>
      </c>
      <c r="H139" s="1619" t="e">
        <f t="shared" si="12"/>
        <v>#NUM!</v>
      </c>
      <c r="I139" s="1619" t="e">
        <f t="shared" si="12"/>
        <v>#NUM!</v>
      </c>
      <c r="J139" s="1619" t="e">
        <f t="shared" si="12"/>
        <v>#NUM!</v>
      </c>
      <c r="K139" s="1619" t="e">
        <f t="shared" si="12"/>
        <v>#NUM!</v>
      </c>
    </row>
    <row r="140" spans="1:11" x14ac:dyDescent="0.25">
      <c r="A140" s="162" t="s">
        <v>620</v>
      </c>
      <c r="B140" s="1909" t="e">
        <f>ROUND(200*(MAX(B133:B137)-MIN(B133:B137))/(MAX(B133:B137)+MIN(B133:B137)),1)</f>
        <v>#DIV/0!</v>
      </c>
      <c r="C140" s="1909" t="e">
        <f t="shared" ref="C140:K140" si="13">ROUND(200*(MAX(C133:C137)-MIN(C133:C137))/(MAX(C133:C137)+MIN(C133:C137)),1)</f>
        <v>#DIV/0!</v>
      </c>
      <c r="D140" s="1909" t="e">
        <f t="shared" si="13"/>
        <v>#DIV/0!</v>
      </c>
      <c r="E140" s="1909" t="e">
        <f t="shared" si="13"/>
        <v>#DIV/0!</v>
      </c>
      <c r="F140" s="1909" t="e">
        <f t="shared" si="13"/>
        <v>#DIV/0!</v>
      </c>
      <c r="G140" s="1909" t="e">
        <f t="shared" si="13"/>
        <v>#DIV/0!</v>
      </c>
      <c r="H140" s="1909" t="e">
        <f t="shared" si="13"/>
        <v>#DIV/0!</v>
      </c>
      <c r="I140" s="1909" t="e">
        <f t="shared" si="13"/>
        <v>#DIV/0!</v>
      </c>
      <c r="J140" s="1909" t="e">
        <f t="shared" si="13"/>
        <v>#DIV/0!</v>
      </c>
      <c r="K140" s="1909" t="e">
        <f t="shared" si="13"/>
        <v>#DIV/0!</v>
      </c>
    </row>
    <row r="144" spans="1:11" x14ac:dyDescent="0.25">
      <c r="A144" s="160" t="s">
        <v>617</v>
      </c>
      <c r="B144" s="694"/>
      <c r="C144" s="3061"/>
      <c r="D144" s="3061"/>
      <c r="E144" s="3061"/>
      <c r="F144" s="3061"/>
      <c r="G144" s="160"/>
      <c r="H144" s="160"/>
      <c r="I144" s="160"/>
      <c r="J144" s="2044" t="s">
        <v>2324</v>
      </c>
      <c r="K144" s="2046" t="s">
        <v>2329</v>
      </c>
    </row>
    <row r="145" spans="1:22" x14ac:dyDescent="0.25">
      <c r="A145" s="160" t="s">
        <v>621</v>
      </c>
      <c r="B145" s="3060"/>
      <c r="C145" s="3060"/>
      <c r="D145" s="3060"/>
      <c r="E145" s="3060"/>
      <c r="F145" s="160"/>
      <c r="G145" s="1907" t="s">
        <v>1999</v>
      </c>
      <c r="H145" s="160"/>
      <c r="I145" s="160"/>
      <c r="J145" s="2044" t="s">
        <v>2323</v>
      </c>
      <c r="K145" s="2046" t="s">
        <v>2329</v>
      </c>
    </row>
    <row r="146" spans="1:22" x14ac:dyDescent="0.25">
      <c r="A146" s="1059" t="s">
        <v>1325</v>
      </c>
      <c r="B146" s="1217"/>
      <c r="C146" s="160" t="s">
        <v>622</v>
      </c>
      <c r="D146" s="160"/>
      <c r="E146" s="160"/>
      <c r="F146" s="160"/>
      <c r="G146" s="1217"/>
      <c r="H146" s="1075" t="s">
        <v>1327</v>
      </c>
      <c r="I146" s="160"/>
      <c r="J146" s="160"/>
      <c r="K146" s="160"/>
      <c r="V146" s="159">
        <f>B144</f>
        <v>0</v>
      </c>
    </row>
    <row r="147" spans="1:22" x14ac:dyDescent="0.25">
      <c r="A147" s="160" t="s">
        <v>623</v>
      </c>
      <c r="B147" s="3060">
        <v>8</v>
      </c>
      <c r="C147" s="3060"/>
      <c r="D147" s="3060"/>
      <c r="E147" s="3060"/>
      <c r="F147" s="160"/>
      <c r="G147" s="1217"/>
      <c r="H147" s="1075" t="s">
        <v>1328</v>
      </c>
      <c r="I147" s="160"/>
      <c r="J147" s="160"/>
      <c r="K147" s="160"/>
    </row>
    <row r="148" spans="1:22" x14ac:dyDescent="0.25">
      <c r="A148" s="160" t="s">
        <v>119</v>
      </c>
      <c r="B148" s="3060"/>
      <c r="C148" s="3060"/>
      <c r="D148" s="3060"/>
      <c r="E148" s="3060"/>
      <c r="F148" s="160"/>
      <c r="G148" s="1056" t="e">
        <f>G147/G146</f>
        <v>#DIV/0!</v>
      </c>
      <c r="H148" s="1075" t="s">
        <v>1329</v>
      </c>
      <c r="I148" s="160"/>
      <c r="J148" s="160"/>
      <c r="K148" s="160"/>
    </row>
    <row r="149" spans="1:22" x14ac:dyDescent="0.25">
      <c r="A149" s="160" t="s">
        <v>121</v>
      </c>
      <c r="B149" s="3060"/>
      <c r="C149" s="3060"/>
      <c r="D149" s="3060"/>
      <c r="E149" s="3060"/>
      <c r="F149" s="160"/>
      <c r="G149" s="1056" t="e">
        <f>(G147+B146)/(G146+B146)</f>
        <v>#DIV/0!</v>
      </c>
      <c r="H149" s="1075" t="s">
        <v>1330</v>
      </c>
      <c r="I149" s="160"/>
      <c r="J149" s="160"/>
      <c r="K149" s="160"/>
    </row>
    <row r="150" spans="1:22" x14ac:dyDescent="0.25">
      <c r="A150" s="160" t="s">
        <v>624</v>
      </c>
      <c r="B150" s="3060"/>
      <c r="C150" s="3060"/>
      <c r="D150" s="3060"/>
      <c r="E150" s="3060"/>
      <c r="F150" s="160"/>
      <c r="G150" s="160"/>
      <c r="H150" s="160"/>
      <c r="I150" s="160"/>
      <c r="J150" s="160"/>
      <c r="K150" s="160"/>
    </row>
    <row r="151" spans="1:22" x14ac:dyDescent="0.25">
      <c r="A151" s="162" t="s">
        <v>618</v>
      </c>
      <c r="B151" s="162">
        <v>1</v>
      </c>
      <c r="C151" s="162">
        <v>2</v>
      </c>
      <c r="D151" s="162">
        <v>3</v>
      </c>
      <c r="E151" s="162">
        <v>4</v>
      </c>
      <c r="F151" s="162">
        <v>5</v>
      </c>
      <c r="G151" s="162">
        <v>6</v>
      </c>
      <c r="H151" s="162">
        <v>7</v>
      </c>
      <c r="I151" s="162">
        <v>8</v>
      </c>
      <c r="J151" s="162">
        <v>9</v>
      </c>
      <c r="K151" s="162">
        <v>10</v>
      </c>
    </row>
    <row r="152" spans="1:22" x14ac:dyDescent="0.25">
      <c r="A152" s="160"/>
      <c r="B152" s="160" t="s">
        <v>98</v>
      </c>
      <c r="C152" s="160" t="s">
        <v>98</v>
      </c>
      <c r="D152" s="160" t="s">
        <v>98</v>
      </c>
      <c r="E152" s="160" t="s">
        <v>98</v>
      </c>
      <c r="F152" s="160" t="s">
        <v>98</v>
      </c>
      <c r="G152" s="160" t="s">
        <v>98</v>
      </c>
      <c r="H152" s="160" t="s">
        <v>98</v>
      </c>
      <c r="I152" s="160" t="s">
        <v>98</v>
      </c>
      <c r="J152" s="160" t="s">
        <v>98</v>
      </c>
      <c r="K152" s="160" t="s">
        <v>98</v>
      </c>
    </row>
    <row r="153" spans="1:22" x14ac:dyDescent="0.25">
      <c r="A153" s="160"/>
      <c r="B153" s="1217"/>
      <c r="C153" s="1217"/>
      <c r="D153" s="1217"/>
      <c r="E153" s="1217"/>
      <c r="F153" s="1217"/>
      <c r="G153" s="1217"/>
      <c r="H153" s="1217"/>
      <c r="I153" s="1217"/>
      <c r="J153" s="1217"/>
      <c r="K153" s="1217"/>
    </row>
    <row r="154" spans="1:22" x14ac:dyDescent="0.25">
      <c r="A154" s="160"/>
      <c r="B154" s="1217"/>
      <c r="C154" s="1217"/>
      <c r="D154" s="1217"/>
      <c r="E154" s="1217"/>
      <c r="F154" s="1217"/>
      <c r="G154" s="1217"/>
      <c r="H154" s="1217"/>
      <c r="I154" s="1217"/>
      <c r="J154" s="1217"/>
      <c r="K154" s="1217"/>
    </row>
    <row r="155" spans="1:22" x14ac:dyDescent="0.25">
      <c r="A155" s="160"/>
      <c r="B155" s="1217"/>
      <c r="C155" s="1217"/>
      <c r="D155" s="1217"/>
      <c r="E155" s="1217"/>
      <c r="F155" s="1217"/>
      <c r="G155" s="1217"/>
      <c r="H155" s="1217"/>
      <c r="I155" s="1217"/>
      <c r="J155" s="1217"/>
      <c r="K155" s="1217"/>
    </row>
    <row r="156" spans="1:22" x14ac:dyDescent="0.25">
      <c r="A156" s="160"/>
      <c r="B156" s="1217"/>
      <c r="C156" s="1217"/>
      <c r="D156" s="1217"/>
      <c r="E156" s="1217"/>
      <c r="F156" s="1217"/>
      <c r="G156" s="1217"/>
      <c r="H156" s="1217"/>
      <c r="I156" s="1217"/>
      <c r="J156" s="1217"/>
      <c r="K156" s="1217"/>
    </row>
    <row r="157" spans="1:22" x14ac:dyDescent="0.25">
      <c r="A157" s="160"/>
      <c r="B157" s="1217"/>
      <c r="C157" s="1217"/>
      <c r="D157" s="1217"/>
      <c r="E157" s="1217"/>
      <c r="F157" s="1217"/>
      <c r="G157" s="1217"/>
      <c r="H157" s="1217"/>
      <c r="I157" s="1217"/>
      <c r="J157" s="1217"/>
      <c r="K157" s="1217"/>
    </row>
    <row r="158" spans="1:22" x14ac:dyDescent="0.25">
      <c r="A158" s="160"/>
      <c r="B158" s="160"/>
      <c r="C158" s="160"/>
      <c r="D158" s="160"/>
      <c r="E158" s="160"/>
      <c r="F158" s="160"/>
      <c r="G158" s="160"/>
      <c r="H158" s="160"/>
      <c r="I158" s="160"/>
      <c r="J158" s="160"/>
      <c r="K158" s="160"/>
    </row>
    <row r="159" spans="1:22" ht="17.25" x14ac:dyDescent="0.25">
      <c r="A159" s="162" t="s">
        <v>619</v>
      </c>
      <c r="B159" s="1619" t="e">
        <f>ROUND(IF($B144="Monitor",IF(COUNTA(B153:B157)&gt;0,$G147,""),LARGE(B153:B157,1))*$C$2,0)</f>
        <v>#NUM!</v>
      </c>
      <c r="C159" s="1619" t="e">
        <f t="shared" ref="C159:K159" si="14">ROUND(IF($B144="Monitor",IF(COUNTA(C153:C157)&gt;0,$G147,""),LARGE(C153:C157,1))*$C$2,0)</f>
        <v>#NUM!</v>
      </c>
      <c r="D159" s="1619" t="e">
        <f t="shared" si="14"/>
        <v>#NUM!</v>
      </c>
      <c r="E159" s="1619" t="e">
        <f t="shared" si="14"/>
        <v>#NUM!</v>
      </c>
      <c r="F159" s="1619" t="e">
        <f t="shared" si="14"/>
        <v>#NUM!</v>
      </c>
      <c r="G159" s="1619" t="e">
        <f t="shared" si="14"/>
        <v>#NUM!</v>
      </c>
      <c r="H159" s="1619" t="e">
        <f t="shared" si="14"/>
        <v>#NUM!</v>
      </c>
      <c r="I159" s="1619" t="e">
        <f t="shared" si="14"/>
        <v>#NUM!</v>
      </c>
      <c r="J159" s="1619" t="e">
        <f t="shared" si="14"/>
        <v>#NUM!</v>
      </c>
      <c r="K159" s="1619" t="e">
        <f t="shared" si="14"/>
        <v>#NUM!</v>
      </c>
    </row>
    <row r="160" spans="1:22" x14ac:dyDescent="0.25">
      <c r="A160" s="162" t="s">
        <v>620</v>
      </c>
      <c r="B160" s="1909" t="e">
        <f>ROUND(200*(MAX(B153:B157)-MIN(B153:B157))/(MAX(B153:B157)+MIN(B153:B157)),1)</f>
        <v>#DIV/0!</v>
      </c>
      <c r="C160" s="1909" t="e">
        <f t="shared" ref="C160:K160" si="15">ROUND(200*(MAX(C153:C157)-MIN(C153:C157))/(MAX(C153:C157)+MIN(C153:C157)),1)</f>
        <v>#DIV/0!</v>
      </c>
      <c r="D160" s="1909" t="e">
        <f t="shared" si="15"/>
        <v>#DIV/0!</v>
      </c>
      <c r="E160" s="1909" t="e">
        <f t="shared" si="15"/>
        <v>#DIV/0!</v>
      </c>
      <c r="F160" s="1909" t="e">
        <f t="shared" si="15"/>
        <v>#DIV/0!</v>
      </c>
      <c r="G160" s="1909" t="e">
        <f t="shared" si="15"/>
        <v>#DIV/0!</v>
      </c>
      <c r="H160" s="1909" t="e">
        <f t="shared" si="15"/>
        <v>#DIV/0!</v>
      </c>
      <c r="I160" s="1909" t="e">
        <f t="shared" si="15"/>
        <v>#DIV/0!</v>
      </c>
      <c r="J160" s="1909" t="e">
        <f t="shared" si="15"/>
        <v>#DIV/0!</v>
      </c>
      <c r="K160" s="1909" t="e">
        <f t="shared" si="15"/>
        <v>#DIV/0!</v>
      </c>
    </row>
    <row r="164" spans="1:22" x14ac:dyDescent="0.25">
      <c r="A164" s="160" t="s">
        <v>617</v>
      </c>
      <c r="B164" s="694"/>
      <c r="C164" s="3061"/>
      <c r="D164" s="3061"/>
      <c r="E164" s="3061"/>
      <c r="F164" s="3061"/>
      <c r="G164" s="160"/>
      <c r="H164" s="160"/>
      <c r="I164" s="160"/>
      <c r="J164" s="2044" t="s">
        <v>2324</v>
      </c>
      <c r="K164" s="2046" t="s">
        <v>2329</v>
      </c>
    </row>
    <row r="165" spans="1:22" x14ac:dyDescent="0.25">
      <c r="A165" s="160" t="s">
        <v>621</v>
      </c>
      <c r="B165" s="3060"/>
      <c r="C165" s="3060"/>
      <c r="D165" s="3060"/>
      <c r="E165" s="3060"/>
      <c r="F165" s="160"/>
      <c r="G165" s="1907" t="s">
        <v>1999</v>
      </c>
      <c r="H165" s="160"/>
      <c r="I165" s="160"/>
      <c r="J165" s="2044" t="s">
        <v>2323</v>
      </c>
      <c r="K165" s="2046" t="s">
        <v>2329</v>
      </c>
    </row>
    <row r="166" spans="1:22" x14ac:dyDescent="0.25">
      <c r="A166" s="1059" t="s">
        <v>1325</v>
      </c>
      <c r="B166" s="1217"/>
      <c r="C166" s="160" t="s">
        <v>622</v>
      </c>
      <c r="D166" s="160"/>
      <c r="E166" s="160"/>
      <c r="F166" s="160"/>
      <c r="G166" s="1217"/>
      <c r="H166" s="1075" t="s">
        <v>1327</v>
      </c>
      <c r="I166" s="160"/>
      <c r="J166" s="160"/>
      <c r="K166" s="160"/>
    </row>
    <row r="167" spans="1:22" x14ac:dyDescent="0.25">
      <c r="A167" s="160" t="s">
        <v>623</v>
      </c>
      <c r="B167" s="3060">
        <v>9</v>
      </c>
      <c r="C167" s="3060"/>
      <c r="D167" s="3060"/>
      <c r="E167" s="3060"/>
      <c r="F167" s="160"/>
      <c r="G167" s="1217"/>
      <c r="H167" s="1075" t="s">
        <v>1328</v>
      </c>
      <c r="I167" s="160"/>
      <c r="J167" s="160"/>
      <c r="K167" s="160"/>
      <c r="V167" s="159">
        <f>B164</f>
        <v>0</v>
      </c>
    </row>
    <row r="168" spans="1:22" x14ac:dyDescent="0.25">
      <c r="A168" s="160" t="s">
        <v>119</v>
      </c>
      <c r="B168" s="3060"/>
      <c r="C168" s="3060"/>
      <c r="D168" s="3060"/>
      <c r="E168" s="3060"/>
      <c r="F168" s="160"/>
      <c r="G168" s="1056" t="e">
        <f>G167/G166</f>
        <v>#DIV/0!</v>
      </c>
      <c r="H168" s="1075" t="s">
        <v>1329</v>
      </c>
      <c r="I168" s="160"/>
      <c r="J168" s="160"/>
      <c r="K168" s="160"/>
    </row>
    <row r="169" spans="1:22" x14ac:dyDescent="0.25">
      <c r="A169" s="160" t="s">
        <v>121</v>
      </c>
      <c r="B169" s="3060"/>
      <c r="C169" s="3060"/>
      <c r="D169" s="3060"/>
      <c r="E169" s="3060"/>
      <c r="F169" s="160"/>
      <c r="G169" s="1056" t="e">
        <f>(G167+B166)/(G166+B166)</f>
        <v>#DIV/0!</v>
      </c>
      <c r="H169" s="1075" t="s">
        <v>1330</v>
      </c>
      <c r="I169" s="160"/>
      <c r="J169" s="160"/>
      <c r="K169" s="160"/>
    </row>
    <row r="170" spans="1:22" x14ac:dyDescent="0.25">
      <c r="A170" s="160" t="s">
        <v>624</v>
      </c>
      <c r="B170" s="3060"/>
      <c r="C170" s="3060"/>
      <c r="D170" s="3060"/>
      <c r="E170" s="3060"/>
      <c r="F170" s="160"/>
      <c r="G170" s="160"/>
      <c r="H170" s="160"/>
      <c r="I170" s="160"/>
      <c r="J170" s="160"/>
      <c r="K170" s="160"/>
    </row>
    <row r="171" spans="1:22" x14ac:dyDescent="0.25">
      <c r="A171" s="162" t="s">
        <v>618</v>
      </c>
      <c r="B171" s="162">
        <v>1</v>
      </c>
      <c r="C171" s="162">
        <v>2</v>
      </c>
      <c r="D171" s="162">
        <v>3</v>
      </c>
      <c r="E171" s="162">
        <v>4</v>
      </c>
      <c r="F171" s="162">
        <v>5</v>
      </c>
      <c r="G171" s="162">
        <v>6</v>
      </c>
      <c r="H171" s="162">
        <v>7</v>
      </c>
      <c r="I171" s="162">
        <v>8</v>
      </c>
      <c r="J171" s="162">
        <v>9</v>
      </c>
      <c r="K171" s="162">
        <v>10</v>
      </c>
    </row>
    <row r="172" spans="1:22" x14ac:dyDescent="0.25">
      <c r="A172" s="160"/>
      <c r="B172" s="160" t="s">
        <v>98</v>
      </c>
      <c r="C172" s="160" t="s">
        <v>98</v>
      </c>
      <c r="D172" s="160" t="s">
        <v>98</v>
      </c>
      <c r="E172" s="160" t="s">
        <v>98</v>
      </c>
      <c r="F172" s="160" t="s">
        <v>98</v>
      </c>
      <c r="G172" s="160" t="s">
        <v>98</v>
      </c>
      <c r="H172" s="160" t="s">
        <v>98</v>
      </c>
      <c r="I172" s="160" t="s">
        <v>98</v>
      </c>
      <c r="J172" s="160" t="s">
        <v>98</v>
      </c>
      <c r="K172" s="160" t="s">
        <v>98</v>
      </c>
    </row>
    <row r="173" spans="1:22" x14ac:dyDescent="0.25">
      <c r="A173" s="160"/>
      <c r="B173" s="1217"/>
      <c r="C173" s="1217"/>
      <c r="D173" s="1217"/>
      <c r="E173" s="1217"/>
      <c r="F173" s="1217"/>
      <c r="G173" s="1217"/>
      <c r="H173" s="1217"/>
      <c r="I173" s="1217"/>
      <c r="J173" s="1217"/>
      <c r="K173" s="1217"/>
    </row>
    <row r="174" spans="1:22" x14ac:dyDescent="0.25">
      <c r="A174" s="160"/>
      <c r="B174" s="1217"/>
      <c r="C174" s="1217"/>
      <c r="D174" s="1217"/>
      <c r="E174" s="1217"/>
      <c r="F174" s="1217"/>
      <c r="G174" s="1217"/>
      <c r="H174" s="1217"/>
      <c r="I174" s="1217"/>
      <c r="J174" s="1217"/>
      <c r="K174" s="1217"/>
    </row>
    <row r="175" spans="1:22" x14ac:dyDescent="0.25">
      <c r="A175" s="160"/>
      <c r="B175" s="1217"/>
      <c r="C175" s="1217"/>
      <c r="D175" s="1217"/>
      <c r="E175" s="1217"/>
      <c r="F175" s="1217"/>
      <c r="G175" s="1217"/>
      <c r="H175" s="1217"/>
      <c r="I175" s="1217"/>
      <c r="J175" s="1217"/>
      <c r="K175" s="1217"/>
    </row>
    <row r="176" spans="1:22" x14ac:dyDescent="0.25">
      <c r="A176" s="160"/>
      <c r="B176" s="1217"/>
      <c r="C176" s="1217"/>
      <c r="D176" s="1217"/>
      <c r="E176" s="1217"/>
      <c r="F176" s="1217"/>
      <c r="G176" s="1217"/>
      <c r="H176" s="1217"/>
      <c r="I176" s="1217"/>
      <c r="J176" s="1217"/>
      <c r="K176" s="1217"/>
    </row>
    <row r="177" spans="1:22" x14ac:dyDescent="0.25">
      <c r="A177" s="160"/>
      <c r="B177" s="1217"/>
      <c r="C177" s="1217"/>
      <c r="D177" s="1217"/>
      <c r="E177" s="1217"/>
      <c r="F177" s="1217"/>
      <c r="G177" s="1217"/>
      <c r="H177" s="1217"/>
      <c r="I177" s="1217"/>
      <c r="J177" s="1217"/>
      <c r="K177" s="1217"/>
    </row>
    <row r="178" spans="1:22" x14ac:dyDescent="0.25">
      <c r="A178" s="160"/>
      <c r="B178" s="160"/>
      <c r="C178" s="160"/>
      <c r="D178" s="160"/>
      <c r="E178" s="160"/>
      <c r="F178" s="160"/>
      <c r="G178" s="160"/>
      <c r="H178" s="160"/>
      <c r="I178" s="160"/>
      <c r="J178" s="160"/>
      <c r="K178" s="160"/>
    </row>
    <row r="179" spans="1:22" ht="17.25" x14ac:dyDescent="0.25">
      <c r="A179" s="162" t="s">
        <v>619</v>
      </c>
      <c r="B179" s="1619" t="e">
        <f>ROUND(IF($B164="Monitor",IF(COUNTA(B173:B177)&gt;0,$G167,""),LARGE(B173:B177,1))*$C$2,0)</f>
        <v>#NUM!</v>
      </c>
      <c r="C179" s="1619" t="e">
        <f t="shared" ref="C179:K179" si="16">ROUND(IF($B164="Monitor",IF(COUNTA(C173:C177)&gt;0,$G167,""),LARGE(C173:C177,1))*$C$2,0)</f>
        <v>#NUM!</v>
      </c>
      <c r="D179" s="1619" t="e">
        <f t="shared" si="16"/>
        <v>#NUM!</v>
      </c>
      <c r="E179" s="1619" t="e">
        <f t="shared" si="16"/>
        <v>#NUM!</v>
      </c>
      <c r="F179" s="1619" t="e">
        <f t="shared" si="16"/>
        <v>#NUM!</v>
      </c>
      <c r="G179" s="1619" t="e">
        <f t="shared" si="16"/>
        <v>#NUM!</v>
      </c>
      <c r="H179" s="1619" t="e">
        <f t="shared" si="16"/>
        <v>#NUM!</v>
      </c>
      <c r="I179" s="1619" t="e">
        <f t="shared" si="16"/>
        <v>#NUM!</v>
      </c>
      <c r="J179" s="1619" t="e">
        <f t="shared" si="16"/>
        <v>#NUM!</v>
      </c>
      <c r="K179" s="1619" t="e">
        <f t="shared" si="16"/>
        <v>#NUM!</v>
      </c>
    </row>
    <row r="180" spans="1:22" x14ac:dyDescent="0.25">
      <c r="A180" s="162" t="s">
        <v>620</v>
      </c>
      <c r="B180" s="1909" t="e">
        <f>ROUND(200*(MAX(B173:B177)-MIN(B173:B177))/(MAX(B173:B177)+MIN(B173:B177)),1)</f>
        <v>#DIV/0!</v>
      </c>
      <c r="C180" s="1909" t="e">
        <f t="shared" ref="C180:K180" si="17">ROUND(200*(MAX(C173:C177)-MIN(C173:C177))/(MAX(C173:C177)+MIN(C173:C177)),1)</f>
        <v>#DIV/0!</v>
      </c>
      <c r="D180" s="1909" t="e">
        <f t="shared" si="17"/>
        <v>#DIV/0!</v>
      </c>
      <c r="E180" s="1909" t="e">
        <f t="shared" si="17"/>
        <v>#DIV/0!</v>
      </c>
      <c r="F180" s="1909" t="e">
        <f t="shared" si="17"/>
        <v>#DIV/0!</v>
      </c>
      <c r="G180" s="1909" t="e">
        <f t="shared" si="17"/>
        <v>#DIV/0!</v>
      </c>
      <c r="H180" s="1909" t="e">
        <f t="shared" si="17"/>
        <v>#DIV/0!</v>
      </c>
      <c r="I180" s="1909" t="e">
        <f t="shared" si="17"/>
        <v>#DIV/0!</v>
      </c>
      <c r="J180" s="1909" t="e">
        <f t="shared" si="17"/>
        <v>#DIV/0!</v>
      </c>
      <c r="K180" s="1909" t="e">
        <f t="shared" si="17"/>
        <v>#DIV/0!</v>
      </c>
    </row>
    <row r="184" spans="1:22" x14ac:dyDescent="0.25">
      <c r="A184" s="160" t="s">
        <v>617</v>
      </c>
      <c r="B184" s="694"/>
      <c r="C184" s="3061"/>
      <c r="D184" s="3061"/>
      <c r="E184" s="3061"/>
      <c r="F184" s="3061"/>
      <c r="G184" s="160"/>
      <c r="H184" s="160"/>
      <c r="I184" s="160"/>
      <c r="J184" s="2044" t="s">
        <v>2324</v>
      </c>
      <c r="K184" s="2046" t="s">
        <v>2329</v>
      </c>
    </row>
    <row r="185" spans="1:22" x14ac:dyDescent="0.25">
      <c r="A185" s="160" t="s">
        <v>621</v>
      </c>
      <c r="B185" s="3060"/>
      <c r="C185" s="3060"/>
      <c r="D185" s="3060"/>
      <c r="E185" s="3060"/>
      <c r="F185" s="160"/>
      <c r="G185" s="1907" t="s">
        <v>1999</v>
      </c>
      <c r="H185" s="160"/>
      <c r="I185" s="160"/>
      <c r="J185" s="2044" t="s">
        <v>2323</v>
      </c>
      <c r="K185" s="2046" t="s">
        <v>2329</v>
      </c>
      <c r="V185" s="159">
        <f>B184</f>
        <v>0</v>
      </c>
    </row>
    <row r="186" spans="1:22" x14ac:dyDescent="0.25">
      <c r="A186" s="1059" t="s">
        <v>1325</v>
      </c>
      <c r="B186" s="1217"/>
      <c r="C186" s="160" t="s">
        <v>622</v>
      </c>
      <c r="D186" s="160"/>
      <c r="E186" s="160"/>
      <c r="F186" s="160"/>
      <c r="G186" s="1217"/>
      <c r="H186" s="1075" t="s">
        <v>1327</v>
      </c>
      <c r="I186" s="160"/>
      <c r="J186" s="160"/>
      <c r="K186" s="160"/>
    </row>
    <row r="187" spans="1:22" x14ac:dyDescent="0.25">
      <c r="A187" s="160" t="s">
        <v>623</v>
      </c>
      <c r="B187" s="3060">
        <v>10</v>
      </c>
      <c r="C187" s="3060"/>
      <c r="D187" s="3060"/>
      <c r="E187" s="3060"/>
      <c r="F187" s="160"/>
      <c r="G187" s="1217"/>
      <c r="H187" s="1075" t="s">
        <v>1328</v>
      </c>
      <c r="I187" s="160"/>
      <c r="J187" s="160"/>
      <c r="K187" s="160"/>
    </row>
    <row r="188" spans="1:22" x14ac:dyDescent="0.25">
      <c r="A188" s="160" t="s">
        <v>119</v>
      </c>
      <c r="B188" s="3060"/>
      <c r="C188" s="3060"/>
      <c r="D188" s="3060"/>
      <c r="E188" s="3060"/>
      <c r="F188" s="160"/>
      <c r="G188" s="1056" t="e">
        <f>G187/G186</f>
        <v>#DIV/0!</v>
      </c>
      <c r="H188" s="1075" t="s">
        <v>1329</v>
      </c>
      <c r="I188" s="160"/>
      <c r="J188" s="160"/>
      <c r="K188" s="160"/>
    </row>
    <row r="189" spans="1:22" x14ac:dyDescent="0.25">
      <c r="A189" s="160" t="s">
        <v>121</v>
      </c>
      <c r="B189" s="3060"/>
      <c r="C189" s="3060"/>
      <c r="D189" s="3060"/>
      <c r="E189" s="3060"/>
      <c r="F189" s="160"/>
      <c r="G189" s="1056" t="e">
        <f>(G187+B186)/(G186+B186)</f>
        <v>#DIV/0!</v>
      </c>
      <c r="H189" s="1075" t="s">
        <v>1330</v>
      </c>
      <c r="I189" s="160"/>
      <c r="J189" s="160"/>
      <c r="K189" s="160"/>
    </row>
    <row r="190" spans="1:22" x14ac:dyDescent="0.25">
      <c r="A190" s="160" t="s">
        <v>624</v>
      </c>
      <c r="B190" s="3060"/>
      <c r="C190" s="3060"/>
      <c r="D190" s="3060"/>
      <c r="E190" s="3060"/>
      <c r="F190" s="160"/>
      <c r="G190" s="160"/>
      <c r="H190" s="160"/>
      <c r="I190" s="160"/>
      <c r="J190" s="160"/>
      <c r="K190" s="160"/>
    </row>
    <row r="191" spans="1:22" x14ac:dyDescent="0.25">
      <c r="A191" s="162" t="s">
        <v>618</v>
      </c>
      <c r="B191" s="162">
        <v>1</v>
      </c>
      <c r="C191" s="162">
        <v>2</v>
      </c>
      <c r="D191" s="162">
        <v>3</v>
      </c>
      <c r="E191" s="162">
        <v>4</v>
      </c>
      <c r="F191" s="162">
        <v>5</v>
      </c>
      <c r="G191" s="162">
        <v>6</v>
      </c>
      <c r="H191" s="162">
        <v>7</v>
      </c>
      <c r="I191" s="162">
        <v>8</v>
      </c>
      <c r="J191" s="162">
        <v>9</v>
      </c>
      <c r="K191" s="162">
        <v>10</v>
      </c>
    </row>
    <row r="192" spans="1:22" x14ac:dyDescent="0.25">
      <c r="A192" s="160"/>
      <c r="B192" s="160" t="s">
        <v>98</v>
      </c>
      <c r="C192" s="160" t="s">
        <v>98</v>
      </c>
      <c r="D192" s="160" t="s">
        <v>98</v>
      </c>
      <c r="E192" s="160" t="s">
        <v>98</v>
      </c>
      <c r="F192" s="160" t="s">
        <v>98</v>
      </c>
      <c r="G192" s="160" t="s">
        <v>98</v>
      </c>
      <c r="H192" s="160" t="s">
        <v>98</v>
      </c>
      <c r="I192" s="160" t="s">
        <v>98</v>
      </c>
      <c r="J192" s="160" t="s">
        <v>98</v>
      </c>
      <c r="K192" s="160" t="s">
        <v>98</v>
      </c>
    </row>
    <row r="193" spans="1:11" x14ac:dyDescent="0.25">
      <c r="A193" s="160"/>
      <c r="B193" s="1217"/>
      <c r="C193" s="1217"/>
      <c r="D193" s="1217"/>
      <c r="E193" s="1217"/>
      <c r="F193" s="1217"/>
      <c r="G193" s="1217"/>
      <c r="H193" s="1217"/>
      <c r="I193" s="1217"/>
      <c r="J193" s="1217"/>
      <c r="K193" s="1217"/>
    </row>
    <row r="194" spans="1:11" x14ac:dyDescent="0.25">
      <c r="A194" s="160"/>
      <c r="B194" s="1217"/>
      <c r="C194" s="1217"/>
      <c r="D194" s="1217"/>
      <c r="E194" s="1217"/>
      <c r="F194" s="1217"/>
      <c r="G194" s="1217"/>
      <c r="H194" s="1217"/>
      <c r="I194" s="1217"/>
      <c r="J194" s="1217"/>
      <c r="K194" s="1217"/>
    </row>
    <row r="195" spans="1:11" x14ac:dyDescent="0.25">
      <c r="A195" s="160"/>
      <c r="B195" s="1217"/>
      <c r="C195" s="1217"/>
      <c r="D195" s="1217"/>
      <c r="E195" s="1217"/>
      <c r="F195" s="1217"/>
      <c r="G195" s="1217"/>
      <c r="H195" s="1217"/>
      <c r="I195" s="1217"/>
      <c r="J195" s="1217"/>
      <c r="K195" s="1217"/>
    </row>
    <row r="196" spans="1:11" x14ac:dyDescent="0.25">
      <c r="A196" s="160"/>
      <c r="B196" s="1217"/>
      <c r="C196" s="1217"/>
      <c r="D196" s="1217"/>
      <c r="E196" s="1217"/>
      <c r="F196" s="1217"/>
      <c r="G196" s="1217"/>
      <c r="H196" s="1217"/>
      <c r="I196" s="1217"/>
      <c r="J196" s="1217"/>
      <c r="K196" s="1217"/>
    </row>
    <row r="197" spans="1:11" x14ac:dyDescent="0.25">
      <c r="A197" s="160"/>
      <c r="B197" s="1217"/>
      <c r="C197" s="1217"/>
      <c r="D197" s="1217"/>
      <c r="E197" s="1217"/>
      <c r="F197" s="1217"/>
      <c r="G197" s="1217"/>
      <c r="H197" s="1217"/>
      <c r="I197" s="1217"/>
      <c r="J197" s="1217"/>
      <c r="K197" s="1217"/>
    </row>
    <row r="198" spans="1:11" x14ac:dyDescent="0.25">
      <c r="A198" s="160"/>
      <c r="B198" s="160"/>
      <c r="C198" s="160"/>
      <c r="D198" s="160"/>
      <c r="E198" s="160"/>
      <c r="F198" s="160"/>
      <c r="G198" s="160"/>
      <c r="H198" s="160"/>
      <c r="I198" s="160"/>
      <c r="J198" s="160"/>
      <c r="K198" s="160"/>
    </row>
    <row r="199" spans="1:11" ht="17.25" x14ac:dyDescent="0.25">
      <c r="A199" s="162" t="s">
        <v>619</v>
      </c>
      <c r="B199" s="1619" t="e">
        <f>ROUND(IF($B184="Monitor",IF(COUNTA(B193:B197)&gt;0,$G187,""),LARGE(B193:B197,1))*$C$2,0)</f>
        <v>#NUM!</v>
      </c>
      <c r="C199" s="1619" t="e">
        <f t="shared" ref="C199:K199" si="18">ROUND(IF($B184="Monitor",IF(COUNTA(C193:C197)&gt;0,$G187,""),LARGE(C193:C197,1))*$C$2,0)</f>
        <v>#NUM!</v>
      </c>
      <c r="D199" s="1619" t="e">
        <f t="shared" si="18"/>
        <v>#NUM!</v>
      </c>
      <c r="E199" s="1619" t="e">
        <f t="shared" si="18"/>
        <v>#NUM!</v>
      </c>
      <c r="F199" s="1619" t="e">
        <f t="shared" si="18"/>
        <v>#NUM!</v>
      </c>
      <c r="G199" s="1619" t="e">
        <f t="shared" si="18"/>
        <v>#NUM!</v>
      </c>
      <c r="H199" s="1619" t="e">
        <f t="shared" si="18"/>
        <v>#NUM!</v>
      </c>
      <c r="I199" s="1619" t="e">
        <f t="shared" si="18"/>
        <v>#NUM!</v>
      </c>
      <c r="J199" s="1619" t="e">
        <f t="shared" si="18"/>
        <v>#NUM!</v>
      </c>
      <c r="K199" s="1619" t="e">
        <f t="shared" si="18"/>
        <v>#NUM!</v>
      </c>
    </row>
    <row r="200" spans="1:11" x14ac:dyDescent="0.25">
      <c r="A200" s="162" t="s">
        <v>620</v>
      </c>
      <c r="B200" s="1909" t="e">
        <f>ROUND(200*(MAX(B193:B197)-MIN(B193:B197))/(MAX(B193:B197)+MIN(B193:B197)),1)</f>
        <v>#DIV/0!</v>
      </c>
      <c r="C200" s="1909" t="e">
        <f t="shared" ref="C200:K200" si="19">ROUND(200*(MAX(C193:C197)-MIN(C193:C197))/(MAX(C193:C197)+MIN(C193:C197)),1)</f>
        <v>#DIV/0!</v>
      </c>
      <c r="D200" s="1909" t="e">
        <f t="shared" si="19"/>
        <v>#DIV/0!</v>
      </c>
      <c r="E200" s="1909" t="e">
        <f t="shared" si="19"/>
        <v>#DIV/0!</v>
      </c>
      <c r="F200" s="1909" t="e">
        <f t="shared" si="19"/>
        <v>#DIV/0!</v>
      </c>
      <c r="G200" s="1909" t="e">
        <f t="shared" si="19"/>
        <v>#DIV/0!</v>
      </c>
      <c r="H200" s="1909" t="e">
        <f t="shared" si="19"/>
        <v>#DIV/0!</v>
      </c>
      <c r="I200" s="1909" t="e">
        <f t="shared" si="19"/>
        <v>#DIV/0!</v>
      </c>
      <c r="J200" s="1909" t="e">
        <f t="shared" si="19"/>
        <v>#DIV/0!</v>
      </c>
      <c r="K200" s="1909" t="e">
        <f t="shared" si="19"/>
        <v>#DIV/0!</v>
      </c>
    </row>
  </sheetData>
  <mergeCells count="59">
    <mergeCell ref="B187:E187"/>
    <mergeCell ref="B188:E188"/>
    <mergeCell ref="B189:E189"/>
    <mergeCell ref="B190:E190"/>
    <mergeCell ref="B168:E168"/>
    <mergeCell ref="B169:E169"/>
    <mergeCell ref="B170:E170"/>
    <mergeCell ref="C184:F184"/>
    <mergeCell ref="B185:E185"/>
    <mergeCell ref="B149:E149"/>
    <mergeCell ref="B150:E150"/>
    <mergeCell ref="C164:F164"/>
    <mergeCell ref="B165:E165"/>
    <mergeCell ref="B167:E167"/>
    <mergeCell ref="B130:E130"/>
    <mergeCell ref="C144:F144"/>
    <mergeCell ref="B145:E145"/>
    <mergeCell ref="B147:E147"/>
    <mergeCell ref="B148:E148"/>
    <mergeCell ref="C124:F124"/>
    <mergeCell ref="B125:E125"/>
    <mergeCell ref="B127:E127"/>
    <mergeCell ref="B128:E128"/>
    <mergeCell ref="B129:E129"/>
    <mergeCell ref="B105:E105"/>
    <mergeCell ref="B107:E107"/>
    <mergeCell ref="B108:E108"/>
    <mergeCell ref="B109:E109"/>
    <mergeCell ref="B110:E110"/>
    <mergeCell ref="B87:E87"/>
    <mergeCell ref="B88:E88"/>
    <mergeCell ref="B89:E89"/>
    <mergeCell ref="B90:E90"/>
    <mergeCell ref="C104:F104"/>
    <mergeCell ref="B68:E68"/>
    <mergeCell ref="B69:E69"/>
    <mergeCell ref="B70:E70"/>
    <mergeCell ref="C84:F84"/>
    <mergeCell ref="B85:E85"/>
    <mergeCell ref="B49:E49"/>
    <mergeCell ref="B50:E50"/>
    <mergeCell ref="C64:F64"/>
    <mergeCell ref="B65:E65"/>
    <mergeCell ref="B67:E67"/>
    <mergeCell ref="B30:E30"/>
    <mergeCell ref="C44:F44"/>
    <mergeCell ref="B45:E45"/>
    <mergeCell ref="B47:E47"/>
    <mergeCell ref="B48:E48"/>
    <mergeCell ref="B5:E5"/>
    <mergeCell ref="B25:E25"/>
    <mergeCell ref="B27:E27"/>
    <mergeCell ref="B28:E28"/>
    <mergeCell ref="B29:E29"/>
    <mergeCell ref="M10:N10"/>
    <mergeCell ref="B7:E7"/>
    <mergeCell ref="B8:E8"/>
    <mergeCell ref="B9:E9"/>
    <mergeCell ref="B10:E10"/>
  </mergeCells>
  <dataValidations count="1">
    <dataValidation type="list" allowBlank="1" showInputMessage="1" showErrorMessage="1" sqref="L167 B164 B144 B124 B104 B84 B64 B44 B4 B24 B184">
      <formula1>"Negatoscópio,Monitor"</formula1>
    </dataValidation>
  </dataValidations>
  <pageMargins left="0.511811024" right="0.511811024" top="0.78740157499999996" bottom="0.78740157499999996" header="0.31496062000000002" footer="0.31496062000000002"/>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P313"/>
  <sheetViews>
    <sheetView view="pageBreakPreview" zoomScale="160" zoomScaleNormal="100" zoomScaleSheetLayoutView="160" workbookViewId="0">
      <pane ySplit="1" topLeftCell="A257" activePane="bottomLeft" state="frozen"/>
      <selection activeCell="C12" sqref="C12:J13"/>
      <selection pane="bottomLeft" activeCell="C12" sqref="C12:J13"/>
    </sheetView>
  </sheetViews>
  <sheetFormatPr defaultColWidth="9.140625" defaultRowHeight="15" customHeight="1" x14ac:dyDescent="0.25"/>
  <cols>
    <col min="1" max="2" width="9.140625" style="2118" customWidth="1"/>
    <col min="3" max="11" width="7.42578125" style="2118" customWidth="1"/>
    <col min="12" max="12" width="8.140625" style="2118" customWidth="1"/>
    <col min="13" max="13" width="9.140625" style="2118"/>
    <col min="14" max="14" width="9.85546875" style="2118" bestFit="1" customWidth="1"/>
    <col min="15" max="16384" width="9.140625" style="2118"/>
  </cols>
  <sheetData>
    <row r="1" spans="1:13" s="2120" customFormat="1" ht="15" customHeight="1" x14ac:dyDescent="0.25">
      <c r="A1" s="2580" t="e">
        <f>Cabeçalho!B6</f>
        <v>#N/A</v>
      </c>
      <c r="B1" s="2580"/>
      <c r="C1" s="2580"/>
      <c r="D1" s="2580"/>
      <c r="E1" s="2580"/>
      <c r="F1" s="2856" t="s">
        <v>625</v>
      </c>
      <c r="G1" s="2856"/>
      <c r="H1" s="2856"/>
      <c r="I1" s="2856"/>
      <c r="J1" s="2123" t="s">
        <v>601</v>
      </c>
      <c r="K1" s="3067" t="e">
        <f>IF(Cabeçalho!B12="","",Cabeçalho!B12)</f>
        <v>#N/A</v>
      </c>
      <c r="L1" s="3067"/>
      <c r="M1" s="279" t="s">
        <v>648</v>
      </c>
    </row>
    <row r="3" spans="1:13" ht="15" customHeight="1" x14ac:dyDescent="0.25">
      <c r="A3" s="3066" t="str">
        <f>"LAUDO TÉCNICO DE DESEMPENHO DE "&amp;UPPER('negat e monit'!Q10)&amp;" UTILIZADOS PARA DIAGNÓSTICO"</f>
        <v>LAUDO TÉCNICO DE DESEMPENHO DE MONITORES UTILIZADOS PARA DIAGNÓSTICO</v>
      </c>
      <c r="B3" s="3066"/>
      <c r="C3" s="3066"/>
      <c r="D3" s="3066"/>
      <c r="E3" s="3066"/>
      <c r="F3" s="3066"/>
      <c r="G3" s="3066"/>
      <c r="H3" s="3066"/>
      <c r="I3" s="3066"/>
      <c r="J3" s="3066"/>
      <c r="K3" s="3066"/>
      <c r="L3" s="3066"/>
    </row>
    <row r="4" spans="1:13" ht="15" customHeight="1" x14ac:dyDescent="0.25">
      <c r="A4" s="3066"/>
      <c r="B4" s="3066"/>
      <c r="C4" s="3066"/>
      <c r="D4" s="3066"/>
      <c r="E4" s="3066"/>
      <c r="F4" s="3066"/>
      <c r="G4" s="3066"/>
      <c r="H4" s="3066"/>
      <c r="I4" s="3066"/>
      <c r="J4" s="3066"/>
      <c r="K4" s="3066"/>
      <c r="L4" s="3066"/>
    </row>
    <row r="6" spans="1:13" ht="15" customHeight="1" x14ac:dyDescent="0.25">
      <c r="A6" s="2483" t="s">
        <v>114</v>
      </c>
      <c r="B6" s="2483"/>
      <c r="C6" s="2483"/>
      <c r="D6" s="2483"/>
      <c r="E6" s="2483"/>
      <c r="F6" s="2483"/>
      <c r="G6" s="2483"/>
      <c r="H6" s="2483"/>
      <c r="I6" s="2483"/>
      <c r="J6" s="2483"/>
      <c r="K6" s="2483"/>
      <c r="L6" s="2483"/>
    </row>
    <row r="9" spans="1:13" ht="15" customHeight="1" x14ac:dyDescent="0.25">
      <c r="C9" s="2484" t="e">
        <f>Cabeçalho!B6</f>
        <v>#N/A</v>
      </c>
      <c r="D9" s="2484"/>
      <c r="E9" s="2484"/>
      <c r="F9" s="2484"/>
      <c r="G9" s="2484"/>
      <c r="H9" s="2484"/>
      <c r="I9" s="2484"/>
      <c r="J9" s="2484"/>
      <c r="K9" s="2484"/>
      <c r="L9" s="2484"/>
    </row>
    <row r="10" spans="1:13" ht="15" customHeight="1" x14ac:dyDescent="0.25">
      <c r="C10" s="2484"/>
      <c r="D10" s="2484"/>
      <c r="E10" s="2484"/>
      <c r="F10" s="2484"/>
      <c r="G10" s="2484"/>
      <c r="H10" s="2484"/>
      <c r="I10" s="2484"/>
      <c r="J10" s="2484"/>
      <c r="K10" s="2484"/>
      <c r="L10" s="2484"/>
    </row>
    <row r="11" spans="1:13" ht="15" customHeight="1" x14ac:dyDescent="0.25">
      <c r="B11" s="281"/>
      <c r="C11" s="281"/>
      <c r="D11" s="281"/>
      <c r="E11" s="281"/>
      <c r="F11" s="281"/>
      <c r="G11" s="281"/>
    </row>
    <row r="12" spans="1:13" ht="15" customHeight="1" x14ac:dyDescent="0.25">
      <c r="C12" s="2478" t="e">
        <f>Cabeçalho!B7</f>
        <v>#N/A</v>
      </c>
      <c r="D12" s="2478"/>
      <c r="E12" s="2478"/>
      <c r="F12" s="2478"/>
      <c r="G12" s="2478"/>
      <c r="H12" s="2478"/>
      <c r="I12" s="2478"/>
      <c r="J12" s="2478"/>
      <c r="K12" s="2478"/>
      <c r="L12" s="2478"/>
    </row>
    <row r="13" spans="1:13" ht="15" customHeight="1" x14ac:dyDescent="0.25">
      <c r="B13" s="281"/>
      <c r="C13" s="2478"/>
      <c r="D13" s="2478"/>
      <c r="E13" s="2478"/>
      <c r="F13" s="2478"/>
      <c r="G13" s="2478"/>
      <c r="H13" s="2478"/>
      <c r="I13" s="2478"/>
      <c r="J13" s="2478"/>
      <c r="K13" s="2478"/>
      <c r="L13" s="2478"/>
    </row>
    <row r="14" spans="1:13" ht="15" customHeight="1" x14ac:dyDescent="0.25">
      <c r="B14" s="281"/>
      <c r="C14" s="281"/>
      <c r="D14" s="281"/>
      <c r="E14" s="281"/>
      <c r="F14" s="281"/>
      <c r="G14" s="281"/>
    </row>
    <row r="15" spans="1:13" ht="15" customHeight="1" x14ac:dyDescent="0.25">
      <c r="C15" s="280" t="e">
        <f>Cabeçalho!B8</f>
        <v>#N/A</v>
      </c>
      <c r="F15" s="281" t="e">
        <f>CONCATENATE(Cabeçalho!B9,", ",Cabeçalho!B10)</f>
        <v>#N/A</v>
      </c>
      <c r="G15" s="281"/>
    </row>
    <row r="17" spans="1:14" ht="15" customHeight="1" x14ac:dyDescent="0.25">
      <c r="A17" s="2118" t="s">
        <v>115</v>
      </c>
      <c r="C17" s="2486" t="e">
        <f>Cabeçalho!B4</f>
        <v>#N/A</v>
      </c>
      <c r="D17" s="2486"/>
      <c r="E17" s="2486"/>
      <c r="F17" s="2486"/>
      <c r="G17" s="2486"/>
      <c r="H17" s="2486"/>
      <c r="I17" s="2486"/>
      <c r="J17" s="2486"/>
      <c r="K17" s="2486"/>
      <c r="L17" s="2486"/>
    </row>
    <row r="18" spans="1:14" ht="15" customHeight="1" x14ac:dyDescent="0.25">
      <c r="C18" s="280" t="e">
        <f>Cabeçalho!B5</f>
        <v>#N/A</v>
      </c>
    </row>
    <row r="19" spans="1:14" ht="15" customHeight="1" x14ac:dyDescent="0.25">
      <c r="C19" s="281"/>
    </row>
    <row r="20" spans="1:14" ht="15" customHeight="1" x14ac:dyDescent="0.25">
      <c r="A20" s="281" t="s">
        <v>116</v>
      </c>
    </row>
    <row r="21" spans="1:14" ht="15" customHeight="1" x14ac:dyDescent="0.25">
      <c r="A21" s="2469" t="str">
        <f>IntroRDC&amp;" Poderá servir de subsídio para a Análise Ergonômica do Trabalho (AET) definida na Norma Regulamentadora NR-17 do MTb."</f>
        <v xml:space="preserve">               Este Laudo Técnico é parte do Programa de Garantia da Qualidade, conforme Resolução da Diretoria Colegiada - RDC 611/2022 da ANVISA. Poderá servir de subsídio para a Análise Ergonômica do Trabalho (AET) definida na Norma Regulamentadora NR-17 do MTb.</v>
      </c>
      <c r="B21" s="2469"/>
      <c r="C21" s="2469"/>
      <c r="D21" s="2469"/>
      <c r="E21" s="2469"/>
      <c r="F21" s="2469"/>
      <c r="G21" s="2469"/>
      <c r="H21" s="2469"/>
      <c r="I21" s="2469"/>
      <c r="J21" s="2469"/>
      <c r="K21" s="2469"/>
      <c r="L21" s="2469"/>
    </row>
    <row r="22" spans="1:14" ht="15" customHeight="1" x14ac:dyDescent="0.25">
      <c r="A22" s="2469"/>
      <c r="B22" s="2469"/>
      <c r="C22" s="2469"/>
      <c r="D22" s="2469"/>
      <c r="E22" s="2469"/>
      <c r="F22" s="2469"/>
      <c r="G22" s="2469"/>
      <c r="H22" s="2469"/>
      <c r="I22" s="2469"/>
      <c r="J22" s="2469"/>
      <c r="K22" s="2469"/>
      <c r="L22" s="2469"/>
    </row>
    <row r="23" spans="1:14" ht="15" customHeight="1" x14ac:dyDescent="0.25">
      <c r="A23" s="2469"/>
      <c r="B23" s="2469"/>
      <c r="C23" s="2469"/>
      <c r="D23" s="2469"/>
      <c r="E23" s="2469"/>
      <c r="F23" s="2469"/>
      <c r="G23" s="2469"/>
      <c r="H23" s="2469"/>
      <c r="I23" s="2469"/>
      <c r="J23" s="2469"/>
      <c r="K23" s="2469"/>
      <c r="L23" s="2469"/>
    </row>
    <row r="24" spans="1:14" ht="15" customHeight="1" x14ac:dyDescent="0.25">
      <c r="A24" s="2469"/>
      <c r="B24" s="2469"/>
      <c r="C24" s="2469"/>
      <c r="D24" s="2469"/>
      <c r="E24" s="2469"/>
      <c r="F24" s="2469"/>
      <c r="G24" s="2469"/>
      <c r="H24" s="2469"/>
      <c r="I24" s="2469"/>
      <c r="J24" s="2469"/>
      <c r="K24" s="2469"/>
      <c r="L24" s="2469"/>
    </row>
    <row r="25" spans="1:14" ht="15" customHeight="1" x14ac:dyDescent="0.25">
      <c r="A25" s="2469" t="str">
        <f>IntroProtocolo</f>
        <v xml:space="preserve">               A metodologia utilizada atende aos "Protocolos para Execução de Testes em Sistemas de Radiologia Diagnóstica e Intervencionista" do CONFEA.</v>
      </c>
      <c r="B25" s="2469"/>
      <c r="C25" s="2469"/>
      <c r="D25" s="2469"/>
      <c r="E25" s="2469"/>
      <c r="F25" s="2469"/>
      <c r="G25" s="2469"/>
      <c r="H25" s="2469"/>
      <c r="I25" s="2469"/>
      <c r="J25" s="2469"/>
      <c r="K25" s="2469"/>
      <c r="L25" s="2469"/>
    </row>
    <row r="26" spans="1:14" ht="15" customHeight="1" x14ac:dyDescent="0.25">
      <c r="A26" s="2469"/>
      <c r="B26" s="2469"/>
      <c r="C26" s="2469"/>
      <c r="D26" s="2469"/>
      <c r="E26" s="2469"/>
      <c r="F26" s="2469"/>
      <c r="G26" s="2469"/>
      <c r="H26" s="2469"/>
      <c r="I26" s="2469"/>
      <c r="J26" s="2469"/>
      <c r="K26" s="2469"/>
      <c r="L26" s="2469"/>
    </row>
    <row r="28" spans="1:14" ht="15" customHeight="1" x14ac:dyDescent="0.25">
      <c r="A28" s="281" t="s">
        <v>333</v>
      </c>
    </row>
    <row r="29" spans="1:14" ht="15" customHeight="1" x14ac:dyDescent="0.25">
      <c r="A29" s="2469" t="str">
        <f>"                 Verificar as condições de desempenho dos "&amp;'negat e monit'!Q10&amp;" utilizados para diagnóstico ou laudo e a iluminância na sala de laudos na Área da Tarefa e a conformidade com as Instruções Normativas "&amp;'negat e monit'!S13&amp;", "&amp;'negat e monit'!S14&amp;", "&amp;'negat e monit'!S15&amp;" e "&amp;'negat e monit'!S16&amp;" da ANVISA."</f>
        <v xml:space="preserve">                 Verificar as condições de desempenho dos monitores utilizados para diagnóstico ou laudo e a iluminância na sala de laudos na Área da Tarefa e a conformidade com as Instruções Normativas IN 90/2021, IN 92/2021, IN 93/2021 e IN 94/2021 da ANVISA.</v>
      </c>
      <c r="B29" s="2469"/>
      <c r="C29" s="2469"/>
      <c r="D29" s="2469"/>
      <c r="E29" s="2469"/>
      <c r="F29" s="2469"/>
      <c r="G29" s="2469"/>
      <c r="H29" s="2469"/>
      <c r="I29" s="2469"/>
      <c r="J29" s="2469"/>
      <c r="K29" s="2469"/>
      <c r="L29" s="2469"/>
    </row>
    <row r="30" spans="1:14" ht="15" customHeight="1" x14ac:dyDescent="0.25">
      <c r="A30" s="2469"/>
      <c r="B30" s="2469"/>
      <c r="C30" s="2469"/>
      <c r="D30" s="2469"/>
      <c r="E30" s="2469"/>
      <c r="F30" s="2469"/>
      <c r="G30" s="2469"/>
      <c r="H30" s="2469"/>
      <c r="I30" s="2469"/>
      <c r="J30" s="2469"/>
      <c r="K30" s="2469"/>
      <c r="L30" s="2469"/>
    </row>
    <row r="31" spans="1:14" ht="15" customHeight="1" x14ac:dyDescent="0.25">
      <c r="A31" s="2469"/>
      <c r="B31" s="2469"/>
      <c r="C31" s="2469"/>
      <c r="D31" s="2469"/>
      <c r="E31" s="2469"/>
      <c r="F31" s="2469"/>
      <c r="G31" s="2469"/>
      <c r="H31" s="2469"/>
      <c r="I31" s="2469"/>
      <c r="J31" s="2469"/>
      <c r="K31" s="2469"/>
      <c r="L31" s="2469"/>
      <c r="N31" s="285"/>
    </row>
    <row r="32" spans="1:14" ht="15" customHeight="1" x14ac:dyDescent="0.25">
      <c r="A32" s="2469" t="str">
        <f>OBJETIVO</f>
        <v xml:space="preserve">                Fornecer elementos para aceitação ou rejeição do equipamento, bem como para corrigir eventuais desvios, falhas e anomalias.</v>
      </c>
      <c r="B32" s="2469"/>
      <c r="C32" s="2469"/>
      <c r="D32" s="2469"/>
      <c r="E32" s="2469"/>
      <c r="F32" s="2469"/>
      <c r="G32" s="2469"/>
      <c r="H32" s="2469"/>
      <c r="I32" s="2469"/>
      <c r="J32" s="2469"/>
      <c r="K32" s="2469"/>
      <c r="L32" s="2469"/>
      <c r="N32" s="285"/>
    </row>
    <row r="33" spans="1:13" ht="15" customHeight="1" x14ac:dyDescent="0.25">
      <c r="A33" s="2469"/>
      <c r="B33" s="2469"/>
      <c r="C33" s="2469"/>
      <c r="D33" s="2469"/>
      <c r="E33" s="2469"/>
      <c r="F33" s="2469"/>
      <c r="G33" s="2469"/>
      <c r="H33" s="2469"/>
      <c r="I33" s="2469"/>
      <c r="J33" s="2469"/>
      <c r="K33" s="2469"/>
      <c r="L33" s="2469"/>
    </row>
    <row r="34" spans="1:13" ht="15" customHeight="1" x14ac:dyDescent="0.25">
      <c r="A34" s="2118" t="s">
        <v>2358</v>
      </c>
      <c r="C34" s="2118" t="s">
        <v>2359</v>
      </c>
      <c r="D34" s="2111"/>
      <c r="E34" s="2111"/>
      <c r="F34" s="2111"/>
      <c r="G34" s="2111"/>
      <c r="H34" s="2111"/>
      <c r="I34" s="2111"/>
      <c r="J34" s="2111"/>
      <c r="K34" s="2111"/>
      <c r="L34" s="2111"/>
    </row>
    <row r="35" spans="1:13" ht="15" customHeight="1" x14ac:dyDescent="0.25">
      <c r="A35" s="2118" t="s">
        <v>2679</v>
      </c>
      <c r="C35" s="2118" t="s">
        <v>2681</v>
      </c>
      <c r="D35" s="2111"/>
      <c r="E35" s="2111"/>
      <c r="F35" s="2111"/>
      <c r="G35" s="2111"/>
      <c r="H35" s="2111"/>
      <c r="I35" s="2111"/>
      <c r="J35" s="2111"/>
      <c r="K35" s="2111"/>
      <c r="L35" s="2111"/>
    </row>
    <row r="36" spans="1:13" ht="15" customHeight="1" x14ac:dyDescent="0.25">
      <c r="C36" s="2468" t="s">
        <v>2680</v>
      </c>
      <c r="D36" s="2468"/>
      <c r="E36" s="2468"/>
      <c r="F36" s="2468"/>
      <c r="G36" s="2468"/>
      <c r="H36" s="2468"/>
      <c r="I36" s="2468"/>
      <c r="J36" s="2468"/>
      <c r="K36" s="2468"/>
      <c r="L36" s="2468"/>
    </row>
    <row r="37" spans="1:13" ht="15" customHeight="1" x14ac:dyDescent="0.25">
      <c r="C37" s="2468"/>
      <c r="D37" s="2468"/>
      <c r="E37" s="2468"/>
      <c r="F37" s="2468"/>
      <c r="G37" s="2468"/>
      <c r="H37" s="2468"/>
      <c r="I37" s="2468"/>
      <c r="J37" s="2468"/>
      <c r="K37" s="2468"/>
      <c r="L37" s="2468"/>
    </row>
    <row r="38" spans="1:13" ht="15" customHeight="1" x14ac:dyDescent="0.25">
      <c r="C38" s="2468" t="s">
        <v>2682</v>
      </c>
      <c r="D38" s="2468"/>
      <c r="E38" s="2468"/>
      <c r="F38" s="2468"/>
      <c r="G38" s="2468"/>
      <c r="H38" s="2468"/>
      <c r="I38" s="2468"/>
      <c r="J38" s="2468"/>
      <c r="K38" s="2468"/>
      <c r="L38" s="2468"/>
      <c r="M38" s="2118" t="str">
        <f>IF(COUNTIF('negat e monit'!$V$2:$V$195,"Monitor")&gt;0,"","x")</f>
        <v>x</v>
      </c>
    </row>
    <row r="39" spans="1:13" ht="15" customHeight="1" x14ac:dyDescent="0.25">
      <c r="C39" s="2468" t="s">
        <v>2683</v>
      </c>
      <c r="D39" s="2468"/>
      <c r="E39" s="2468"/>
      <c r="F39" s="2468"/>
      <c r="G39" s="2468"/>
      <c r="H39" s="2468"/>
      <c r="I39" s="2468"/>
      <c r="J39" s="2468"/>
      <c r="K39" s="2468"/>
      <c r="L39" s="2468"/>
      <c r="M39" s="2118" t="str">
        <f>IF(COUNTIF('negat e monit'!$V$2:$V$195,"Negatoscópio")&gt;0,"","x")</f>
        <v>x</v>
      </c>
    </row>
    <row r="40" spans="1:13" ht="15" customHeight="1" x14ac:dyDescent="0.25">
      <c r="D40" s="2111"/>
      <c r="E40" s="2111"/>
      <c r="F40" s="2111"/>
      <c r="G40" s="2111"/>
      <c r="H40" s="2111"/>
      <c r="I40" s="2111"/>
      <c r="J40" s="2111"/>
      <c r="K40" s="2111"/>
      <c r="L40" s="2111"/>
    </row>
    <row r="41" spans="1:13" ht="15" customHeight="1" x14ac:dyDescent="0.25">
      <c r="A41" s="281" t="str">
        <f>"3. CONDIÇÕES DE DESEMPENHO DOS "&amp;UPPER('negat e monit'!Q10)&amp;":"</f>
        <v>3. CONDIÇÕES DE DESEMPENHO DOS MONITORES:</v>
      </c>
    </row>
    <row r="42" spans="1:13" ht="15" customHeight="1" x14ac:dyDescent="0.25">
      <c r="A42" s="281"/>
    </row>
    <row r="43" spans="1:13" ht="15" customHeight="1" x14ac:dyDescent="0.25">
      <c r="A43" s="2483" t="str">
        <f>CONCATENATE('negat e monit'!B4," ",'negat e monit'!B7)</f>
        <v xml:space="preserve"> </v>
      </c>
      <c r="B43" s="2483"/>
      <c r="C43" s="2483"/>
      <c r="D43" s="2483"/>
      <c r="E43" s="2483"/>
      <c r="F43" s="2483"/>
      <c r="G43" s="2483"/>
      <c r="H43" s="2483"/>
      <c r="I43" s="2483"/>
      <c r="J43" s="2483"/>
      <c r="K43" s="2483"/>
      <c r="L43" s="2483"/>
      <c r="M43" s="2118" t="str">
        <f>IF(M44="x","x",'negat e monit'!B4)</f>
        <v>x</v>
      </c>
    </row>
    <row r="44" spans="1:13" ht="15" customHeight="1" x14ac:dyDescent="0.25">
      <c r="A44" s="3064" t="s">
        <v>2326</v>
      </c>
      <c r="B44" s="3064"/>
      <c r="C44" s="2171" t="str">
        <f>IF('negat e monit'!B8="","informação não encontrada",'negat e monit'!B8)</f>
        <v>informação não encontrada</v>
      </c>
      <c r="D44" s="2168"/>
      <c r="E44" s="2168"/>
      <c r="F44" s="2168"/>
      <c r="G44" s="2168"/>
      <c r="H44" s="2168"/>
      <c r="I44" s="2172" t="s">
        <v>2325</v>
      </c>
      <c r="J44" s="2171" t="str">
        <f>'negat e monit'!K4</f>
        <v>Informação não encontrada</v>
      </c>
      <c r="K44" s="2171"/>
      <c r="L44" s="2171"/>
      <c r="M44" s="2118" t="str">
        <f>M45</f>
        <v>x</v>
      </c>
    </row>
    <row r="45" spans="1:13" ht="15" customHeight="1" x14ac:dyDescent="0.25">
      <c r="A45" s="3064" t="s">
        <v>2327</v>
      </c>
      <c r="B45" s="3064"/>
      <c r="C45" s="2171" t="str">
        <f>IF('negat e monit'!B9="","informação não encontrada",'negat e monit'!B9)</f>
        <v>informação não encontrada</v>
      </c>
      <c r="D45" s="2168"/>
      <c r="E45" s="2168"/>
      <c r="F45" s="2168"/>
      <c r="G45" s="2168"/>
      <c r="H45" s="2168"/>
      <c r="I45" s="2172" t="s">
        <v>2330</v>
      </c>
      <c r="J45" s="3065" t="str">
        <f>'negat e monit'!K5</f>
        <v>Informação não encontrada</v>
      </c>
      <c r="K45" s="3065"/>
      <c r="L45" s="3065"/>
      <c r="M45" s="2118" t="str">
        <f>M46</f>
        <v>x</v>
      </c>
    </row>
    <row r="46" spans="1:13" ht="15" customHeight="1" x14ac:dyDescent="0.25">
      <c r="A46" s="3064" t="s">
        <v>2328</v>
      </c>
      <c r="B46" s="3064"/>
      <c r="C46" s="2171" t="str">
        <f>IF('negat e monit'!B10="","informação não encontrada",'negat e monit'!B10)</f>
        <v>informação não encontrada</v>
      </c>
      <c r="D46" s="2168"/>
      <c r="E46" s="2168"/>
      <c r="F46" s="2168"/>
      <c r="G46" s="2168"/>
      <c r="H46" s="2168"/>
      <c r="I46" s="2168"/>
      <c r="J46" s="2168"/>
      <c r="K46" s="2168"/>
      <c r="L46" s="2168"/>
      <c r="M46" s="2118" t="str">
        <f>M47</f>
        <v>x</v>
      </c>
    </row>
    <row r="47" spans="1:13" ht="15" customHeight="1" x14ac:dyDescent="0.25">
      <c r="A47" s="3064" t="s">
        <v>621</v>
      </c>
      <c r="B47" s="3064"/>
      <c r="C47" s="3062" t="str">
        <f>IF('negat e monit'!B5="","-",'negat e monit'!B5)</f>
        <v>-</v>
      </c>
      <c r="D47" s="3062"/>
      <c r="E47" s="3062"/>
      <c r="F47" s="3062"/>
      <c r="G47" s="3063" t="s">
        <v>633</v>
      </c>
      <c r="H47" s="3063"/>
      <c r="I47" s="3063"/>
      <c r="J47" s="3063"/>
      <c r="K47" s="2168">
        <f>'negat e monit'!B6</f>
        <v>0</v>
      </c>
      <c r="L47" s="2168" t="s">
        <v>622</v>
      </c>
      <c r="M47" s="2118" t="str">
        <f>M48</f>
        <v>x</v>
      </c>
    </row>
    <row r="48" spans="1:13" ht="15" customHeight="1" x14ac:dyDescent="0.25">
      <c r="A48" s="2821" t="s">
        <v>618</v>
      </c>
      <c r="B48" s="2456"/>
      <c r="C48" s="2175" t="e">
        <f>IF(ISERR(C49),C49,1)</f>
        <v>#NUM!</v>
      </c>
      <c r="D48" s="2175" t="e">
        <f>IF(ISERR(D49),D49,2)</f>
        <v>#NUM!</v>
      </c>
      <c r="E48" s="2175" t="e">
        <f>IF(ISERR(E49),E49,3)</f>
        <v>#NUM!</v>
      </c>
      <c r="F48" s="2175" t="e">
        <f>IF(ISERR(F49),F49,4)</f>
        <v>#NUM!</v>
      </c>
      <c r="G48" s="2175" t="e">
        <f>IF(ISERR(G49),G49,5)</f>
        <v>#NUM!</v>
      </c>
      <c r="H48" s="2175" t="e">
        <f>IF(ISERR(H49),H49,6)</f>
        <v>#NUM!</v>
      </c>
      <c r="I48" s="2175" t="e">
        <f>IF(ISERR(I49),I49,7)</f>
        <v>#NUM!</v>
      </c>
      <c r="J48" s="2175" t="e">
        <f>IF(ISERR(J49),J49,8)</f>
        <v>#NUM!</v>
      </c>
      <c r="K48" s="2175" t="e">
        <f>IF(ISERR(K49),K49,9)</f>
        <v>#NUM!</v>
      </c>
      <c r="L48" s="2175" t="e">
        <f>IF(ISERR(L49),L49,10)</f>
        <v>#NUM!</v>
      </c>
      <c r="M48" s="2118" t="str">
        <f>IF(ISERR(C48),"x","")</f>
        <v>x</v>
      </c>
    </row>
    <row r="49" spans="1:15" ht="15" customHeight="1" x14ac:dyDescent="0.25">
      <c r="A49" s="2821" t="s">
        <v>2716</v>
      </c>
      <c r="B49" s="2456"/>
      <c r="C49" s="2176" t="e">
        <f>'negat e monit'!B19</f>
        <v>#NUM!</v>
      </c>
      <c r="D49" s="2176" t="e">
        <f>'negat e monit'!C19</f>
        <v>#NUM!</v>
      </c>
      <c r="E49" s="2176" t="e">
        <f>'negat e monit'!D19</f>
        <v>#NUM!</v>
      </c>
      <c r="F49" s="2176" t="e">
        <f>'negat e monit'!E19</f>
        <v>#NUM!</v>
      </c>
      <c r="G49" s="2176" t="e">
        <f>'negat e monit'!F19</f>
        <v>#NUM!</v>
      </c>
      <c r="H49" s="2176" t="e">
        <f>'negat e monit'!G19</f>
        <v>#NUM!</v>
      </c>
      <c r="I49" s="2176" t="e">
        <f>'negat e monit'!H19</f>
        <v>#NUM!</v>
      </c>
      <c r="J49" s="2176" t="e">
        <f>'negat e monit'!I19</f>
        <v>#NUM!</v>
      </c>
      <c r="K49" s="2176" t="e">
        <f>'negat e monit'!J19</f>
        <v>#NUM!</v>
      </c>
      <c r="L49" s="2176" t="e">
        <f>'negat e monit'!K19</f>
        <v>#NUM!</v>
      </c>
      <c r="M49" s="2118" t="str">
        <f t="shared" ref="M49:M56" si="0">M48</f>
        <v>x</v>
      </c>
      <c r="N49" s="2113" t="s">
        <v>273</v>
      </c>
      <c r="O49" s="2113" t="s">
        <v>658</v>
      </c>
    </row>
    <row r="50" spans="1:15" ht="15" customHeight="1" x14ac:dyDescent="0.25">
      <c r="A50" s="2821" t="str">
        <f>'negat e monit'!$M$13&amp;", "&amp;'negat e monit'!$M$15&amp;", "&amp;'negat e monit'!$M$16</f>
        <v>IN 90, IN 93, IN 94</v>
      </c>
      <c r="B50" s="2456"/>
      <c r="C50" s="2176" t="e">
        <f>IF('negat e monit'!$B4="Negatoscópio",IF(C49&lt;1500,"Não","Sim"),IF(C49&lt;170,"Não","Sim"))</f>
        <v>#NUM!</v>
      </c>
      <c r="D50" s="2176" t="e">
        <f>IF('negat e monit'!$B4="Negatoscópio",IF(D49&lt;1500,"Não","Sim"),IF(D49&lt;170,"Não","Sim"))</f>
        <v>#NUM!</v>
      </c>
      <c r="E50" s="2176" t="e">
        <f>IF('negat e monit'!$B4="Negatoscópio",IF(E49&lt;1500,"Não","Sim"),IF(E49&lt;170,"Não","Sim"))</f>
        <v>#NUM!</v>
      </c>
      <c r="F50" s="2176" t="e">
        <f>IF('negat e monit'!$B4="Negatoscópio",IF(F49&lt;1500,"Não","Sim"),IF(F49&lt;170,"Não","Sim"))</f>
        <v>#NUM!</v>
      </c>
      <c r="G50" s="2176" t="e">
        <f>IF('negat e monit'!$B4="Negatoscópio",IF(G49&lt;1500,"Não","Sim"),IF(G49&lt;170,"Não","Sim"))</f>
        <v>#NUM!</v>
      </c>
      <c r="H50" s="2176" t="e">
        <f>IF('negat e monit'!$B4="Negatoscópio",IF(H49&lt;1500,"Não","Sim"),IF(H49&lt;170,"Não","Sim"))</f>
        <v>#NUM!</v>
      </c>
      <c r="I50" s="2176" t="e">
        <f>IF('negat e monit'!$B4="Negatoscópio",IF(I49&lt;1500,"Não","Sim"),IF(I49&lt;170,"Não","Sim"))</f>
        <v>#NUM!</v>
      </c>
      <c r="J50" s="2176" t="e">
        <f>IF('negat e monit'!$B4="Negatoscópio",IF(J49&lt;1500,"Não","Sim"),IF(J49&lt;170,"Não","Sim"))</f>
        <v>#NUM!</v>
      </c>
      <c r="K50" s="2176" t="e">
        <f>IF('negat e monit'!$B4="Negatoscópio",IF(K49&lt;1500,"Não","Sim"),IF(K49&lt;170,"Não","Sim"))</f>
        <v>#NUM!</v>
      </c>
      <c r="L50" s="2176" t="e">
        <f>IF('negat e monit'!$B4="Negatoscópio",IF(L49&lt;1500,"Não","Sim"),IF(L49&lt;170,"Não","Sim"))</f>
        <v>#NUM!</v>
      </c>
      <c r="M50" s="2118" t="str">
        <f t="shared" si="0"/>
        <v>x</v>
      </c>
      <c r="N50" s="2113">
        <f>IF((COUNTIF(C50:L50,"Não")+COUNTIF(C50:L50,"Restrição"))&gt;0,IF(M43="x",0,IF(M43="Negatoscópio","NN","MN")),0)</f>
        <v>0</v>
      </c>
      <c r="O50" s="2113">
        <f>COUNTIF(C50:L50,"Restrição")</f>
        <v>0</v>
      </c>
    </row>
    <row r="51" spans="1:15" ht="15" customHeight="1" x14ac:dyDescent="0.25">
      <c r="A51" s="2821" t="str">
        <f>'negat e monit'!$M$14</f>
        <v>IN 92</v>
      </c>
      <c r="B51" s="2456"/>
      <c r="C51" s="2176" t="e">
        <f>IF('negat e monit'!$B4="Negatoscópio",IF(C49&lt;=2500,"Restrição",IF(C49&lt;3000,"Não","Sim")),IF(C49&lt;350,"Não","Sim"))</f>
        <v>#NUM!</v>
      </c>
      <c r="D51" s="2176" t="e">
        <f>IF('negat e monit'!$B4="Negatoscópio",IF(D49&lt;=2500,"Restrição",IF(D49&lt;3000,"Não","Sim")),IF(D49&lt;350,"Não","Sim"))</f>
        <v>#NUM!</v>
      </c>
      <c r="E51" s="2176" t="e">
        <f>IF('negat e monit'!$B4="Negatoscópio",IF(E49&lt;=2500,"Restrição",IF(E49&lt;3000,"Não","Sim")),IF(E49&lt;350,"Não","Sim"))</f>
        <v>#NUM!</v>
      </c>
      <c r="F51" s="2176" t="e">
        <f>IF('negat e monit'!$B4="Negatoscópio",IF(F49&lt;=2500,"Restrição",IF(F49&lt;3000,"Não","Sim")),IF(F49&lt;350,"Não","Sim"))</f>
        <v>#NUM!</v>
      </c>
      <c r="G51" s="2176" t="e">
        <f>IF('negat e monit'!$B4="Negatoscópio",IF(G49&lt;=2500,"Restrição",IF(G49&lt;3000,"Não","Sim")),IF(G49&lt;350,"Não","Sim"))</f>
        <v>#NUM!</v>
      </c>
      <c r="H51" s="2176" t="e">
        <f>IF('negat e monit'!$B4="Negatoscópio",IF(H49&lt;=2500,"Restrição",IF(H49&lt;3000,"Não","Sim")),IF(H49&lt;350,"Não","Sim"))</f>
        <v>#NUM!</v>
      </c>
      <c r="I51" s="2176" t="e">
        <f>IF('negat e monit'!$B4="Negatoscópio",IF(I49&lt;=2500,"Restrição",IF(I49&lt;3000,"Não","Sim")),IF(I49&lt;350,"Não","Sim"))</f>
        <v>#NUM!</v>
      </c>
      <c r="J51" s="2176" t="e">
        <f>IF('negat e monit'!$B4="Negatoscópio",IF(J49&lt;=2500,"Restrição",IF(J49&lt;3000,"Não","Sim")),IF(J49&lt;350,"Não","Sim"))</f>
        <v>#NUM!</v>
      </c>
      <c r="K51" s="2176" t="e">
        <f>IF('negat e monit'!$B4="Negatoscópio",IF(K49&lt;=2500,"Restrição",IF(K49&lt;3000,"Não","Sim")),IF(K49&lt;350,"Não","Sim"))</f>
        <v>#NUM!</v>
      </c>
      <c r="L51" s="2176" t="e">
        <f>IF('negat e monit'!$B4="Negatoscópio",IF(L49&lt;=2500,"Restrição",IF(L49&lt;3000,"Não","Sim")),IF(L49&lt;350,"Não","Sim"))</f>
        <v>#NUM!</v>
      </c>
      <c r="M51" s="2118" t="str">
        <f t="shared" si="0"/>
        <v>x</v>
      </c>
      <c r="N51" s="2113">
        <f>IF((COUNTIF(C51:L51,"Não")+COUNTIF(C51:L51,"Restrição"))&gt;0,IF(M43="x",0,IF(M43="Negatoscópio","NN54","MN54")),0)</f>
        <v>0</v>
      </c>
      <c r="O51" s="2113">
        <f>COUNTIF(C51:L51,"Restrição")</f>
        <v>0</v>
      </c>
    </row>
    <row r="52" spans="1:15" ht="15" customHeight="1" x14ac:dyDescent="0.25">
      <c r="A52" s="2821" t="s">
        <v>620</v>
      </c>
      <c r="B52" s="2456"/>
      <c r="C52" s="2176" t="e">
        <f>'negat e monit'!B20</f>
        <v>#DIV/0!</v>
      </c>
      <c r="D52" s="2176" t="e">
        <f>'negat e monit'!C20</f>
        <v>#DIV/0!</v>
      </c>
      <c r="E52" s="2176" t="e">
        <f>'negat e monit'!D20</f>
        <v>#DIV/0!</v>
      </c>
      <c r="F52" s="2176" t="e">
        <f>'negat e monit'!E20</f>
        <v>#DIV/0!</v>
      </c>
      <c r="G52" s="2176" t="e">
        <f>'negat e monit'!F20</f>
        <v>#DIV/0!</v>
      </c>
      <c r="H52" s="2176" t="e">
        <f>'negat e monit'!G20</f>
        <v>#DIV/0!</v>
      </c>
      <c r="I52" s="2176" t="e">
        <f>'negat e monit'!H20</f>
        <v>#DIV/0!</v>
      </c>
      <c r="J52" s="2176" t="e">
        <f>'negat e monit'!I20</f>
        <v>#DIV/0!</v>
      </c>
      <c r="K52" s="2176" t="e">
        <f>'negat e monit'!J20</f>
        <v>#DIV/0!</v>
      </c>
      <c r="L52" s="2176" t="e">
        <f>'negat e monit'!K20</f>
        <v>#DIV/0!</v>
      </c>
      <c r="M52" s="2118" t="str">
        <f t="shared" si="0"/>
        <v>x</v>
      </c>
    </row>
    <row r="53" spans="1:15" ht="15" customHeight="1" x14ac:dyDescent="0.25">
      <c r="A53" s="2821" t="str">
        <f>A50</f>
        <v>IN 90, IN 93, IN 94</v>
      </c>
      <c r="B53" s="2456"/>
      <c r="C53" s="2176" t="e">
        <f>IF(C52&gt;30,"Não","Sim")</f>
        <v>#DIV/0!</v>
      </c>
      <c r="D53" s="2176" t="e">
        <f t="shared" ref="D53:L53" si="1">IF(D52&gt;30,"Não","Sim")</f>
        <v>#DIV/0!</v>
      </c>
      <c r="E53" s="2176" t="e">
        <f t="shared" si="1"/>
        <v>#DIV/0!</v>
      </c>
      <c r="F53" s="2176" t="e">
        <f t="shared" si="1"/>
        <v>#DIV/0!</v>
      </c>
      <c r="G53" s="2176" t="e">
        <f t="shared" si="1"/>
        <v>#DIV/0!</v>
      </c>
      <c r="H53" s="2176" t="e">
        <f t="shared" si="1"/>
        <v>#DIV/0!</v>
      </c>
      <c r="I53" s="2176" t="e">
        <f t="shared" si="1"/>
        <v>#DIV/0!</v>
      </c>
      <c r="J53" s="2176" t="e">
        <f t="shared" si="1"/>
        <v>#DIV/0!</v>
      </c>
      <c r="K53" s="2176" t="e">
        <f t="shared" si="1"/>
        <v>#DIV/0!</v>
      </c>
      <c r="L53" s="2176" t="e">
        <f t="shared" si="1"/>
        <v>#DIV/0!</v>
      </c>
      <c r="M53" s="2118" t="str">
        <f t="shared" si="0"/>
        <v>x</v>
      </c>
      <c r="N53" s="2113">
        <f>IF((COUNTIF(C53:L53,"Não")+COUNTIF(C53:L53,"Restrição"))&gt;0,IF(M43="x",0,IF(M43="Negatoscópio","NN","MN")),0)</f>
        <v>0</v>
      </c>
      <c r="O53" s="2113">
        <f>COUNTIF(C53:L53,"Restrição")</f>
        <v>0</v>
      </c>
    </row>
    <row r="54" spans="1:15" ht="15" customHeight="1" x14ac:dyDescent="0.25">
      <c r="A54" s="2821" t="str">
        <f>A51</f>
        <v>IN 92</v>
      </c>
      <c r="B54" s="2456"/>
      <c r="C54" s="2176" t="e">
        <f>IF(C52&gt;20,"Não","Sim")</f>
        <v>#DIV/0!</v>
      </c>
      <c r="D54" s="2176" t="e">
        <f t="shared" ref="D54:L54" si="2">IF(D52&gt;20,"Não","Sim")</f>
        <v>#DIV/0!</v>
      </c>
      <c r="E54" s="2176" t="e">
        <f t="shared" si="2"/>
        <v>#DIV/0!</v>
      </c>
      <c r="F54" s="2176" t="e">
        <f t="shared" si="2"/>
        <v>#DIV/0!</v>
      </c>
      <c r="G54" s="2176" t="e">
        <f t="shared" si="2"/>
        <v>#DIV/0!</v>
      </c>
      <c r="H54" s="2176" t="e">
        <f t="shared" si="2"/>
        <v>#DIV/0!</v>
      </c>
      <c r="I54" s="2176" t="e">
        <f t="shared" si="2"/>
        <v>#DIV/0!</v>
      </c>
      <c r="J54" s="2176" t="e">
        <f t="shared" si="2"/>
        <v>#DIV/0!</v>
      </c>
      <c r="K54" s="2176" t="e">
        <f t="shared" si="2"/>
        <v>#DIV/0!</v>
      </c>
      <c r="L54" s="2176" t="e">
        <f t="shared" si="2"/>
        <v>#DIV/0!</v>
      </c>
      <c r="M54" s="2118" t="str">
        <f t="shared" si="0"/>
        <v>x</v>
      </c>
      <c r="N54" s="2113">
        <f>IF((COUNTIF(C54:L54,"Não")+COUNTIF(C54:L54,"Restrição"))&gt;0,IF(M43="x",0,IF(M43="Negatoscópio","NN54","MN54")),0)</f>
        <v>0</v>
      </c>
      <c r="O54" s="2113">
        <f>COUNTIF(C54:L54,"Restrição")</f>
        <v>0</v>
      </c>
    </row>
    <row r="55" spans="1:15" ht="15" customHeight="1" x14ac:dyDescent="0.25">
      <c r="A55" s="2177" t="s">
        <v>2717</v>
      </c>
      <c r="B55" s="2178"/>
      <c r="C55" s="2178"/>
      <c r="D55" s="2178"/>
      <c r="E55" s="2178"/>
      <c r="F55" s="2178"/>
      <c r="G55" s="2178"/>
      <c r="H55" s="2178"/>
      <c r="I55" s="2178"/>
      <c r="J55" s="2178"/>
      <c r="K55" s="2168"/>
      <c r="L55" s="2168"/>
      <c r="M55" s="2118" t="str">
        <f t="shared" si="0"/>
        <v>x</v>
      </c>
    </row>
    <row r="56" spans="1:15" ht="15" customHeight="1" x14ac:dyDescent="0.25">
      <c r="A56" s="2178"/>
      <c r="B56" s="2178"/>
      <c r="C56" s="2178"/>
      <c r="D56" s="2178"/>
      <c r="E56" s="2178"/>
      <c r="F56" s="2178"/>
      <c r="G56" s="2178"/>
      <c r="H56" s="2178"/>
      <c r="I56" s="2178"/>
      <c r="J56" s="2178"/>
      <c r="K56" s="2168"/>
      <c r="L56" s="2168"/>
      <c r="M56" s="2118" t="str">
        <f t="shared" si="0"/>
        <v>x</v>
      </c>
    </row>
    <row r="57" spans="1:15" ht="15" customHeight="1" x14ac:dyDescent="0.25">
      <c r="A57" s="2178"/>
      <c r="B57" s="2178"/>
      <c r="C57" s="2178"/>
      <c r="D57" s="2178"/>
      <c r="E57" s="2178"/>
      <c r="F57" s="2178"/>
      <c r="G57" s="2178"/>
      <c r="H57" s="2178"/>
      <c r="I57" s="2178"/>
      <c r="J57" s="2178"/>
      <c r="K57" s="2168"/>
      <c r="L57" s="2168"/>
      <c r="M57" s="2118" t="s">
        <v>649</v>
      </c>
    </row>
    <row r="58" spans="1:15" ht="15" customHeight="1" x14ac:dyDescent="0.25">
      <c r="A58" s="2178"/>
      <c r="B58" s="2178"/>
      <c r="C58" s="2178"/>
      <c r="D58" s="2178"/>
      <c r="E58" s="2178"/>
      <c r="F58" s="2178"/>
      <c r="G58" s="2178"/>
      <c r="H58" s="2178"/>
      <c r="I58" s="2178"/>
      <c r="J58" s="2178"/>
      <c r="K58" s="2168"/>
      <c r="L58" s="2168"/>
      <c r="M58" s="2118" t="s">
        <v>649</v>
      </c>
    </row>
    <row r="59" spans="1:15" ht="15" customHeight="1" x14ac:dyDescent="0.25">
      <c r="A59" s="2178"/>
      <c r="B59" s="2178"/>
      <c r="C59" s="2178"/>
      <c r="D59" s="2178"/>
      <c r="E59" s="2178"/>
      <c r="F59" s="2178"/>
      <c r="G59" s="2178"/>
      <c r="H59" s="2178"/>
      <c r="I59" s="2178"/>
      <c r="J59" s="2178"/>
      <c r="K59" s="2168"/>
      <c r="L59" s="2168"/>
      <c r="M59" s="2118" t="s">
        <v>649</v>
      </c>
    </row>
    <row r="60" spans="1:15" ht="15" customHeight="1" x14ac:dyDescent="0.25">
      <c r="A60" s="2178"/>
      <c r="B60" s="2178"/>
      <c r="C60" s="2178"/>
      <c r="D60" s="2178"/>
      <c r="E60" s="2178"/>
      <c r="F60" s="2178"/>
      <c r="G60" s="2178"/>
      <c r="H60" s="2178"/>
      <c r="I60" s="2178"/>
      <c r="J60" s="2178"/>
      <c r="K60" s="2168"/>
      <c r="L60" s="2168"/>
      <c r="M60" s="2118" t="s">
        <v>649</v>
      </c>
    </row>
    <row r="61" spans="1:15" ht="15" customHeight="1" x14ac:dyDescent="0.25">
      <c r="A61" s="2178"/>
      <c r="B61" s="2178"/>
      <c r="C61" s="2178"/>
      <c r="D61" s="2178"/>
      <c r="E61" s="2178"/>
      <c r="F61" s="2178"/>
      <c r="G61" s="2178"/>
      <c r="H61" s="2178"/>
      <c r="I61" s="2178"/>
      <c r="J61" s="2178"/>
      <c r="K61" s="2168"/>
      <c r="L61" s="2168"/>
      <c r="M61" s="2118" t="s">
        <v>649</v>
      </c>
    </row>
    <row r="62" spans="1:15" ht="15" customHeight="1" x14ac:dyDescent="0.25">
      <c r="A62" s="2179"/>
      <c r="B62" s="2179"/>
      <c r="C62" s="2179"/>
      <c r="D62" s="2179"/>
      <c r="E62" s="2179"/>
      <c r="F62" s="2179"/>
      <c r="G62" s="2179"/>
      <c r="H62" s="2179"/>
      <c r="I62" s="2179"/>
      <c r="J62" s="2179"/>
      <c r="K62" s="2168"/>
      <c r="L62" s="2168"/>
      <c r="M62" s="2118" t="s">
        <v>649</v>
      </c>
    </row>
    <row r="63" spans="1:15" ht="15" customHeight="1" x14ac:dyDescent="0.25">
      <c r="A63" s="2483" t="str">
        <f>CONCATENATE('negat e monit'!B24," ",'negat e monit'!B27)</f>
        <v xml:space="preserve"> 2</v>
      </c>
      <c r="B63" s="2483"/>
      <c r="C63" s="2483"/>
      <c r="D63" s="2483"/>
      <c r="E63" s="2483"/>
      <c r="F63" s="2483"/>
      <c r="G63" s="2483"/>
      <c r="H63" s="2483"/>
      <c r="I63" s="2483"/>
      <c r="J63" s="2483"/>
      <c r="K63" s="2483"/>
      <c r="L63" s="2483"/>
      <c r="M63" s="2118" t="str">
        <f>IF(M64="x","x",'negat e monit'!B24)</f>
        <v>x</v>
      </c>
    </row>
    <row r="64" spans="1:15" ht="15" customHeight="1" x14ac:dyDescent="0.25">
      <c r="A64" s="3064" t="s">
        <v>2326</v>
      </c>
      <c r="B64" s="3064"/>
      <c r="C64" s="2171" t="str">
        <f>IF('negat e monit'!B28="","informação não encontrada",'negat e monit'!B28)</f>
        <v>informação não encontrada</v>
      </c>
      <c r="D64" s="2168"/>
      <c r="E64" s="2168"/>
      <c r="F64" s="2168"/>
      <c r="G64" s="2168"/>
      <c r="H64" s="2168"/>
      <c r="I64" s="2172" t="s">
        <v>2325</v>
      </c>
      <c r="J64" s="2171" t="str">
        <f>'negat e monit'!K24</f>
        <v>Informação não encontrada</v>
      </c>
      <c r="K64" s="2171"/>
      <c r="L64" s="2171"/>
      <c r="M64" s="2118" t="str">
        <f>M65</f>
        <v>x</v>
      </c>
    </row>
    <row r="65" spans="1:15" ht="15" customHeight="1" x14ac:dyDescent="0.25">
      <c r="A65" s="3064" t="s">
        <v>2327</v>
      </c>
      <c r="B65" s="3064"/>
      <c r="C65" s="2171" t="str">
        <f>IF('negat e monit'!B29="","informação não encontrada",'negat e monit'!B29)</f>
        <v>informação não encontrada</v>
      </c>
      <c r="D65" s="2168"/>
      <c r="E65" s="2168"/>
      <c r="F65" s="2168"/>
      <c r="G65" s="2168"/>
      <c r="H65" s="2168"/>
      <c r="I65" s="2172" t="s">
        <v>2330</v>
      </c>
      <c r="J65" s="3065" t="str">
        <f>'negat e monit'!K25</f>
        <v>Informação não encontrada</v>
      </c>
      <c r="K65" s="3065"/>
      <c r="L65" s="3065"/>
      <c r="M65" s="2118" t="str">
        <f>M66</f>
        <v>x</v>
      </c>
    </row>
    <row r="66" spans="1:15" ht="15" customHeight="1" x14ac:dyDescent="0.25">
      <c r="A66" s="3064" t="s">
        <v>2328</v>
      </c>
      <c r="B66" s="3064"/>
      <c r="C66" s="2171" t="str">
        <f>IF('negat e monit'!B30="","informação não encontrada",'negat e monit'!B30)</f>
        <v>informação não encontrada</v>
      </c>
      <c r="D66" s="2168"/>
      <c r="E66" s="2168"/>
      <c r="F66" s="2168"/>
      <c r="G66" s="2168"/>
      <c r="H66" s="2168"/>
      <c r="I66" s="2168"/>
      <c r="J66" s="2168"/>
      <c r="K66" s="2168"/>
      <c r="L66" s="2168"/>
      <c r="M66" s="2118" t="str">
        <f>M67</f>
        <v>x</v>
      </c>
    </row>
    <row r="67" spans="1:15" ht="15" customHeight="1" x14ac:dyDescent="0.25">
      <c r="A67" s="3064" t="s">
        <v>621</v>
      </c>
      <c r="B67" s="3064"/>
      <c r="C67" s="3062" t="str">
        <f>IF('negat e monit'!B25="","-",'negat e monit'!B25)</f>
        <v>-</v>
      </c>
      <c r="D67" s="3062"/>
      <c r="E67" s="3062"/>
      <c r="F67" s="3062"/>
      <c r="G67" s="3063" t="s">
        <v>633</v>
      </c>
      <c r="H67" s="3063"/>
      <c r="I67" s="3063"/>
      <c r="J67" s="3063"/>
      <c r="K67" s="2168">
        <f>'negat e monit'!B26</f>
        <v>0</v>
      </c>
      <c r="L67" s="2168" t="s">
        <v>622</v>
      </c>
      <c r="M67" s="2118" t="str">
        <f>M68</f>
        <v>x</v>
      </c>
    </row>
    <row r="68" spans="1:15" ht="15" customHeight="1" x14ac:dyDescent="0.25">
      <c r="A68" s="2821" t="s">
        <v>618</v>
      </c>
      <c r="B68" s="2456"/>
      <c r="C68" s="2175" t="e">
        <f>IF(ISERR(C69),C69,1)</f>
        <v>#NUM!</v>
      </c>
      <c r="D68" s="2175" t="e">
        <f>IF(ISERR(D69),D69,2)</f>
        <v>#NUM!</v>
      </c>
      <c r="E68" s="2175" t="e">
        <f>IF(ISERR(E69),E69,3)</f>
        <v>#NUM!</v>
      </c>
      <c r="F68" s="2175" t="e">
        <f>IF(ISERR(F69),F69,4)</f>
        <v>#NUM!</v>
      </c>
      <c r="G68" s="2175" t="e">
        <f>IF(ISERR(G69),G69,5)</f>
        <v>#NUM!</v>
      </c>
      <c r="H68" s="2175" t="e">
        <f>IF(ISERR(H69),H69,6)</f>
        <v>#NUM!</v>
      </c>
      <c r="I68" s="2175" t="e">
        <f>IF(ISERR(I69),I69,7)</f>
        <v>#NUM!</v>
      </c>
      <c r="J68" s="2175" t="e">
        <f>IF(ISERR(J69),J69,8)</f>
        <v>#NUM!</v>
      </c>
      <c r="K68" s="2175" t="e">
        <f>IF(ISERR(K69),K69,9)</f>
        <v>#NUM!</v>
      </c>
      <c r="L68" s="2175" t="e">
        <f>IF(ISERR(L69),L69,10)</f>
        <v>#NUM!</v>
      </c>
      <c r="M68" s="2118" t="str">
        <f>IF(ISERR(C68),"x","")</f>
        <v>x</v>
      </c>
    </row>
    <row r="69" spans="1:15" ht="15" customHeight="1" x14ac:dyDescent="0.25">
      <c r="A69" s="2821" t="s">
        <v>2716</v>
      </c>
      <c r="B69" s="2456"/>
      <c r="C69" s="2176" t="e">
        <f>'negat e monit'!B39</f>
        <v>#NUM!</v>
      </c>
      <c r="D69" s="2176" t="e">
        <f>'negat e monit'!C39</f>
        <v>#NUM!</v>
      </c>
      <c r="E69" s="2176" t="e">
        <f>'negat e monit'!D39</f>
        <v>#NUM!</v>
      </c>
      <c r="F69" s="2176" t="e">
        <f>'negat e monit'!E39</f>
        <v>#NUM!</v>
      </c>
      <c r="G69" s="2176" t="e">
        <f>'negat e monit'!F39</f>
        <v>#NUM!</v>
      </c>
      <c r="H69" s="2176" t="e">
        <f>'negat e monit'!G39</f>
        <v>#NUM!</v>
      </c>
      <c r="I69" s="2176" t="e">
        <f>'negat e monit'!H39</f>
        <v>#NUM!</v>
      </c>
      <c r="J69" s="2176" t="e">
        <f>'negat e monit'!I39</f>
        <v>#NUM!</v>
      </c>
      <c r="K69" s="2176" t="e">
        <f>'negat e monit'!J39</f>
        <v>#NUM!</v>
      </c>
      <c r="L69" s="2176" t="e">
        <f>'negat e monit'!K39</f>
        <v>#NUM!</v>
      </c>
      <c r="M69" s="2118" t="str">
        <f t="shared" ref="M69:M76" si="3">M68</f>
        <v>x</v>
      </c>
      <c r="N69" s="2113" t="s">
        <v>273</v>
      </c>
      <c r="O69" s="2113" t="s">
        <v>658</v>
      </c>
    </row>
    <row r="70" spans="1:15" ht="15" customHeight="1" x14ac:dyDescent="0.25">
      <c r="A70" s="2821" t="str">
        <f>'negat e monit'!$M$13&amp;", "&amp;'negat e monit'!$M$15&amp;", "&amp;'negat e monit'!$M$16</f>
        <v>IN 90, IN 93, IN 94</v>
      </c>
      <c r="B70" s="2456"/>
      <c r="C70" s="2176" t="e">
        <f>IF('negat e monit'!$B24="Negatoscópio",IF(C69&lt;1500,"Não","Sim"),IF(C69&lt;170,"Não","Sim"))</f>
        <v>#NUM!</v>
      </c>
      <c r="D70" s="2176" t="e">
        <f>IF('negat e monit'!$B24="Negatoscópio",IF(D69&lt;1500,"Não","Sim"),IF(D69&lt;170,"Não","Sim"))</f>
        <v>#NUM!</v>
      </c>
      <c r="E70" s="2176" t="e">
        <f>IF('negat e monit'!$B24="Negatoscópio",IF(E69&lt;1500,"Não","Sim"),IF(E69&lt;170,"Não","Sim"))</f>
        <v>#NUM!</v>
      </c>
      <c r="F70" s="2176" t="e">
        <f>IF('negat e monit'!$B24="Negatoscópio",IF(F69&lt;1500,"Não","Sim"),IF(F69&lt;170,"Não","Sim"))</f>
        <v>#NUM!</v>
      </c>
      <c r="G70" s="2176" t="e">
        <f>IF('negat e monit'!$B24="Negatoscópio",IF(G69&lt;1500,"Não","Sim"),IF(G69&lt;170,"Não","Sim"))</f>
        <v>#NUM!</v>
      </c>
      <c r="H70" s="2176" t="e">
        <f>IF('negat e monit'!$B24="Negatoscópio",IF(H69&lt;1500,"Não","Sim"),IF(H69&lt;170,"Não","Sim"))</f>
        <v>#NUM!</v>
      </c>
      <c r="I70" s="2176" t="e">
        <f>IF('negat e monit'!$B24="Negatoscópio",IF(I69&lt;1500,"Não","Sim"),IF(I69&lt;170,"Não","Sim"))</f>
        <v>#NUM!</v>
      </c>
      <c r="J70" s="2176" t="e">
        <f>IF('negat e monit'!$B24="Negatoscópio",IF(J69&lt;1500,"Não","Sim"),IF(J69&lt;170,"Não","Sim"))</f>
        <v>#NUM!</v>
      </c>
      <c r="K70" s="2176" t="e">
        <f>IF('negat e monit'!$B24="Negatoscópio",IF(K69&lt;1500,"Não","Sim"),IF(K69&lt;170,"Não","Sim"))</f>
        <v>#NUM!</v>
      </c>
      <c r="L70" s="2176" t="e">
        <f>IF('negat e monit'!$B24="Negatoscópio",IF(L69&lt;1500,"Não","Sim"),IF(L69&lt;170,"Não","Sim"))</f>
        <v>#NUM!</v>
      </c>
      <c r="M70" s="2118" t="str">
        <f t="shared" si="3"/>
        <v>x</v>
      </c>
      <c r="N70" s="2113">
        <f>IF((COUNTIF(C70:L70,"Não")+COUNTIF(C70:L70,"Restrição"))&gt;0,IF(M63="x",0,IF(M63="Negatoscópio","NN","MN")),0)</f>
        <v>0</v>
      </c>
      <c r="O70" s="2113">
        <f>COUNTIF(C70:L70,"Restrição")</f>
        <v>0</v>
      </c>
    </row>
    <row r="71" spans="1:15" ht="15" customHeight="1" x14ac:dyDescent="0.25">
      <c r="A71" s="2821" t="str">
        <f>'negat e monit'!$M$14</f>
        <v>IN 92</v>
      </c>
      <c r="B71" s="2456"/>
      <c r="C71" s="2176" t="e">
        <f>IF('negat e monit'!$B24="Negatoscópio",IF(C69&lt;=2500,"Restrição",IF(C69&lt;3000,"Não","Sim")),IF(C69&lt;350,"Não","Sim"))</f>
        <v>#NUM!</v>
      </c>
      <c r="D71" s="2176" t="e">
        <f>IF('negat e monit'!$B24="Negatoscópio",IF(D69&lt;=2500,"Restrição",IF(D69&lt;3000,"Não","Sim")),IF(D69&lt;350,"Não","Sim"))</f>
        <v>#NUM!</v>
      </c>
      <c r="E71" s="2176" t="e">
        <f>IF('negat e monit'!$B24="Negatoscópio",IF(E69&lt;=2500,"Restrição",IF(E69&lt;3000,"Não","Sim")),IF(E69&lt;350,"Não","Sim"))</f>
        <v>#NUM!</v>
      </c>
      <c r="F71" s="2176" t="e">
        <f>IF('negat e monit'!$B24="Negatoscópio",IF(F69&lt;=2500,"Restrição",IF(F69&lt;3000,"Não","Sim")),IF(F69&lt;350,"Não","Sim"))</f>
        <v>#NUM!</v>
      </c>
      <c r="G71" s="2176" t="e">
        <f>IF('negat e monit'!$B24="Negatoscópio",IF(G69&lt;=2500,"Restrição",IF(G69&lt;3000,"Não","Sim")),IF(G69&lt;350,"Não","Sim"))</f>
        <v>#NUM!</v>
      </c>
      <c r="H71" s="2176" t="e">
        <f>IF('negat e monit'!$B24="Negatoscópio",IF(H69&lt;=2500,"Restrição",IF(H69&lt;3000,"Não","Sim")),IF(H69&lt;350,"Não","Sim"))</f>
        <v>#NUM!</v>
      </c>
      <c r="I71" s="2176" t="e">
        <f>IF('negat e monit'!$B24="Negatoscópio",IF(I69&lt;=2500,"Restrição",IF(I69&lt;3000,"Não","Sim")),IF(I69&lt;350,"Não","Sim"))</f>
        <v>#NUM!</v>
      </c>
      <c r="J71" s="2176" t="e">
        <f>IF('negat e monit'!$B24="Negatoscópio",IF(J69&lt;=2500,"Restrição",IF(J69&lt;3000,"Não","Sim")),IF(J69&lt;350,"Não","Sim"))</f>
        <v>#NUM!</v>
      </c>
      <c r="K71" s="2176" t="e">
        <f>IF('negat e monit'!$B24="Negatoscópio",IF(K69&lt;=2500,"Restrição",IF(K69&lt;3000,"Não","Sim")),IF(K69&lt;350,"Não","Sim"))</f>
        <v>#NUM!</v>
      </c>
      <c r="L71" s="2176" t="e">
        <f>IF('negat e monit'!$B24="Negatoscópio",IF(L69&lt;=2500,"Restrição",IF(L69&lt;3000,"Não","Sim")),IF(L69&lt;350,"Não","Sim"))</f>
        <v>#NUM!</v>
      </c>
      <c r="M71" s="2118" t="str">
        <f t="shared" si="3"/>
        <v>x</v>
      </c>
      <c r="N71" s="2113">
        <f>IF((COUNTIF(C71:L71,"Não")+COUNTIF(C71:L71,"Restrição"))&gt;0,IF(M63="x",0,IF(M63="Negatoscópio","NN54","MN54")),0)</f>
        <v>0</v>
      </c>
      <c r="O71" s="2113">
        <f>COUNTIF(C71:L71,"Restrição")</f>
        <v>0</v>
      </c>
    </row>
    <row r="72" spans="1:15" ht="15" customHeight="1" x14ac:dyDescent="0.25">
      <c r="A72" s="2821" t="s">
        <v>620</v>
      </c>
      <c r="B72" s="2456"/>
      <c r="C72" s="2176" t="e">
        <f>'negat e monit'!B40</f>
        <v>#DIV/0!</v>
      </c>
      <c r="D72" s="2176" t="e">
        <f>'negat e monit'!C40</f>
        <v>#DIV/0!</v>
      </c>
      <c r="E72" s="2176" t="e">
        <f>'negat e monit'!D40</f>
        <v>#DIV/0!</v>
      </c>
      <c r="F72" s="2176" t="e">
        <f>'negat e monit'!E40</f>
        <v>#DIV/0!</v>
      </c>
      <c r="G72" s="2176" t="e">
        <f>'negat e monit'!F40</f>
        <v>#DIV/0!</v>
      </c>
      <c r="H72" s="2176" t="e">
        <f>'negat e monit'!G40</f>
        <v>#DIV/0!</v>
      </c>
      <c r="I72" s="2176" t="e">
        <f>'negat e monit'!H40</f>
        <v>#DIV/0!</v>
      </c>
      <c r="J72" s="2176" t="e">
        <f>'negat e monit'!I40</f>
        <v>#DIV/0!</v>
      </c>
      <c r="K72" s="2176" t="e">
        <f>'negat e monit'!J40</f>
        <v>#DIV/0!</v>
      </c>
      <c r="L72" s="2176" t="e">
        <f>'negat e monit'!K40</f>
        <v>#DIV/0!</v>
      </c>
      <c r="M72" s="2118" t="str">
        <f t="shared" si="3"/>
        <v>x</v>
      </c>
    </row>
    <row r="73" spans="1:15" ht="15" customHeight="1" x14ac:dyDescent="0.25">
      <c r="A73" s="2821" t="str">
        <f>A70</f>
        <v>IN 90, IN 93, IN 94</v>
      </c>
      <c r="B73" s="2456"/>
      <c r="C73" s="2176" t="e">
        <f>IF(C72&gt;30,"Não","Sim")</f>
        <v>#DIV/0!</v>
      </c>
      <c r="D73" s="2176" t="e">
        <f t="shared" ref="D73:L73" si="4">IF(D72&gt;30,"Não","Sim")</f>
        <v>#DIV/0!</v>
      </c>
      <c r="E73" s="2176" t="e">
        <f t="shared" si="4"/>
        <v>#DIV/0!</v>
      </c>
      <c r="F73" s="2176" t="e">
        <f t="shared" si="4"/>
        <v>#DIV/0!</v>
      </c>
      <c r="G73" s="2176" t="e">
        <f t="shared" si="4"/>
        <v>#DIV/0!</v>
      </c>
      <c r="H73" s="2176" t="e">
        <f t="shared" si="4"/>
        <v>#DIV/0!</v>
      </c>
      <c r="I73" s="2176" t="e">
        <f t="shared" si="4"/>
        <v>#DIV/0!</v>
      </c>
      <c r="J73" s="2176" t="e">
        <f t="shared" si="4"/>
        <v>#DIV/0!</v>
      </c>
      <c r="K73" s="2176" t="e">
        <f t="shared" si="4"/>
        <v>#DIV/0!</v>
      </c>
      <c r="L73" s="2176" t="e">
        <f t="shared" si="4"/>
        <v>#DIV/0!</v>
      </c>
      <c r="M73" s="2118" t="str">
        <f t="shared" si="3"/>
        <v>x</v>
      </c>
      <c r="N73" s="2113">
        <f>IF((COUNTIF(C73:L73,"Não")+COUNTIF(C73:L73,"Restrição"))&gt;0,IF(M63="x",0,IF(M63="Negatoscópio","NN","MN")),0)</f>
        <v>0</v>
      </c>
      <c r="O73" s="2113">
        <f>COUNTIF(C73:L73,"Restrição")</f>
        <v>0</v>
      </c>
    </row>
    <row r="74" spans="1:15" ht="15" customHeight="1" x14ac:dyDescent="0.25">
      <c r="A74" s="2821" t="str">
        <f>A71</f>
        <v>IN 92</v>
      </c>
      <c r="B74" s="2456"/>
      <c r="C74" s="2176" t="e">
        <f>IF(C72&gt;20,"Não","Sim")</f>
        <v>#DIV/0!</v>
      </c>
      <c r="D74" s="2176" t="e">
        <f t="shared" ref="D74:L74" si="5">IF(D72&gt;20,"Não","Sim")</f>
        <v>#DIV/0!</v>
      </c>
      <c r="E74" s="2176" t="e">
        <f t="shared" si="5"/>
        <v>#DIV/0!</v>
      </c>
      <c r="F74" s="2176" t="e">
        <f t="shared" si="5"/>
        <v>#DIV/0!</v>
      </c>
      <c r="G74" s="2176" t="e">
        <f t="shared" si="5"/>
        <v>#DIV/0!</v>
      </c>
      <c r="H74" s="2176" t="e">
        <f t="shared" si="5"/>
        <v>#DIV/0!</v>
      </c>
      <c r="I74" s="2176" t="e">
        <f t="shared" si="5"/>
        <v>#DIV/0!</v>
      </c>
      <c r="J74" s="2176" t="e">
        <f t="shared" si="5"/>
        <v>#DIV/0!</v>
      </c>
      <c r="K74" s="2176" t="e">
        <f t="shared" si="5"/>
        <v>#DIV/0!</v>
      </c>
      <c r="L74" s="2176" t="e">
        <f t="shared" si="5"/>
        <v>#DIV/0!</v>
      </c>
      <c r="M74" s="2118" t="str">
        <f t="shared" si="3"/>
        <v>x</v>
      </c>
      <c r="N74" s="2113">
        <f>IF((COUNTIF(C74:L74,"Não")+COUNTIF(C74:L74,"Restrição"))&gt;0,IF(M63="x",0,IF(M63="Negatoscópio","NN54","MN54")),0)</f>
        <v>0</v>
      </c>
      <c r="O74" s="2113">
        <f>COUNTIF(C74:L74,"Restrição")</f>
        <v>0</v>
      </c>
    </row>
    <row r="75" spans="1:15" ht="15" customHeight="1" x14ac:dyDescent="0.25">
      <c r="A75" s="2177" t="s">
        <v>2717</v>
      </c>
      <c r="B75" s="2178"/>
      <c r="C75" s="2178"/>
      <c r="D75" s="2178"/>
      <c r="E75" s="2178"/>
      <c r="F75" s="2178"/>
      <c r="G75" s="2178"/>
      <c r="H75" s="2178"/>
      <c r="I75" s="2178"/>
      <c r="J75" s="2178"/>
      <c r="K75" s="2168"/>
      <c r="L75" s="2168"/>
      <c r="M75" s="2118" t="str">
        <f t="shared" si="3"/>
        <v>x</v>
      </c>
    </row>
    <row r="76" spans="1:15" s="285" customFormat="1" ht="15" customHeight="1" x14ac:dyDescent="0.25">
      <c r="A76" s="2179"/>
      <c r="B76" s="2179"/>
      <c r="C76" s="2179"/>
      <c r="D76" s="2179"/>
      <c r="E76" s="2179"/>
      <c r="F76" s="2179"/>
      <c r="G76" s="2179"/>
      <c r="H76" s="2179"/>
      <c r="I76" s="2179"/>
      <c r="J76" s="2179"/>
      <c r="K76" s="2180"/>
      <c r="L76" s="2180"/>
      <c r="M76" s="285" t="str">
        <f t="shared" si="3"/>
        <v>x</v>
      </c>
      <c r="N76" s="2118"/>
      <c r="O76" s="2118"/>
    </row>
    <row r="77" spans="1:15" s="285" customFormat="1" ht="15" customHeight="1" x14ac:dyDescent="0.25">
      <c r="A77" s="2178"/>
      <c r="B77" s="2178"/>
      <c r="C77" s="2178"/>
      <c r="D77" s="2178"/>
      <c r="E77" s="2178"/>
      <c r="F77" s="2178"/>
      <c r="G77" s="2178"/>
      <c r="H77" s="2178"/>
      <c r="I77" s="2178"/>
      <c r="J77" s="2178"/>
      <c r="K77" s="2168"/>
      <c r="L77" s="2168"/>
      <c r="M77" s="2118" t="s">
        <v>649</v>
      </c>
      <c r="N77" s="2118"/>
      <c r="O77" s="2118"/>
    </row>
    <row r="78" spans="1:15" s="285" customFormat="1" ht="15" customHeight="1" x14ac:dyDescent="0.25">
      <c r="A78" s="2178"/>
      <c r="B78" s="2178"/>
      <c r="C78" s="2178"/>
      <c r="D78" s="2178"/>
      <c r="E78" s="2178"/>
      <c r="F78" s="2178"/>
      <c r="G78" s="2178"/>
      <c r="H78" s="2178"/>
      <c r="I78" s="2178"/>
      <c r="J78" s="2178"/>
      <c r="K78" s="2168"/>
      <c r="L78" s="2168"/>
      <c r="M78" s="2118" t="s">
        <v>649</v>
      </c>
      <c r="N78" s="2118"/>
      <c r="O78" s="2118"/>
    </row>
    <row r="79" spans="1:15" s="285" customFormat="1" ht="15" customHeight="1" x14ac:dyDescent="0.25">
      <c r="A79" s="2178"/>
      <c r="B79" s="2178"/>
      <c r="C79" s="2178"/>
      <c r="D79" s="2178"/>
      <c r="E79" s="2178"/>
      <c r="F79" s="2178"/>
      <c r="G79" s="2178"/>
      <c r="H79" s="2178"/>
      <c r="I79" s="2178"/>
      <c r="J79" s="2178"/>
      <c r="K79" s="2168"/>
      <c r="L79" s="2168"/>
      <c r="M79" s="2118" t="s">
        <v>649</v>
      </c>
      <c r="N79" s="2118"/>
      <c r="O79" s="2118"/>
    </row>
    <row r="80" spans="1:15" s="285" customFormat="1" ht="15" customHeight="1" x14ac:dyDescent="0.25">
      <c r="A80" s="2178"/>
      <c r="B80" s="2178"/>
      <c r="C80" s="2178"/>
      <c r="D80" s="2178"/>
      <c r="E80" s="2178"/>
      <c r="F80" s="2178"/>
      <c r="G80" s="2178"/>
      <c r="H80" s="2178"/>
      <c r="I80" s="2178"/>
      <c r="J80" s="2178"/>
      <c r="K80" s="2168"/>
      <c r="L80" s="2168"/>
      <c r="M80" s="2118" t="s">
        <v>649</v>
      </c>
      <c r="N80" s="2118"/>
      <c r="O80" s="2118"/>
    </row>
    <row r="81" spans="1:15" s="285" customFormat="1" ht="15" customHeight="1" x14ac:dyDescent="0.25">
      <c r="A81" s="2178"/>
      <c r="B81" s="2178"/>
      <c r="C81" s="2178"/>
      <c r="D81" s="2178"/>
      <c r="E81" s="2178"/>
      <c r="F81" s="2178"/>
      <c r="G81" s="2178"/>
      <c r="H81" s="2178"/>
      <c r="I81" s="2178"/>
      <c r="J81" s="2178"/>
      <c r="K81" s="2168"/>
      <c r="L81" s="2168"/>
      <c r="M81" s="2118" t="s">
        <v>649</v>
      </c>
      <c r="N81" s="2118"/>
      <c r="O81" s="2118"/>
    </row>
    <row r="82" spans="1:15" s="285" customFormat="1" ht="15" customHeight="1" x14ac:dyDescent="0.25">
      <c r="A82" s="2179"/>
      <c r="B82" s="2179"/>
      <c r="C82" s="2179"/>
      <c r="D82" s="2179"/>
      <c r="E82" s="2179"/>
      <c r="F82" s="2179"/>
      <c r="G82" s="2179"/>
      <c r="H82" s="2179"/>
      <c r="I82" s="2179"/>
      <c r="J82" s="2179"/>
      <c r="K82" s="2168"/>
      <c r="L82" s="2168"/>
      <c r="M82" s="2118" t="s">
        <v>649</v>
      </c>
      <c r="N82" s="2118"/>
      <c r="O82" s="2118"/>
    </row>
    <row r="83" spans="1:15" s="285" customFormat="1" ht="15" customHeight="1" x14ac:dyDescent="0.25">
      <c r="A83" s="2483" t="str">
        <f>CONCATENATE('negat e monit'!B44," ",'negat e monit'!B47)</f>
        <v xml:space="preserve"> 3</v>
      </c>
      <c r="B83" s="2483"/>
      <c r="C83" s="2483"/>
      <c r="D83" s="2483"/>
      <c r="E83" s="2483"/>
      <c r="F83" s="2483"/>
      <c r="G83" s="2483"/>
      <c r="H83" s="2483"/>
      <c r="I83" s="2483"/>
      <c r="J83" s="2483"/>
      <c r="K83" s="2483"/>
      <c r="L83" s="2483"/>
      <c r="M83" s="2118" t="str">
        <f>IF(M84="x","x",'negat e monit'!B44)</f>
        <v>x</v>
      </c>
      <c r="N83" s="2118"/>
      <c r="O83" s="2118"/>
    </row>
    <row r="84" spans="1:15" s="285" customFormat="1" ht="15" customHeight="1" x14ac:dyDescent="0.25">
      <c r="A84" s="3064" t="s">
        <v>2326</v>
      </c>
      <c r="B84" s="3064"/>
      <c r="C84" s="2171" t="str">
        <f>IF('negat e monit'!B48="","informação não encontrada",'negat e monit'!B48)</f>
        <v>informação não encontrada</v>
      </c>
      <c r="D84" s="2118"/>
      <c r="E84" s="2118"/>
      <c r="F84" s="2118"/>
      <c r="G84" s="2118"/>
      <c r="H84" s="2118"/>
      <c r="I84" s="2172" t="s">
        <v>2325</v>
      </c>
      <c r="J84" s="2171" t="str">
        <f>'negat e monit'!K44</f>
        <v>Informação não encontrada</v>
      </c>
      <c r="K84" s="2119"/>
      <c r="L84" s="2119"/>
      <c r="M84" s="2118" t="str">
        <f>M85</f>
        <v>x</v>
      </c>
      <c r="N84" s="2118"/>
      <c r="O84" s="2118"/>
    </row>
    <row r="85" spans="1:15" s="285" customFormat="1" ht="15" customHeight="1" x14ac:dyDescent="0.25">
      <c r="A85" s="3064" t="s">
        <v>2327</v>
      </c>
      <c r="B85" s="3064"/>
      <c r="C85" s="2171" t="str">
        <f>IF('negat e monit'!B49="","informação não encontrada",'negat e monit'!B49)</f>
        <v>informação não encontrada</v>
      </c>
      <c r="D85" s="2118"/>
      <c r="E85" s="2118"/>
      <c r="F85" s="2118"/>
      <c r="G85" s="2118"/>
      <c r="H85" s="2118"/>
      <c r="I85" s="2172" t="s">
        <v>2330</v>
      </c>
      <c r="J85" s="3065" t="str">
        <f>'negat e monit'!K45</f>
        <v>Informação não encontrada</v>
      </c>
      <c r="K85" s="3065"/>
      <c r="L85" s="3065"/>
      <c r="M85" s="2118" t="str">
        <f>M86</f>
        <v>x</v>
      </c>
      <c r="N85" s="2118"/>
      <c r="O85" s="2118"/>
    </row>
    <row r="86" spans="1:15" s="285" customFormat="1" ht="15" customHeight="1" x14ac:dyDescent="0.25">
      <c r="A86" s="3064" t="s">
        <v>2328</v>
      </c>
      <c r="B86" s="3064"/>
      <c r="C86" s="2171" t="str">
        <f>IF('negat e monit'!B50="","informação não encontrada",'negat e monit'!B50)</f>
        <v>informação não encontrada</v>
      </c>
      <c r="D86" s="2118"/>
      <c r="E86" s="2118"/>
      <c r="F86" s="2118"/>
      <c r="G86" s="2118"/>
      <c r="H86" s="2118"/>
      <c r="I86" s="2118"/>
      <c r="J86" s="2118"/>
      <c r="K86" s="2118"/>
      <c r="L86" s="2118"/>
      <c r="M86" s="2118" t="str">
        <f>M87</f>
        <v>x</v>
      </c>
      <c r="N86" s="2118"/>
      <c r="O86" s="2118"/>
    </row>
    <row r="87" spans="1:15" s="285" customFormat="1" ht="15" customHeight="1" x14ac:dyDescent="0.25">
      <c r="A87" s="3064" t="s">
        <v>621</v>
      </c>
      <c r="B87" s="3064"/>
      <c r="C87" s="3062" t="str">
        <f>IF('negat e monit'!B45="","-",'negat e monit'!B45)</f>
        <v>-</v>
      </c>
      <c r="D87" s="3062"/>
      <c r="E87" s="3062"/>
      <c r="F87" s="3062"/>
      <c r="G87" s="3063" t="s">
        <v>633</v>
      </c>
      <c r="H87" s="3063"/>
      <c r="I87" s="3063"/>
      <c r="J87" s="3063"/>
      <c r="K87" s="2168">
        <f>'negat e monit'!B46</f>
        <v>0</v>
      </c>
      <c r="L87" s="2168" t="s">
        <v>622</v>
      </c>
      <c r="M87" s="2118" t="str">
        <f>M88</f>
        <v>x</v>
      </c>
      <c r="N87" s="2118"/>
      <c r="O87" s="2118"/>
    </row>
    <row r="88" spans="1:15" s="285" customFormat="1" ht="15" customHeight="1" x14ac:dyDescent="0.25">
      <c r="A88" s="2821" t="s">
        <v>618</v>
      </c>
      <c r="B88" s="2456"/>
      <c r="C88" s="2175" t="e">
        <f>IF(ISERR(C89),C89,1)</f>
        <v>#NUM!</v>
      </c>
      <c r="D88" s="2175" t="e">
        <f>IF(ISERR(D89),D89,2)</f>
        <v>#NUM!</v>
      </c>
      <c r="E88" s="2175" t="e">
        <f>IF(ISERR(E89),E89,3)</f>
        <v>#NUM!</v>
      </c>
      <c r="F88" s="2175" t="e">
        <f>IF(ISERR(F89),F89,4)</f>
        <v>#NUM!</v>
      </c>
      <c r="G88" s="2175" t="e">
        <f>IF(ISERR(G89),G89,5)</f>
        <v>#NUM!</v>
      </c>
      <c r="H88" s="2175" t="e">
        <f>IF(ISERR(H89),H89,6)</f>
        <v>#NUM!</v>
      </c>
      <c r="I88" s="2175" t="e">
        <f>IF(ISERR(I89),I89,7)</f>
        <v>#NUM!</v>
      </c>
      <c r="J88" s="2175" t="e">
        <f>IF(ISERR(J89),J89,8)</f>
        <v>#NUM!</v>
      </c>
      <c r="K88" s="2175" t="e">
        <f>IF(ISERR(K89),K89,9)</f>
        <v>#NUM!</v>
      </c>
      <c r="L88" s="2175" t="e">
        <f>IF(ISERR(L89),L89,10)</f>
        <v>#NUM!</v>
      </c>
      <c r="M88" s="2118" t="str">
        <f>IF(ISERR(C88),"x","")</f>
        <v>x</v>
      </c>
      <c r="N88" s="2118"/>
      <c r="O88" s="2118"/>
    </row>
    <row r="89" spans="1:15" s="285" customFormat="1" ht="15" customHeight="1" x14ac:dyDescent="0.25">
      <c r="A89" s="2821" t="s">
        <v>2716</v>
      </c>
      <c r="B89" s="2456"/>
      <c r="C89" s="2176" t="e">
        <f>'negat e monit'!B59</f>
        <v>#NUM!</v>
      </c>
      <c r="D89" s="2176" t="e">
        <f>'negat e monit'!C59</f>
        <v>#NUM!</v>
      </c>
      <c r="E89" s="2176" t="e">
        <f>'negat e monit'!D59</f>
        <v>#NUM!</v>
      </c>
      <c r="F89" s="2176" t="e">
        <f>'negat e monit'!E59</f>
        <v>#NUM!</v>
      </c>
      <c r="G89" s="2176" t="e">
        <f>'negat e monit'!F59</f>
        <v>#NUM!</v>
      </c>
      <c r="H89" s="2176" t="e">
        <f>'negat e monit'!G59</f>
        <v>#NUM!</v>
      </c>
      <c r="I89" s="2176" t="e">
        <f>'negat e monit'!H59</f>
        <v>#NUM!</v>
      </c>
      <c r="J89" s="2176" t="e">
        <f>'negat e monit'!I59</f>
        <v>#NUM!</v>
      </c>
      <c r="K89" s="2176" t="e">
        <f>'negat e monit'!J59</f>
        <v>#NUM!</v>
      </c>
      <c r="L89" s="2176" t="e">
        <f>'negat e monit'!K59</f>
        <v>#NUM!</v>
      </c>
      <c r="M89" s="2118" t="str">
        <f t="shared" ref="M89:M96" si="6">M88</f>
        <v>x</v>
      </c>
      <c r="N89" s="2113" t="s">
        <v>273</v>
      </c>
      <c r="O89" s="2113" t="s">
        <v>658</v>
      </c>
    </row>
    <row r="90" spans="1:15" s="285" customFormat="1" ht="15" customHeight="1" x14ac:dyDescent="0.25">
      <c r="A90" s="2821" t="str">
        <f>'negat e monit'!$M$13&amp;", "&amp;'negat e monit'!$M$15&amp;", "&amp;'negat e monit'!$M$16</f>
        <v>IN 90, IN 93, IN 94</v>
      </c>
      <c r="B90" s="2456"/>
      <c r="C90" s="2176" t="e">
        <f>IF('negat e monit'!$B44="Negatoscópio",IF(C89&lt;1500,"Não","Sim"),IF(C89&lt;170,"Não","Sim"))</f>
        <v>#NUM!</v>
      </c>
      <c r="D90" s="2176" t="e">
        <f>IF('negat e monit'!$B44="Negatoscópio",IF(D89&lt;1500,"Não","Sim"),IF(D89&lt;170,"Não","Sim"))</f>
        <v>#NUM!</v>
      </c>
      <c r="E90" s="2176" t="e">
        <f>IF('negat e monit'!$B44="Negatoscópio",IF(E89&lt;1500,"Não","Sim"),IF(E89&lt;170,"Não","Sim"))</f>
        <v>#NUM!</v>
      </c>
      <c r="F90" s="2176" t="e">
        <f>IF('negat e monit'!$B44="Negatoscópio",IF(F89&lt;1500,"Não","Sim"),IF(F89&lt;170,"Não","Sim"))</f>
        <v>#NUM!</v>
      </c>
      <c r="G90" s="2176" t="e">
        <f>IF('negat e monit'!$B44="Negatoscópio",IF(G89&lt;1500,"Não","Sim"),IF(G89&lt;170,"Não","Sim"))</f>
        <v>#NUM!</v>
      </c>
      <c r="H90" s="2176" t="e">
        <f>IF('negat e monit'!$B44="Negatoscópio",IF(H89&lt;1500,"Não","Sim"),IF(H89&lt;170,"Não","Sim"))</f>
        <v>#NUM!</v>
      </c>
      <c r="I90" s="2176" t="e">
        <f>IF('negat e monit'!$B44="Negatoscópio",IF(I89&lt;1500,"Não","Sim"),IF(I89&lt;170,"Não","Sim"))</f>
        <v>#NUM!</v>
      </c>
      <c r="J90" s="2176" t="e">
        <f>IF('negat e monit'!$B44="Negatoscópio",IF(J89&lt;1500,"Não","Sim"),IF(J89&lt;170,"Não","Sim"))</f>
        <v>#NUM!</v>
      </c>
      <c r="K90" s="2176" t="e">
        <f>IF('negat e monit'!$B44="Negatoscópio",IF(K89&lt;1500,"Não","Sim"),IF(K89&lt;170,"Não","Sim"))</f>
        <v>#NUM!</v>
      </c>
      <c r="L90" s="2176" t="e">
        <f>IF('negat e monit'!$B44="Negatoscópio",IF(L89&lt;1500,"Não","Sim"),IF(L89&lt;170,"Não","Sim"))</f>
        <v>#NUM!</v>
      </c>
      <c r="M90" s="2118" t="str">
        <f t="shared" si="6"/>
        <v>x</v>
      </c>
      <c r="N90" s="2113">
        <f>IF((COUNTIF(C90:L90,"Não")+COUNTIF(C90:L90,"Restrição"))&gt;0,IF(M83="x",0,IF(M83="Negatoscópio","NN","MN")),0)</f>
        <v>0</v>
      </c>
      <c r="O90" s="2113">
        <f>COUNTIF(C90:L90,"Restrição")</f>
        <v>0</v>
      </c>
    </row>
    <row r="91" spans="1:15" s="285" customFormat="1" ht="15" customHeight="1" x14ac:dyDescent="0.25">
      <c r="A91" s="2821" t="str">
        <f>'negat e monit'!$M$14</f>
        <v>IN 92</v>
      </c>
      <c r="B91" s="2456"/>
      <c r="C91" s="2176" t="e">
        <f>IF('negat e monit'!$B44="Negatoscópio",IF(C89&lt;=2500,"Restrição",IF(C89&lt;3000,"Não","Sim")),IF(C89&lt;350,"Não","Sim"))</f>
        <v>#NUM!</v>
      </c>
      <c r="D91" s="2176" t="e">
        <f>IF('negat e monit'!$B44="Negatoscópio",IF(D89&lt;=2500,"Restrição",IF(D89&lt;3000,"Não","Sim")),IF(D89&lt;350,"Não","Sim"))</f>
        <v>#NUM!</v>
      </c>
      <c r="E91" s="2176" t="e">
        <f>IF('negat e monit'!$B44="Negatoscópio",IF(E89&lt;=2500,"Restrição",IF(E89&lt;3000,"Não","Sim")),IF(E89&lt;350,"Não","Sim"))</f>
        <v>#NUM!</v>
      </c>
      <c r="F91" s="2176" t="e">
        <f>IF('negat e monit'!$B44="Negatoscópio",IF(F89&lt;=2500,"Restrição",IF(F89&lt;3000,"Não","Sim")),IF(F89&lt;350,"Não","Sim"))</f>
        <v>#NUM!</v>
      </c>
      <c r="G91" s="2176" t="e">
        <f>IF('negat e monit'!$B44="Negatoscópio",IF(G89&lt;=2500,"Restrição",IF(G89&lt;3000,"Não","Sim")),IF(G89&lt;350,"Não","Sim"))</f>
        <v>#NUM!</v>
      </c>
      <c r="H91" s="2176" t="e">
        <f>IF('negat e monit'!$B44="Negatoscópio",IF(H89&lt;=2500,"Restrição",IF(H89&lt;3000,"Não","Sim")),IF(H89&lt;350,"Não","Sim"))</f>
        <v>#NUM!</v>
      </c>
      <c r="I91" s="2176" t="e">
        <f>IF('negat e monit'!$B44="Negatoscópio",IF(I89&lt;=2500,"Restrição",IF(I89&lt;3000,"Não","Sim")),IF(I89&lt;350,"Não","Sim"))</f>
        <v>#NUM!</v>
      </c>
      <c r="J91" s="2176" t="e">
        <f>IF('negat e monit'!$B44="Negatoscópio",IF(J89&lt;=2500,"Restrição",IF(J89&lt;3000,"Não","Sim")),IF(J89&lt;350,"Não","Sim"))</f>
        <v>#NUM!</v>
      </c>
      <c r="K91" s="2176" t="e">
        <f>IF('negat e monit'!$B44="Negatoscópio",IF(K89&lt;=2500,"Restrição",IF(K89&lt;3000,"Não","Sim")),IF(K89&lt;350,"Não","Sim"))</f>
        <v>#NUM!</v>
      </c>
      <c r="L91" s="2176" t="e">
        <f>IF('negat e monit'!$B44="Negatoscópio",IF(L89&lt;=2500,"Restrição",IF(L89&lt;3000,"Não","Sim")),IF(L89&lt;350,"Não","Sim"))</f>
        <v>#NUM!</v>
      </c>
      <c r="M91" s="2118" t="str">
        <f t="shared" si="6"/>
        <v>x</v>
      </c>
      <c r="N91" s="2113">
        <f>IF((COUNTIF(C91:L91,"Não")+COUNTIF(C91:L91,"Restrição"))&gt;0,IF(M83="x",0,IF(M83="Negatoscópio","NN54","MN54")),0)</f>
        <v>0</v>
      </c>
      <c r="O91" s="2113">
        <f>COUNTIF(C91:L91,"Restrição")</f>
        <v>0</v>
      </c>
    </row>
    <row r="92" spans="1:15" s="285" customFormat="1" ht="15" customHeight="1" x14ac:dyDescent="0.25">
      <c r="A92" s="2821" t="s">
        <v>620</v>
      </c>
      <c r="B92" s="2456"/>
      <c r="C92" s="2176" t="e">
        <f>'negat e monit'!B60</f>
        <v>#DIV/0!</v>
      </c>
      <c r="D92" s="2176" t="e">
        <f>'negat e monit'!C60</f>
        <v>#DIV/0!</v>
      </c>
      <c r="E92" s="2176" t="e">
        <f>'negat e monit'!D60</f>
        <v>#DIV/0!</v>
      </c>
      <c r="F92" s="2176" t="e">
        <f>'negat e monit'!E60</f>
        <v>#DIV/0!</v>
      </c>
      <c r="G92" s="2176" t="e">
        <f>'negat e monit'!F60</f>
        <v>#DIV/0!</v>
      </c>
      <c r="H92" s="2176" t="e">
        <f>'negat e monit'!G60</f>
        <v>#DIV/0!</v>
      </c>
      <c r="I92" s="2176" t="e">
        <f>'negat e monit'!H60</f>
        <v>#DIV/0!</v>
      </c>
      <c r="J92" s="2176" t="e">
        <f>'negat e monit'!I60</f>
        <v>#DIV/0!</v>
      </c>
      <c r="K92" s="2176" t="e">
        <f>'negat e monit'!J60</f>
        <v>#DIV/0!</v>
      </c>
      <c r="L92" s="2176" t="e">
        <f>'negat e monit'!K60</f>
        <v>#DIV/0!</v>
      </c>
      <c r="M92" s="2118" t="str">
        <f t="shared" si="6"/>
        <v>x</v>
      </c>
      <c r="N92" s="2118"/>
      <c r="O92" s="2118"/>
    </row>
    <row r="93" spans="1:15" s="285" customFormat="1" ht="15" customHeight="1" x14ac:dyDescent="0.25">
      <c r="A93" s="2821" t="str">
        <f>A90</f>
        <v>IN 90, IN 93, IN 94</v>
      </c>
      <c r="B93" s="2456"/>
      <c r="C93" s="2176" t="e">
        <f>IF(C92&gt;30,"Não","Sim")</f>
        <v>#DIV/0!</v>
      </c>
      <c r="D93" s="2176" t="e">
        <f t="shared" ref="D93:L93" si="7">IF(D92&gt;30,"Não","Sim")</f>
        <v>#DIV/0!</v>
      </c>
      <c r="E93" s="2176" t="e">
        <f t="shared" si="7"/>
        <v>#DIV/0!</v>
      </c>
      <c r="F93" s="2176" t="e">
        <f t="shared" si="7"/>
        <v>#DIV/0!</v>
      </c>
      <c r="G93" s="2176" t="e">
        <f t="shared" si="7"/>
        <v>#DIV/0!</v>
      </c>
      <c r="H93" s="2176" t="e">
        <f t="shared" si="7"/>
        <v>#DIV/0!</v>
      </c>
      <c r="I93" s="2176" t="e">
        <f t="shared" si="7"/>
        <v>#DIV/0!</v>
      </c>
      <c r="J93" s="2176" t="e">
        <f t="shared" si="7"/>
        <v>#DIV/0!</v>
      </c>
      <c r="K93" s="2176" t="e">
        <f t="shared" si="7"/>
        <v>#DIV/0!</v>
      </c>
      <c r="L93" s="2176" t="e">
        <f t="shared" si="7"/>
        <v>#DIV/0!</v>
      </c>
      <c r="M93" s="2118" t="str">
        <f t="shared" si="6"/>
        <v>x</v>
      </c>
      <c r="N93" s="2113">
        <f>IF((COUNTIF(C93:L93,"Não")+COUNTIF(C93:L93,"Restrição"))&gt;0,IF(M83="x",0,IF(M83="Negatoscópio","NN","MN")),0)</f>
        <v>0</v>
      </c>
      <c r="O93" s="2113">
        <f>COUNTIF(C93:L93,"Restrição")</f>
        <v>0</v>
      </c>
    </row>
    <row r="94" spans="1:15" s="285" customFormat="1" ht="15" customHeight="1" x14ac:dyDescent="0.25">
      <c r="A94" s="2821" t="str">
        <f>A91</f>
        <v>IN 92</v>
      </c>
      <c r="B94" s="2456"/>
      <c r="C94" s="2176" t="e">
        <f>IF(C92&gt;20,"Não","Sim")</f>
        <v>#DIV/0!</v>
      </c>
      <c r="D94" s="2176" t="e">
        <f t="shared" ref="D94:L94" si="8">IF(D92&gt;20,"Não","Sim")</f>
        <v>#DIV/0!</v>
      </c>
      <c r="E94" s="2176" t="e">
        <f t="shared" si="8"/>
        <v>#DIV/0!</v>
      </c>
      <c r="F94" s="2176" t="e">
        <f t="shared" si="8"/>
        <v>#DIV/0!</v>
      </c>
      <c r="G94" s="2176" t="e">
        <f t="shared" si="8"/>
        <v>#DIV/0!</v>
      </c>
      <c r="H94" s="2176" t="e">
        <f t="shared" si="8"/>
        <v>#DIV/0!</v>
      </c>
      <c r="I94" s="2176" t="e">
        <f t="shared" si="8"/>
        <v>#DIV/0!</v>
      </c>
      <c r="J94" s="2176" t="e">
        <f t="shared" si="8"/>
        <v>#DIV/0!</v>
      </c>
      <c r="K94" s="2176" t="e">
        <f t="shared" si="8"/>
        <v>#DIV/0!</v>
      </c>
      <c r="L94" s="2176" t="e">
        <f t="shared" si="8"/>
        <v>#DIV/0!</v>
      </c>
      <c r="M94" s="2118" t="str">
        <f t="shared" si="6"/>
        <v>x</v>
      </c>
      <c r="N94" s="2113">
        <f>IF((COUNTIF(C94:L94,"Não")+COUNTIF(C94:L94,"Restrição"))&gt;0,IF(M83="x",0,IF(M83="Negatoscópio","NN54","MN54")),0)</f>
        <v>0</v>
      </c>
      <c r="O94" s="2113">
        <f>COUNTIF(C94:L94,"Restrição")</f>
        <v>0</v>
      </c>
    </row>
    <row r="95" spans="1:15" s="285" customFormat="1" ht="15" customHeight="1" x14ac:dyDescent="0.25">
      <c r="A95" s="2177" t="s">
        <v>2717</v>
      </c>
      <c r="B95" s="2177"/>
      <c r="C95" s="2177"/>
      <c r="D95" s="2177"/>
      <c r="E95" s="2177"/>
      <c r="F95" s="2177"/>
      <c r="G95" s="2177"/>
      <c r="H95" s="2177"/>
      <c r="I95" s="2177"/>
      <c r="J95" s="2177"/>
      <c r="K95" s="2118"/>
      <c r="L95" s="2118"/>
      <c r="M95" s="2118" t="str">
        <f t="shared" si="6"/>
        <v>x</v>
      </c>
      <c r="N95" s="2118"/>
      <c r="O95" s="2118"/>
    </row>
    <row r="96" spans="1:15" s="285" customFormat="1" ht="15" customHeight="1" x14ac:dyDescent="0.25">
      <c r="A96" s="2181"/>
      <c r="B96" s="2181"/>
      <c r="C96" s="2181"/>
      <c r="D96" s="2181"/>
      <c r="E96" s="2181"/>
      <c r="F96" s="2181"/>
      <c r="G96" s="2181"/>
      <c r="H96" s="2181"/>
      <c r="I96" s="2181"/>
      <c r="J96" s="2181"/>
      <c r="M96" s="285" t="str">
        <f t="shared" si="6"/>
        <v>x</v>
      </c>
      <c r="N96" s="2118"/>
      <c r="O96" s="2118"/>
    </row>
    <row r="97" spans="1:15" s="285" customFormat="1" ht="15" customHeight="1" x14ac:dyDescent="0.25">
      <c r="A97" s="2177"/>
      <c r="B97" s="2177"/>
      <c r="C97" s="2177"/>
      <c r="D97" s="2177"/>
      <c r="E97" s="2177"/>
      <c r="F97" s="2177"/>
      <c r="G97" s="2177"/>
      <c r="H97" s="2177"/>
      <c r="I97" s="2177"/>
      <c r="J97" s="2177"/>
      <c r="K97" s="2118"/>
      <c r="L97" s="2118"/>
      <c r="M97" s="2118" t="s">
        <v>649</v>
      </c>
      <c r="N97" s="2118"/>
      <c r="O97" s="2118"/>
    </row>
    <row r="98" spans="1:15" s="285" customFormat="1" ht="15" customHeight="1" x14ac:dyDescent="0.25">
      <c r="A98" s="2177"/>
      <c r="B98" s="2177"/>
      <c r="C98" s="2177"/>
      <c r="D98" s="2177"/>
      <c r="E98" s="2177"/>
      <c r="F98" s="2177"/>
      <c r="G98" s="2177"/>
      <c r="H98" s="2177"/>
      <c r="I98" s="2177"/>
      <c r="J98" s="2177"/>
      <c r="K98" s="2118"/>
      <c r="L98" s="2118"/>
      <c r="M98" s="2118" t="s">
        <v>649</v>
      </c>
      <c r="N98" s="2118"/>
      <c r="O98" s="2118"/>
    </row>
    <row r="99" spans="1:15" s="285" customFormat="1" ht="15" customHeight="1" x14ac:dyDescent="0.25">
      <c r="A99" s="2177"/>
      <c r="B99" s="2177"/>
      <c r="C99" s="2177"/>
      <c r="D99" s="2177"/>
      <c r="E99" s="2177"/>
      <c r="F99" s="2177"/>
      <c r="G99" s="2177"/>
      <c r="H99" s="2177"/>
      <c r="I99" s="2177"/>
      <c r="J99" s="2177"/>
      <c r="K99" s="2118"/>
      <c r="L99" s="2118"/>
      <c r="M99" s="2118" t="s">
        <v>649</v>
      </c>
      <c r="N99" s="2118"/>
      <c r="O99" s="2118"/>
    </row>
    <row r="100" spans="1:15" s="285" customFormat="1" ht="15" customHeight="1" x14ac:dyDescent="0.25">
      <c r="A100" s="2177"/>
      <c r="B100" s="2177"/>
      <c r="C100" s="2177"/>
      <c r="D100" s="2177"/>
      <c r="E100" s="2177"/>
      <c r="F100" s="2177"/>
      <c r="G100" s="2177"/>
      <c r="H100" s="2177"/>
      <c r="I100" s="2177"/>
      <c r="J100" s="2177"/>
      <c r="K100" s="2118"/>
      <c r="L100" s="2118"/>
      <c r="M100" s="2118" t="s">
        <v>649</v>
      </c>
      <c r="N100" s="2118"/>
      <c r="O100" s="2118"/>
    </row>
    <row r="101" spans="1:15" s="285" customFormat="1" ht="15" customHeight="1" x14ac:dyDescent="0.25">
      <c r="A101" s="2177"/>
      <c r="B101" s="2177"/>
      <c r="C101" s="2177"/>
      <c r="D101" s="2177"/>
      <c r="E101" s="2177"/>
      <c r="F101" s="2177"/>
      <c r="G101" s="2177"/>
      <c r="H101" s="2177"/>
      <c r="I101" s="2177"/>
      <c r="J101" s="2177"/>
      <c r="K101" s="2118"/>
      <c r="L101" s="2118"/>
      <c r="M101" s="2118" t="s">
        <v>649</v>
      </c>
      <c r="N101" s="2118"/>
      <c r="O101" s="2118"/>
    </row>
    <row r="102" spans="1:15" s="285" customFormat="1" ht="15" customHeight="1" x14ac:dyDescent="0.25">
      <c r="A102" s="2181"/>
      <c r="B102" s="2181"/>
      <c r="C102" s="2181"/>
      <c r="D102" s="2181"/>
      <c r="E102" s="2181"/>
      <c r="F102" s="2181"/>
      <c r="G102" s="2181"/>
      <c r="H102" s="2181"/>
      <c r="I102" s="2181"/>
      <c r="J102" s="2181"/>
      <c r="K102" s="2118"/>
      <c r="L102" s="2118"/>
      <c r="M102" s="2118" t="s">
        <v>649</v>
      </c>
      <c r="N102" s="2118"/>
      <c r="O102" s="2118"/>
    </row>
    <row r="103" spans="1:15" s="285" customFormat="1" ht="15" customHeight="1" x14ac:dyDescent="0.25">
      <c r="A103" s="2483" t="str">
        <f>CONCATENATE('negat e monit'!B64," ",'negat e monit'!B67)</f>
        <v xml:space="preserve"> 4</v>
      </c>
      <c r="B103" s="2483"/>
      <c r="C103" s="2483"/>
      <c r="D103" s="2483"/>
      <c r="E103" s="2483"/>
      <c r="F103" s="2483"/>
      <c r="G103" s="2483"/>
      <c r="H103" s="2483"/>
      <c r="I103" s="2483"/>
      <c r="J103" s="2483"/>
      <c r="K103" s="2483"/>
      <c r="L103" s="2483"/>
      <c r="M103" s="2118" t="str">
        <f>IF(M104="x","x",'negat e monit'!B64)</f>
        <v>x</v>
      </c>
      <c r="N103" s="2118"/>
      <c r="O103" s="2118"/>
    </row>
    <row r="104" spans="1:15" s="285" customFormat="1" ht="15" customHeight="1" x14ac:dyDescent="0.25">
      <c r="A104" s="3064" t="s">
        <v>2326</v>
      </c>
      <c r="B104" s="3064"/>
      <c r="C104" s="2171" t="str">
        <f>IF('negat e monit'!B68="","informação não encontrada",'negat e monit'!B68)</f>
        <v>informação não encontrada</v>
      </c>
      <c r="D104" s="2118"/>
      <c r="E104" s="2118"/>
      <c r="F104" s="2118"/>
      <c r="G104" s="2118"/>
      <c r="H104" s="2118"/>
      <c r="I104" s="2172" t="s">
        <v>2325</v>
      </c>
      <c r="J104" s="2171" t="str">
        <f>'negat e monit'!K64</f>
        <v>Informação não encontrada</v>
      </c>
      <c r="K104" s="2119"/>
      <c r="L104" s="2119"/>
      <c r="M104" s="2118" t="str">
        <f>M105</f>
        <v>x</v>
      </c>
      <c r="N104" s="2118"/>
      <c r="O104" s="2118"/>
    </row>
    <row r="105" spans="1:15" s="285" customFormat="1" ht="15" customHeight="1" x14ac:dyDescent="0.25">
      <c r="A105" s="3064" t="s">
        <v>2327</v>
      </c>
      <c r="B105" s="3064"/>
      <c r="C105" s="2171" t="str">
        <f>IF('negat e monit'!B69="","informação não encontrada",'negat e monit'!B69)</f>
        <v>informação não encontrada</v>
      </c>
      <c r="D105" s="2118"/>
      <c r="E105" s="2118"/>
      <c r="F105" s="2118"/>
      <c r="G105" s="2118"/>
      <c r="H105" s="2118"/>
      <c r="I105" s="2172" t="s">
        <v>2330</v>
      </c>
      <c r="J105" s="3065" t="str">
        <f>'negat e monit'!K65</f>
        <v>Informação não encontrada</v>
      </c>
      <c r="K105" s="3065"/>
      <c r="L105" s="3065"/>
      <c r="M105" s="2118" t="str">
        <f>M106</f>
        <v>x</v>
      </c>
      <c r="N105" s="2118"/>
      <c r="O105" s="2118"/>
    </row>
    <row r="106" spans="1:15" s="285" customFormat="1" ht="15" customHeight="1" x14ac:dyDescent="0.25">
      <c r="A106" s="3064" t="s">
        <v>2328</v>
      </c>
      <c r="B106" s="3064"/>
      <c r="C106" s="2171" t="str">
        <f>IF('negat e monit'!B70="","informação não encontrada",'negat e monit'!B70)</f>
        <v>informação não encontrada</v>
      </c>
      <c r="D106" s="2118"/>
      <c r="E106" s="2118"/>
      <c r="F106" s="2118"/>
      <c r="G106" s="2118"/>
      <c r="H106" s="2118"/>
      <c r="I106" s="2118"/>
      <c r="J106" s="2118"/>
      <c r="K106" s="2118"/>
      <c r="L106" s="2118"/>
      <c r="M106" s="2118" t="str">
        <f>M107</f>
        <v>x</v>
      </c>
      <c r="N106" s="2118"/>
      <c r="O106" s="2118"/>
    </row>
    <row r="107" spans="1:15" s="285" customFormat="1" ht="15" customHeight="1" x14ac:dyDescent="0.25">
      <c r="A107" s="3064" t="s">
        <v>621</v>
      </c>
      <c r="B107" s="3064"/>
      <c r="C107" s="3062" t="str">
        <f>IF('negat e monit'!B65="","-",'negat e monit'!B65)</f>
        <v>-</v>
      </c>
      <c r="D107" s="3062"/>
      <c r="E107" s="3062"/>
      <c r="F107" s="3062"/>
      <c r="G107" s="3063" t="s">
        <v>633</v>
      </c>
      <c r="H107" s="3063"/>
      <c r="I107" s="3063"/>
      <c r="J107" s="3063"/>
      <c r="K107" s="2168">
        <f>'negat e monit'!B66</f>
        <v>0</v>
      </c>
      <c r="L107" s="2168" t="s">
        <v>622</v>
      </c>
      <c r="M107" s="2118" t="str">
        <f>M108</f>
        <v>x</v>
      </c>
      <c r="N107" s="2118"/>
      <c r="O107" s="2118"/>
    </row>
    <row r="108" spans="1:15" s="285" customFormat="1" ht="15" customHeight="1" x14ac:dyDescent="0.25">
      <c r="A108" s="2821" t="s">
        <v>618</v>
      </c>
      <c r="B108" s="2456"/>
      <c r="C108" s="2175" t="e">
        <f>IF(ISERR(C109),C109,1)</f>
        <v>#NUM!</v>
      </c>
      <c r="D108" s="2175" t="e">
        <f>IF(ISERR(D109),D109,2)</f>
        <v>#NUM!</v>
      </c>
      <c r="E108" s="2175" t="e">
        <f>IF(ISERR(E109),E109,3)</f>
        <v>#NUM!</v>
      </c>
      <c r="F108" s="2175" t="e">
        <f>IF(ISERR(F109),F109,4)</f>
        <v>#NUM!</v>
      </c>
      <c r="G108" s="2175" t="e">
        <f>IF(ISERR(G109),G109,5)</f>
        <v>#NUM!</v>
      </c>
      <c r="H108" s="2175" t="e">
        <f>IF(ISERR(H109),H109,6)</f>
        <v>#NUM!</v>
      </c>
      <c r="I108" s="2175" t="e">
        <f>IF(ISERR(I109),I109,7)</f>
        <v>#NUM!</v>
      </c>
      <c r="J108" s="2175" t="e">
        <f>IF(ISERR(J109),J109,8)</f>
        <v>#NUM!</v>
      </c>
      <c r="K108" s="2175" t="e">
        <f>IF(ISERR(K109),K109,9)</f>
        <v>#NUM!</v>
      </c>
      <c r="L108" s="2175" t="e">
        <f>IF(ISERR(L109),L109,10)</f>
        <v>#NUM!</v>
      </c>
      <c r="M108" s="2118" t="str">
        <f>IF(ISERR(C108),"x","")</f>
        <v>x</v>
      </c>
      <c r="N108" s="2118"/>
      <c r="O108" s="2118"/>
    </row>
    <row r="109" spans="1:15" s="285" customFormat="1" ht="15" customHeight="1" x14ac:dyDescent="0.25">
      <c r="A109" s="2821" t="s">
        <v>2716</v>
      </c>
      <c r="B109" s="2456"/>
      <c r="C109" s="2176" t="e">
        <f>'negat e monit'!B79</f>
        <v>#NUM!</v>
      </c>
      <c r="D109" s="2176" t="e">
        <f>'negat e monit'!C79</f>
        <v>#NUM!</v>
      </c>
      <c r="E109" s="2176" t="e">
        <f>'negat e monit'!D79</f>
        <v>#NUM!</v>
      </c>
      <c r="F109" s="2176" t="e">
        <f>'negat e monit'!E79</f>
        <v>#NUM!</v>
      </c>
      <c r="G109" s="2176" t="e">
        <f>'negat e monit'!F79</f>
        <v>#NUM!</v>
      </c>
      <c r="H109" s="2176" t="e">
        <f>'negat e monit'!G79</f>
        <v>#NUM!</v>
      </c>
      <c r="I109" s="2176" t="e">
        <f>'negat e monit'!H79</f>
        <v>#NUM!</v>
      </c>
      <c r="J109" s="2176" t="e">
        <f>'negat e monit'!I79</f>
        <v>#NUM!</v>
      </c>
      <c r="K109" s="2176" t="e">
        <f>'negat e monit'!J79</f>
        <v>#NUM!</v>
      </c>
      <c r="L109" s="2176" t="e">
        <f>'negat e monit'!K79</f>
        <v>#NUM!</v>
      </c>
      <c r="M109" s="2118" t="str">
        <f t="shared" ref="M109:M116" si="9">M108</f>
        <v>x</v>
      </c>
      <c r="N109" s="2113" t="s">
        <v>273</v>
      </c>
      <c r="O109" s="2113" t="s">
        <v>658</v>
      </c>
    </row>
    <row r="110" spans="1:15" s="285" customFormat="1" ht="15" customHeight="1" x14ac:dyDescent="0.25">
      <c r="A110" s="2821" t="str">
        <f>'negat e monit'!$M$13&amp;", "&amp;'negat e monit'!$M$15&amp;", "&amp;'negat e monit'!$M$16</f>
        <v>IN 90, IN 93, IN 94</v>
      </c>
      <c r="B110" s="2456"/>
      <c r="C110" s="2176" t="e">
        <f>IF('negat e monit'!$B64="Negatoscópio",IF(C109&lt;1500,"Não","Sim"),IF(C109&lt;170,"Não","Sim"))</f>
        <v>#NUM!</v>
      </c>
      <c r="D110" s="2176" t="e">
        <f>IF('negat e monit'!$B64="Negatoscópio",IF(D109&lt;1500,"Não","Sim"),IF(D109&lt;170,"Não","Sim"))</f>
        <v>#NUM!</v>
      </c>
      <c r="E110" s="2176" t="e">
        <f>IF('negat e monit'!$B64="Negatoscópio",IF(E109&lt;1500,"Não","Sim"),IF(E109&lt;170,"Não","Sim"))</f>
        <v>#NUM!</v>
      </c>
      <c r="F110" s="2176" t="e">
        <f>IF('negat e monit'!$B64="Negatoscópio",IF(F109&lt;1500,"Não","Sim"),IF(F109&lt;170,"Não","Sim"))</f>
        <v>#NUM!</v>
      </c>
      <c r="G110" s="2176" t="e">
        <f>IF('negat e monit'!$B64="Negatoscópio",IF(G109&lt;1500,"Não","Sim"),IF(G109&lt;170,"Não","Sim"))</f>
        <v>#NUM!</v>
      </c>
      <c r="H110" s="2176" t="e">
        <f>IF('negat e monit'!$B64="Negatoscópio",IF(H109&lt;1500,"Não","Sim"),IF(H109&lt;170,"Não","Sim"))</f>
        <v>#NUM!</v>
      </c>
      <c r="I110" s="2176" t="e">
        <f>IF('negat e monit'!$B64="Negatoscópio",IF(I109&lt;1500,"Não","Sim"),IF(I109&lt;170,"Não","Sim"))</f>
        <v>#NUM!</v>
      </c>
      <c r="J110" s="2176" t="e">
        <f>IF('negat e monit'!$B64="Negatoscópio",IF(J109&lt;1500,"Não","Sim"),IF(J109&lt;170,"Não","Sim"))</f>
        <v>#NUM!</v>
      </c>
      <c r="K110" s="2176" t="e">
        <f>IF('negat e monit'!$B64="Negatoscópio",IF(K109&lt;1500,"Não","Sim"),IF(K109&lt;170,"Não","Sim"))</f>
        <v>#NUM!</v>
      </c>
      <c r="L110" s="2176" t="e">
        <f>IF('negat e monit'!$B64="Negatoscópio",IF(L109&lt;1500,"Não","Sim"),IF(L109&lt;170,"Não","Sim"))</f>
        <v>#NUM!</v>
      </c>
      <c r="M110" s="2118" t="str">
        <f t="shared" si="9"/>
        <v>x</v>
      </c>
      <c r="N110" s="2113">
        <f>IF((COUNTIF(C110:L110,"Não")+COUNTIF(C110:L110,"Restrição"))&gt;0,IF(M103="x",0,IF(M103="Negatoscópio","NN","MN")),0)</f>
        <v>0</v>
      </c>
      <c r="O110" s="2113">
        <f>COUNTIF(C110:L110,"Restrição")</f>
        <v>0</v>
      </c>
    </row>
    <row r="111" spans="1:15" s="285" customFormat="1" ht="15" customHeight="1" x14ac:dyDescent="0.25">
      <c r="A111" s="2821" t="str">
        <f>'negat e monit'!$M$14</f>
        <v>IN 92</v>
      </c>
      <c r="B111" s="2456"/>
      <c r="C111" s="2176" t="e">
        <f>IF('negat e monit'!$B64="Negatoscópio",IF(C109&lt;=2500,"Restrição",IF(C109&lt;3000,"Não","Sim")),IF(C109&lt;350,"Não","Sim"))</f>
        <v>#NUM!</v>
      </c>
      <c r="D111" s="2176" t="e">
        <f>IF('negat e monit'!$B64="Negatoscópio",IF(D109&lt;=2500,"Restrição",IF(D109&lt;3000,"Não","Sim")),IF(D109&lt;350,"Não","Sim"))</f>
        <v>#NUM!</v>
      </c>
      <c r="E111" s="2176" t="e">
        <f>IF('negat e monit'!$B64="Negatoscópio",IF(E109&lt;=2500,"Restrição",IF(E109&lt;3000,"Não","Sim")),IF(E109&lt;350,"Não","Sim"))</f>
        <v>#NUM!</v>
      </c>
      <c r="F111" s="2176" t="e">
        <f>IF('negat e monit'!$B64="Negatoscópio",IF(F109&lt;=2500,"Restrição",IF(F109&lt;3000,"Não","Sim")),IF(F109&lt;350,"Não","Sim"))</f>
        <v>#NUM!</v>
      </c>
      <c r="G111" s="2176" t="e">
        <f>IF('negat e monit'!$B64="Negatoscópio",IF(G109&lt;=2500,"Restrição",IF(G109&lt;3000,"Não","Sim")),IF(G109&lt;350,"Não","Sim"))</f>
        <v>#NUM!</v>
      </c>
      <c r="H111" s="2176" t="e">
        <f>IF('negat e monit'!$B64="Negatoscópio",IF(H109&lt;=2500,"Restrição",IF(H109&lt;3000,"Não","Sim")),IF(H109&lt;350,"Não","Sim"))</f>
        <v>#NUM!</v>
      </c>
      <c r="I111" s="2176" t="e">
        <f>IF('negat e monit'!$B64="Negatoscópio",IF(I109&lt;=2500,"Restrição",IF(I109&lt;3000,"Não","Sim")),IF(I109&lt;350,"Não","Sim"))</f>
        <v>#NUM!</v>
      </c>
      <c r="J111" s="2176" t="e">
        <f>IF('negat e monit'!$B64="Negatoscópio",IF(J109&lt;=2500,"Restrição",IF(J109&lt;3000,"Não","Sim")),IF(J109&lt;350,"Não","Sim"))</f>
        <v>#NUM!</v>
      </c>
      <c r="K111" s="2176" t="e">
        <f>IF('negat e monit'!$B64="Negatoscópio",IF(K109&lt;=2500,"Restrição",IF(K109&lt;3000,"Não","Sim")),IF(K109&lt;350,"Não","Sim"))</f>
        <v>#NUM!</v>
      </c>
      <c r="L111" s="2176" t="e">
        <f>IF('negat e monit'!$B64="Negatoscópio",IF(L109&lt;=2500,"Restrição",IF(L109&lt;3000,"Não","Sim")),IF(L109&lt;350,"Não","Sim"))</f>
        <v>#NUM!</v>
      </c>
      <c r="M111" s="2118" t="str">
        <f t="shared" si="9"/>
        <v>x</v>
      </c>
      <c r="N111" s="2113">
        <f>IF((COUNTIF(C111:L111,"Não")+COUNTIF(C111:L111,"Restrição"))&gt;0,IF(M103="x",0,IF(M103="Negatoscópio","NN54","MN54")),0)</f>
        <v>0</v>
      </c>
      <c r="O111" s="2113">
        <f>COUNTIF(C111:L111,"Restrição")</f>
        <v>0</v>
      </c>
    </row>
    <row r="112" spans="1:15" s="285" customFormat="1" ht="15" customHeight="1" x14ac:dyDescent="0.25">
      <c r="A112" s="2821" t="s">
        <v>620</v>
      </c>
      <c r="B112" s="2456"/>
      <c r="C112" s="2176" t="e">
        <f>'negat e monit'!B80</f>
        <v>#DIV/0!</v>
      </c>
      <c r="D112" s="2176" t="e">
        <f>'negat e monit'!C80</f>
        <v>#DIV/0!</v>
      </c>
      <c r="E112" s="2176" t="e">
        <f>'negat e monit'!D80</f>
        <v>#DIV/0!</v>
      </c>
      <c r="F112" s="2176" t="e">
        <f>'negat e monit'!E80</f>
        <v>#DIV/0!</v>
      </c>
      <c r="G112" s="2176" t="e">
        <f>'negat e monit'!F80</f>
        <v>#DIV/0!</v>
      </c>
      <c r="H112" s="2176" t="e">
        <f>'negat e monit'!G80</f>
        <v>#DIV/0!</v>
      </c>
      <c r="I112" s="2176" t="e">
        <f>'negat e monit'!H80</f>
        <v>#DIV/0!</v>
      </c>
      <c r="J112" s="2176" t="e">
        <f>'negat e monit'!I80</f>
        <v>#DIV/0!</v>
      </c>
      <c r="K112" s="2176" t="e">
        <f>'negat e monit'!J80</f>
        <v>#DIV/0!</v>
      </c>
      <c r="L112" s="2176" t="e">
        <f>'negat e monit'!K80</f>
        <v>#DIV/0!</v>
      </c>
      <c r="M112" s="2118" t="str">
        <f t="shared" si="9"/>
        <v>x</v>
      </c>
      <c r="N112" s="2118"/>
      <c r="O112" s="2118"/>
    </row>
    <row r="113" spans="1:15" s="285" customFormat="1" ht="15" customHeight="1" x14ac:dyDescent="0.25">
      <c r="A113" s="2821" t="str">
        <f>A110</f>
        <v>IN 90, IN 93, IN 94</v>
      </c>
      <c r="B113" s="2456"/>
      <c r="C113" s="2176" t="e">
        <f>IF(C112&gt;30,"Não","Sim")</f>
        <v>#DIV/0!</v>
      </c>
      <c r="D113" s="2176" t="e">
        <f t="shared" ref="D113:L113" si="10">IF(D112&gt;30,"Não","Sim")</f>
        <v>#DIV/0!</v>
      </c>
      <c r="E113" s="2176" t="e">
        <f t="shared" si="10"/>
        <v>#DIV/0!</v>
      </c>
      <c r="F113" s="2176" t="e">
        <f t="shared" si="10"/>
        <v>#DIV/0!</v>
      </c>
      <c r="G113" s="2176" t="e">
        <f t="shared" si="10"/>
        <v>#DIV/0!</v>
      </c>
      <c r="H113" s="2176" t="e">
        <f t="shared" si="10"/>
        <v>#DIV/0!</v>
      </c>
      <c r="I113" s="2176" t="e">
        <f t="shared" si="10"/>
        <v>#DIV/0!</v>
      </c>
      <c r="J113" s="2176" t="e">
        <f t="shared" si="10"/>
        <v>#DIV/0!</v>
      </c>
      <c r="K113" s="2176" t="e">
        <f t="shared" si="10"/>
        <v>#DIV/0!</v>
      </c>
      <c r="L113" s="2176" t="e">
        <f t="shared" si="10"/>
        <v>#DIV/0!</v>
      </c>
      <c r="M113" s="2118" t="str">
        <f t="shared" si="9"/>
        <v>x</v>
      </c>
      <c r="N113" s="2113">
        <f>IF((COUNTIF(C113:L113,"Não")+COUNTIF(C113:L113,"Restrição"))&gt;0,IF(M103="x",0,IF(M103="Negatoscópio","NN","MN")),0)</f>
        <v>0</v>
      </c>
      <c r="O113" s="2113">
        <f>COUNTIF(C113:L113,"Restrição")</f>
        <v>0</v>
      </c>
    </row>
    <row r="114" spans="1:15" s="285" customFormat="1" ht="15" customHeight="1" x14ac:dyDescent="0.25">
      <c r="A114" s="2821" t="str">
        <f>A111</f>
        <v>IN 92</v>
      </c>
      <c r="B114" s="2456"/>
      <c r="C114" s="2176" t="e">
        <f>IF(C112&gt;20,"Não","Sim")</f>
        <v>#DIV/0!</v>
      </c>
      <c r="D114" s="2176" t="e">
        <f t="shared" ref="D114:L114" si="11">IF(D112&gt;20,"Não","Sim")</f>
        <v>#DIV/0!</v>
      </c>
      <c r="E114" s="2176" t="e">
        <f t="shared" si="11"/>
        <v>#DIV/0!</v>
      </c>
      <c r="F114" s="2176" t="e">
        <f t="shared" si="11"/>
        <v>#DIV/0!</v>
      </c>
      <c r="G114" s="2176" t="e">
        <f t="shared" si="11"/>
        <v>#DIV/0!</v>
      </c>
      <c r="H114" s="2176" t="e">
        <f t="shared" si="11"/>
        <v>#DIV/0!</v>
      </c>
      <c r="I114" s="2176" t="e">
        <f t="shared" si="11"/>
        <v>#DIV/0!</v>
      </c>
      <c r="J114" s="2176" t="e">
        <f t="shared" si="11"/>
        <v>#DIV/0!</v>
      </c>
      <c r="K114" s="2176" t="e">
        <f t="shared" si="11"/>
        <v>#DIV/0!</v>
      </c>
      <c r="L114" s="2176" t="e">
        <f t="shared" si="11"/>
        <v>#DIV/0!</v>
      </c>
      <c r="M114" s="2118" t="str">
        <f t="shared" si="9"/>
        <v>x</v>
      </c>
      <c r="N114" s="2113">
        <f>IF((COUNTIF(C114:L114,"Não")+COUNTIF(C114:L114,"Restrição"))&gt;0,IF(M103="x",0,IF(M103="Negatoscópio","NN54","MN54")),0)</f>
        <v>0</v>
      </c>
      <c r="O114" s="2113">
        <f>COUNTIF(C114:L114,"Restrição")</f>
        <v>0</v>
      </c>
    </row>
    <row r="115" spans="1:15" s="285" customFormat="1" ht="15" customHeight="1" x14ac:dyDescent="0.25">
      <c r="A115" s="2177" t="s">
        <v>2717</v>
      </c>
      <c r="B115" s="2177"/>
      <c r="C115" s="2177"/>
      <c r="D115" s="2177"/>
      <c r="E115" s="2177"/>
      <c r="F115" s="2177"/>
      <c r="G115" s="2177"/>
      <c r="H115" s="2177"/>
      <c r="I115" s="2177"/>
      <c r="J115" s="2177"/>
      <c r="K115" s="2118"/>
      <c r="L115" s="2118"/>
      <c r="M115" s="2118" t="str">
        <f t="shared" si="9"/>
        <v>x</v>
      </c>
      <c r="N115" s="2118"/>
      <c r="O115" s="2118"/>
    </row>
    <row r="116" spans="1:15" s="285" customFormat="1" ht="15" customHeight="1" x14ac:dyDescent="0.25">
      <c r="A116" s="2181"/>
      <c r="B116" s="2181"/>
      <c r="C116" s="2181"/>
      <c r="D116" s="2181"/>
      <c r="E116" s="2181"/>
      <c r="F116" s="2181"/>
      <c r="G116" s="2181"/>
      <c r="H116" s="2181"/>
      <c r="I116" s="2181"/>
      <c r="J116" s="2181"/>
      <c r="M116" s="285" t="str">
        <f t="shared" si="9"/>
        <v>x</v>
      </c>
      <c r="N116" s="2118"/>
      <c r="O116" s="2118"/>
    </row>
    <row r="117" spans="1:15" s="285" customFormat="1" ht="15" customHeight="1" x14ac:dyDescent="0.25">
      <c r="A117" s="2177"/>
      <c r="B117" s="2177"/>
      <c r="C117" s="2177"/>
      <c r="D117" s="2177"/>
      <c r="E117" s="2177"/>
      <c r="F117" s="2177"/>
      <c r="G117" s="2177"/>
      <c r="H117" s="2177"/>
      <c r="I117" s="2177"/>
      <c r="J117" s="2177"/>
      <c r="K117" s="2118"/>
      <c r="L117" s="2118"/>
      <c r="M117" s="2118" t="s">
        <v>649</v>
      </c>
      <c r="N117" s="2118"/>
      <c r="O117" s="2118"/>
    </row>
    <row r="118" spans="1:15" s="285" customFormat="1" ht="15" customHeight="1" x14ac:dyDescent="0.25">
      <c r="A118" s="2177"/>
      <c r="B118" s="2177"/>
      <c r="C118" s="2177"/>
      <c r="D118" s="2177"/>
      <c r="E118" s="2177"/>
      <c r="F118" s="2177"/>
      <c r="G118" s="2177"/>
      <c r="H118" s="2177"/>
      <c r="I118" s="2177"/>
      <c r="J118" s="2177"/>
      <c r="K118" s="2118"/>
      <c r="L118" s="2118"/>
      <c r="M118" s="2118" t="s">
        <v>649</v>
      </c>
      <c r="N118" s="2118"/>
      <c r="O118" s="2118"/>
    </row>
    <row r="119" spans="1:15" s="285" customFormat="1" ht="15" customHeight="1" x14ac:dyDescent="0.25">
      <c r="A119" s="2177"/>
      <c r="B119" s="2177"/>
      <c r="C119" s="2177"/>
      <c r="D119" s="2177"/>
      <c r="E119" s="2177"/>
      <c r="F119" s="2177"/>
      <c r="G119" s="2177"/>
      <c r="H119" s="2177"/>
      <c r="I119" s="2177"/>
      <c r="J119" s="2177"/>
      <c r="K119" s="2118"/>
      <c r="L119" s="2118"/>
      <c r="M119" s="2118" t="s">
        <v>649</v>
      </c>
      <c r="N119" s="2118"/>
      <c r="O119" s="2118"/>
    </row>
    <row r="120" spans="1:15" s="285" customFormat="1" ht="15" customHeight="1" x14ac:dyDescent="0.25">
      <c r="A120" s="2177"/>
      <c r="B120" s="2177"/>
      <c r="C120" s="2177"/>
      <c r="D120" s="2177"/>
      <c r="E120" s="2177"/>
      <c r="F120" s="2177"/>
      <c r="G120" s="2177"/>
      <c r="H120" s="2177"/>
      <c r="I120" s="2177"/>
      <c r="J120" s="2177"/>
      <c r="K120" s="2118"/>
      <c r="L120" s="2118"/>
      <c r="M120" s="2118" t="s">
        <v>649</v>
      </c>
      <c r="N120" s="2118"/>
      <c r="O120" s="2118"/>
    </row>
    <row r="121" spans="1:15" s="285" customFormat="1" ht="15" customHeight="1" x14ac:dyDescent="0.25">
      <c r="A121" s="2177"/>
      <c r="B121" s="2177"/>
      <c r="C121" s="2177"/>
      <c r="D121" s="2177"/>
      <c r="E121" s="2177"/>
      <c r="F121" s="2177"/>
      <c r="G121" s="2177"/>
      <c r="H121" s="2177"/>
      <c r="I121" s="2177"/>
      <c r="J121" s="2177"/>
      <c r="K121" s="2118"/>
      <c r="L121" s="2118"/>
      <c r="M121" s="2118" t="s">
        <v>649</v>
      </c>
      <c r="N121" s="2118"/>
      <c r="O121" s="2118"/>
    </row>
    <row r="122" spans="1:15" s="285" customFormat="1" ht="15" customHeight="1" x14ac:dyDescent="0.25">
      <c r="A122" s="2181"/>
      <c r="B122" s="2181"/>
      <c r="C122" s="2181"/>
      <c r="D122" s="2181"/>
      <c r="E122" s="2181"/>
      <c r="F122" s="2181"/>
      <c r="G122" s="2181"/>
      <c r="H122" s="2181"/>
      <c r="I122" s="2181"/>
      <c r="J122" s="2181"/>
      <c r="K122" s="2118"/>
      <c r="L122" s="2118"/>
      <c r="M122" s="2118" t="s">
        <v>649</v>
      </c>
      <c r="N122" s="2118"/>
      <c r="O122" s="2118"/>
    </row>
    <row r="123" spans="1:15" s="285" customFormat="1" ht="15" customHeight="1" x14ac:dyDescent="0.25">
      <c r="A123" s="2483" t="str">
        <f>CONCATENATE('negat e monit'!B84," ",'negat e monit'!B87)</f>
        <v xml:space="preserve"> 5</v>
      </c>
      <c r="B123" s="2483"/>
      <c r="C123" s="2483"/>
      <c r="D123" s="2483"/>
      <c r="E123" s="2483"/>
      <c r="F123" s="2483"/>
      <c r="G123" s="2483"/>
      <c r="H123" s="2483"/>
      <c r="I123" s="2483"/>
      <c r="J123" s="2483"/>
      <c r="K123" s="2483"/>
      <c r="L123" s="2483"/>
      <c r="M123" s="2118" t="str">
        <f>IF(M124="x","x",'negat e monit'!B84)</f>
        <v>x</v>
      </c>
      <c r="N123" s="2118"/>
      <c r="O123" s="2118"/>
    </row>
    <row r="124" spans="1:15" s="285" customFormat="1" ht="15" customHeight="1" x14ac:dyDescent="0.25">
      <c r="A124" s="3064" t="s">
        <v>2326</v>
      </c>
      <c r="B124" s="3064"/>
      <c r="C124" s="2171" t="str">
        <f>IF('negat e monit'!B88="","informação não encontrada",'negat e monit'!B88)</f>
        <v>informação não encontrada</v>
      </c>
      <c r="D124" s="2118"/>
      <c r="E124" s="2118"/>
      <c r="F124" s="2118"/>
      <c r="G124" s="2118"/>
      <c r="H124" s="2118"/>
      <c r="I124" s="2172" t="s">
        <v>2325</v>
      </c>
      <c r="J124" s="2171" t="str">
        <f>'negat e monit'!K84</f>
        <v>Informação não encontrada</v>
      </c>
      <c r="K124" s="2119"/>
      <c r="L124" s="2119"/>
      <c r="M124" s="2118" t="str">
        <f>M125</f>
        <v>x</v>
      </c>
      <c r="N124" s="2118"/>
      <c r="O124" s="2118"/>
    </row>
    <row r="125" spans="1:15" s="285" customFormat="1" ht="15" customHeight="1" x14ac:dyDescent="0.25">
      <c r="A125" s="3064" t="s">
        <v>2327</v>
      </c>
      <c r="B125" s="3064"/>
      <c r="C125" s="2171" t="str">
        <f>IF('negat e monit'!B89="","informação não encontrada",'negat e monit'!B89)</f>
        <v>informação não encontrada</v>
      </c>
      <c r="D125" s="2118"/>
      <c r="E125" s="2118"/>
      <c r="F125" s="2118"/>
      <c r="G125" s="2118"/>
      <c r="H125" s="2118"/>
      <c r="I125" s="2172" t="s">
        <v>2330</v>
      </c>
      <c r="J125" s="3065" t="str">
        <f>'negat e monit'!K85</f>
        <v>Informação não encontrada</v>
      </c>
      <c r="K125" s="3065"/>
      <c r="L125" s="3065"/>
      <c r="M125" s="2118" t="str">
        <f>M126</f>
        <v>x</v>
      </c>
      <c r="N125" s="2118"/>
      <c r="O125" s="2118"/>
    </row>
    <row r="126" spans="1:15" s="285" customFormat="1" ht="15" customHeight="1" x14ac:dyDescent="0.25">
      <c r="A126" s="3064" t="s">
        <v>2328</v>
      </c>
      <c r="B126" s="3064"/>
      <c r="C126" s="2171" t="str">
        <f>IF('negat e monit'!B90="","informação não encontrada",'negat e monit'!B90)</f>
        <v>informação não encontrada</v>
      </c>
      <c r="D126" s="2118"/>
      <c r="E126" s="2118"/>
      <c r="F126" s="2118"/>
      <c r="G126" s="2118"/>
      <c r="H126" s="2118"/>
      <c r="I126" s="2118"/>
      <c r="J126" s="2118"/>
      <c r="K126" s="2118"/>
      <c r="L126" s="2118"/>
      <c r="M126" s="2118" t="str">
        <f>M127</f>
        <v>x</v>
      </c>
      <c r="N126" s="2118"/>
      <c r="O126" s="2118"/>
    </row>
    <row r="127" spans="1:15" s="285" customFormat="1" ht="15" customHeight="1" x14ac:dyDescent="0.25">
      <c r="A127" s="3064" t="s">
        <v>621</v>
      </c>
      <c r="B127" s="3064"/>
      <c r="C127" s="3062" t="str">
        <f>IF('negat e monit'!B85="","-",'negat e monit'!B85)</f>
        <v>-</v>
      </c>
      <c r="D127" s="3062"/>
      <c r="E127" s="3062"/>
      <c r="F127" s="3062"/>
      <c r="G127" s="3063" t="s">
        <v>633</v>
      </c>
      <c r="H127" s="3063"/>
      <c r="I127" s="3063"/>
      <c r="J127" s="3063"/>
      <c r="K127" s="2168">
        <f>'negat e monit'!B86</f>
        <v>0</v>
      </c>
      <c r="L127" s="2168" t="s">
        <v>622</v>
      </c>
      <c r="M127" s="2118" t="str">
        <f>M128</f>
        <v>x</v>
      </c>
      <c r="N127" s="2118"/>
      <c r="O127" s="2118"/>
    </row>
    <row r="128" spans="1:15" s="285" customFormat="1" ht="15" customHeight="1" x14ac:dyDescent="0.25">
      <c r="A128" s="2821" t="s">
        <v>618</v>
      </c>
      <c r="B128" s="2456"/>
      <c r="C128" s="2175" t="e">
        <f>IF(ISERR(C129),C129,1)</f>
        <v>#NUM!</v>
      </c>
      <c r="D128" s="2175" t="e">
        <f>IF(ISERR(D129),D129,2)</f>
        <v>#NUM!</v>
      </c>
      <c r="E128" s="2175" t="e">
        <f>IF(ISERR(E129),E129,3)</f>
        <v>#NUM!</v>
      </c>
      <c r="F128" s="2175" t="e">
        <f>IF(ISERR(F129),F129,4)</f>
        <v>#NUM!</v>
      </c>
      <c r="G128" s="2175" t="e">
        <f>IF(ISERR(G129),G129,5)</f>
        <v>#NUM!</v>
      </c>
      <c r="H128" s="2175" t="e">
        <f>IF(ISERR(H129),H129,6)</f>
        <v>#NUM!</v>
      </c>
      <c r="I128" s="2175" t="e">
        <f>IF(ISERR(I129),I129,7)</f>
        <v>#NUM!</v>
      </c>
      <c r="J128" s="2175" t="e">
        <f>IF(ISERR(J129),J129,8)</f>
        <v>#NUM!</v>
      </c>
      <c r="K128" s="2175" t="e">
        <f>IF(ISERR(K129),K129,9)</f>
        <v>#NUM!</v>
      </c>
      <c r="L128" s="2175" t="e">
        <f>IF(ISERR(L129),L129,10)</f>
        <v>#NUM!</v>
      </c>
      <c r="M128" s="2118" t="str">
        <f>IF(ISERR(C128),"x","")</f>
        <v>x</v>
      </c>
      <c r="N128" s="2118"/>
      <c r="O128" s="2118"/>
    </row>
    <row r="129" spans="1:15" s="285" customFormat="1" ht="15" customHeight="1" x14ac:dyDescent="0.25">
      <c r="A129" s="2821" t="s">
        <v>2716</v>
      </c>
      <c r="B129" s="2456"/>
      <c r="C129" s="2176" t="e">
        <f>'negat e monit'!B99</f>
        <v>#NUM!</v>
      </c>
      <c r="D129" s="2176" t="e">
        <f>'negat e monit'!C99</f>
        <v>#NUM!</v>
      </c>
      <c r="E129" s="2176" t="e">
        <f>'negat e monit'!D99</f>
        <v>#NUM!</v>
      </c>
      <c r="F129" s="2176" t="e">
        <f>'negat e monit'!E99</f>
        <v>#NUM!</v>
      </c>
      <c r="G129" s="2176" t="e">
        <f>'negat e monit'!F99</f>
        <v>#NUM!</v>
      </c>
      <c r="H129" s="2176" t="e">
        <f>'negat e monit'!G99</f>
        <v>#NUM!</v>
      </c>
      <c r="I129" s="2176" t="e">
        <f>'negat e monit'!H99</f>
        <v>#NUM!</v>
      </c>
      <c r="J129" s="2176" t="e">
        <f>'negat e monit'!I99</f>
        <v>#NUM!</v>
      </c>
      <c r="K129" s="2176" t="e">
        <f>'negat e monit'!J99</f>
        <v>#NUM!</v>
      </c>
      <c r="L129" s="2176" t="e">
        <f>'negat e monit'!K99</f>
        <v>#NUM!</v>
      </c>
      <c r="M129" s="2118" t="str">
        <f t="shared" ref="M129:M136" si="12">M128</f>
        <v>x</v>
      </c>
      <c r="N129" s="2113" t="s">
        <v>273</v>
      </c>
      <c r="O129" s="2113" t="s">
        <v>658</v>
      </c>
    </row>
    <row r="130" spans="1:15" s="285" customFormat="1" ht="15" customHeight="1" x14ac:dyDescent="0.25">
      <c r="A130" s="2821" t="str">
        <f>'negat e monit'!$M$13&amp;", "&amp;'negat e monit'!$M$15&amp;", "&amp;'negat e monit'!$M$16</f>
        <v>IN 90, IN 93, IN 94</v>
      </c>
      <c r="B130" s="2456"/>
      <c r="C130" s="2176" t="e">
        <f>IF('negat e monit'!$B84="Negatoscópio",IF(C129&lt;1500,"Não","Sim"),IF(C129&lt;170,"Não","Sim"))</f>
        <v>#NUM!</v>
      </c>
      <c r="D130" s="2176" t="e">
        <f>IF('negat e monit'!$B84="Negatoscópio",IF(D129&lt;1500,"Não","Sim"),IF(D129&lt;170,"Não","Sim"))</f>
        <v>#NUM!</v>
      </c>
      <c r="E130" s="2176" t="e">
        <f>IF('negat e monit'!$B84="Negatoscópio",IF(E129&lt;1500,"Não","Sim"),IF(E129&lt;170,"Não","Sim"))</f>
        <v>#NUM!</v>
      </c>
      <c r="F130" s="2176" t="e">
        <f>IF('negat e monit'!$B84="Negatoscópio",IF(F129&lt;1500,"Não","Sim"),IF(F129&lt;170,"Não","Sim"))</f>
        <v>#NUM!</v>
      </c>
      <c r="G130" s="2176" t="e">
        <f>IF('negat e monit'!$B84="Negatoscópio",IF(G129&lt;1500,"Não","Sim"),IF(G129&lt;170,"Não","Sim"))</f>
        <v>#NUM!</v>
      </c>
      <c r="H130" s="2176" t="e">
        <f>IF('negat e monit'!$B84="Negatoscópio",IF(H129&lt;1500,"Não","Sim"),IF(H129&lt;170,"Não","Sim"))</f>
        <v>#NUM!</v>
      </c>
      <c r="I130" s="2176" t="e">
        <f>IF('negat e monit'!$B84="Negatoscópio",IF(I129&lt;1500,"Não","Sim"),IF(I129&lt;170,"Não","Sim"))</f>
        <v>#NUM!</v>
      </c>
      <c r="J130" s="2176" t="e">
        <f>IF('negat e monit'!$B84="Negatoscópio",IF(J129&lt;1500,"Não","Sim"),IF(J129&lt;170,"Não","Sim"))</f>
        <v>#NUM!</v>
      </c>
      <c r="K130" s="2176" t="e">
        <f>IF('negat e monit'!$B84="Negatoscópio",IF(K129&lt;1500,"Não","Sim"),IF(K129&lt;170,"Não","Sim"))</f>
        <v>#NUM!</v>
      </c>
      <c r="L130" s="2176" t="e">
        <f>IF('negat e monit'!$B84="Negatoscópio",IF(L129&lt;1500,"Não","Sim"),IF(L129&lt;170,"Não","Sim"))</f>
        <v>#NUM!</v>
      </c>
      <c r="M130" s="2118" t="str">
        <f t="shared" si="12"/>
        <v>x</v>
      </c>
      <c r="N130" s="2113">
        <f>IF((COUNTIF(C130:L130,"Não")+COUNTIF(C130:L130,"Restrição"))&gt;0,IF(M123="x",0,IF(M123="Negatoscópio","NN","MN")),0)</f>
        <v>0</v>
      </c>
      <c r="O130" s="2113">
        <f>COUNTIF(C130:L130,"Restrição")</f>
        <v>0</v>
      </c>
    </row>
    <row r="131" spans="1:15" s="285" customFormat="1" ht="15" customHeight="1" x14ac:dyDescent="0.25">
      <c r="A131" s="2821" t="str">
        <f>'negat e monit'!$M$14</f>
        <v>IN 92</v>
      </c>
      <c r="B131" s="2456"/>
      <c r="C131" s="2176" t="e">
        <f>IF('negat e monit'!$B84="Negatoscópio",IF(C129&lt;=2500,"Restrição",IF(C129&lt;3000,"Não","Sim")),IF(C129&lt;350,"Não","Sim"))</f>
        <v>#NUM!</v>
      </c>
      <c r="D131" s="2176" t="e">
        <f>IF('negat e monit'!$B84="Negatoscópio",IF(D129&lt;=2500,"Restrição",IF(D129&lt;3000,"Não","Sim")),IF(D129&lt;350,"Não","Sim"))</f>
        <v>#NUM!</v>
      </c>
      <c r="E131" s="2176" t="e">
        <f>IF('negat e monit'!$B84="Negatoscópio",IF(E129&lt;=2500,"Restrição",IF(E129&lt;3000,"Não","Sim")),IF(E129&lt;350,"Não","Sim"))</f>
        <v>#NUM!</v>
      </c>
      <c r="F131" s="2176" t="e">
        <f>IF('negat e monit'!$B84="Negatoscópio",IF(F129&lt;=2500,"Restrição",IF(F129&lt;3000,"Não","Sim")),IF(F129&lt;350,"Não","Sim"))</f>
        <v>#NUM!</v>
      </c>
      <c r="G131" s="2176" t="e">
        <f>IF('negat e monit'!$B84="Negatoscópio",IF(G129&lt;=2500,"Restrição",IF(G129&lt;3000,"Não","Sim")),IF(G129&lt;350,"Não","Sim"))</f>
        <v>#NUM!</v>
      </c>
      <c r="H131" s="2176" t="e">
        <f>IF('negat e monit'!$B84="Negatoscópio",IF(H129&lt;=2500,"Restrição",IF(H129&lt;3000,"Não","Sim")),IF(H129&lt;350,"Não","Sim"))</f>
        <v>#NUM!</v>
      </c>
      <c r="I131" s="2176" t="e">
        <f>IF('negat e monit'!$B84="Negatoscópio",IF(I129&lt;=2500,"Restrição",IF(I129&lt;3000,"Não","Sim")),IF(I129&lt;350,"Não","Sim"))</f>
        <v>#NUM!</v>
      </c>
      <c r="J131" s="2176" t="e">
        <f>IF('negat e monit'!$B84="Negatoscópio",IF(J129&lt;=2500,"Restrição",IF(J129&lt;3000,"Não","Sim")),IF(J129&lt;350,"Não","Sim"))</f>
        <v>#NUM!</v>
      </c>
      <c r="K131" s="2176" t="e">
        <f>IF('negat e monit'!$B84="Negatoscópio",IF(K129&lt;=2500,"Restrição",IF(K129&lt;3000,"Não","Sim")),IF(K129&lt;350,"Não","Sim"))</f>
        <v>#NUM!</v>
      </c>
      <c r="L131" s="2176" t="e">
        <f>IF('negat e monit'!$B84="Negatoscópio",IF(L129&lt;=2500,"Restrição",IF(L129&lt;3000,"Não","Sim")),IF(L129&lt;350,"Não","Sim"))</f>
        <v>#NUM!</v>
      </c>
      <c r="M131" s="2118" t="str">
        <f t="shared" si="12"/>
        <v>x</v>
      </c>
      <c r="N131" s="2113">
        <f>IF((COUNTIF(C131:L131,"Não")+COUNTIF(C131:L131,"Restrição"))&gt;0,IF(M123="x",0,IF(M123="Negatoscópio","NN54","MN54")),0)</f>
        <v>0</v>
      </c>
      <c r="O131" s="2113">
        <f>COUNTIF(C131:L131,"Restrição")</f>
        <v>0</v>
      </c>
    </row>
    <row r="132" spans="1:15" s="285" customFormat="1" ht="15" customHeight="1" x14ac:dyDescent="0.25">
      <c r="A132" s="2821" t="s">
        <v>620</v>
      </c>
      <c r="B132" s="2456"/>
      <c r="C132" s="2176" t="e">
        <f>'negat e monit'!B100</f>
        <v>#DIV/0!</v>
      </c>
      <c r="D132" s="2176" t="e">
        <f>'negat e monit'!C100</f>
        <v>#DIV/0!</v>
      </c>
      <c r="E132" s="2176" t="e">
        <f>'negat e monit'!D100</f>
        <v>#DIV/0!</v>
      </c>
      <c r="F132" s="2176" t="e">
        <f>'negat e monit'!E100</f>
        <v>#DIV/0!</v>
      </c>
      <c r="G132" s="2176" t="e">
        <f>'negat e monit'!F100</f>
        <v>#DIV/0!</v>
      </c>
      <c r="H132" s="2176" t="e">
        <f>'negat e monit'!G100</f>
        <v>#DIV/0!</v>
      </c>
      <c r="I132" s="2176" t="e">
        <f>'negat e monit'!H100</f>
        <v>#DIV/0!</v>
      </c>
      <c r="J132" s="2176" t="e">
        <f>'negat e monit'!I100</f>
        <v>#DIV/0!</v>
      </c>
      <c r="K132" s="2176" t="e">
        <f>'negat e monit'!J100</f>
        <v>#DIV/0!</v>
      </c>
      <c r="L132" s="2176" t="e">
        <f>'negat e monit'!K100</f>
        <v>#DIV/0!</v>
      </c>
      <c r="M132" s="2118" t="str">
        <f t="shared" si="12"/>
        <v>x</v>
      </c>
      <c r="N132" s="2118"/>
      <c r="O132" s="2118"/>
    </row>
    <row r="133" spans="1:15" s="285" customFormat="1" ht="15" customHeight="1" x14ac:dyDescent="0.25">
      <c r="A133" s="2821" t="str">
        <f>A130</f>
        <v>IN 90, IN 93, IN 94</v>
      </c>
      <c r="B133" s="2456"/>
      <c r="C133" s="2176" t="e">
        <f>IF(C132&gt;30,"Não","Sim")</f>
        <v>#DIV/0!</v>
      </c>
      <c r="D133" s="2176" t="e">
        <f t="shared" ref="D133:L133" si="13">IF(D132&gt;30,"Não","Sim")</f>
        <v>#DIV/0!</v>
      </c>
      <c r="E133" s="2176" t="e">
        <f t="shared" si="13"/>
        <v>#DIV/0!</v>
      </c>
      <c r="F133" s="2176" t="e">
        <f t="shared" si="13"/>
        <v>#DIV/0!</v>
      </c>
      <c r="G133" s="2176" t="e">
        <f t="shared" si="13"/>
        <v>#DIV/0!</v>
      </c>
      <c r="H133" s="2176" t="e">
        <f t="shared" si="13"/>
        <v>#DIV/0!</v>
      </c>
      <c r="I133" s="2176" t="e">
        <f t="shared" si="13"/>
        <v>#DIV/0!</v>
      </c>
      <c r="J133" s="2176" t="e">
        <f t="shared" si="13"/>
        <v>#DIV/0!</v>
      </c>
      <c r="K133" s="2176" t="e">
        <f t="shared" si="13"/>
        <v>#DIV/0!</v>
      </c>
      <c r="L133" s="2176" t="e">
        <f t="shared" si="13"/>
        <v>#DIV/0!</v>
      </c>
      <c r="M133" s="2118" t="str">
        <f t="shared" si="12"/>
        <v>x</v>
      </c>
      <c r="N133" s="2113">
        <f>IF((COUNTIF(C133:L133,"Não")+COUNTIF(C133:L133,"Restrição"))&gt;0,IF(M123="x",0,IF(M123="Negatoscópio","NN","MN")),0)</f>
        <v>0</v>
      </c>
      <c r="O133" s="2113">
        <f>COUNTIF(C133:L133,"Restrição")</f>
        <v>0</v>
      </c>
    </row>
    <row r="134" spans="1:15" s="285" customFormat="1" ht="15" customHeight="1" x14ac:dyDescent="0.25">
      <c r="A134" s="2821" t="str">
        <f>A131</f>
        <v>IN 92</v>
      </c>
      <c r="B134" s="2456"/>
      <c r="C134" s="2176" t="e">
        <f>IF(C132&gt;20,"Não","Sim")</f>
        <v>#DIV/0!</v>
      </c>
      <c r="D134" s="2176" t="e">
        <f t="shared" ref="D134:L134" si="14">IF(D132&gt;20,"Não","Sim")</f>
        <v>#DIV/0!</v>
      </c>
      <c r="E134" s="2176" t="e">
        <f t="shared" si="14"/>
        <v>#DIV/0!</v>
      </c>
      <c r="F134" s="2176" t="e">
        <f t="shared" si="14"/>
        <v>#DIV/0!</v>
      </c>
      <c r="G134" s="2176" t="e">
        <f t="shared" si="14"/>
        <v>#DIV/0!</v>
      </c>
      <c r="H134" s="2176" t="e">
        <f t="shared" si="14"/>
        <v>#DIV/0!</v>
      </c>
      <c r="I134" s="2176" t="e">
        <f t="shared" si="14"/>
        <v>#DIV/0!</v>
      </c>
      <c r="J134" s="2176" t="e">
        <f t="shared" si="14"/>
        <v>#DIV/0!</v>
      </c>
      <c r="K134" s="2176" t="e">
        <f t="shared" si="14"/>
        <v>#DIV/0!</v>
      </c>
      <c r="L134" s="2176" t="e">
        <f t="shared" si="14"/>
        <v>#DIV/0!</v>
      </c>
      <c r="M134" s="2118" t="str">
        <f t="shared" si="12"/>
        <v>x</v>
      </c>
      <c r="N134" s="2113">
        <f>IF((COUNTIF(C134:L134,"Não")+COUNTIF(C134:L134,"Restrição"))&gt;0,IF(M123="x",0,IF(M123="Negatoscópio","NN54","MN54")),0)</f>
        <v>0</v>
      </c>
      <c r="O134" s="2113">
        <f>COUNTIF(C134:L134,"Restrição")</f>
        <v>0</v>
      </c>
    </row>
    <row r="135" spans="1:15" s="285" customFormat="1" ht="15" customHeight="1" x14ac:dyDescent="0.25">
      <c r="A135" s="2177" t="s">
        <v>2717</v>
      </c>
      <c r="B135" s="2177"/>
      <c r="C135" s="2177"/>
      <c r="D135" s="2177"/>
      <c r="E135" s="2177"/>
      <c r="F135" s="2177"/>
      <c r="G135" s="2177"/>
      <c r="H135" s="2177"/>
      <c r="I135" s="2177"/>
      <c r="J135" s="2177"/>
      <c r="K135" s="2118"/>
      <c r="L135" s="2118"/>
      <c r="M135" s="2118" t="str">
        <f t="shared" si="12"/>
        <v>x</v>
      </c>
      <c r="N135" s="2118"/>
      <c r="O135" s="2118"/>
    </row>
    <row r="136" spans="1:15" s="285" customFormat="1" ht="15" customHeight="1" x14ac:dyDescent="0.25">
      <c r="A136" s="2181"/>
      <c r="B136" s="2181"/>
      <c r="C136" s="2181"/>
      <c r="D136" s="2181"/>
      <c r="E136" s="2181"/>
      <c r="F136" s="2181"/>
      <c r="G136" s="2181"/>
      <c r="H136" s="2181"/>
      <c r="I136" s="2181"/>
      <c r="J136" s="2181"/>
      <c r="M136" s="285" t="str">
        <f t="shared" si="12"/>
        <v>x</v>
      </c>
      <c r="N136" s="2118"/>
      <c r="O136" s="2118"/>
    </row>
    <row r="137" spans="1:15" s="285" customFormat="1" ht="15" customHeight="1" x14ac:dyDescent="0.25">
      <c r="A137" s="2177"/>
      <c r="B137" s="2177"/>
      <c r="C137" s="2177"/>
      <c r="D137" s="2177"/>
      <c r="E137" s="2177"/>
      <c r="F137" s="2177"/>
      <c r="G137" s="2177"/>
      <c r="H137" s="2177"/>
      <c r="I137" s="2177"/>
      <c r="J137" s="2177"/>
      <c r="K137" s="2118"/>
      <c r="L137" s="2118"/>
      <c r="M137" s="2118" t="s">
        <v>649</v>
      </c>
      <c r="N137" s="2118"/>
      <c r="O137" s="2118"/>
    </row>
    <row r="138" spans="1:15" s="285" customFormat="1" ht="15" customHeight="1" x14ac:dyDescent="0.25">
      <c r="A138" s="2177"/>
      <c r="B138" s="2177"/>
      <c r="C138" s="2177"/>
      <c r="D138" s="2177"/>
      <c r="E138" s="2177"/>
      <c r="F138" s="2177"/>
      <c r="G138" s="2177"/>
      <c r="H138" s="2177"/>
      <c r="I138" s="2177"/>
      <c r="J138" s="2177"/>
      <c r="K138" s="2118"/>
      <c r="L138" s="2118"/>
      <c r="M138" s="2118" t="s">
        <v>649</v>
      </c>
      <c r="N138" s="2118"/>
      <c r="O138" s="2118"/>
    </row>
    <row r="139" spans="1:15" s="285" customFormat="1" ht="15" customHeight="1" x14ac:dyDescent="0.25">
      <c r="A139" s="2177"/>
      <c r="B139" s="2177"/>
      <c r="C139" s="2177"/>
      <c r="D139" s="2177"/>
      <c r="E139" s="2177"/>
      <c r="F139" s="2177"/>
      <c r="G139" s="2177"/>
      <c r="H139" s="2177"/>
      <c r="I139" s="2177"/>
      <c r="J139" s="2177"/>
      <c r="K139" s="2118"/>
      <c r="L139" s="2118"/>
      <c r="M139" s="2118" t="s">
        <v>649</v>
      </c>
      <c r="N139" s="2118"/>
      <c r="O139" s="2118"/>
    </row>
    <row r="140" spans="1:15" s="285" customFormat="1" ht="15" customHeight="1" x14ac:dyDescent="0.25">
      <c r="A140" s="2177"/>
      <c r="B140" s="2177"/>
      <c r="C140" s="2177"/>
      <c r="D140" s="2177"/>
      <c r="E140" s="2177"/>
      <c r="F140" s="2177"/>
      <c r="G140" s="2177"/>
      <c r="H140" s="2177"/>
      <c r="I140" s="2177"/>
      <c r="J140" s="2177"/>
      <c r="K140" s="2118"/>
      <c r="L140" s="2118"/>
      <c r="M140" s="2118" t="s">
        <v>649</v>
      </c>
      <c r="N140" s="2118"/>
      <c r="O140" s="2118"/>
    </row>
    <row r="141" spans="1:15" s="285" customFormat="1" ht="15" customHeight="1" x14ac:dyDescent="0.25">
      <c r="A141" s="2177"/>
      <c r="B141" s="2177"/>
      <c r="C141" s="2177"/>
      <c r="D141" s="2177"/>
      <c r="E141" s="2177"/>
      <c r="F141" s="2177"/>
      <c r="G141" s="2177"/>
      <c r="H141" s="2177"/>
      <c r="I141" s="2177"/>
      <c r="J141" s="2177"/>
      <c r="K141" s="2118"/>
      <c r="L141" s="2118"/>
      <c r="M141" s="2118" t="s">
        <v>649</v>
      </c>
      <c r="N141" s="2118"/>
      <c r="O141" s="2118"/>
    </row>
    <row r="142" spans="1:15" s="285" customFormat="1" ht="15" customHeight="1" x14ac:dyDescent="0.25">
      <c r="A142" s="2181"/>
      <c r="B142" s="2181"/>
      <c r="C142" s="2181"/>
      <c r="D142" s="2181"/>
      <c r="E142" s="2181"/>
      <c r="F142" s="2181"/>
      <c r="G142" s="2181"/>
      <c r="H142" s="2181"/>
      <c r="I142" s="2181"/>
      <c r="J142" s="2181"/>
      <c r="K142" s="2118"/>
      <c r="L142" s="2118"/>
      <c r="M142" s="2118" t="s">
        <v>649</v>
      </c>
      <c r="N142" s="2118"/>
      <c r="O142" s="2118"/>
    </row>
    <row r="143" spans="1:15" s="285" customFormat="1" ht="15" customHeight="1" x14ac:dyDescent="0.25">
      <c r="A143" s="2483" t="str">
        <f>CONCATENATE('negat e monit'!B104," ",'negat e monit'!B107)</f>
        <v xml:space="preserve"> 6</v>
      </c>
      <c r="B143" s="2483"/>
      <c r="C143" s="2483"/>
      <c r="D143" s="2483"/>
      <c r="E143" s="2483"/>
      <c r="F143" s="2483"/>
      <c r="G143" s="2483"/>
      <c r="H143" s="2483"/>
      <c r="I143" s="2483"/>
      <c r="J143" s="2483"/>
      <c r="K143" s="2483"/>
      <c r="L143" s="2483"/>
      <c r="M143" s="2118" t="str">
        <f>IF(M144="x","x",'negat e monit'!B104)</f>
        <v>x</v>
      </c>
      <c r="N143" s="2118"/>
      <c r="O143" s="2118"/>
    </row>
    <row r="144" spans="1:15" s="285" customFormat="1" ht="15" customHeight="1" x14ac:dyDescent="0.25">
      <c r="A144" s="3064" t="s">
        <v>2326</v>
      </c>
      <c r="B144" s="3064"/>
      <c r="C144" s="2171" t="str">
        <f>IF('negat e monit'!B108="","informação não encontrada",'negat e monit'!B108)</f>
        <v>informação não encontrada</v>
      </c>
      <c r="D144" s="2118"/>
      <c r="E144" s="2118"/>
      <c r="F144" s="2118"/>
      <c r="G144" s="2118"/>
      <c r="H144" s="2118"/>
      <c r="I144" s="2172" t="s">
        <v>2325</v>
      </c>
      <c r="J144" s="2171" t="str">
        <f>'negat e monit'!K104</f>
        <v>Informação não encontrada</v>
      </c>
      <c r="K144" s="2119"/>
      <c r="L144" s="2119"/>
      <c r="M144" s="2118" t="str">
        <f>M145</f>
        <v>x</v>
      </c>
      <c r="N144" s="2118"/>
      <c r="O144" s="2118"/>
    </row>
    <row r="145" spans="1:15" s="285" customFormat="1" ht="15" customHeight="1" x14ac:dyDescent="0.25">
      <c r="A145" s="3064" t="s">
        <v>2327</v>
      </c>
      <c r="B145" s="3064"/>
      <c r="C145" s="2171" t="str">
        <f>IF('negat e monit'!B109="","informação não encontrada",'negat e monit'!B109)</f>
        <v>informação não encontrada</v>
      </c>
      <c r="D145" s="2118"/>
      <c r="E145" s="2118"/>
      <c r="F145" s="2118"/>
      <c r="G145" s="2118"/>
      <c r="H145" s="2118"/>
      <c r="I145" s="2172" t="s">
        <v>2330</v>
      </c>
      <c r="J145" s="3065" t="str">
        <f>'negat e monit'!K105</f>
        <v>Informação não encontrada</v>
      </c>
      <c r="K145" s="3065"/>
      <c r="L145" s="3065"/>
      <c r="M145" s="2118" t="str">
        <f>M146</f>
        <v>x</v>
      </c>
      <c r="N145" s="2118"/>
      <c r="O145" s="2118"/>
    </row>
    <row r="146" spans="1:15" s="285" customFormat="1" ht="15" customHeight="1" x14ac:dyDescent="0.25">
      <c r="A146" s="3064" t="s">
        <v>2328</v>
      </c>
      <c r="B146" s="3064"/>
      <c r="C146" s="2171" t="str">
        <f>IF('negat e monit'!B110="","informação não encontrada",'negat e monit'!B110)</f>
        <v>informação não encontrada</v>
      </c>
      <c r="D146" s="2118"/>
      <c r="E146" s="2118"/>
      <c r="F146" s="2118"/>
      <c r="G146" s="2118"/>
      <c r="H146" s="2118"/>
      <c r="I146" s="2118"/>
      <c r="J146" s="2118"/>
      <c r="K146" s="2118"/>
      <c r="L146" s="2118"/>
      <c r="M146" s="2118" t="str">
        <f>M147</f>
        <v>x</v>
      </c>
      <c r="N146" s="2118"/>
      <c r="O146" s="2118"/>
    </row>
    <row r="147" spans="1:15" s="285" customFormat="1" ht="15" customHeight="1" x14ac:dyDescent="0.25">
      <c r="A147" s="3064" t="s">
        <v>621</v>
      </c>
      <c r="B147" s="3064"/>
      <c r="C147" s="3062" t="str">
        <f>IF('negat e monit'!B105="","-",'negat e monit'!B105)</f>
        <v>-</v>
      </c>
      <c r="D147" s="3062"/>
      <c r="E147" s="3062"/>
      <c r="F147" s="3062"/>
      <c r="G147" s="3063" t="s">
        <v>633</v>
      </c>
      <c r="H147" s="3063"/>
      <c r="I147" s="3063"/>
      <c r="J147" s="3063"/>
      <c r="K147" s="2168">
        <f>'negat e monit'!B106</f>
        <v>0</v>
      </c>
      <c r="L147" s="2168" t="s">
        <v>622</v>
      </c>
      <c r="M147" s="2118" t="str">
        <f>M148</f>
        <v>x</v>
      </c>
      <c r="N147" s="2118"/>
      <c r="O147" s="2118"/>
    </row>
    <row r="148" spans="1:15" s="285" customFormat="1" ht="15" customHeight="1" x14ac:dyDescent="0.25">
      <c r="A148" s="2821" t="s">
        <v>618</v>
      </c>
      <c r="B148" s="2456"/>
      <c r="C148" s="2175" t="e">
        <f>IF(ISERR(C149),C149,1)</f>
        <v>#NUM!</v>
      </c>
      <c r="D148" s="2175" t="e">
        <f>IF(ISERR(D149),D149,2)</f>
        <v>#NUM!</v>
      </c>
      <c r="E148" s="2175" t="e">
        <f>IF(ISERR(E149),E149,3)</f>
        <v>#NUM!</v>
      </c>
      <c r="F148" s="2175" t="e">
        <f>IF(ISERR(F149),F149,4)</f>
        <v>#NUM!</v>
      </c>
      <c r="G148" s="2175" t="e">
        <f>IF(ISERR(G149),G149,5)</f>
        <v>#NUM!</v>
      </c>
      <c r="H148" s="2175" t="e">
        <f>IF(ISERR(H149),H149,6)</f>
        <v>#NUM!</v>
      </c>
      <c r="I148" s="2175" t="e">
        <f>IF(ISERR(I149),I149,7)</f>
        <v>#NUM!</v>
      </c>
      <c r="J148" s="2175" t="e">
        <f>IF(ISERR(J149),J149,8)</f>
        <v>#NUM!</v>
      </c>
      <c r="K148" s="2175" t="e">
        <f>IF(ISERR(K149),K149,9)</f>
        <v>#NUM!</v>
      </c>
      <c r="L148" s="2175" t="e">
        <f>IF(ISERR(L149),L149,10)</f>
        <v>#NUM!</v>
      </c>
      <c r="M148" s="2118" t="str">
        <f>IF(ISERR(C148),"x","")</f>
        <v>x</v>
      </c>
      <c r="N148" s="2118"/>
      <c r="O148" s="2118"/>
    </row>
    <row r="149" spans="1:15" s="285" customFormat="1" ht="15" customHeight="1" x14ac:dyDescent="0.25">
      <c r="A149" s="2821" t="s">
        <v>2716</v>
      </c>
      <c r="B149" s="2456"/>
      <c r="C149" s="2176" t="e">
        <f>'negat e monit'!B119</f>
        <v>#NUM!</v>
      </c>
      <c r="D149" s="2176" t="e">
        <f>'negat e monit'!C119</f>
        <v>#NUM!</v>
      </c>
      <c r="E149" s="2176" t="e">
        <f>'negat e monit'!D119</f>
        <v>#NUM!</v>
      </c>
      <c r="F149" s="2176" t="e">
        <f>'negat e monit'!E119</f>
        <v>#NUM!</v>
      </c>
      <c r="G149" s="2176" t="e">
        <f>'negat e monit'!F119</f>
        <v>#NUM!</v>
      </c>
      <c r="H149" s="2176" t="e">
        <f>'negat e monit'!G119</f>
        <v>#NUM!</v>
      </c>
      <c r="I149" s="2176" t="e">
        <f>'negat e monit'!H119</f>
        <v>#NUM!</v>
      </c>
      <c r="J149" s="2176" t="e">
        <f>'negat e monit'!I119</f>
        <v>#NUM!</v>
      </c>
      <c r="K149" s="2176" t="e">
        <f>'negat e monit'!J119</f>
        <v>#NUM!</v>
      </c>
      <c r="L149" s="2176" t="e">
        <f>'negat e monit'!K119</f>
        <v>#NUM!</v>
      </c>
      <c r="M149" s="2118" t="str">
        <f t="shared" ref="M149:M156" si="15">M148</f>
        <v>x</v>
      </c>
      <c r="N149" s="2113" t="s">
        <v>273</v>
      </c>
      <c r="O149" s="2113" t="s">
        <v>658</v>
      </c>
    </row>
    <row r="150" spans="1:15" s="285" customFormat="1" ht="15" customHeight="1" x14ac:dyDescent="0.25">
      <c r="A150" s="2821" t="str">
        <f>'negat e monit'!$M$13&amp;", "&amp;'negat e monit'!$M$15&amp;", "&amp;'negat e monit'!$M$16</f>
        <v>IN 90, IN 93, IN 94</v>
      </c>
      <c r="B150" s="2456"/>
      <c r="C150" s="2176" t="e">
        <f>IF('negat e monit'!$B104="Negatoscópio",IF(C149&lt;1500,"Não","Sim"),IF(C149&lt;170,"Não","Sim"))</f>
        <v>#NUM!</v>
      </c>
      <c r="D150" s="2176" t="e">
        <f>IF('negat e monit'!$B104="Negatoscópio",IF(D149&lt;1500,"Não","Sim"),IF(D149&lt;170,"Não","Sim"))</f>
        <v>#NUM!</v>
      </c>
      <c r="E150" s="2176" t="e">
        <f>IF('negat e monit'!$B104="Negatoscópio",IF(E149&lt;1500,"Não","Sim"),IF(E149&lt;170,"Não","Sim"))</f>
        <v>#NUM!</v>
      </c>
      <c r="F150" s="2176" t="e">
        <f>IF('negat e monit'!$B104="Negatoscópio",IF(F149&lt;1500,"Não","Sim"),IF(F149&lt;170,"Não","Sim"))</f>
        <v>#NUM!</v>
      </c>
      <c r="G150" s="2176" t="e">
        <f>IF('negat e monit'!$B104="Negatoscópio",IF(G149&lt;1500,"Não","Sim"),IF(G149&lt;170,"Não","Sim"))</f>
        <v>#NUM!</v>
      </c>
      <c r="H150" s="2176" t="e">
        <f>IF('negat e monit'!$B104="Negatoscópio",IF(H149&lt;1500,"Não","Sim"),IF(H149&lt;170,"Não","Sim"))</f>
        <v>#NUM!</v>
      </c>
      <c r="I150" s="2176" t="e">
        <f>IF('negat e monit'!$B104="Negatoscópio",IF(I149&lt;1500,"Não","Sim"),IF(I149&lt;170,"Não","Sim"))</f>
        <v>#NUM!</v>
      </c>
      <c r="J150" s="2176" t="e">
        <f>IF('negat e monit'!$B104="Negatoscópio",IF(J149&lt;1500,"Não","Sim"),IF(J149&lt;170,"Não","Sim"))</f>
        <v>#NUM!</v>
      </c>
      <c r="K150" s="2176" t="e">
        <f>IF('negat e monit'!$B104="Negatoscópio",IF(K149&lt;1500,"Não","Sim"),IF(K149&lt;170,"Não","Sim"))</f>
        <v>#NUM!</v>
      </c>
      <c r="L150" s="2176" t="e">
        <f>IF('negat e monit'!$B104="Negatoscópio",IF(L149&lt;1500,"Não","Sim"),IF(L149&lt;170,"Não","Sim"))</f>
        <v>#NUM!</v>
      </c>
      <c r="M150" s="2118" t="str">
        <f t="shared" si="15"/>
        <v>x</v>
      </c>
      <c r="N150" s="2113">
        <f>IF((COUNTIF(C150:L150,"Não")+COUNTIF(C150:L150,"Restrição"))&gt;0,IF(M143="x",0,IF(M143="Negatoscópio","NN","MN")),0)</f>
        <v>0</v>
      </c>
      <c r="O150" s="2113">
        <f>COUNTIF(C150:L150,"Restrição")</f>
        <v>0</v>
      </c>
    </row>
    <row r="151" spans="1:15" s="285" customFormat="1" ht="15" customHeight="1" x14ac:dyDescent="0.25">
      <c r="A151" s="2821" t="str">
        <f>'negat e monit'!$M$14</f>
        <v>IN 92</v>
      </c>
      <c r="B151" s="2456"/>
      <c r="C151" s="2176" t="e">
        <f>IF('negat e monit'!$B104="Negatoscópio",IF(C149&lt;=2500,"Restrição",IF(C149&lt;3000,"Não","Sim")),IF(C149&lt;350,"Não","Sim"))</f>
        <v>#NUM!</v>
      </c>
      <c r="D151" s="2176" t="e">
        <f>IF('negat e monit'!$B104="Negatoscópio",IF(D149&lt;=2500,"Restrição",IF(D149&lt;3000,"Não","Sim")),IF(D149&lt;350,"Não","Sim"))</f>
        <v>#NUM!</v>
      </c>
      <c r="E151" s="2176" t="e">
        <f>IF('negat e monit'!$B104="Negatoscópio",IF(E149&lt;=2500,"Restrição",IF(E149&lt;3000,"Não","Sim")),IF(E149&lt;350,"Não","Sim"))</f>
        <v>#NUM!</v>
      </c>
      <c r="F151" s="2176" t="e">
        <f>IF('negat e monit'!$B104="Negatoscópio",IF(F149&lt;=2500,"Restrição",IF(F149&lt;3000,"Não","Sim")),IF(F149&lt;350,"Não","Sim"))</f>
        <v>#NUM!</v>
      </c>
      <c r="G151" s="2176" t="e">
        <f>IF('negat e monit'!$B104="Negatoscópio",IF(G149&lt;=2500,"Restrição",IF(G149&lt;3000,"Não","Sim")),IF(G149&lt;350,"Não","Sim"))</f>
        <v>#NUM!</v>
      </c>
      <c r="H151" s="2176" t="e">
        <f>IF('negat e monit'!$B104="Negatoscópio",IF(H149&lt;=2500,"Restrição",IF(H149&lt;3000,"Não","Sim")),IF(H149&lt;350,"Não","Sim"))</f>
        <v>#NUM!</v>
      </c>
      <c r="I151" s="2176" t="e">
        <f>IF('negat e monit'!$B104="Negatoscópio",IF(I149&lt;=2500,"Restrição",IF(I149&lt;3000,"Não","Sim")),IF(I149&lt;350,"Não","Sim"))</f>
        <v>#NUM!</v>
      </c>
      <c r="J151" s="2176" t="e">
        <f>IF('negat e monit'!$B104="Negatoscópio",IF(J149&lt;=2500,"Restrição",IF(J149&lt;3000,"Não","Sim")),IF(J149&lt;350,"Não","Sim"))</f>
        <v>#NUM!</v>
      </c>
      <c r="K151" s="2176" t="e">
        <f>IF('negat e monit'!$B104="Negatoscópio",IF(K149&lt;=2500,"Restrição",IF(K149&lt;3000,"Não","Sim")),IF(K149&lt;350,"Não","Sim"))</f>
        <v>#NUM!</v>
      </c>
      <c r="L151" s="2176" t="e">
        <f>IF('negat e monit'!$B104="Negatoscópio",IF(L149&lt;=2500,"Restrição",IF(L149&lt;3000,"Não","Sim")),IF(L149&lt;350,"Não","Sim"))</f>
        <v>#NUM!</v>
      </c>
      <c r="M151" s="2118" t="str">
        <f t="shared" si="15"/>
        <v>x</v>
      </c>
      <c r="N151" s="2113">
        <f>IF((COUNTIF(C151:L151,"Não")+COUNTIF(C151:L151,"Restrição"))&gt;0,IF(M143="x",0,IF(M143="Negatoscópio","NN54","MN54")),0)</f>
        <v>0</v>
      </c>
      <c r="O151" s="2113">
        <f>COUNTIF(C151:L151,"Restrição")</f>
        <v>0</v>
      </c>
    </row>
    <row r="152" spans="1:15" s="285" customFormat="1" ht="15" customHeight="1" x14ac:dyDescent="0.25">
      <c r="A152" s="2821" t="s">
        <v>620</v>
      </c>
      <c r="B152" s="2456"/>
      <c r="C152" s="2176" t="e">
        <f>'negat e monit'!B120</f>
        <v>#DIV/0!</v>
      </c>
      <c r="D152" s="2176" t="e">
        <f>'negat e monit'!C120</f>
        <v>#DIV/0!</v>
      </c>
      <c r="E152" s="2176" t="e">
        <f>'negat e monit'!D120</f>
        <v>#DIV/0!</v>
      </c>
      <c r="F152" s="2176" t="e">
        <f>'negat e monit'!E120</f>
        <v>#DIV/0!</v>
      </c>
      <c r="G152" s="2176" t="e">
        <f>'negat e monit'!F120</f>
        <v>#DIV/0!</v>
      </c>
      <c r="H152" s="2176" t="e">
        <f>'negat e monit'!G120</f>
        <v>#DIV/0!</v>
      </c>
      <c r="I152" s="2176" t="e">
        <f>'negat e monit'!H120</f>
        <v>#DIV/0!</v>
      </c>
      <c r="J152" s="2176" t="e">
        <f>'negat e monit'!I120</f>
        <v>#DIV/0!</v>
      </c>
      <c r="K152" s="2176" t="e">
        <f>'negat e monit'!J120</f>
        <v>#DIV/0!</v>
      </c>
      <c r="L152" s="2176" t="e">
        <f>'negat e monit'!K120</f>
        <v>#DIV/0!</v>
      </c>
      <c r="M152" s="2118" t="str">
        <f t="shared" si="15"/>
        <v>x</v>
      </c>
      <c r="N152" s="2118"/>
      <c r="O152" s="2118"/>
    </row>
    <row r="153" spans="1:15" s="285" customFormat="1" ht="15" customHeight="1" x14ac:dyDescent="0.25">
      <c r="A153" s="2821" t="str">
        <f>A150</f>
        <v>IN 90, IN 93, IN 94</v>
      </c>
      <c r="B153" s="2456"/>
      <c r="C153" s="2176" t="e">
        <f>IF(C152&gt;30,"Não","Sim")</f>
        <v>#DIV/0!</v>
      </c>
      <c r="D153" s="2176" t="e">
        <f t="shared" ref="D153:L153" si="16">IF(D152&gt;30,"Não","Sim")</f>
        <v>#DIV/0!</v>
      </c>
      <c r="E153" s="2176" t="e">
        <f t="shared" si="16"/>
        <v>#DIV/0!</v>
      </c>
      <c r="F153" s="2176" t="e">
        <f t="shared" si="16"/>
        <v>#DIV/0!</v>
      </c>
      <c r="G153" s="2176" t="e">
        <f t="shared" si="16"/>
        <v>#DIV/0!</v>
      </c>
      <c r="H153" s="2176" t="e">
        <f t="shared" si="16"/>
        <v>#DIV/0!</v>
      </c>
      <c r="I153" s="2176" t="e">
        <f t="shared" si="16"/>
        <v>#DIV/0!</v>
      </c>
      <c r="J153" s="2176" t="e">
        <f t="shared" si="16"/>
        <v>#DIV/0!</v>
      </c>
      <c r="K153" s="2176" t="e">
        <f t="shared" si="16"/>
        <v>#DIV/0!</v>
      </c>
      <c r="L153" s="2176" t="e">
        <f t="shared" si="16"/>
        <v>#DIV/0!</v>
      </c>
      <c r="M153" s="2118" t="str">
        <f t="shared" si="15"/>
        <v>x</v>
      </c>
      <c r="N153" s="2113">
        <f>IF((COUNTIF(C153:L153,"Não")+COUNTIF(C153:L153,"Restrição"))&gt;0,IF(M143="x",0,IF(M143="Negatoscópio","NN","MN")),0)</f>
        <v>0</v>
      </c>
      <c r="O153" s="2113">
        <f>COUNTIF(C153:L153,"Restrição")</f>
        <v>0</v>
      </c>
    </row>
    <row r="154" spans="1:15" s="285" customFormat="1" ht="15" customHeight="1" x14ac:dyDescent="0.25">
      <c r="A154" s="2821" t="str">
        <f>A151</f>
        <v>IN 92</v>
      </c>
      <c r="B154" s="2456"/>
      <c r="C154" s="2176" t="e">
        <f>IF(C152&gt;20,"Não","Sim")</f>
        <v>#DIV/0!</v>
      </c>
      <c r="D154" s="2176" t="e">
        <f t="shared" ref="D154:L154" si="17">IF(D152&gt;20,"Não","Sim")</f>
        <v>#DIV/0!</v>
      </c>
      <c r="E154" s="2176" t="e">
        <f t="shared" si="17"/>
        <v>#DIV/0!</v>
      </c>
      <c r="F154" s="2176" t="e">
        <f t="shared" si="17"/>
        <v>#DIV/0!</v>
      </c>
      <c r="G154" s="2176" t="e">
        <f t="shared" si="17"/>
        <v>#DIV/0!</v>
      </c>
      <c r="H154" s="2176" t="e">
        <f t="shared" si="17"/>
        <v>#DIV/0!</v>
      </c>
      <c r="I154" s="2176" t="e">
        <f t="shared" si="17"/>
        <v>#DIV/0!</v>
      </c>
      <c r="J154" s="2176" t="e">
        <f t="shared" si="17"/>
        <v>#DIV/0!</v>
      </c>
      <c r="K154" s="2176" t="e">
        <f t="shared" si="17"/>
        <v>#DIV/0!</v>
      </c>
      <c r="L154" s="2176" t="e">
        <f t="shared" si="17"/>
        <v>#DIV/0!</v>
      </c>
      <c r="M154" s="2118" t="str">
        <f t="shared" si="15"/>
        <v>x</v>
      </c>
      <c r="N154" s="2113">
        <f>IF((COUNTIF(C154:L154,"Não")+COUNTIF(C154:L154,"Restrição"))&gt;0,IF(M143="x",0,IF(M143="Negatoscópio","NN54","MN54")),0)</f>
        <v>0</v>
      </c>
      <c r="O154" s="2113">
        <f>COUNTIF(C154:L154,"Restrição")</f>
        <v>0</v>
      </c>
    </row>
    <row r="155" spans="1:15" s="285" customFormat="1" ht="15" customHeight="1" x14ac:dyDescent="0.25">
      <c r="A155" s="2177" t="s">
        <v>2717</v>
      </c>
      <c r="B155" s="2177"/>
      <c r="C155" s="2177"/>
      <c r="D155" s="2177"/>
      <c r="E155" s="2177"/>
      <c r="F155" s="2177"/>
      <c r="G155" s="2177"/>
      <c r="H155" s="2177"/>
      <c r="I155" s="2177"/>
      <c r="J155" s="2177"/>
      <c r="K155" s="2118"/>
      <c r="L155" s="2118"/>
      <c r="M155" s="2118" t="str">
        <f t="shared" si="15"/>
        <v>x</v>
      </c>
      <c r="N155" s="2118"/>
      <c r="O155" s="2118"/>
    </row>
    <row r="156" spans="1:15" s="285" customFormat="1" ht="15" customHeight="1" x14ac:dyDescent="0.25">
      <c r="A156" s="2181"/>
      <c r="B156" s="2181"/>
      <c r="C156" s="2181"/>
      <c r="D156" s="2181"/>
      <c r="E156" s="2181"/>
      <c r="F156" s="2181"/>
      <c r="G156" s="2181"/>
      <c r="H156" s="2181"/>
      <c r="I156" s="2181"/>
      <c r="J156" s="2181"/>
      <c r="M156" s="285" t="str">
        <f t="shared" si="15"/>
        <v>x</v>
      </c>
      <c r="N156" s="2118"/>
      <c r="O156" s="2118"/>
    </row>
    <row r="157" spans="1:15" s="285" customFormat="1" ht="15" customHeight="1" x14ac:dyDescent="0.25">
      <c r="A157" s="2177"/>
      <c r="B157" s="2177"/>
      <c r="C157" s="2177"/>
      <c r="D157" s="2177"/>
      <c r="E157" s="2177"/>
      <c r="F157" s="2177"/>
      <c r="G157" s="2177"/>
      <c r="H157" s="2177"/>
      <c r="I157" s="2177"/>
      <c r="J157" s="2177"/>
      <c r="K157" s="2118"/>
      <c r="L157" s="2118"/>
      <c r="M157" s="2118" t="s">
        <v>649</v>
      </c>
      <c r="N157" s="2118"/>
      <c r="O157" s="2118"/>
    </row>
    <row r="158" spans="1:15" s="285" customFormat="1" ht="15" customHeight="1" x14ac:dyDescent="0.25">
      <c r="A158" s="2177"/>
      <c r="B158" s="2177"/>
      <c r="C158" s="2177"/>
      <c r="D158" s="2177"/>
      <c r="E158" s="2177"/>
      <c r="F158" s="2177"/>
      <c r="G158" s="2177"/>
      <c r="H158" s="2177"/>
      <c r="I158" s="2177"/>
      <c r="J158" s="2177"/>
      <c r="K158" s="2118"/>
      <c r="L158" s="2118"/>
      <c r="M158" s="2118" t="s">
        <v>649</v>
      </c>
      <c r="N158" s="2118"/>
      <c r="O158" s="2118"/>
    </row>
    <row r="159" spans="1:15" s="285" customFormat="1" ht="15" customHeight="1" x14ac:dyDescent="0.25">
      <c r="A159" s="2177"/>
      <c r="B159" s="2177"/>
      <c r="C159" s="2177"/>
      <c r="D159" s="2177"/>
      <c r="E159" s="2177"/>
      <c r="F159" s="2177"/>
      <c r="G159" s="2177"/>
      <c r="H159" s="2177"/>
      <c r="I159" s="2177"/>
      <c r="J159" s="2177"/>
      <c r="K159" s="2118"/>
      <c r="L159" s="2118"/>
      <c r="M159" s="2118" t="s">
        <v>649</v>
      </c>
      <c r="N159" s="2118"/>
      <c r="O159" s="2118"/>
    </row>
    <row r="160" spans="1:15" s="285" customFormat="1" ht="15" customHeight="1" x14ac:dyDescent="0.25">
      <c r="A160" s="2177"/>
      <c r="B160" s="2177"/>
      <c r="C160" s="2177"/>
      <c r="D160" s="2177"/>
      <c r="E160" s="2177"/>
      <c r="F160" s="2177"/>
      <c r="G160" s="2177"/>
      <c r="H160" s="2177"/>
      <c r="I160" s="2177"/>
      <c r="J160" s="2177"/>
      <c r="K160" s="2118"/>
      <c r="L160" s="2118"/>
      <c r="M160" s="2118" t="s">
        <v>649</v>
      </c>
      <c r="N160" s="2118"/>
      <c r="O160" s="2118"/>
    </row>
    <row r="161" spans="1:15" s="285" customFormat="1" ht="15" customHeight="1" x14ac:dyDescent="0.25">
      <c r="A161" s="2177"/>
      <c r="B161" s="2177"/>
      <c r="C161" s="2177"/>
      <c r="D161" s="2177"/>
      <c r="E161" s="2177"/>
      <c r="F161" s="2177"/>
      <c r="G161" s="2177"/>
      <c r="H161" s="2177"/>
      <c r="I161" s="2177"/>
      <c r="J161" s="2177"/>
      <c r="K161" s="2118"/>
      <c r="L161" s="2118"/>
      <c r="M161" s="2118" t="s">
        <v>649</v>
      </c>
      <c r="N161" s="2118"/>
      <c r="O161" s="2118"/>
    </row>
    <row r="162" spans="1:15" s="285" customFormat="1" ht="15" customHeight="1" x14ac:dyDescent="0.25">
      <c r="A162" s="2181"/>
      <c r="B162" s="2181"/>
      <c r="C162" s="2181"/>
      <c r="D162" s="2181"/>
      <c r="E162" s="2181"/>
      <c r="F162" s="2181"/>
      <c r="G162" s="2181"/>
      <c r="H162" s="2181"/>
      <c r="I162" s="2181"/>
      <c r="J162" s="2181"/>
      <c r="K162" s="2118"/>
      <c r="L162" s="2118"/>
      <c r="M162" s="2118" t="s">
        <v>649</v>
      </c>
      <c r="N162" s="2118"/>
      <c r="O162" s="2118"/>
    </row>
    <row r="163" spans="1:15" s="285" customFormat="1" ht="15" customHeight="1" x14ac:dyDescent="0.25">
      <c r="A163" s="2483" t="str">
        <f>CONCATENATE('negat e monit'!B124," ",'negat e monit'!B127)</f>
        <v xml:space="preserve"> 7</v>
      </c>
      <c r="B163" s="2483"/>
      <c r="C163" s="2483"/>
      <c r="D163" s="2483"/>
      <c r="E163" s="2483"/>
      <c r="F163" s="2483"/>
      <c r="G163" s="2483"/>
      <c r="H163" s="2483"/>
      <c r="I163" s="2483"/>
      <c r="J163" s="2483"/>
      <c r="K163" s="2483"/>
      <c r="L163" s="2483"/>
      <c r="M163" s="2118" t="str">
        <f>IF(M164="x","x",'negat e monit'!B124)</f>
        <v>x</v>
      </c>
      <c r="N163" s="2118"/>
      <c r="O163" s="2118"/>
    </row>
    <row r="164" spans="1:15" s="285" customFormat="1" ht="15" customHeight="1" x14ac:dyDescent="0.25">
      <c r="A164" s="3064" t="s">
        <v>2326</v>
      </c>
      <c r="B164" s="3064"/>
      <c r="C164" s="2171" t="str">
        <f>IF('negat e monit'!B128="","informação não encontrada",'negat e monit'!B128)</f>
        <v>informação não encontrada</v>
      </c>
      <c r="D164" s="2118"/>
      <c r="E164" s="2118"/>
      <c r="F164" s="2118"/>
      <c r="G164" s="2118"/>
      <c r="H164" s="2118"/>
      <c r="I164" s="2172" t="s">
        <v>2325</v>
      </c>
      <c r="J164" s="2171" t="str">
        <f>'negat e monit'!K124</f>
        <v>Informação não encontrada</v>
      </c>
      <c r="K164" s="2119"/>
      <c r="L164" s="2119"/>
      <c r="M164" s="2118" t="str">
        <f>M165</f>
        <v>x</v>
      </c>
      <c r="N164" s="2118"/>
      <c r="O164" s="2118"/>
    </row>
    <row r="165" spans="1:15" s="285" customFormat="1" ht="15" customHeight="1" x14ac:dyDescent="0.25">
      <c r="A165" s="3064" t="s">
        <v>2327</v>
      </c>
      <c r="B165" s="3064"/>
      <c r="C165" s="2171" t="str">
        <f>IF('negat e monit'!B129="","informação não encontrada",'negat e monit'!B129)</f>
        <v>informação não encontrada</v>
      </c>
      <c r="D165" s="2118"/>
      <c r="E165" s="2118"/>
      <c r="F165" s="2118"/>
      <c r="G165" s="2118"/>
      <c r="H165" s="2118"/>
      <c r="I165" s="2172" t="s">
        <v>2330</v>
      </c>
      <c r="J165" s="3065" t="str">
        <f>'negat e monit'!K125</f>
        <v>Informação não encontrada</v>
      </c>
      <c r="K165" s="3065"/>
      <c r="L165" s="3065"/>
      <c r="M165" s="2118" t="str">
        <f>M166</f>
        <v>x</v>
      </c>
      <c r="N165" s="2118"/>
      <c r="O165" s="2118"/>
    </row>
    <row r="166" spans="1:15" s="285" customFormat="1" ht="15" customHeight="1" x14ac:dyDescent="0.25">
      <c r="A166" s="3064" t="s">
        <v>2328</v>
      </c>
      <c r="B166" s="3064"/>
      <c r="C166" s="2171" t="str">
        <f>IF('negat e monit'!B130="","informação não encontrada",'negat e monit'!B130)</f>
        <v>informação não encontrada</v>
      </c>
      <c r="D166" s="2118"/>
      <c r="E166" s="2118"/>
      <c r="F166" s="2118"/>
      <c r="G166" s="2118"/>
      <c r="H166" s="2118"/>
      <c r="I166" s="2118"/>
      <c r="J166" s="2118"/>
      <c r="K166" s="2118"/>
      <c r="L166" s="2118"/>
      <c r="M166" s="2118" t="str">
        <f>M167</f>
        <v>x</v>
      </c>
      <c r="N166" s="2118"/>
      <c r="O166" s="2118"/>
    </row>
    <row r="167" spans="1:15" s="285" customFormat="1" ht="15" customHeight="1" x14ac:dyDescent="0.25">
      <c r="A167" s="3064" t="s">
        <v>621</v>
      </c>
      <c r="B167" s="3064"/>
      <c r="C167" s="3062" t="str">
        <f>IF('negat e monit'!B125="","-",'negat e monit'!B125)</f>
        <v>-</v>
      </c>
      <c r="D167" s="3062"/>
      <c r="E167" s="3062"/>
      <c r="F167" s="3062"/>
      <c r="G167" s="3063" t="s">
        <v>633</v>
      </c>
      <c r="H167" s="3063"/>
      <c r="I167" s="3063"/>
      <c r="J167" s="3063"/>
      <c r="K167" s="2168">
        <f>'negat e monit'!B126</f>
        <v>0</v>
      </c>
      <c r="L167" s="2168" t="s">
        <v>622</v>
      </c>
      <c r="M167" s="2118" t="str">
        <f>M168</f>
        <v>x</v>
      </c>
      <c r="N167" s="2118"/>
      <c r="O167" s="2118"/>
    </row>
    <row r="168" spans="1:15" s="285" customFormat="1" ht="15" customHeight="1" x14ac:dyDescent="0.25">
      <c r="A168" s="2821" t="s">
        <v>618</v>
      </c>
      <c r="B168" s="2456"/>
      <c r="C168" s="2175" t="e">
        <f>IF(ISERR(C169),C169,1)</f>
        <v>#NUM!</v>
      </c>
      <c r="D168" s="2175" t="e">
        <f>IF(ISERR(D169),D169,2)</f>
        <v>#NUM!</v>
      </c>
      <c r="E168" s="2175" t="e">
        <f>IF(ISERR(E169),E169,3)</f>
        <v>#NUM!</v>
      </c>
      <c r="F168" s="2175" t="e">
        <f>IF(ISERR(F169),F169,4)</f>
        <v>#NUM!</v>
      </c>
      <c r="G168" s="2175" t="e">
        <f>IF(ISERR(G169),G169,5)</f>
        <v>#NUM!</v>
      </c>
      <c r="H168" s="2175" t="e">
        <f>IF(ISERR(H169),H169,6)</f>
        <v>#NUM!</v>
      </c>
      <c r="I168" s="2175" t="e">
        <f>IF(ISERR(I169),I169,7)</f>
        <v>#NUM!</v>
      </c>
      <c r="J168" s="2175" t="e">
        <f>IF(ISERR(J169),J169,8)</f>
        <v>#NUM!</v>
      </c>
      <c r="K168" s="2175" t="e">
        <f>IF(ISERR(K169),K169,9)</f>
        <v>#NUM!</v>
      </c>
      <c r="L168" s="2175" t="e">
        <f>IF(ISERR(L169),L169,10)</f>
        <v>#NUM!</v>
      </c>
      <c r="M168" s="2118" t="str">
        <f>IF(ISERR(C168),"x","")</f>
        <v>x</v>
      </c>
      <c r="N168" s="2118"/>
      <c r="O168" s="2118"/>
    </row>
    <row r="169" spans="1:15" s="285" customFormat="1" ht="15" customHeight="1" x14ac:dyDescent="0.25">
      <c r="A169" s="2821" t="s">
        <v>2716</v>
      </c>
      <c r="B169" s="2456"/>
      <c r="C169" s="2176" t="e">
        <f>'negat e monit'!B139</f>
        <v>#NUM!</v>
      </c>
      <c r="D169" s="2176" t="e">
        <f>'negat e monit'!C139</f>
        <v>#NUM!</v>
      </c>
      <c r="E169" s="2176" t="e">
        <f>'negat e monit'!D139</f>
        <v>#NUM!</v>
      </c>
      <c r="F169" s="2176" t="e">
        <f>'negat e monit'!E139</f>
        <v>#NUM!</v>
      </c>
      <c r="G169" s="2176" t="e">
        <f>'negat e monit'!F139</f>
        <v>#NUM!</v>
      </c>
      <c r="H169" s="2176" t="e">
        <f>'negat e monit'!G139</f>
        <v>#NUM!</v>
      </c>
      <c r="I169" s="2176" t="e">
        <f>'negat e monit'!H139</f>
        <v>#NUM!</v>
      </c>
      <c r="J169" s="2176" t="e">
        <f>'negat e monit'!I139</f>
        <v>#NUM!</v>
      </c>
      <c r="K169" s="2176" t="e">
        <f>'negat e monit'!J139</f>
        <v>#NUM!</v>
      </c>
      <c r="L169" s="2176" t="e">
        <f>'negat e monit'!K139</f>
        <v>#NUM!</v>
      </c>
      <c r="M169" s="2118" t="str">
        <f t="shared" ref="M169:M176" si="18">M168</f>
        <v>x</v>
      </c>
      <c r="N169" s="2113" t="s">
        <v>273</v>
      </c>
      <c r="O169" s="2113" t="s">
        <v>658</v>
      </c>
    </row>
    <row r="170" spans="1:15" s="285" customFormat="1" ht="15" customHeight="1" x14ac:dyDescent="0.25">
      <c r="A170" s="2821" t="str">
        <f>'negat e monit'!$M$13&amp;", "&amp;'negat e monit'!$M$15&amp;", "&amp;'negat e monit'!$M$16</f>
        <v>IN 90, IN 93, IN 94</v>
      </c>
      <c r="B170" s="2456"/>
      <c r="C170" s="2176" t="e">
        <f>IF('negat e monit'!$B124="Negatoscópio",IF(C169&lt;1500,"Não","Sim"),IF(C169&lt;170,"Não","Sim"))</f>
        <v>#NUM!</v>
      </c>
      <c r="D170" s="2176" t="e">
        <f>IF('negat e monit'!$B124="Negatoscópio",IF(D169&lt;1500,"Não","Sim"),IF(D169&lt;170,"Não","Sim"))</f>
        <v>#NUM!</v>
      </c>
      <c r="E170" s="2176" t="e">
        <f>IF('negat e monit'!$B124="Negatoscópio",IF(E169&lt;1500,"Não","Sim"),IF(E169&lt;170,"Não","Sim"))</f>
        <v>#NUM!</v>
      </c>
      <c r="F170" s="2176" t="e">
        <f>IF('negat e monit'!$B124="Negatoscópio",IF(F169&lt;1500,"Não","Sim"),IF(F169&lt;170,"Não","Sim"))</f>
        <v>#NUM!</v>
      </c>
      <c r="G170" s="2176" t="e">
        <f>IF('negat e monit'!$B124="Negatoscópio",IF(G169&lt;1500,"Não","Sim"),IF(G169&lt;170,"Não","Sim"))</f>
        <v>#NUM!</v>
      </c>
      <c r="H170" s="2176" t="e">
        <f>IF('negat e monit'!$B124="Negatoscópio",IF(H169&lt;1500,"Não","Sim"),IF(H169&lt;170,"Não","Sim"))</f>
        <v>#NUM!</v>
      </c>
      <c r="I170" s="2176" t="e">
        <f>IF('negat e monit'!$B124="Negatoscópio",IF(I169&lt;1500,"Não","Sim"),IF(I169&lt;170,"Não","Sim"))</f>
        <v>#NUM!</v>
      </c>
      <c r="J170" s="2176" t="e">
        <f>IF('negat e monit'!$B124="Negatoscópio",IF(J169&lt;1500,"Não","Sim"),IF(J169&lt;170,"Não","Sim"))</f>
        <v>#NUM!</v>
      </c>
      <c r="K170" s="2176" t="e">
        <f>IF('negat e monit'!$B124="Negatoscópio",IF(K169&lt;1500,"Não","Sim"),IF(K169&lt;170,"Não","Sim"))</f>
        <v>#NUM!</v>
      </c>
      <c r="L170" s="2176" t="e">
        <f>IF('negat e monit'!$B124="Negatoscópio",IF(L169&lt;1500,"Não","Sim"),IF(L169&lt;170,"Não","Sim"))</f>
        <v>#NUM!</v>
      </c>
      <c r="M170" s="2118" t="str">
        <f t="shared" si="18"/>
        <v>x</v>
      </c>
      <c r="N170" s="2113">
        <f>IF((COUNTIF(C170:L170,"Não")+COUNTIF(C170:L170,"Restrição"))&gt;0,IF(M163="x",0,IF(M163="Negatoscópio","NN","MN")),0)</f>
        <v>0</v>
      </c>
      <c r="O170" s="2113">
        <f>COUNTIF(C170:L170,"Restrição")</f>
        <v>0</v>
      </c>
    </row>
    <row r="171" spans="1:15" s="285" customFormat="1" ht="15" customHeight="1" x14ac:dyDescent="0.25">
      <c r="A171" s="2821" t="str">
        <f>'negat e monit'!$M$14</f>
        <v>IN 92</v>
      </c>
      <c r="B171" s="2456"/>
      <c r="C171" s="2176" t="e">
        <f>IF('negat e monit'!$B124="Negatoscópio",IF(C169&lt;=2500,"Restrição",IF(C169&lt;3000,"Não","Sim")),IF(C169&lt;350,"Não","Sim"))</f>
        <v>#NUM!</v>
      </c>
      <c r="D171" s="2176" t="e">
        <f>IF('negat e monit'!$B124="Negatoscópio",IF(D169&lt;=2500,"Restrição",IF(D169&lt;3000,"Não","Sim")),IF(D169&lt;350,"Não","Sim"))</f>
        <v>#NUM!</v>
      </c>
      <c r="E171" s="2176" t="e">
        <f>IF('negat e monit'!$B124="Negatoscópio",IF(E169&lt;=2500,"Restrição",IF(E169&lt;3000,"Não","Sim")),IF(E169&lt;350,"Não","Sim"))</f>
        <v>#NUM!</v>
      </c>
      <c r="F171" s="2176" t="e">
        <f>IF('negat e monit'!$B124="Negatoscópio",IF(F169&lt;=2500,"Restrição",IF(F169&lt;3000,"Não","Sim")),IF(F169&lt;350,"Não","Sim"))</f>
        <v>#NUM!</v>
      </c>
      <c r="G171" s="2176" t="e">
        <f>IF('negat e monit'!$B124="Negatoscópio",IF(G169&lt;=2500,"Restrição",IF(G169&lt;3000,"Não","Sim")),IF(G169&lt;350,"Não","Sim"))</f>
        <v>#NUM!</v>
      </c>
      <c r="H171" s="2176" t="e">
        <f>IF('negat e monit'!$B124="Negatoscópio",IF(H169&lt;=2500,"Restrição",IF(H169&lt;3000,"Não","Sim")),IF(H169&lt;350,"Não","Sim"))</f>
        <v>#NUM!</v>
      </c>
      <c r="I171" s="2176" t="e">
        <f>IF('negat e monit'!$B124="Negatoscópio",IF(I169&lt;=2500,"Restrição",IF(I169&lt;3000,"Não","Sim")),IF(I169&lt;350,"Não","Sim"))</f>
        <v>#NUM!</v>
      </c>
      <c r="J171" s="2176" t="e">
        <f>IF('negat e monit'!$B124="Negatoscópio",IF(J169&lt;=2500,"Restrição",IF(J169&lt;3000,"Não","Sim")),IF(J169&lt;350,"Não","Sim"))</f>
        <v>#NUM!</v>
      </c>
      <c r="K171" s="2176" t="e">
        <f>IF('negat e monit'!$B124="Negatoscópio",IF(K169&lt;=2500,"Restrição",IF(K169&lt;3000,"Não","Sim")),IF(K169&lt;350,"Não","Sim"))</f>
        <v>#NUM!</v>
      </c>
      <c r="L171" s="2176" t="e">
        <f>IF('negat e monit'!$B124="Negatoscópio",IF(L169&lt;=2500,"Restrição",IF(L169&lt;3000,"Não","Sim")),IF(L169&lt;350,"Não","Sim"))</f>
        <v>#NUM!</v>
      </c>
      <c r="M171" s="2118" t="str">
        <f t="shared" si="18"/>
        <v>x</v>
      </c>
      <c r="N171" s="2113">
        <f>IF((COUNTIF(C171:L171,"Não")+COUNTIF(C171:L171,"Restrição"))&gt;0,IF(M163="x",0,IF(M163="Negatoscópio","NN54","MN54")),0)</f>
        <v>0</v>
      </c>
      <c r="O171" s="2113">
        <f>COUNTIF(C171:L171,"Restrição")</f>
        <v>0</v>
      </c>
    </row>
    <row r="172" spans="1:15" s="285" customFormat="1" ht="15" customHeight="1" x14ac:dyDescent="0.25">
      <c r="A172" s="2821" t="s">
        <v>620</v>
      </c>
      <c r="B172" s="2456"/>
      <c r="C172" s="2176" t="e">
        <f>'negat e monit'!B140</f>
        <v>#DIV/0!</v>
      </c>
      <c r="D172" s="2176" t="e">
        <f>'negat e monit'!C140</f>
        <v>#DIV/0!</v>
      </c>
      <c r="E172" s="2176" t="e">
        <f>'negat e monit'!D140</f>
        <v>#DIV/0!</v>
      </c>
      <c r="F172" s="2176" t="e">
        <f>'negat e monit'!E140</f>
        <v>#DIV/0!</v>
      </c>
      <c r="G172" s="2176" t="e">
        <f>'negat e monit'!F140</f>
        <v>#DIV/0!</v>
      </c>
      <c r="H172" s="2176" t="e">
        <f>'negat e monit'!G140</f>
        <v>#DIV/0!</v>
      </c>
      <c r="I172" s="2176" t="e">
        <f>'negat e monit'!H140</f>
        <v>#DIV/0!</v>
      </c>
      <c r="J172" s="2176" t="e">
        <f>'negat e monit'!I140</f>
        <v>#DIV/0!</v>
      </c>
      <c r="K172" s="2176" t="e">
        <f>'negat e monit'!J140</f>
        <v>#DIV/0!</v>
      </c>
      <c r="L172" s="2176" t="e">
        <f>'negat e monit'!K140</f>
        <v>#DIV/0!</v>
      </c>
      <c r="M172" s="2118" t="str">
        <f t="shared" si="18"/>
        <v>x</v>
      </c>
      <c r="N172" s="2118"/>
      <c r="O172" s="2118"/>
    </row>
    <row r="173" spans="1:15" s="285" customFormat="1" ht="15" customHeight="1" x14ac:dyDescent="0.25">
      <c r="A173" s="2821" t="str">
        <f>A170</f>
        <v>IN 90, IN 93, IN 94</v>
      </c>
      <c r="B173" s="2456"/>
      <c r="C173" s="2176" t="e">
        <f>IF(C172&gt;30,"Não","Sim")</f>
        <v>#DIV/0!</v>
      </c>
      <c r="D173" s="2176" t="e">
        <f t="shared" ref="D173:L173" si="19">IF(D172&gt;30,"Não","Sim")</f>
        <v>#DIV/0!</v>
      </c>
      <c r="E173" s="2176" t="e">
        <f t="shared" si="19"/>
        <v>#DIV/0!</v>
      </c>
      <c r="F173" s="2176" t="e">
        <f t="shared" si="19"/>
        <v>#DIV/0!</v>
      </c>
      <c r="G173" s="2176" t="e">
        <f t="shared" si="19"/>
        <v>#DIV/0!</v>
      </c>
      <c r="H173" s="2176" t="e">
        <f t="shared" si="19"/>
        <v>#DIV/0!</v>
      </c>
      <c r="I173" s="2176" t="e">
        <f t="shared" si="19"/>
        <v>#DIV/0!</v>
      </c>
      <c r="J173" s="2176" t="e">
        <f t="shared" si="19"/>
        <v>#DIV/0!</v>
      </c>
      <c r="K173" s="2176" t="e">
        <f t="shared" si="19"/>
        <v>#DIV/0!</v>
      </c>
      <c r="L173" s="2176" t="e">
        <f t="shared" si="19"/>
        <v>#DIV/0!</v>
      </c>
      <c r="M173" s="2118" t="str">
        <f t="shared" si="18"/>
        <v>x</v>
      </c>
      <c r="N173" s="2113">
        <f>IF((COUNTIF(C173:L173,"Não")+COUNTIF(C173:L173,"Restrição"))&gt;0,IF(M163="x",0,IF(M163="Negatoscópio","NN","MN")),0)</f>
        <v>0</v>
      </c>
      <c r="O173" s="2113">
        <f>COUNTIF(C173:L173,"Restrição")</f>
        <v>0</v>
      </c>
    </row>
    <row r="174" spans="1:15" s="285" customFormat="1" ht="15" customHeight="1" x14ac:dyDescent="0.25">
      <c r="A174" s="2821" t="str">
        <f>A171</f>
        <v>IN 92</v>
      </c>
      <c r="B174" s="2456"/>
      <c r="C174" s="2176" t="e">
        <f>IF(C172&gt;20,"Não","Sim")</f>
        <v>#DIV/0!</v>
      </c>
      <c r="D174" s="2176" t="e">
        <f t="shared" ref="D174:L174" si="20">IF(D172&gt;20,"Não","Sim")</f>
        <v>#DIV/0!</v>
      </c>
      <c r="E174" s="2176" t="e">
        <f t="shared" si="20"/>
        <v>#DIV/0!</v>
      </c>
      <c r="F174" s="2176" t="e">
        <f t="shared" si="20"/>
        <v>#DIV/0!</v>
      </c>
      <c r="G174" s="2176" t="e">
        <f t="shared" si="20"/>
        <v>#DIV/0!</v>
      </c>
      <c r="H174" s="2176" t="e">
        <f t="shared" si="20"/>
        <v>#DIV/0!</v>
      </c>
      <c r="I174" s="2176" t="e">
        <f t="shared" si="20"/>
        <v>#DIV/0!</v>
      </c>
      <c r="J174" s="2176" t="e">
        <f t="shared" si="20"/>
        <v>#DIV/0!</v>
      </c>
      <c r="K174" s="2176" t="e">
        <f t="shared" si="20"/>
        <v>#DIV/0!</v>
      </c>
      <c r="L174" s="2176" t="e">
        <f t="shared" si="20"/>
        <v>#DIV/0!</v>
      </c>
      <c r="M174" s="2118" t="str">
        <f t="shared" si="18"/>
        <v>x</v>
      </c>
      <c r="N174" s="2113">
        <f>IF((COUNTIF(C174:L174,"Não")+COUNTIF(C174:L174,"Restrição"))&gt;0,IF(M163="x",0,IF(M163="Negatoscópio","NN54","MN54")),0)</f>
        <v>0</v>
      </c>
      <c r="O174" s="2113">
        <f>COUNTIF(C174:L174,"Restrição")</f>
        <v>0</v>
      </c>
    </row>
    <row r="175" spans="1:15" s="285" customFormat="1" ht="15" customHeight="1" x14ac:dyDescent="0.25">
      <c r="A175" s="2177" t="s">
        <v>2717</v>
      </c>
      <c r="B175" s="2177"/>
      <c r="C175" s="2177"/>
      <c r="D175" s="2177"/>
      <c r="E175" s="2177"/>
      <c r="F175" s="2177"/>
      <c r="G175" s="2177"/>
      <c r="H175" s="2177"/>
      <c r="I175" s="2177"/>
      <c r="J175" s="2177"/>
      <c r="K175" s="2118"/>
      <c r="L175" s="2118"/>
      <c r="M175" s="2118" t="str">
        <f t="shared" si="18"/>
        <v>x</v>
      </c>
      <c r="N175" s="2118"/>
      <c r="O175" s="2118"/>
    </row>
    <row r="176" spans="1:15" s="285" customFormat="1" ht="15" customHeight="1" x14ac:dyDescent="0.25">
      <c r="A176" s="2181"/>
      <c r="B176" s="2181"/>
      <c r="C176" s="2181"/>
      <c r="D176" s="2181"/>
      <c r="E176" s="2181"/>
      <c r="F176" s="2181"/>
      <c r="G176" s="2181"/>
      <c r="H176" s="2181"/>
      <c r="I176" s="2181"/>
      <c r="J176" s="2181"/>
      <c r="M176" s="285" t="str">
        <f t="shared" si="18"/>
        <v>x</v>
      </c>
      <c r="N176" s="2118"/>
      <c r="O176" s="2118"/>
    </row>
    <row r="177" spans="1:15" s="285" customFormat="1" ht="15" customHeight="1" x14ac:dyDescent="0.25">
      <c r="A177" s="2177"/>
      <c r="B177" s="2177"/>
      <c r="C177" s="2177"/>
      <c r="D177" s="2177"/>
      <c r="E177" s="2177"/>
      <c r="F177" s="2177"/>
      <c r="G177" s="2177"/>
      <c r="H177" s="2177"/>
      <c r="I177" s="2177"/>
      <c r="J177" s="2177"/>
      <c r="K177" s="2118"/>
      <c r="L177" s="2118"/>
      <c r="M177" s="2118" t="s">
        <v>649</v>
      </c>
      <c r="N177" s="2118"/>
      <c r="O177" s="2118"/>
    </row>
    <row r="178" spans="1:15" s="285" customFormat="1" ht="15" customHeight="1" x14ac:dyDescent="0.25">
      <c r="A178" s="2177"/>
      <c r="B178" s="2177"/>
      <c r="C178" s="2177"/>
      <c r="D178" s="2177"/>
      <c r="E178" s="2177"/>
      <c r="F178" s="2177"/>
      <c r="G178" s="2177"/>
      <c r="H178" s="2177"/>
      <c r="I178" s="2177"/>
      <c r="J178" s="2177"/>
      <c r="K178" s="2118"/>
      <c r="L178" s="2118"/>
      <c r="M178" s="2118" t="s">
        <v>649</v>
      </c>
      <c r="N178" s="2118"/>
      <c r="O178" s="2118"/>
    </row>
    <row r="179" spans="1:15" s="285" customFormat="1" ht="15" customHeight="1" x14ac:dyDescent="0.25">
      <c r="A179" s="2177"/>
      <c r="B179" s="2177"/>
      <c r="C179" s="2177"/>
      <c r="D179" s="2177"/>
      <c r="E179" s="2177"/>
      <c r="F179" s="2177"/>
      <c r="G179" s="2177"/>
      <c r="H179" s="2177"/>
      <c r="I179" s="2177"/>
      <c r="J179" s="2177"/>
      <c r="K179" s="2118"/>
      <c r="L179" s="2118"/>
      <c r="M179" s="2118" t="s">
        <v>649</v>
      </c>
      <c r="N179" s="2118"/>
      <c r="O179" s="2118"/>
    </row>
    <row r="180" spans="1:15" s="285" customFormat="1" ht="15" customHeight="1" x14ac:dyDescent="0.25">
      <c r="A180" s="2177"/>
      <c r="B180" s="2177"/>
      <c r="C180" s="2177"/>
      <c r="D180" s="2177"/>
      <c r="E180" s="2177"/>
      <c r="F180" s="2177"/>
      <c r="G180" s="2177"/>
      <c r="H180" s="2177"/>
      <c r="I180" s="2177"/>
      <c r="J180" s="2177"/>
      <c r="K180" s="2118"/>
      <c r="L180" s="2118"/>
      <c r="M180" s="2118" t="s">
        <v>649</v>
      </c>
      <c r="N180" s="2118"/>
      <c r="O180" s="2118"/>
    </row>
    <row r="181" spans="1:15" s="285" customFormat="1" ht="15" customHeight="1" x14ac:dyDescent="0.25">
      <c r="A181" s="2177"/>
      <c r="B181" s="2177"/>
      <c r="C181" s="2177"/>
      <c r="D181" s="2177"/>
      <c r="E181" s="2177"/>
      <c r="F181" s="2177"/>
      <c r="G181" s="2177"/>
      <c r="H181" s="2177"/>
      <c r="I181" s="2177"/>
      <c r="J181" s="2177"/>
      <c r="K181" s="2118"/>
      <c r="L181" s="2118"/>
      <c r="M181" s="2118" t="s">
        <v>649</v>
      </c>
      <c r="N181" s="2118"/>
      <c r="O181" s="2118"/>
    </row>
    <row r="182" spans="1:15" s="285" customFormat="1" ht="15" customHeight="1" x14ac:dyDescent="0.25">
      <c r="A182" s="2181"/>
      <c r="B182" s="2181"/>
      <c r="C182" s="2181"/>
      <c r="D182" s="2181"/>
      <c r="E182" s="2181"/>
      <c r="F182" s="2181"/>
      <c r="G182" s="2181"/>
      <c r="H182" s="2181"/>
      <c r="I182" s="2181"/>
      <c r="J182" s="2181"/>
      <c r="K182" s="2118"/>
      <c r="L182" s="2118"/>
      <c r="M182" s="2118" t="s">
        <v>649</v>
      </c>
      <c r="N182" s="2118"/>
      <c r="O182" s="2118"/>
    </row>
    <row r="183" spans="1:15" s="285" customFormat="1" ht="15" customHeight="1" x14ac:dyDescent="0.25">
      <c r="A183" s="2483" t="str">
        <f>CONCATENATE('negat e monit'!B144," ",'negat e monit'!B147)</f>
        <v xml:space="preserve"> 8</v>
      </c>
      <c r="B183" s="2483"/>
      <c r="C183" s="2483"/>
      <c r="D183" s="2483"/>
      <c r="E183" s="2483"/>
      <c r="F183" s="2483"/>
      <c r="G183" s="2483"/>
      <c r="H183" s="2483"/>
      <c r="I183" s="2483"/>
      <c r="J183" s="2483"/>
      <c r="K183" s="2483"/>
      <c r="L183" s="2483"/>
      <c r="M183" s="2118" t="str">
        <f>IF(M184="x","x",'negat e monit'!B144)</f>
        <v>x</v>
      </c>
      <c r="N183" s="2118"/>
      <c r="O183" s="2118"/>
    </row>
    <row r="184" spans="1:15" s="285" customFormat="1" ht="15" customHeight="1" x14ac:dyDescent="0.25">
      <c r="A184" s="3064" t="s">
        <v>2326</v>
      </c>
      <c r="B184" s="3064"/>
      <c r="C184" s="2171" t="str">
        <f>IF('negat e monit'!B148="","informação não encontrada",'negat e monit'!B148)</f>
        <v>informação não encontrada</v>
      </c>
      <c r="D184" s="2118"/>
      <c r="E184" s="2118"/>
      <c r="F184" s="2118"/>
      <c r="G184" s="2118"/>
      <c r="H184" s="2118"/>
      <c r="I184" s="2172" t="s">
        <v>2325</v>
      </c>
      <c r="J184" s="2171" t="str">
        <f>'negat e monit'!K144</f>
        <v>Informação não encontrada</v>
      </c>
      <c r="K184" s="2119"/>
      <c r="L184" s="2119"/>
      <c r="M184" s="2118" t="str">
        <f>M185</f>
        <v>x</v>
      </c>
      <c r="N184" s="2118"/>
      <c r="O184" s="2118"/>
    </row>
    <row r="185" spans="1:15" s="285" customFormat="1" ht="15" customHeight="1" x14ac:dyDescent="0.25">
      <c r="A185" s="3064" t="s">
        <v>2327</v>
      </c>
      <c r="B185" s="3064"/>
      <c r="C185" s="2171" t="str">
        <f>IF('negat e monit'!B149="","informação não encontrada",'negat e monit'!B149)</f>
        <v>informação não encontrada</v>
      </c>
      <c r="D185" s="2118"/>
      <c r="E185" s="2118"/>
      <c r="F185" s="2118"/>
      <c r="G185" s="2118"/>
      <c r="H185" s="2118"/>
      <c r="I185" s="2172" t="s">
        <v>2330</v>
      </c>
      <c r="J185" s="3065" t="str">
        <f>'negat e monit'!K145</f>
        <v>Informação não encontrada</v>
      </c>
      <c r="K185" s="3065"/>
      <c r="L185" s="3065"/>
      <c r="M185" s="2118" t="str">
        <f>M186</f>
        <v>x</v>
      </c>
      <c r="N185" s="2118"/>
      <c r="O185" s="2118"/>
    </row>
    <row r="186" spans="1:15" s="285" customFormat="1" ht="15" customHeight="1" x14ac:dyDescent="0.25">
      <c r="A186" s="3064" t="s">
        <v>2328</v>
      </c>
      <c r="B186" s="3064"/>
      <c r="C186" s="2171" t="str">
        <f>IF('negat e monit'!B150="","informação não encontrada",'negat e monit'!B150)</f>
        <v>informação não encontrada</v>
      </c>
      <c r="D186" s="2118"/>
      <c r="E186" s="2118"/>
      <c r="F186" s="2118"/>
      <c r="G186" s="2118"/>
      <c r="H186" s="2118"/>
      <c r="I186" s="2118"/>
      <c r="J186" s="2118"/>
      <c r="K186" s="2118"/>
      <c r="L186" s="2118"/>
      <c r="M186" s="2118" t="str">
        <f>M187</f>
        <v>x</v>
      </c>
      <c r="N186" s="2118"/>
      <c r="O186" s="2118"/>
    </row>
    <row r="187" spans="1:15" s="285" customFormat="1" ht="15" customHeight="1" x14ac:dyDescent="0.25">
      <c r="A187" s="3064" t="s">
        <v>621</v>
      </c>
      <c r="B187" s="3064"/>
      <c r="C187" s="3062" t="str">
        <f>IF('negat e monit'!B145="","-",'negat e monit'!B145)</f>
        <v>-</v>
      </c>
      <c r="D187" s="3062"/>
      <c r="E187" s="3062"/>
      <c r="F187" s="3062"/>
      <c r="G187" s="3063" t="s">
        <v>633</v>
      </c>
      <c r="H187" s="3063"/>
      <c r="I187" s="3063"/>
      <c r="J187" s="3063"/>
      <c r="K187" s="2168">
        <f>'negat e monit'!B146</f>
        <v>0</v>
      </c>
      <c r="L187" s="2168" t="s">
        <v>622</v>
      </c>
      <c r="M187" s="2118" t="str">
        <f>M188</f>
        <v>x</v>
      </c>
      <c r="N187" s="2118"/>
      <c r="O187" s="2118"/>
    </row>
    <row r="188" spans="1:15" s="285" customFormat="1" ht="15" customHeight="1" x14ac:dyDescent="0.25">
      <c r="A188" s="2821" t="s">
        <v>618</v>
      </c>
      <c r="B188" s="2456"/>
      <c r="C188" s="2175" t="e">
        <f>IF(ISERR(C189),C189,1)</f>
        <v>#NUM!</v>
      </c>
      <c r="D188" s="2175" t="e">
        <f>IF(ISERR(D189),D189,2)</f>
        <v>#NUM!</v>
      </c>
      <c r="E188" s="2175" t="e">
        <f>IF(ISERR(E189),E189,3)</f>
        <v>#NUM!</v>
      </c>
      <c r="F188" s="2175" t="e">
        <f>IF(ISERR(F189),F189,4)</f>
        <v>#NUM!</v>
      </c>
      <c r="G188" s="2175" t="e">
        <f>IF(ISERR(G189),G189,5)</f>
        <v>#NUM!</v>
      </c>
      <c r="H188" s="2175" t="e">
        <f>IF(ISERR(H189),H189,6)</f>
        <v>#NUM!</v>
      </c>
      <c r="I188" s="2175" t="e">
        <f>IF(ISERR(I189),I189,7)</f>
        <v>#NUM!</v>
      </c>
      <c r="J188" s="2175" t="e">
        <f>IF(ISERR(J189),J189,8)</f>
        <v>#NUM!</v>
      </c>
      <c r="K188" s="2175" t="e">
        <f>IF(ISERR(K189),K189,9)</f>
        <v>#NUM!</v>
      </c>
      <c r="L188" s="2175" t="e">
        <f>IF(ISERR(L189),L189,10)</f>
        <v>#NUM!</v>
      </c>
      <c r="M188" s="2118" t="str">
        <f>IF(ISERR(C188),"x","")</f>
        <v>x</v>
      </c>
      <c r="N188" s="2118"/>
      <c r="O188" s="2118"/>
    </row>
    <row r="189" spans="1:15" s="285" customFormat="1" ht="15" customHeight="1" x14ac:dyDescent="0.25">
      <c r="A189" s="2821" t="s">
        <v>2716</v>
      </c>
      <c r="B189" s="2456"/>
      <c r="C189" s="2176" t="e">
        <f>'negat e monit'!B159</f>
        <v>#NUM!</v>
      </c>
      <c r="D189" s="2176" t="e">
        <f>'negat e monit'!C159</f>
        <v>#NUM!</v>
      </c>
      <c r="E189" s="2176" t="e">
        <f>'negat e monit'!D159</f>
        <v>#NUM!</v>
      </c>
      <c r="F189" s="2176" t="e">
        <f>'negat e monit'!E159</f>
        <v>#NUM!</v>
      </c>
      <c r="G189" s="2176" t="e">
        <f>'negat e monit'!F159</f>
        <v>#NUM!</v>
      </c>
      <c r="H189" s="2176" t="e">
        <f>'negat e monit'!G159</f>
        <v>#NUM!</v>
      </c>
      <c r="I189" s="2176" t="e">
        <f>'negat e monit'!H159</f>
        <v>#NUM!</v>
      </c>
      <c r="J189" s="2176" t="e">
        <f>'negat e monit'!I159</f>
        <v>#NUM!</v>
      </c>
      <c r="K189" s="2176" t="e">
        <f>'negat e monit'!J159</f>
        <v>#NUM!</v>
      </c>
      <c r="L189" s="2176" t="e">
        <f>'negat e monit'!K159</f>
        <v>#NUM!</v>
      </c>
      <c r="M189" s="2118" t="str">
        <f t="shared" ref="M189:M196" si="21">M188</f>
        <v>x</v>
      </c>
      <c r="N189" s="2113" t="s">
        <v>273</v>
      </c>
      <c r="O189" s="2113" t="s">
        <v>658</v>
      </c>
    </row>
    <row r="190" spans="1:15" s="285" customFormat="1" ht="15" customHeight="1" x14ac:dyDescent="0.25">
      <c r="A190" s="2821" t="str">
        <f>'negat e monit'!$M$13&amp;", "&amp;'negat e monit'!$M$15&amp;", "&amp;'negat e monit'!$M$16</f>
        <v>IN 90, IN 93, IN 94</v>
      </c>
      <c r="B190" s="2456"/>
      <c r="C190" s="2176" t="e">
        <f>IF('negat e monit'!$B144="Negatoscópio",IF(C189&lt;1500,"Não","Sim"),IF(C189&lt;170,"Não","Sim"))</f>
        <v>#NUM!</v>
      </c>
      <c r="D190" s="2176" t="e">
        <f>IF('negat e monit'!$B144="Negatoscópio",IF(D189&lt;1500,"Não","Sim"),IF(D189&lt;170,"Não","Sim"))</f>
        <v>#NUM!</v>
      </c>
      <c r="E190" s="2176" t="e">
        <f>IF('negat e monit'!$B144="Negatoscópio",IF(E189&lt;1500,"Não","Sim"),IF(E189&lt;170,"Não","Sim"))</f>
        <v>#NUM!</v>
      </c>
      <c r="F190" s="2176" t="e">
        <f>IF('negat e monit'!$B144="Negatoscópio",IF(F189&lt;1500,"Não","Sim"),IF(F189&lt;170,"Não","Sim"))</f>
        <v>#NUM!</v>
      </c>
      <c r="G190" s="2176" t="e">
        <f>IF('negat e monit'!$B144="Negatoscópio",IF(G189&lt;1500,"Não","Sim"),IF(G189&lt;170,"Não","Sim"))</f>
        <v>#NUM!</v>
      </c>
      <c r="H190" s="2176" t="e">
        <f>IF('negat e monit'!$B144="Negatoscópio",IF(H189&lt;1500,"Não","Sim"),IF(H189&lt;170,"Não","Sim"))</f>
        <v>#NUM!</v>
      </c>
      <c r="I190" s="2176" t="e">
        <f>IF('negat e monit'!$B144="Negatoscópio",IF(I189&lt;1500,"Não","Sim"),IF(I189&lt;170,"Não","Sim"))</f>
        <v>#NUM!</v>
      </c>
      <c r="J190" s="2176" t="e">
        <f>IF('negat e monit'!$B144="Negatoscópio",IF(J189&lt;1500,"Não","Sim"),IF(J189&lt;170,"Não","Sim"))</f>
        <v>#NUM!</v>
      </c>
      <c r="K190" s="2176" t="e">
        <f>IF('negat e monit'!$B144="Negatoscópio",IF(K189&lt;1500,"Não","Sim"),IF(K189&lt;170,"Não","Sim"))</f>
        <v>#NUM!</v>
      </c>
      <c r="L190" s="2176" t="e">
        <f>IF('negat e monit'!$B144="Negatoscópio",IF(L189&lt;1500,"Não","Sim"),IF(L189&lt;170,"Não","Sim"))</f>
        <v>#NUM!</v>
      </c>
      <c r="M190" s="2118" t="str">
        <f t="shared" si="21"/>
        <v>x</v>
      </c>
      <c r="N190" s="2113">
        <f>IF((COUNTIF(C190:L190,"Não")+COUNTIF(C190:L190,"Restrição"))&gt;0,IF(M183="x",0,IF(M183="Negatoscópio","NN","MN")),0)</f>
        <v>0</v>
      </c>
      <c r="O190" s="2113">
        <f>COUNTIF(C190:L190,"Restrição")</f>
        <v>0</v>
      </c>
    </row>
    <row r="191" spans="1:15" s="285" customFormat="1" ht="15" customHeight="1" x14ac:dyDescent="0.25">
      <c r="A191" s="2821" t="str">
        <f>'negat e monit'!$M$14</f>
        <v>IN 92</v>
      </c>
      <c r="B191" s="2456"/>
      <c r="C191" s="2176" t="e">
        <f>IF('negat e monit'!$B144="Negatoscópio",IF(C189&lt;=2500,"Restrição",IF(C189&lt;3000,"Não","Sim")),IF(C189&lt;350,"Não","Sim"))</f>
        <v>#NUM!</v>
      </c>
      <c r="D191" s="2176" t="e">
        <f>IF('negat e monit'!$B144="Negatoscópio",IF(D189&lt;=2500,"Restrição",IF(D189&lt;3000,"Não","Sim")),IF(D189&lt;350,"Não","Sim"))</f>
        <v>#NUM!</v>
      </c>
      <c r="E191" s="2176" t="e">
        <f>IF('negat e monit'!$B144="Negatoscópio",IF(E189&lt;=2500,"Restrição",IF(E189&lt;3000,"Não","Sim")),IF(E189&lt;350,"Não","Sim"))</f>
        <v>#NUM!</v>
      </c>
      <c r="F191" s="2176" t="e">
        <f>IF('negat e monit'!$B144="Negatoscópio",IF(F189&lt;=2500,"Restrição",IF(F189&lt;3000,"Não","Sim")),IF(F189&lt;350,"Não","Sim"))</f>
        <v>#NUM!</v>
      </c>
      <c r="G191" s="2176" t="e">
        <f>IF('negat e monit'!$B144="Negatoscópio",IF(G189&lt;=2500,"Restrição",IF(G189&lt;3000,"Não","Sim")),IF(G189&lt;350,"Não","Sim"))</f>
        <v>#NUM!</v>
      </c>
      <c r="H191" s="2176" t="e">
        <f>IF('negat e monit'!$B144="Negatoscópio",IF(H189&lt;=2500,"Restrição",IF(H189&lt;3000,"Não","Sim")),IF(H189&lt;350,"Não","Sim"))</f>
        <v>#NUM!</v>
      </c>
      <c r="I191" s="2176" t="e">
        <f>IF('negat e monit'!$B144="Negatoscópio",IF(I189&lt;=2500,"Restrição",IF(I189&lt;3000,"Não","Sim")),IF(I189&lt;350,"Não","Sim"))</f>
        <v>#NUM!</v>
      </c>
      <c r="J191" s="2176" t="e">
        <f>IF('negat e monit'!$B144="Negatoscópio",IF(J189&lt;=2500,"Restrição",IF(J189&lt;3000,"Não","Sim")),IF(J189&lt;350,"Não","Sim"))</f>
        <v>#NUM!</v>
      </c>
      <c r="K191" s="2176" t="e">
        <f>IF('negat e monit'!$B144="Negatoscópio",IF(K189&lt;=2500,"Restrição",IF(K189&lt;3000,"Não","Sim")),IF(K189&lt;350,"Não","Sim"))</f>
        <v>#NUM!</v>
      </c>
      <c r="L191" s="2176" t="e">
        <f>IF('negat e monit'!$B144="Negatoscópio",IF(L189&lt;=2500,"Restrição",IF(L189&lt;3000,"Não","Sim")),IF(L189&lt;350,"Não","Sim"))</f>
        <v>#NUM!</v>
      </c>
      <c r="M191" s="2118" t="str">
        <f t="shared" si="21"/>
        <v>x</v>
      </c>
      <c r="N191" s="2113">
        <f>IF((COUNTIF(C191:L191,"Não")+COUNTIF(C191:L191,"Restrição"))&gt;0,IF(M183="x",0,IF(M183="Negatoscópio","NN54","MN54")),0)</f>
        <v>0</v>
      </c>
      <c r="O191" s="2113">
        <f>COUNTIF(C191:L191,"Restrição")</f>
        <v>0</v>
      </c>
    </row>
    <row r="192" spans="1:15" s="285" customFormat="1" ht="15" customHeight="1" x14ac:dyDescent="0.25">
      <c r="A192" s="2821" t="s">
        <v>620</v>
      </c>
      <c r="B192" s="2456"/>
      <c r="C192" s="2176" t="e">
        <f>'negat e monit'!B160</f>
        <v>#DIV/0!</v>
      </c>
      <c r="D192" s="2176" t="e">
        <f>'negat e monit'!C160</f>
        <v>#DIV/0!</v>
      </c>
      <c r="E192" s="2176" t="e">
        <f>'negat e monit'!D160</f>
        <v>#DIV/0!</v>
      </c>
      <c r="F192" s="2176" t="e">
        <f>'negat e monit'!E160</f>
        <v>#DIV/0!</v>
      </c>
      <c r="G192" s="2176" t="e">
        <f>'negat e monit'!F160</f>
        <v>#DIV/0!</v>
      </c>
      <c r="H192" s="2176" t="e">
        <f>'negat e monit'!G160</f>
        <v>#DIV/0!</v>
      </c>
      <c r="I192" s="2176" t="e">
        <f>'negat e monit'!H160</f>
        <v>#DIV/0!</v>
      </c>
      <c r="J192" s="2176" t="e">
        <f>'negat e monit'!I160</f>
        <v>#DIV/0!</v>
      </c>
      <c r="K192" s="2176" t="e">
        <f>'negat e monit'!J160</f>
        <v>#DIV/0!</v>
      </c>
      <c r="L192" s="2176" t="e">
        <f>'negat e monit'!K160</f>
        <v>#DIV/0!</v>
      </c>
      <c r="M192" s="2118" t="str">
        <f t="shared" si="21"/>
        <v>x</v>
      </c>
      <c r="N192" s="2118"/>
      <c r="O192" s="2118"/>
    </row>
    <row r="193" spans="1:15" s="285" customFormat="1" ht="15" customHeight="1" x14ac:dyDescent="0.25">
      <c r="A193" s="2821" t="str">
        <f>A190</f>
        <v>IN 90, IN 93, IN 94</v>
      </c>
      <c r="B193" s="2456"/>
      <c r="C193" s="2176" t="e">
        <f>IF(C192&gt;30,"Não","Sim")</f>
        <v>#DIV/0!</v>
      </c>
      <c r="D193" s="2176" t="e">
        <f t="shared" ref="D193:L193" si="22">IF(D192&gt;30,"Não","Sim")</f>
        <v>#DIV/0!</v>
      </c>
      <c r="E193" s="2176" t="e">
        <f t="shared" si="22"/>
        <v>#DIV/0!</v>
      </c>
      <c r="F193" s="2176" t="e">
        <f t="shared" si="22"/>
        <v>#DIV/0!</v>
      </c>
      <c r="G193" s="2176" t="e">
        <f t="shared" si="22"/>
        <v>#DIV/0!</v>
      </c>
      <c r="H193" s="2176" t="e">
        <f t="shared" si="22"/>
        <v>#DIV/0!</v>
      </c>
      <c r="I193" s="2176" t="e">
        <f t="shared" si="22"/>
        <v>#DIV/0!</v>
      </c>
      <c r="J193" s="2176" t="e">
        <f t="shared" si="22"/>
        <v>#DIV/0!</v>
      </c>
      <c r="K193" s="2176" t="e">
        <f t="shared" si="22"/>
        <v>#DIV/0!</v>
      </c>
      <c r="L193" s="2176" t="e">
        <f t="shared" si="22"/>
        <v>#DIV/0!</v>
      </c>
      <c r="M193" s="2118" t="str">
        <f t="shared" si="21"/>
        <v>x</v>
      </c>
      <c r="N193" s="2113">
        <f>IF((COUNTIF(C193:L193,"Não")+COUNTIF(C193:L193,"Restrição"))&gt;0,IF(M183="x",0,IF(M183="Negatoscópio","NN","MN")),0)</f>
        <v>0</v>
      </c>
      <c r="O193" s="2113">
        <f>COUNTIF(C193:L193,"Restrição")</f>
        <v>0</v>
      </c>
    </row>
    <row r="194" spans="1:15" s="285" customFormat="1" ht="15" customHeight="1" x14ac:dyDescent="0.25">
      <c r="A194" s="2821" t="str">
        <f>A191</f>
        <v>IN 92</v>
      </c>
      <c r="B194" s="2456"/>
      <c r="C194" s="2176" t="e">
        <f>IF(C192&gt;20,"Não","Sim")</f>
        <v>#DIV/0!</v>
      </c>
      <c r="D194" s="2176" t="e">
        <f t="shared" ref="D194:L194" si="23">IF(D192&gt;20,"Não","Sim")</f>
        <v>#DIV/0!</v>
      </c>
      <c r="E194" s="2176" t="e">
        <f t="shared" si="23"/>
        <v>#DIV/0!</v>
      </c>
      <c r="F194" s="2176" t="e">
        <f t="shared" si="23"/>
        <v>#DIV/0!</v>
      </c>
      <c r="G194" s="2176" t="e">
        <f t="shared" si="23"/>
        <v>#DIV/0!</v>
      </c>
      <c r="H194" s="2176" t="e">
        <f t="shared" si="23"/>
        <v>#DIV/0!</v>
      </c>
      <c r="I194" s="2176" t="e">
        <f t="shared" si="23"/>
        <v>#DIV/0!</v>
      </c>
      <c r="J194" s="2176" t="e">
        <f t="shared" si="23"/>
        <v>#DIV/0!</v>
      </c>
      <c r="K194" s="2176" t="e">
        <f t="shared" si="23"/>
        <v>#DIV/0!</v>
      </c>
      <c r="L194" s="2176" t="e">
        <f t="shared" si="23"/>
        <v>#DIV/0!</v>
      </c>
      <c r="M194" s="2118" t="str">
        <f t="shared" si="21"/>
        <v>x</v>
      </c>
      <c r="N194" s="2113">
        <f>IF((COUNTIF(C194:L194,"Não")+COUNTIF(C194:L194,"Restrição"))&gt;0,IF(M183="x",0,IF(M183="Negatoscópio","NN54","MN54")),0)</f>
        <v>0</v>
      </c>
      <c r="O194" s="2113">
        <f>COUNTIF(C194:L194,"Restrição")</f>
        <v>0</v>
      </c>
    </row>
    <row r="195" spans="1:15" ht="15" customHeight="1" x14ac:dyDescent="0.25">
      <c r="A195" s="2177" t="s">
        <v>2717</v>
      </c>
      <c r="B195" s="2177"/>
      <c r="C195" s="2177"/>
      <c r="D195" s="2177"/>
      <c r="E195" s="2177"/>
      <c r="F195" s="2177"/>
      <c r="G195" s="2177"/>
      <c r="H195" s="2177"/>
      <c r="I195" s="2177"/>
      <c r="J195" s="2177"/>
      <c r="M195" s="2118" t="str">
        <f t="shared" si="21"/>
        <v>x</v>
      </c>
    </row>
    <row r="196" spans="1:15" ht="15" customHeight="1" x14ac:dyDescent="0.25">
      <c r="A196" s="2181"/>
      <c r="B196" s="2181"/>
      <c r="C196" s="2181"/>
      <c r="D196" s="2181"/>
      <c r="E196" s="2181"/>
      <c r="F196" s="2181"/>
      <c r="G196" s="2181"/>
      <c r="H196" s="2181"/>
      <c r="I196" s="2181"/>
      <c r="J196" s="2181"/>
      <c r="K196" s="285"/>
      <c r="L196" s="285"/>
      <c r="M196" s="285" t="str">
        <f t="shared" si="21"/>
        <v>x</v>
      </c>
    </row>
    <row r="197" spans="1:15" ht="15" customHeight="1" x14ac:dyDescent="0.25">
      <c r="A197" s="2177"/>
      <c r="B197" s="2177"/>
      <c r="C197" s="2177"/>
      <c r="D197" s="2177"/>
      <c r="E197" s="2177"/>
      <c r="F197" s="2177"/>
      <c r="G197" s="2177"/>
      <c r="H197" s="2177"/>
      <c r="I197" s="2177"/>
      <c r="J197" s="2177"/>
      <c r="M197" s="2118" t="s">
        <v>649</v>
      </c>
    </row>
    <row r="198" spans="1:15" ht="15" customHeight="1" x14ac:dyDescent="0.25">
      <c r="A198" s="2177"/>
      <c r="B198" s="2177"/>
      <c r="C198" s="2177"/>
      <c r="D198" s="2177"/>
      <c r="E198" s="2177"/>
      <c r="F198" s="2177"/>
      <c r="G198" s="2177"/>
      <c r="H198" s="2177"/>
      <c r="I198" s="2177"/>
      <c r="J198" s="2177"/>
      <c r="M198" s="2118" t="s">
        <v>649</v>
      </c>
    </row>
    <row r="199" spans="1:15" ht="15" customHeight="1" x14ac:dyDescent="0.25">
      <c r="A199" s="2177"/>
      <c r="B199" s="2177"/>
      <c r="C199" s="2177"/>
      <c r="D199" s="2177"/>
      <c r="E199" s="2177"/>
      <c r="F199" s="2177"/>
      <c r="G199" s="2177"/>
      <c r="H199" s="2177"/>
      <c r="I199" s="2177"/>
      <c r="J199" s="2177"/>
      <c r="M199" s="2118" t="s">
        <v>649</v>
      </c>
    </row>
    <row r="200" spans="1:15" ht="15" customHeight="1" x14ac:dyDescent="0.25">
      <c r="A200" s="2177"/>
      <c r="B200" s="2177"/>
      <c r="C200" s="2177"/>
      <c r="D200" s="2177"/>
      <c r="E200" s="2177"/>
      <c r="F200" s="2177"/>
      <c r="G200" s="2177"/>
      <c r="H200" s="2177"/>
      <c r="I200" s="2177"/>
      <c r="J200" s="2177"/>
      <c r="M200" s="2118" t="s">
        <v>649</v>
      </c>
    </row>
    <row r="201" spans="1:15" ht="15" customHeight="1" x14ac:dyDescent="0.25">
      <c r="A201" s="2177"/>
      <c r="B201" s="2177"/>
      <c r="C201" s="2177"/>
      <c r="D201" s="2177"/>
      <c r="E201" s="2177"/>
      <c r="F201" s="2177"/>
      <c r="G201" s="2177"/>
      <c r="H201" s="2177"/>
      <c r="I201" s="2177"/>
      <c r="J201" s="2177"/>
      <c r="M201" s="2118" t="s">
        <v>649</v>
      </c>
    </row>
    <row r="202" spans="1:15" ht="15" customHeight="1" x14ac:dyDescent="0.25">
      <c r="A202" s="2181"/>
      <c r="B202" s="2181"/>
      <c r="C202" s="2181"/>
      <c r="D202" s="2181"/>
      <c r="E202" s="2181"/>
      <c r="F202" s="2181"/>
      <c r="G202" s="2181"/>
      <c r="H202" s="2181"/>
      <c r="I202" s="2181"/>
      <c r="J202" s="2181"/>
      <c r="M202" s="2118" t="s">
        <v>649</v>
      </c>
    </row>
    <row r="203" spans="1:15" ht="15" customHeight="1" x14ac:dyDescent="0.25">
      <c r="A203" s="2483" t="str">
        <f>CONCATENATE('negat e monit'!B164," ",'negat e monit'!B167)</f>
        <v xml:space="preserve"> 9</v>
      </c>
      <c r="B203" s="2483"/>
      <c r="C203" s="2483"/>
      <c r="D203" s="2483"/>
      <c r="E203" s="2483"/>
      <c r="F203" s="2483"/>
      <c r="G203" s="2483"/>
      <c r="H203" s="2483"/>
      <c r="I203" s="2483"/>
      <c r="J203" s="2483"/>
      <c r="K203" s="2483"/>
      <c r="L203" s="2483"/>
      <c r="M203" s="2118" t="str">
        <f>IF(M204="x","x",'negat e monit'!B164)</f>
        <v>x</v>
      </c>
    </row>
    <row r="204" spans="1:15" ht="15" customHeight="1" x14ac:dyDescent="0.25">
      <c r="A204" s="3064" t="s">
        <v>2326</v>
      </c>
      <c r="B204" s="3064"/>
      <c r="C204" s="2171" t="str">
        <f>IF('negat e monit'!B168="","informação não encontrada",'negat e monit'!B168)</f>
        <v>informação não encontrada</v>
      </c>
      <c r="I204" s="2172" t="s">
        <v>2325</v>
      </c>
      <c r="J204" s="2171" t="str">
        <f>'negat e monit'!K164</f>
        <v>Informação não encontrada</v>
      </c>
      <c r="K204" s="2119"/>
      <c r="L204" s="2119"/>
      <c r="M204" s="2118" t="str">
        <f>M205</f>
        <v>x</v>
      </c>
    </row>
    <row r="205" spans="1:15" ht="15" customHeight="1" x14ac:dyDescent="0.25">
      <c r="A205" s="3064" t="s">
        <v>2327</v>
      </c>
      <c r="B205" s="3064"/>
      <c r="C205" s="2171" t="str">
        <f>IF('negat e monit'!B169="","informação não encontrada",'negat e monit'!B169)</f>
        <v>informação não encontrada</v>
      </c>
      <c r="I205" s="2172" t="s">
        <v>2330</v>
      </c>
      <c r="J205" s="3065" t="str">
        <f>'negat e monit'!K165</f>
        <v>Informação não encontrada</v>
      </c>
      <c r="K205" s="3065"/>
      <c r="L205" s="3065"/>
      <c r="M205" s="2118" t="str">
        <f>M206</f>
        <v>x</v>
      </c>
    </row>
    <row r="206" spans="1:15" ht="15" customHeight="1" x14ac:dyDescent="0.25">
      <c r="A206" s="3064" t="s">
        <v>2328</v>
      </c>
      <c r="B206" s="3064"/>
      <c r="C206" s="2171" t="str">
        <f>IF('negat e monit'!B170="","informação não encontrada",'negat e monit'!B170)</f>
        <v>informação não encontrada</v>
      </c>
      <c r="M206" s="2118" t="str">
        <f>M207</f>
        <v>x</v>
      </c>
    </row>
    <row r="207" spans="1:15" ht="15" customHeight="1" x14ac:dyDescent="0.25">
      <c r="A207" s="3064" t="s">
        <v>621</v>
      </c>
      <c r="B207" s="3064"/>
      <c r="C207" s="3062" t="str">
        <f>IF('negat e monit'!B165="","-",'negat e monit'!B165)</f>
        <v>-</v>
      </c>
      <c r="D207" s="3062"/>
      <c r="E207" s="3062"/>
      <c r="F207" s="3062"/>
      <c r="G207" s="3063" t="s">
        <v>633</v>
      </c>
      <c r="H207" s="3063"/>
      <c r="I207" s="3063"/>
      <c r="J207" s="3063"/>
      <c r="K207" s="2168">
        <f>'negat e monit'!B166</f>
        <v>0</v>
      </c>
      <c r="L207" s="2168" t="s">
        <v>622</v>
      </c>
      <c r="M207" s="2118" t="str">
        <f>M208</f>
        <v>x</v>
      </c>
    </row>
    <row r="208" spans="1:15" ht="15" customHeight="1" x14ac:dyDescent="0.25">
      <c r="A208" s="2821" t="s">
        <v>618</v>
      </c>
      <c r="B208" s="2456"/>
      <c r="C208" s="2175" t="e">
        <f>IF(ISERR(C209),C209,1)</f>
        <v>#NUM!</v>
      </c>
      <c r="D208" s="2175" t="e">
        <f>IF(ISERR(D209),D209,2)</f>
        <v>#NUM!</v>
      </c>
      <c r="E208" s="2175" t="e">
        <f>IF(ISERR(E209),E209,3)</f>
        <v>#NUM!</v>
      </c>
      <c r="F208" s="2175" t="e">
        <f>IF(ISERR(F209),F209,4)</f>
        <v>#NUM!</v>
      </c>
      <c r="G208" s="2175" t="e">
        <f>IF(ISERR(G209),G209,5)</f>
        <v>#NUM!</v>
      </c>
      <c r="H208" s="2175" t="e">
        <f>IF(ISERR(H209),H209,6)</f>
        <v>#NUM!</v>
      </c>
      <c r="I208" s="2175" t="e">
        <f>IF(ISERR(I209),I209,7)</f>
        <v>#NUM!</v>
      </c>
      <c r="J208" s="2175" t="e">
        <f>IF(ISERR(J209),J209,8)</f>
        <v>#NUM!</v>
      </c>
      <c r="K208" s="2175" t="e">
        <f>IF(ISERR(K209),K209,9)</f>
        <v>#NUM!</v>
      </c>
      <c r="L208" s="2175" t="e">
        <f>IF(ISERR(L209),L209,10)</f>
        <v>#NUM!</v>
      </c>
      <c r="M208" s="2118" t="str">
        <f>IF(ISERR(C208),"x","")</f>
        <v>x</v>
      </c>
    </row>
    <row r="209" spans="1:15" ht="15" customHeight="1" x14ac:dyDescent="0.25">
      <c r="A209" s="2821" t="s">
        <v>2716</v>
      </c>
      <c r="B209" s="2456"/>
      <c r="C209" s="2176" t="e">
        <f>'negat e monit'!B179</f>
        <v>#NUM!</v>
      </c>
      <c r="D209" s="2176" t="e">
        <f>'negat e monit'!C179</f>
        <v>#NUM!</v>
      </c>
      <c r="E209" s="2176" t="e">
        <f>'negat e monit'!D179</f>
        <v>#NUM!</v>
      </c>
      <c r="F209" s="2176" t="e">
        <f>'negat e monit'!E179</f>
        <v>#NUM!</v>
      </c>
      <c r="G209" s="2176" t="e">
        <f>'negat e monit'!F179</f>
        <v>#NUM!</v>
      </c>
      <c r="H209" s="2176" t="e">
        <f>'negat e monit'!G179</f>
        <v>#NUM!</v>
      </c>
      <c r="I209" s="2176" t="e">
        <f>'negat e monit'!H179</f>
        <v>#NUM!</v>
      </c>
      <c r="J209" s="2176" t="e">
        <f>'negat e monit'!I179</f>
        <v>#NUM!</v>
      </c>
      <c r="K209" s="2176" t="e">
        <f>'negat e monit'!J179</f>
        <v>#NUM!</v>
      </c>
      <c r="L209" s="2176" t="e">
        <f>'negat e monit'!K179</f>
        <v>#NUM!</v>
      </c>
      <c r="M209" s="2118" t="str">
        <f t="shared" ref="M209:M216" si="24">M208</f>
        <v>x</v>
      </c>
      <c r="N209" s="2113" t="s">
        <v>273</v>
      </c>
      <c r="O209" s="2113" t="s">
        <v>658</v>
      </c>
    </row>
    <row r="210" spans="1:15" ht="15" customHeight="1" x14ac:dyDescent="0.25">
      <c r="A210" s="2821" t="str">
        <f>'negat e monit'!$M$13&amp;", "&amp;'negat e monit'!$M$15&amp;", "&amp;'negat e monit'!$M$16</f>
        <v>IN 90, IN 93, IN 94</v>
      </c>
      <c r="B210" s="2456"/>
      <c r="C210" s="2176" t="e">
        <f>IF('negat e monit'!$B164="Negatoscópio",IF(C209&lt;1500,"Não","Sim"),IF(C209&lt;170,"Não","Sim"))</f>
        <v>#NUM!</v>
      </c>
      <c r="D210" s="2176" t="e">
        <f>IF('negat e monit'!$B164="Negatoscópio",IF(D209&lt;1500,"Não","Sim"),IF(D209&lt;170,"Não","Sim"))</f>
        <v>#NUM!</v>
      </c>
      <c r="E210" s="2176" t="e">
        <f>IF('negat e monit'!$B164="Negatoscópio",IF(E209&lt;1500,"Não","Sim"),IF(E209&lt;170,"Não","Sim"))</f>
        <v>#NUM!</v>
      </c>
      <c r="F210" s="2176" t="e">
        <f>IF('negat e monit'!$B164="Negatoscópio",IF(F209&lt;1500,"Não","Sim"),IF(F209&lt;170,"Não","Sim"))</f>
        <v>#NUM!</v>
      </c>
      <c r="G210" s="2176" t="e">
        <f>IF('negat e monit'!$B164="Negatoscópio",IF(G209&lt;1500,"Não","Sim"),IF(G209&lt;170,"Não","Sim"))</f>
        <v>#NUM!</v>
      </c>
      <c r="H210" s="2176" t="e">
        <f>IF('negat e monit'!$B164="Negatoscópio",IF(H209&lt;1500,"Não","Sim"),IF(H209&lt;170,"Não","Sim"))</f>
        <v>#NUM!</v>
      </c>
      <c r="I210" s="2176" t="e">
        <f>IF('negat e monit'!$B164="Negatoscópio",IF(I209&lt;1500,"Não","Sim"),IF(I209&lt;170,"Não","Sim"))</f>
        <v>#NUM!</v>
      </c>
      <c r="J210" s="2176" t="e">
        <f>IF('negat e monit'!$B164="Negatoscópio",IF(J209&lt;1500,"Não","Sim"),IF(J209&lt;170,"Não","Sim"))</f>
        <v>#NUM!</v>
      </c>
      <c r="K210" s="2176" t="e">
        <f>IF('negat e monit'!$B164="Negatoscópio",IF(K209&lt;1500,"Não","Sim"),IF(K209&lt;170,"Não","Sim"))</f>
        <v>#NUM!</v>
      </c>
      <c r="L210" s="2176" t="e">
        <f>IF('negat e monit'!$B164="Negatoscópio",IF(L209&lt;1500,"Não","Sim"),IF(L209&lt;170,"Não","Sim"))</f>
        <v>#NUM!</v>
      </c>
      <c r="M210" s="2118" t="str">
        <f t="shared" si="24"/>
        <v>x</v>
      </c>
      <c r="N210" s="2113">
        <f>IF((COUNTIF(C210:L210,"Não")+COUNTIF(C210:L210,"Restrição"))&gt;0,IF(M203="x",0,IF(M203="Negatoscópio","NN","MN")),0)</f>
        <v>0</v>
      </c>
      <c r="O210" s="2113">
        <f>COUNTIF(C210:L210,"Restrição")</f>
        <v>0</v>
      </c>
    </row>
    <row r="211" spans="1:15" ht="15" customHeight="1" x14ac:dyDescent="0.25">
      <c r="A211" s="2821" t="str">
        <f>'negat e monit'!$M$14</f>
        <v>IN 92</v>
      </c>
      <c r="B211" s="2456"/>
      <c r="C211" s="2176" t="e">
        <f>IF('negat e monit'!$B164="Negatoscópio",IF(C209&lt;=2500,"Restrição",IF(C209&lt;3000,"Não","Sim")),IF(C209&lt;350,"Não","Sim"))</f>
        <v>#NUM!</v>
      </c>
      <c r="D211" s="2176" t="e">
        <f>IF('negat e monit'!$B164="Negatoscópio",IF(D209&lt;=2500,"Restrição",IF(D209&lt;3000,"Não","Sim")),IF(D209&lt;350,"Não","Sim"))</f>
        <v>#NUM!</v>
      </c>
      <c r="E211" s="2176" t="e">
        <f>IF('negat e monit'!$B164="Negatoscópio",IF(E209&lt;=2500,"Restrição",IF(E209&lt;3000,"Não","Sim")),IF(E209&lt;350,"Não","Sim"))</f>
        <v>#NUM!</v>
      </c>
      <c r="F211" s="2176" t="e">
        <f>IF('negat e monit'!$B164="Negatoscópio",IF(F209&lt;=2500,"Restrição",IF(F209&lt;3000,"Não","Sim")),IF(F209&lt;350,"Não","Sim"))</f>
        <v>#NUM!</v>
      </c>
      <c r="G211" s="2176" t="e">
        <f>IF('negat e monit'!$B164="Negatoscópio",IF(G209&lt;=2500,"Restrição",IF(G209&lt;3000,"Não","Sim")),IF(G209&lt;350,"Não","Sim"))</f>
        <v>#NUM!</v>
      </c>
      <c r="H211" s="2176" t="e">
        <f>IF('negat e monit'!$B164="Negatoscópio",IF(H209&lt;=2500,"Restrição",IF(H209&lt;3000,"Não","Sim")),IF(H209&lt;350,"Não","Sim"))</f>
        <v>#NUM!</v>
      </c>
      <c r="I211" s="2176" t="e">
        <f>IF('negat e monit'!$B164="Negatoscópio",IF(I209&lt;=2500,"Restrição",IF(I209&lt;3000,"Não","Sim")),IF(I209&lt;350,"Não","Sim"))</f>
        <v>#NUM!</v>
      </c>
      <c r="J211" s="2176" t="e">
        <f>IF('negat e monit'!$B164="Negatoscópio",IF(J209&lt;=2500,"Restrição",IF(J209&lt;3000,"Não","Sim")),IF(J209&lt;350,"Não","Sim"))</f>
        <v>#NUM!</v>
      </c>
      <c r="K211" s="2176" t="e">
        <f>IF('negat e monit'!$B164="Negatoscópio",IF(K209&lt;=2500,"Restrição",IF(K209&lt;3000,"Não","Sim")),IF(K209&lt;350,"Não","Sim"))</f>
        <v>#NUM!</v>
      </c>
      <c r="L211" s="2176" t="e">
        <f>IF('negat e monit'!$B164="Negatoscópio",IF(L209&lt;=2500,"Restrição",IF(L209&lt;3000,"Não","Sim")),IF(L209&lt;350,"Não","Sim"))</f>
        <v>#NUM!</v>
      </c>
      <c r="M211" s="2118" t="str">
        <f t="shared" si="24"/>
        <v>x</v>
      </c>
      <c r="N211" s="2113">
        <f>IF((COUNTIF(C211:L211,"Não")+COUNTIF(C211:L211,"Restrição"))&gt;0,IF(M203="x",0,IF(M203="Negatoscópio","NN54","MN54")),0)</f>
        <v>0</v>
      </c>
      <c r="O211" s="2113">
        <f>COUNTIF(C211:L211,"Restrição")</f>
        <v>0</v>
      </c>
    </row>
    <row r="212" spans="1:15" ht="15" customHeight="1" x14ac:dyDescent="0.25">
      <c r="A212" s="2821" t="s">
        <v>620</v>
      </c>
      <c r="B212" s="2456"/>
      <c r="C212" s="2176" t="e">
        <f>'negat e monit'!B180</f>
        <v>#DIV/0!</v>
      </c>
      <c r="D212" s="2176" t="e">
        <f>'negat e monit'!C180</f>
        <v>#DIV/0!</v>
      </c>
      <c r="E212" s="2176" t="e">
        <f>'negat e monit'!D180</f>
        <v>#DIV/0!</v>
      </c>
      <c r="F212" s="2176" t="e">
        <f>'negat e monit'!E180</f>
        <v>#DIV/0!</v>
      </c>
      <c r="G212" s="2176" t="e">
        <f>'negat e monit'!F180</f>
        <v>#DIV/0!</v>
      </c>
      <c r="H212" s="2176" t="e">
        <f>'negat e monit'!G180</f>
        <v>#DIV/0!</v>
      </c>
      <c r="I212" s="2176" t="e">
        <f>'negat e monit'!H180</f>
        <v>#DIV/0!</v>
      </c>
      <c r="J212" s="2176" t="e">
        <f>'negat e monit'!I180</f>
        <v>#DIV/0!</v>
      </c>
      <c r="K212" s="2176" t="e">
        <f>'negat e monit'!J180</f>
        <v>#DIV/0!</v>
      </c>
      <c r="L212" s="2176" t="e">
        <f>'negat e monit'!K180</f>
        <v>#DIV/0!</v>
      </c>
      <c r="M212" s="2118" t="str">
        <f t="shared" si="24"/>
        <v>x</v>
      </c>
    </row>
    <row r="213" spans="1:15" ht="15" customHeight="1" x14ac:dyDescent="0.25">
      <c r="A213" s="2821" t="str">
        <f>A210</f>
        <v>IN 90, IN 93, IN 94</v>
      </c>
      <c r="B213" s="2456"/>
      <c r="C213" s="2176" t="e">
        <f>IF(C212&gt;30,"Não","Sim")</f>
        <v>#DIV/0!</v>
      </c>
      <c r="D213" s="2176" t="e">
        <f t="shared" ref="D213:L213" si="25">IF(D212&gt;30,"Não","Sim")</f>
        <v>#DIV/0!</v>
      </c>
      <c r="E213" s="2176" t="e">
        <f t="shared" si="25"/>
        <v>#DIV/0!</v>
      </c>
      <c r="F213" s="2176" t="e">
        <f t="shared" si="25"/>
        <v>#DIV/0!</v>
      </c>
      <c r="G213" s="2176" t="e">
        <f t="shared" si="25"/>
        <v>#DIV/0!</v>
      </c>
      <c r="H213" s="2176" t="e">
        <f t="shared" si="25"/>
        <v>#DIV/0!</v>
      </c>
      <c r="I213" s="2176" t="e">
        <f t="shared" si="25"/>
        <v>#DIV/0!</v>
      </c>
      <c r="J213" s="2176" t="e">
        <f t="shared" si="25"/>
        <v>#DIV/0!</v>
      </c>
      <c r="K213" s="2176" t="e">
        <f t="shared" si="25"/>
        <v>#DIV/0!</v>
      </c>
      <c r="L213" s="2176" t="e">
        <f t="shared" si="25"/>
        <v>#DIV/0!</v>
      </c>
      <c r="M213" s="2118" t="str">
        <f t="shared" si="24"/>
        <v>x</v>
      </c>
      <c r="N213" s="2113">
        <f>IF((COUNTIF(C213:L213,"Não")+COUNTIF(C213:L213,"Restrição"))&gt;0,IF(M203="x",0,IF(M203="Negatoscópio","NN","MN")),0)</f>
        <v>0</v>
      </c>
      <c r="O213" s="2113">
        <f>COUNTIF(C213:L213,"Restrição")</f>
        <v>0</v>
      </c>
    </row>
    <row r="214" spans="1:15" ht="15" customHeight="1" x14ac:dyDescent="0.25">
      <c r="A214" s="2821" t="str">
        <f>A211</f>
        <v>IN 92</v>
      </c>
      <c r="B214" s="2456"/>
      <c r="C214" s="2176" t="e">
        <f>IF(C212&gt;20,"Não","Sim")</f>
        <v>#DIV/0!</v>
      </c>
      <c r="D214" s="2176" t="e">
        <f t="shared" ref="D214:L214" si="26">IF(D212&gt;20,"Não","Sim")</f>
        <v>#DIV/0!</v>
      </c>
      <c r="E214" s="2176" t="e">
        <f t="shared" si="26"/>
        <v>#DIV/0!</v>
      </c>
      <c r="F214" s="2176" t="e">
        <f t="shared" si="26"/>
        <v>#DIV/0!</v>
      </c>
      <c r="G214" s="2176" t="e">
        <f t="shared" si="26"/>
        <v>#DIV/0!</v>
      </c>
      <c r="H214" s="2176" t="e">
        <f t="shared" si="26"/>
        <v>#DIV/0!</v>
      </c>
      <c r="I214" s="2176" t="e">
        <f t="shared" si="26"/>
        <v>#DIV/0!</v>
      </c>
      <c r="J214" s="2176" t="e">
        <f t="shared" si="26"/>
        <v>#DIV/0!</v>
      </c>
      <c r="K214" s="2176" t="e">
        <f t="shared" si="26"/>
        <v>#DIV/0!</v>
      </c>
      <c r="L214" s="2176" t="e">
        <f t="shared" si="26"/>
        <v>#DIV/0!</v>
      </c>
      <c r="M214" s="2118" t="str">
        <f t="shared" si="24"/>
        <v>x</v>
      </c>
      <c r="N214" s="2113">
        <f>IF((COUNTIF(C214:L214,"Não")+COUNTIF(C214:L214,"Restrição"))&gt;0,IF(M203="x",0,IF(M203="Negatoscópio","NN54","MN54")),0)</f>
        <v>0</v>
      </c>
      <c r="O214" s="2113">
        <f>COUNTIF(C214:L214,"Restrição")</f>
        <v>0</v>
      </c>
    </row>
    <row r="215" spans="1:15" ht="15" customHeight="1" x14ac:dyDescent="0.25">
      <c r="A215" s="2177" t="s">
        <v>2717</v>
      </c>
      <c r="B215" s="2177"/>
      <c r="C215" s="2177"/>
      <c r="D215" s="2177"/>
      <c r="E215" s="2177"/>
      <c r="F215" s="2177"/>
      <c r="G215" s="2177"/>
      <c r="H215" s="2177"/>
      <c r="I215" s="2177"/>
      <c r="J215" s="2177"/>
      <c r="M215" s="2118" t="str">
        <f t="shared" si="24"/>
        <v>x</v>
      </c>
    </row>
    <row r="216" spans="1:15" ht="15" customHeight="1" x14ac:dyDescent="0.25">
      <c r="A216" s="2181"/>
      <c r="B216" s="2181"/>
      <c r="C216" s="2181"/>
      <c r="D216" s="2181"/>
      <c r="E216" s="2181"/>
      <c r="F216" s="2181"/>
      <c r="G216" s="2181"/>
      <c r="H216" s="2181"/>
      <c r="I216" s="2181"/>
      <c r="J216" s="2181"/>
      <c r="K216" s="285"/>
      <c r="L216" s="285"/>
      <c r="M216" s="285" t="str">
        <f t="shared" si="24"/>
        <v>x</v>
      </c>
    </row>
    <row r="217" spans="1:15" ht="15" customHeight="1" x14ac:dyDescent="0.25">
      <c r="A217" s="2177"/>
      <c r="B217" s="2177"/>
      <c r="C217" s="2177"/>
      <c r="D217" s="2177"/>
      <c r="E217" s="2177"/>
      <c r="F217" s="2177"/>
      <c r="G217" s="2177"/>
      <c r="H217" s="2177"/>
      <c r="I217" s="2177"/>
      <c r="J217" s="2177"/>
      <c r="M217" s="2118" t="s">
        <v>649</v>
      </c>
    </row>
    <row r="218" spans="1:15" ht="15" customHeight="1" x14ac:dyDescent="0.25">
      <c r="A218" s="2177"/>
      <c r="B218" s="2177"/>
      <c r="C218" s="2177"/>
      <c r="D218" s="2177"/>
      <c r="E218" s="2177"/>
      <c r="F218" s="2177"/>
      <c r="G218" s="2177"/>
      <c r="H218" s="2177"/>
      <c r="I218" s="2177"/>
      <c r="J218" s="2177"/>
      <c r="M218" s="2118" t="s">
        <v>649</v>
      </c>
    </row>
    <row r="219" spans="1:15" ht="15" customHeight="1" x14ac:dyDescent="0.25">
      <c r="A219" s="2177"/>
      <c r="B219" s="2177"/>
      <c r="C219" s="2177"/>
      <c r="D219" s="2177"/>
      <c r="E219" s="2177"/>
      <c r="F219" s="2177"/>
      <c r="G219" s="2177"/>
      <c r="H219" s="2177"/>
      <c r="I219" s="2177"/>
      <c r="J219" s="2177"/>
      <c r="M219" s="2118" t="s">
        <v>649</v>
      </c>
    </row>
    <row r="220" spans="1:15" ht="15" customHeight="1" x14ac:dyDescent="0.25">
      <c r="A220" s="2177"/>
      <c r="B220" s="2177"/>
      <c r="C220" s="2177"/>
      <c r="D220" s="2177"/>
      <c r="E220" s="2177"/>
      <c r="F220" s="2177"/>
      <c r="G220" s="2177"/>
      <c r="H220" s="2177"/>
      <c r="I220" s="2177"/>
      <c r="J220" s="2177"/>
      <c r="M220" s="2118" t="s">
        <v>649</v>
      </c>
    </row>
    <row r="221" spans="1:15" ht="15" customHeight="1" x14ac:dyDescent="0.25">
      <c r="A221" s="2177"/>
      <c r="B221" s="2177"/>
      <c r="C221" s="2177"/>
      <c r="D221" s="2177"/>
      <c r="E221" s="2177"/>
      <c r="F221" s="2177"/>
      <c r="G221" s="2177"/>
      <c r="H221" s="2177"/>
      <c r="I221" s="2177"/>
      <c r="J221" s="2177"/>
      <c r="M221" s="2118" t="s">
        <v>649</v>
      </c>
    </row>
    <row r="222" spans="1:15" ht="15" customHeight="1" x14ac:dyDescent="0.25">
      <c r="A222" s="2181"/>
      <c r="B222" s="2181"/>
      <c r="C222" s="2181"/>
      <c r="D222" s="2181"/>
      <c r="E222" s="2181"/>
      <c r="F222" s="2181"/>
      <c r="G222" s="2181"/>
      <c r="H222" s="2181"/>
      <c r="I222" s="2181"/>
      <c r="J222" s="2181"/>
      <c r="M222" s="2118" t="s">
        <v>649</v>
      </c>
    </row>
    <row r="223" spans="1:15" ht="15" customHeight="1" x14ac:dyDescent="0.25">
      <c r="A223" s="2483" t="str">
        <f>CONCATENATE('negat e monit'!B184," ",'negat e monit'!B187)</f>
        <v xml:space="preserve"> 10</v>
      </c>
      <c r="B223" s="2483"/>
      <c r="C223" s="2483"/>
      <c r="D223" s="2483"/>
      <c r="E223" s="2483"/>
      <c r="F223" s="2483"/>
      <c r="G223" s="2483"/>
      <c r="H223" s="2483"/>
      <c r="I223" s="2483"/>
      <c r="J223" s="2483"/>
      <c r="K223" s="2483"/>
      <c r="L223" s="2483"/>
      <c r="M223" s="2118" t="str">
        <f>IF(M224="x","x",'negat e monit'!B184)</f>
        <v>x</v>
      </c>
    </row>
    <row r="224" spans="1:15" ht="15" customHeight="1" x14ac:dyDescent="0.25">
      <c r="A224" s="3064" t="s">
        <v>2326</v>
      </c>
      <c r="B224" s="3064"/>
      <c r="C224" s="2171" t="str">
        <f>IF('negat e monit'!B188="","informação não encontrada",'negat e monit'!B188)</f>
        <v>informação não encontrada</v>
      </c>
      <c r="I224" s="2172" t="s">
        <v>2325</v>
      </c>
      <c r="J224" s="2171" t="str">
        <f>'negat e monit'!K184</f>
        <v>Informação não encontrada</v>
      </c>
      <c r="K224" s="2119"/>
      <c r="L224" s="2119"/>
      <c r="M224" s="2118" t="str">
        <f>M225</f>
        <v>x</v>
      </c>
    </row>
    <row r="225" spans="1:15" ht="15" customHeight="1" x14ac:dyDescent="0.25">
      <c r="A225" s="3064" t="s">
        <v>2327</v>
      </c>
      <c r="B225" s="3064"/>
      <c r="C225" s="2171" t="str">
        <f>IF('negat e monit'!B189="","informação não encontrada",'negat e monit'!B189)</f>
        <v>informação não encontrada</v>
      </c>
      <c r="I225" s="2172" t="s">
        <v>2330</v>
      </c>
      <c r="J225" s="3065" t="str">
        <f>'negat e monit'!K185</f>
        <v>Informação não encontrada</v>
      </c>
      <c r="K225" s="3065"/>
      <c r="L225" s="3065"/>
      <c r="M225" s="2118" t="str">
        <f>M226</f>
        <v>x</v>
      </c>
    </row>
    <row r="226" spans="1:15" ht="15" customHeight="1" x14ac:dyDescent="0.25">
      <c r="A226" s="3064" t="s">
        <v>2328</v>
      </c>
      <c r="B226" s="3064"/>
      <c r="C226" s="2171" t="str">
        <f>IF('negat e monit'!B190="","informação não encontrada",'negat e monit'!B190)</f>
        <v>informação não encontrada</v>
      </c>
      <c r="M226" s="2118" t="str">
        <f>M227</f>
        <v>x</v>
      </c>
    </row>
    <row r="227" spans="1:15" ht="15" customHeight="1" x14ac:dyDescent="0.25">
      <c r="A227" s="3064" t="s">
        <v>621</v>
      </c>
      <c r="B227" s="3064"/>
      <c r="C227" s="3062" t="str">
        <f>IF('negat e monit'!B185="","-",'negat e monit'!B185)</f>
        <v>-</v>
      </c>
      <c r="D227" s="3062"/>
      <c r="E227" s="3062"/>
      <c r="F227" s="3062"/>
      <c r="G227" s="3063" t="s">
        <v>633</v>
      </c>
      <c r="H227" s="3063"/>
      <c r="I227" s="3063"/>
      <c r="J227" s="3063"/>
      <c r="K227" s="2168">
        <f>'negat e monit'!B186</f>
        <v>0</v>
      </c>
      <c r="L227" s="2168" t="s">
        <v>622</v>
      </c>
      <c r="M227" s="2118" t="str">
        <f>M228</f>
        <v>x</v>
      </c>
    </row>
    <row r="228" spans="1:15" ht="15" customHeight="1" x14ac:dyDescent="0.25">
      <c r="A228" s="2821" t="s">
        <v>618</v>
      </c>
      <c r="B228" s="2456"/>
      <c r="C228" s="2175" t="e">
        <f>IF(ISERR(C229),C229,1)</f>
        <v>#NUM!</v>
      </c>
      <c r="D228" s="2175" t="e">
        <f>IF(ISERR(D229),D229,2)</f>
        <v>#NUM!</v>
      </c>
      <c r="E228" s="2175" t="e">
        <f>IF(ISERR(E229),E229,3)</f>
        <v>#NUM!</v>
      </c>
      <c r="F228" s="2175" t="e">
        <f>IF(ISERR(F229),F229,4)</f>
        <v>#NUM!</v>
      </c>
      <c r="G228" s="2175" t="e">
        <f>IF(ISERR(G229),G229,5)</f>
        <v>#NUM!</v>
      </c>
      <c r="H228" s="2175" t="e">
        <f>IF(ISERR(H229),H229,6)</f>
        <v>#NUM!</v>
      </c>
      <c r="I228" s="2175" t="e">
        <f>IF(ISERR(I229),I229,7)</f>
        <v>#NUM!</v>
      </c>
      <c r="J228" s="2175" t="e">
        <f>IF(ISERR(J229),J229,8)</f>
        <v>#NUM!</v>
      </c>
      <c r="K228" s="2175" t="e">
        <f>IF(ISERR(K229),K229,9)</f>
        <v>#NUM!</v>
      </c>
      <c r="L228" s="2175" t="e">
        <f>IF(ISERR(L229),L229,10)</f>
        <v>#NUM!</v>
      </c>
      <c r="M228" s="2118" t="str">
        <f>IF(ISERR(C228),"x","")</f>
        <v>x</v>
      </c>
    </row>
    <row r="229" spans="1:15" ht="15" customHeight="1" x14ac:dyDescent="0.25">
      <c r="A229" s="2821" t="s">
        <v>2716</v>
      </c>
      <c r="B229" s="2456"/>
      <c r="C229" s="2176" t="e">
        <f>'negat e monit'!B199</f>
        <v>#NUM!</v>
      </c>
      <c r="D229" s="2176" t="e">
        <f>'negat e monit'!C199</f>
        <v>#NUM!</v>
      </c>
      <c r="E229" s="2176" t="e">
        <f>'negat e monit'!D199</f>
        <v>#NUM!</v>
      </c>
      <c r="F229" s="2176" t="e">
        <f>'negat e monit'!E199</f>
        <v>#NUM!</v>
      </c>
      <c r="G229" s="2176" t="e">
        <f>'negat e monit'!F199</f>
        <v>#NUM!</v>
      </c>
      <c r="H229" s="2176" t="e">
        <f>'negat e monit'!G199</f>
        <v>#NUM!</v>
      </c>
      <c r="I229" s="2176" t="e">
        <f>'negat e monit'!H199</f>
        <v>#NUM!</v>
      </c>
      <c r="J229" s="2176" t="e">
        <f>'negat e monit'!I199</f>
        <v>#NUM!</v>
      </c>
      <c r="K229" s="2176" t="e">
        <f>'negat e monit'!J199</f>
        <v>#NUM!</v>
      </c>
      <c r="L229" s="2176" t="e">
        <f>'negat e monit'!K199</f>
        <v>#NUM!</v>
      </c>
      <c r="M229" s="2118" t="str">
        <f t="shared" ref="M229:M236" si="27">M228</f>
        <v>x</v>
      </c>
      <c r="N229" s="2113" t="s">
        <v>273</v>
      </c>
      <c r="O229" s="2113" t="s">
        <v>658</v>
      </c>
    </row>
    <row r="230" spans="1:15" ht="15" customHeight="1" x14ac:dyDescent="0.25">
      <c r="A230" s="2821" t="str">
        <f>'negat e monit'!$M$13&amp;", "&amp;'negat e monit'!$M$15&amp;", "&amp;'negat e monit'!$M$16</f>
        <v>IN 90, IN 93, IN 94</v>
      </c>
      <c r="B230" s="2456"/>
      <c r="C230" s="2176" t="e">
        <f>IF('negat e monit'!$B184="Negatoscópio",IF(C229&lt;1500,"Não","Sim"),IF(C229&lt;170,"Não","Sim"))</f>
        <v>#NUM!</v>
      </c>
      <c r="D230" s="2176" t="e">
        <f>IF('negat e monit'!$B184="Negatoscópio",IF(D229&lt;1500,"Não","Sim"),IF(D229&lt;170,"Não","Sim"))</f>
        <v>#NUM!</v>
      </c>
      <c r="E230" s="2176" t="e">
        <f>IF('negat e monit'!$B184="Negatoscópio",IF(E229&lt;1500,"Não","Sim"),IF(E229&lt;170,"Não","Sim"))</f>
        <v>#NUM!</v>
      </c>
      <c r="F230" s="2176" t="e">
        <f>IF('negat e monit'!$B184="Negatoscópio",IF(F229&lt;1500,"Não","Sim"),IF(F229&lt;170,"Não","Sim"))</f>
        <v>#NUM!</v>
      </c>
      <c r="G230" s="2176" t="e">
        <f>IF('negat e monit'!$B184="Negatoscópio",IF(G229&lt;1500,"Não","Sim"),IF(G229&lt;170,"Não","Sim"))</f>
        <v>#NUM!</v>
      </c>
      <c r="H230" s="2176" t="e">
        <f>IF('negat e monit'!$B184="Negatoscópio",IF(H229&lt;1500,"Não","Sim"),IF(H229&lt;170,"Não","Sim"))</f>
        <v>#NUM!</v>
      </c>
      <c r="I230" s="2176" t="e">
        <f>IF('negat e monit'!$B184="Negatoscópio",IF(I229&lt;1500,"Não","Sim"),IF(I229&lt;170,"Não","Sim"))</f>
        <v>#NUM!</v>
      </c>
      <c r="J230" s="2176" t="e">
        <f>IF('negat e monit'!$B184="Negatoscópio",IF(J229&lt;1500,"Não","Sim"),IF(J229&lt;170,"Não","Sim"))</f>
        <v>#NUM!</v>
      </c>
      <c r="K230" s="2176" t="e">
        <f>IF('negat e monit'!$B184="Negatoscópio",IF(K229&lt;1500,"Não","Sim"),IF(K229&lt;170,"Não","Sim"))</f>
        <v>#NUM!</v>
      </c>
      <c r="L230" s="2176" t="e">
        <f>IF('negat e monit'!$B184="Negatoscópio",IF(L229&lt;1500,"Não","Sim"),IF(L229&lt;170,"Não","Sim"))</f>
        <v>#NUM!</v>
      </c>
      <c r="M230" s="2118" t="str">
        <f t="shared" si="27"/>
        <v>x</v>
      </c>
      <c r="N230" s="2113">
        <f>IF((COUNTIF(C230:L230,"Não")+COUNTIF(C230:L230,"Restrição"))&gt;0,IF(M223="x",0,IF(M223="Negatoscópio","NN","MN")),0)</f>
        <v>0</v>
      </c>
      <c r="O230" s="2113">
        <f>COUNTIF(C230:L230,"Restrição")</f>
        <v>0</v>
      </c>
    </row>
    <row r="231" spans="1:15" ht="15" customHeight="1" x14ac:dyDescent="0.25">
      <c r="A231" s="2821" t="str">
        <f>'negat e monit'!$M$14</f>
        <v>IN 92</v>
      </c>
      <c r="B231" s="2456"/>
      <c r="C231" s="2176" t="e">
        <f>IF('negat e monit'!$B184="Negatoscópio",IF(C229&lt;=2500,"Restrição",IF(C229&lt;3000,"Não","Sim")),IF(C229&lt;350,"Não","Sim"))</f>
        <v>#NUM!</v>
      </c>
      <c r="D231" s="2176" t="e">
        <f>IF('negat e monit'!$B184="Negatoscópio",IF(D229&lt;=2500,"Restrição",IF(D229&lt;3000,"Não","Sim")),IF(D229&lt;350,"Não","Sim"))</f>
        <v>#NUM!</v>
      </c>
      <c r="E231" s="2176" t="e">
        <f>IF('negat e monit'!$B184="Negatoscópio",IF(E229&lt;=2500,"Restrição",IF(E229&lt;3000,"Não","Sim")),IF(E229&lt;350,"Não","Sim"))</f>
        <v>#NUM!</v>
      </c>
      <c r="F231" s="2176" t="e">
        <f>IF('negat e monit'!$B184="Negatoscópio",IF(F229&lt;=2500,"Restrição",IF(F229&lt;3000,"Não","Sim")),IF(F229&lt;350,"Não","Sim"))</f>
        <v>#NUM!</v>
      </c>
      <c r="G231" s="2176" t="e">
        <f>IF('negat e monit'!$B184="Negatoscópio",IF(G229&lt;=2500,"Restrição",IF(G229&lt;3000,"Não","Sim")),IF(G229&lt;350,"Não","Sim"))</f>
        <v>#NUM!</v>
      </c>
      <c r="H231" s="2176" t="e">
        <f>IF('negat e monit'!$B184="Negatoscópio",IF(H229&lt;=2500,"Restrição",IF(H229&lt;3000,"Não","Sim")),IF(H229&lt;350,"Não","Sim"))</f>
        <v>#NUM!</v>
      </c>
      <c r="I231" s="2176" t="e">
        <f>IF('negat e monit'!$B184="Negatoscópio",IF(I229&lt;=2500,"Restrição",IF(I229&lt;3000,"Não","Sim")),IF(I229&lt;350,"Não","Sim"))</f>
        <v>#NUM!</v>
      </c>
      <c r="J231" s="2176" t="e">
        <f>IF('negat e monit'!$B184="Negatoscópio",IF(J229&lt;=2500,"Restrição",IF(J229&lt;3000,"Não","Sim")),IF(J229&lt;350,"Não","Sim"))</f>
        <v>#NUM!</v>
      </c>
      <c r="K231" s="2176" t="e">
        <f>IF('negat e monit'!$B184="Negatoscópio",IF(K229&lt;=2500,"Restrição",IF(K229&lt;3000,"Não","Sim")),IF(K229&lt;350,"Não","Sim"))</f>
        <v>#NUM!</v>
      </c>
      <c r="L231" s="2176" t="e">
        <f>IF('negat e monit'!$B184="Negatoscópio",IF(L229&lt;=2500,"Restrição",IF(L229&lt;3000,"Não","Sim")),IF(L229&lt;350,"Não","Sim"))</f>
        <v>#NUM!</v>
      </c>
      <c r="M231" s="2118" t="str">
        <f t="shared" si="27"/>
        <v>x</v>
      </c>
      <c r="N231" s="2113">
        <f>IF((COUNTIF(C231:L231,"Não")+COUNTIF(C231:L231,"Restrição"))&gt;0,IF(M223="x",0,IF(M223="Negatoscópio","NN54","MN54")),0)</f>
        <v>0</v>
      </c>
      <c r="O231" s="2113">
        <f>COUNTIF(C231:L231,"Restrição")</f>
        <v>0</v>
      </c>
    </row>
    <row r="232" spans="1:15" ht="15" customHeight="1" x14ac:dyDescent="0.25">
      <c r="A232" s="2821" t="s">
        <v>620</v>
      </c>
      <c r="B232" s="2456"/>
      <c r="C232" s="2176" t="e">
        <f>'negat e monit'!B200</f>
        <v>#DIV/0!</v>
      </c>
      <c r="D232" s="2176" t="e">
        <f>'negat e monit'!C200</f>
        <v>#DIV/0!</v>
      </c>
      <c r="E232" s="2176" t="e">
        <f>'negat e monit'!D200</f>
        <v>#DIV/0!</v>
      </c>
      <c r="F232" s="2176" t="e">
        <f>'negat e monit'!E200</f>
        <v>#DIV/0!</v>
      </c>
      <c r="G232" s="2176" t="e">
        <f>'negat e monit'!F200</f>
        <v>#DIV/0!</v>
      </c>
      <c r="H232" s="2176" t="e">
        <f>'negat e monit'!G200</f>
        <v>#DIV/0!</v>
      </c>
      <c r="I232" s="2176" t="e">
        <f>'negat e monit'!H200</f>
        <v>#DIV/0!</v>
      </c>
      <c r="J232" s="2176" t="e">
        <f>'negat e monit'!I200</f>
        <v>#DIV/0!</v>
      </c>
      <c r="K232" s="2176" t="e">
        <f>'negat e monit'!J200</f>
        <v>#DIV/0!</v>
      </c>
      <c r="L232" s="2176" t="e">
        <f>'negat e monit'!K200</f>
        <v>#DIV/0!</v>
      </c>
      <c r="M232" s="2118" t="str">
        <f t="shared" si="27"/>
        <v>x</v>
      </c>
    </row>
    <row r="233" spans="1:15" ht="15" customHeight="1" x14ac:dyDescent="0.25">
      <c r="A233" s="2821" t="str">
        <f>A230</f>
        <v>IN 90, IN 93, IN 94</v>
      </c>
      <c r="B233" s="2456"/>
      <c r="C233" s="2176" t="e">
        <f>IF(C232&gt;30,"Não","Sim")</f>
        <v>#DIV/0!</v>
      </c>
      <c r="D233" s="2176" t="e">
        <f t="shared" ref="D233:L233" si="28">IF(D232&gt;30,"Não","Sim")</f>
        <v>#DIV/0!</v>
      </c>
      <c r="E233" s="2176" t="e">
        <f t="shared" si="28"/>
        <v>#DIV/0!</v>
      </c>
      <c r="F233" s="2176" t="e">
        <f t="shared" si="28"/>
        <v>#DIV/0!</v>
      </c>
      <c r="G233" s="2176" t="e">
        <f t="shared" si="28"/>
        <v>#DIV/0!</v>
      </c>
      <c r="H233" s="2176" t="e">
        <f t="shared" si="28"/>
        <v>#DIV/0!</v>
      </c>
      <c r="I233" s="2176" t="e">
        <f t="shared" si="28"/>
        <v>#DIV/0!</v>
      </c>
      <c r="J233" s="2176" t="e">
        <f t="shared" si="28"/>
        <v>#DIV/0!</v>
      </c>
      <c r="K233" s="2176" t="e">
        <f t="shared" si="28"/>
        <v>#DIV/0!</v>
      </c>
      <c r="L233" s="2176" t="e">
        <f t="shared" si="28"/>
        <v>#DIV/0!</v>
      </c>
      <c r="M233" s="2118" t="str">
        <f t="shared" si="27"/>
        <v>x</v>
      </c>
      <c r="N233" s="2113">
        <f>IF((COUNTIF(C233:L233,"Não")+COUNTIF(C233:L233,"Restrição"))&gt;0,IF(M223="x",0,IF(M223="Negatoscópio","NN","MN")),0)</f>
        <v>0</v>
      </c>
      <c r="O233" s="2113">
        <f>COUNTIF(C233:L233,"Restrição")</f>
        <v>0</v>
      </c>
    </row>
    <row r="234" spans="1:15" ht="15" customHeight="1" x14ac:dyDescent="0.25">
      <c r="A234" s="2821" t="str">
        <f>A231</f>
        <v>IN 92</v>
      </c>
      <c r="B234" s="2456"/>
      <c r="C234" s="2182" t="e">
        <f>IF(C232&gt;20,"Não","Sim")</f>
        <v>#DIV/0!</v>
      </c>
      <c r="D234" s="2182" t="e">
        <f t="shared" ref="D234:L234" si="29">IF(D232&gt;20,"Não","Sim")</f>
        <v>#DIV/0!</v>
      </c>
      <c r="E234" s="2182" t="e">
        <f t="shared" si="29"/>
        <v>#DIV/0!</v>
      </c>
      <c r="F234" s="2182" t="e">
        <f t="shared" si="29"/>
        <v>#DIV/0!</v>
      </c>
      <c r="G234" s="2182" t="e">
        <f t="shared" si="29"/>
        <v>#DIV/0!</v>
      </c>
      <c r="H234" s="2182" t="e">
        <f t="shared" si="29"/>
        <v>#DIV/0!</v>
      </c>
      <c r="I234" s="2182" t="e">
        <f t="shared" si="29"/>
        <v>#DIV/0!</v>
      </c>
      <c r="J234" s="2182" t="e">
        <f t="shared" si="29"/>
        <v>#DIV/0!</v>
      </c>
      <c r="K234" s="2182" t="e">
        <f t="shared" si="29"/>
        <v>#DIV/0!</v>
      </c>
      <c r="L234" s="2182" t="e">
        <f t="shared" si="29"/>
        <v>#DIV/0!</v>
      </c>
      <c r="M234" s="2118" t="str">
        <f t="shared" si="27"/>
        <v>x</v>
      </c>
      <c r="N234" s="2113">
        <f>IF((COUNTIF(C234:L234,"Não")+COUNTIF(C234:L234,"Restrição"))&gt;0,IF(M223="x",0,IF(M223="Negatoscópio","NN54","MN54")),0)</f>
        <v>0</v>
      </c>
      <c r="O234" s="2113">
        <f>COUNTIF(C234:L234,"Restrição")</f>
        <v>0</v>
      </c>
    </row>
    <row r="235" spans="1:15" ht="15" customHeight="1" x14ac:dyDescent="0.25">
      <c r="A235" s="2177" t="s">
        <v>2717</v>
      </c>
      <c r="B235" s="2177"/>
      <c r="C235" s="2177"/>
      <c r="D235" s="2177"/>
      <c r="E235" s="2177"/>
      <c r="F235" s="2177"/>
      <c r="G235" s="2177"/>
      <c r="H235" s="2177"/>
      <c r="I235" s="2177"/>
      <c r="J235" s="2177"/>
      <c r="M235" s="2118" t="str">
        <f t="shared" si="27"/>
        <v>x</v>
      </c>
    </row>
    <row r="236" spans="1:15" ht="15" customHeight="1" x14ac:dyDescent="0.25">
      <c r="A236" s="2181"/>
      <c r="B236" s="2181"/>
      <c r="C236" s="2181"/>
      <c r="D236" s="2181"/>
      <c r="E236" s="2181"/>
      <c r="F236" s="2181"/>
      <c r="G236" s="2181"/>
      <c r="H236" s="2181"/>
      <c r="I236" s="2181"/>
      <c r="J236" s="2181"/>
      <c r="K236" s="285"/>
      <c r="L236" s="285"/>
      <c r="M236" s="285" t="str">
        <f t="shared" si="27"/>
        <v>x</v>
      </c>
    </row>
    <row r="238" spans="1:15" ht="15" customHeight="1" x14ac:dyDescent="0.25">
      <c r="A238" s="281" t="s">
        <v>628</v>
      </c>
    </row>
    <row r="239" spans="1:15" ht="15" customHeight="1" x14ac:dyDescent="0.25">
      <c r="A239" s="2476" t="str">
        <f>CONCATENATE("               ",Tabelas2!R16)</f>
        <v xml:space="preserve">               Luxímetro marca Icel, modelo LD-650, série LD650.0101, Certificado de Calibração em anexo.</v>
      </c>
      <c r="B239" s="2476"/>
      <c r="C239" s="2476"/>
      <c r="D239" s="2476"/>
      <c r="E239" s="2476"/>
      <c r="F239" s="2476"/>
      <c r="G239" s="2476"/>
      <c r="H239" s="2476"/>
      <c r="I239" s="2476"/>
      <c r="J239" s="2476"/>
      <c r="K239" s="2476"/>
      <c r="L239" s="2476"/>
    </row>
    <row r="240" spans="1:15" ht="15" customHeight="1" x14ac:dyDescent="0.25">
      <c r="A240" s="2476"/>
      <c r="B240" s="2476"/>
      <c r="C240" s="2476"/>
      <c r="D240" s="2476"/>
      <c r="E240" s="2476"/>
      <c r="F240" s="2476"/>
      <c r="G240" s="2476"/>
      <c r="H240" s="2476"/>
      <c r="I240" s="2476"/>
      <c r="J240" s="2476"/>
      <c r="K240" s="2476"/>
      <c r="L240" s="2476"/>
    </row>
    <row r="242" spans="1:16" ht="15" customHeight="1" x14ac:dyDescent="0.25">
      <c r="A242" s="281" t="s">
        <v>629</v>
      </c>
    </row>
    <row r="243" spans="1:16" ht="15" customHeight="1" x14ac:dyDescent="0.25">
      <c r="A243" s="2469" t="str">
        <f>IntroPrazoArmazenamento</f>
        <v xml:space="preserve">               Este documento deve ser arquivado e mantido à disposição da autoridade sanitária local, garantindo sua rastreabilidade pelo prazo mínimo de 5 anos. </v>
      </c>
      <c r="B243" s="2469"/>
      <c r="C243" s="2469"/>
      <c r="D243" s="2469"/>
      <c r="E243" s="2469"/>
      <c r="F243" s="2469"/>
      <c r="G243" s="2469"/>
      <c r="H243" s="2469"/>
      <c r="I243" s="2469"/>
      <c r="J243" s="2469"/>
      <c r="K243" s="2469"/>
      <c r="L243" s="2469"/>
    </row>
    <row r="244" spans="1:16" ht="15" customHeight="1" x14ac:dyDescent="0.25">
      <c r="A244" s="2469"/>
      <c r="B244" s="2469"/>
      <c r="C244" s="2469"/>
      <c r="D244" s="2469"/>
      <c r="E244" s="2469"/>
      <c r="F244" s="2469"/>
      <c r="G244" s="2469"/>
      <c r="H244" s="2469"/>
      <c r="I244" s="2469"/>
      <c r="J244" s="2469"/>
      <c r="K244" s="2469"/>
      <c r="L244" s="2469"/>
    </row>
    <row r="245" spans="1:16" ht="15" customHeight="1" x14ac:dyDescent="0.25">
      <c r="A245" s="2469" t="s">
        <v>2082</v>
      </c>
      <c r="B245" s="2469"/>
      <c r="C245" s="2469"/>
      <c r="D245" s="2469"/>
      <c r="E245" s="2469"/>
      <c r="F245" s="2469"/>
      <c r="G245" s="2469"/>
      <c r="H245" s="2469"/>
      <c r="I245" s="2469"/>
      <c r="J245" s="2469"/>
      <c r="K245" s="2469"/>
      <c r="L245" s="2469"/>
      <c r="M245" s="2118" t="str">
        <f>IF('negat e monit'!P10&gt;0,"","x")</f>
        <v>x</v>
      </c>
    </row>
    <row r="246" spans="1:16" ht="15" customHeight="1" x14ac:dyDescent="0.25">
      <c r="A246" s="2469"/>
      <c r="B246" s="2469"/>
      <c r="C246" s="2469"/>
      <c r="D246" s="2469"/>
      <c r="E246" s="2469"/>
      <c r="F246" s="2469"/>
      <c r="G246" s="2469"/>
      <c r="H246" s="2469"/>
      <c r="I246" s="2469"/>
      <c r="J246" s="2469"/>
      <c r="K246" s="2469"/>
      <c r="L246" s="2469"/>
      <c r="M246" s="2118" t="str">
        <f>M245</f>
        <v>x</v>
      </c>
    </row>
    <row r="247" spans="1:16" ht="15" customHeight="1" x14ac:dyDescent="0.25">
      <c r="A247" s="2469"/>
      <c r="B247" s="2469"/>
      <c r="C247" s="2469"/>
      <c r="D247" s="2469"/>
      <c r="E247" s="2469"/>
      <c r="F247" s="2469"/>
      <c r="G247" s="2469"/>
      <c r="H247" s="2469"/>
      <c r="I247" s="2469"/>
      <c r="J247" s="2469"/>
      <c r="K247" s="2469"/>
      <c r="L247" s="2469"/>
      <c r="M247" s="2118" t="str">
        <f>M245</f>
        <v>x</v>
      </c>
    </row>
    <row r="248" spans="1:16" ht="15" customHeight="1" x14ac:dyDescent="0.25">
      <c r="A248" s="2476" t="s">
        <v>1474</v>
      </c>
      <c r="B248" s="2476"/>
      <c r="C248" s="2476"/>
      <c r="D248" s="2476"/>
      <c r="E248" s="2476"/>
      <c r="F248" s="2476"/>
      <c r="G248" s="2476"/>
      <c r="H248" s="2476"/>
      <c r="I248" s="2476"/>
      <c r="J248" s="2476"/>
      <c r="K248" s="2476"/>
      <c r="L248" s="2476"/>
    </row>
    <row r="249" spans="1:16" ht="15" customHeight="1" x14ac:dyDescent="0.25">
      <c r="A249" s="2476"/>
      <c r="B249" s="2476"/>
      <c r="C249" s="2476"/>
      <c r="D249" s="2476"/>
      <c r="E249" s="2476"/>
      <c r="F249" s="2476"/>
      <c r="G249" s="2476"/>
      <c r="H249" s="2476"/>
      <c r="I249" s="2476"/>
      <c r="J249" s="2476"/>
      <c r="K249" s="2476"/>
      <c r="L249" s="2476"/>
      <c r="N249" s="2115" t="s">
        <v>1470</v>
      </c>
      <c r="O249" s="2113" t="s">
        <v>1471</v>
      </c>
      <c r="P249" s="2183" t="s">
        <v>686</v>
      </c>
    </row>
    <row r="250" spans="1:16" ht="15" customHeight="1" x14ac:dyDescent="0.25">
      <c r="A250" s="2476"/>
      <c r="B250" s="2476"/>
      <c r="C250" s="2476"/>
      <c r="D250" s="2476"/>
      <c r="E250" s="2476"/>
      <c r="F250" s="2476"/>
      <c r="G250" s="2476"/>
      <c r="H250" s="2476"/>
      <c r="I250" s="2476"/>
      <c r="J250" s="2476"/>
      <c r="K250" s="2476"/>
      <c r="L250" s="2476"/>
      <c r="N250" s="2115">
        <f>COUNTIF($N$49:$N$234,"NN54")</f>
        <v>0</v>
      </c>
      <c r="O250" s="2113">
        <f>COUNTIF($N$49:$N$234,"MN54")</f>
        <v>0</v>
      </c>
      <c r="P250" s="2183" t="s">
        <v>1472</v>
      </c>
    </row>
    <row r="251" spans="1:16" ht="15" customHeight="1" x14ac:dyDescent="0.25">
      <c r="A251" s="2476"/>
      <c r="B251" s="2476"/>
      <c r="C251" s="2476"/>
      <c r="D251" s="2476"/>
      <c r="E251" s="2476"/>
      <c r="F251" s="2476"/>
      <c r="G251" s="2476"/>
      <c r="H251" s="2476"/>
      <c r="I251" s="2476"/>
      <c r="J251" s="2476"/>
      <c r="K251" s="2476"/>
      <c r="L251" s="2476"/>
      <c r="N251" s="2115">
        <f>COUNTIF($N$49:$N$234,"NN")</f>
        <v>0</v>
      </c>
      <c r="O251" s="2113">
        <f>COUNTIF($N$49:$N$234,"MN")</f>
        <v>0</v>
      </c>
      <c r="P251" s="2183" t="s">
        <v>1473</v>
      </c>
    </row>
    <row r="252" spans="1:16" ht="15" customHeight="1" x14ac:dyDescent="0.25">
      <c r="A252" s="2476" t="s">
        <v>935</v>
      </c>
      <c r="B252" s="2476"/>
      <c r="C252" s="2476"/>
      <c r="D252" s="2476"/>
      <c r="E252" s="2476"/>
      <c r="F252" s="2476"/>
      <c r="G252" s="2476"/>
      <c r="H252" s="2476"/>
      <c r="I252" s="2476"/>
      <c r="J252" s="2476"/>
      <c r="K252" s="2476"/>
      <c r="L252" s="2476"/>
      <c r="M252" s="2118" t="str">
        <f>IF('negat e monit'!O10&gt;0,"","x")</f>
        <v>x</v>
      </c>
      <c r="N252" s="2120"/>
      <c r="O252" s="2113">
        <f>SUM(O49:O236)</f>
        <v>0</v>
      </c>
      <c r="P252" s="2183" t="s">
        <v>658</v>
      </c>
    </row>
    <row r="253" spans="1:16" ht="15" customHeight="1" x14ac:dyDescent="0.25">
      <c r="A253" s="2476"/>
      <c r="B253" s="2476"/>
      <c r="C253" s="2476"/>
      <c r="D253" s="2476"/>
      <c r="E253" s="2476"/>
      <c r="F253" s="2476"/>
      <c r="G253" s="2476"/>
      <c r="H253" s="2476"/>
      <c r="I253" s="2476"/>
      <c r="J253" s="2476"/>
      <c r="K253" s="2476"/>
      <c r="L253" s="2476"/>
      <c r="M253" s="2118" t="str">
        <f>M252</f>
        <v>x</v>
      </c>
      <c r="N253" s="2120"/>
      <c r="O253" s="2113">
        <f>'negat e monit'!O10</f>
        <v>0</v>
      </c>
      <c r="P253" s="2183" t="s">
        <v>1468</v>
      </c>
    </row>
    <row r="254" spans="1:16" ht="15" customHeight="1" x14ac:dyDescent="0.25">
      <c r="A254" s="2476"/>
      <c r="B254" s="2476"/>
      <c r="C254" s="2476"/>
      <c r="D254" s="2476"/>
      <c r="E254" s="2476"/>
      <c r="F254" s="2476"/>
      <c r="G254" s="2476"/>
      <c r="H254" s="2476"/>
      <c r="I254" s="2476"/>
      <c r="J254" s="2476"/>
      <c r="K254" s="2476"/>
      <c r="L254" s="2476"/>
      <c r="M254" s="2118" t="str">
        <f>M253</f>
        <v>x</v>
      </c>
      <c r="N254" s="2120"/>
      <c r="O254" s="2113">
        <f>'negat e monit'!P10</f>
        <v>0</v>
      </c>
      <c r="P254" s="2183" t="s">
        <v>1469</v>
      </c>
    </row>
    <row r="255" spans="1:16" ht="15" customHeight="1" x14ac:dyDescent="0.25">
      <c r="A255" s="2476"/>
      <c r="B255" s="2476"/>
      <c r="C255" s="2476"/>
      <c r="D255" s="2476"/>
      <c r="E255" s="2476"/>
      <c r="F255" s="2476"/>
      <c r="G255" s="2476"/>
      <c r="H255" s="2476"/>
      <c r="I255" s="2476"/>
      <c r="J255" s="2476"/>
      <c r="K255" s="2476"/>
      <c r="L255" s="2476"/>
      <c r="M255" s="2118" t="str">
        <f>M254</f>
        <v>x</v>
      </c>
      <c r="O255" s="2113">
        <f>COUNTIFS(K47:K227,"&gt;50",L47:L227,"lux")</f>
        <v>0</v>
      </c>
      <c r="P255" s="2183" t="s">
        <v>675</v>
      </c>
    </row>
    <row r="256" spans="1:16" ht="15" customHeight="1" x14ac:dyDescent="0.25">
      <c r="A256" s="2111"/>
      <c r="B256" s="2111"/>
      <c r="C256" s="2111"/>
      <c r="D256" s="2111"/>
      <c r="E256" s="2111"/>
      <c r="F256" s="2111"/>
      <c r="G256" s="2111"/>
      <c r="H256" s="2111"/>
      <c r="I256" s="2111"/>
      <c r="J256" s="2111"/>
    </row>
    <row r="257" spans="1:13" ht="15" customHeight="1" x14ac:dyDescent="0.25">
      <c r="A257" s="281" t="s">
        <v>2062</v>
      </c>
      <c r="B257" s="2111"/>
      <c r="C257" s="2111"/>
      <c r="D257" s="2111"/>
      <c r="E257" s="2111"/>
      <c r="F257" s="2111"/>
      <c r="G257" s="2111"/>
      <c r="H257" s="2111"/>
      <c r="I257" s="2111"/>
      <c r="J257" s="2111"/>
    </row>
    <row r="258" spans="1:13" ht="15" customHeight="1" x14ac:dyDescent="0.25">
      <c r="A258" s="2469"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258" s="2469"/>
      <c r="C258" s="2469"/>
      <c r="D258" s="2469"/>
      <c r="E258" s="2469"/>
      <c r="F258" s="2469"/>
      <c r="G258" s="2469"/>
      <c r="H258" s="2469"/>
      <c r="I258" s="2469"/>
      <c r="J258" s="2469"/>
      <c r="K258" s="2469"/>
      <c r="L258" s="2469"/>
    </row>
    <row r="259" spans="1:13" ht="15" customHeight="1" x14ac:dyDescent="0.25">
      <c r="A259" s="2469"/>
      <c r="B259" s="2469"/>
      <c r="C259" s="2469"/>
      <c r="D259" s="2469"/>
      <c r="E259" s="2469"/>
      <c r="F259" s="2469"/>
      <c r="G259" s="2469"/>
      <c r="H259" s="2469"/>
      <c r="I259" s="2469"/>
      <c r="J259" s="2469"/>
      <c r="K259" s="2469"/>
      <c r="L259" s="2469"/>
    </row>
    <row r="260" spans="1:13" ht="15" customHeight="1" x14ac:dyDescent="0.25">
      <c r="A260" s="2469"/>
      <c r="B260" s="2469"/>
      <c r="C260" s="2469"/>
      <c r="D260" s="2469"/>
      <c r="E260" s="2469"/>
      <c r="F260" s="2469"/>
      <c r="G260" s="2469"/>
      <c r="H260" s="2469"/>
      <c r="I260" s="2469"/>
      <c r="J260" s="2469"/>
      <c r="K260" s="2469"/>
      <c r="L260" s="2469"/>
    </row>
    <row r="261" spans="1:13" ht="15" customHeight="1" x14ac:dyDescent="0.25">
      <c r="A261" s="2469"/>
      <c r="B261" s="2469"/>
      <c r="C261" s="2469"/>
      <c r="D261" s="2469"/>
      <c r="E261" s="2469"/>
      <c r="F261" s="2469"/>
      <c r="G261" s="2469"/>
      <c r="H261" s="2469"/>
      <c r="I261" s="2469"/>
      <c r="J261" s="2469"/>
      <c r="K261" s="2469"/>
      <c r="L261" s="2469"/>
    </row>
    <row r="262" spans="1:13" ht="15" customHeight="1" x14ac:dyDescent="0.25">
      <c r="A262" s="2469"/>
      <c r="B262" s="2469"/>
      <c r="C262" s="2469"/>
      <c r="D262" s="2469"/>
      <c r="E262" s="2469"/>
      <c r="F262" s="2469"/>
      <c r="G262" s="2469"/>
      <c r="H262" s="2469"/>
      <c r="I262" s="2469"/>
      <c r="J262" s="2469"/>
      <c r="K262" s="2469"/>
      <c r="L262" s="2469"/>
    </row>
    <row r="263" spans="1:13" s="2228" customFormat="1" ht="15" customHeight="1" x14ac:dyDescent="0.25">
      <c r="A263" s="2787" t="s">
        <v>2715</v>
      </c>
      <c r="B263" s="2787"/>
      <c r="C263" s="2918" t="e">
        <f>EDATE(Cabeçalho!B12,12)</f>
        <v>#N/A</v>
      </c>
      <c r="D263" s="2918"/>
      <c r="E263" s="2227"/>
      <c r="F263" s="2227"/>
      <c r="G263" s="2227"/>
      <c r="H263" s="2227"/>
      <c r="I263" s="2227"/>
      <c r="J263" s="2227"/>
      <c r="K263" s="2227"/>
      <c r="L263" s="2227"/>
    </row>
    <row r="264" spans="1:13" ht="15" customHeight="1" x14ac:dyDescent="0.25">
      <c r="A264" s="2111"/>
      <c r="B264" s="2111"/>
      <c r="C264" s="2111"/>
      <c r="D264" s="2111"/>
      <c r="E264" s="2111"/>
      <c r="F264" s="2111"/>
      <c r="G264" s="2111"/>
      <c r="H264" s="2111"/>
      <c r="I264" s="2111"/>
      <c r="J264" s="2111"/>
    </row>
    <row r="265" spans="1:13" ht="15" customHeight="1" x14ac:dyDescent="0.25">
      <c r="A265" s="281" t="s">
        <v>833</v>
      </c>
    </row>
    <row r="266" spans="1:13" ht="15" customHeight="1" x14ac:dyDescent="0.25">
      <c r="A266" s="2184" t="s">
        <v>630</v>
      </c>
      <c r="M266" s="2118" t="str">
        <f>IF(O253=0,"x","")</f>
        <v>x</v>
      </c>
    </row>
    <row r="267" spans="1:13" ht="15" customHeight="1" x14ac:dyDescent="0.25">
      <c r="A267" s="2469" t="str">
        <f>"                Conforme indicado, há negatoscópios que não atendem os requisitos das Instruções Normativas "&amp;'negat e monit'!$T$13&amp;", "&amp;'negat e monit'!$T$15&amp;" e "&amp;'negat e monit'!T16&amp;" da ANVISA para diagnóstico em radiologia convencional, tomografia computadorizada médica e radiologia odontológica extraoral. Deve ser aumentada a luminância dos negatoscópios de forma uniforme em toda a sua superfície."</f>
        <v xml:space="preserve">                Conforme indicado, há negatoscópios que não atendem os requisitos das Instruções Normativas 90/2021, 93/2021 e 94/2021 da ANVISA para diagnóstico em radiologia convencional, tomografia computadorizada médica e radiologia odontológica extraoral. Deve ser aumentada a luminância dos negatoscópios de forma uniforme em toda a sua superfície.</v>
      </c>
      <c r="B267" s="2469"/>
      <c r="C267" s="2469"/>
      <c r="D267" s="2469"/>
      <c r="E267" s="2469"/>
      <c r="F267" s="2469"/>
      <c r="G267" s="2469"/>
      <c r="H267" s="2469"/>
      <c r="I267" s="2469"/>
      <c r="J267" s="2469"/>
      <c r="K267" s="2469"/>
      <c r="L267" s="2469"/>
      <c r="M267" s="2118" t="str">
        <f>IF(AND($O$253&gt;0,$N$251&gt;0),"","x")</f>
        <v>x</v>
      </c>
    </row>
    <row r="268" spans="1:13" ht="15" customHeight="1" x14ac:dyDescent="0.25">
      <c r="A268" s="2469"/>
      <c r="B268" s="2469"/>
      <c r="C268" s="2469"/>
      <c r="D268" s="2469"/>
      <c r="E268" s="2469"/>
      <c r="F268" s="2469"/>
      <c r="G268" s="2469"/>
      <c r="H268" s="2469"/>
      <c r="I268" s="2469"/>
      <c r="J268" s="2469"/>
      <c r="K268" s="2469"/>
      <c r="L268" s="2469"/>
      <c r="M268" s="2118" t="str">
        <f>M267</f>
        <v>x</v>
      </c>
    </row>
    <row r="269" spans="1:13" ht="15" customHeight="1" x14ac:dyDescent="0.25">
      <c r="A269" s="2469"/>
      <c r="B269" s="2469"/>
      <c r="C269" s="2469"/>
      <c r="D269" s="2469"/>
      <c r="E269" s="2469"/>
      <c r="F269" s="2469"/>
      <c r="G269" s="2469"/>
      <c r="H269" s="2469"/>
      <c r="I269" s="2469"/>
      <c r="J269" s="2469"/>
      <c r="K269" s="2469"/>
      <c r="L269" s="2469"/>
      <c r="M269" s="2118" t="str">
        <f>M268</f>
        <v>x</v>
      </c>
    </row>
    <row r="270" spans="1:13" ht="15" customHeight="1" x14ac:dyDescent="0.25">
      <c r="A270" s="2469"/>
      <c r="B270" s="2469"/>
      <c r="C270" s="2469"/>
      <c r="D270" s="2469"/>
      <c r="E270" s="2469"/>
      <c r="F270" s="2469"/>
      <c r="G270" s="2469"/>
      <c r="H270" s="2469"/>
      <c r="I270" s="2469"/>
      <c r="J270" s="2469"/>
      <c r="K270" s="2469"/>
      <c r="L270" s="2469"/>
      <c r="M270" s="2118" t="str">
        <f>M269</f>
        <v>x</v>
      </c>
    </row>
    <row r="271" spans="1:13" ht="15" customHeight="1" x14ac:dyDescent="0.25">
      <c r="A271" s="2469" t="str">
        <f>"                Conforme indicado, há negatoscópios que não atendem os requisitos da Instrução Normativa "&amp;'negat e monit'!$T$14&amp;" da ANVISA para diagnóstico em mamografia. Deve ser aumentada a luminância dos negatoscópios de forma uniforme em toda a sua superfície."</f>
        <v xml:space="preserve">                Conforme indicado, há negatoscópios que não atendem os requisitos da Instrução Normativa 92/2021 da ANVISA para diagnóstico em mamografia. Deve ser aumentada a luminância dos negatoscópios de forma uniforme em toda a sua superfície.</v>
      </c>
      <c r="B271" s="2469"/>
      <c r="C271" s="2469"/>
      <c r="D271" s="2469"/>
      <c r="E271" s="2469"/>
      <c r="F271" s="2469"/>
      <c r="G271" s="2469"/>
      <c r="H271" s="2469"/>
      <c r="I271" s="2469"/>
      <c r="J271" s="2469"/>
      <c r="K271" s="2469"/>
      <c r="L271" s="2469"/>
      <c r="M271" s="2118" t="str">
        <f>IF(AND($O$253&gt;0,$N$250&gt;0),"","x")</f>
        <v>x</v>
      </c>
    </row>
    <row r="272" spans="1:13" ht="15" customHeight="1" x14ac:dyDescent="0.25">
      <c r="A272" s="2469"/>
      <c r="B272" s="2469"/>
      <c r="C272" s="2469"/>
      <c r="D272" s="2469"/>
      <c r="E272" s="2469"/>
      <c r="F272" s="2469"/>
      <c r="G272" s="2469"/>
      <c r="H272" s="2469"/>
      <c r="I272" s="2469"/>
      <c r="J272" s="2469"/>
      <c r="K272" s="2469"/>
      <c r="L272" s="2469"/>
      <c r="M272" s="2118" t="str">
        <f>M271</f>
        <v>x</v>
      </c>
    </row>
    <row r="273" spans="1:13" ht="15" customHeight="1" x14ac:dyDescent="0.25">
      <c r="A273" s="2469"/>
      <c r="B273" s="2469"/>
      <c r="C273" s="2469"/>
      <c r="D273" s="2469"/>
      <c r="E273" s="2469"/>
      <c r="F273" s="2469"/>
      <c r="G273" s="2469"/>
      <c r="H273" s="2469"/>
      <c r="I273" s="2469"/>
      <c r="J273" s="2469"/>
      <c r="K273" s="2469"/>
      <c r="L273" s="2469"/>
      <c r="M273" s="2118" t="str">
        <f>M272</f>
        <v>x</v>
      </c>
    </row>
    <row r="274" spans="1:13" ht="15" customHeight="1" x14ac:dyDescent="0.25">
      <c r="A274" s="2469" t="str">
        <f>"                Os negatoscópios testados atendem os requisitos das Instruções Normativas "&amp;'negat e monit'!$T$13&amp;", "&amp;'negat e monit'!$T$15&amp;" e "&amp;'negat e monit'!T16&amp;" da ANVISA para diagnóstico em radiologia convencional, tomografia computadorizada médica e radiologia odontológica extraoral."</f>
        <v xml:space="preserve">                Os negatoscópios testados atendem os requisitos das Instruções Normativas 90/2021, 93/2021 e 94/2021 da ANVISA para diagnóstico em radiologia convencional, tomografia computadorizada médica e radiologia odontológica extraoral.</v>
      </c>
      <c r="B274" s="2469"/>
      <c r="C274" s="2469"/>
      <c r="D274" s="2469"/>
      <c r="E274" s="2469"/>
      <c r="F274" s="2469"/>
      <c r="G274" s="2469"/>
      <c r="H274" s="2469"/>
      <c r="I274" s="2469"/>
      <c r="J274" s="2469"/>
      <c r="K274" s="2469"/>
      <c r="L274" s="2469"/>
      <c r="M274" s="2118" t="str">
        <f>IF(AND($O$253&gt;0,$N$251=0),"","x")</f>
        <v>x</v>
      </c>
    </row>
    <row r="275" spans="1:13" ht="15" customHeight="1" x14ac:dyDescent="0.25">
      <c r="A275" s="2469"/>
      <c r="B275" s="2469"/>
      <c r="C275" s="2469"/>
      <c r="D275" s="2469"/>
      <c r="E275" s="2469"/>
      <c r="F275" s="2469"/>
      <c r="G275" s="2469"/>
      <c r="H275" s="2469"/>
      <c r="I275" s="2469"/>
      <c r="J275" s="2469"/>
      <c r="K275" s="2469"/>
      <c r="L275" s="2469"/>
      <c r="M275" s="2118" t="str">
        <f>M274</f>
        <v>x</v>
      </c>
    </row>
    <row r="276" spans="1:13" ht="15" customHeight="1" x14ac:dyDescent="0.25">
      <c r="A276" s="2469"/>
      <c r="B276" s="2469"/>
      <c r="C276" s="2469"/>
      <c r="D276" s="2469"/>
      <c r="E276" s="2469"/>
      <c r="F276" s="2469"/>
      <c r="G276" s="2469"/>
      <c r="H276" s="2469"/>
      <c r="I276" s="2469"/>
      <c r="J276" s="2469"/>
      <c r="K276" s="2469"/>
      <c r="L276" s="2469"/>
      <c r="M276" s="2118" t="str">
        <f>M275</f>
        <v>x</v>
      </c>
    </row>
    <row r="277" spans="1:13" ht="15" customHeight="1" x14ac:dyDescent="0.25">
      <c r="A277" s="2469"/>
      <c r="B277" s="2469"/>
      <c r="C277" s="2469"/>
      <c r="D277" s="2469"/>
      <c r="E277" s="2469"/>
      <c r="F277" s="2469"/>
      <c r="G277" s="2469"/>
      <c r="H277" s="2469"/>
      <c r="I277" s="2469"/>
      <c r="J277" s="2469"/>
      <c r="K277" s="2469"/>
      <c r="L277" s="2469"/>
      <c r="M277" s="2118" t="str">
        <f>M276</f>
        <v>x</v>
      </c>
    </row>
    <row r="278" spans="1:13" ht="15" customHeight="1" x14ac:dyDescent="0.25">
      <c r="A278" s="2469" t="str">
        <f>"                Os negatoscópios testados atendem os requisitos da Instrução Normativa "&amp;'negat e monit'!$T$14&amp;" da ANVISA para diagnóstico em mamografia."</f>
        <v xml:space="preserve">                Os negatoscópios testados atendem os requisitos da Instrução Normativa 92/2021 da ANVISA para diagnóstico em mamografia.</v>
      </c>
      <c r="B278" s="2469"/>
      <c r="C278" s="2469"/>
      <c r="D278" s="2469"/>
      <c r="E278" s="2469"/>
      <c r="F278" s="2469"/>
      <c r="G278" s="2469"/>
      <c r="H278" s="2469"/>
      <c r="I278" s="2469"/>
      <c r="J278" s="2469"/>
      <c r="K278" s="2469"/>
      <c r="L278" s="2469"/>
      <c r="M278" s="2118" t="str">
        <f>IF(AND($O$253&gt;0,$N$250=0),"","x")</f>
        <v>x</v>
      </c>
    </row>
    <row r="279" spans="1:13" ht="15" customHeight="1" x14ac:dyDescent="0.25">
      <c r="A279" s="2469"/>
      <c r="B279" s="2469"/>
      <c r="C279" s="2469"/>
      <c r="D279" s="2469"/>
      <c r="E279" s="2469"/>
      <c r="F279" s="2469"/>
      <c r="G279" s="2469"/>
      <c r="H279" s="2469"/>
      <c r="I279" s="2469"/>
      <c r="J279" s="2469"/>
      <c r="K279" s="2469"/>
      <c r="L279" s="2469"/>
      <c r="M279" s="2118" t="str">
        <f>M278</f>
        <v>x</v>
      </c>
    </row>
    <row r="280" spans="1:13" ht="15" customHeight="1" x14ac:dyDescent="0.25">
      <c r="A280" s="2469"/>
      <c r="B280" s="2469"/>
      <c r="C280" s="2469"/>
      <c r="D280" s="2469"/>
      <c r="E280" s="2469"/>
      <c r="F280" s="2469"/>
      <c r="G280" s="2469"/>
      <c r="H280" s="2469"/>
      <c r="I280" s="2469"/>
      <c r="J280" s="2469"/>
      <c r="K280" s="2469"/>
      <c r="L280" s="2469"/>
      <c r="M280" s="2118" t="str">
        <f>M279</f>
        <v>x</v>
      </c>
    </row>
    <row r="281" spans="1:13" ht="15" customHeight="1" x14ac:dyDescent="0.25">
      <c r="A281" s="2111"/>
      <c r="B281" s="2111"/>
      <c r="C281" s="2111"/>
      <c r="D281" s="2111"/>
      <c r="E281" s="2111"/>
      <c r="F281" s="2111"/>
      <c r="G281" s="2111"/>
      <c r="H281" s="2111"/>
      <c r="I281" s="2111"/>
      <c r="J281" s="2111"/>
      <c r="K281" s="2111"/>
      <c r="L281" s="2111"/>
      <c r="M281" s="2118" t="str">
        <f>M282</f>
        <v>x</v>
      </c>
    </row>
    <row r="282" spans="1:13" ht="15" customHeight="1" x14ac:dyDescent="0.25">
      <c r="A282" s="2184" t="s">
        <v>631</v>
      </c>
      <c r="B282" s="2111"/>
      <c r="C282" s="2111"/>
      <c r="D282" s="2111"/>
      <c r="E282" s="2111"/>
      <c r="F282" s="2111"/>
      <c r="G282" s="2111"/>
      <c r="H282" s="2111"/>
      <c r="I282" s="2111"/>
      <c r="J282" s="2111"/>
      <c r="K282" s="2111"/>
      <c r="L282" s="2111"/>
      <c r="M282" s="2118" t="str">
        <f>IF(O254=0,"x","")</f>
        <v>x</v>
      </c>
    </row>
    <row r="283" spans="1:13" ht="15" customHeight="1" x14ac:dyDescent="0.25">
      <c r="A283" s="2469" t="str">
        <f>"                Conforme indicado, há monitores que não atendem os requisitos das Instruções Normativas "&amp;'negat e monit'!$T$13&amp;", "&amp;'negat e monit'!$T$15&amp;" e "&amp;'negat e monit'!T16&amp;" da ANVISA para diagnóstico em radiologia convencional, tomografia computadorizada médica e radiologia odontológica extraoral. Deve ser aumentada a luminância dos monitores de forma uniforme em toda a sua superfície."</f>
        <v xml:space="preserve">                Conforme indicado, há monitores que não atendem os requisitos das Instruções Normativas 90/2021, 93/2021 e 94/2021 da ANVISA para diagnóstico em radiologia convencional, tomografia computadorizada médica e radiologia odontológica extraoral. Deve ser aumentada a luminância dos monitores de forma uniforme em toda a sua superfície.</v>
      </c>
      <c r="B283" s="2469"/>
      <c r="C283" s="2469"/>
      <c r="D283" s="2469"/>
      <c r="E283" s="2469"/>
      <c r="F283" s="2469"/>
      <c r="G283" s="2469"/>
      <c r="H283" s="2469"/>
      <c r="I283" s="2469"/>
      <c r="J283" s="2469"/>
      <c r="K283" s="2469"/>
      <c r="L283" s="2469"/>
      <c r="M283" s="2118" t="str">
        <f>IF(AND($O$254&gt;0,$O$251&gt;0),"","x")</f>
        <v>x</v>
      </c>
    </row>
    <row r="284" spans="1:13" ht="15" customHeight="1" x14ac:dyDescent="0.25">
      <c r="A284" s="2469"/>
      <c r="B284" s="2469"/>
      <c r="C284" s="2469"/>
      <c r="D284" s="2469"/>
      <c r="E284" s="2469"/>
      <c r="F284" s="2469"/>
      <c r="G284" s="2469"/>
      <c r="H284" s="2469"/>
      <c r="I284" s="2469"/>
      <c r="J284" s="2469"/>
      <c r="K284" s="2469"/>
      <c r="L284" s="2469"/>
      <c r="M284" s="2118" t="str">
        <f>M283</f>
        <v>x</v>
      </c>
    </row>
    <row r="285" spans="1:13" ht="15" customHeight="1" x14ac:dyDescent="0.25">
      <c r="A285" s="2469"/>
      <c r="B285" s="2469"/>
      <c r="C285" s="2469"/>
      <c r="D285" s="2469"/>
      <c r="E285" s="2469"/>
      <c r="F285" s="2469"/>
      <c r="G285" s="2469"/>
      <c r="H285" s="2469"/>
      <c r="I285" s="2469"/>
      <c r="J285" s="2469"/>
      <c r="K285" s="2469"/>
      <c r="L285" s="2469"/>
      <c r="M285" s="2118" t="str">
        <f>M284</f>
        <v>x</v>
      </c>
    </row>
    <row r="286" spans="1:13" ht="15" customHeight="1" x14ac:dyDescent="0.25">
      <c r="A286" s="2469"/>
      <c r="B286" s="2469"/>
      <c r="C286" s="2469"/>
      <c r="D286" s="2469"/>
      <c r="E286" s="2469"/>
      <c r="F286" s="2469"/>
      <c r="G286" s="2469"/>
      <c r="H286" s="2469"/>
      <c r="I286" s="2469"/>
      <c r="J286" s="2469"/>
      <c r="K286" s="2469"/>
      <c r="L286" s="2469"/>
      <c r="M286" s="2118" t="str">
        <f>M285</f>
        <v>x</v>
      </c>
    </row>
    <row r="287" spans="1:13" ht="15" customHeight="1" x14ac:dyDescent="0.25">
      <c r="A287" s="2469" t="str">
        <f>"                Conforme indicado, há monitores que não atendem os requisitos da Instrução Normativa "&amp;'negat e monit'!$T$14&amp;" da ANVISA para diagnóstico em mamografia. Deve ser aumentada a luminância dos monitores de forma uniforme em toda a sua superfície."</f>
        <v xml:space="preserve">                Conforme indicado, há monitores que não atendem os requisitos da Instrução Normativa 92/2021 da ANVISA para diagnóstico em mamografia. Deve ser aumentada a luminância dos monitores de forma uniforme em toda a sua superfície.</v>
      </c>
      <c r="B287" s="2469"/>
      <c r="C287" s="2469"/>
      <c r="D287" s="2469"/>
      <c r="E287" s="2469"/>
      <c r="F287" s="2469"/>
      <c r="G287" s="2469"/>
      <c r="H287" s="2469"/>
      <c r="I287" s="2469"/>
      <c r="J287" s="2469"/>
      <c r="K287" s="2469"/>
      <c r="L287" s="2469"/>
      <c r="M287" s="2118" t="str">
        <f>IF(AND($O$254&gt;0,$O$250&gt;0),"","x")</f>
        <v>x</v>
      </c>
    </row>
    <row r="288" spans="1:13" ht="15" customHeight="1" x14ac:dyDescent="0.25">
      <c r="A288" s="2469"/>
      <c r="B288" s="2469"/>
      <c r="C288" s="2469"/>
      <c r="D288" s="2469"/>
      <c r="E288" s="2469"/>
      <c r="F288" s="2469"/>
      <c r="G288" s="2469"/>
      <c r="H288" s="2469"/>
      <c r="I288" s="2469"/>
      <c r="J288" s="2469"/>
      <c r="K288" s="2469"/>
      <c r="L288" s="2469"/>
      <c r="M288" s="2118" t="str">
        <f>M287</f>
        <v>x</v>
      </c>
    </row>
    <row r="289" spans="1:13" ht="15" customHeight="1" x14ac:dyDescent="0.25">
      <c r="A289" s="2469"/>
      <c r="B289" s="2469"/>
      <c r="C289" s="2469"/>
      <c r="D289" s="2469"/>
      <c r="E289" s="2469"/>
      <c r="F289" s="2469"/>
      <c r="G289" s="2469"/>
      <c r="H289" s="2469"/>
      <c r="I289" s="2469"/>
      <c r="J289" s="2469"/>
      <c r="K289" s="2469"/>
      <c r="L289" s="2469"/>
      <c r="M289" s="2118" t="str">
        <f>M288</f>
        <v>x</v>
      </c>
    </row>
    <row r="290" spans="1:13" ht="15" customHeight="1" x14ac:dyDescent="0.25">
      <c r="A290" s="2469" t="str">
        <f>"                Os monitores testados atendem os requisitos das Instruções Normativas "&amp;'negat e monit'!$T$13&amp;", "&amp;'negat e monit'!$T$15&amp;" e "&amp;'negat e monit'!T16&amp;" da ANVISA para diagnóstico em radiologia convencional, tomografia computadorizada médica e radiologia odontológica extraoral."</f>
        <v xml:space="preserve">                Os monitores testados atendem os requisitos das Instruções Normativas 90/2021, 93/2021 e 94/2021 da ANVISA para diagnóstico em radiologia convencional, tomografia computadorizada médica e radiologia odontológica extraoral.</v>
      </c>
      <c r="B290" s="2469"/>
      <c r="C290" s="2469"/>
      <c r="D290" s="2469"/>
      <c r="E290" s="2469"/>
      <c r="F290" s="2469"/>
      <c r="G290" s="2469"/>
      <c r="H290" s="2469"/>
      <c r="I290" s="2469"/>
      <c r="J290" s="2469"/>
      <c r="K290" s="2469"/>
      <c r="L290" s="2469"/>
      <c r="M290" s="2118" t="str">
        <f>IF(AND($O$254&gt;0,$O$251=0),"","x")</f>
        <v>x</v>
      </c>
    </row>
    <row r="291" spans="1:13" ht="15" customHeight="1" x14ac:dyDescent="0.25">
      <c r="A291" s="2469"/>
      <c r="B291" s="2469"/>
      <c r="C291" s="2469"/>
      <c r="D291" s="2469"/>
      <c r="E291" s="2469"/>
      <c r="F291" s="2469"/>
      <c r="G291" s="2469"/>
      <c r="H291" s="2469"/>
      <c r="I291" s="2469"/>
      <c r="J291" s="2469"/>
      <c r="K291" s="2469"/>
      <c r="L291" s="2469"/>
      <c r="M291" s="2118" t="str">
        <f>M290</f>
        <v>x</v>
      </c>
    </row>
    <row r="292" spans="1:13" ht="15" customHeight="1" x14ac:dyDescent="0.25">
      <c r="A292" s="2469"/>
      <c r="B292" s="2469"/>
      <c r="C292" s="2469"/>
      <c r="D292" s="2469"/>
      <c r="E292" s="2469"/>
      <c r="F292" s="2469"/>
      <c r="G292" s="2469"/>
      <c r="H292" s="2469"/>
      <c r="I292" s="2469"/>
      <c r="J292" s="2469"/>
      <c r="K292" s="2469"/>
      <c r="L292" s="2469"/>
      <c r="M292" s="2118" t="str">
        <f>M291</f>
        <v>x</v>
      </c>
    </row>
    <row r="293" spans="1:13" ht="15" customHeight="1" x14ac:dyDescent="0.25">
      <c r="A293" s="2469"/>
      <c r="B293" s="2469"/>
      <c r="C293" s="2469"/>
      <c r="D293" s="2469"/>
      <c r="E293" s="2469"/>
      <c r="F293" s="2469"/>
      <c r="G293" s="2469"/>
      <c r="H293" s="2469"/>
      <c r="I293" s="2469"/>
      <c r="J293" s="2469"/>
      <c r="K293" s="2469"/>
      <c r="L293" s="2469"/>
      <c r="M293" s="2118" t="str">
        <f>M292</f>
        <v>x</v>
      </c>
    </row>
    <row r="294" spans="1:13" ht="15" customHeight="1" x14ac:dyDescent="0.25">
      <c r="A294" s="2469" t="str">
        <f>"                Os monitores testados atendem os requisitos da Instrução Normativa "&amp;'negat e monit'!$T$14&amp;" da ANVISA para diagnóstico em mamografia."</f>
        <v xml:space="preserve">                Os monitores testados atendem os requisitos da Instrução Normativa 92/2021 da ANVISA para diagnóstico em mamografia.</v>
      </c>
      <c r="B294" s="2469"/>
      <c r="C294" s="2469"/>
      <c r="D294" s="2469"/>
      <c r="E294" s="2469"/>
      <c r="F294" s="2469"/>
      <c r="G294" s="2469"/>
      <c r="H294" s="2469"/>
      <c r="I294" s="2469"/>
      <c r="J294" s="2469"/>
      <c r="K294" s="2469"/>
      <c r="L294" s="2469"/>
      <c r="M294" s="2118" t="str">
        <f>IF(AND($O$254&gt;0,$O$250=0),"","x")</f>
        <v>x</v>
      </c>
    </row>
    <row r="295" spans="1:13" ht="15" customHeight="1" x14ac:dyDescent="0.25">
      <c r="A295" s="2469"/>
      <c r="B295" s="2469"/>
      <c r="C295" s="2469"/>
      <c r="D295" s="2469"/>
      <c r="E295" s="2469"/>
      <c r="F295" s="2469"/>
      <c r="G295" s="2469"/>
      <c r="H295" s="2469"/>
      <c r="I295" s="2469"/>
      <c r="J295" s="2469"/>
      <c r="K295" s="2469"/>
      <c r="L295" s="2469"/>
      <c r="M295" s="2118" t="str">
        <f>M294</f>
        <v>x</v>
      </c>
    </row>
    <row r="296" spans="1:13" ht="15" customHeight="1" x14ac:dyDescent="0.25">
      <c r="A296" s="2469"/>
      <c r="B296" s="2469"/>
      <c r="C296" s="2469"/>
      <c r="D296" s="2469"/>
      <c r="E296" s="2469"/>
      <c r="F296" s="2469"/>
      <c r="G296" s="2469"/>
      <c r="H296" s="2469"/>
      <c r="I296" s="2469"/>
      <c r="J296" s="2469"/>
      <c r="K296" s="2469"/>
      <c r="L296" s="2469"/>
      <c r="M296" s="2118" t="str">
        <f>M295</f>
        <v>x</v>
      </c>
    </row>
    <row r="298" spans="1:13" ht="15" customHeight="1" x14ac:dyDescent="0.25">
      <c r="A298" s="2184" t="s">
        <v>632</v>
      </c>
    </row>
    <row r="299" spans="1:13" ht="15" customHeight="1" x14ac:dyDescent="0.25">
      <c r="A299" s="2469" t="str">
        <f>"                A iluminância da sala de laudos, na Área da Tarefa dos "&amp;IF(AND(O253&gt;0,O254&gt;0),"negatoscópios e monitores",IF(O253&gt;0,"negatoscópios","monitores"))&amp;" testados, está fora de tolerância (≤ 50 lux). Para se utilizar os equipamentos para laudo e diagnóstico, devem ser adotadas medidas para reduzir a luminosidade do ambiente."</f>
        <v xml:space="preserve">                A iluminância da sala de laudos, na Área da Tarefa dos monitores testados, está fora de tolerância (≤ 50 lux). Para se utilizar os equipamentos para laudo e diagnóstico, devem ser adotadas medidas para reduzir a luminosidade do ambiente.</v>
      </c>
      <c r="B299" s="2469"/>
      <c r="C299" s="2469"/>
      <c r="D299" s="2469"/>
      <c r="E299" s="2469"/>
      <c r="F299" s="2469"/>
      <c r="G299" s="2469"/>
      <c r="H299" s="2469"/>
      <c r="I299" s="2469"/>
      <c r="J299" s="2469"/>
      <c r="K299" s="2469"/>
      <c r="L299" s="2469"/>
      <c r="M299" s="2118" t="str">
        <f>IF(O255&gt;0,"","x")</f>
        <v>x</v>
      </c>
    </row>
    <row r="300" spans="1:13" ht="15" customHeight="1" x14ac:dyDescent="0.25">
      <c r="A300" s="2469"/>
      <c r="B300" s="2469"/>
      <c r="C300" s="2469"/>
      <c r="D300" s="2469"/>
      <c r="E300" s="2469"/>
      <c r="F300" s="2469"/>
      <c r="G300" s="2469"/>
      <c r="H300" s="2469"/>
      <c r="I300" s="2469"/>
      <c r="J300" s="2469"/>
      <c r="K300" s="2469"/>
      <c r="L300" s="2469"/>
      <c r="M300" s="2118" t="str">
        <f>M299</f>
        <v>x</v>
      </c>
    </row>
    <row r="301" spans="1:13" ht="15" customHeight="1" x14ac:dyDescent="0.25">
      <c r="A301" s="2469"/>
      <c r="B301" s="2469"/>
      <c r="C301" s="2469"/>
      <c r="D301" s="2469"/>
      <c r="E301" s="2469"/>
      <c r="F301" s="2469"/>
      <c r="G301" s="2469"/>
      <c r="H301" s="2469"/>
      <c r="I301" s="2469"/>
      <c r="J301" s="2469"/>
      <c r="K301" s="2469"/>
      <c r="L301" s="2469"/>
      <c r="M301" s="2118" t="str">
        <f>M300</f>
        <v>x</v>
      </c>
    </row>
    <row r="302" spans="1:13" ht="15" customHeight="1" x14ac:dyDescent="0.25">
      <c r="A302" s="2469" t="str">
        <f>"                A iluminância da sala de laudos, na Área da Tarefa dos "&amp;IF(AND(O253&gt;0,O254&gt;0),"negatoscópios e monitores",IF(O253&gt;0,"negatoscópios","monitores"))&amp;" testados, atende os requisitos das Instruções Normativas "&amp;'negat e monit'!$T$13&amp;", "&amp;'negat e monit'!$T$14&amp;", "&amp;'negat e monit'!$T$15&amp;" e "&amp;'negat e monit'!T16&amp;" da ANVISA para diagnóstico em radiologia convencional, mamografia, tomografia computadorizada médica e radiologia odontológica extraoral."</f>
        <v xml:space="preserve">                A iluminância da sala de laudos, na Área da Tarefa dos monitores testados, atende os requisitos das Instruções Normativas 90/2021, 92/2021, 93/2021 e 94/2021 da ANVISA para diagnóstico em radiologia convencional, mamografia, tomografia computadorizada médica e radiologia odontológica extraoral.</v>
      </c>
      <c r="B302" s="2469"/>
      <c r="C302" s="2469"/>
      <c r="D302" s="2469"/>
      <c r="E302" s="2469"/>
      <c r="F302" s="2469"/>
      <c r="G302" s="2469"/>
      <c r="H302" s="2469"/>
      <c r="I302" s="2469"/>
      <c r="J302" s="2469"/>
      <c r="K302" s="2469"/>
      <c r="L302" s="2469"/>
      <c r="M302" s="2118" t="str">
        <f>IF(M299="","x","")</f>
        <v/>
      </c>
    </row>
    <row r="303" spans="1:13" ht="15" customHeight="1" x14ac:dyDescent="0.25">
      <c r="A303" s="2469"/>
      <c r="B303" s="2469"/>
      <c r="C303" s="2469"/>
      <c r="D303" s="2469"/>
      <c r="E303" s="2469"/>
      <c r="F303" s="2469"/>
      <c r="G303" s="2469"/>
      <c r="H303" s="2469"/>
      <c r="I303" s="2469"/>
      <c r="J303" s="2469"/>
      <c r="K303" s="2469"/>
      <c r="L303" s="2469"/>
      <c r="M303" s="2118" t="str">
        <f>M302</f>
        <v/>
      </c>
    </row>
    <row r="304" spans="1:13" ht="15" customHeight="1" x14ac:dyDescent="0.25">
      <c r="A304" s="2469"/>
      <c r="B304" s="2469"/>
      <c r="C304" s="2469"/>
      <c r="D304" s="2469"/>
      <c r="E304" s="2469"/>
      <c r="F304" s="2469"/>
      <c r="G304" s="2469"/>
      <c r="H304" s="2469"/>
      <c r="I304" s="2469"/>
      <c r="J304" s="2469"/>
      <c r="K304" s="2469"/>
      <c r="L304" s="2469"/>
      <c r="M304" s="2118" t="str">
        <f>M303</f>
        <v/>
      </c>
    </row>
    <row r="305" spans="1:13" ht="15" customHeight="1" x14ac:dyDescent="0.25">
      <c r="A305" s="2469"/>
      <c r="B305" s="2469"/>
      <c r="C305" s="2469"/>
      <c r="D305" s="2469"/>
      <c r="E305" s="2469"/>
      <c r="F305" s="2469"/>
      <c r="G305" s="2469"/>
      <c r="H305" s="2469"/>
      <c r="I305" s="2469"/>
      <c r="J305" s="2469"/>
      <c r="K305" s="2469"/>
      <c r="L305" s="2469"/>
      <c r="M305" s="2118" t="str">
        <f>M304</f>
        <v/>
      </c>
    </row>
    <row r="306" spans="1:13" ht="15" customHeight="1" x14ac:dyDescent="0.25">
      <c r="A306" s="2469"/>
      <c r="B306" s="2469"/>
      <c r="C306" s="2469"/>
      <c r="D306" s="2469"/>
      <c r="E306" s="2469"/>
      <c r="F306" s="2469"/>
      <c r="G306" s="2469"/>
      <c r="H306" s="2469"/>
      <c r="I306" s="2469"/>
      <c r="J306" s="2469"/>
      <c r="K306" s="2469"/>
      <c r="L306" s="2469"/>
      <c r="M306" s="2118" t="str">
        <f>M305</f>
        <v/>
      </c>
    </row>
    <row r="307" spans="1:13" ht="15" customHeight="1" x14ac:dyDescent="0.25">
      <c r="M307" s="2118" t="str">
        <f>M308</f>
        <v>x</v>
      </c>
    </row>
    <row r="308" spans="1:13" ht="15" customHeight="1" x14ac:dyDescent="0.25">
      <c r="A308" s="2476" t="str">
        <f>RESTRICAO&amp;" O equipamento pode ser utilizado em outros serviços de radiologia diagnóstica ou intervencionista."</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 O equipamento pode ser utilizado em outros serviços de radiologia diagnóstica ou intervencionista.</v>
      </c>
      <c r="B308" s="2476"/>
      <c r="C308" s="2476"/>
      <c r="D308" s="2476"/>
      <c r="E308" s="2476"/>
      <c r="F308" s="2476"/>
      <c r="G308" s="2476"/>
      <c r="H308" s="2476"/>
      <c r="I308" s="2476"/>
      <c r="J308" s="2476"/>
      <c r="K308" s="2476"/>
      <c r="L308" s="2476"/>
      <c r="M308" s="2118" t="str">
        <f>IF(O252&gt;0,"","x")</f>
        <v>x</v>
      </c>
    </row>
    <row r="309" spans="1:13" ht="15" customHeight="1" x14ac:dyDescent="0.25">
      <c r="A309" s="2476"/>
      <c r="B309" s="2476"/>
      <c r="C309" s="2476"/>
      <c r="D309" s="2476"/>
      <c r="E309" s="2476"/>
      <c r="F309" s="2476"/>
      <c r="G309" s="2476"/>
      <c r="H309" s="2476"/>
      <c r="I309" s="2476"/>
      <c r="J309" s="2476"/>
      <c r="K309" s="2476"/>
      <c r="L309" s="2476"/>
      <c r="M309" s="2118" t="str">
        <f>M308</f>
        <v>x</v>
      </c>
    </row>
    <row r="310" spans="1:13" ht="15" customHeight="1" x14ac:dyDescent="0.25">
      <c r="A310" s="2476"/>
      <c r="B310" s="2476"/>
      <c r="C310" s="2476"/>
      <c r="D310" s="2476"/>
      <c r="E310" s="2476"/>
      <c r="F310" s="2476"/>
      <c r="G310" s="2476"/>
      <c r="H310" s="2476"/>
      <c r="I310" s="2476"/>
      <c r="J310" s="2476"/>
      <c r="K310" s="2476"/>
      <c r="L310" s="2476"/>
      <c r="M310" s="2118" t="str">
        <f>M309</f>
        <v>x</v>
      </c>
    </row>
    <row r="311" spans="1:13" ht="15" customHeight="1" x14ac:dyDescent="0.25">
      <c r="A311" s="2476"/>
      <c r="B311" s="2476"/>
      <c r="C311" s="2476"/>
      <c r="D311" s="2476"/>
      <c r="E311" s="2476"/>
      <c r="F311" s="2476"/>
      <c r="G311" s="2476"/>
      <c r="H311" s="2476"/>
      <c r="I311" s="2476"/>
      <c r="J311" s="2476"/>
      <c r="K311" s="2476"/>
      <c r="L311" s="2476"/>
      <c r="M311" s="2118" t="str">
        <f>M310</f>
        <v>x</v>
      </c>
    </row>
    <row r="312" spans="1:13" ht="17.100000000000001" customHeight="1" x14ac:dyDescent="0.25">
      <c r="A312" s="2476"/>
      <c r="B312" s="2476"/>
      <c r="C312" s="2476"/>
      <c r="D312" s="2476"/>
      <c r="E312" s="2476"/>
      <c r="F312" s="2476"/>
      <c r="G312" s="2476"/>
      <c r="H312" s="2476"/>
      <c r="I312" s="2476"/>
      <c r="J312" s="2476"/>
      <c r="K312" s="2476"/>
      <c r="L312" s="2476"/>
      <c r="M312" s="2118" t="str">
        <f>M311</f>
        <v>x</v>
      </c>
    </row>
    <row r="313" spans="1:13" ht="15" customHeight="1" x14ac:dyDescent="0.25">
      <c r="A313" s="2476"/>
      <c r="B313" s="2476"/>
      <c r="C313" s="2476"/>
      <c r="D313" s="2476"/>
      <c r="E313" s="2476"/>
      <c r="F313" s="2476"/>
      <c r="G313" s="2476"/>
      <c r="H313" s="2476"/>
      <c r="I313" s="2476"/>
      <c r="J313" s="2476"/>
      <c r="K313" s="2476"/>
      <c r="L313" s="2476"/>
      <c r="M313" s="2118" t="str">
        <f>M312</f>
        <v>x</v>
      </c>
    </row>
  </sheetData>
  <sheetProtection selectLockedCells="1" autoFilter="0"/>
  <autoFilter ref="M1:M314"/>
  <mergeCells count="184">
    <mergeCell ref="C9:L10"/>
    <mergeCell ref="C67:F67"/>
    <mergeCell ref="A48:B48"/>
    <mergeCell ref="A50:B50"/>
    <mergeCell ref="A51:B51"/>
    <mergeCell ref="A52:B52"/>
    <mergeCell ref="A53:B53"/>
    <mergeCell ref="A54:B54"/>
    <mergeCell ref="A47:B47"/>
    <mergeCell ref="A63:L63"/>
    <mergeCell ref="A64:B64"/>
    <mergeCell ref="A25:L26"/>
    <mergeCell ref="J45:L45"/>
    <mergeCell ref="J65:L65"/>
    <mergeCell ref="C36:L37"/>
    <mergeCell ref="C38:L38"/>
    <mergeCell ref="C39:L39"/>
    <mergeCell ref="A91:B91"/>
    <mergeCell ref="A3:L4"/>
    <mergeCell ref="K1:L1"/>
    <mergeCell ref="F1:I1"/>
    <mergeCell ref="A1:E1"/>
    <mergeCell ref="C12:L13"/>
    <mergeCell ref="C17:L17"/>
    <mergeCell ref="A21:L24"/>
    <mergeCell ref="A29:L31"/>
    <mergeCell ref="A65:B65"/>
    <mergeCell ref="A66:B66"/>
    <mergeCell ref="A67:B67"/>
    <mergeCell ref="A68:B68"/>
    <mergeCell ref="A69:B69"/>
    <mergeCell ref="A70:B70"/>
    <mergeCell ref="A49:B49"/>
    <mergeCell ref="A32:L33"/>
    <mergeCell ref="A43:L43"/>
    <mergeCell ref="A44:B44"/>
    <mergeCell ref="A45:B45"/>
    <mergeCell ref="A46:B46"/>
    <mergeCell ref="C47:F47"/>
    <mergeCell ref="A71:B71"/>
    <mergeCell ref="A6:L6"/>
    <mergeCell ref="A72:B72"/>
    <mergeCell ref="G47:J47"/>
    <mergeCell ref="G67:J67"/>
    <mergeCell ref="A103:L103"/>
    <mergeCell ref="A104:B104"/>
    <mergeCell ref="A105:B105"/>
    <mergeCell ref="A106:B106"/>
    <mergeCell ref="A107:B107"/>
    <mergeCell ref="C107:F107"/>
    <mergeCell ref="G107:J107"/>
    <mergeCell ref="A88:B88"/>
    <mergeCell ref="A92:B92"/>
    <mergeCell ref="A93:B93"/>
    <mergeCell ref="A84:B84"/>
    <mergeCell ref="A85:B85"/>
    <mergeCell ref="A86:B86"/>
    <mergeCell ref="A87:B87"/>
    <mergeCell ref="A73:B73"/>
    <mergeCell ref="A74:B74"/>
    <mergeCell ref="A83:L83"/>
    <mergeCell ref="C87:F87"/>
    <mergeCell ref="G87:J87"/>
    <mergeCell ref="A89:B89"/>
    <mergeCell ref="A90:B90"/>
    <mergeCell ref="A108:B108"/>
    <mergeCell ref="A94:B94"/>
    <mergeCell ref="A124:B124"/>
    <mergeCell ref="A125:B125"/>
    <mergeCell ref="A126:B126"/>
    <mergeCell ref="A123:L123"/>
    <mergeCell ref="A112:B112"/>
    <mergeCell ref="A113:B113"/>
    <mergeCell ref="A114:B114"/>
    <mergeCell ref="A109:B109"/>
    <mergeCell ref="A110:B110"/>
    <mergeCell ref="A111:B111"/>
    <mergeCell ref="A171:B171"/>
    <mergeCell ref="A223:L223"/>
    <mergeCell ref="A127:B127"/>
    <mergeCell ref="A128:B128"/>
    <mergeCell ref="A129:B129"/>
    <mergeCell ref="A130:B130"/>
    <mergeCell ref="A131:B131"/>
    <mergeCell ref="C127:F127"/>
    <mergeCell ref="G127:J127"/>
    <mergeCell ref="A134:B134"/>
    <mergeCell ref="A147:B147"/>
    <mergeCell ref="C147:F147"/>
    <mergeCell ref="G147:J147"/>
    <mergeCell ref="G167:J167"/>
    <mergeCell ref="A168:B168"/>
    <mergeCell ref="A154:B154"/>
    <mergeCell ref="A144:B144"/>
    <mergeCell ref="A145:B145"/>
    <mergeCell ref="A146:B146"/>
    <mergeCell ref="A143:L143"/>
    <mergeCell ref="A132:B132"/>
    <mergeCell ref="A133:B133"/>
    <mergeCell ref="A148:B148"/>
    <mergeCell ref="A149:B149"/>
    <mergeCell ref="A151:B151"/>
    <mergeCell ref="A152:B152"/>
    <mergeCell ref="A153:B153"/>
    <mergeCell ref="A164:B164"/>
    <mergeCell ref="A165:B165"/>
    <mergeCell ref="A163:L163"/>
    <mergeCell ref="A166:B166"/>
    <mergeCell ref="A167:B167"/>
    <mergeCell ref="C167:F167"/>
    <mergeCell ref="A308:L313"/>
    <mergeCell ref="A302:L306"/>
    <mergeCell ref="A239:L240"/>
    <mergeCell ref="A252:L255"/>
    <mergeCell ref="A267:L270"/>
    <mergeCell ref="A271:L273"/>
    <mergeCell ref="A274:L277"/>
    <mergeCell ref="A278:L280"/>
    <mergeCell ref="A283:L286"/>
    <mergeCell ref="A287:L289"/>
    <mergeCell ref="A290:L293"/>
    <mergeCell ref="A243:L244"/>
    <mergeCell ref="A258:L262"/>
    <mergeCell ref="A245:L247"/>
    <mergeCell ref="A294:L296"/>
    <mergeCell ref="A299:L301"/>
    <mergeCell ref="A263:B263"/>
    <mergeCell ref="C263:D263"/>
    <mergeCell ref="A225:B225"/>
    <mergeCell ref="A226:B226"/>
    <mergeCell ref="A234:B234"/>
    <mergeCell ref="A248:L251"/>
    <mergeCell ref="A227:B227"/>
    <mergeCell ref="C227:F227"/>
    <mergeCell ref="A211:B211"/>
    <mergeCell ref="A228:B228"/>
    <mergeCell ref="A229:B229"/>
    <mergeCell ref="A230:B230"/>
    <mergeCell ref="A231:B231"/>
    <mergeCell ref="A232:B232"/>
    <mergeCell ref="A233:B233"/>
    <mergeCell ref="J225:L225"/>
    <mergeCell ref="A214:B214"/>
    <mergeCell ref="A224:B224"/>
    <mergeCell ref="A212:B212"/>
    <mergeCell ref="G227:J227"/>
    <mergeCell ref="A213:B213"/>
    <mergeCell ref="J85:L85"/>
    <mergeCell ref="J105:L105"/>
    <mergeCell ref="J125:L125"/>
    <mergeCell ref="J145:L145"/>
    <mergeCell ref="J165:L165"/>
    <mergeCell ref="J185:L185"/>
    <mergeCell ref="J205:L205"/>
    <mergeCell ref="A190:B190"/>
    <mergeCell ref="A191:B191"/>
    <mergeCell ref="A184:B184"/>
    <mergeCell ref="A185:B185"/>
    <mergeCell ref="A186:B186"/>
    <mergeCell ref="A173:B173"/>
    <mergeCell ref="A174:B174"/>
    <mergeCell ref="A169:B169"/>
    <mergeCell ref="A170:B170"/>
    <mergeCell ref="A183:L183"/>
    <mergeCell ref="C187:F187"/>
    <mergeCell ref="G187:J187"/>
    <mergeCell ref="A194:B194"/>
    <mergeCell ref="A172:B172"/>
    <mergeCell ref="A203:L203"/>
    <mergeCell ref="A204:B204"/>
    <mergeCell ref="A150:B150"/>
    <mergeCell ref="C207:F207"/>
    <mergeCell ref="G207:J207"/>
    <mergeCell ref="A209:B209"/>
    <mergeCell ref="A210:B210"/>
    <mergeCell ref="A206:B206"/>
    <mergeCell ref="A192:B192"/>
    <mergeCell ref="A193:B193"/>
    <mergeCell ref="A187:B187"/>
    <mergeCell ref="A188:B188"/>
    <mergeCell ref="A189:B189"/>
    <mergeCell ref="A207:B207"/>
    <mergeCell ref="A208:B208"/>
    <mergeCell ref="A205:B205"/>
  </mergeCells>
  <conditionalFormatting sqref="C50:L50">
    <cfRule type="cellIs" dxfId="217" priority="234" operator="equal">
      <formula>"não"</formula>
    </cfRule>
  </conditionalFormatting>
  <conditionalFormatting sqref="C50:L50">
    <cfRule type="containsText" dxfId="216" priority="233" operator="containsText" text="não">
      <formula>NOT(ISERROR(SEARCH("não",C50)))</formula>
    </cfRule>
  </conditionalFormatting>
  <conditionalFormatting sqref="C51:L51">
    <cfRule type="cellIs" dxfId="215" priority="232" operator="equal">
      <formula>"não"</formula>
    </cfRule>
  </conditionalFormatting>
  <conditionalFormatting sqref="C51:L51">
    <cfRule type="containsText" dxfId="214" priority="231" operator="containsText" text="não">
      <formula>NOT(ISERROR(SEARCH("não",C51)))</formula>
    </cfRule>
  </conditionalFormatting>
  <conditionalFormatting sqref="C53:L53">
    <cfRule type="cellIs" dxfId="213" priority="230" operator="equal">
      <formula>"não"</formula>
    </cfRule>
  </conditionalFormatting>
  <conditionalFormatting sqref="C53:L53">
    <cfRule type="containsText" dxfId="212" priority="229" operator="containsText" text="não">
      <formula>NOT(ISERROR(SEARCH("não",C53)))</formula>
    </cfRule>
  </conditionalFormatting>
  <conditionalFormatting sqref="C54:L54">
    <cfRule type="cellIs" dxfId="211" priority="228" operator="equal">
      <formula>"não"</formula>
    </cfRule>
  </conditionalFormatting>
  <conditionalFormatting sqref="C54:L54">
    <cfRule type="containsText" dxfId="210" priority="227" operator="containsText" text="não">
      <formula>NOT(ISERROR(SEARCH("não",C54)))</formula>
    </cfRule>
  </conditionalFormatting>
  <conditionalFormatting sqref="C48:L54">
    <cfRule type="cellIs" dxfId="209" priority="145" operator="equal">
      <formula>"Restrição"</formula>
    </cfRule>
    <cfRule type="notContainsErrors" dxfId="208" priority="235">
      <formula>NOT(ISERROR(C48))</formula>
    </cfRule>
  </conditionalFormatting>
  <conditionalFormatting sqref="C73:L73">
    <cfRule type="cellIs" dxfId="207" priority="139" operator="equal">
      <formula>"não"</formula>
    </cfRule>
  </conditionalFormatting>
  <conditionalFormatting sqref="C73:L73">
    <cfRule type="containsText" dxfId="206" priority="138" operator="containsText" text="não">
      <formula>NOT(ISERROR(SEARCH("não",C73)))</formula>
    </cfRule>
  </conditionalFormatting>
  <conditionalFormatting sqref="C74:L74">
    <cfRule type="cellIs" dxfId="205" priority="137" operator="equal">
      <formula>"não"</formula>
    </cfRule>
  </conditionalFormatting>
  <conditionalFormatting sqref="C74:L74">
    <cfRule type="containsText" dxfId="204" priority="136" operator="containsText" text="não">
      <formula>NOT(ISERROR(SEARCH("não",C74)))</formula>
    </cfRule>
  </conditionalFormatting>
  <conditionalFormatting sqref="C68:L69 C72:L74">
    <cfRule type="cellIs" dxfId="203" priority="135" operator="equal">
      <formula>"Restrição"</formula>
    </cfRule>
    <cfRule type="notContainsErrors" dxfId="202" priority="144">
      <formula>NOT(ISERROR(C68))</formula>
    </cfRule>
  </conditionalFormatting>
  <conditionalFormatting sqref="C93:L93">
    <cfRule type="cellIs" dxfId="201" priority="129" operator="equal">
      <formula>"não"</formula>
    </cfRule>
  </conditionalFormatting>
  <conditionalFormatting sqref="C93:L93">
    <cfRule type="containsText" dxfId="200" priority="128" operator="containsText" text="não">
      <formula>NOT(ISERROR(SEARCH("não",C93)))</formula>
    </cfRule>
  </conditionalFormatting>
  <conditionalFormatting sqref="C94:L94">
    <cfRule type="cellIs" dxfId="199" priority="127" operator="equal">
      <formula>"não"</formula>
    </cfRule>
  </conditionalFormatting>
  <conditionalFormatting sqref="C94:L94">
    <cfRule type="containsText" dxfId="198" priority="126" operator="containsText" text="não">
      <formula>NOT(ISERROR(SEARCH("não",C94)))</formula>
    </cfRule>
  </conditionalFormatting>
  <conditionalFormatting sqref="C88:L89 C92:L94">
    <cfRule type="cellIs" dxfId="197" priority="125" operator="equal">
      <formula>"Restrição"</formula>
    </cfRule>
    <cfRule type="notContainsErrors" dxfId="196" priority="134">
      <formula>NOT(ISERROR(C88))</formula>
    </cfRule>
  </conditionalFormatting>
  <conditionalFormatting sqref="C113:L113">
    <cfRule type="cellIs" dxfId="195" priority="119" operator="equal">
      <formula>"não"</formula>
    </cfRule>
  </conditionalFormatting>
  <conditionalFormatting sqref="C113:L113">
    <cfRule type="containsText" dxfId="194" priority="118" operator="containsText" text="não">
      <formula>NOT(ISERROR(SEARCH("não",C113)))</formula>
    </cfRule>
  </conditionalFormatting>
  <conditionalFormatting sqref="C114:L114">
    <cfRule type="cellIs" dxfId="193" priority="117" operator="equal">
      <formula>"não"</formula>
    </cfRule>
  </conditionalFormatting>
  <conditionalFormatting sqref="C114:L114">
    <cfRule type="containsText" dxfId="192" priority="116" operator="containsText" text="não">
      <formula>NOT(ISERROR(SEARCH("não",C114)))</formula>
    </cfRule>
  </conditionalFormatting>
  <conditionalFormatting sqref="C108:L109 C112:L114">
    <cfRule type="cellIs" dxfId="191" priority="115" operator="equal">
      <formula>"Restrição"</formula>
    </cfRule>
    <cfRule type="notContainsErrors" dxfId="190" priority="124">
      <formula>NOT(ISERROR(C108))</formula>
    </cfRule>
  </conditionalFormatting>
  <conditionalFormatting sqref="C133:L133">
    <cfRule type="cellIs" dxfId="189" priority="109" operator="equal">
      <formula>"não"</formula>
    </cfRule>
  </conditionalFormatting>
  <conditionalFormatting sqref="C133:L133">
    <cfRule type="containsText" dxfId="188" priority="108" operator="containsText" text="não">
      <formula>NOT(ISERROR(SEARCH("não",C133)))</formula>
    </cfRule>
  </conditionalFormatting>
  <conditionalFormatting sqref="C134:L134">
    <cfRule type="cellIs" dxfId="187" priority="107" operator="equal">
      <formula>"não"</formula>
    </cfRule>
  </conditionalFormatting>
  <conditionalFormatting sqref="C134:L134">
    <cfRule type="containsText" dxfId="186" priority="106" operator="containsText" text="não">
      <formula>NOT(ISERROR(SEARCH("não",C134)))</formula>
    </cfRule>
  </conditionalFormatting>
  <conditionalFormatting sqref="C128:L129 C132:L134">
    <cfRule type="cellIs" dxfId="185" priority="105" operator="equal">
      <formula>"Restrição"</formula>
    </cfRule>
    <cfRule type="notContainsErrors" dxfId="184" priority="114">
      <formula>NOT(ISERROR(C128))</formula>
    </cfRule>
  </conditionalFormatting>
  <conditionalFormatting sqref="C153:L153">
    <cfRule type="cellIs" dxfId="183" priority="99" operator="equal">
      <formula>"não"</formula>
    </cfRule>
  </conditionalFormatting>
  <conditionalFormatting sqref="C153:L153">
    <cfRule type="containsText" dxfId="182" priority="98" operator="containsText" text="não">
      <formula>NOT(ISERROR(SEARCH("não",C153)))</formula>
    </cfRule>
  </conditionalFormatting>
  <conditionalFormatting sqref="C154:L154">
    <cfRule type="cellIs" dxfId="181" priority="97" operator="equal">
      <formula>"não"</formula>
    </cfRule>
  </conditionalFormatting>
  <conditionalFormatting sqref="C154:L154">
    <cfRule type="containsText" dxfId="180" priority="96" operator="containsText" text="não">
      <formula>NOT(ISERROR(SEARCH("não",C154)))</formula>
    </cfRule>
  </conditionalFormatting>
  <conditionalFormatting sqref="C148:L149 C152:L154">
    <cfRule type="cellIs" dxfId="179" priority="95" operator="equal">
      <formula>"Restrição"</formula>
    </cfRule>
    <cfRule type="notContainsErrors" dxfId="178" priority="104">
      <formula>NOT(ISERROR(C148))</formula>
    </cfRule>
  </conditionalFormatting>
  <conditionalFormatting sqref="C173:L173">
    <cfRule type="cellIs" dxfId="177" priority="89" operator="equal">
      <formula>"não"</formula>
    </cfRule>
  </conditionalFormatting>
  <conditionalFormatting sqref="C173:L173">
    <cfRule type="containsText" dxfId="176" priority="88" operator="containsText" text="não">
      <formula>NOT(ISERROR(SEARCH("não",C173)))</formula>
    </cfRule>
  </conditionalFormatting>
  <conditionalFormatting sqref="C174:L174">
    <cfRule type="cellIs" dxfId="175" priority="87" operator="equal">
      <formula>"não"</formula>
    </cfRule>
  </conditionalFormatting>
  <conditionalFormatting sqref="C174:L174">
    <cfRule type="containsText" dxfId="174" priority="86" operator="containsText" text="não">
      <formula>NOT(ISERROR(SEARCH("não",C174)))</formula>
    </cfRule>
  </conditionalFormatting>
  <conditionalFormatting sqref="C168:L169 C172:L174">
    <cfRule type="cellIs" dxfId="173" priority="85" operator="equal">
      <formula>"Restrição"</formula>
    </cfRule>
    <cfRule type="notContainsErrors" dxfId="172" priority="94">
      <formula>NOT(ISERROR(C168))</formula>
    </cfRule>
  </conditionalFormatting>
  <conditionalFormatting sqref="C193:L193">
    <cfRule type="cellIs" dxfId="171" priority="79" operator="equal">
      <formula>"não"</formula>
    </cfRule>
  </conditionalFormatting>
  <conditionalFormatting sqref="C193:L193">
    <cfRule type="containsText" dxfId="170" priority="78" operator="containsText" text="não">
      <formula>NOT(ISERROR(SEARCH("não",C193)))</formula>
    </cfRule>
  </conditionalFormatting>
  <conditionalFormatting sqref="C194:L194">
    <cfRule type="cellIs" dxfId="169" priority="77" operator="equal">
      <formula>"não"</formula>
    </cfRule>
  </conditionalFormatting>
  <conditionalFormatting sqref="C194:L194">
    <cfRule type="containsText" dxfId="168" priority="76" operator="containsText" text="não">
      <formula>NOT(ISERROR(SEARCH("não",C194)))</formula>
    </cfRule>
  </conditionalFormatting>
  <conditionalFormatting sqref="C188:L189 C192:L194">
    <cfRule type="cellIs" dxfId="167" priority="75" operator="equal">
      <formula>"Restrição"</formula>
    </cfRule>
    <cfRule type="notContainsErrors" dxfId="166" priority="84">
      <formula>NOT(ISERROR(C188))</formula>
    </cfRule>
  </conditionalFormatting>
  <conditionalFormatting sqref="C213:L213">
    <cfRule type="cellIs" dxfId="165" priority="69" operator="equal">
      <formula>"não"</formula>
    </cfRule>
  </conditionalFormatting>
  <conditionalFormatting sqref="C213:L213">
    <cfRule type="containsText" dxfId="164" priority="68" operator="containsText" text="não">
      <formula>NOT(ISERROR(SEARCH("não",C213)))</formula>
    </cfRule>
  </conditionalFormatting>
  <conditionalFormatting sqref="C214:L214">
    <cfRule type="cellIs" dxfId="163" priority="67" operator="equal">
      <formula>"não"</formula>
    </cfRule>
  </conditionalFormatting>
  <conditionalFormatting sqref="C214:L214">
    <cfRule type="containsText" dxfId="162" priority="66" operator="containsText" text="não">
      <formula>NOT(ISERROR(SEARCH("não",C214)))</formula>
    </cfRule>
  </conditionalFormatting>
  <conditionalFormatting sqref="C208:L209 C212:L214">
    <cfRule type="cellIs" dxfId="161" priority="65" operator="equal">
      <formula>"Restrição"</formula>
    </cfRule>
    <cfRule type="notContainsErrors" dxfId="160" priority="74">
      <formula>NOT(ISERROR(C208))</formula>
    </cfRule>
  </conditionalFormatting>
  <conditionalFormatting sqref="C233:L233">
    <cfRule type="cellIs" dxfId="159" priority="59" operator="equal">
      <formula>"não"</formula>
    </cfRule>
  </conditionalFormatting>
  <conditionalFormatting sqref="C233:L233">
    <cfRule type="containsText" dxfId="158" priority="58" operator="containsText" text="não">
      <formula>NOT(ISERROR(SEARCH("não",C233)))</formula>
    </cfRule>
  </conditionalFormatting>
  <conditionalFormatting sqref="C234:L234">
    <cfRule type="cellIs" dxfId="157" priority="57" operator="equal">
      <formula>"não"</formula>
    </cfRule>
  </conditionalFormatting>
  <conditionalFormatting sqref="C234:L234">
    <cfRule type="containsText" dxfId="156" priority="56" operator="containsText" text="não">
      <formula>NOT(ISERROR(SEARCH("não",C234)))</formula>
    </cfRule>
  </conditionalFormatting>
  <conditionalFormatting sqref="C228:L229 C232:L234">
    <cfRule type="cellIs" dxfId="155" priority="55" operator="equal">
      <formula>"Restrição"</formula>
    </cfRule>
    <cfRule type="notContainsErrors" dxfId="154" priority="64">
      <formula>NOT(ISERROR(C228))</formula>
    </cfRule>
  </conditionalFormatting>
  <conditionalFormatting sqref="C70:L70">
    <cfRule type="cellIs" dxfId="153" priority="53" operator="equal">
      <formula>"não"</formula>
    </cfRule>
  </conditionalFormatting>
  <conditionalFormatting sqref="C70:L70">
    <cfRule type="containsText" dxfId="152" priority="52" operator="containsText" text="não">
      <formula>NOT(ISERROR(SEARCH("não",C70)))</formula>
    </cfRule>
  </conditionalFormatting>
  <conditionalFormatting sqref="C71:L71">
    <cfRule type="cellIs" dxfId="151" priority="51" operator="equal">
      <formula>"não"</formula>
    </cfRule>
  </conditionalFormatting>
  <conditionalFormatting sqref="C71:L71">
    <cfRule type="containsText" dxfId="150" priority="50" operator="containsText" text="não">
      <formula>NOT(ISERROR(SEARCH("não",C71)))</formula>
    </cfRule>
  </conditionalFormatting>
  <conditionalFormatting sqref="C70:L71">
    <cfRule type="cellIs" dxfId="149" priority="49" operator="equal">
      <formula>"Restrição"</formula>
    </cfRule>
    <cfRule type="notContainsErrors" dxfId="148" priority="54">
      <formula>NOT(ISERROR(C70))</formula>
    </cfRule>
  </conditionalFormatting>
  <conditionalFormatting sqref="C90:L90">
    <cfRule type="cellIs" dxfId="147" priority="47" operator="equal">
      <formula>"não"</formula>
    </cfRule>
  </conditionalFormatting>
  <conditionalFormatting sqref="C90:L90">
    <cfRule type="containsText" dxfId="146" priority="46" operator="containsText" text="não">
      <formula>NOT(ISERROR(SEARCH("não",C90)))</formula>
    </cfRule>
  </conditionalFormatting>
  <conditionalFormatting sqref="C91:L91">
    <cfRule type="cellIs" dxfId="145" priority="45" operator="equal">
      <formula>"não"</formula>
    </cfRule>
  </conditionalFormatting>
  <conditionalFormatting sqref="C91:L91">
    <cfRule type="containsText" dxfId="144" priority="44" operator="containsText" text="não">
      <formula>NOT(ISERROR(SEARCH("não",C91)))</formula>
    </cfRule>
  </conditionalFormatting>
  <conditionalFormatting sqref="C90:L91">
    <cfRule type="cellIs" dxfId="143" priority="43" operator="equal">
      <formula>"Restrição"</formula>
    </cfRule>
    <cfRule type="notContainsErrors" dxfId="142" priority="48">
      <formula>NOT(ISERROR(C90))</formula>
    </cfRule>
  </conditionalFormatting>
  <conditionalFormatting sqref="C110:L110">
    <cfRule type="cellIs" dxfId="141" priority="41" operator="equal">
      <formula>"não"</formula>
    </cfRule>
  </conditionalFormatting>
  <conditionalFormatting sqref="C110:L110">
    <cfRule type="containsText" dxfId="140" priority="40" operator="containsText" text="não">
      <formula>NOT(ISERROR(SEARCH("não",C110)))</formula>
    </cfRule>
  </conditionalFormatting>
  <conditionalFormatting sqref="C111:L111">
    <cfRule type="cellIs" dxfId="139" priority="39" operator="equal">
      <formula>"não"</formula>
    </cfRule>
  </conditionalFormatting>
  <conditionalFormatting sqref="C111:L111">
    <cfRule type="containsText" dxfId="138" priority="38" operator="containsText" text="não">
      <formula>NOT(ISERROR(SEARCH("não",C111)))</formula>
    </cfRule>
  </conditionalFormatting>
  <conditionalFormatting sqref="C110:L111">
    <cfRule type="cellIs" dxfId="137" priority="37" operator="equal">
      <formula>"Restrição"</formula>
    </cfRule>
    <cfRule type="notContainsErrors" dxfId="136" priority="42">
      <formula>NOT(ISERROR(C110))</formula>
    </cfRule>
  </conditionalFormatting>
  <conditionalFormatting sqref="C130:L130">
    <cfRule type="cellIs" dxfId="135" priority="35" operator="equal">
      <formula>"não"</formula>
    </cfRule>
  </conditionalFormatting>
  <conditionalFormatting sqref="C130:L130">
    <cfRule type="containsText" dxfId="134" priority="34" operator="containsText" text="não">
      <formula>NOT(ISERROR(SEARCH("não",C130)))</formula>
    </cfRule>
  </conditionalFormatting>
  <conditionalFormatting sqref="C131:L131">
    <cfRule type="cellIs" dxfId="133" priority="33" operator="equal">
      <formula>"não"</formula>
    </cfRule>
  </conditionalFormatting>
  <conditionalFormatting sqref="C131:L131">
    <cfRule type="containsText" dxfId="132" priority="32" operator="containsText" text="não">
      <formula>NOT(ISERROR(SEARCH("não",C131)))</formula>
    </cfRule>
  </conditionalFormatting>
  <conditionalFormatting sqref="C130:L131">
    <cfRule type="cellIs" dxfId="131" priority="31" operator="equal">
      <formula>"Restrição"</formula>
    </cfRule>
    <cfRule type="notContainsErrors" dxfId="130" priority="36">
      <formula>NOT(ISERROR(C130))</formula>
    </cfRule>
  </conditionalFormatting>
  <conditionalFormatting sqref="C150:L150">
    <cfRule type="cellIs" dxfId="129" priority="29" operator="equal">
      <formula>"não"</formula>
    </cfRule>
  </conditionalFormatting>
  <conditionalFormatting sqref="C150:L150">
    <cfRule type="containsText" dxfId="128" priority="28" operator="containsText" text="não">
      <formula>NOT(ISERROR(SEARCH("não",C150)))</formula>
    </cfRule>
  </conditionalFormatting>
  <conditionalFormatting sqref="C151:L151">
    <cfRule type="cellIs" dxfId="127" priority="27" operator="equal">
      <formula>"não"</formula>
    </cfRule>
  </conditionalFormatting>
  <conditionalFormatting sqref="C151:L151">
    <cfRule type="containsText" dxfId="126" priority="26" operator="containsText" text="não">
      <formula>NOT(ISERROR(SEARCH("não",C151)))</formula>
    </cfRule>
  </conditionalFormatting>
  <conditionalFormatting sqref="C150:L151">
    <cfRule type="cellIs" dxfId="125" priority="25" operator="equal">
      <formula>"Restrição"</formula>
    </cfRule>
    <cfRule type="notContainsErrors" dxfId="124" priority="30">
      <formula>NOT(ISERROR(C150))</formula>
    </cfRule>
  </conditionalFormatting>
  <conditionalFormatting sqref="C170:L170">
    <cfRule type="cellIs" dxfId="123" priority="23" operator="equal">
      <formula>"não"</formula>
    </cfRule>
  </conditionalFormatting>
  <conditionalFormatting sqref="C170:L170">
    <cfRule type="containsText" dxfId="122" priority="22" operator="containsText" text="não">
      <formula>NOT(ISERROR(SEARCH("não",C170)))</formula>
    </cfRule>
  </conditionalFormatting>
  <conditionalFormatting sqref="C171:L171">
    <cfRule type="cellIs" dxfId="121" priority="21" operator="equal">
      <formula>"não"</formula>
    </cfRule>
  </conditionalFormatting>
  <conditionalFormatting sqref="C171:L171">
    <cfRule type="containsText" dxfId="120" priority="20" operator="containsText" text="não">
      <formula>NOT(ISERROR(SEARCH("não",C171)))</formula>
    </cfRule>
  </conditionalFormatting>
  <conditionalFormatting sqref="C170:L171">
    <cfRule type="cellIs" dxfId="119" priority="19" operator="equal">
      <formula>"Restrição"</formula>
    </cfRule>
    <cfRule type="notContainsErrors" dxfId="118" priority="24">
      <formula>NOT(ISERROR(C170))</formula>
    </cfRule>
  </conditionalFormatting>
  <conditionalFormatting sqref="C190:L190">
    <cfRule type="cellIs" dxfId="117" priority="17" operator="equal">
      <formula>"não"</formula>
    </cfRule>
  </conditionalFormatting>
  <conditionalFormatting sqref="C190:L190">
    <cfRule type="containsText" dxfId="116" priority="16" operator="containsText" text="não">
      <formula>NOT(ISERROR(SEARCH("não",C190)))</formula>
    </cfRule>
  </conditionalFormatting>
  <conditionalFormatting sqref="C191:L191">
    <cfRule type="cellIs" dxfId="115" priority="15" operator="equal">
      <formula>"não"</formula>
    </cfRule>
  </conditionalFormatting>
  <conditionalFormatting sqref="C191:L191">
    <cfRule type="containsText" dxfId="114" priority="14" operator="containsText" text="não">
      <formula>NOT(ISERROR(SEARCH("não",C191)))</formula>
    </cfRule>
  </conditionalFormatting>
  <conditionalFormatting sqref="C190:L191">
    <cfRule type="cellIs" dxfId="113" priority="13" operator="equal">
      <formula>"Restrição"</formula>
    </cfRule>
    <cfRule type="notContainsErrors" dxfId="112" priority="18">
      <formula>NOT(ISERROR(C190))</formula>
    </cfRule>
  </conditionalFormatting>
  <conditionalFormatting sqref="C210:L210">
    <cfRule type="cellIs" dxfId="111" priority="11" operator="equal">
      <formula>"não"</formula>
    </cfRule>
  </conditionalFormatting>
  <conditionalFormatting sqref="C210:L210">
    <cfRule type="containsText" dxfId="110" priority="10" operator="containsText" text="não">
      <formula>NOT(ISERROR(SEARCH("não",C210)))</formula>
    </cfRule>
  </conditionalFormatting>
  <conditionalFormatting sqref="C211:L211">
    <cfRule type="cellIs" dxfId="109" priority="9" operator="equal">
      <formula>"não"</formula>
    </cfRule>
  </conditionalFormatting>
  <conditionalFormatting sqref="C211:L211">
    <cfRule type="containsText" dxfId="108" priority="8" operator="containsText" text="não">
      <formula>NOT(ISERROR(SEARCH("não",C211)))</formula>
    </cfRule>
  </conditionalFormatting>
  <conditionalFormatting sqref="C210:L211">
    <cfRule type="cellIs" dxfId="107" priority="7" operator="equal">
      <formula>"Restrição"</formula>
    </cfRule>
    <cfRule type="notContainsErrors" dxfId="106" priority="12">
      <formula>NOT(ISERROR(C210))</formula>
    </cfRule>
  </conditionalFormatting>
  <conditionalFormatting sqref="C230:L230">
    <cfRule type="cellIs" dxfId="105" priority="5" operator="equal">
      <formula>"não"</formula>
    </cfRule>
  </conditionalFormatting>
  <conditionalFormatting sqref="C230:L230">
    <cfRule type="containsText" dxfId="104" priority="4" operator="containsText" text="não">
      <formula>NOT(ISERROR(SEARCH("não",C230)))</formula>
    </cfRule>
  </conditionalFormatting>
  <conditionalFormatting sqref="C231:L231">
    <cfRule type="cellIs" dxfId="103" priority="3" operator="equal">
      <formula>"não"</formula>
    </cfRule>
  </conditionalFormatting>
  <conditionalFormatting sqref="C231:L231">
    <cfRule type="containsText" dxfId="102" priority="2" operator="containsText" text="não">
      <formula>NOT(ISERROR(SEARCH("não",C231)))</formula>
    </cfRule>
  </conditionalFormatting>
  <conditionalFormatting sqref="C230:L231">
    <cfRule type="cellIs" dxfId="101" priority="1" operator="equal">
      <formula>"Restrição"</formula>
    </cfRule>
    <cfRule type="notContainsErrors" dxfId="100" priority="6">
      <formula>NOT(ISERROR(C230))</formula>
    </cfRule>
  </conditionalFormatting>
  <pageMargins left="0.78740157480314965" right="0.19685039370078741" top="1.3779527559055118" bottom="1.1811023622047245" header="0.51181102362204722" footer="0.51181102362204722"/>
  <pageSetup paperSize="9" scale="99" orientation="portrait" r:id="rId1"/>
  <headerFooter>
    <oddFooter>&amp;L&amp;8&amp;F&amp;R&amp;8&amp;P / &amp;N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CM259"/>
  <sheetViews>
    <sheetView topLeftCell="L156" zoomScale="70" zoomScaleNormal="70" workbookViewId="0">
      <selection activeCell="C12" sqref="C12:J13"/>
    </sheetView>
  </sheetViews>
  <sheetFormatPr defaultColWidth="8.5703125" defaultRowHeight="15.75" x14ac:dyDescent="0.25"/>
  <cols>
    <col min="1" max="1" width="57.42578125" style="586" bestFit="1" customWidth="1"/>
    <col min="2" max="2" width="22.5703125" style="411" customWidth="1"/>
    <col min="3" max="4" width="22.5703125" style="407" customWidth="1"/>
    <col min="5" max="5" width="22.42578125" style="407" customWidth="1"/>
    <col min="6" max="6" width="42.5703125" style="407" bestFit="1" customWidth="1"/>
    <col min="7" max="53" width="22.5703125" style="407" customWidth="1"/>
    <col min="54" max="54" width="8.5703125" style="407"/>
    <col min="55" max="55" width="8.85546875" style="291" bestFit="1" customWidth="1"/>
    <col min="56" max="16384" width="8.5703125" style="291"/>
  </cols>
  <sheetData>
    <row r="1" spans="1:59" x14ac:dyDescent="0.25">
      <c r="A1" s="1328" t="s">
        <v>1731</v>
      </c>
      <c r="B1" s="1328"/>
    </row>
    <row r="2" spans="1:59" ht="18" x14ac:dyDescent="0.25">
      <c r="A2" s="1143" t="s">
        <v>827</v>
      </c>
      <c r="B2" s="291"/>
    </row>
    <row r="3" spans="1:59" x14ac:dyDescent="0.25">
      <c r="A3" s="1159" t="s">
        <v>801</v>
      </c>
      <c r="B3" s="439"/>
    </row>
    <row r="4" spans="1:59" x14ac:dyDescent="0.25">
      <c r="A4" s="1159" t="s">
        <v>796</v>
      </c>
      <c r="B4" s="440"/>
    </row>
    <row r="5" spans="1:59" x14ac:dyDescent="0.25">
      <c r="A5" s="1144"/>
      <c r="B5" s="407"/>
    </row>
    <row r="6" spans="1:59" s="409" customFormat="1" ht="18" x14ac:dyDescent="0.25">
      <c r="A6" s="1145" t="s">
        <v>1732</v>
      </c>
      <c r="B6" s="408"/>
      <c r="C6" s="408"/>
      <c r="D6" s="408"/>
      <c r="E6" s="408"/>
      <c r="F6" s="408"/>
      <c r="G6" s="408"/>
      <c r="H6" s="408"/>
      <c r="I6" s="408"/>
      <c r="J6" s="408"/>
      <c r="K6" s="408"/>
      <c r="L6" s="408"/>
      <c r="M6" s="408"/>
      <c r="N6" s="408"/>
      <c r="O6" s="408"/>
      <c r="P6" s="408"/>
      <c r="Q6" s="408"/>
      <c r="R6" s="408"/>
      <c r="S6" s="408"/>
      <c r="T6" s="408"/>
      <c r="U6" s="408"/>
      <c r="V6" s="408"/>
      <c r="W6" s="408"/>
      <c r="X6" s="408"/>
      <c r="Y6" s="408"/>
      <c r="Z6" s="408"/>
      <c r="AA6" s="408"/>
      <c r="AB6" s="408"/>
      <c r="AC6" s="408"/>
      <c r="AD6" s="408"/>
      <c r="AE6" s="408"/>
      <c r="AF6" s="408"/>
      <c r="AG6" s="408"/>
      <c r="AH6" s="408"/>
      <c r="AI6" s="408"/>
      <c r="AJ6" s="408"/>
      <c r="AK6" s="408"/>
      <c r="AL6" s="408"/>
      <c r="AM6" s="408"/>
      <c r="AN6" s="408"/>
      <c r="AO6" s="408"/>
      <c r="AP6" s="408"/>
      <c r="AQ6" s="408"/>
      <c r="AR6" s="408"/>
      <c r="AS6" s="408"/>
      <c r="AT6" s="408"/>
      <c r="AU6" s="408"/>
      <c r="AV6" s="408"/>
      <c r="AW6" s="408"/>
      <c r="AX6" s="408"/>
      <c r="AY6" s="408"/>
      <c r="AZ6" s="408"/>
      <c r="BA6" s="408"/>
      <c r="BB6" s="408"/>
    </row>
    <row r="7" spans="1:59" x14ac:dyDescent="0.25">
      <c r="A7" s="1146"/>
      <c r="B7" s="407"/>
      <c r="BC7" s="407"/>
      <c r="BD7" s="407"/>
      <c r="BE7" s="407"/>
      <c r="BF7" s="407"/>
      <c r="BG7" s="407"/>
    </row>
    <row r="8" spans="1:59" x14ac:dyDescent="0.25">
      <c r="A8" s="1570" t="s">
        <v>336</v>
      </c>
      <c r="B8" s="1569"/>
      <c r="C8" s="1569"/>
      <c r="D8" s="1569"/>
      <c r="E8" s="1569"/>
      <c r="BC8" s="407"/>
      <c r="BD8" s="407"/>
      <c r="BE8" s="407"/>
      <c r="BF8" s="407"/>
      <c r="BG8" s="407"/>
    </row>
    <row r="9" spans="1:59" x14ac:dyDescent="0.25">
      <c r="A9" s="1568" t="s">
        <v>804</v>
      </c>
      <c r="B9" s="1569"/>
      <c r="C9" s="1569"/>
      <c r="D9" s="1569"/>
      <c r="E9" s="1569" t="s">
        <v>272</v>
      </c>
      <c r="BC9" s="407"/>
      <c r="BD9" s="407"/>
      <c r="BE9" s="407"/>
      <c r="BF9" s="407"/>
      <c r="BG9" s="407"/>
    </row>
    <row r="10" spans="1:59" x14ac:dyDescent="0.25">
      <c r="A10" s="1568" t="s">
        <v>778</v>
      </c>
      <c r="B10" s="1569"/>
      <c r="C10" s="1569"/>
      <c r="D10" s="1569"/>
      <c r="E10" s="1569" t="s">
        <v>3</v>
      </c>
      <c r="BC10" s="407"/>
      <c r="BD10" s="407"/>
      <c r="BE10" s="407"/>
      <c r="BF10" s="407"/>
      <c r="BG10" s="407"/>
    </row>
    <row r="11" spans="1:59" x14ac:dyDescent="0.25">
      <c r="A11" s="1568" t="s">
        <v>779</v>
      </c>
      <c r="B11" s="1569"/>
      <c r="C11" s="1569"/>
      <c r="D11" s="1569"/>
      <c r="E11" s="1569" t="s">
        <v>3</v>
      </c>
      <c r="BC11" s="407"/>
      <c r="BD11" s="407"/>
      <c r="BE11" s="407"/>
      <c r="BF11" s="407"/>
      <c r="BG11" s="407"/>
    </row>
    <row r="12" spans="1:59" x14ac:dyDescent="0.25">
      <c r="A12" s="1568" t="s">
        <v>930</v>
      </c>
      <c r="B12" s="1571" t="s">
        <v>849</v>
      </c>
      <c r="C12" s="1571"/>
      <c r="D12" s="1571"/>
      <c r="E12" s="1571" t="s">
        <v>849</v>
      </c>
      <c r="BC12" s="407"/>
      <c r="BD12" s="407"/>
      <c r="BE12" s="407"/>
      <c r="BF12" s="407"/>
      <c r="BG12" s="407"/>
    </row>
    <row r="13" spans="1:59" x14ac:dyDescent="0.25">
      <c r="A13" s="1568" t="s">
        <v>803</v>
      </c>
      <c r="B13" s="1572" t="str">
        <f>IF(COUNTIF(B10:B11,"n")&gt;0,"Não","Sim")</f>
        <v>Sim</v>
      </c>
      <c r="C13" s="1572" t="str">
        <f>IF(COUNTIF(C10:C11,"n")&gt;0,"Não","Sim")</f>
        <v>Sim</v>
      </c>
      <c r="D13" s="1572" t="str">
        <f>IF(COUNTIF(D10:D11,"n")&gt;0,"Não","Sim")</f>
        <v>Sim</v>
      </c>
      <c r="E13" s="1572" t="str">
        <f>IF(COUNTIF(E10:E11,"n")&gt;0,"Não","Sim")</f>
        <v>Sim</v>
      </c>
      <c r="BC13" s="407"/>
      <c r="BD13" s="407"/>
      <c r="BE13" s="407"/>
      <c r="BF13" s="407"/>
      <c r="BG13" s="407"/>
    </row>
    <row r="14" spans="1:59" x14ac:dyDescent="0.25">
      <c r="A14" s="1568" t="s">
        <v>1820</v>
      </c>
      <c r="B14" s="1573">
        <f>B9</f>
        <v>0</v>
      </c>
      <c r="C14" s="1573">
        <f>C9</f>
        <v>0</v>
      </c>
      <c r="D14" s="1573">
        <f>D9</f>
        <v>0</v>
      </c>
      <c r="E14" s="1573" t="str">
        <f>E9</f>
        <v>Sim</v>
      </c>
      <c r="BC14" s="407"/>
      <c r="BD14" s="407"/>
      <c r="BE14" s="407"/>
      <c r="BF14" s="407"/>
      <c r="BG14" s="407"/>
    </row>
    <row r="15" spans="1:59" x14ac:dyDescent="0.25">
      <c r="C15" s="411"/>
      <c r="D15" s="411"/>
      <c r="E15" s="411"/>
      <c r="BC15" s="407"/>
      <c r="BD15" s="407"/>
      <c r="BE15" s="407"/>
      <c r="BF15" s="407"/>
      <c r="BG15" s="407"/>
    </row>
    <row r="16" spans="1:59" x14ac:dyDescent="0.25">
      <c r="A16" s="1149" t="s">
        <v>1743</v>
      </c>
      <c r="C16" s="411"/>
      <c r="D16" s="411"/>
      <c r="E16" s="411"/>
      <c r="BC16" s="407"/>
      <c r="BD16" s="407"/>
      <c r="BE16" s="407"/>
      <c r="BF16" s="407"/>
      <c r="BG16" s="407"/>
    </row>
    <row r="17" spans="1:59" x14ac:dyDescent="0.25">
      <c r="A17" s="1570" t="s">
        <v>336</v>
      </c>
      <c r="B17" s="1569"/>
      <c r="C17" s="411"/>
      <c r="D17" s="411"/>
      <c r="E17" s="411"/>
      <c r="BC17" s="407"/>
      <c r="BD17" s="407"/>
      <c r="BE17" s="407"/>
      <c r="BF17" s="407"/>
      <c r="BG17" s="407"/>
    </row>
    <row r="18" spans="1:59" x14ac:dyDescent="0.25">
      <c r="A18" s="1568" t="s">
        <v>1812</v>
      </c>
      <c r="B18" s="1569"/>
      <c r="C18" s="411"/>
      <c r="D18" s="411"/>
      <c r="E18" s="411"/>
      <c r="BC18" s="407"/>
      <c r="BD18" s="407"/>
      <c r="BE18" s="407"/>
      <c r="BF18" s="407"/>
      <c r="BG18" s="407"/>
    </row>
    <row r="19" spans="1:59" x14ac:dyDescent="0.25">
      <c r="A19" s="1568" t="s">
        <v>1745</v>
      </c>
      <c r="B19" s="1569"/>
      <c r="C19" s="411"/>
      <c r="D19" s="411"/>
      <c r="E19" s="411"/>
      <c r="BC19" s="407"/>
      <c r="BD19" s="407"/>
      <c r="BE19" s="407"/>
      <c r="BF19" s="407"/>
      <c r="BG19" s="407"/>
    </row>
    <row r="20" spans="1:59" x14ac:dyDescent="0.25">
      <c r="A20" s="1568" t="s">
        <v>1746</v>
      </c>
      <c r="B20" s="1569"/>
      <c r="C20" s="411"/>
      <c r="D20" s="411"/>
      <c r="E20" s="411"/>
      <c r="BC20" s="407"/>
      <c r="BD20" s="407"/>
      <c r="BE20" s="407"/>
      <c r="BF20" s="407"/>
      <c r="BG20" s="407"/>
    </row>
    <row r="21" spans="1:59" x14ac:dyDescent="0.25">
      <c r="A21" s="1568" t="s">
        <v>1744</v>
      </c>
      <c r="B21" s="1569"/>
      <c r="C21" s="411"/>
      <c r="D21" s="411"/>
      <c r="E21" s="411"/>
      <c r="BC21" s="407"/>
      <c r="BD21" s="407"/>
      <c r="BE21" s="407"/>
      <c r="BF21" s="407"/>
      <c r="BG21" s="407"/>
    </row>
    <row r="22" spans="1:59" x14ac:dyDescent="0.25">
      <c r="C22" s="411"/>
      <c r="D22" s="411"/>
      <c r="E22" s="411"/>
      <c r="BC22" s="407"/>
      <c r="BD22" s="407"/>
      <c r="BE22" s="407"/>
      <c r="BF22" s="407"/>
      <c r="BG22" s="407"/>
    </row>
    <row r="23" spans="1:59" s="409" customFormat="1" ht="18" x14ac:dyDescent="0.25">
      <c r="A23" s="1145" t="s">
        <v>802</v>
      </c>
      <c r="B23" s="412"/>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AZ23" s="408"/>
      <c r="BA23" s="408"/>
      <c r="BB23" s="408"/>
      <c r="BC23" s="408"/>
      <c r="BD23" s="408"/>
      <c r="BE23" s="408"/>
      <c r="BF23" s="408"/>
      <c r="BG23" s="408"/>
    </row>
    <row r="24" spans="1:59" x14ac:dyDescent="0.25">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AQ24" s="411"/>
      <c r="AR24" s="411"/>
      <c r="AS24" s="411"/>
      <c r="AT24" s="411"/>
      <c r="AU24" s="411"/>
      <c r="AV24" s="411"/>
      <c r="AW24" s="411"/>
      <c r="AX24" s="411"/>
      <c r="AY24" s="411"/>
      <c r="AZ24" s="411"/>
      <c r="BA24" s="411"/>
    </row>
    <row r="25" spans="1:59" hidden="1" x14ac:dyDescent="0.25">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AQ25" s="411"/>
      <c r="AR25" s="411"/>
      <c r="AS25" s="411"/>
      <c r="AT25" s="411"/>
      <c r="AU25" s="411"/>
      <c r="AV25" s="411"/>
      <c r="AW25" s="411"/>
      <c r="AX25" s="411"/>
      <c r="AY25" s="411"/>
      <c r="AZ25" s="411"/>
      <c r="BA25" s="411"/>
    </row>
    <row r="26" spans="1:59" hidden="1" x14ac:dyDescent="0.25">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AQ26" s="411"/>
      <c r="AR26" s="411"/>
      <c r="AS26" s="411"/>
      <c r="AT26" s="411"/>
      <c r="AU26" s="411"/>
      <c r="AV26" s="411"/>
      <c r="AW26" s="411"/>
      <c r="AX26" s="411"/>
      <c r="AY26" s="411"/>
      <c r="AZ26" s="411"/>
      <c r="BA26" s="411"/>
    </row>
    <row r="27" spans="1:59" hidden="1" x14ac:dyDescent="0.25">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AQ27" s="411"/>
      <c r="AR27" s="411"/>
      <c r="AS27" s="411"/>
      <c r="AT27" s="411"/>
      <c r="AU27" s="411"/>
      <c r="AV27" s="411"/>
      <c r="AW27" s="411"/>
      <c r="AX27" s="411"/>
      <c r="AY27" s="411"/>
      <c r="AZ27" s="411"/>
      <c r="BA27" s="411"/>
    </row>
    <row r="28" spans="1:59" hidden="1" x14ac:dyDescent="0.25">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AQ28" s="411"/>
      <c r="AR28" s="411"/>
      <c r="AS28" s="411"/>
      <c r="AT28" s="411"/>
      <c r="AU28" s="411"/>
      <c r="AV28" s="411"/>
      <c r="AW28" s="411"/>
      <c r="AX28" s="411"/>
      <c r="AY28" s="411"/>
      <c r="AZ28" s="411"/>
      <c r="BA28" s="411"/>
    </row>
    <row r="29" spans="1:59" hidden="1" x14ac:dyDescent="0.25">
      <c r="C29" s="411"/>
      <c r="D29" s="411"/>
      <c r="E29" s="411"/>
      <c r="F29" s="411"/>
      <c r="G29" s="411"/>
      <c r="H29" s="411"/>
      <c r="I29" s="411"/>
      <c r="J29" s="411"/>
      <c r="K29" s="411"/>
      <c r="L29" s="411"/>
      <c r="M29" s="411"/>
      <c r="N29" s="411"/>
      <c r="O29" s="411"/>
      <c r="P29" s="411"/>
      <c r="Q29" s="411"/>
      <c r="R29" s="411"/>
      <c r="S29" s="411"/>
      <c r="T29" s="411"/>
      <c r="U29" s="411"/>
      <c r="V29" s="411"/>
      <c r="W29" s="411"/>
      <c r="X29" s="411"/>
      <c r="Y29" s="411"/>
      <c r="Z29" s="411"/>
      <c r="AA29" s="411"/>
      <c r="AB29" s="411"/>
      <c r="AC29" s="411"/>
      <c r="AD29" s="411"/>
      <c r="AE29" s="411"/>
      <c r="AF29" s="411"/>
      <c r="AG29" s="411"/>
      <c r="AH29" s="411"/>
      <c r="AI29" s="411"/>
      <c r="AJ29" s="411"/>
      <c r="AK29" s="411"/>
      <c r="AL29" s="411"/>
      <c r="AM29" s="411"/>
      <c r="AN29" s="411"/>
      <c r="AO29" s="411"/>
      <c r="AP29" s="411"/>
      <c r="AQ29" s="411"/>
      <c r="AR29" s="411"/>
      <c r="AS29" s="411"/>
      <c r="AT29" s="411"/>
      <c r="AU29" s="411"/>
      <c r="AV29" s="411"/>
      <c r="AW29" s="411"/>
      <c r="AX29" s="411"/>
      <c r="AY29" s="411"/>
      <c r="AZ29" s="411"/>
      <c r="BA29" s="411"/>
    </row>
    <row r="30" spans="1:59" hidden="1" x14ac:dyDescent="0.25">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AQ30" s="411"/>
      <c r="AR30" s="411"/>
      <c r="AS30" s="411"/>
      <c r="AT30" s="411"/>
      <c r="AU30" s="411"/>
      <c r="AV30" s="411"/>
      <c r="AW30" s="411"/>
      <c r="AX30" s="411"/>
      <c r="AY30" s="411"/>
      <c r="AZ30" s="411"/>
      <c r="BA30" s="411"/>
    </row>
    <row r="31" spans="1:59" hidden="1" x14ac:dyDescent="0.25">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AQ31" s="411"/>
      <c r="AR31" s="411"/>
      <c r="AS31" s="411"/>
      <c r="AT31" s="411"/>
      <c r="AU31" s="411"/>
      <c r="AV31" s="411"/>
      <c r="AW31" s="411"/>
      <c r="AX31" s="411"/>
      <c r="AY31" s="411"/>
      <c r="AZ31" s="411"/>
      <c r="BA31" s="411"/>
    </row>
    <row r="32" spans="1:59" hidden="1" x14ac:dyDescent="0.25">
      <c r="C32" s="411"/>
      <c r="D32" s="411"/>
      <c r="E32" s="411"/>
      <c r="F32" s="411"/>
      <c r="G32" s="411"/>
      <c r="H32" s="411"/>
      <c r="I32" s="411"/>
      <c r="J32" s="411"/>
      <c r="K32" s="411"/>
      <c r="L32" s="411"/>
      <c r="M32" s="411"/>
      <c r="N32" s="411"/>
      <c r="O32" s="411"/>
      <c r="P32" s="411"/>
      <c r="Q32" s="411"/>
      <c r="R32" s="411"/>
      <c r="S32" s="411"/>
      <c r="T32" s="411"/>
      <c r="U32" s="411"/>
      <c r="V32" s="411"/>
      <c r="W32" s="411"/>
      <c r="X32" s="411"/>
      <c r="Y32" s="411"/>
      <c r="Z32" s="411"/>
      <c r="AA32" s="411"/>
      <c r="AB32" s="411"/>
      <c r="AC32" s="411"/>
      <c r="AD32" s="411"/>
      <c r="AE32" s="411"/>
      <c r="AF32" s="411"/>
      <c r="AG32" s="411"/>
      <c r="AH32" s="411"/>
      <c r="AI32" s="411"/>
      <c r="AJ32" s="411"/>
      <c r="AK32" s="411"/>
      <c r="AL32" s="411"/>
      <c r="AM32" s="411"/>
      <c r="AN32" s="411"/>
      <c r="AO32" s="411"/>
      <c r="AP32" s="411"/>
      <c r="AQ32" s="411"/>
      <c r="AR32" s="411"/>
      <c r="AS32" s="411"/>
      <c r="AT32" s="411"/>
      <c r="AU32" s="411"/>
      <c r="AV32" s="411"/>
      <c r="AW32" s="411"/>
      <c r="AX32" s="411"/>
      <c r="AY32" s="411"/>
      <c r="AZ32" s="411"/>
      <c r="BA32" s="411"/>
    </row>
    <row r="33" spans="1:59" hidden="1" x14ac:dyDescent="0.25">
      <c r="C33" s="411"/>
      <c r="D33" s="411"/>
      <c r="E33" s="411"/>
      <c r="F33" s="411"/>
      <c r="G33" s="411"/>
      <c r="H33" s="411"/>
      <c r="I33" s="411"/>
      <c r="J33" s="411"/>
      <c r="K33" s="411"/>
      <c r="L33" s="411"/>
      <c r="M33" s="411"/>
      <c r="N33" s="411"/>
      <c r="O33" s="411"/>
      <c r="P33" s="411"/>
      <c r="Q33" s="411"/>
      <c r="R33" s="411"/>
      <c r="S33" s="411"/>
      <c r="T33" s="411"/>
      <c r="U33" s="411"/>
      <c r="V33" s="411"/>
      <c r="W33" s="411"/>
      <c r="X33" s="411"/>
      <c r="Y33" s="411"/>
      <c r="Z33" s="411"/>
      <c r="AA33" s="411"/>
      <c r="AB33" s="411"/>
      <c r="AC33" s="411"/>
      <c r="AD33" s="411"/>
      <c r="AE33" s="411"/>
      <c r="AF33" s="411"/>
      <c r="AG33" s="411"/>
      <c r="AH33" s="411"/>
      <c r="AI33" s="411"/>
      <c r="AJ33" s="411"/>
      <c r="AK33" s="411"/>
      <c r="AL33" s="411"/>
      <c r="AM33" s="411"/>
      <c r="AN33" s="411"/>
      <c r="AO33" s="411"/>
      <c r="AP33" s="411"/>
      <c r="AQ33" s="411"/>
      <c r="AR33" s="411"/>
      <c r="AS33" s="411"/>
      <c r="AT33" s="411"/>
      <c r="AU33" s="411"/>
      <c r="AV33" s="411"/>
      <c r="AW33" s="411"/>
      <c r="AX33" s="411"/>
      <c r="AY33" s="411"/>
      <c r="AZ33" s="411"/>
      <c r="BA33" s="411"/>
    </row>
    <row r="34" spans="1:59" x14ac:dyDescent="0.25">
      <c r="A34" s="1147" t="s">
        <v>815</v>
      </c>
      <c r="B34" s="271" t="s">
        <v>740</v>
      </c>
      <c r="C34" s="271" t="s">
        <v>740</v>
      </c>
      <c r="D34" s="271" t="s">
        <v>740</v>
      </c>
      <c r="E34" s="271" t="s">
        <v>740</v>
      </c>
      <c r="F34" s="411"/>
      <c r="G34" s="411"/>
      <c r="H34" s="411"/>
      <c r="I34" s="411"/>
      <c r="J34" s="411"/>
      <c r="K34" s="411"/>
      <c r="L34" s="411"/>
      <c r="M34" s="411"/>
      <c r="N34" s="411"/>
      <c r="O34" s="411"/>
      <c r="P34" s="411"/>
      <c r="Q34" s="411"/>
      <c r="R34" s="411"/>
      <c r="S34" s="411"/>
      <c r="T34" s="411"/>
      <c r="U34" s="411"/>
      <c r="V34" s="411"/>
      <c r="W34" s="411"/>
      <c r="X34" s="411"/>
      <c r="Y34" s="411"/>
      <c r="Z34" s="411"/>
      <c r="AA34" s="411"/>
      <c r="AB34" s="411"/>
      <c r="AC34" s="411"/>
      <c r="AD34" s="411"/>
      <c r="AE34" s="411"/>
      <c r="AF34" s="411"/>
      <c r="AG34" s="411"/>
      <c r="AH34" s="411"/>
      <c r="AI34" s="411"/>
      <c r="AJ34" s="411"/>
      <c r="AK34" s="411"/>
      <c r="AL34" s="411"/>
      <c r="AM34" s="411"/>
      <c r="AN34" s="411"/>
      <c r="AO34" s="411"/>
      <c r="AP34" s="411"/>
      <c r="AQ34" s="411"/>
      <c r="AR34" s="411"/>
      <c r="AS34" s="411"/>
      <c r="AT34" s="411"/>
      <c r="AU34" s="411"/>
      <c r="AV34" s="411"/>
      <c r="AW34" s="411"/>
      <c r="AX34" s="411"/>
      <c r="AY34" s="411"/>
      <c r="AZ34" s="411"/>
      <c r="BA34" s="411"/>
    </row>
    <row r="35" spans="1:59" x14ac:dyDescent="0.25">
      <c r="A35" s="586" t="s">
        <v>119</v>
      </c>
      <c r="B35" s="272" t="s">
        <v>817</v>
      </c>
      <c r="C35" s="272" t="s">
        <v>817</v>
      </c>
      <c r="D35" s="272" t="s">
        <v>817</v>
      </c>
      <c r="E35" s="272" t="s">
        <v>817</v>
      </c>
    </row>
    <row r="36" spans="1:59" x14ac:dyDescent="0.25">
      <c r="A36" s="586" t="s">
        <v>120</v>
      </c>
      <c r="B36" s="272" t="s">
        <v>817</v>
      </c>
      <c r="C36" s="272" t="s">
        <v>817</v>
      </c>
      <c r="D36" s="272" t="s">
        <v>817</v>
      </c>
      <c r="E36" s="272" t="s">
        <v>817</v>
      </c>
    </row>
    <row r="37" spans="1:59" s="414" customFormat="1" x14ac:dyDescent="0.25">
      <c r="A37" s="428" t="s">
        <v>121</v>
      </c>
      <c r="B37" s="272" t="s">
        <v>817</v>
      </c>
      <c r="C37" s="272" t="s">
        <v>817</v>
      </c>
      <c r="D37" s="272" t="s">
        <v>817</v>
      </c>
      <c r="E37" s="272" t="s">
        <v>817</v>
      </c>
      <c r="F37" s="413"/>
      <c r="G37" s="413"/>
      <c r="H37" s="413"/>
      <c r="I37" s="413"/>
      <c r="J37" s="413"/>
      <c r="K37" s="413"/>
      <c r="L37" s="413"/>
      <c r="M37" s="413"/>
      <c r="N37" s="413"/>
      <c r="O37" s="413"/>
      <c r="P37" s="413"/>
      <c r="Q37" s="413"/>
      <c r="R37" s="413"/>
      <c r="S37" s="413"/>
      <c r="T37" s="413"/>
      <c r="U37" s="413"/>
      <c r="V37" s="413"/>
      <c r="W37" s="413"/>
      <c r="X37" s="413"/>
      <c r="Y37" s="413"/>
      <c r="Z37" s="413"/>
      <c r="AA37" s="413"/>
      <c r="AB37" s="413"/>
      <c r="AC37" s="413"/>
      <c r="AD37" s="413"/>
      <c r="AE37" s="413"/>
      <c r="AF37" s="413"/>
      <c r="AG37" s="413"/>
      <c r="AH37" s="413"/>
      <c r="AI37" s="413"/>
      <c r="AJ37" s="413"/>
      <c r="AK37" s="413"/>
      <c r="AL37" s="413"/>
      <c r="AM37" s="413"/>
      <c r="AN37" s="413"/>
      <c r="AO37" s="413"/>
      <c r="AP37" s="413"/>
      <c r="AQ37" s="413"/>
      <c r="AR37" s="413"/>
      <c r="AS37" s="413"/>
      <c r="AT37" s="413"/>
      <c r="AU37" s="413"/>
      <c r="AV37" s="413"/>
      <c r="AW37" s="413"/>
      <c r="AX37" s="413"/>
      <c r="AY37" s="413"/>
      <c r="AZ37" s="413"/>
      <c r="BA37" s="413"/>
      <c r="BB37" s="413"/>
    </row>
    <row r="38" spans="1:59" s="414" customFormat="1" x14ac:dyDescent="0.25">
      <c r="A38" s="428" t="s">
        <v>816</v>
      </c>
      <c r="B38" s="272" t="s">
        <v>817</v>
      </c>
      <c r="C38" s="272" t="s">
        <v>817</v>
      </c>
      <c r="D38" s="272" t="s">
        <v>817</v>
      </c>
      <c r="E38" s="272" t="s">
        <v>817</v>
      </c>
      <c r="F38" s="413"/>
      <c r="G38" s="413"/>
      <c r="H38" s="413"/>
      <c r="I38" s="413"/>
      <c r="J38" s="413"/>
      <c r="K38" s="413"/>
      <c r="L38" s="413"/>
      <c r="M38" s="413"/>
      <c r="N38" s="413"/>
      <c r="O38" s="413"/>
      <c r="P38" s="413"/>
      <c r="Q38" s="413"/>
      <c r="R38" s="413"/>
      <c r="S38" s="413"/>
      <c r="T38" s="413"/>
      <c r="U38" s="413"/>
      <c r="V38" s="413"/>
      <c r="W38" s="413"/>
      <c r="X38" s="413"/>
      <c r="Y38" s="413"/>
      <c r="Z38" s="413"/>
      <c r="AA38" s="413"/>
      <c r="AB38" s="413"/>
      <c r="AC38" s="413"/>
      <c r="AD38" s="413"/>
      <c r="AE38" s="413"/>
      <c r="AF38" s="413"/>
      <c r="AG38" s="413"/>
      <c r="AH38" s="413"/>
      <c r="AI38" s="413"/>
      <c r="AJ38" s="413"/>
      <c r="AK38" s="413"/>
      <c r="AL38" s="413"/>
      <c r="AM38" s="413"/>
      <c r="AN38" s="413"/>
      <c r="AO38" s="413"/>
      <c r="AP38" s="413"/>
      <c r="AQ38" s="413"/>
      <c r="AR38" s="413"/>
      <c r="AS38" s="413"/>
      <c r="AT38" s="413"/>
      <c r="AU38" s="413"/>
      <c r="AV38" s="413"/>
      <c r="AW38" s="413"/>
      <c r="AX38" s="413"/>
      <c r="AY38" s="413"/>
      <c r="AZ38" s="413"/>
      <c r="BA38" s="413"/>
      <c r="BB38" s="413"/>
    </row>
    <row r="39" spans="1:59" s="417" customFormat="1" x14ac:dyDescent="0.25">
      <c r="A39" s="1148"/>
      <c r="B39" s="416"/>
      <c r="C39" s="416"/>
      <c r="D39" s="416"/>
      <c r="E39" s="416"/>
      <c r="F39" s="416"/>
      <c r="G39" s="416"/>
      <c r="H39" s="416"/>
      <c r="I39" s="416"/>
      <c r="J39" s="416"/>
      <c r="K39" s="416"/>
      <c r="L39" s="416"/>
      <c r="M39" s="416"/>
      <c r="N39" s="416"/>
      <c r="O39" s="416"/>
      <c r="P39" s="416"/>
      <c r="Q39" s="416"/>
      <c r="R39" s="416"/>
      <c r="S39" s="416"/>
      <c r="T39" s="416"/>
      <c r="U39" s="416"/>
      <c r="V39" s="416"/>
      <c r="W39" s="416"/>
      <c r="X39" s="416"/>
      <c r="Y39" s="416"/>
      <c r="Z39" s="416"/>
      <c r="AA39" s="416"/>
      <c r="AB39" s="416"/>
      <c r="AC39" s="416"/>
      <c r="AD39" s="416"/>
      <c r="AE39" s="416"/>
      <c r="AF39" s="416"/>
      <c r="AG39" s="416"/>
      <c r="AH39" s="416"/>
      <c r="AI39" s="416"/>
      <c r="AJ39" s="416"/>
      <c r="AK39" s="416"/>
      <c r="AL39" s="416"/>
      <c r="AM39" s="416"/>
      <c r="AN39" s="416"/>
      <c r="AO39" s="416"/>
      <c r="AP39" s="416"/>
      <c r="AQ39" s="416"/>
      <c r="AR39" s="416"/>
      <c r="AS39" s="416"/>
      <c r="AT39" s="416"/>
      <c r="AU39" s="416"/>
      <c r="AV39" s="416"/>
      <c r="AW39" s="416"/>
      <c r="AX39" s="416"/>
      <c r="AY39" s="416"/>
      <c r="AZ39" s="416"/>
      <c r="BA39" s="416"/>
      <c r="BB39" s="415"/>
    </row>
    <row r="40" spans="1:59" s="417" customFormat="1" x14ac:dyDescent="0.25">
      <c r="A40" s="418" t="s">
        <v>818</v>
      </c>
      <c r="B40" s="416"/>
      <c r="C40" s="416"/>
      <c r="D40" s="416"/>
      <c r="E40" s="416"/>
      <c r="F40" s="407"/>
      <c r="G40" s="407"/>
      <c r="H40" s="407"/>
      <c r="I40" s="407"/>
      <c r="J40" s="407"/>
      <c r="K40" s="407"/>
      <c r="L40" s="407"/>
      <c r="M40" s="407"/>
      <c r="N40" s="407"/>
      <c r="O40" s="407"/>
      <c r="P40" s="407"/>
      <c r="Q40" s="407"/>
      <c r="R40" s="407"/>
      <c r="S40" s="407"/>
      <c r="T40" s="407"/>
      <c r="U40" s="407"/>
      <c r="V40" s="407"/>
      <c r="W40" s="407"/>
      <c r="X40" s="407"/>
      <c r="Y40" s="407"/>
      <c r="Z40" s="407"/>
      <c r="AA40" s="407"/>
      <c r="AB40" s="407"/>
      <c r="AC40" s="407"/>
      <c r="AD40" s="407"/>
      <c r="AE40" s="407"/>
      <c r="AF40" s="407"/>
      <c r="AG40" s="407"/>
      <c r="AH40" s="407"/>
      <c r="AI40" s="407"/>
      <c r="AJ40" s="407"/>
      <c r="AK40" s="407"/>
      <c r="AL40" s="407"/>
      <c r="AM40" s="407"/>
      <c r="AN40" s="407"/>
      <c r="AO40" s="407"/>
      <c r="AP40" s="407"/>
      <c r="AQ40" s="407"/>
      <c r="AR40" s="407"/>
      <c r="AS40" s="407"/>
      <c r="AT40" s="407"/>
      <c r="AU40" s="407"/>
      <c r="AV40" s="407"/>
      <c r="AW40" s="407"/>
      <c r="AX40" s="407"/>
      <c r="AY40" s="407"/>
      <c r="AZ40" s="407"/>
      <c r="BA40" s="407"/>
      <c r="BB40" s="407"/>
      <c r="BC40" s="407"/>
      <c r="BD40" s="407"/>
      <c r="BE40" s="407"/>
      <c r="BF40" s="407"/>
      <c r="BG40" s="407"/>
    </row>
    <row r="41" spans="1:59" s="417" customFormat="1" x14ac:dyDescent="0.25">
      <c r="A41" s="1148" t="s">
        <v>781</v>
      </c>
      <c r="B41" s="270" t="s">
        <v>587</v>
      </c>
      <c r="C41" s="270" t="s">
        <v>587</v>
      </c>
      <c r="D41" s="270" t="s">
        <v>587</v>
      </c>
      <c r="E41" s="270" t="s">
        <v>587</v>
      </c>
      <c r="F41" s="407"/>
      <c r="G41" s="407"/>
      <c r="H41" s="407"/>
      <c r="I41" s="407"/>
      <c r="J41" s="407"/>
      <c r="K41" s="407"/>
      <c r="L41" s="407"/>
      <c r="M41" s="407"/>
      <c r="N41" s="407"/>
      <c r="O41" s="407"/>
      <c r="P41" s="407"/>
      <c r="Q41" s="407"/>
      <c r="R41" s="407"/>
      <c r="S41" s="407"/>
      <c r="T41" s="407"/>
      <c r="U41" s="407"/>
      <c r="V41" s="407"/>
      <c r="W41" s="407"/>
      <c r="X41" s="407"/>
      <c r="Y41" s="407"/>
      <c r="Z41" s="407"/>
      <c r="AA41" s="407"/>
      <c r="AB41" s="407"/>
      <c r="AC41" s="407"/>
      <c r="AD41" s="407"/>
      <c r="AE41" s="407"/>
      <c r="AF41" s="407"/>
      <c r="AG41" s="407"/>
      <c r="AH41" s="407"/>
      <c r="AI41" s="407"/>
      <c r="AJ41" s="407"/>
      <c r="AK41" s="407"/>
      <c r="AL41" s="407"/>
      <c r="AM41" s="407"/>
      <c r="AN41" s="407"/>
      <c r="AO41" s="407"/>
      <c r="AP41" s="407"/>
      <c r="AQ41" s="407"/>
      <c r="AR41" s="407"/>
      <c r="AS41" s="407"/>
      <c r="AT41" s="407"/>
      <c r="AU41" s="407"/>
      <c r="AV41" s="407"/>
      <c r="AW41" s="407"/>
      <c r="AX41" s="407"/>
      <c r="AY41" s="407"/>
      <c r="AZ41" s="407"/>
      <c r="BA41" s="407"/>
      <c r="BB41" s="407"/>
      <c r="BC41" s="407"/>
      <c r="BD41" s="407"/>
      <c r="BE41" s="407"/>
      <c r="BF41" s="407"/>
      <c r="BG41" s="407"/>
    </row>
    <row r="42" spans="1:59" s="417" customFormat="1" x14ac:dyDescent="0.25">
      <c r="A42" s="1148" t="s">
        <v>782</v>
      </c>
      <c r="B42" s="270" t="s">
        <v>587</v>
      </c>
      <c r="C42" s="270" t="s">
        <v>587</v>
      </c>
      <c r="D42" s="270" t="s">
        <v>587</v>
      </c>
      <c r="E42" s="270" t="s">
        <v>587</v>
      </c>
      <c r="F42" s="407"/>
      <c r="G42" s="407"/>
      <c r="H42" s="407"/>
      <c r="I42" s="407"/>
      <c r="J42" s="407"/>
      <c r="K42" s="407"/>
      <c r="L42" s="407"/>
      <c r="M42" s="407"/>
      <c r="N42" s="407"/>
      <c r="O42" s="407"/>
      <c r="P42" s="407"/>
      <c r="Q42" s="407"/>
      <c r="R42" s="407"/>
      <c r="S42" s="407"/>
      <c r="T42" s="407"/>
      <c r="U42" s="407"/>
      <c r="V42" s="407"/>
      <c r="W42" s="407"/>
      <c r="X42" s="407"/>
      <c r="Y42" s="407"/>
      <c r="Z42" s="407"/>
      <c r="AA42" s="407"/>
      <c r="AB42" s="407"/>
      <c r="AC42" s="407"/>
      <c r="AD42" s="407"/>
      <c r="AE42" s="407"/>
      <c r="AF42" s="407"/>
      <c r="AG42" s="407"/>
      <c r="AH42" s="407"/>
      <c r="AI42" s="407"/>
      <c r="AJ42" s="407"/>
      <c r="AK42" s="407"/>
      <c r="AL42" s="407"/>
      <c r="AM42" s="407"/>
      <c r="AN42" s="407"/>
      <c r="AO42" s="407"/>
      <c r="AP42" s="407"/>
      <c r="AQ42" s="407"/>
      <c r="AR42" s="407"/>
      <c r="AS42" s="407"/>
      <c r="AT42" s="407"/>
      <c r="AU42" s="407"/>
      <c r="AV42" s="407"/>
      <c r="AW42" s="407"/>
      <c r="AX42" s="407"/>
      <c r="AY42" s="407"/>
      <c r="AZ42" s="407"/>
      <c r="BA42" s="407"/>
      <c r="BB42" s="407"/>
      <c r="BC42" s="407"/>
      <c r="BD42" s="407"/>
      <c r="BE42" s="407"/>
      <c r="BF42" s="407"/>
      <c r="BG42" s="407"/>
    </row>
    <row r="43" spans="1:59" s="417" customFormat="1" x14ac:dyDescent="0.25">
      <c r="A43" s="1148" t="s">
        <v>785</v>
      </c>
      <c r="B43" s="270" t="s">
        <v>587</v>
      </c>
      <c r="C43" s="270" t="s">
        <v>587</v>
      </c>
      <c r="D43" s="270" t="s">
        <v>587</v>
      </c>
      <c r="E43" s="270" t="s">
        <v>587</v>
      </c>
      <c r="F43" s="407"/>
      <c r="G43" s="407"/>
      <c r="H43" s="407"/>
      <c r="I43" s="407"/>
      <c r="J43" s="407"/>
      <c r="K43" s="407"/>
      <c r="L43" s="407"/>
      <c r="M43" s="407"/>
      <c r="N43" s="407"/>
      <c r="O43" s="407"/>
      <c r="P43" s="407"/>
      <c r="Q43" s="407"/>
      <c r="R43" s="407"/>
      <c r="S43" s="407"/>
      <c r="T43" s="407"/>
      <c r="U43" s="407"/>
      <c r="V43" s="407"/>
      <c r="W43" s="407"/>
      <c r="X43" s="407"/>
      <c r="Y43" s="407"/>
      <c r="Z43" s="407"/>
      <c r="AA43" s="407"/>
      <c r="AB43" s="407"/>
      <c r="AC43" s="407"/>
      <c r="AD43" s="407"/>
      <c r="AE43" s="407"/>
      <c r="AF43" s="407"/>
      <c r="AG43" s="407"/>
      <c r="AH43" s="407"/>
      <c r="AI43" s="407"/>
      <c r="AJ43" s="407"/>
      <c r="AK43" s="407"/>
      <c r="AL43" s="407"/>
      <c r="AM43" s="407"/>
      <c r="AN43" s="407"/>
      <c r="AO43" s="407"/>
      <c r="AP43" s="407"/>
      <c r="AQ43" s="407"/>
      <c r="AR43" s="407"/>
      <c r="AS43" s="407"/>
      <c r="AT43" s="407"/>
      <c r="AU43" s="407"/>
      <c r="AV43" s="407"/>
      <c r="AW43" s="407"/>
      <c r="AX43" s="407"/>
      <c r="AY43" s="407"/>
      <c r="AZ43" s="407"/>
      <c r="BA43" s="407"/>
      <c r="BB43" s="407"/>
      <c r="BC43" s="407"/>
      <c r="BD43" s="407"/>
      <c r="BE43" s="407"/>
      <c r="BF43" s="407"/>
      <c r="BG43" s="407"/>
    </row>
    <row r="44" spans="1:59" s="419" customFormat="1" x14ac:dyDescent="0.25">
      <c r="A44" s="418" t="s">
        <v>786</v>
      </c>
      <c r="B44" s="270" t="s">
        <v>587</v>
      </c>
      <c r="C44" s="270" t="s">
        <v>587</v>
      </c>
      <c r="D44" s="270" t="s">
        <v>587</v>
      </c>
      <c r="E44" s="270" t="s">
        <v>587</v>
      </c>
      <c r="F44" s="407"/>
      <c r="G44" s="407"/>
      <c r="H44" s="407"/>
      <c r="I44" s="407"/>
      <c r="J44" s="407"/>
      <c r="K44" s="407"/>
      <c r="L44" s="407"/>
      <c r="M44" s="407"/>
      <c r="N44" s="407"/>
      <c r="O44" s="407"/>
      <c r="P44" s="407"/>
      <c r="Q44" s="407"/>
      <c r="R44" s="407"/>
      <c r="S44" s="407"/>
      <c r="T44" s="407"/>
      <c r="U44" s="407"/>
      <c r="V44" s="407"/>
      <c r="W44" s="407"/>
      <c r="X44" s="407"/>
      <c r="Y44" s="407"/>
      <c r="Z44" s="407"/>
      <c r="AA44" s="407"/>
      <c r="AB44" s="407"/>
      <c r="AC44" s="407"/>
      <c r="AD44" s="407"/>
      <c r="AE44" s="407"/>
      <c r="AF44" s="407"/>
      <c r="AG44" s="407"/>
      <c r="AH44" s="407"/>
      <c r="AI44" s="407"/>
      <c r="AJ44" s="407"/>
      <c r="AK44" s="407"/>
      <c r="AL44" s="407"/>
      <c r="AM44" s="407"/>
      <c r="AN44" s="407"/>
      <c r="AO44" s="407"/>
      <c r="AP44" s="407"/>
      <c r="AQ44" s="407"/>
      <c r="AR44" s="407"/>
      <c r="AS44" s="407"/>
      <c r="AT44" s="407"/>
      <c r="AU44" s="407"/>
      <c r="AV44" s="407"/>
      <c r="AW44" s="407"/>
      <c r="AX44" s="407"/>
      <c r="AY44" s="407"/>
      <c r="AZ44" s="407"/>
      <c r="BA44" s="407"/>
      <c r="BB44" s="407"/>
      <c r="BC44" s="407"/>
      <c r="BD44" s="407"/>
      <c r="BE44" s="407"/>
      <c r="BF44" s="407"/>
      <c r="BG44" s="407"/>
    </row>
    <row r="45" spans="1:59" s="419" customFormat="1" x14ac:dyDescent="0.25">
      <c r="A45" s="418"/>
      <c r="B45" s="407"/>
      <c r="C45" s="407"/>
      <c r="D45" s="407"/>
      <c r="E45" s="407"/>
      <c r="F45" s="407"/>
      <c r="G45" s="407"/>
      <c r="H45" s="407"/>
      <c r="I45" s="407"/>
      <c r="J45" s="407"/>
      <c r="K45" s="407"/>
      <c r="L45" s="407"/>
      <c r="M45" s="407"/>
      <c r="N45" s="407"/>
      <c r="O45" s="407"/>
      <c r="P45" s="407"/>
      <c r="Q45" s="407"/>
      <c r="R45" s="407"/>
      <c r="S45" s="407"/>
      <c r="T45" s="407"/>
      <c r="U45" s="407"/>
      <c r="V45" s="407"/>
      <c r="W45" s="407"/>
      <c r="X45" s="407"/>
      <c r="Y45" s="407"/>
      <c r="Z45" s="407"/>
      <c r="AA45" s="407"/>
      <c r="AB45" s="407"/>
      <c r="AC45" s="407"/>
      <c r="AD45" s="407"/>
      <c r="AE45" s="407"/>
      <c r="AF45" s="407"/>
      <c r="AG45" s="407"/>
      <c r="AH45" s="407"/>
      <c r="AI45" s="407"/>
      <c r="AJ45" s="407"/>
      <c r="AK45" s="407"/>
      <c r="AL45" s="407"/>
      <c r="AM45" s="407"/>
      <c r="AN45" s="407"/>
      <c r="AO45" s="407"/>
      <c r="AP45" s="407"/>
      <c r="AQ45" s="407"/>
      <c r="AR45" s="407"/>
      <c r="AS45" s="407"/>
      <c r="AT45" s="407"/>
      <c r="AU45" s="407"/>
      <c r="AV45" s="407"/>
      <c r="AW45" s="407"/>
      <c r="AX45" s="407"/>
      <c r="AY45" s="407"/>
      <c r="AZ45" s="407"/>
      <c r="BA45" s="407"/>
      <c r="BB45" s="407"/>
      <c r="BC45" s="407"/>
      <c r="BD45" s="407"/>
      <c r="BE45" s="407"/>
      <c r="BF45" s="407"/>
      <c r="BG45" s="407"/>
    </row>
    <row r="46" spans="1:59" x14ac:dyDescent="0.25">
      <c r="A46" s="1149" t="s">
        <v>780</v>
      </c>
      <c r="C46" s="411"/>
      <c r="D46" s="411"/>
      <c r="E46" s="411"/>
      <c r="BC46" s="407"/>
      <c r="BD46" s="407"/>
      <c r="BE46" s="407"/>
      <c r="BF46" s="407"/>
      <c r="BG46" s="407"/>
    </row>
    <row r="47" spans="1:59" x14ac:dyDescent="0.25">
      <c r="A47" s="586" t="s">
        <v>828</v>
      </c>
      <c r="B47" s="273"/>
      <c r="C47" s="273"/>
      <c r="D47" s="273"/>
      <c r="E47" s="273"/>
      <c r="BC47" s="407"/>
      <c r="BD47" s="407"/>
      <c r="BE47" s="407"/>
      <c r="BF47" s="407"/>
      <c r="BG47" s="407"/>
    </row>
    <row r="48" spans="1:59" x14ac:dyDescent="0.25">
      <c r="A48" s="420" t="s">
        <v>821</v>
      </c>
      <c r="B48" s="274"/>
      <c r="C48" s="274"/>
      <c r="D48" s="274"/>
      <c r="E48" s="274"/>
      <c r="BC48" s="407"/>
      <c r="BD48" s="407"/>
      <c r="BE48" s="407"/>
      <c r="BF48" s="407"/>
      <c r="BG48" s="407"/>
    </row>
    <row r="49" spans="1:59" s="301" customFormat="1" x14ac:dyDescent="0.25">
      <c r="A49" s="1150" t="s">
        <v>781</v>
      </c>
      <c r="B49" s="270" t="s">
        <v>587</v>
      </c>
      <c r="C49" s="270" t="s">
        <v>587</v>
      </c>
      <c r="D49" s="270" t="s">
        <v>587</v>
      </c>
      <c r="E49" s="270" t="s">
        <v>587</v>
      </c>
      <c r="F49" s="407"/>
      <c r="G49" s="407"/>
      <c r="H49" s="407"/>
      <c r="I49" s="407"/>
      <c r="J49" s="407"/>
      <c r="K49" s="407"/>
      <c r="L49" s="407"/>
      <c r="M49" s="407"/>
      <c r="N49" s="407"/>
      <c r="O49" s="407"/>
      <c r="P49" s="407"/>
      <c r="Q49" s="407"/>
      <c r="R49" s="407"/>
      <c r="S49" s="407"/>
      <c r="T49" s="407"/>
      <c r="U49" s="407"/>
      <c r="V49" s="407"/>
      <c r="W49" s="407"/>
      <c r="X49" s="407"/>
      <c r="Y49" s="407"/>
      <c r="Z49" s="407"/>
      <c r="AA49" s="407"/>
      <c r="AB49" s="407"/>
      <c r="AC49" s="407"/>
      <c r="AD49" s="407"/>
      <c r="AE49" s="407"/>
      <c r="AF49" s="407"/>
      <c r="AG49" s="407"/>
      <c r="AH49" s="407"/>
      <c r="AI49" s="407"/>
      <c r="AJ49" s="407"/>
      <c r="AK49" s="407"/>
      <c r="AL49" s="407"/>
      <c r="AM49" s="407"/>
      <c r="AN49" s="407"/>
      <c r="AO49" s="407"/>
      <c r="AP49" s="407"/>
      <c r="AQ49" s="407"/>
      <c r="AR49" s="407"/>
      <c r="AS49" s="407"/>
      <c r="AT49" s="407"/>
      <c r="AU49" s="407"/>
      <c r="AV49" s="407"/>
      <c r="AW49" s="407"/>
      <c r="AX49" s="407"/>
      <c r="AY49" s="407"/>
      <c r="AZ49" s="407"/>
      <c r="BA49" s="407"/>
      <c r="BB49" s="407"/>
      <c r="BC49" s="407"/>
      <c r="BD49" s="407"/>
      <c r="BE49" s="407"/>
      <c r="BF49" s="407"/>
      <c r="BG49" s="407"/>
    </row>
    <row r="50" spans="1:59" s="301" customFormat="1" x14ac:dyDescent="0.25">
      <c r="A50" s="1150" t="s">
        <v>782</v>
      </c>
      <c r="B50" s="270" t="s">
        <v>587</v>
      </c>
      <c r="C50" s="270" t="s">
        <v>587</v>
      </c>
      <c r="D50" s="270" t="s">
        <v>587</v>
      </c>
      <c r="E50" s="270" t="s">
        <v>587</v>
      </c>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7"/>
      <c r="BC50" s="407"/>
      <c r="BD50" s="407"/>
      <c r="BE50" s="407"/>
      <c r="BF50" s="407"/>
      <c r="BG50" s="407"/>
    </row>
    <row r="51" spans="1:59" s="301" customFormat="1" x14ac:dyDescent="0.25">
      <c r="A51" s="1150" t="s">
        <v>783</v>
      </c>
      <c r="B51" s="270" t="s">
        <v>587</v>
      </c>
      <c r="C51" s="270" t="s">
        <v>587</v>
      </c>
      <c r="D51" s="270" t="s">
        <v>587</v>
      </c>
      <c r="E51" s="270" t="s">
        <v>587</v>
      </c>
      <c r="F51" s="407"/>
      <c r="G51" s="407"/>
      <c r="H51" s="407"/>
      <c r="I51" s="407"/>
      <c r="J51" s="407"/>
      <c r="K51" s="407"/>
      <c r="L51" s="407"/>
      <c r="M51" s="407"/>
      <c r="N51" s="407"/>
      <c r="O51" s="407"/>
      <c r="P51" s="407"/>
      <c r="Q51" s="407"/>
      <c r="R51" s="407"/>
      <c r="S51" s="407"/>
      <c r="T51" s="407"/>
      <c r="U51" s="407"/>
      <c r="V51" s="407"/>
      <c r="W51" s="407"/>
      <c r="X51" s="407"/>
      <c r="Y51" s="407"/>
      <c r="Z51" s="407"/>
      <c r="AA51" s="407"/>
      <c r="AB51" s="407"/>
      <c r="AC51" s="407"/>
      <c r="AD51" s="407"/>
      <c r="AE51" s="407"/>
      <c r="AF51" s="407"/>
      <c r="AG51" s="407"/>
      <c r="AH51" s="407"/>
      <c r="AI51" s="407"/>
      <c r="AJ51" s="407"/>
      <c r="AK51" s="407"/>
      <c r="AL51" s="407"/>
      <c r="AM51" s="407"/>
      <c r="AN51" s="407"/>
      <c r="AO51" s="407"/>
      <c r="AP51" s="407"/>
      <c r="AQ51" s="407"/>
      <c r="AR51" s="407"/>
      <c r="AS51" s="407"/>
      <c r="AT51" s="407"/>
      <c r="AU51" s="407"/>
      <c r="AV51" s="407"/>
      <c r="AW51" s="407"/>
      <c r="AX51" s="407"/>
      <c r="AY51" s="407"/>
      <c r="AZ51" s="407"/>
      <c r="BA51" s="407"/>
      <c r="BB51" s="407"/>
      <c r="BC51" s="407"/>
      <c r="BD51" s="407"/>
      <c r="BE51" s="407"/>
      <c r="BF51" s="407"/>
      <c r="BG51" s="407"/>
    </row>
    <row r="52" spans="1:59" s="301" customFormat="1" x14ac:dyDescent="0.25">
      <c r="A52" s="1150" t="s">
        <v>784</v>
      </c>
      <c r="B52" s="270" t="s">
        <v>587</v>
      </c>
      <c r="C52" s="270" t="s">
        <v>587</v>
      </c>
      <c r="D52" s="270" t="s">
        <v>587</v>
      </c>
      <c r="E52" s="270" t="s">
        <v>587</v>
      </c>
      <c r="F52" s="407"/>
      <c r="G52" s="407"/>
      <c r="H52" s="407"/>
      <c r="I52" s="407"/>
      <c r="J52" s="407"/>
      <c r="K52" s="407"/>
      <c r="L52" s="407"/>
      <c r="M52" s="407"/>
      <c r="N52" s="407"/>
      <c r="O52" s="407"/>
      <c r="P52" s="407"/>
      <c r="Q52" s="407"/>
      <c r="R52" s="407"/>
      <c r="S52" s="407"/>
      <c r="T52" s="407"/>
      <c r="U52" s="407"/>
      <c r="V52" s="407"/>
      <c r="W52" s="407"/>
      <c r="X52" s="407"/>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7"/>
      <c r="BC52" s="407"/>
      <c r="BD52" s="407"/>
      <c r="BE52" s="407"/>
      <c r="BF52" s="407"/>
      <c r="BG52" s="407"/>
    </row>
    <row r="53" spans="1:59" s="301" customFormat="1" x14ac:dyDescent="0.25">
      <c r="A53" s="1151" t="str">
        <f>"IN "&amp;VLOOKUP("Mamografia",IN_ANVISA[],2)</f>
        <v>IN 92</v>
      </c>
      <c r="B53" s="410" t="str">
        <f>IFERROR(IF(B49="*","NPA",IF(B48="",IF(OR(B48&lt;33,B48&gt;37),"Não","Sim"),IF(ABS(B49-B48)&gt;(B48*B47),"Não","Sim"))),"NPA")</f>
        <v>NPA</v>
      </c>
      <c r="C53" s="410" t="str">
        <f>IFERROR(IF(C49="*","NPA",IF(C48="",IF(OR(C48&lt;33,C48&gt;37),"Não","Sim"),IF(ABS(C49-C48)&gt;(C48*C47),"Não","Sim"))),"NPA")</f>
        <v>NPA</v>
      </c>
      <c r="D53" s="410" t="str">
        <f>IFERROR(IF(D49="*","NPA",IF(D48="",IF(OR(D48&lt;33,D48&gt;37),"Não","Sim"),IF(ABS(D49-D48)&gt;(D48*D47),"Não","Sim"))),"NPA")</f>
        <v>NPA</v>
      </c>
      <c r="E53" s="410" t="str">
        <f>IFERROR(IF(E49="*","NPA",IF(E48="",IF(OR(E48&lt;33,E48&gt;37),"Não","Sim"),IF(ABS(E49-E48)&gt;(E48*E47),"Não","Sim"))),"NPA")</f>
        <v>NPA</v>
      </c>
      <c r="F53" s="407"/>
      <c r="G53" s="407"/>
      <c r="H53" s="407"/>
      <c r="I53" s="407"/>
      <c r="J53" s="407"/>
      <c r="K53" s="407"/>
      <c r="L53" s="407"/>
      <c r="M53" s="407"/>
      <c r="N53" s="407"/>
      <c r="O53" s="407"/>
      <c r="P53" s="407"/>
      <c r="Q53" s="407"/>
      <c r="R53" s="407"/>
      <c r="S53" s="407"/>
      <c r="T53" s="407"/>
      <c r="U53" s="407"/>
      <c r="V53" s="407"/>
      <c r="W53" s="407"/>
      <c r="X53" s="407"/>
      <c r="Y53" s="407"/>
      <c r="Z53" s="407"/>
      <c r="AA53" s="407"/>
      <c r="AB53" s="407"/>
      <c r="AC53" s="407"/>
      <c r="AD53" s="407"/>
      <c r="AE53" s="407"/>
      <c r="AF53" s="407"/>
      <c r="AG53" s="407"/>
      <c r="AH53" s="407"/>
      <c r="AI53" s="407"/>
      <c r="AJ53" s="407"/>
      <c r="AK53" s="407"/>
      <c r="AL53" s="407"/>
      <c r="AM53" s="407"/>
      <c r="AN53" s="407"/>
      <c r="AO53" s="407"/>
      <c r="AP53" s="407"/>
      <c r="AQ53" s="407"/>
      <c r="AR53" s="407"/>
      <c r="AS53" s="407"/>
      <c r="AT53" s="407"/>
      <c r="AU53" s="407"/>
      <c r="AV53" s="407"/>
      <c r="AW53" s="407"/>
      <c r="AX53" s="407"/>
      <c r="AY53" s="407"/>
      <c r="AZ53" s="407"/>
      <c r="BA53" s="407"/>
      <c r="BB53" s="407"/>
      <c r="BC53" s="407"/>
      <c r="BD53" s="407"/>
      <c r="BE53" s="407"/>
      <c r="BF53" s="407"/>
      <c r="BG53" s="407"/>
    </row>
    <row r="54" spans="1:59" s="419" customFormat="1" x14ac:dyDescent="0.25">
      <c r="A54" s="1152"/>
      <c r="B54" s="407"/>
      <c r="C54" s="407"/>
      <c r="D54" s="407"/>
      <c r="E54" s="407"/>
      <c r="F54" s="407"/>
      <c r="G54" s="407"/>
      <c r="H54" s="407"/>
      <c r="I54" s="407"/>
      <c r="J54" s="407"/>
      <c r="K54" s="407"/>
      <c r="L54" s="407"/>
      <c r="M54" s="407"/>
      <c r="N54" s="407"/>
      <c r="O54" s="407"/>
      <c r="P54" s="407"/>
      <c r="Q54" s="407"/>
      <c r="R54" s="407"/>
      <c r="S54" s="407"/>
      <c r="T54" s="407"/>
      <c r="U54" s="407"/>
      <c r="V54" s="407"/>
      <c r="W54" s="407"/>
      <c r="X54" s="407"/>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7"/>
      <c r="BC54" s="407"/>
      <c r="BD54" s="407"/>
      <c r="BE54" s="407"/>
      <c r="BF54" s="407"/>
      <c r="BG54" s="407"/>
    </row>
    <row r="55" spans="1:59" s="419" customFormat="1" ht="16.5" thickBot="1" x14ac:dyDescent="0.3">
      <c r="A55" s="1147" t="s">
        <v>814</v>
      </c>
      <c r="B55" s="407"/>
      <c r="C55" s="407"/>
      <c r="D55" s="407"/>
      <c r="E55" s="407"/>
      <c r="F55" s="407"/>
      <c r="H55" s="407"/>
      <c r="I55" s="407"/>
      <c r="J55" s="407"/>
      <c r="K55" s="407"/>
      <c r="L55" s="407"/>
      <c r="M55" s="407"/>
      <c r="N55" s="407"/>
      <c r="O55" s="407"/>
      <c r="P55" s="407"/>
      <c r="Q55" s="407"/>
      <c r="R55" s="407"/>
      <c r="S55" s="407"/>
      <c r="T55" s="407"/>
      <c r="U55" s="407"/>
      <c r="V55" s="407"/>
      <c r="W55" s="407"/>
      <c r="X55" s="407"/>
      <c r="Y55" s="407"/>
      <c r="Z55" s="407"/>
      <c r="AA55" s="407"/>
      <c r="AB55" s="407"/>
      <c r="AC55" s="407"/>
      <c r="AD55" s="407"/>
      <c r="AE55" s="407"/>
      <c r="AF55" s="407"/>
      <c r="AG55" s="407"/>
      <c r="AH55" s="407"/>
      <c r="AI55" s="407"/>
      <c r="AJ55" s="407"/>
      <c r="AK55" s="407"/>
      <c r="AL55" s="407"/>
      <c r="AM55" s="407"/>
      <c r="AN55" s="407"/>
      <c r="AO55" s="407"/>
      <c r="AP55" s="407"/>
      <c r="AQ55" s="407"/>
      <c r="AR55" s="407"/>
      <c r="AS55" s="407"/>
      <c r="AT55" s="407"/>
      <c r="AU55" s="407"/>
      <c r="AV55" s="407"/>
      <c r="AW55" s="407"/>
      <c r="AX55" s="407"/>
      <c r="AY55" s="407"/>
      <c r="AZ55" s="407"/>
      <c r="BA55" s="407"/>
      <c r="BB55" s="407"/>
      <c r="BC55" s="407"/>
      <c r="BD55" s="407"/>
      <c r="BE55" s="407"/>
      <c r="BF55" s="407"/>
      <c r="BG55" s="407"/>
    </row>
    <row r="56" spans="1:59" s="421" customFormat="1" x14ac:dyDescent="0.2">
      <c r="A56" s="1153" t="s">
        <v>820</v>
      </c>
      <c r="B56" s="893">
        <v>1</v>
      </c>
      <c r="C56" s="893">
        <v>2</v>
      </c>
      <c r="D56" s="893">
        <v>3</v>
      </c>
      <c r="E56" s="893">
        <v>4</v>
      </c>
      <c r="F56" s="894" t="s">
        <v>823</v>
      </c>
      <c r="G56" s="895">
        <f>B56</f>
        <v>1</v>
      </c>
      <c r="H56" s="895">
        <f>C56</f>
        <v>2</v>
      </c>
      <c r="I56" s="895">
        <f>D56</f>
        <v>3</v>
      </c>
      <c r="J56" s="895">
        <f>E56</f>
        <v>4</v>
      </c>
      <c r="K56" s="407"/>
      <c r="L56" s="407"/>
      <c r="M56" s="407"/>
      <c r="N56" s="407"/>
      <c r="O56" s="407"/>
      <c r="P56" s="407"/>
      <c r="Q56" s="407"/>
      <c r="R56" s="407"/>
      <c r="S56" s="407"/>
      <c r="T56" s="407"/>
      <c r="U56" s="407"/>
      <c r="V56" s="407"/>
      <c r="W56" s="407"/>
      <c r="X56" s="407"/>
      <c r="Y56" s="407"/>
      <c r="Z56" s="407"/>
      <c r="AA56" s="407"/>
      <c r="AB56" s="407"/>
      <c r="AC56" s="407"/>
      <c r="AD56" s="407"/>
      <c r="AE56" s="407"/>
      <c r="AF56" s="407"/>
      <c r="AG56" s="407"/>
      <c r="AH56" s="407"/>
      <c r="AI56" s="407"/>
      <c r="AJ56" s="407"/>
      <c r="AK56" s="407"/>
      <c r="AL56" s="407"/>
      <c r="AM56" s="407"/>
      <c r="AN56" s="407"/>
      <c r="AO56" s="407"/>
      <c r="AP56" s="407"/>
      <c r="AQ56" s="407"/>
      <c r="AR56" s="407"/>
      <c r="AS56" s="407"/>
      <c r="AT56" s="407"/>
      <c r="AU56" s="407"/>
      <c r="AV56" s="407"/>
      <c r="AW56" s="407"/>
      <c r="AX56" s="407"/>
      <c r="AY56" s="407"/>
      <c r="AZ56" s="407"/>
      <c r="BA56" s="407"/>
      <c r="BB56" s="407"/>
      <c r="BC56" s="407"/>
      <c r="BD56" s="407"/>
      <c r="BE56" s="407"/>
      <c r="BF56" s="407"/>
      <c r="BG56" s="407"/>
    </row>
    <row r="57" spans="1:59" x14ac:dyDescent="0.25">
      <c r="A57" s="1154">
        <v>1</v>
      </c>
      <c r="B57" s="269"/>
      <c r="C57" s="269"/>
      <c r="D57" s="269"/>
      <c r="E57" s="269"/>
      <c r="F57" s="275"/>
      <c r="G57" s="422">
        <f>ABS($F57-B57)</f>
        <v>0</v>
      </c>
      <c r="H57" s="422">
        <f>ABS($F57-C57)</f>
        <v>0</v>
      </c>
      <c r="I57" s="422">
        <f>ABS($F57-D57)</f>
        <v>0</v>
      </c>
      <c r="J57" s="422">
        <f>ABS($F57-E57)</f>
        <v>0</v>
      </c>
      <c r="BC57" s="407"/>
      <c r="BD57" s="407"/>
      <c r="BE57" s="407"/>
      <c r="BF57" s="407"/>
      <c r="BG57" s="407"/>
    </row>
    <row r="58" spans="1:59" x14ac:dyDescent="0.25">
      <c r="A58" s="1154">
        <v>2</v>
      </c>
      <c r="B58" s="269"/>
      <c r="C58" s="269"/>
      <c r="D58" s="269"/>
      <c r="E58" s="269"/>
      <c r="F58" s="275"/>
      <c r="G58" s="422">
        <f t="shared" ref="G58:G77" si="0">ABS($F58-B58)</f>
        <v>0</v>
      </c>
      <c r="H58" s="422">
        <f t="shared" ref="H58:H77" si="1">ABS($F58-C58)</f>
        <v>0</v>
      </c>
      <c r="I58" s="422">
        <f t="shared" ref="I58:I77" si="2">ABS($F58-D58)</f>
        <v>0</v>
      </c>
      <c r="J58" s="422">
        <f t="shared" ref="J58:J77" si="3">ABS($F58-E58)</f>
        <v>0</v>
      </c>
      <c r="BC58" s="407"/>
      <c r="BD58" s="407"/>
      <c r="BE58" s="407"/>
      <c r="BF58" s="407"/>
      <c r="BG58" s="407"/>
    </row>
    <row r="59" spans="1:59" x14ac:dyDescent="0.25">
      <c r="A59" s="1154">
        <v>3</v>
      </c>
      <c r="B59" s="269"/>
      <c r="C59" s="269"/>
      <c r="D59" s="269"/>
      <c r="E59" s="269"/>
      <c r="F59" s="275"/>
      <c r="G59" s="422">
        <f t="shared" si="0"/>
        <v>0</v>
      </c>
      <c r="H59" s="422">
        <f t="shared" si="1"/>
        <v>0</v>
      </c>
      <c r="I59" s="422">
        <f t="shared" si="2"/>
        <v>0</v>
      </c>
      <c r="J59" s="422">
        <f t="shared" si="3"/>
        <v>0</v>
      </c>
      <c r="BC59" s="407"/>
      <c r="BD59" s="407"/>
      <c r="BE59" s="407"/>
      <c r="BF59" s="407"/>
      <c r="BG59" s="407"/>
    </row>
    <row r="60" spans="1:59" x14ac:dyDescent="0.25">
      <c r="A60" s="1154">
        <v>4</v>
      </c>
      <c r="B60" s="269"/>
      <c r="C60" s="269"/>
      <c r="D60" s="269"/>
      <c r="E60" s="269"/>
      <c r="F60" s="275"/>
      <c r="G60" s="422">
        <f t="shared" si="0"/>
        <v>0</v>
      </c>
      <c r="H60" s="422">
        <f t="shared" si="1"/>
        <v>0</v>
      </c>
      <c r="I60" s="422">
        <f t="shared" si="2"/>
        <v>0</v>
      </c>
      <c r="J60" s="422">
        <f t="shared" si="3"/>
        <v>0</v>
      </c>
      <c r="BC60" s="407"/>
      <c r="BD60" s="407"/>
      <c r="BE60" s="407"/>
      <c r="BF60" s="407"/>
      <c r="BG60" s="407"/>
    </row>
    <row r="61" spans="1:59" x14ac:dyDescent="0.25">
      <c r="A61" s="1154">
        <v>5</v>
      </c>
      <c r="B61" s="269"/>
      <c r="C61" s="269"/>
      <c r="D61" s="269"/>
      <c r="E61" s="269"/>
      <c r="F61" s="275"/>
      <c r="G61" s="422">
        <f t="shared" si="0"/>
        <v>0</v>
      </c>
      <c r="H61" s="422">
        <f t="shared" si="1"/>
        <v>0</v>
      </c>
      <c r="I61" s="422">
        <f t="shared" si="2"/>
        <v>0</v>
      </c>
      <c r="J61" s="422">
        <f t="shared" si="3"/>
        <v>0</v>
      </c>
      <c r="BC61" s="407"/>
      <c r="BD61" s="407"/>
      <c r="BE61" s="407"/>
      <c r="BF61" s="407"/>
      <c r="BG61" s="407"/>
    </row>
    <row r="62" spans="1:59" x14ac:dyDescent="0.25">
      <c r="A62" s="1154">
        <v>6</v>
      </c>
      <c r="B62" s="269"/>
      <c r="C62" s="269"/>
      <c r="D62" s="269"/>
      <c r="E62" s="269"/>
      <c r="F62" s="275"/>
      <c r="G62" s="422">
        <f t="shared" si="0"/>
        <v>0</v>
      </c>
      <c r="H62" s="422">
        <f t="shared" si="1"/>
        <v>0</v>
      </c>
      <c r="I62" s="422">
        <f t="shared" si="2"/>
        <v>0</v>
      </c>
      <c r="J62" s="422">
        <f t="shared" si="3"/>
        <v>0</v>
      </c>
      <c r="BC62" s="407"/>
      <c r="BD62" s="407"/>
      <c r="BE62" s="407"/>
      <c r="BF62" s="407"/>
      <c r="BG62" s="407"/>
    </row>
    <row r="63" spans="1:59" x14ac:dyDescent="0.25">
      <c r="A63" s="1154">
        <v>7</v>
      </c>
      <c r="B63" s="269"/>
      <c r="C63" s="269"/>
      <c r="D63" s="269"/>
      <c r="E63" s="269"/>
      <c r="F63" s="275"/>
      <c r="G63" s="422">
        <f t="shared" si="0"/>
        <v>0</v>
      </c>
      <c r="H63" s="422">
        <f t="shared" si="1"/>
        <v>0</v>
      </c>
      <c r="I63" s="422">
        <f t="shared" si="2"/>
        <v>0</v>
      </c>
      <c r="J63" s="422">
        <f t="shared" si="3"/>
        <v>0</v>
      </c>
      <c r="BC63" s="407"/>
      <c r="BD63" s="407"/>
      <c r="BE63" s="407"/>
      <c r="BF63" s="407"/>
      <c r="BG63" s="407"/>
    </row>
    <row r="64" spans="1:59" x14ac:dyDescent="0.25">
      <c r="A64" s="1154">
        <v>8</v>
      </c>
      <c r="B64" s="269"/>
      <c r="C64" s="269"/>
      <c r="D64" s="269"/>
      <c r="E64" s="269"/>
      <c r="F64" s="275"/>
      <c r="G64" s="422">
        <f t="shared" si="0"/>
        <v>0</v>
      </c>
      <c r="H64" s="422">
        <f t="shared" si="1"/>
        <v>0</v>
      </c>
      <c r="I64" s="422">
        <f t="shared" si="2"/>
        <v>0</v>
      </c>
      <c r="J64" s="422">
        <f t="shared" si="3"/>
        <v>0</v>
      </c>
      <c r="BC64" s="407"/>
      <c r="BD64" s="407"/>
      <c r="BE64" s="407"/>
      <c r="BF64" s="407"/>
      <c r="BG64" s="407"/>
    </row>
    <row r="65" spans="1:59" x14ac:dyDescent="0.25">
      <c r="A65" s="1154">
        <v>9</v>
      </c>
      <c r="B65" s="269"/>
      <c r="C65" s="269"/>
      <c r="D65" s="269"/>
      <c r="E65" s="269"/>
      <c r="F65" s="275"/>
      <c r="G65" s="422">
        <f t="shared" si="0"/>
        <v>0</v>
      </c>
      <c r="H65" s="422">
        <f t="shared" si="1"/>
        <v>0</v>
      </c>
      <c r="I65" s="422">
        <f t="shared" si="2"/>
        <v>0</v>
      </c>
      <c r="J65" s="422">
        <f t="shared" si="3"/>
        <v>0</v>
      </c>
      <c r="BC65" s="407"/>
      <c r="BD65" s="407"/>
      <c r="BE65" s="407"/>
      <c r="BF65" s="407"/>
      <c r="BG65" s="407"/>
    </row>
    <row r="66" spans="1:59" x14ac:dyDescent="0.25">
      <c r="A66" s="1154">
        <v>10</v>
      </c>
      <c r="B66" s="269"/>
      <c r="C66" s="269"/>
      <c r="D66" s="269"/>
      <c r="E66" s="269"/>
      <c r="F66" s="275"/>
      <c r="G66" s="422">
        <f t="shared" si="0"/>
        <v>0</v>
      </c>
      <c r="H66" s="422">
        <f t="shared" si="1"/>
        <v>0</v>
      </c>
      <c r="I66" s="422">
        <f t="shared" si="2"/>
        <v>0</v>
      </c>
      <c r="J66" s="422">
        <f t="shared" si="3"/>
        <v>0</v>
      </c>
      <c r="BC66" s="407"/>
      <c r="BD66" s="407"/>
      <c r="BE66" s="407"/>
      <c r="BF66" s="407"/>
      <c r="BG66" s="407"/>
    </row>
    <row r="67" spans="1:59" x14ac:dyDescent="0.25">
      <c r="A67" s="1154">
        <v>11</v>
      </c>
      <c r="B67" s="269"/>
      <c r="C67" s="269"/>
      <c r="D67" s="269"/>
      <c r="E67" s="269"/>
      <c r="F67" s="275"/>
      <c r="G67" s="422">
        <f t="shared" si="0"/>
        <v>0</v>
      </c>
      <c r="H67" s="422">
        <f t="shared" si="1"/>
        <v>0</v>
      </c>
      <c r="I67" s="422">
        <f t="shared" si="2"/>
        <v>0</v>
      </c>
      <c r="J67" s="422">
        <f t="shared" si="3"/>
        <v>0</v>
      </c>
      <c r="BC67" s="407"/>
      <c r="BD67" s="407"/>
      <c r="BE67" s="407"/>
      <c r="BF67" s="407"/>
      <c r="BG67" s="407"/>
    </row>
    <row r="68" spans="1:59" x14ac:dyDescent="0.25">
      <c r="A68" s="1154">
        <v>12</v>
      </c>
      <c r="B68" s="269"/>
      <c r="C68" s="269"/>
      <c r="D68" s="269"/>
      <c r="E68" s="269"/>
      <c r="F68" s="275"/>
      <c r="G68" s="422">
        <f t="shared" si="0"/>
        <v>0</v>
      </c>
      <c r="H68" s="422">
        <f t="shared" si="1"/>
        <v>0</v>
      </c>
      <c r="I68" s="422">
        <f t="shared" si="2"/>
        <v>0</v>
      </c>
      <c r="J68" s="422">
        <f t="shared" si="3"/>
        <v>0</v>
      </c>
      <c r="BC68" s="407"/>
      <c r="BD68" s="407"/>
      <c r="BE68" s="407"/>
      <c r="BF68" s="407"/>
      <c r="BG68" s="407"/>
    </row>
    <row r="69" spans="1:59" x14ac:dyDescent="0.25">
      <c r="A69" s="1154">
        <v>13</v>
      </c>
      <c r="B69" s="269"/>
      <c r="C69" s="269"/>
      <c r="D69" s="269"/>
      <c r="E69" s="269"/>
      <c r="F69" s="275"/>
      <c r="G69" s="422">
        <f t="shared" si="0"/>
        <v>0</v>
      </c>
      <c r="H69" s="422">
        <f t="shared" si="1"/>
        <v>0</v>
      </c>
      <c r="I69" s="422">
        <f t="shared" si="2"/>
        <v>0</v>
      </c>
      <c r="J69" s="422">
        <f t="shared" si="3"/>
        <v>0</v>
      </c>
      <c r="BC69" s="407"/>
      <c r="BD69" s="407"/>
      <c r="BE69" s="407"/>
      <c r="BF69" s="407"/>
      <c r="BG69" s="407"/>
    </row>
    <row r="70" spans="1:59" x14ac:dyDescent="0.25">
      <c r="A70" s="1154">
        <v>14</v>
      </c>
      <c r="B70" s="269"/>
      <c r="C70" s="269"/>
      <c r="D70" s="269"/>
      <c r="E70" s="269"/>
      <c r="F70" s="275"/>
      <c r="G70" s="422">
        <f t="shared" si="0"/>
        <v>0</v>
      </c>
      <c r="H70" s="422">
        <f t="shared" si="1"/>
        <v>0</v>
      </c>
      <c r="I70" s="422">
        <f t="shared" si="2"/>
        <v>0</v>
      </c>
      <c r="J70" s="422">
        <f t="shared" si="3"/>
        <v>0</v>
      </c>
      <c r="BC70" s="407"/>
      <c r="BD70" s="407"/>
      <c r="BE70" s="407"/>
      <c r="BF70" s="407"/>
      <c r="BG70" s="407"/>
    </row>
    <row r="71" spans="1:59" x14ac:dyDescent="0.25">
      <c r="A71" s="1154">
        <v>15</v>
      </c>
      <c r="B71" s="269"/>
      <c r="C71" s="269"/>
      <c r="D71" s="269"/>
      <c r="E71" s="269"/>
      <c r="F71" s="275"/>
      <c r="G71" s="422">
        <f t="shared" si="0"/>
        <v>0</v>
      </c>
      <c r="H71" s="422">
        <f t="shared" si="1"/>
        <v>0</v>
      </c>
      <c r="I71" s="422">
        <f t="shared" si="2"/>
        <v>0</v>
      </c>
      <c r="J71" s="422">
        <f t="shared" si="3"/>
        <v>0</v>
      </c>
      <c r="BC71" s="407"/>
      <c r="BD71" s="407"/>
      <c r="BE71" s="407"/>
      <c r="BF71" s="407"/>
      <c r="BG71" s="407"/>
    </row>
    <row r="72" spans="1:59" x14ac:dyDescent="0.25">
      <c r="A72" s="1154">
        <v>16</v>
      </c>
      <c r="B72" s="269"/>
      <c r="C72" s="269"/>
      <c r="D72" s="269"/>
      <c r="E72" s="269"/>
      <c r="F72" s="275"/>
      <c r="G72" s="422">
        <f t="shared" si="0"/>
        <v>0</v>
      </c>
      <c r="H72" s="422">
        <f t="shared" si="1"/>
        <v>0</v>
      </c>
      <c r="I72" s="422">
        <f t="shared" si="2"/>
        <v>0</v>
      </c>
      <c r="J72" s="422">
        <f t="shared" si="3"/>
        <v>0</v>
      </c>
      <c r="BC72" s="407"/>
      <c r="BD72" s="407"/>
      <c r="BE72" s="407"/>
      <c r="BF72" s="407"/>
      <c r="BG72" s="407"/>
    </row>
    <row r="73" spans="1:59" x14ac:dyDescent="0.25">
      <c r="A73" s="1154">
        <v>17</v>
      </c>
      <c r="B73" s="269"/>
      <c r="C73" s="269"/>
      <c r="D73" s="269"/>
      <c r="E73" s="269"/>
      <c r="F73" s="275"/>
      <c r="G73" s="422">
        <f t="shared" si="0"/>
        <v>0</v>
      </c>
      <c r="H73" s="422">
        <f t="shared" si="1"/>
        <v>0</v>
      </c>
      <c r="I73" s="422">
        <f t="shared" si="2"/>
        <v>0</v>
      </c>
      <c r="J73" s="422">
        <f t="shared" si="3"/>
        <v>0</v>
      </c>
      <c r="BC73" s="407"/>
      <c r="BD73" s="407"/>
      <c r="BE73" s="407"/>
      <c r="BF73" s="407"/>
      <c r="BG73" s="407"/>
    </row>
    <row r="74" spans="1:59" x14ac:dyDescent="0.25">
      <c r="A74" s="1154">
        <v>18</v>
      </c>
      <c r="B74" s="269"/>
      <c r="C74" s="269"/>
      <c r="D74" s="269"/>
      <c r="E74" s="269"/>
      <c r="F74" s="275"/>
      <c r="G74" s="422">
        <f t="shared" si="0"/>
        <v>0</v>
      </c>
      <c r="H74" s="422">
        <f t="shared" si="1"/>
        <v>0</v>
      </c>
      <c r="I74" s="422">
        <f t="shared" si="2"/>
        <v>0</v>
      </c>
      <c r="J74" s="422">
        <f t="shared" si="3"/>
        <v>0</v>
      </c>
      <c r="BC74" s="407"/>
      <c r="BD74" s="407"/>
      <c r="BE74" s="407"/>
      <c r="BF74" s="407"/>
      <c r="BG74" s="407"/>
    </row>
    <row r="75" spans="1:59" x14ac:dyDescent="0.25">
      <c r="A75" s="1154">
        <v>19</v>
      </c>
      <c r="B75" s="269"/>
      <c r="C75" s="269"/>
      <c r="D75" s="269"/>
      <c r="E75" s="269"/>
      <c r="F75" s="275"/>
      <c r="G75" s="422">
        <f t="shared" si="0"/>
        <v>0</v>
      </c>
      <c r="H75" s="422">
        <f t="shared" si="1"/>
        <v>0</v>
      </c>
      <c r="I75" s="422">
        <f t="shared" si="2"/>
        <v>0</v>
      </c>
      <c r="J75" s="422">
        <f t="shared" si="3"/>
        <v>0</v>
      </c>
      <c r="BC75" s="407"/>
      <c r="BD75" s="407"/>
      <c r="BE75" s="407"/>
      <c r="BF75" s="407"/>
      <c r="BG75" s="407"/>
    </row>
    <row r="76" spans="1:59" x14ac:dyDescent="0.25">
      <c r="A76" s="1154">
        <v>20</v>
      </c>
      <c r="B76" s="269"/>
      <c r="C76" s="269"/>
      <c r="D76" s="269"/>
      <c r="E76" s="269"/>
      <c r="F76" s="275"/>
      <c r="G76" s="422">
        <f t="shared" si="0"/>
        <v>0</v>
      </c>
      <c r="H76" s="422">
        <f t="shared" si="1"/>
        <v>0</v>
      </c>
      <c r="I76" s="422">
        <f t="shared" si="2"/>
        <v>0</v>
      </c>
      <c r="J76" s="422">
        <f t="shared" si="3"/>
        <v>0</v>
      </c>
      <c r="BC76" s="407"/>
      <c r="BD76" s="407"/>
      <c r="BE76" s="407"/>
      <c r="BF76" s="407"/>
      <c r="BG76" s="407"/>
    </row>
    <row r="77" spans="1:59" ht="16.5" thickBot="1" x14ac:dyDescent="0.3">
      <c r="A77" s="1154">
        <v>21</v>
      </c>
      <c r="B77" s="269"/>
      <c r="C77" s="269"/>
      <c r="D77" s="269"/>
      <c r="E77" s="269"/>
      <c r="F77" s="276"/>
      <c r="G77" s="422">
        <f t="shared" si="0"/>
        <v>0</v>
      </c>
      <c r="H77" s="422">
        <f t="shared" si="1"/>
        <v>0</v>
      </c>
      <c r="I77" s="422">
        <f t="shared" si="2"/>
        <v>0</v>
      </c>
      <c r="J77" s="422">
        <f t="shared" si="3"/>
        <v>0</v>
      </c>
      <c r="BC77" s="407"/>
      <c r="BD77" s="407"/>
      <c r="BE77" s="407"/>
      <c r="BF77" s="407"/>
      <c r="BG77" s="407"/>
    </row>
    <row r="78" spans="1:59" x14ac:dyDescent="0.25">
      <c r="A78" s="1154"/>
      <c r="B78" s="423"/>
      <c r="C78" s="423"/>
      <c r="D78" s="423"/>
      <c r="E78" s="423"/>
      <c r="F78" s="424" t="s">
        <v>824</v>
      </c>
      <c r="G78" s="407">
        <f>MAX(G57:G77)</f>
        <v>0</v>
      </c>
      <c r="H78" s="407">
        <f>MAX(H57:H77)</f>
        <v>0</v>
      </c>
      <c r="I78" s="407">
        <f>MAX(I57:I77)</f>
        <v>0</v>
      </c>
      <c r="J78" s="407">
        <f>MAX(J57:J77)</f>
        <v>0</v>
      </c>
      <c r="BC78" s="407"/>
      <c r="BD78" s="407"/>
      <c r="BE78" s="407"/>
      <c r="BF78" s="407"/>
      <c r="BG78" s="407"/>
    </row>
    <row r="79" spans="1:59" hidden="1" x14ac:dyDescent="0.25">
      <c r="A79" s="1154" t="s">
        <v>787</v>
      </c>
      <c r="B79" s="425" t="e">
        <f>CHOOSE(B80,B57,B58,B59,B60,B61,B62,B63,B64,B65,B66,B67,B68,B69,B70,B71,B72,B73,B74,B75,B76,B77)</f>
        <v>#VALUE!</v>
      </c>
      <c r="C79" s="425" t="e">
        <f>CHOOSE(C80,C57,C58,C59,C60,C61,C62,C63,C64,C65,C66,C67,C68,C69,C70,C71,C72,C73,C74,C75,C76,C77)</f>
        <v>#VALUE!</v>
      </c>
      <c r="D79" s="425" t="e">
        <f>CHOOSE(D80,D57,D58,D59,D60,D61,D62,D63,D64,D65,D66,D67,D68,D69,D70,D71,D72,D73,D74,D75,D76,D77)</f>
        <v>#VALUE!</v>
      </c>
      <c r="E79" s="425" t="e">
        <f>CHOOSE(E80,E57,E58,E59,E60,E61,E62,E63,E64,E65,E66,E67,E68,E69,E70,E71,E72,E73,E74,E75,E76,E77)</f>
        <v>#VALUE!</v>
      </c>
      <c r="F79" s="425"/>
      <c r="G79" s="425"/>
      <c r="H79" s="425"/>
      <c r="I79" s="425"/>
      <c r="J79" s="425"/>
      <c r="K79" s="425"/>
      <c r="L79" s="425"/>
      <c r="M79" s="425"/>
      <c r="N79" s="425"/>
      <c r="O79" s="425"/>
      <c r="P79" s="425"/>
      <c r="Q79" s="425"/>
      <c r="R79" s="425"/>
      <c r="S79" s="425"/>
      <c r="T79" s="425"/>
      <c r="U79" s="425"/>
      <c r="V79" s="425"/>
      <c r="W79" s="425"/>
      <c r="X79" s="425"/>
      <c r="Y79" s="425"/>
      <c r="Z79" s="425"/>
      <c r="AA79" s="425"/>
      <c r="AB79" s="425"/>
      <c r="AC79" s="425"/>
      <c r="AD79" s="425"/>
      <c r="AE79" s="425"/>
      <c r="AF79" s="425"/>
      <c r="AG79" s="425"/>
      <c r="AH79" s="425"/>
      <c r="AI79" s="425"/>
      <c r="AJ79" s="425"/>
      <c r="AK79" s="425"/>
      <c r="AL79" s="425"/>
      <c r="AM79" s="425"/>
      <c r="AN79" s="425"/>
      <c r="AO79" s="425"/>
      <c r="AP79" s="425"/>
      <c r="AQ79" s="425"/>
      <c r="AR79" s="425"/>
      <c r="AS79" s="425"/>
      <c r="AT79" s="425"/>
      <c r="AU79" s="425"/>
      <c r="AV79" s="425"/>
      <c r="AW79" s="425"/>
      <c r="AX79" s="425"/>
      <c r="AY79" s="425"/>
      <c r="AZ79" s="425"/>
      <c r="BA79" s="425"/>
    </row>
    <row r="80" spans="1:59" hidden="1" x14ac:dyDescent="0.25">
      <c r="A80" s="1154" t="s">
        <v>788</v>
      </c>
      <c r="B80" s="426" t="e">
        <f>IF(MATCH(2+B87,B57:B77,1)+1=22,21,MATCH(2+B87,B57:B77,1)+1)</f>
        <v>#VALUE!</v>
      </c>
      <c r="C80" s="426" t="e">
        <f>IF(MATCH(2+C87,C57:C77,1)+1=22,21,MATCH(2+C87,C57:C77,1)+1)</f>
        <v>#VALUE!</v>
      </c>
      <c r="D80" s="426" t="e">
        <f>IF(MATCH(2+D87,D57:D77,1)+1=22,21,MATCH(2+D87,D57:D77,1)+1)</f>
        <v>#VALUE!</v>
      </c>
      <c r="E80" s="426" t="e">
        <f>IF(MATCH(2+E87,E57:E77,1)+1=22,21,MATCH(2+E87,E57:E77,1)+1)</f>
        <v>#VALUE!</v>
      </c>
      <c r="F80" s="426"/>
      <c r="G80" s="426"/>
      <c r="H80" s="426"/>
      <c r="I80" s="426"/>
      <c r="J80" s="426"/>
      <c r="K80" s="426"/>
      <c r="L80" s="426"/>
      <c r="M80" s="426"/>
      <c r="N80" s="426"/>
      <c r="O80" s="426"/>
      <c r="P80" s="426"/>
      <c r="Q80" s="426"/>
      <c r="R80" s="426"/>
      <c r="S80" s="426"/>
      <c r="T80" s="426"/>
      <c r="U80" s="426"/>
      <c r="V80" s="426"/>
      <c r="W80" s="426"/>
      <c r="X80" s="426"/>
      <c r="Y80" s="426"/>
      <c r="Z80" s="426"/>
      <c r="AA80" s="426"/>
      <c r="AB80" s="426"/>
      <c r="AC80" s="426"/>
      <c r="AD80" s="426"/>
      <c r="AE80" s="426"/>
      <c r="AF80" s="426"/>
      <c r="AG80" s="426"/>
      <c r="AH80" s="426"/>
      <c r="AI80" s="426"/>
      <c r="AJ80" s="426"/>
      <c r="AK80" s="426"/>
      <c r="AL80" s="426"/>
      <c r="AM80" s="426"/>
      <c r="AN80" s="426"/>
      <c r="AO80" s="426"/>
      <c r="AP80" s="426"/>
      <c r="AQ80" s="426"/>
      <c r="AR80" s="426"/>
      <c r="AS80" s="426"/>
      <c r="AT80" s="426"/>
      <c r="AU80" s="426"/>
      <c r="AV80" s="426"/>
      <c r="AW80" s="426"/>
      <c r="AX80" s="426"/>
      <c r="AY80" s="426"/>
      <c r="AZ80" s="426"/>
      <c r="BA80" s="426"/>
    </row>
    <row r="81" spans="1:53" hidden="1" x14ac:dyDescent="0.25">
      <c r="A81" s="1154" t="s">
        <v>789</v>
      </c>
      <c r="B81" s="425" t="e">
        <f>CHOOSE(B82,B57,B58,B59,B60,B61,B62,B63,B64,B65,B66,B67,B68,B69,B70,B71,B72,B73,B74,B75,B76,B77)</f>
        <v>#VALUE!</v>
      </c>
      <c r="C81" s="425" t="e">
        <f>CHOOSE(C82,C57,C58,C59,C60,C61,C62,C63,C64,C65,C66,C67,C68,C69,C70,C71,C72,C73,C74,C75,C76,C77)</f>
        <v>#VALUE!</v>
      </c>
      <c r="D81" s="425" t="e">
        <f>CHOOSE(D82,D57,D58,D59,D60,D61,D62,D63,D64,D65,D66,D67,D68,D69,D70,D71,D72,D73,D74,D75,D76,D77)</f>
        <v>#VALUE!</v>
      </c>
      <c r="E81" s="425" t="e">
        <f>CHOOSE(E82,E57,E58,E59,E60,E61,E62,E63,E64,E65,E66,E67,E68,E69,E70,E71,E72,E73,E74,E75,E76,E77)</f>
        <v>#VALUE!</v>
      </c>
      <c r="F81" s="425"/>
      <c r="G81" s="425"/>
      <c r="H81" s="425"/>
      <c r="I81" s="425"/>
      <c r="J81" s="425"/>
      <c r="K81" s="425"/>
      <c r="L81" s="425"/>
      <c r="M81" s="425"/>
      <c r="N81" s="425"/>
      <c r="O81" s="425"/>
      <c r="P81" s="425"/>
      <c r="Q81" s="425"/>
      <c r="R81" s="425"/>
      <c r="S81" s="425"/>
      <c r="T81" s="425"/>
      <c r="U81" s="425"/>
      <c r="V81" s="425"/>
      <c r="W81" s="425"/>
      <c r="X81" s="425"/>
      <c r="Y81" s="425"/>
      <c r="Z81" s="425"/>
      <c r="AA81" s="425"/>
      <c r="AB81" s="425"/>
      <c r="AC81" s="425"/>
      <c r="AD81" s="425"/>
      <c r="AE81" s="425"/>
      <c r="AF81" s="425"/>
      <c r="AG81" s="425"/>
      <c r="AH81" s="425"/>
      <c r="AI81" s="425"/>
      <c r="AJ81" s="425"/>
      <c r="AK81" s="425"/>
      <c r="AL81" s="425"/>
      <c r="AM81" s="425"/>
      <c r="AN81" s="425"/>
      <c r="AO81" s="425"/>
      <c r="AP81" s="425"/>
      <c r="AQ81" s="425"/>
      <c r="AR81" s="425"/>
      <c r="AS81" s="425"/>
      <c r="AT81" s="425"/>
      <c r="AU81" s="425"/>
      <c r="AV81" s="425"/>
      <c r="AW81" s="425"/>
      <c r="AX81" s="425"/>
      <c r="AY81" s="425"/>
      <c r="AZ81" s="425"/>
      <c r="BA81" s="425"/>
    </row>
    <row r="82" spans="1:53" hidden="1" x14ac:dyDescent="0.25">
      <c r="A82" s="1154" t="s">
        <v>790</v>
      </c>
      <c r="B82" s="423" t="e">
        <f>MATCH(0.25+B87,B57:B77,1)+1</f>
        <v>#VALUE!</v>
      </c>
      <c r="C82" s="423" t="e">
        <f>MATCH(0.25+C87,C57:C77,1)+1</f>
        <v>#VALUE!</v>
      </c>
      <c r="D82" s="423" t="e">
        <f>MATCH(0.25+D87,D57:D77,1)+1</f>
        <v>#VALUE!</v>
      </c>
      <c r="E82" s="423" t="e">
        <f>MATCH(0.25+E87,E57:E77,1)+1</f>
        <v>#VALUE!</v>
      </c>
      <c r="F82" s="423"/>
      <c r="G82" s="423"/>
      <c r="H82" s="423"/>
      <c r="I82" s="423"/>
      <c r="J82" s="423"/>
      <c r="K82" s="423"/>
      <c r="L82" s="423"/>
      <c r="M82" s="423"/>
      <c r="N82" s="423"/>
      <c r="O82" s="423"/>
      <c r="P82" s="423"/>
      <c r="Q82" s="423"/>
      <c r="R82" s="423"/>
      <c r="S82" s="423"/>
      <c r="T82" s="423"/>
      <c r="U82" s="423"/>
      <c r="V82" s="423"/>
      <c r="W82" s="423"/>
      <c r="X82" s="423"/>
      <c r="Y82" s="423"/>
      <c r="Z82" s="423"/>
      <c r="AA82" s="423"/>
      <c r="AB82" s="423"/>
      <c r="AC82" s="423"/>
      <c r="AD82" s="423"/>
      <c r="AE82" s="423"/>
      <c r="AF82" s="423"/>
      <c r="AG82" s="423"/>
      <c r="AH82" s="423"/>
      <c r="AI82" s="423"/>
      <c r="AJ82" s="423"/>
      <c r="AK82" s="423"/>
      <c r="AL82" s="423"/>
      <c r="AM82" s="423"/>
      <c r="AN82" s="423"/>
      <c r="AO82" s="423"/>
      <c r="AP82" s="423"/>
      <c r="AQ82" s="423"/>
      <c r="AR82" s="423"/>
      <c r="AS82" s="423"/>
      <c r="AT82" s="423"/>
      <c r="AU82" s="423"/>
      <c r="AV82" s="423"/>
      <c r="AW82" s="423"/>
      <c r="AX82" s="423"/>
      <c r="AY82" s="423"/>
      <c r="AZ82" s="423"/>
      <c r="BA82" s="423"/>
    </row>
    <row r="83" spans="1:53" hidden="1" x14ac:dyDescent="0.25">
      <c r="A83" s="1155"/>
      <c r="B83" s="423"/>
      <c r="C83" s="423"/>
      <c r="D83" s="423"/>
      <c r="E83" s="423"/>
      <c r="F83" s="423"/>
      <c r="G83" s="423"/>
      <c r="H83" s="423"/>
      <c r="I83" s="423"/>
      <c r="J83" s="423"/>
      <c r="K83" s="423"/>
      <c r="L83" s="423"/>
      <c r="M83" s="423"/>
      <c r="N83" s="423"/>
      <c r="O83" s="423"/>
      <c r="P83" s="423"/>
      <c r="Q83" s="423"/>
      <c r="R83" s="423"/>
      <c r="S83" s="423"/>
      <c r="T83" s="423"/>
      <c r="U83" s="423"/>
      <c r="V83" s="423"/>
      <c r="W83" s="423"/>
      <c r="X83" s="423"/>
      <c r="Y83" s="423"/>
      <c r="Z83" s="423"/>
      <c r="AA83" s="423"/>
      <c r="AB83" s="423"/>
      <c r="AC83" s="423"/>
      <c r="AD83" s="423"/>
      <c r="AE83" s="423"/>
      <c r="AF83" s="423"/>
      <c r="AG83" s="423"/>
      <c r="AH83" s="423"/>
      <c r="AI83" s="423"/>
      <c r="AJ83" s="423"/>
      <c r="AK83" s="423"/>
      <c r="AL83" s="423"/>
      <c r="AM83" s="423"/>
      <c r="AN83" s="423"/>
      <c r="AO83" s="423"/>
      <c r="AP83" s="423"/>
      <c r="AQ83" s="423"/>
      <c r="AR83" s="423"/>
      <c r="AS83" s="423"/>
      <c r="AT83" s="423"/>
      <c r="AU83" s="423"/>
      <c r="AV83" s="423"/>
      <c r="AW83" s="423"/>
      <c r="AX83" s="423"/>
      <c r="AY83" s="423"/>
      <c r="AZ83" s="423"/>
      <c r="BA83" s="423"/>
    </row>
    <row r="84" spans="1:53" hidden="1" x14ac:dyDescent="0.25">
      <c r="A84" s="1154" t="s">
        <v>791</v>
      </c>
      <c r="B84" s="423"/>
      <c r="C84" s="423"/>
      <c r="D84" s="423"/>
      <c r="E84" s="423"/>
      <c r="F84" s="423"/>
      <c r="G84" s="423"/>
      <c r="H84" s="423"/>
      <c r="I84" s="423"/>
      <c r="J84" s="423"/>
      <c r="K84" s="423"/>
      <c r="L84" s="423"/>
      <c r="M84" s="423"/>
      <c r="N84" s="423"/>
      <c r="O84" s="423"/>
      <c r="P84" s="423"/>
      <c r="Q84" s="423"/>
      <c r="R84" s="423"/>
      <c r="S84" s="423"/>
      <c r="T84" s="423"/>
      <c r="U84" s="423"/>
      <c r="V84" s="423"/>
      <c r="W84" s="423"/>
      <c r="X84" s="423"/>
      <c r="Y84" s="423"/>
      <c r="Z84" s="423"/>
      <c r="AA84" s="423"/>
      <c r="AB84" s="423"/>
      <c r="AC84" s="423"/>
      <c r="AD84" s="423"/>
      <c r="AE84" s="423"/>
      <c r="AF84" s="423"/>
      <c r="AG84" s="423"/>
      <c r="AH84" s="423"/>
      <c r="AI84" s="423"/>
      <c r="AJ84" s="423"/>
      <c r="AK84" s="423"/>
      <c r="AL84" s="423"/>
      <c r="AM84" s="423"/>
      <c r="AN84" s="423"/>
      <c r="AO84" s="423"/>
      <c r="AP84" s="423"/>
      <c r="AQ84" s="423"/>
      <c r="AR84" s="423"/>
      <c r="AS84" s="423"/>
      <c r="AT84" s="423"/>
      <c r="AU84" s="423"/>
      <c r="AV84" s="423"/>
      <c r="AW84" s="423"/>
      <c r="AX84" s="423"/>
      <c r="AY84" s="423"/>
      <c r="AZ84" s="423"/>
      <c r="BA84" s="423"/>
    </row>
    <row r="85" spans="1:53" hidden="1" x14ac:dyDescent="0.25">
      <c r="A85" s="586" t="s">
        <v>792</v>
      </c>
      <c r="B85" s="411" t="str">
        <f>IF(B65&gt;0,ROUND((B79-B81)/B88,2),"")</f>
        <v/>
      </c>
      <c r="C85" s="411" t="str">
        <f>IF(C65&gt;0,ROUND((C79-C81)/C88,2),"")</f>
        <v/>
      </c>
      <c r="D85" s="411" t="str">
        <f>IF(D65&gt;0,ROUND((D79-D81)/D88,2),"")</f>
        <v/>
      </c>
      <c r="E85" s="411" t="str">
        <f>IF(E65&gt;0,ROUND((E79-E81)/E88,2),"")</f>
        <v/>
      </c>
      <c r="F85" s="411"/>
      <c r="G85" s="411"/>
      <c r="H85" s="411"/>
      <c r="I85" s="411"/>
      <c r="J85" s="411"/>
      <c r="K85" s="411"/>
      <c r="L85" s="411"/>
      <c r="M85" s="411"/>
      <c r="N85" s="411"/>
      <c r="O85" s="411"/>
      <c r="P85" s="411"/>
      <c r="Q85" s="411"/>
      <c r="R85" s="411"/>
      <c r="S85" s="411"/>
      <c r="T85" s="411"/>
      <c r="U85" s="411"/>
      <c r="V85" s="411"/>
      <c r="W85" s="411"/>
      <c r="X85" s="411"/>
      <c r="Y85" s="411"/>
      <c r="Z85" s="411"/>
      <c r="AA85" s="411"/>
      <c r="AB85" s="411"/>
      <c r="AC85" s="411"/>
      <c r="AD85" s="411"/>
      <c r="AE85" s="411"/>
      <c r="AF85" s="411"/>
      <c r="AG85" s="411"/>
      <c r="AH85" s="411"/>
      <c r="AI85" s="411"/>
      <c r="AJ85" s="411"/>
      <c r="AK85" s="411"/>
      <c r="AL85" s="411"/>
      <c r="AM85" s="411"/>
      <c r="AN85" s="411"/>
      <c r="AO85" s="411"/>
      <c r="AP85" s="411"/>
      <c r="AQ85" s="411"/>
      <c r="AR85" s="411"/>
      <c r="AS85" s="411"/>
      <c r="AT85" s="411"/>
      <c r="AU85" s="411"/>
      <c r="AV85" s="411"/>
      <c r="AW85" s="411"/>
      <c r="AX85" s="411"/>
      <c r="AY85" s="411"/>
      <c r="AZ85" s="411"/>
      <c r="BA85" s="411"/>
    </row>
    <row r="86" spans="1:53" hidden="1" x14ac:dyDescent="0.25">
      <c r="A86" s="586" t="s">
        <v>793</v>
      </c>
      <c r="B86" s="411" t="e">
        <f>ROUND(LOG(2^((MATCH(1+B87,B57:B77,1)-1)/2)),2)</f>
        <v>#VALUE!</v>
      </c>
      <c r="C86" s="411" t="e">
        <f>ROUND(LOG(2^((MATCH(1+C87,C57:C77,1)-1)/2)),2)</f>
        <v>#VALUE!</v>
      </c>
      <c r="D86" s="411" t="e">
        <f>ROUND(LOG(2^((MATCH(1+D87,D57:D77,1)-1)/2)),2)</f>
        <v>#VALUE!</v>
      </c>
      <c r="E86" s="411" t="e">
        <f>ROUND(LOG(2^((MATCH(1+E87,E57:E77,1)-1)/2)),2)</f>
        <v>#VALUE!</v>
      </c>
      <c r="F86" s="411"/>
      <c r="G86" s="411"/>
      <c r="H86" s="411"/>
      <c r="I86" s="411"/>
      <c r="J86" s="411"/>
      <c r="K86" s="411"/>
      <c r="L86" s="411"/>
      <c r="M86" s="411"/>
      <c r="N86" s="411"/>
      <c r="O86" s="411"/>
      <c r="P86" s="411"/>
      <c r="Q86" s="411"/>
      <c r="R86" s="411"/>
      <c r="S86" s="411"/>
      <c r="T86" s="411"/>
      <c r="U86" s="411"/>
      <c r="V86" s="411"/>
      <c r="W86" s="411"/>
      <c r="X86" s="411"/>
      <c r="Y86" s="411"/>
      <c r="Z86" s="411"/>
      <c r="AA86" s="411"/>
      <c r="AB86" s="411"/>
      <c r="AC86" s="411"/>
      <c r="AD86" s="411"/>
      <c r="AE86" s="411"/>
      <c r="AF86" s="411"/>
      <c r="AG86" s="411"/>
      <c r="AH86" s="411"/>
      <c r="AI86" s="411"/>
      <c r="AJ86" s="411"/>
      <c r="AK86" s="411"/>
      <c r="AL86" s="411"/>
      <c r="AM86" s="411"/>
      <c r="AN86" s="411"/>
      <c r="AO86" s="411"/>
      <c r="AP86" s="411"/>
      <c r="AQ86" s="411"/>
      <c r="AR86" s="411"/>
      <c r="AS86" s="411"/>
      <c r="AT86" s="411"/>
      <c r="AU86" s="411"/>
      <c r="AV86" s="411"/>
      <c r="AW86" s="411"/>
      <c r="AX86" s="411"/>
      <c r="AY86" s="411"/>
      <c r="AZ86" s="411"/>
      <c r="BA86" s="411"/>
    </row>
    <row r="87" spans="1:53" hidden="1" x14ac:dyDescent="0.25">
      <c r="A87" s="586" t="s">
        <v>794</v>
      </c>
      <c r="B87" s="411" t="str">
        <f>IF(B66&gt;0,B57,"")</f>
        <v/>
      </c>
      <c r="C87" s="411" t="str">
        <f>IF(C66&gt;0,C57,"")</f>
        <v/>
      </c>
      <c r="D87" s="411" t="str">
        <f>IF(D66&gt;0,D57,"")</f>
        <v/>
      </c>
      <c r="E87" s="411" t="str">
        <f>IF(E66&gt;0,E57,"")</f>
        <v/>
      </c>
      <c r="F87" s="411"/>
      <c r="G87" s="411"/>
      <c r="H87" s="411"/>
      <c r="I87" s="411"/>
      <c r="J87" s="411"/>
      <c r="K87" s="411"/>
      <c r="L87" s="411"/>
      <c r="M87" s="411"/>
      <c r="N87" s="411"/>
      <c r="O87" s="411"/>
      <c r="P87" s="411"/>
      <c r="Q87" s="411"/>
      <c r="R87" s="411"/>
      <c r="S87" s="411"/>
      <c r="T87" s="411"/>
      <c r="U87" s="411"/>
      <c r="V87" s="411"/>
      <c r="W87" s="411"/>
      <c r="X87" s="411"/>
      <c r="Y87" s="411"/>
      <c r="Z87" s="411"/>
      <c r="AA87" s="411"/>
      <c r="AB87" s="411"/>
      <c r="AC87" s="411"/>
      <c r="AD87" s="411"/>
      <c r="AE87" s="411"/>
      <c r="AF87" s="411"/>
      <c r="AG87" s="411"/>
      <c r="AH87" s="411"/>
      <c r="AI87" s="411"/>
      <c r="AJ87" s="411"/>
      <c r="AK87" s="411"/>
      <c r="AL87" s="411"/>
      <c r="AM87" s="411"/>
      <c r="AN87" s="411"/>
      <c r="AO87" s="411"/>
      <c r="AP87" s="411"/>
      <c r="AQ87" s="411"/>
      <c r="AR87" s="411"/>
      <c r="AS87" s="411"/>
      <c r="AT87" s="411"/>
      <c r="AU87" s="411"/>
      <c r="AV87" s="411"/>
      <c r="AW87" s="411"/>
      <c r="AX87" s="411"/>
      <c r="AY87" s="411"/>
      <c r="AZ87" s="411"/>
      <c r="BA87" s="411"/>
    </row>
    <row r="88" spans="1:53" hidden="1" x14ac:dyDescent="0.25">
      <c r="A88" s="586" t="s">
        <v>795</v>
      </c>
      <c r="B88" s="411" t="str">
        <f>IF(B68&gt;0,ROUND(LOG(2^((B80-1)/2))-LOG(2^((B82-1)/2)),2),"")</f>
        <v/>
      </c>
      <c r="C88" s="411" t="str">
        <f>IF(C68&gt;0,ROUND(LOG(2^((C80-1)/2))-LOG(2^((C82-1)/2)),2),"")</f>
        <v/>
      </c>
      <c r="D88" s="411" t="str">
        <f>IF(D68&gt;0,ROUND(LOG(2^((D80-1)/2))-LOG(2^((D82-1)/2)),2),"")</f>
        <v/>
      </c>
      <c r="E88" s="411" t="str">
        <f>IF(E68&gt;0,ROUND(LOG(2^((E80-1)/2))-LOG(2^((E82-1)/2)),2),"")</f>
        <v/>
      </c>
      <c r="F88" s="411"/>
      <c r="G88" s="411"/>
      <c r="H88" s="411"/>
      <c r="I88" s="411"/>
      <c r="J88" s="411"/>
      <c r="K88" s="411"/>
      <c r="L88" s="411"/>
      <c r="M88" s="411"/>
      <c r="N88" s="411"/>
      <c r="O88" s="411"/>
      <c r="P88" s="411"/>
      <c r="Q88" s="411"/>
      <c r="R88" s="411"/>
      <c r="S88" s="411"/>
      <c r="T88" s="411"/>
      <c r="U88" s="411"/>
      <c r="V88" s="411"/>
      <c r="W88" s="411"/>
      <c r="X88" s="411"/>
      <c r="Y88" s="411"/>
      <c r="Z88" s="411"/>
      <c r="AA88" s="411"/>
      <c r="AB88" s="411"/>
      <c r="AC88" s="411"/>
      <c r="AD88" s="411"/>
      <c r="AE88" s="411"/>
      <c r="AF88" s="411"/>
      <c r="AG88" s="411"/>
      <c r="AH88" s="411"/>
      <c r="AI88" s="411"/>
      <c r="AJ88" s="411"/>
      <c r="AK88" s="411"/>
      <c r="AL88" s="411"/>
      <c r="AM88" s="411"/>
      <c r="AN88" s="411"/>
      <c r="AO88" s="411"/>
      <c r="AP88" s="411"/>
      <c r="AQ88" s="411"/>
      <c r="AR88" s="411"/>
      <c r="AS88" s="411"/>
      <c r="AT88" s="411"/>
      <c r="AU88" s="411"/>
      <c r="AV88" s="411"/>
      <c r="AW88" s="411"/>
      <c r="AX88" s="411"/>
      <c r="AY88" s="411"/>
      <c r="AZ88" s="411"/>
      <c r="BA88" s="411"/>
    </row>
    <row r="89" spans="1:53" hidden="1" x14ac:dyDescent="0.25">
      <c r="C89" s="411"/>
      <c r="D89" s="411"/>
      <c r="E89" s="411"/>
      <c r="F89" s="411"/>
      <c r="G89" s="411"/>
      <c r="H89" s="411"/>
      <c r="I89" s="411"/>
      <c r="J89" s="411"/>
      <c r="K89" s="411"/>
      <c r="L89" s="411"/>
      <c r="M89" s="411"/>
      <c r="N89" s="411"/>
      <c r="O89" s="411"/>
      <c r="P89" s="411"/>
      <c r="Q89" s="411"/>
      <c r="R89" s="411"/>
      <c r="S89" s="411"/>
      <c r="T89" s="411"/>
      <c r="U89" s="411"/>
      <c r="V89" s="411"/>
      <c r="W89" s="411"/>
      <c r="X89" s="411"/>
      <c r="Y89" s="411"/>
      <c r="Z89" s="411"/>
      <c r="AA89" s="411"/>
      <c r="AB89" s="411"/>
      <c r="AC89" s="411"/>
      <c r="AD89" s="411"/>
      <c r="AE89" s="411"/>
      <c r="AF89" s="411"/>
      <c r="AG89" s="411"/>
      <c r="AH89" s="411"/>
      <c r="AI89" s="411"/>
      <c r="AJ89" s="411"/>
      <c r="AK89" s="411"/>
      <c r="AL89" s="411"/>
      <c r="AM89" s="411"/>
      <c r="AN89" s="411"/>
      <c r="AO89" s="411"/>
      <c r="AP89" s="411"/>
      <c r="AQ89" s="411"/>
      <c r="AR89" s="411"/>
      <c r="AS89" s="411"/>
      <c r="AT89" s="411"/>
      <c r="AU89" s="411"/>
      <c r="AV89" s="411"/>
      <c r="AW89" s="411"/>
      <c r="AX89" s="411"/>
      <c r="AY89" s="411"/>
      <c r="AZ89" s="411"/>
      <c r="BA89" s="411"/>
    </row>
    <row r="90" spans="1:53" hidden="1" x14ac:dyDescent="0.25">
      <c r="C90" s="411"/>
      <c r="D90" s="411"/>
      <c r="E90" s="411"/>
      <c r="F90" s="411"/>
      <c r="G90" s="411"/>
      <c r="H90" s="411"/>
      <c r="I90" s="411"/>
      <c r="J90" s="411"/>
      <c r="K90" s="411"/>
      <c r="L90" s="411"/>
      <c r="M90" s="411"/>
      <c r="N90" s="411"/>
      <c r="O90" s="411"/>
      <c r="P90" s="411"/>
      <c r="Q90" s="411"/>
      <c r="R90" s="411"/>
      <c r="S90" s="411"/>
      <c r="T90" s="411"/>
      <c r="U90" s="411"/>
      <c r="V90" s="411"/>
      <c r="W90" s="411"/>
      <c r="X90" s="411"/>
      <c r="Y90" s="411"/>
      <c r="Z90" s="411"/>
      <c r="AA90" s="411"/>
      <c r="AB90" s="411"/>
      <c r="AC90" s="411"/>
      <c r="AD90" s="411"/>
      <c r="AE90" s="411"/>
      <c r="AF90" s="411"/>
      <c r="AG90" s="411"/>
      <c r="AH90" s="411"/>
      <c r="AI90" s="411"/>
      <c r="AJ90" s="411"/>
      <c r="AK90" s="411"/>
      <c r="AL90" s="411"/>
      <c r="AM90" s="411"/>
      <c r="AN90" s="411"/>
      <c r="AO90" s="411"/>
      <c r="AP90" s="411"/>
      <c r="AQ90" s="411"/>
      <c r="AR90" s="411"/>
      <c r="AS90" s="411"/>
      <c r="AT90" s="411"/>
      <c r="AU90" s="411"/>
      <c r="AV90" s="411"/>
      <c r="AW90" s="411"/>
      <c r="AX90" s="411"/>
      <c r="AY90" s="411"/>
      <c r="AZ90" s="411"/>
      <c r="BA90" s="411"/>
    </row>
    <row r="91" spans="1:53" hidden="1" x14ac:dyDescent="0.25">
      <c r="A91" s="1147" t="s">
        <v>796</v>
      </c>
      <c r="C91" s="411"/>
      <c r="D91" s="411"/>
      <c r="E91" s="411"/>
      <c r="F91" s="411"/>
      <c r="G91" s="411"/>
      <c r="H91" s="411"/>
      <c r="I91" s="411"/>
      <c r="J91" s="411"/>
      <c r="K91" s="411"/>
      <c r="L91" s="411"/>
      <c r="M91" s="411"/>
      <c r="N91" s="411"/>
      <c r="O91" s="411"/>
      <c r="P91" s="411"/>
      <c r="Q91" s="411"/>
      <c r="R91" s="411"/>
      <c r="S91" s="411"/>
      <c r="T91" s="411"/>
      <c r="U91" s="411"/>
      <c r="V91" s="411"/>
      <c r="W91" s="411"/>
      <c r="X91" s="411"/>
      <c r="Y91" s="411"/>
      <c r="Z91" s="411"/>
      <c r="AA91" s="411"/>
      <c r="AB91" s="411"/>
      <c r="AC91" s="411"/>
      <c r="AD91" s="411"/>
      <c r="AE91" s="411"/>
      <c r="AF91" s="411"/>
      <c r="AG91" s="411"/>
      <c r="AH91" s="411"/>
      <c r="AI91" s="411"/>
      <c r="AJ91" s="411"/>
      <c r="AK91" s="411"/>
      <c r="AL91" s="411"/>
      <c r="AM91" s="411"/>
      <c r="AN91" s="411"/>
      <c r="AO91" s="411"/>
      <c r="AP91" s="411"/>
      <c r="AQ91" s="411"/>
      <c r="AR91" s="411"/>
      <c r="AS91" s="411"/>
      <c r="AT91" s="411"/>
      <c r="AU91" s="411"/>
      <c r="AV91" s="411"/>
      <c r="AW91" s="411"/>
      <c r="AX91" s="411"/>
      <c r="AY91" s="411"/>
      <c r="AZ91" s="411"/>
      <c r="BA91" s="411"/>
    </row>
    <row r="92" spans="1:53" hidden="1" x14ac:dyDescent="0.25">
      <c r="A92" s="586" t="s">
        <v>792</v>
      </c>
      <c r="B92" s="427" t="str">
        <f>IF(B85&lt;(3.4*0.9), "O gradiente está abaixo do recomendado.","O gradiente está adequado.")</f>
        <v>O gradiente está adequado.</v>
      </c>
      <c r="C92" s="427" t="str">
        <f>IF(C85&lt;(3.4*0.9), "O gradiente está abaixo do recomendado.","O gradiente está adequado.")</f>
        <v>O gradiente está adequado.</v>
      </c>
      <c r="D92" s="427" t="str">
        <f>IF(D85&lt;(3.4*0.9), "O gradiente está abaixo do recomendado.","O gradiente está adequado.")</f>
        <v>O gradiente está adequado.</v>
      </c>
      <c r="E92" s="427" t="str">
        <f>IF(E85&lt;(3.4*0.9), "O gradiente está abaixo do recomendado.","O gradiente está adequado.")</f>
        <v>O gradiente está adequado.</v>
      </c>
      <c r="F92" s="427"/>
      <c r="G92" s="427"/>
      <c r="H92" s="427"/>
      <c r="I92" s="427"/>
      <c r="J92" s="427"/>
      <c r="K92" s="427"/>
      <c r="L92" s="427"/>
      <c r="M92" s="427"/>
      <c r="N92" s="427"/>
      <c r="O92" s="427"/>
      <c r="P92" s="427"/>
      <c r="Q92" s="427"/>
      <c r="R92" s="427"/>
      <c r="S92" s="427"/>
      <c r="T92" s="427"/>
      <c r="U92" s="427"/>
      <c r="V92" s="427"/>
      <c r="W92" s="427"/>
      <c r="X92" s="427"/>
      <c r="Y92" s="427"/>
      <c r="Z92" s="427"/>
      <c r="AA92" s="427"/>
      <c r="AB92" s="427"/>
      <c r="AC92" s="427"/>
      <c r="AD92" s="427"/>
      <c r="AE92" s="427"/>
      <c r="AF92" s="427"/>
      <c r="AG92" s="427"/>
      <c r="AH92" s="427"/>
      <c r="AI92" s="427"/>
      <c r="AJ92" s="427"/>
      <c r="AK92" s="427"/>
      <c r="AL92" s="427"/>
      <c r="AM92" s="427"/>
      <c r="AN92" s="427"/>
      <c r="AO92" s="427"/>
      <c r="AP92" s="427"/>
      <c r="AQ92" s="427"/>
      <c r="AR92" s="427"/>
      <c r="AS92" s="427"/>
      <c r="AT92" s="427"/>
      <c r="AU92" s="427"/>
      <c r="AV92" s="427"/>
      <c r="AW92" s="427"/>
      <c r="AX92" s="427"/>
      <c r="AY92" s="427"/>
      <c r="AZ92" s="427"/>
      <c r="BA92" s="427"/>
    </row>
    <row r="93" spans="1:53" hidden="1" x14ac:dyDescent="0.25">
      <c r="A93" s="586" t="s">
        <v>793</v>
      </c>
      <c r="B93" s="427" t="e">
        <f>IF(OR(B86&gt;1.8*1.1,B86&lt;1.3*0.9),IF(B86&gt;1.8*1.1,"A velocidade do filme está acima do recomendado.","A velocidade do filme está abaixo do recomendado."),"A velocidade do filme está adequada.")</f>
        <v>#VALUE!</v>
      </c>
      <c r="C93" s="427" t="e">
        <f>IF(OR(C86&gt;1.8*1.1,C86&lt;1.3*0.9),IF(C86&gt;1.8*1.1,"A velocidade do filme está acima do recomendado.","A velocidade do filme está abaixo do recomendado."),"A velocidade do filme está adequada.")</f>
        <v>#VALUE!</v>
      </c>
      <c r="D93" s="427" t="e">
        <f>IF(OR(D86&gt;1.8*1.1,D86&lt;1.3*0.9),IF(D86&gt;1.8*1.1,"A velocidade do filme está acima do recomendado.","A velocidade do filme está abaixo do recomendado."),"A velocidade do filme está adequada.")</f>
        <v>#VALUE!</v>
      </c>
      <c r="E93" s="427" t="e">
        <f>IF(OR(E86&gt;1.8*1.1,E86&lt;1.3*0.9),IF(E86&gt;1.8*1.1,"A velocidade do filme está acima do recomendado.","A velocidade do filme está abaixo do recomendado."),"A velocidade do filme está adequada.")</f>
        <v>#VALUE!</v>
      </c>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row>
    <row r="94" spans="1:53" hidden="1" x14ac:dyDescent="0.25">
      <c r="A94" s="586" t="s">
        <v>794</v>
      </c>
      <c r="B94" s="427" t="e">
        <f>IF(ROUND(B87,2)&gt;0.25, "A base+fog está acima do recomendado.","A base+fog está adequada.")</f>
        <v>#VALUE!</v>
      </c>
      <c r="C94" s="427" t="e">
        <f>IF(ROUND(C87,2)&gt;0.25, "A base+fog está acima do recomendado.","A base+fog está adequada.")</f>
        <v>#VALUE!</v>
      </c>
      <c r="D94" s="427" t="e">
        <f>IF(ROUND(D87,2)&gt;0.25, "A base+fog está acima do recomendado.","A base+fog está adequada.")</f>
        <v>#VALUE!</v>
      </c>
      <c r="E94" s="427" t="e">
        <f>IF(ROUND(E87,2)&gt;0.25, "A base+fog está acima do recomendado.","A base+fog está adequada.")</f>
        <v>#VALUE!</v>
      </c>
      <c r="F94" s="427"/>
      <c r="G94" s="427"/>
      <c r="H94" s="427"/>
      <c r="I94" s="427"/>
      <c r="J94" s="427"/>
      <c r="K94" s="427"/>
      <c r="L94" s="427"/>
      <c r="M94" s="427"/>
      <c r="N94" s="427"/>
      <c r="O94" s="427"/>
      <c r="P94" s="427"/>
      <c r="Q94" s="427"/>
      <c r="R94" s="427"/>
      <c r="S94" s="427"/>
      <c r="T94" s="427"/>
      <c r="U94" s="427"/>
      <c r="V94" s="427"/>
      <c r="W94" s="427"/>
      <c r="X94" s="427"/>
      <c r="Y94" s="427"/>
      <c r="Z94" s="427"/>
      <c r="AA94" s="427"/>
      <c r="AB94" s="427"/>
      <c r="AC94" s="427"/>
      <c r="AD94" s="427"/>
      <c r="AE94" s="427"/>
      <c r="AF94" s="427"/>
      <c r="AG94" s="427"/>
      <c r="AH94" s="427"/>
      <c r="AI94" s="427"/>
      <c r="AJ94" s="427"/>
      <c r="AK94" s="427"/>
      <c r="AL94" s="427"/>
      <c r="AM94" s="427"/>
      <c r="AN94" s="427"/>
      <c r="AO94" s="427"/>
      <c r="AP94" s="427"/>
      <c r="AQ94" s="427"/>
      <c r="AR94" s="427"/>
      <c r="AS94" s="427"/>
      <c r="AT94" s="427"/>
      <c r="AU94" s="427"/>
      <c r="AV94" s="427"/>
      <c r="AW94" s="427"/>
      <c r="AX94" s="427"/>
      <c r="AY94" s="427"/>
      <c r="AZ94" s="427"/>
      <c r="BA94" s="427"/>
    </row>
    <row r="95" spans="1:53" hidden="1" x14ac:dyDescent="0.25">
      <c r="A95" s="586" t="s">
        <v>797</v>
      </c>
      <c r="B95" s="427" t="e">
        <f>IF(#REF!="","Recomenda-se anotar a temperatura de revelação dos filmes.",IF(OR(#REF!&gt;37,#REF!&lt;33),"A tempertura do revelador deve estar entre 33 e 37°C.",IF(B49="NI","","A temperatura do revelador está adequada.")))</f>
        <v>#REF!</v>
      </c>
      <c r="C95" s="427" t="e">
        <f>IF(#REF!="","Recomenda-se anotar a temperatura de revelação dos filmes.",IF(OR(#REF!&gt;37,#REF!&lt;33),"A tempertura do revelador deve estar entre 33 e 37°C.",IF(C49="NI","","A temperatura do revelador está adequada.")))</f>
        <v>#REF!</v>
      </c>
      <c r="D95" s="427" t="e">
        <f>IF(#REF!="","Recomenda-se anotar a temperatura de revelação dos filmes.",IF(OR(#REF!&gt;37,#REF!&lt;33),"A tempertura do revelador deve estar entre 33 e 37°C.",IF(D49="NI","","A temperatura do revelador está adequada.")))</f>
        <v>#REF!</v>
      </c>
      <c r="E95" s="427" t="e">
        <f>IF(#REF!="","Recomenda-se anotar a temperatura de revelação dos filmes.",IF(OR(#REF!&gt;37,#REF!&lt;33),"A tempertura do revelador deve estar entre 33 e 37°C.",IF(E49="NI","","A temperatura do revelador está adequada.")))</f>
        <v>#REF!</v>
      </c>
      <c r="F95" s="427"/>
      <c r="G95" s="427"/>
      <c r="H95" s="427"/>
      <c r="I95" s="427"/>
      <c r="J95" s="427"/>
      <c r="K95" s="427"/>
      <c r="L95" s="427"/>
      <c r="M95" s="427"/>
      <c r="N95" s="427"/>
      <c r="O95" s="427"/>
      <c r="P95" s="427"/>
      <c r="Q95" s="427"/>
      <c r="R95" s="427"/>
      <c r="S95" s="427"/>
      <c r="T95" s="427"/>
      <c r="U95" s="427"/>
      <c r="V95" s="427"/>
      <c r="W95" s="427"/>
      <c r="X95" s="427"/>
      <c r="Y95" s="427"/>
      <c r="Z95" s="427"/>
      <c r="AA95" s="427"/>
      <c r="AB95" s="427"/>
      <c r="AC95" s="427"/>
      <c r="AD95" s="427"/>
      <c r="AE95" s="427"/>
      <c r="AF95" s="427"/>
      <c r="AG95" s="427"/>
      <c r="AH95" s="427"/>
      <c r="AI95" s="427"/>
      <c r="AJ95" s="427"/>
      <c r="AK95" s="427"/>
      <c r="AL95" s="427"/>
      <c r="AM95" s="427"/>
      <c r="AN95" s="427"/>
      <c r="AO95" s="427"/>
      <c r="AP95" s="427"/>
      <c r="AQ95" s="427"/>
      <c r="AR95" s="427"/>
      <c r="AS95" s="427"/>
      <c r="AT95" s="427"/>
      <c r="AU95" s="427"/>
      <c r="AV95" s="427"/>
      <c r="AW95" s="427"/>
      <c r="AX95" s="427"/>
      <c r="AY95" s="427"/>
      <c r="AZ95" s="427"/>
      <c r="BA95" s="427"/>
    </row>
    <row r="96" spans="1:53" hidden="1" x14ac:dyDescent="0.25">
      <c r="C96" s="411"/>
      <c r="D96" s="411"/>
      <c r="E96" s="411"/>
      <c r="F96" s="411"/>
      <c r="G96" s="411"/>
      <c r="H96" s="411"/>
      <c r="I96" s="411"/>
      <c r="J96" s="411"/>
      <c r="K96" s="411"/>
      <c r="L96" s="411"/>
      <c r="M96" s="411"/>
      <c r="N96" s="411"/>
      <c r="O96" s="411"/>
      <c r="P96" s="411"/>
      <c r="Q96" s="411"/>
      <c r="R96" s="411"/>
      <c r="S96" s="411"/>
      <c r="T96" s="411"/>
      <c r="U96" s="411"/>
      <c r="V96" s="411"/>
      <c r="W96" s="411"/>
      <c r="X96" s="411"/>
      <c r="Y96" s="411"/>
      <c r="Z96" s="411"/>
      <c r="AA96" s="411"/>
      <c r="AB96" s="411"/>
      <c r="AC96" s="411"/>
      <c r="AD96" s="411"/>
      <c r="AE96" s="411"/>
      <c r="AF96" s="411"/>
      <c r="AG96" s="411"/>
      <c r="AH96" s="411"/>
      <c r="AI96" s="411"/>
      <c r="AJ96" s="411"/>
      <c r="AK96" s="411"/>
      <c r="AL96" s="411"/>
      <c r="AM96" s="411"/>
      <c r="AN96" s="411"/>
      <c r="AO96" s="411"/>
      <c r="AP96" s="411"/>
      <c r="AQ96" s="411"/>
      <c r="AR96" s="411"/>
      <c r="AS96" s="411"/>
      <c r="AT96" s="411"/>
      <c r="AU96" s="411"/>
      <c r="AV96" s="411"/>
      <c r="AW96" s="411"/>
      <c r="AX96" s="411"/>
      <c r="AY96" s="411"/>
      <c r="AZ96" s="411"/>
      <c r="BA96" s="411"/>
    </row>
    <row r="97" spans="1:54" s="430" customFormat="1" ht="15" hidden="1" x14ac:dyDescent="0.25">
      <c r="A97" s="428" t="e">
        <f>#REF!</f>
        <v>#REF!</v>
      </c>
      <c r="B97" s="429" t="s">
        <v>334</v>
      </c>
      <c r="C97" s="429" t="s">
        <v>334</v>
      </c>
      <c r="D97" s="429" t="s">
        <v>334</v>
      </c>
      <c r="E97" s="429" t="s">
        <v>334</v>
      </c>
      <c r="F97" s="429"/>
      <c r="G97" s="429"/>
      <c r="H97" s="429"/>
      <c r="I97" s="429"/>
      <c r="J97" s="429"/>
      <c r="K97" s="429"/>
      <c r="L97" s="429"/>
      <c r="M97" s="429"/>
      <c r="N97" s="429"/>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28"/>
    </row>
    <row r="98" spans="1:54" s="430" customFormat="1" ht="15" hidden="1" x14ac:dyDescent="0.25">
      <c r="A98" s="428" t="e">
        <f>#REF!</f>
        <v>#REF!</v>
      </c>
      <c r="B98" s="429" t="e">
        <f>IF(B93="A velocidade do filme está acima do recomendado.","Recomenda-se verificar a taxa de reposição dos químicos.","")</f>
        <v>#VALUE!</v>
      </c>
      <c r="C98" s="429" t="e">
        <f>IF(C93="A velocidade do filme está acima do recomendado.","Recomenda-se verificar a taxa de reposição dos químicos.","")</f>
        <v>#VALUE!</v>
      </c>
      <c r="D98" s="429" t="e">
        <f>IF(D93="A velocidade do filme está acima do recomendado.","Recomenda-se verificar a taxa de reposição dos químicos.","")</f>
        <v>#VALUE!</v>
      </c>
      <c r="E98" s="429" t="e">
        <f>IF(E93="A velocidade do filme está acima do recomendado.","Recomenda-se verificar a taxa de reposição dos químicos.","")</f>
        <v>#VALUE!</v>
      </c>
      <c r="F98" s="429"/>
      <c r="G98" s="429"/>
      <c r="H98" s="429"/>
      <c r="I98" s="429"/>
      <c r="J98" s="429"/>
      <c r="K98" s="429"/>
      <c r="L98" s="429"/>
      <c r="M98" s="429"/>
      <c r="N98" s="429"/>
      <c r="O98" s="429"/>
      <c r="P98" s="429"/>
      <c r="Q98" s="429"/>
      <c r="R98" s="429"/>
      <c r="S98" s="429"/>
      <c r="T98" s="429"/>
      <c r="U98" s="429"/>
      <c r="V98" s="429"/>
      <c r="W98" s="429"/>
      <c r="X98" s="429"/>
      <c r="Y98" s="429"/>
      <c r="Z98" s="429"/>
      <c r="AA98" s="429"/>
      <c r="AB98" s="429"/>
      <c r="AC98" s="429"/>
      <c r="AD98" s="429"/>
      <c r="AE98" s="429"/>
      <c r="AF98" s="429"/>
      <c r="AG98" s="429"/>
      <c r="AH98" s="429"/>
      <c r="AI98" s="429"/>
      <c r="AJ98" s="429"/>
      <c r="AK98" s="429"/>
      <c r="AL98" s="429"/>
      <c r="AM98" s="429"/>
      <c r="AN98" s="429"/>
      <c r="AO98" s="429"/>
      <c r="AP98" s="429"/>
      <c r="AQ98" s="429"/>
      <c r="AR98" s="429"/>
      <c r="AS98" s="429"/>
      <c r="AT98" s="429"/>
      <c r="AU98" s="429"/>
      <c r="AV98" s="429"/>
      <c r="AW98" s="429"/>
      <c r="AX98" s="429"/>
      <c r="AY98" s="429"/>
      <c r="AZ98" s="429"/>
      <c r="BA98" s="429"/>
      <c r="BB98" s="428"/>
    </row>
    <row r="99" spans="1:54" s="430" customFormat="1" ht="15" hidden="1" x14ac:dyDescent="0.25">
      <c r="A99" s="428" t="e">
        <f>#REF!</f>
        <v>#REF!</v>
      </c>
      <c r="B99" s="429" t="e">
        <f>IF(B94="A base+fog está acima do recomendado.",IF(AND(#REF!&gt;0.25,#REF!&lt;30),"Recomenda-se verificar a limpeza da processadora.",""),"")</f>
        <v>#VALUE!</v>
      </c>
      <c r="C99" s="429" t="e">
        <f>IF(C94="A base+fog está acima do recomendado.",IF(AND(#REF!&gt;0.25,#REF!&lt;30),"Recomenda-se verificar a limpeza da processadora.",""),"")</f>
        <v>#VALUE!</v>
      </c>
      <c r="D99" s="429" t="e">
        <f>IF(D94="A base+fog está acima do recomendado.",IF(AND(#REF!&gt;0.25,#REF!&lt;30),"Recomenda-se verificar a limpeza da processadora.",""),"")</f>
        <v>#VALUE!</v>
      </c>
      <c r="E99" s="429" t="e">
        <f>IF(E94="A base+fog está acima do recomendado.",IF(AND(#REF!&gt;0.25,#REF!&lt;30),"Recomenda-se verificar a limpeza da processadora.",""),"")</f>
        <v>#VALUE!</v>
      </c>
      <c r="F99" s="429"/>
      <c r="G99" s="429"/>
      <c r="H99" s="429"/>
      <c r="I99" s="429"/>
      <c r="J99" s="429"/>
      <c r="K99" s="429"/>
      <c r="L99" s="429"/>
      <c r="M99" s="429"/>
      <c r="N99" s="429"/>
      <c r="O99" s="429"/>
      <c r="P99" s="429"/>
      <c r="Q99" s="429"/>
      <c r="R99" s="429"/>
      <c r="S99" s="429"/>
      <c r="T99" s="429"/>
      <c r="U99" s="429"/>
      <c r="V99" s="429"/>
      <c r="W99" s="429"/>
      <c r="X99" s="429"/>
      <c r="Y99" s="429"/>
      <c r="Z99" s="429"/>
      <c r="AA99" s="429"/>
      <c r="AB99" s="429"/>
      <c r="AC99" s="429"/>
      <c r="AD99" s="429"/>
      <c r="AE99" s="429"/>
      <c r="AF99" s="429"/>
      <c r="AG99" s="429"/>
      <c r="AH99" s="429"/>
      <c r="AI99" s="429"/>
      <c r="AJ99" s="429"/>
      <c r="AK99" s="429"/>
      <c r="AL99" s="429"/>
      <c r="AM99" s="429"/>
      <c r="AN99" s="429"/>
      <c r="AO99" s="429"/>
      <c r="AP99" s="429"/>
      <c r="AQ99" s="429"/>
      <c r="AR99" s="429"/>
      <c r="AS99" s="429"/>
      <c r="AT99" s="429"/>
      <c r="AU99" s="429"/>
      <c r="AV99" s="429"/>
      <c r="AW99" s="429"/>
      <c r="AX99" s="429"/>
      <c r="AY99" s="429"/>
      <c r="AZ99" s="429"/>
      <c r="BA99" s="429"/>
      <c r="BB99" s="428"/>
    </row>
    <row r="100" spans="1:54" s="430" customFormat="1" ht="15" hidden="1" x14ac:dyDescent="0.25">
      <c r="A100" s="428" t="e">
        <f>#REF!</f>
        <v>#REF!</v>
      </c>
      <c r="B100" s="429" t="s">
        <v>334</v>
      </c>
      <c r="C100" s="429" t="s">
        <v>334</v>
      </c>
      <c r="D100" s="429" t="s">
        <v>334</v>
      </c>
      <c r="E100" s="429" t="s">
        <v>334</v>
      </c>
      <c r="F100" s="429"/>
      <c r="G100" s="429"/>
      <c r="H100" s="429"/>
      <c r="I100" s="429"/>
      <c r="J100" s="429"/>
      <c r="K100" s="429"/>
      <c r="L100" s="429"/>
      <c r="M100" s="429"/>
      <c r="N100" s="429"/>
      <c r="O100" s="429"/>
      <c r="P100" s="429"/>
      <c r="Q100" s="429"/>
      <c r="R100" s="429"/>
      <c r="S100" s="429"/>
      <c r="T100" s="429"/>
      <c r="U100" s="429"/>
      <c r="V100" s="429"/>
      <c r="W100" s="429"/>
      <c r="X100" s="429"/>
      <c r="Y100" s="429"/>
      <c r="Z100" s="429"/>
      <c r="AA100" s="429"/>
      <c r="AB100" s="429"/>
      <c r="AC100" s="429"/>
      <c r="AD100" s="429"/>
      <c r="AE100" s="429"/>
      <c r="AF100" s="429"/>
      <c r="AG100" s="429"/>
      <c r="AH100" s="429"/>
      <c r="AI100" s="429"/>
      <c r="AJ100" s="429"/>
      <c r="AK100" s="429"/>
      <c r="AL100" s="429"/>
      <c r="AM100" s="429"/>
      <c r="AN100" s="429"/>
      <c r="AO100" s="429"/>
      <c r="AP100" s="429"/>
      <c r="AQ100" s="429"/>
      <c r="AR100" s="429"/>
      <c r="AS100" s="429"/>
      <c r="AT100" s="429"/>
      <c r="AU100" s="429"/>
      <c r="AV100" s="429"/>
      <c r="AW100" s="429"/>
      <c r="AX100" s="429"/>
      <c r="AY100" s="429"/>
      <c r="AZ100" s="429"/>
      <c r="BA100" s="429"/>
      <c r="BB100" s="428"/>
    </row>
    <row r="101" spans="1:54" s="433" customFormat="1" x14ac:dyDescent="0.25">
      <c r="A101" s="1156" t="s">
        <v>798</v>
      </c>
      <c r="B101" s="3068" t="s">
        <v>819</v>
      </c>
      <c r="C101" s="3068"/>
      <c r="D101" s="3068"/>
      <c r="E101" s="3068"/>
      <c r="F101" s="431"/>
      <c r="G101" s="431"/>
      <c r="H101" s="431"/>
      <c r="I101" s="431"/>
      <c r="J101" s="431"/>
      <c r="K101" s="431"/>
      <c r="L101" s="431"/>
      <c r="M101" s="431"/>
      <c r="N101" s="431"/>
      <c r="O101" s="431"/>
      <c r="P101" s="431"/>
      <c r="Q101" s="431"/>
      <c r="R101" s="431"/>
      <c r="S101" s="431"/>
      <c r="T101" s="431"/>
      <c r="U101" s="431"/>
      <c r="V101" s="431"/>
      <c r="W101" s="431"/>
      <c r="X101" s="431"/>
      <c r="Y101" s="431"/>
      <c r="Z101" s="431"/>
      <c r="AA101" s="431"/>
      <c r="AB101" s="431"/>
      <c r="AC101" s="431"/>
      <c r="AD101" s="431"/>
      <c r="AE101" s="431"/>
      <c r="AF101" s="431"/>
      <c r="AG101" s="431"/>
      <c r="AH101" s="431"/>
      <c r="AI101" s="431"/>
      <c r="AJ101" s="431"/>
      <c r="AK101" s="431"/>
      <c r="AL101" s="431"/>
      <c r="AM101" s="431"/>
      <c r="AN101" s="431"/>
      <c r="AO101" s="431"/>
      <c r="AP101" s="431"/>
      <c r="AQ101" s="431"/>
      <c r="AR101" s="431"/>
      <c r="AS101" s="431"/>
      <c r="AT101" s="431"/>
      <c r="AU101" s="431"/>
      <c r="AV101" s="431"/>
      <c r="AW101" s="431"/>
      <c r="AX101" s="431"/>
      <c r="AY101" s="431"/>
      <c r="AZ101" s="431"/>
      <c r="BA101" s="431"/>
      <c r="BB101" s="432"/>
    </row>
    <row r="102" spans="1:54" s="433" customFormat="1" x14ac:dyDescent="0.25">
      <c r="A102" s="1157" t="s">
        <v>1239</v>
      </c>
      <c r="B102" s="431" t="str">
        <f ca="1">IFERROR(IF((ABS((1.3+B103)-OFFSET(B57,MATCH(B103+1.3,B57:B77,1),0))&lt;ABS(OFFSET(B57,MATCH(B103+1.3,B57:B77,1)+1,0)-(1.3+B103))),OFFSET(B57,MATCH(B103+1.3,B57:B77,1),0),OFFSET(B57,MATCH(B103+1.3,B57:B77,1)+1,0)),"NPA")</f>
        <v>NPA</v>
      </c>
      <c r="C102" s="645" t="str">
        <f ca="1">IFERROR(IF((ABS((1.3+C103)-OFFSET(C57,MATCH(C103+1.3,C57:C77,1),0))&lt;ABS(OFFSET(C57,MATCH(C103+1.3,C57:C77,1)+1,0)-(1.3+C103))),OFFSET(C57,MATCH(C103+1.3,C57:C77,1),0),OFFSET(C57,MATCH(C103+1.3,C57:C77,1)+1,0)),"NPA")</f>
        <v>NPA</v>
      </c>
      <c r="D102" s="645" t="str">
        <f ca="1">IFERROR(IF((ABS((1.3+D103)-OFFSET(D57,MATCH(D103+1.3,D57:D77,1),0))&lt;ABS(OFFSET(D57,MATCH(D103+1.3,D57:D77,1)+1,0)-(1.3+D103))),OFFSET(D57,MATCH(D103+1.3,D57:D77,1),0),OFFSET(D57,MATCH(D103+1.3,D57:D77,1)+1,0)),"NPA")</f>
        <v>NPA</v>
      </c>
      <c r="E102" s="645" t="str">
        <f ca="1">IFERROR(IF((ABS((1.3+E103)-OFFSET(E57,MATCH(E103+1.3,E57:E77,1),0))&lt;ABS(OFFSET(E57,MATCH(E103+1.3,E57:E77,1)+1,0)-(1.3+E103))),OFFSET(E57,MATCH(E103+1.3,E57:E77,1),0),OFFSET(E57,MATCH(E103+1.3,E57:E77,1)+1,0)),"NPA")</f>
        <v>NPA</v>
      </c>
      <c r="F102" s="882" t="str">
        <f ca="1">IFERROR(IF((ABS((1.3+F103)-OFFSET(F57,MATCH(F103+1.3,F57:F77,1),0))&lt;ABS(OFFSET(F57,MATCH(F103+1.3,F57:F77,1)+1,0)-(1.3+F103))),OFFSET(F57,MATCH(F103+1.3,F57:F77,1),0),OFFSET(F57,MATCH(F103+1.3,F57:F77,1)+1,0)),"NPA")</f>
        <v>NPA</v>
      </c>
      <c r="G102" s="431"/>
      <c r="H102" s="431"/>
      <c r="I102" s="431"/>
      <c r="J102" s="431"/>
      <c r="K102" s="431"/>
      <c r="L102" s="431"/>
      <c r="M102" s="431"/>
      <c r="N102" s="431"/>
      <c r="O102" s="431"/>
      <c r="P102" s="431"/>
      <c r="Q102" s="431"/>
      <c r="R102" s="431"/>
      <c r="S102" s="431"/>
      <c r="T102" s="431"/>
      <c r="U102" s="431"/>
      <c r="V102" s="431"/>
      <c r="W102" s="431"/>
      <c r="X102" s="431"/>
      <c r="Y102" s="431"/>
      <c r="Z102" s="431"/>
      <c r="AA102" s="431"/>
      <c r="AB102" s="431"/>
      <c r="AC102" s="431"/>
      <c r="AD102" s="431"/>
      <c r="AE102" s="431"/>
      <c r="AF102" s="431"/>
      <c r="AG102" s="431"/>
      <c r="AH102" s="431"/>
      <c r="AI102" s="431"/>
      <c r="AJ102" s="431"/>
      <c r="AK102" s="431"/>
      <c r="AL102" s="431"/>
      <c r="AM102" s="431"/>
      <c r="AN102" s="431"/>
      <c r="AO102" s="431"/>
      <c r="AP102" s="431"/>
      <c r="AQ102" s="431"/>
      <c r="AR102" s="431"/>
      <c r="AS102" s="431"/>
      <c r="AT102" s="431"/>
      <c r="AU102" s="431"/>
      <c r="AV102" s="431"/>
      <c r="AW102" s="431"/>
      <c r="AX102" s="431"/>
      <c r="AY102" s="431"/>
      <c r="AZ102" s="431"/>
      <c r="BA102" s="431"/>
      <c r="BB102" s="432"/>
    </row>
    <row r="103" spans="1:54" s="433" customFormat="1" x14ac:dyDescent="0.25">
      <c r="A103" s="1157" t="s">
        <v>1236</v>
      </c>
      <c r="B103" s="431" t="str">
        <f>IF(B57=0,"NPA",B57)</f>
        <v>NPA</v>
      </c>
      <c r="C103" s="645" t="str">
        <f>IF(C57=0,"NPA",C57)</f>
        <v>NPA</v>
      </c>
      <c r="D103" s="645" t="str">
        <f>IF(D57=0,"NPA",D57)</f>
        <v>NPA</v>
      </c>
      <c r="E103" s="645" t="str">
        <f>IF(E57=0,"NPA",E57)</f>
        <v>NPA</v>
      </c>
      <c r="F103" s="882" t="str">
        <f>IF(F57=0,"NPA",F57)</f>
        <v>NPA</v>
      </c>
      <c r="G103" s="431"/>
      <c r="H103" s="431"/>
      <c r="I103" s="431"/>
      <c r="J103" s="431"/>
      <c r="K103" s="431"/>
      <c r="L103" s="431"/>
      <c r="M103" s="431"/>
      <c r="N103" s="431"/>
      <c r="O103" s="431"/>
      <c r="P103" s="431"/>
      <c r="Q103" s="431"/>
      <c r="R103" s="431"/>
      <c r="S103" s="431"/>
      <c r="T103" s="431"/>
      <c r="U103" s="431"/>
      <c r="V103" s="431"/>
      <c r="W103" s="431"/>
      <c r="X103" s="431"/>
      <c r="Y103" s="431"/>
      <c r="Z103" s="431"/>
      <c r="AA103" s="431"/>
      <c r="AB103" s="431"/>
      <c r="AC103" s="431"/>
      <c r="AD103" s="431"/>
      <c r="AE103" s="431"/>
      <c r="AF103" s="431"/>
      <c r="AG103" s="431"/>
      <c r="AH103" s="431"/>
      <c r="AI103" s="431"/>
      <c r="AJ103" s="431"/>
      <c r="AK103" s="431"/>
      <c r="AL103" s="431"/>
      <c r="AM103" s="431"/>
      <c r="AN103" s="431"/>
      <c r="AO103" s="431"/>
      <c r="AP103" s="431"/>
      <c r="AQ103" s="431"/>
      <c r="AR103" s="431"/>
      <c r="AS103" s="431"/>
      <c r="AT103" s="431"/>
      <c r="AU103" s="431"/>
      <c r="AV103" s="431"/>
      <c r="AW103" s="431"/>
      <c r="AX103" s="431"/>
      <c r="AY103" s="431"/>
      <c r="AZ103" s="431"/>
      <c r="BA103" s="431"/>
      <c r="BB103" s="432"/>
    </row>
    <row r="104" spans="1:54" s="433" customFormat="1" x14ac:dyDescent="0.25">
      <c r="A104" s="1155" t="s">
        <v>1235</v>
      </c>
      <c r="B104" s="882" t="str">
        <f>IF(OR($F$103="NPA",B103="NPA"),"NPA",ABS($F$103-B103))</f>
        <v>NPA</v>
      </c>
      <c r="C104" s="882" t="str">
        <f>IF(OR($F$103="NPA",C103="NPA"),"NPA",ABS($F$103-C103))</f>
        <v>NPA</v>
      </c>
      <c r="D104" s="882" t="str">
        <f>IF(OR($F$103="NPA",D103="NPA"),"NPA",ABS($F$103-D103))</f>
        <v>NPA</v>
      </c>
      <c r="E104" s="882" t="str">
        <f>IF(OR($F$103="NPA",E103="NPA"),"NPA",ABS($F$103-E103))</f>
        <v>NPA</v>
      </c>
      <c r="F104" s="882"/>
      <c r="G104" s="882"/>
      <c r="H104" s="882"/>
      <c r="I104" s="882"/>
      <c r="J104" s="882"/>
      <c r="K104" s="882"/>
      <c r="L104" s="882"/>
      <c r="M104" s="882"/>
      <c r="N104" s="882"/>
      <c r="O104" s="882"/>
      <c r="P104" s="882"/>
      <c r="Q104" s="882"/>
      <c r="R104" s="882"/>
      <c r="S104" s="882"/>
      <c r="T104" s="882"/>
      <c r="U104" s="882"/>
      <c r="V104" s="882"/>
      <c r="W104" s="882"/>
      <c r="X104" s="882"/>
      <c r="Y104" s="882"/>
      <c r="Z104" s="882"/>
      <c r="AA104" s="882"/>
      <c r="AB104" s="882"/>
      <c r="AC104" s="882"/>
      <c r="AD104" s="882"/>
      <c r="AE104" s="882"/>
      <c r="AF104" s="882"/>
      <c r="AG104" s="882"/>
      <c r="AH104" s="882"/>
      <c r="AI104" s="882"/>
      <c r="AJ104" s="882"/>
      <c r="AK104" s="882"/>
      <c r="AL104" s="882"/>
      <c r="AM104" s="882"/>
      <c r="AN104" s="882"/>
      <c r="AO104" s="882"/>
      <c r="AP104" s="882"/>
      <c r="AQ104" s="882"/>
      <c r="AR104" s="882"/>
      <c r="AS104" s="882"/>
      <c r="AT104" s="882"/>
      <c r="AU104" s="882"/>
      <c r="AV104" s="882"/>
      <c r="AW104" s="882"/>
      <c r="AX104" s="882"/>
      <c r="AY104" s="882"/>
      <c r="AZ104" s="882"/>
      <c r="BA104" s="882"/>
      <c r="BB104" s="432"/>
    </row>
    <row r="105" spans="1:54" s="433" customFormat="1" x14ac:dyDescent="0.25">
      <c r="A105" s="1157" t="s">
        <v>1238</v>
      </c>
      <c r="B105" s="431" t="str">
        <f ca="1">IFERROR(OFFSET(B57,MATCH(B103+1.3,B57:B77,1)+5,0),"NPA")</f>
        <v>NPA</v>
      </c>
      <c r="C105" s="645" t="str">
        <f ca="1">IFERROR(OFFSET(C57,MATCH(C103+1.3,C57:C77,1)+5,0),"NPA")</f>
        <v>NPA</v>
      </c>
      <c r="D105" s="645" t="str">
        <f ca="1">IFERROR(OFFSET(D57,MATCH(D103+1.3,D57:D77,1)+5,0),"NPA")</f>
        <v>NPA</v>
      </c>
      <c r="E105" s="645" t="str">
        <f ca="1">IFERROR(OFFSET(E57,MATCH(E103+1.3,E57:E77,1)+5,0),"NPA")</f>
        <v>NPA</v>
      </c>
      <c r="F105" s="882" t="str">
        <f ca="1">IFERROR(OFFSET(F57,MATCH(F103+1.3,F57:F77,1)+5,0),"NPA")</f>
        <v>NPA</v>
      </c>
      <c r="G105" s="431"/>
      <c r="H105" s="431"/>
      <c r="I105" s="431"/>
      <c r="J105" s="431"/>
      <c r="K105" s="431"/>
      <c r="L105" s="431"/>
      <c r="M105" s="431"/>
      <c r="N105" s="431"/>
      <c r="O105" s="431"/>
      <c r="P105" s="431"/>
      <c r="Q105" s="431"/>
      <c r="R105" s="431"/>
      <c r="S105" s="431"/>
      <c r="T105" s="431"/>
      <c r="U105" s="431"/>
      <c r="V105" s="431"/>
      <c r="W105" s="431"/>
      <c r="X105" s="431"/>
      <c r="Y105" s="431"/>
      <c r="Z105" s="431"/>
      <c r="AA105" s="431"/>
      <c r="AB105" s="431"/>
      <c r="AC105" s="431"/>
      <c r="AD105" s="431"/>
      <c r="AE105" s="431"/>
      <c r="AF105" s="431"/>
      <c r="AG105" s="431"/>
      <c r="AH105" s="431"/>
      <c r="AI105" s="431"/>
      <c r="AJ105" s="431"/>
      <c r="AK105" s="431"/>
      <c r="AL105" s="431"/>
      <c r="AM105" s="431"/>
      <c r="AN105" s="431"/>
      <c r="AO105" s="431"/>
      <c r="AP105" s="431"/>
      <c r="AQ105" s="431"/>
      <c r="AR105" s="431"/>
      <c r="AS105" s="431"/>
      <c r="AT105" s="431"/>
      <c r="AU105" s="431"/>
      <c r="AV105" s="431"/>
      <c r="AW105" s="431"/>
      <c r="AX105" s="431"/>
      <c r="AY105" s="431"/>
      <c r="AZ105" s="431"/>
      <c r="BA105" s="431"/>
      <c r="BB105" s="432"/>
    </row>
    <row r="106" spans="1:54" s="433" customFormat="1" x14ac:dyDescent="0.25">
      <c r="A106" s="1157" t="s">
        <v>1237</v>
      </c>
      <c r="B106" s="431" t="str">
        <f>IF($F$57=0,"NPA",G78)</f>
        <v>NPA</v>
      </c>
      <c r="C106" s="882" t="str">
        <f>IF($F$57=0,"NPA",H78)</f>
        <v>NPA</v>
      </c>
      <c r="D106" s="882" t="str">
        <f>IF($F$57=0,"NPA",I78)</f>
        <v>NPA</v>
      </c>
      <c r="E106" s="882" t="str">
        <f>IF($F$57=0,"NPA",J78)</f>
        <v>NPA</v>
      </c>
      <c r="F106" s="882"/>
      <c r="G106" s="882"/>
      <c r="H106" s="882"/>
      <c r="I106" s="882"/>
      <c r="J106" s="882"/>
      <c r="K106" s="882"/>
      <c r="L106" s="882"/>
      <c r="M106" s="882"/>
      <c r="N106" s="882"/>
      <c r="O106" s="882"/>
      <c r="P106" s="882"/>
      <c r="Q106" s="882"/>
      <c r="R106" s="882"/>
      <c r="S106" s="882"/>
      <c r="T106" s="882"/>
      <c r="U106" s="882"/>
      <c r="V106" s="882"/>
      <c r="W106" s="882"/>
      <c r="X106" s="882"/>
      <c r="Y106" s="882"/>
      <c r="Z106" s="882"/>
      <c r="AA106" s="882"/>
      <c r="AB106" s="882"/>
      <c r="AC106" s="882"/>
      <c r="AD106" s="882"/>
      <c r="AE106" s="882"/>
      <c r="AF106" s="882"/>
      <c r="AG106" s="882"/>
      <c r="AH106" s="882"/>
      <c r="AI106" s="882"/>
      <c r="AJ106" s="882"/>
      <c r="AK106" s="882"/>
      <c r="AL106" s="882"/>
      <c r="AM106" s="882"/>
      <c r="AN106" s="882"/>
      <c r="AO106" s="882"/>
      <c r="AP106" s="882"/>
      <c r="AQ106" s="882"/>
      <c r="AR106" s="882"/>
      <c r="AS106" s="882"/>
      <c r="AT106" s="882"/>
      <c r="AU106" s="882"/>
      <c r="AV106" s="882"/>
      <c r="AW106" s="882"/>
      <c r="AX106" s="882"/>
      <c r="AY106" s="882"/>
      <c r="AZ106" s="882"/>
      <c r="BA106" s="882"/>
      <c r="BB106" s="432"/>
    </row>
    <row r="107" spans="1:54" s="433" customFormat="1" x14ac:dyDescent="0.25">
      <c r="A107" s="1157" t="str">
        <f>"IN "&amp;VLOOKUP("Mamografia",IN_ANVISA[],2)&amp;" (B+V)"</f>
        <v>IN 92 (B+V)</v>
      </c>
      <c r="B107" s="882" t="str">
        <f>IF(B103="NPA","NPA",IF(B103&gt;0.21,"Não",IF(B103&gt;0.25,"Restrição","Sim")))</f>
        <v>NPA</v>
      </c>
      <c r="C107" s="882" t="str">
        <f>IF(C103="NPA","NPA",IF(C103&gt;0.21,"Não",IF(C103&gt;0.25,"Restrição","Sim")))</f>
        <v>NPA</v>
      </c>
      <c r="D107" s="882" t="str">
        <f>IF(D103="NPA","NPA",IF(D103&gt;0.21,"Não",IF(D103&gt;0.25,"Restrição","Sim")))</f>
        <v>NPA</v>
      </c>
      <c r="E107" s="882" t="str">
        <f>IF(E103="NPA","NPA",IF(E103&gt;0.21,"Não",IF(E103&gt;0.25,"Restrição","Sim")))</f>
        <v>NPA</v>
      </c>
      <c r="F107" s="431"/>
      <c r="G107" s="431"/>
      <c r="H107" s="431"/>
      <c r="I107" s="431"/>
      <c r="J107" s="431"/>
      <c r="K107" s="431"/>
      <c r="L107" s="431"/>
      <c r="M107" s="431"/>
      <c r="N107" s="431"/>
      <c r="O107" s="431"/>
      <c r="P107" s="431"/>
      <c r="Q107" s="431"/>
      <c r="R107" s="431"/>
      <c r="S107" s="431"/>
      <c r="T107" s="431"/>
      <c r="U107" s="431"/>
      <c r="V107" s="431"/>
      <c r="W107" s="431"/>
      <c r="X107" s="431"/>
      <c r="Y107" s="431"/>
      <c r="Z107" s="431"/>
      <c r="AA107" s="431"/>
      <c r="AB107" s="431"/>
      <c r="AC107" s="431"/>
      <c r="AD107" s="431"/>
      <c r="AE107" s="431"/>
      <c r="AF107" s="431"/>
      <c r="AG107" s="431"/>
      <c r="AH107" s="431"/>
      <c r="AI107" s="431"/>
      <c r="AJ107" s="431"/>
      <c r="AK107" s="431"/>
      <c r="AL107" s="431"/>
      <c r="AM107" s="431"/>
      <c r="AN107" s="431"/>
      <c r="AO107" s="431"/>
      <c r="AP107" s="431"/>
      <c r="AQ107" s="431"/>
      <c r="AR107" s="431"/>
      <c r="AS107" s="431"/>
      <c r="AT107" s="431"/>
      <c r="AU107" s="431"/>
      <c r="AV107" s="431"/>
      <c r="AW107" s="431"/>
      <c r="AX107" s="431"/>
      <c r="AY107" s="431"/>
      <c r="AZ107" s="431"/>
      <c r="BA107" s="431"/>
      <c r="BB107" s="432"/>
    </row>
    <row r="108" spans="1:54" s="433" customFormat="1" x14ac:dyDescent="0.25">
      <c r="A108" s="1157" t="str">
        <f>"IN "&amp;VLOOKUP("Mamografia",IN_ANVISA[],2)&amp;"(LB B+V)"</f>
        <v>IN 92(LB B+V)</v>
      </c>
      <c r="B108" s="411" t="str">
        <f>IF(B104="NPA","NPA",IF(B104&gt;0.02,"Não",IF(B104&gt;0.03,"Restrição","Sim")))</f>
        <v>NPA</v>
      </c>
      <c r="C108" s="411" t="str">
        <f>IF(C104="NPA","NPA",IF(C104&gt;0.02,"Não",IF(C104&gt;0.03,"Restrição","Sim")))</f>
        <v>NPA</v>
      </c>
      <c r="D108" s="411" t="str">
        <f>IF(D104="NPA","NPA",IF(D104&gt;0.02,"Não",IF(D104&gt;0.03,"Restrição","Sim")))</f>
        <v>NPA</v>
      </c>
      <c r="E108" s="411" t="str">
        <f>IF(E104="NPA","NPA",IF(E104&gt;0.02,"Não",IF(E104&gt;0.03,"Restrição","Sim")))</f>
        <v>NPA</v>
      </c>
      <c r="F108" s="882"/>
      <c r="G108" s="882"/>
      <c r="H108" s="882"/>
      <c r="I108" s="882"/>
      <c r="J108" s="882"/>
      <c r="K108" s="882"/>
      <c r="L108" s="882"/>
      <c r="M108" s="882"/>
      <c r="N108" s="882"/>
      <c r="O108" s="882"/>
      <c r="P108" s="882"/>
      <c r="Q108" s="882"/>
      <c r="R108" s="882"/>
      <c r="S108" s="882"/>
      <c r="T108" s="882"/>
      <c r="U108" s="882"/>
      <c r="V108" s="882"/>
      <c r="W108" s="882"/>
      <c r="X108" s="882"/>
      <c r="Y108" s="882"/>
      <c r="Z108" s="882"/>
      <c r="AA108" s="882"/>
      <c r="AB108" s="882"/>
      <c r="AC108" s="882"/>
      <c r="AD108" s="882"/>
      <c r="AE108" s="882"/>
      <c r="AF108" s="882"/>
      <c r="AG108" s="882"/>
      <c r="AH108" s="882"/>
      <c r="AI108" s="882"/>
      <c r="AJ108" s="882"/>
      <c r="AK108" s="882"/>
      <c r="AL108" s="882"/>
      <c r="AM108" s="882"/>
      <c r="AN108" s="882"/>
      <c r="AO108" s="882"/>
      <c r="AP108" s="882"/>
      <c r="AQ108" s="882"/>
      <c r="AR108" s="882"/>
      <c r="AS108" s="882"/>
      <c r="AT108" s="882"/>
      <c r="AU108" s="882"/>
      <c r="AV108" s="882"/>
      <c r="AW108" s="882"/>
      <c r="AX108" s="882"/>
      <c r="AY108" s="882"/>
      <c r="AZ108" s="882"/>
      <c r="BA108" s="882"/>
      <c r="BB108" s="432"/>
    </row>
    <row r="109" spans="1:54" s="433" customFormat="1" x14ac:dyDescent="0.25">
      <c r="A109" s="1157" t="str">
        <f>"IN "&amp;VLOOKUP("Mamografia",IN_ANVISA[],2)&amp;" (Densidade média)"</f>
        <v>IN 92 (Densidade média)</v>
      </c>
      <c r="B109" s="882" t="str">
        <f ca="1">IF(OR($F$105="NPA",B105="NPA"),"NPA",IF(ABS($F$105-B105)&gt;0.1,"Não",IF(ABS($F$105-B105)&gt;0.15,"Restrição","Sim")))</f>
        <v>NPA</v>
      </c>
      <c r="C109" s="882" t="str">
        <f ca="1">IF(OR($F$105="NPA",C105="NPA"),"NPA",IF(ABS($F$105-C105)&gt;0.1,"Não",IF(ABS($F$105-C105)&gt;0.15,"Restrição","Sim")))</f>
        <v>NPA</v>
      </c>
      <c r="D109" s="882" t="str">
        <f ca="1">IF(OR($F$105="NPA",D105="NPA"),"NPA",IF(ABS($F$105-D105)&gt;0.1,"Não",IF(ABS($F$105-D105)&gt;0.15,"Restrição","Sim")))</f>
        <v>NPA</v>
      </c>
      <c r="E109" s="882" t="str">
        <f ca="1">IF(OR($F$105="NPA",E105="NPA"),"NPA",IF(ABS($F$105-E105)&gt;0.1,"Não",IF(ABS($F$105-E105)&gt;0.15,"Restrição","Sim")))</f>
        <v>NPA</v>
      </c>
      <c r="F109" s="882"/>
      <c r="G109" s="882"/>
      <c r="H109" s="882"/>
      <c r="I109" s="882"/>
      <c r="J109" s="882"/>
      <c r="K109" s="882"/>
      <c r="L109" s="882"/>
      <c r="M109" s="882"/>
      <c r="N109" s="882"/>
      <c r="O109" s="882"/>
      <c r="P109" s="882"/>
      <c r="Q109" s="882"/>
      <c r="R109" s="882"/>
      <c r="S109" s="882"/>
      <c r="T109" s="882"/>
      <c r="U109" s="882"/>
      <c r="V109" s="882"/>
      <c r="W109" s="882"/>
      <c r="X109" s="882"/>
      <c r="Y109" s="882"/>
      <c r="Z109" s="882"/>
      <c r="AA109" s="882"/>
      <c r="AB109" s="882"/>
      <c r="AC109" s="882"/>
      <c r="AD109" s="882"/>
      <c r="AE109" s="882"/>
      <c r="AF109" s="882"/>
      <c r="AG109" s="882"/>
      <c r="AH109" s="882"/>
      <c r="AI109" s="882"/>
      <c r="AJ109" s="882"/>
      <c r="AK109" s="882"/>
      <c r="AL109" s="882"/>
      <c r="AM109" s="882"/>
      <c r="AN109" s="882"/>
      <c r="AO109" s="882"/>
      <c r="AP109" s="882"/>
      <c r="AQ109" s="882"/>
      <c r="AR109" s="882"/>
      <c r="AS109" s="882"/>
      <c r="AT109" s="882"/>
      <c r="AU109" s="882"/>
      <c r="AV109" s="882"/>
      <c r="AW109" s="882"/>
      <c r="AX109" s="882"/>
      <c r="AY109" s="882"/>
      <c r="AZ109" s="882"/>
      <c r="BA109" s="882"/>
      <c r="BB109" s="432"/>
    </row>
    <row r="110" spans="1:54" x14ac:dyDescent="0.25">
      <c r="A110" s="586" t="str">
        <f>"IN "&amp;VLOOKUP("Mamografia",IN_ANVISA[],2)&amp;" (Diferença de DO)"</f>
        <v>IN 92 (Diferença de DO)</v>
      </c>
      <c r="B110" s="411" t="str">
        <f>IF(B106="NPA","NPA",IF(B106&gt;0.1,"Não",IF(B106&gt;0.15,"Restrição","Sim")))</f>
        <v>NPA</v>
      </c>
      <c r="C110" s="411" t="str">
        <f>IF(C106="NPA","NPA",IF(C106&gt;0.1,"Não",IF(C106&gt;0.15,"Restrição","Sim")))</f>
        <v>NPA</v>
      </c>
      <c r="D110" s="411" t="str">
        <f>IF(D106="NPA","NPA",IF(D106&gt;0.1,"Não",IF(D106&gt;0.15,"Restrição","Sim")))</f>
        <v>NPA</v>
      </c>
      <c r="E110" s="411" t="str">
        <f>IF(E106="NPA","NPA",IF(E106&gt;0.1,"Não",IF(E106&gt;0.15,"Restrição","Sim")))</f>
        <v>NPA</v>
      </c>
    </row>
    <row r="111" spans="1:54" ht="16.5" thickBot="1" x14ac:dyDescent="0.3"/>
    <row r="112" spans="1:54" s="438" customFormat="1" ht="19.5" thickBot="1" x14ac:dyDescent="0.35">
      <c r="A112" s="1616" t="s">
        <v>1738</v>
      </c>
      <c r="B112" s="434"/>
      <c r="C112" s="435"/>
      <c r="D112" s="436"/>
      <c r="E112" s="437"/>
      <c r="F112" s="436"/>
      <c r="G112" s="436"/>
      <c r="H112" s="435"/>
      <c r="I112" s="435"/>
      <c r="J112" s="435"/>
      <c r="K112" s="435"/>
      <c r="L112" s="435"/>
      <c r="M112" s="435"/>
      <c r="N112" s="435"/>
      <c r="O112" s="435"/>
      <c r="P112" s="435"/>
      <c r="Q112" s="435"/>
      <c r="R112" s="435"/>
      <c r="S112" s="435"/>
      <c r="T112" s="435"/>
      <c r="U112" s="435"/>
      <c r="V112" s="435"/>
      <c r="W112" s="435"/>
      <c r="X112" s="435"/>
      <c r="Y112" s="435"/>
      <c r="Z112" s="435"/>
      <c r="AA112" s="435"/>
      <c r="AB112" s="435"/>
      <c r="AC112" s="435"/>
      <c r="AD112" s="435"/>
      <c r="AE112" s="435"/>
      <c r="AF112" s="435"/>
      <c r="AG112" s="435"/>
      <c r="AH112" s="435"/>
      <c r="AI112" s="435"/>
      <c r="AJ112" s="435"/>
      <c r="AK112" s="435"/>
      <c r="AL112" s="435"/>
      <c r="AM112" s="435"/>
      <c r="AN112" s="435"/>
      <c r="AO112" s="435"/>
      <c r="AP112" s="435"/>
      <c r="AQ112" s="435"/>
      <c r="AR112" s="435"/>
      <c r="AS112" s="435"/>
      <c r="AT112" s="435"/>
      <c r="AU112" s="435"/>
      <c r="AV112" s="435"/>
      <c r="AW112" s="435"/>
      <c r="AX112" s="435"/>
      <c r="AY112" s="435"/>
      <c r="AZ112" s="435"/>
      <c r="BA112" s="435"/>
      <c r="BB112" s="435"/>
    </row>
    <row r="113" spans="1:54" s="1563" customFormat="1" ht="19.5" thickBot="1" x14ac:dyDescent="0.35">
      <c r="A113" s="1558"/>
      <c r="B113" s="1559"/>
      <c r="C113" s="1560"/>
      <c r="D113" s="1561"/>
      <c r="E113" s="1562"/>
      <c r="F113" s="1561"/>
      <c r="G113" s="1561"/>
      <c r="H113" s="1560"/>
      <c r="I113" s="1560"/>
      <c r="J113" s="1560"/>
      <c r="K113" s="1560"/>
      <c r="L113" s="1560"/>
      <c r="M113" s="1560"/>
      <c r="N113" s="1560"/>
      <c r="O113" s="1560"/>
      <c r="P113" s="1560"/>
      <c r="Q113" s="1560"/>
      <c r="R113" s="1560"/>
      <c r="S113" s="1560"/>
      <c r="T113" s="1560"/>
      <c r="U113" s="1560"/>
      <c r="V113" s="1560"/>
      <c r="W113" s="1560"/>
      <c r="X113" s="1560"/>
      <c r="Y113" s="1560"/>
      <c r="Z113" s="1560"/>
      <c r="AA113" s="1560"/>
      <c r="AB113" s="1560"/>
      <c r="AC113" s="1560"/>
      <c r="AD113" s="1560"/>
      <c r="AE113" s="1560"/>
      <c r="AF113" s="1560"/>
      <c r="AG113" s="1560"/>
      <c r="AH113" s="1560"/>
      <c r="AI113" s="1560"/>
      <c r="AJ113" s="1560"/>
      <c r="AK113" s="1560"/>
      <c r="AL113" s="1560"/>
      <c r="AM113" s="1560"/>
      <c r="AN113" s="1560"/>
      <c r="AO113" s="1560"/>
      <c r="AP113" s="1560"/>
      <c r="AQ113" s="1560"/>
      <c r="AR113" s="1560"/>
      <c r="AS113" s="1560"/>
      <c r="AT113" s="1560"/>
      <c r="AU113" s="1560"/>
      <c r="AV113" s="1560"/>
      <c r="AW113" s="1560"/>
      <c r="AX113" s="1560"/>
      <c r="AY113" s="1560"/>
      <c r="AZ113" s="1560"/>
      <c r="BA113" s="1560"/>
      <c r="BB113" s="1560"/>
    </row>
    <row r="114" spans="1:54" s="438" customFormat="1" ht="19.5" thickBot="1" x14ac:dyDescent="0.35">
      <c r="A114" s="1554" t="s">
        <v>1733</v>
      </c>
      <c r="B114" s="434"/>
      <c r="C114" s="435"/>
      <c r="D114" s="436"/>
      <c r="E114" s="437"/>
      <c r="F114" s="436"/>
      <c r="G114" s="436"/>
      <c r="H114" s="435"/>
      <c r="I114" s="435"/>
      <c r="J114" s="435"/>
      <c r="K114" s="435"/>
      <c r="L114" s="435"/>
      <c r="M114" s="435"/>
      <c r="N114" s="435"/>
      <c r="O114" s="435"/>
      <c r="P114" s="435"/>
      <c r="Q114" s="435"/>
      <c r="R114" s="435"/>
      <c r="S114" s="435"/>
      <c r="T114" s="435"/>
      <c r="U114" s="435"/>
      <c r="V114" s="435"/>
      <c r="W114" s="435"/>
      <c r="X114" s="435"/>
      <c r="Y114" s="435"/>
      <c r="Z114" s="435"/>
      <c r="AA114" s="435"/>
      <c r="AB114" s="435"/>
      <c r="AC114" s="435"/>
      <c r="AD114" s="435"/>
      <c r="AE114" s="435"/>
      <c r="AF114" s="435"/>
      <c r="AG114" s="435"/>
      <c r="AH114" s="435"/>
      <c r="AI114" s="435"/>
      <c r="AJ114" s="435"/>
      <c r="AK114" s="435"/>
      <c r="AL114" s="435"/>
      <c r="AM114" s="435"/>
      <c r="AN114" s="435"/>
      <c r="AO114" s="435"/>
      <c r="AP114" s="435"/>
      <c r="AQ114" s="435"/>
      <c r="AR114" s="435"/>
      <c r="AS114" s="435"/>
      <c r="AT114" s="435"/>
      <c r="AU114" s="435"/>
      <c r="AV114" s="435"/>
      <c r="AW114" s="435"/>
      <c r="AX114" s="435"/>
      <c r="AY114" s="435"/>
      <c r="AZ114" s="435"/>
      <c r="BA114" s="435"/>
      <c r="BB114" s="435"/>
    </row>
    <row r="115" spans="1:54" x14ac:dyDescent="0.25">
      <c r="A115" s="291"/>
      <c r="L115" s="291"/>
      <c r="M115" s="291"/>
      <c r="N115" s="291"/>
      <c r="O115" s="291"/>
      <c r="P115" s="291"/>
      <c r="Q115" s="291"/>
      <c r="R115" s="291"/>
      <c r="S115" s="291"/>
      <c r="T115" s="291"/>
      <c r="U115" s="291"/>
      <c r="V115" s="291"/>
      <c r="W115" s="291"/>
      <c r="X115" s="291"/>
      <c r="Y115" s="291"/>
      <c r="Z115" s="291"/>
      <c r="AA115" s="291"/>
      <c r="AB115" s="291"/>
      <c r="AC115" s="291"/>
      <c r="AD115" s="291"/>
      <c r="AE115" s="291"/>
      <c r="AF115" s="291"/>
      <c r="AG115" s="291"/>
      <c r="AH115" s="291"/>
      <c r="AI115" s="291"/>
      <c r="AJ115" s="291"/>
      <c r="AK115" s="291"/>
      <c r="AL115" s="291"/>
      <c r="AM115" s="291"/>
      <c r="AN115" s="291"/>
      <c r="AO115" s="291"/>
      <c r="AP115" s="291"/>
      <c r="AQ115" s="291"/>
      <c r="AR115" s="291"/>
      <c r="AS115" s="291"/>
      <c r="AT115" s="291"/>
      <c r="AU115" s="291"/>
      <c r="AV115" s="291"/>
      <c r="AW115" s="291"/>
      <c r="AX115" s="291"/>
      <c r="AY115" s="291"/>
      <c r="AZ115" s="291"/>
      <c r="BA115" s="291"/>
      <c r="BB115" s="291"/>
    </row>
    <row r="116" spans="1:54" ht="15.75" customHeight="1" x14ac:dyDescent="0.25">
      <c r="A116" s="1550" t="s">
        <v>799</v>
      </c>
      <c r="B116" s="3079" t="s">
        <v>336</v>
      </c>
      <c r="C116" s="3079"/>
      <c r="D116" s="3079"/>
      <c r="E116" s="3079"/>
      <c r="F116" s="3079"/>
      <c r="G116" s="3079"/>
      <c r="H116" s="3079"/>
      <c r="I116" s="3079"/>
      <c r="J116" s="1550"/>
      <c r="K116" s="1550"/>
      <c r="L116" s="291"/>
      <c r="M116" s="291"/>
      <c r="N116" s="291"/>
      <c r="O116" s="291"/>
      <c r="P116" s="291"/>
      <c r="Q116" s="291"/>
      <c r="R116" s="291"/>
      <c r="S116" s="291"/>
      <c r="T116" s="291"/>
      <c r="U116" s="291"/>
      <c r="V116" s="291"/>
      <c r="W116" s="291"/>
      <c r="X116" s="291"/>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1"/>
    </row>
    <row r="117" spans="1:54" ht="15" customHeight="1" x14ac:dyDescent="0.25">
      <c r="A117" s="1158" t="s">
        <v>1784</v>
      </c>
      <c r="B117" s="1550">
        <v>1</v>
      </c>
      <c r="C117" s="1550">
        <v>2</v>
      </c>
      <c r="D117" s="1550">
        <v>3</v>
      </c>
      <c r="E117" s="1550">
        <v>4</v>
      </c>
      <c r="F117" s="1550">
        <v>5</v>
      </c>
      <c r="G117" s="1550">
        <v>6</v>
      </c>
      <c r="H117" s="1550">
        <v>7</v>
      </c>
      <c r="I117" s="1550">
        <v>8</v>
      </c>
      <c r="J117" s="1550">
        <v>9</v>
      </c>
      <c r="K117" s="1550">
        <v>10</v>
      </c>
      <c r="L117" s="291"/>
      <c r="M117" s="291"/>
      <c r="N117" s="291"/>
      <c r="O117" s="291"/>
      <c r="P117" s="291"/>
      <c r="Q117" s="291"/>
      <c r="R117" s="291"/>
      <c r="S117" s="291"/>
      <c r="T117" s="291"/>
      <c r="U117" s="291"/>
      <c r="V117" s="291"/>
      <c r="W117" s="291"/>
      <c r="X117" s="291"/>
      <c r="Y117" s="291"/>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1"/>
    </row>
    <row r="118" spans="1:54" x14ac:dyDescent="0.25">
      <c r="A118" s="1159" t="s">
        <v>767</v>
      </c>
      <c r="B118" s="439"/>
      <c r="C118" s="439"/>
      <c r="D118" s="439"/>
      <c r="E118" s="439"/>
      <c r="F118" s="439"/>
      <c r="G118" s="439"/>
      <c r="H118" s="439"/>
      <c r="I118" s="439"/>
      <c r="J118" s="439"/>
      <c r="K118" s="439"/>
      <c r="L118" s="291"/>
      <c r="M118" s="291"/>
      <c r="N118" s="291"/>
      <c r="O118" s="291"/>
      <c r="P118" s="291"/>
      <c r="Q118" s="291"/>
      <c r="R118" s="291"/>
      <c r="S118" s="291"/>
      <c r="T118" s="291"/>
      <c r="U118" s="291"/>
      <c r="V118" s="291"/>
      <c r="W118" s="291"/>
      <c r="X118" s="291"/>
      <c r="Y118" s="291"/>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1"/>
    </row>
    <row r="119" spans="1:54" x14ac:dyDescent="0.25">
      <c r="A119" s="1159" t="s">
        <v>768</v>
      </c>
      <c r="B119" s="439"/>
      <c r="C119" s="439"/>
      <c r="D119" s="439"/>
      <c r="E119" s="439"/>
      <c r="F119" s="439"/>
      <c r="G119" s="439"/>
      <c r="H119" s="439"/>
      <c r="I119" s="439"/>
      <c r="J119" s="439"/>
      <c r="K119" s="439"/>
      <c r="L119" s="291"/>
      <c r="M119" s="291"/>
      <c r="N119" s="291"/>
      <c r="O119" s="291"/>
      <c r="P119" s="291"/>
      <c r="Q119" s="291"/>
      <c r="R119" s="291"/>
      <c r="S119" s="291"/>
      <c r="T119" s="291"/>
      <c r="U119" s="291"/>
      <c r="V119" s="291"/>
      <c r="W119" s="291"/>
      <c r="X119" s="291"/>
      <c r="Y119" s="291"/>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1"/>
    </row>
    <row r="120" spans="1:54" x14ac:dyDescent="0.25">
      <c r="A120" s="1159" t="s">
        <v>769</v>
      </c>
      <c r="B120" s="439"/>
      <c r="C120" s="439"/>
      <c r="D120" s="439"/>
      <c r="E120" s="439"/>
      <c r="F120" s="439"/>
      <c r="G120" s="439"/>
      <c r="H120" s="439"/>
      <c r="I120" s="439"/>
      <c r="J120" s="439"/>
      <c r="K120" s="439"/>
      <c r="L120" s="291"/>
      <c r="M120" s="291"/>
      <c r="N120" s="291"/>
      <c r="O120" s="291"/>
      <c r="P120" s="291"/>
      <c r="Q120" s="291"/>
      <c r="R120" s="291"/>
      <c r="S120" s="291"/>
      <c r="T120" s="291"/>
      <c r="U120" s="291"/>
      <c r="V120" s="291"/>
      <c r="W120" s="291"/>
      <c r="X120" s="291"/>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1"/>
    </row>
    <row r="121" spans="1:54" x14ac:dyDescent="0.25">
      <c r="A121" s="1159" t="s">
        <v>770</v>
      </c>
      <c r="B121" s="439"/>
      <c r="C121" s="439"/>
      <c r="D121" s="439"/>
      <c r="E121" s="439"/>
      <c r="F121" s="439"/>
      <c r="G121" s="439"/>
      <c r="H121" s="439"/>
      <c r="I121" s="439"/>
      <c r="J121" s="439"/>
      <c r="K121" s="439"/>
      <c r="L121" s="291"/>
      <c r="M121" s="291"/>
      <c r="N121" s="291"/>
      <c r="O121" s="291"/>
      <c r="P121" s="291"/>
      <c r="Q121" s="291"/>
      <c r="R121" s="291"/>
      <c r="S121" s="291"/>
      <c r="T121" s="291"/>
      <c r="U121" s="291"/>
      <c r="V121" s="291"/>
      <c r="W121" s="291"/>
      <c r="X121" s="291"/>
      <c r="Y121" s="291"/>
      <c r="Z121" s="291"/>
      <c r="AA121" s="291"/>
      <c r="AB121" s="291"/>
      <c r="AC121" s="291"/>
      <c r="AD121" s="291"/>
      <c r="AE121" s="291"/>
      <c r="AF121" s="291"/>
      <c r="AG121" s="291"/>
      <c r="AH121" s="291"/>
      <c r="AI121" s="291"/>
      <c r="AJ121" s="291"/>
      <c r="AK121" s="291"/>
      <c r="AL121" s="291"/>
      <c r="AM121" s="291"/>
      <c r="AN121" s="291"/>
      <c r="AO121" s="291"/>
      <c r="AP121" s="291"/>
      <c r="AQ121" s="291"/>
      <c r="AR121" s="291"/>
      <c r="AS121" s="291"/>
      <c r="AT121" s="291"/>
      <c r="AU121" s="291"/>
      <c r="AV121" s="291"/>
      <c r="AW121" s="291"/>
      <c r="AX121" s="291"/>
      <c r="AY121" s="291"/>
      <c r="AZ121" s="291"/>
      <c r="BA121" s="291"/>
      <c r="BB121" s="291"/>
    </row>
    <row r="122" spans="1:54" x14ac:dyDescent="0.25">
      <c r="A122" s="1159" t="s">
        <v>771</v>
      </c>
      <c r="B122" s="439"/>
      <c r="C122" s="439"/>
      <c r="D122" s="439"/>
      <c r="E122" s="439"/>
      <c r="F122" s="439"/>
      <c r="G122" s="439"/>
      <c r="H122" s="439"/>
      <c r="I122" s="439"/>
      <c r="J122" s="439"/>
      <c r="K122" s="439"/>
      <c r="L122" s="291"/>
      <c r="M122" s="291"/>
      <c r="N122" s="291"/>
      <c r="O122" s="291"/>
      <c r="P122" s="291"/>
      <c r="Q122" s="291"/>
      <c r="R122" s="291"/>
      <c r="S122" s="291"/>
      <c r="T122" s="291"/>
      <c r="U122" s="291"/>
      <c r="V122" s="291"/>
      <c r="W122" s="291"/>
      <c r="X122" s="291"/>
      <c r="Y122" s="291"/>
      <c r="Z122" s="291"/>
      <c r="AA122" s="291"/>
      <c r="AB122" s="291"/>
      <c r="AC122" s="291"/>
      <c r="AD122" s="291"/>
      <c r="AE122" s="291"/>
      <c r="AF122" s="291"/>
      <c r="AG122" s="291"/>
      <c r="AH122" s="291"/>
      <c r="AI122" s="291"/>
      <c r="AJ122" s="291"/>
      <c r="AK122" s="291"/>
      <c r="AL122" s="291"/>
      <c r="AM122" s="291"/>
      <c r="AN122" s="291"/>
      <c r="AO122" s="291"/>
      <c r="AP122" s="291"/>
      <c r="AQ122" s="291"/>
      <c r="AR122" s="291"/>
      <c r="AS122" s="291"/>
      <c r="AT122" s="291"/>
      <c r="AU122" s="291"/>
      <c r="AV122" s="291"/>
      <c r="AW122" s="291"/>
      <c r="AX122" s="291"/>
      <c r="AY122" s="291"/>
      <c r="AZ122" s="291"/>
      <c r="BA122" s="291"/>
      <c r="BB122" s="291"/>
    </row>
    <row r="123" spans="1:54" x14ac:dyDescent="0.25">
      <c r="A123" s="1159" t="s">
        <v>772</v>
      </c>
      <c r="B123" s="439"/>
      <c r="C123" s="439"/>
      <c r="D123" s="439"/>
      <c r="E123" s="439"/>
      <c r="F123" s="439"/>
      <c r="G123" s="439"/>
      <c r="H123" s="439"/>
      <c r="I123" s="439"/>
      <c r="J123" s="439"/>
      <c r="K123" s="439"/>
      <c r="L123" s="291"/>
      <c r="M123" s="291"/>
      <c r="N123" s="291"/>
      <c r="O123" s="291"/>
      <c r="P123" s="291"/>
      <c r="Q123" s="291"/>
      <c r="R123" s="291"/>
      <c r="S123" s="291"/>
      <c r="T123" s="291"/>
      <c r="U123" s="291"/>
      <c r="V123" s="291"/>
      <c r="W123" s="291"/>
      <c r="X123" s="291"/>
      <c r="Y123" s="291"/>
      <c r="Z123" s="291"/>
      <c r="AA123" s="291"/>
      <c r="AB123" s="291"/>
      <c r="AC123" s="291"/>
      <c r="AD123" s="291"/>
      <c r="AE123" s="291"/>
      <c r="AF123" s="291"/>
      <c r="AG123" s="291"/>
      <c r="AH123" s="291"/>
      <c r="AI123" s="291"/>
      <c r="AJ123" s="291"/>
      <c r="AK123" s="291"/>
      <c r="AL123" s="291"/>
      <c r="AM123" s="291"/>
      <c r="AN123" s="291"/>
      <c r="AO123" s="291"/>
      <c r="AP123" s="291"/>
      <c r="AQ123" s="291"/>
      <c r="AR123" s="291"/>
      <c r="AS123" s="291"/>
      <c r="AT123" s="291"/>
      <c r="AU123" s="291"/>
      <c r="AV123" s="291"/>
      <c r="AW123" s="291"/>
      <c r="AX123" s="291"/>
      <c r="AY123" s="291"/>
      <c r="AZ123" s="291"/>
      <c r="BA123" s="291"/>
      <c r="BB123" s="291"/>
    </row>
    <row r="124" spans="1:54" x14ac:dyDescent="0.25">
      <c r="A124" s="1159" t="s">
        <v>773</v>
      </c>
      <c r="B124" s="439"/>
      <c r="C124" s="439"/>
      <c r="D124" s="439"/>
      <c r="E124" s="439"/>
      <c r="F124" s="439"/>
      <c r="G124" s="439"/>
      <c r="H124" s="439"/>
      <c r="I124" s="439"/>
      <c r="J124" s="439"/>
      <c r="K124" s="439"/>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row>
    <row r="125" spans="1:54" x14ac:dyDescent="0.25">
      <c r="A125" s="1159" t="s">
        <v>774</v>
      </c>
      <c r="B125" s="439"/>
      <c r="C125" s="439"/>
      <c r="D125" s="439"/>
      <c r="E125" s="439"/>
      <c r="F125" s="439"/>
      <c r="G125" s="439"/>
      <c r="H125" s="439"/>
      <c r="I125" s="439"/>
      <c r="J125" s="439"/>
      <c r="K125" s="439"/>
      <c r="L125" s="291"/>
      <c r="M125" s="291"/>
      <c r="N125" s="291"/>
      <c r="O125" s="291"/>
      <c r="P125" s="291"/>
      <c r="Q125" s="291"/>
      <c r="R125" s="291"/>
      <c r="S125" s="291"/>
      <c r="T125" s="291"/>
      <c r="U125" s="291"/>
      <c r="V125" s="291"/>
      <c r="W125" s="291"/>
      <c r="X125" s="291"/>
      <c r="Y125" s="291"/>
      <c r="Z125" s="291"/>
      <c r="AA125" s="291"/>
      <c r="AB125" s="291"/>
      <c r="AC125" s="291"/>
      <c r="AD125" s="291"/>
      <c r="AE125" s="291"/>
      <c r="AF125" s="291"/>
      <c r="AG125" s="291"/>
      <c r="AH125" s="291"/>
      <c r="AI125" s="291"/>
      <c r="AJ125" s="291"/>
      <c r="AK125" s="291"/>
      <c r="AL125" s="291"/>
      <c r="AM125" s="291"/>
      <c r="AN125" s="291"/>
      <c r="AO125" s="291"/>
      <c r="AP125" s="291"/>
      <c r="AQ125" s="291"/>
      <c r="AR125" s="291"/>
      <c r="AS125" s="291"/>
      <c r="AT125" s="291"/>
      <c r="AU125" s="291"/>
      <c r="AV125" s="291"/>
      <c r="AW125" s="291"/>
      <c r="AX125" s="291"/>
      <c r="AY125" s="291"/>
      <c r="AZ125" s="291"/>
      <c r="BA125" s="291"/>
      <c r="BB125" s="291"/>
    </row>
    <row r="126" spans="1:54" x14ac:dyDescent="0.25">
      <c r="B126" s="410"/>
      <c r="C126" s="410"/>
      <c r="D126" s="410"/>
      <c r="E126" s="410"/>
      <c r="F126" s="410"/>
      <c r="G126" s="410"/>
      <c r="H126" s="410"/>
      <c r="I126" s="410"/>
      <c r="J126" s="410"/>
      <c r="K126" s="291"/>
      <c r="L126" s="291"/>
      <c r="M126" s="291"/>
      <c r="N126" s="291"/>
      <c r="O126" s="291"/>
      <c r="P126" s="291"/>
      <c r="Q126" s="291"/>
      <c r="R126" s="291"/>
      <c r="S126" s="291"/>
      <c r="T126" s="291"/>
      <c r="U126" s="291"/>
      <c r="V126" s="291"/>
      <c r="W126" s="291"/>
      <c r="X126" s="291"/>
      <c r="Y126" s="291"/>
      <c r="Z126" s="291"/>
      <c r="AA126" s="291"/>
      <c r="AB126" s="291"/>
      <c r="AC126" s="291"/>
      <c r="AD126" s="291"/>
      <c r="AE126" s="291"/>
      <c r="AF126" s="291"/>
      <c r="AG126" s="291"/>
      <c r="AH126" s="291"/>
      <c r="AI126" s="291"/>
      <c r="AJ126" s="291"/>
      <c r="AK126" s="291"/>
      <c r="AL126" s="291"/>
      <c r="AM126" s="291"/>
      <c r="AN126" s="291"/>
      <c r="AO126" s="291"/>
      <c r="AP126" s="291"/>
      <c r="AQ126" s="291"/>
      <c r="AR126" s="291"/>
      <c r="AS126" s="291"/>
      <c r="AT126" s="291"/>
      <c r="AU126" s="291"/>
      <c r="AV126" s="291"/>
      <c r="AW126" s="291"/>
      <c r="AX126" s="291"/>
      <c r="AY126" s="291"/>
      <c r="AZ126" s="291"/>
      <c r="BA126" s="291"/>
      <c r="BB126" s="291"/>
    </row>
    <row r="127" spans="1:54" x14ac:dyDescent="0.25">
      <c r="B127" s="410"/>
      <c r="C127" s="410"/>
      <c r="D127" s="410"/>
      <c r="E127" s="410"/>
      <c r="F127" s="410"/>
      <c r="G127" s="410"/>
      <c r="H127" s="410"/>
      <c r="I127" s="410"/>
      <c r="J127" s="410"/>
      <c r="K127" s="291"/>
      <c r="L127" s="291"/>
      <c r="M127" s="291"/>
      <c r="N127" s="291"/>
      <c r="O127" s="291"/>
      <c r="P127" s="291"/>
      <c r="Q127" s="291"/>
      <c r="R127" s="291"/>
      <c r="S127" s="291"/>
      <c r="T127" s="291"/>
      <c r="U127" s="291"/>
      <c r="V127" s="291"/>
      <c r="W127" s="291"/>
      <c r="X127" s="291"/>
      <c r="Y127" s="291"/>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row>
    <row r="128" spans="1:54" x14ac:dyDescent="0.25">
      <c r="A128" s="1158" t="s">
        <v>800</v>
      </c>
      <c r="I128" s="411"/>
      <c r="J128" s="291"/>
      <c r="K128" s="291"/>
      <c r="L128" s="291"/>
      <c r="M128" s="291"/>
      <c r="N128" s="291"/>
      <c r="O128" s="291"/>
      <c r="P128" s="291"/>
      <c r="Q128" s="291"/>
      <c r="R128" s="291"/>
      <c r="S128" s="291"/>
      <c r="T128" s="291"/>
      <c r="U128" s="291"/>
      <c r="V128" s="291"/>
      <c r="W128" s="291"/>
      <c r="X128" s="291"/>
      <c r="Y128" s="291"/>
      <c r="Z128" s="291"/>
      <c r="AA128" s="291"/>
      <c r="AB128" s="291"/>
      <c r="AC128" s="291"/>
      <c r="AD128" s="291"/>
      <c r="AE128" s="291"/>
      <c r="AF128" s="291"/>
      <c r="AG128" s="291"/>
      <c r="AH128" s="291"/>
      <c r="AI128" s="291"/>
      <c r="AJ128" s="291"/>
      <c r="AK128" s="291"/>
      <c r="AL128" s="291"/>
      <c r="AM128" s="291"/>
      <c r="AN128" s="291"/>
      <c r="AO128" s="291"/>
      <c r="AP128" s="291"/>
      <c r="AQ128" s="291"/>
      <c r="AR128" s="291"/>
      <c r="AS128" s="291"/>
      <c r="AT128" s="291"/>
      <c r="AU128" s="291"/>
      <c r="AV128" s="291"/>
      <c r="AW128" s="291"/>
      <c r="AX128" s="291"/>
      <c r="AY128" s="291"/>
      <c r="AZ128" s="291"/>
      <c r="BA128" s="291"/>
      <c r="BB128" s="291"/>
    </row>
    <row r="129" spans="1:54" x14ac:dyDescent="0.25">
      <c r="A129" s="1159" t="s">
        <v>767</v>
      </c>
      <c r="B129" s="439"/>
      <c r="C129" s="439"/>
      <c r="D129" s="439"/>
      <c r="E129" s="439"/>
      <c r="F129" s="439"/>
      <c r="G129" s="439"/>
      <c r="H129" s="439"/>
      <c r="I129" s="439"/>
      <c r="J129" s="439"/>
      <c r="K129" s="439"/>
      <c r="L129" s="291"/>
      <c r="M129" s="291"/>
      <c r="N129" s="291"/>
      <c r="O129" s="291"/>
      <c r="P129" s="291"/>
      <c r="Q129" s="291"/>
      <c r="R129" s="291"/>
      <c r="S129" s="291"/>
      <c r="T129" s="291"/>
      <c r="U129" s="291"/>
      <c r="V129" s="291"/>
      <c r="W129" s="291"/>
      <c r="X129" s="291"/>
      <c r="Y129" s="291"/>
      <c r="Z129" s="291"/>
      <c r="AA129" s="291"/>
      <c r="AB129" s="291"/>
      <c r="AC129" s="291"/>
      <c r="AD129" s="291"/>
      <c r="AE129" s="291"/>
      <c r="AF129" s="291"/>
      <c r="AG129" s="291"/>
      <c r="AH129" s="291"/>
      <c r="AI129" s="291"/>
      <c r="AJ129" s="291"/>
      <c r="AK129" s="291"/>
      <c r="AL129" s="291"/>
      <c r="AM129" s="291"/>
      <c r="AN129" s="291"/>
      <c r="AO129" s="291"/>
      <c r="AP129" s="291"/>
      <c r="AQ129" s="291"/>
      <c r="AR129" s="291"/>
      <c r="AS129" s="291"/>
      <c r="AT129" s="291"/>
      <c r="AU129" s="291"/>
      <c r="AV129" s="291"/>
      <c r="AW129" s="291"/>
      <c r="AX129" s="291"/>
      <c r="AY129" s="291"/>
      <c r="AZ129" s="291"/>
      <c r="BA129" s="291"/>
      <c r="BB129" s="291"/>
    </row>
    <row r="130" spans="1:54" x14ac:dyDescent="0.25">
      <c r="A130" s="1159" t="s">
        <v>768</v>
      </c>
      <c r="B130" s="439"/>
      <c r="C130" s="439"/>
      <c r="D130" s="439"/>
      <c r="E130" s="439"/>
      <c r="F130" s="439"/>
      <c r="G130" s="439"/>
      <c r="H130" s="439"/>
      <c r="I130" s="439"/>
      <c r="J130" s="439"/>
      <c r="K130" s="439"/>
      <c r="L130" s="291"/>
      <c r="M130" s="291"/>
      <c r="N130" s="291"/>
      <c r="O130" s="291"/>
      <c r="P130" s="291"/>
      <c r="Q130" s="291"/>
      <c r="R130" s="291"/>
      <c r="S130" s="291"/>
      <c r="T130" s="291"/>
      <c r="U130" s="291"/>
      <c r="V130" s="291"/>
      <c r="W130" s="291"/>
      <c r="X130" s="291"/>
      <c r="Y130" s="291"/>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row>
    <row r="131" spans="1:54" x14ac:dyDescent="0.25">
      <c r="A131" s="1159" t="s">
        <v>769</v>
      </c>
      <c r="B131" s="439"/>
      <c r="C131" s="439"/>
      <c r="D131" s="439"/>
      <c r="E131" s="439"/>
      <c r="F131" s="439"/>
      <c r="G131" s="439"/>
      <c r="H131" s="439"/>
      <c r="I131" s="439"/>
      <c r="J131" s="439"/>
      <c r="K131" s="439"/>
      <c r="L131" s="291"/>
      <c r="M131" s="291"/>
      <c r="N131" s="291"/>
      <c r="O131" s="291"/>
      <c r="P131" s="291"/>
      <c r="Q131" s="291"/>
      <c r="R131" s="291"/>
      <c r="S131" s="291"/>
      <c r="T131" s="291"/>
      <c r="U131" s="291"/>
      <c r="V131" s="291"/>
      <c r="W131" s="291"/>
      <c r="X131" s="291"/>
      <c r="Y131" s="291"/>
      <c r="Z131" s="291"/>
      <c r="AA131" s="291"/>
      <c r="AB131" s="291"/>
      <c r="AC131" s="291"/>
      <c r="AD131" s="291"/>
      <c r="AE131" s="291"/>
      <c r="AF131" s="291"/>
      <c r="AG131" s="291"/>
      <c r="AH131" s="291"/>
      <c r="AI131" s="291"/>
      <c r="AJ131" s="291"/>
      <c r="AK131" s="291"/>
      <c r="AL131" s="291"/>
      <c r="AM131" s="291"/>
      <c r="AN131" s="291"/>
      <c r="AO131" s="291"/>
      <c r="AP131" s="291"/>
      <c r="AQ131" s="291"/>
      <c r="AR131" s="291"/>
      <c r="AS131" s="291"/>
      <c r="AT131" s="291"/>
      <c r="AU131" s="291"/>
      <c r="AV131" s="291"/>
      <c r="AW131" s="291"/>
      <c r="AX131" s="291"/>
      <c r="AY131" s="291"/>
      <c r="AZ131" s="291"/>
      <c r="BA131" s="291"/>
      <c r="BB131" s="291"/>
    </row>
    <row r="132" spans="1:54" x14ac:dyDescent="0.25">
      <c r="A132" s="1159" t="s">
        <v>770</v>
      </c>
      <c r="B132" s="439"/>
      <c r="C132" s="439"/>
      <c r="D132" s="439"/>
      <c r="E132" s="439"/>
      <c r="F132" s="439"/>
      <c r="G132" s="439"/>
      <c r="H132" s="439"/>
      <c r="I132" s="439"/>
      <c r="J132" s="439"/>
      <c r="K132" s="439"/>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row>
    <row r="133" spans="1:54" x14ac:dyDescent="0.25">
      <c r="A133" s="1159" t="s">
        <v>771</v>
      </c>
      <c r="B133" s="439"/>
      <c r="C133" s="439"/>
      <c r="D133" s="439"/>
      <c r="E133" s="439"/>
      <c r="F133" s="439"/>
      <c r="G133" s="439"/>
      <c r="H133" s="439"/>
      <c r="I133" s="439"/>
      <c r="J133" s="439"/>
      <c r="K133" s="439"/>
      <c r="L133" s="291"/>
      <c r="M133" s="291"/>
      <c r="N133" s="291"/>
      <c r="O133" s="291"/>
      <c r="P133" s="291"/>
      <c r="Q133" s="291"/>
      <c r="R133" s="291"/>
      <c r="S133" s="291"/>
      <c r="T133" s="291"/>
      <c r="U133" s="291"/>
      <c r="V133" s="291"/>
      <c r="W133" s="291"/>
      <c r="X133" s="291"/>
      <c r="Y133" s="291"/>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row>
    <row r="134" spans="1:54" x14ac:dyDescent="0.25">
      <c r="A134" s="1159" t="s">
        <v>772</v>
      </c>
      <c r="B134" s="439"/>
      <c r="C134" s="439"/>
      <c r="D134" s="439"/>
      <c r="E134" s="439"/>
      <c r="F134" s="439"/>
      <c r="G134" s="439"/>
      <c r="H134" s="439"/>
      <c r="I134" s="439"/>
      <c r="J134" s="439"/>
      <c r="K134" s="439"/>
      <c r="L134" s="291"/>
      <c r="M134" s="291"/>
      <c r="N134" s="291"/>
      <c r="O134" s="291"/>
      <c r="P134" s="291"/>
      <c r="Q134" s="291"/>
      <c r="R134" s="291"/>
      <c r="S134" s="291"/>
      <c r="T134" s="291"/>
      <c r="U134" s="291"/>
      <c r="V134" s="291"/>
      <c r="W134" s="291"/>
      <c r="X134" s="291"/>
      <c r="Y134" s="291"/>
      <c r="Z134" s="291"/>
      <c r="AA134" s="291"/>
      <c r="AB134" s="291"/>
      <c r="AC134" s="291"/>
      <c r="AD134" s="291"/>
      <c r="AE134" s="291"/>
      <c r="AF134" s="291"/>
      <c r="AG134" s="291"/>
      <c r="AH134" s="291"/>
      <c r="AI134" s="291"/>
      <c r="AJ134" s="291"/>
      <c r="AK134" s="291"/>
      <c r="AL134" s="291"/>
      <c r="AM134" s="291"/>
      <c r="AN134" s="291"/>
      <c r="AO134" s="291"/>
      <c r="AP134" s="291"/>
      <c r="AQ134" s="291"/>
      <c r="AR134" s="291"/>
      <c r="AS134" s="291"/>
      <c r="AT134" s="291"/>
      <c r="AU134" s="291"/>
      <c r="AV134" s="291"/>
      <c r="AW134" s="291"/>
      <c r="AX134" s="291"/>
      <c r="AY134" s="291"/>
      <c r="AZ134" s="291"/>
      <c r="BA134" s="291"/>
      <c r="BB134" s="291"/>
    </row>
    <row r="135" spans="1:54" x14ac:dyDescent="0.25">
      <c r="A135" s="1159" t="s">
        <v>773</v>
      </c>
      <c r="B135" s="439"/>
      <c r="C135" s="439"/>
      <c r="D135" s="439"/>
      <c r="E135" s="439"/>
      <c r="F135" s="439"/>
      <c r="G135" s="439"/>
      <c r="H135" s="439"/>
      <c r="I135" s="439"/>
      <c r="J135" s="439"/>
      <c r="K135" s="439"/>
      <c r="L135" s="291"/>
      <c r="M135" s="291"/>
      <c r="N135" s="291"/>
      <c r="O135" s="291"/>
      <c r="P135" s="291"/>
      <c r="Q135" s="291"/>
      <c r="R135" s="291"/>
      <c r="S135" s="291"/>
      <c r="T135" s="291"/>
      <c r="U135" s="291"/>
      <c r="V135" s="291"/>
      <c r="W135" s="291"/>
      <c r="X135" s="291"/>
      <c r="Y135" s="291"/>
      <c r="Z135" s="291"/>
      <c r="AA135" s="291"/>
      <c r="AB135" s="291"/>
      <c r="AC135" s="291"/>
      <c r="AD135" s="291"/>
      <c r="AE135" s="291"/>
      <c r="AF135" s="291"/>
      <c r="AG135" s="291"/>
      <c r="AH135" s="291"/>
      <c r="AI135" s="291"/>
      <c r="AJ135" s="291"/>
      <c r="AK135" s="291"/>
      <c r="AL135" s="291"/>
      <c r="AM135" s="291"/>
      <c r="AN135" s="291"/>
      <c r="AO135" s="291"/>
      <c r="AP135" s="291"/>
      <c r="AQ135" s="291"/>
      <c r="AR135" s="291"/>
      <c r="AS135" s="291"/>
      <c r="AT135" s="291"/>
      <c r="AU135" s="291"/>
      <c r="AV135" s="291"/>
      <c r="AW135" s="291"/>
      <c r="AX135" s="291"/>
      <c r="AY135" s="291"/>
      <c r="AZ135" s="291"/>
      <c r="BA135" s="291"/>
      <c r="BB135" s="291"/>
    </row>
    <row r="136" spans="1:54" x14ac:dyDescent="0.25">
      <c r="A136" s="1159" t="s">
        <v>774</v>
      </c>
      <c r="B136" s="439"/>
      <c r="C136" s="439"/>
      <c r="D136" s="439"/>
      <c r="E136" s="439"/>
      <c r="F136" s="439"/>
      <c r="G136" s="439"/>
      <c r="H136" s="439"/>
      <c r="I136" s="439"/>
      <c r="J136" s="439"/>
      <c r="K136" s="439"/>
      <c r="L136" s="291"/>
      <c r="M136" s="291"/>
      <c r="N136" s="291"/>
      <c r="O136" s="291"/>
      <c r="P136" s="291"/>
      <c r="Q136" s="291"/>
      <c r="R136" s="291"/>
      <c r="S136" s="291"/>
      <c r="T136" s="291"/>
      <c r="U136" s="291"/>
      <c r="V136" s="291"/>
      <c r="W136" s="291"/>
      <c r="X136" s="291"/>
      <c r="Y136" s="291"/>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row>
    <row r="137" spans="1:54" x14ac:dyDescent="0.25">
      <c r="A137" s="1148"/>
    </row>
    <row r="138" spans="1:54" ht="16.5" thickBot="1" x14ac:dyDescent="0.3"/>
    <row r="139" spans="1:54" s="1557" customFormat="1" ht="18.75" thickBot="1" x14ac:dyDescent="0.3">
      <c r="A139" s="1616" t="s">
        <v>1737</v>
      </c>
      <c r="B139" s="1555"/>
      <c r="C139" s="1556"/>
      <c r="D139" s="1556"/>
      <c r="E139" s="1556"/>
      <c r="F139" s="1556"/>
      <c r="G139" s="1556"/>
      <c r="H139" s="1556"/>
      <c r="I139" s="1556"/>
      <c r="J139" s="1556"/>
      <c r="K139" s="1556"/>
      <c r="L139" s="1556"/>
      <c r="M139" s="1556"/>
      <c r="N139" s="1556"/>
      <c r="O139" s="1556"/>
      <c r="P139" s="1556"/>
      <c r="Q139" s="1556"/>
      <c r="R139" s="1556"/>
      <c r="S139" s="1556"/>
      <c r="T139" s="1556"/>
      <c r="U139" s="1556"/>
      <c r="V139" s="1556"/>
      <c r="W139" s="1556"/>
      <c r="X139" s="1556"/>
      <c r="Y139" s="1556"/>
      <c r="Z139" s="1556"/>
      <c r="AA139" s="1556"/>
      <c r="AB139" s="1556"/>
      <c r="AC139" s="1556"/>
      <c r="AD139" s="1556"/>
      <c r="AE139" s="1556"/>
      <c r="AF139" s="1556"/>
      <c r="AG139" s="1556"/>
      <c r="AH139" s="1556"/>
      <c r="AI139" s="1556"/>
      <c r="AJ139" s="1556"/>
      <c r="AK139" s="1556"/>
      <c r="AL139" s="1556"/>
      <c r="AM139" s="1556"/>
      <c r="AN139" s="1556"/>
      <c r="AO139" s="1556"/>
      <c r="AP139" s="1556"/>
      <c r="AQ139" s="1556"/>
      <c r="AR139" s="1556"/>
      <c r="AS139" s="1556"/>
      <c r="AT139" s="1556"/>
      <c r="AU139" s="1556"/>
      <c r="AV139" s="1556"/>
      <c r="AW139" s="1556"/>
      <c r="AX139" s="1556"/>
      <c r="AY139" s="1556"/>
      <c r="AZ139" s="1556"/>
      <c r="BA139" s="1556"/>
      <c r="BB139" s="1556"/>
    </row>
    <row r="141" spans="1:54" x14ac:dyDescent="0.25">
      <c r="A141" s="1147" t="s">
        <v>1888</v>
      </c>
      <c r="B141" s="1574" t="s">
        <v>272</v>
      </c>
    </row>
    <row r="142" spans="1:54" x14ac:dyDescent="0.25">
      <c r="A142" s="1147" t="s">
        <v>1889</v>
      </c>
      <c r="B142" s="1574" t="s">
        <v>272</v>
      </c>
    </row>
    <row r="143" spans="1:54" ht="16.5" thickBot="1" x14ac:dyDescent="0.3"/>
    <row r="144" spans="1:54" s="438" customFormat="1" ht="19.5" thickBot="1" x14ac:dyDescent="0.35">
      <c r="A144" s="3069" t="s">
        <v>1749</v>
      </c>
      <c r="B144" s="3070"/>
      <c r="C144" s="435"/>
      <c r="D144" s="436"/>
      <c r="E144" s="437"/>
      <c r="F144" s="436"/>
      <c r="G144" s="436"/>
      <c r="H144" s="435"/>
      <c r="I144" s="435"/>
      <c r="J144" s="435"/>
      <c r="K144" s="435"/>
      <c r="L144" s="435"/>
      <c r="M144" s="435"/>
      <c r="N144" s="435"/>
      <c r="O144" s="435"/>
      <c r="P144" s="435"/>
      <c r="Q144" s="435"/>
      <c r="R144" s="435"/>
      <c r="S144" s="435"/>
      <c r="T144" s="435"/>
      <c r="U144" s="435"/>
      <c r="V144" s="435"/>
      <c r="W144" s="435"/>
      <c r="X144" s="435"/>
      <c r="Y144" s="435"/>
      <c r="Z144" s="435"/>
      <c r="AA144" s="435"/>
      <c r="AB144" s="435"/>
      <c r="AC144" s="435"/>
      <c r="AD144" s="435"/>
      <c r="AE144" s="435"/>
      <c r="AF144" s="435"/>
      <c r="AG144" s="435"/>
      <c r="AH144" s="435"/>
      <c r="AI144" s="435"/>
      <c r="AJ144" s="435"/>
      <c r="AK144" s="435"/>
      <c r="AL144" s="435"/>
      <c r="AM144" s="435"/>
      <c r="AN144" s="435"/>
      <c r="AO144" s="435"/>
      <c r="AP144" s="435"/>
      <c r="AQ144" s="435"/>
      <c r="AR144" s="435"/>
      <c r="AS144" s="435"/>
      <c r="AT144" s="435"/>
      <c r="AU144" s="435"/>
      <c r="AV144" s="435"/>
      <c r="AW144" s="435"/>
      <c r="AX144" s="435"/>
      <c r="AY144" s="435"/>
      <c r="AZ144" s="435"/>
      <c r="BA144" s="435"/>
      <c r="BB144" s="435"/>
    </row>
    <row r="146" spans="1:54" x14ac:dyDescent="0.25">
      <c r="A146" s="1147" t="s">
        <v>1758</v>
      </c>
      <c r="B146" s="410"/>
      <c r="C146" s="410"/>
      <c r="D146" s="410"/>
      <c r="E146" s="410"/>
      <c r="F146" s="410"/>
      <c r="G146" s="410"/>
      <c r="H146" s="410"/>
      <c r="I146" s="410"/>
      <c r="J146" s="410"/>
      <c r="K146" s="291"/>
    </row>
    <row r="147" spans="1:54" ht="16.5" thickBot="1" x14ac:dyDescent="0.3"/>
    <row r="148" spans="1:54" s="438" customFormat="1" ht="19.5" thickBot="1" x14ac:dyDescent="0.35">
      <c r="A148" s="3069" t="s">
        <v>1735</v>
      </c>
      <c r="B148" s="3070"/>
      <c r="C148" s="435"/>
      <c r="D148" s="436"/>
      <c r="E148" s="437"/>
      <c r="F148" s="436"/>
      <c r="G148" s="436"/>
      <c r="H148" s="435"/>
      <c r="I148" s="435"/>
      <c r="J148" s="435"/>
      <c r="K148" s="435"/>
      <c r="L148" s="435"/>
      <c r="M148" s="435"/>
      <c r="N148" s="435"/>
      <c r="O148" s="435"/>
      <c r="P148" s="435"/>
      <c r="Q148" s="435"/>
      <c r="R148" s="435"/>
      <c r="S148" s="435"/>
      <c r="T148" s="435"/>
      <c r="U148" s="435"/>
      <c r="V148" s="435"/>
      <c r="W148" s="435"/>
      <c r="X148" s="435"/>
      <c r="Y148" s="435"/>
      <c r="Z148" s="435"/>
      <c r="AA148" s="435"/>
      <c r="AB148" s="435"/>
      <c r="AC148" s="435"/>
      <c r="AD148" s="435"/>
      <c r="AE148" s="435"/>
      <c r="AF148" s="435"/>
      <c r="AG148" s="435"/>
      <c r="AH148" s="435"/>
      <c r="AI148" s="435"/>
      <c r="AJ148" s="435"/>
      <c r="AK148" s="435"/>
      <c r="AL148" s="435"/>
      <c r="AM148" s="435"/>
      <c r="AN148" s="435"/>
      <c r="AO148" s="435"/>
      <c r="AP148" s="435"/>
      <c r="AQ148" s="435"/>
      <c r="AR148" s="435"/>
      <c r="AS148" s="435"/>
      <c r="AT148" s="435"/>
      <c r="AU148" s="435"/>
      <c r="AV148" s="435"/>
      <c r="AW148" s="435"/>
      <c r="AX148" s="435"/>
      <c r="AY148" s="435"/>
      <c r="AZ148" s="435"/>
      <c r="BA148" s="435"/>
      <c r="BB148" s="435"/>
    </row>
    <row r="149" spans="1:54" x14ac:dyDescent="0.25">
      <c r="B149" s="586"/>
      <c r="D149" s="586"/>
    </row>
    <row r="150" spans="1:54" x14ac:dyDescent="0.25">
      <c r="B150" s="3077" t="s">
        <v>1736</v>
      </c>
      <c r="C150" s="3077"/>
      <c r="D150" s="3077"/>
    </row>
    <row r="151" spans="1:54" x14ac:dyDescent="0.25">
      <c r="A151" s="1818" t="s">
        <v>767</v>
      </c>
      <c r="B151" s="1564"/>
      <c r="C151" s="3078" t="s">
        <v>408</v>
      </c>
      <c r="D151" s="1564"/>
    </row>
    <row r="152" spans="1:54" x14ac:dyDescent="0.25">
      <c r="A152" s="1818" t="s">
        <v>768</v>
      </c>
      <c r="B152" s="1564"/>
      <c r="C152" s="3078"/>
      <c r="D152" s="1564"/>
    </row>
    <row r="153" spans="1:54" x14ac:dyDescent="0.25">
      <c r="A153" s="1818" t="s">
        <v>769</v>
      </c>
      <c r="B153" s="1564"/>
      <c r="C153" s="3078"/>
      <c r="D153" s="1564"/>
    </row>
    <row r="154" spans="1:54" x14ac:dyDescent="0.25">
      <c r="A154" s="1818" t="s">
        <v>770</v>
      </c>
      <c r="B154" s="1564"/>
      <c r="C154" s="3078"/>
      <c r="D154" s="1564"/>
    </row>
    <row r="155" spans="1:54" x14ac:dyDescent="0.25">
      <c r="A155" s="1818" t="s">
        <v>771</v>
      </c>
      <c r="B155" s="1564"/>
      <c r="C155" s="3078"/>
      <c r="D155" s="1564"/>
    </row>
    <row r="156" spans="1:54" x14ac:dyDescent="0.25">
      <c r="A156" s="1818" t="s">
        <v>772</v>
      </c>
      <c r="B156" s="1564"/>
      <c r="C156" s="3078"/>
      <c r="D156" s="1564"/>
    </row>
    <row r="157" spans="1:54" x14ac:dyDescent="0.25">
      <c r="A157" s="1818" t="s">
        <v>773</v>
      </c>
      <c r="B157" s="1564"/>
      <c r="C157" s="3078"/>
      <c r="D157" s="1564"/>
    </row>
    <row r="158" spans="1:54" x14ac:dyDescent="0.25">
      <c r="A158" s="1818" t="s">
        <v>774</v>
      </c>
      <c r="B158" s="1564"/>
      <c r="C158" s="3078"/>
      <c r="D158" s="1564"/>
    </row>
    <row r="159" spans="1:54" ht="16.5" thickBot="1" x14ac:dyDescent="0.3">
      <c r="B159" s="1565"/>
      <c r="C159" s="586"/>
      <c r="D159" s="586"/>
    </row>
    <row r="160" spans="1:54" s="438" customFormat="1" ht="19.5" thickBot="1" x14ac:dyDescent="0.35">
      <c r="A160" s="3069" t="s">
        <v>1748</v>
      </c>
      <c r="B160" s="3070"/>
      <c r="C160" s="1566"/>
      <c r="D160" s="436"/>
      <c r="E160" s="437"/>
      <c r="F160" s="436"/>
      <c r="G160" s="436"/>
      <c r="H160" s="435"/>
      <c r="I160" s="435"/>
      <c r="J160" s="435"/>
      <c r="K160" s="435"/>
      <c r="L160" s="435"/>
      <c r="M160" s="435"/>
      <c r="N160" s="435"/>
      <c r="O160" s="435"/>
      <c r="P160" s="435"/>
      <c r="Q160" s="435"/>
      <c r="R160" s="435"/>
      <c r="S160" s="435"/>
      <c r="T160" s="435"/>
      <c r="U160" s="435"/>
      <c r="V160" s="435"/>
      <c r="W160" s="435"/>
      <c r="X160" s="435"/>
      <c r="Y160" s="435"/>
      <c r="Z160" s="435"/>
      <c r="AA160" s="435"/>
      <c r="AB160" s="435"/>
      <c r="AC160" s="435"/>
      <c r="AD160" s="435"/>
      <c r="AE160" s="435"/>
      <c r="AF160" s="435"/>
      <c r="AG160" s="435"/>
      <c r="AH160" s="435"/>
      <c r="AI160" s="435"/>
      <c r="AJ160" s="435"/>
      <c r="AK160" s="435"/>
      <c r="AL160" s="435"/>
      <c r="AM160" s="435"/>
      <c r="AN160" s="435"/>
      <c r="AO160" s="435"/>
      <c r="AP160" s="435"/>
      <c r="AQ160" s="435"/>
      <c r="AR160" s="435"/>
      <c r="AS160" s="435"/>
      <c r="AT160" s="435"/>
      <c r="AU160" s="435"/>
      <c r="AV160" s="435"/>
      <c r="AW160" s="435"/>
      <c r="AX160" s="435"/>
      <c r="AY160" s="435"/>
      <c r="AZ160" s="435"/>
      <c r="BA160" s="435"/>
      <c r="BB160" s="435"/>
    </row>
    <row r="161" spans="1:91" ht="16.5" thickBot="1" x14ac:dyDescent="0.3">
      <c r="B161" s="1565"/>
      <c r="C161" s="586"/>
      <c r="D161" s="1956" t="s">
        <v>902</v>
      </c>
    </row>
    <row r="162" spans="1:91" x14ac:dyDescent="0.25">
      <c r="A162" s="1147" t="s">
        <v>1740</v>
      </c>
      <c r="B162" s="1564">
        <v>2</v>
      </c>
      <c r="C162" s="1564">
        <v>4.5</v>
      </c>
      <c r="D162" s="1967">
        <v>5</v>
      </c>
      <c r="L162" s="1587"/>
      <c r="M162" s="1586" t="s">
        <v>1756</v>
      </c>
      <c r="N162" s="1568">
        <v>2</v>
      </c>
      <c r="O162" s="1568">
        <v>3</v>
      </c>
      <c r="P162" s="1568">
        <v>4</v>
      </c>
      <c r="Q162" s="1568">
        <v>4.5</v>
      </c>
      <c r="R162" s="1568">
        <v>5</v>
      </c>
      <c r="S162" s="1568">
        <v>6</v>
      </c>
      <c r="T162" s="1568">
        <v>7</v>
      </c>
      <c r="U162" s="586"/>
      <c r="V162" s="586"/>
      <c r="W162" s="586"/>
    </row>
    <row r="163" spans="1:91" ht="16.5" thickBot="1" x14ac:dyDescent="0.3">
      <c r="A163" s="1147" t="s">
        <v>1741</v>
      </c>
      <c r="B163" s="1564"/>
      <c r="C163" s="1564"/>
      <c r="D163" s="1968"/>
      <c r="L163" s="1588" t="str">
        <f>mamo!$B$1</f>
        <v>IN 92</v>
      </c>
      <c r="M163" s="1586" t="s">
        <v>660</v>
      </c>
      <c r="N163" s="1568">
        <v>115</v>
      </c>
      <c r="O163" s="1568">
        <v>110</v>
      </c>
      <c r="P163" s="1568">
        <v>105</v>
      </c>
      <c r="Q163" s="1568">
        <v>103</v>
      </c>
      <c r="R163" s="1568">
        <v>100</v>
      </c>
      <c r="S163" s="1568">
        <v>95</v>
      </c>
      <c r="T163" s="1568">
        <v>90</v>
      </c>
      <c r="U163" s="586"/>
      <c r="V163" s="586"/>
      <c r="W163" s="586"/>
    </row>
    <row r="164" spans="1:91" x14ac:dyDescent="0.25">
      <c r="L164" s="1589"/>
      <c r="M164" s="1586" t="s">
        <v>658</v>
      </c>
      <c r="N164" s="1568">
        <v>105</v>
      </c>
      <c r="O164" s="1568">
        <v>100</v>
      </c>
      <c r="P164" s="1568">
        <v>95</v>
      </c>
      <c r="Q164" s="1568">
        <v>93</v>
      </c>
      <c r="R164" s="1568">
        <v>90</v>
      </c>
      <c r="S164" s="1568">
        <v>85</v>
      </c>
      <c r="T164" s="1568">
        <v>80</v>
      </c>
      <c r="U164" s="586"/>
      <c r="V164" s="586"/>
      <c r="W164" s="586"/>
    </row>
    <row r="165" spans="1:91" ht="16.5" thickBot="1" x14ac:dyDescent="0.3"/>
    <row r="166" spans="1:91" s="438" customFormat="1" ht="19.5" thickBot="1" x14ac:dyDescent="0.35">
      <c r="A166" s="3069" t="s">
        <v>1742</v>
      </c>
      <c r="B166" s="3070"/>
      <c r="C166" s="435"/>
      <c r="D166" s="1961"/>
      <c r="E166" s="437"/>
      <c r="F166" s="1961"/>
      <c r="G166" s="1961"/>
      <c r="H166" s="435"/>
      <c r="I166" s="435"/>
      <c r="J166" s="435"/>
      <c r="K166" s="435"/>
      <c r="L166" s="435"/>
      <c r="M166" s="435"/>
      <c r="N166" s="435"/>
      <c r="O166" s="435"/>
      <c r="P166" s="435"/>
      <c r="Q166" s="435"/>
      <c r="R166" s="435"/>
      <c r="S166" s="435"/>
      <c r="T166" s="435"/>
      <c r="U166" s="435"/>
      <c r="V166" s="435"/>
      <c r="W166" s="435"/>
      <c r="X166" s="435"/>
      <c r="Y166" s="435"/>
      <c r="Z166" s="435"/>
      <c r="AA166" s="435"/>
      <c r="AB166" s="435"/>
      <c r="AC166" s="435"/>
      <c r="AD166" s="435"/>
      <c r="AE166" s="435"/>
      <c r="AF166" s="435"/>
      <c r="AG166" s="435"/>
      <c r="AH166" s="435"/>
      <c r="AI166" s="435"/>
      <c r="AJ166" s="435"/>
      <c r="AK166" s="435"/>
      <c r="AL166" s="435"/>
      <c r="AM166" s="435"/>
      <c r="AN166" s="435"/>
      <c r="AO166" s="435"/>
      <c r="AP166" s="435"/>
      <c r="AQ166" s="435"/>
      <c r="AR166" s="435"/>
      <c r="AS166" s="435"/>
      <c r="AT166" s="435"/>
      <c r="AU166" s="435"/>
      <c r="AV166" s="435"/>
      <c r="AW166" s="435"/>
      <c r="AX166" s="435"/>
      <c r="AY166" s="435"/>
      <c r="AZ166" s="435"/>
      <c r="BA166" s="435"/>
      <c r="BB166" s="435"/>
    </row>
    <row r="167" spans="1:91" s="1563" customFormat="1" ht="18.75" x14ac:dyDescent="0.3">
      <c r="A167" s="1561"/>
      <c r="B167" s="1561"/>
      <c r="C167" s="1560"/>
      <c r="D167" s="1561"/>
      <c r="E167" s="1562"/>
      <c r="F167" s="1561"/>
      <c r="G167" s="1561"/>
      <c r="H167" s="1560"/>
      <c r="I167" s="1560"/>
      <c r="J167" s="1560"/>
      <c r="K167" s="1560"/>
      <c r="L167" s="1560"/>
      <c r="M167" s="1560"/>
      <c r="N167" s="1560"/>
      <c r="O167" s="1560"/>
      <c r="P167" s="1560"/>
      <c r="Q167" s="1560"/>
      <c r="R167" s="1560"/>
      <c r="S167" s="1560"/>
      <c r="T167" s="1560"/>
      <c r="U167" s="1560"/>
      <c r="V167" s="1560"/>
      <c r="W167" s="1560"/>
      <c r="X167" s="1560"/>
      <c r="Y167" s="1560"/>
      <c r="Z167" s="1560"/>
      <c r="AA167" s="1560"/>
      <c r="AB167" s="1560"/>
      <c r="AC167" s="1560"/>
      <c r="AD167" s="1560"/>
      <c r="AE167" s="1560"/>
      <c r="AF167" s="1560"/>
      <c r="AG167" s="1560"/>
      <c r="AH167" s="1560"/>
      <c r="AI167" s="1560"/>
      <c r="AJ167" s="1560"/>
      <c r="AK167" s="1560"/>
      <c r="AL167" s="1560"/>
      <c r="AM167" s="1560"/>
      <c r="AN167" s="1560"/>
      <c r="AO167" s="1560"/>
      <c r="AP167" s="1560"/>
      <c r="AQ167" s="1560"/>
      <c r="AR167" s="1560"/>
      <c r="AS167" s="1560"/>
      <c r="AT167" s="1560"/>
      <c r="AU167" s="1560"/>
      <c r="AV167" s="1560"/>
      <c r="AW167" s="1560"/>
      <c r="AX167" s="1560"/>
      <c r="AY167" s="1560"/>
      <c r="AZ167" s="1560"/>
      <c r="BA167" s="1560"/>
      <c r="BB167" s="1560"/>
      <c r="BX167" s="1969" t="str">
        <f t="shared" ref="BX167:CM167" si="4">IFERROR(ROUNDDOWN(ABS(LARGE(BX170:BX249,1)-SMALL(BX170:BX249,1))/AVERAGE(BX170:BX249),3),"")</f>
        <v/>
      </c>
      <c r="BY167" s="1969" t="str">
        <f t="shared" si="4"/>
        <v/>
      </c>
      <c r="BZ167" s="1969" t="str">
        <f t="shared" si="4"/>
        <v/>
      </c>
      <c r="CA167" s="1969" t="str">
        <f t="shared" si="4"/>
        <v/>
      </c>
      <c r="CB167" s="1969" t="str">
        <f t="shared" si="4"/>
        <v/>
      </c>
      <c r="CC167" s="1969" t="str">
        <f t="shared" si="4"/>
        <v/>
      </c>
      <c r="CD167" s="1969" t="str">
        <f t="shared" si="4"/>
        <v/>
      </c>
      <c r="CE167" s="1969" t="str">
        <f t="shared" si="4"/>
        <v/>
      </c>
      <c r="CF167" s="1969" t="str">
        <f t="shared" si="4"/>
        <v/>
      </c>
      <c r="CG167" s="1969" t="str">
        <f t="shared" si="4"/>
        <v/>
      </c>
      <c r="CH167" s="1969" t="str">
        <f t="shared" si="4"/>
        <v/>
      </c>
      <c r="CI167" s="1969" t="str">
        <f t="shared" si="4"/>
        <v/>
      </c>
      <c r="CJ167" s="1969" t="str">
        <f t="shared" si="4"/>
        <v/>
      </c>
      <c r="CK167" s="1969" t="str">
        <f t="shared" si="4"/>
        <v/>
      </c>
      <c r="CL167" s="1969" t="str">
        <f t="shared" si="4"/>
        <v/>
      </c>
      <c r="CM167" s="1969" t="str">
        <f t="shared" si="4"/>
        <v/>
      </c>
    </row>
    <row r="168" spans="1:91" ht="15.6" customHeight="1" x14ac:dyDescent="0.25">
      <c r="A168" s="3082" t="s">
        <v>1734</v>
      </c>
      <c r="B168" s="3082" t="s">
        <v>336</v>
      </c>
      <c r="C168" s="3082" t="s">
        <v>1760</v>
      </c>
      <c r="D168" s="3080" t="s">
        <v>1739</v>
      </c>
      <c r="E168" s="3074" t="s">
        <v>1753</v>
      </c>
      <c r="F168" s="3075"/>
      <c r="G168" s="3075"/>
      <c r="H168" s="3075"/>
      <c r="I168" s="3075"/>
      <c r="J168" s="3075"/>
      <c r="K168" s="3075"/>
      <c r="L168" s="3075"/>
      <c r="M168" s="3075"/>
      <c r="N168" s="3075"/>
      <c r="O168" s="3075"/>
      <c r="P168" s="3075"/>
      <c r="Q168" s="3076" t="s">
        <v>1772</v>
      </c>
      <c r="R168" s="3076"/>
      <c r="S168" s="3071" t="s">
        <v>1752</v>
      </c>
      <c r="T168" s="3072"/>
      <c r="U168" s="3072"/>
      <c r="V168" s="3073"/>
      <c r="W168" s="1582" t="str">
        <f>"            Razão Contraste-Ruído (CNR) para imagem adquirida com PMMA de "&amp;$B$162&amp;" cm"</f>
        <v xml:space="preserve">            Razão Contraste-Ruído (CNR) para imagem adquirida com PMMA de 2 cm</v>
      </c>
      <c r="X168" s="1583"/>
      <c r="Y168" s="1583"/>
      <c r="Z168" s="1583"/>
      <c r="AA168" s="1583"/>
      <c r="AB168" s="1583"/>
      <c r="AC168" s="1583"/>
      <c r="AD168" s="1583"/>
      <c r="AE168" s="1583"/>
      <c r="AF168" s="1583"/>
      <c r="AG168" s="1583"/>
      <c r="AH168" s="1583"/>
      <c r="AI168" s="1583"/>
      <c r="AJ168" s="1583"/>
      <c r="AK168" s="1955" t="str">
        <f>W170&amp;" cm"</f>
        <v>2 cm</v>
      </c>
      <c r="AL168" s="1583"/>
      <c r="AM168" s="1583"/>
      <c r="AN168" s="1584"/>
      <c r="AO168" s="1582" t="str">
        <f>"            Razão Contraste-Ruído (CNR) para imagem adquirida com PMMA de "&amp;$C$162&amp;" cm"</f>
        <v xml:space="preserve">            Razão Contraste-Ruído (CNR) para imagem adquirida com PMMA de 4,5 cm</v>
      </c>
      <c r="AP168" s="1583"/>
      <c r="AQ168" s="1583"/>
      <c r="AR168" s="1583"/>
      <c r="AS168" s="1583"/>
      <c r="AT168" s="1583"/>
      <c r="AU168" s="1583"/>
      <c r="AV168" s="1583"/>
      <c r="AW168" s="1583"/>
      <c r="AX168" s="1583"/>
      <c r="AY168" s="1583"/>
      <c r="AZ168" s="1583"/>
      <c r="BA168" s="1583"/>
      <c r="BB168" s="1583"/>
      <c r="BC168" s="1955" t="str">
        <f>AO170&amp;" cm"</f>
        <v>4,5 cm</v>
      </c>
      <c r="BD168" s="1583"/>
      <c r="BE168" s="1583"/>
      <c r="BF168" s="1584"/>
      <c r="BG168" s="1582" t="str">
        <f>"            Razão Contraste-Ruído (CNR) para imagem adquirida com PMMA de "&amp;$D$162&amp;" cm"</f>
        <v xml:space="preserve">            Razão Contraste-Ruído (CNR) para imagem adquirida com PMMA de 5 cm</v>
      </c>
      <c r="BH168" s="1583"/>
      <c r="BI168" s="1583"/>
      <c r="BJ168" s="1583"/>
      <c r="BK168" s="1583"/>
      <c r="BL168" s="1583"/>
      <c r="BM168" s="1583"/>
      <c r="BN168" s="1583"/>
      <c r="BO168" s="1583"/>
      <c r="BP168" s="1583"/>
      <c r="BQ168" s="1583"/>
      <c r="BR168" s="1583"/>
      <c r="BS168" s="1583"/>
      <c r="BT168" s="1583"/>
      <c r="BU168" s="1583"/>
      <c r="BV168" s="1583"/>
      <c r="BW168" s="1584"/>
      <c r="BX168" s="1952" t="s">
        <v>1780</v>
      </c>
      <c r="BY168" s="1953"/>
      <c r="BZ168" s="1953"/>
      <c r="CA168" s="1953"/>
      <c r="CB168" s="1953"/>
      <c r="CC168" s="1953"/>
      <c r="CD168" s="1953"/>
      <c r="CE168" s="1954"/>
      <c r="CF168" s="1952" t="s">
        <v>1781</v>
      </c>
      <c r="CG168" s="1953"/>
      <c r="CH168" s="1953"/>
      <c r="CI168" s="1953"/>
      <c r="CJ168" s="1953"/>
      <c r="CK168" s="1953"/>
      <c r="CL168" s="1953"/>
      <c r="CM168" s="1954"/>
    </row>
    <row r="169" spans="1:91" s="1567" customFormat="1" x14ac:dyDescent="0.25">
      <c r="A169" s="3083"/>
      <c r="B169" s="3084"/>
      <c r="C169" s="3084"/>
      <c r="D169" s="3081"/>
      <c r="E169" s="1581" t="s">
        <v>1770</v>
      </c>
      <c r="F169" s="1581" t="s">
        <v>1771</v>
      </c>
      <c r="G169" s="1581" t="s">
        <v>1762</v>
      </c>
      <c r="H169" s="1581" t="s">
        <v>1763</v>
      </c>
      <c r="I169" s="1581" t="s">
        <v>1764</v>
      </c>
      <c r="J169" s="1581" t="s">
        <v>1766</v>
      </c>
      <c r="K169" s="1581" t="s">
        <v>1767</v>
      </c>
      <c r="L169" s="1581" t="s">
        <v>1768</v>
      </c>
      <c r="M169" s="1581" t="s">
        <v>1769</v>
      </c>
      <c r="N169" s="1581" t="s">
        <v>1765</v>
      </c>
      <c r="O169" s="1581" t="s">
        <v>62</v>
      </c>
      <c r="P169" s="1578" t="str">
        <f>convencional!$B$1&amp;" e "&amp;mamo!$B$1</f>
        <v>IN 90 e IN 92</v>
      </c>
      <c r="Q169" s="1581" t="s">
        <v>1761</v>
      </c>
      <c r="R169" s="1578" t="str">
        <f>convencional!$B$1&amp;" e "&amp;mamo!$B$1</f>
        <v>IN 90 e IN 92</v>
      </c>
      <c r="S169" s="1579" t="s">
        <v>1750</v>
      </c>
      <c r="T169" s="1580" t="s">
        <v>1751</v>
      </c>
      <c r="U169" s="1580" t="s">
        <v>1747</v>
      </c>
      <c r="V169" s="1578" t="str">
        <f>convencional!$B$1</f>
        <v>IN 90</v>
      </c>
      <c r="W169" s="1581" t="s">
        <v>1311</v>
      </c>
      <c r="X169" s="1581" t="s">
        <v>1754</v>
      </c>
      <c r="Y169" s="1581" t="s">
        <v>1755</v>
      </c>
      <c r="Z169" s="1581" t="s">
        <v>1052</v>
      </c>
      <c r="AA169" s="1581" t="s">
        <v>1053</v>
      </c>
      <c r="AB169" s="1581" t="s">
        <v>1054</v>
      </c>
      <c r="AC169" s="1581" t="s">
        <v>1055</v>
      </c>
      <c r="AD169" s="1581" t="s">
        <v>1056</v>
      </c>
      <c r="AE169" s="1581" t="s">
        <v>1057</v>
      </c>
      <c r="AF169" s="1581" t="s">
        <v>1058</v>
      </c>
      <c r="AG169" s="1581" t="s">
        <v>1059</v>
      </c>
      <c r="AH169" s="1581" t="s">
        <v>1060</v>
      </c>
      <c r="AI169" s="1581" t="s">
        <v>1061</v>
      </c>
      <c r="AJ169" s="1581" t="s">
        <v>1004</v>
      </c>
      <c r="AK169" s="1581" t="s">
        <v>2097</v>
      </c>
      <c r="AL169" s="1581" t="s">
        <v>1638</v>
      </c>
      <c r="AM169" s="1581" t="s">
        <v>1003</v>
      </c>
      <c r="AN169" s="1578" t="str">
        <f>mamo!$B$1</f>
        <v>IN 92</v>
      </c>
      <c r="AO169" s="1581" t="s">
        <v>1311</v>
      </c>
      <c r="AP169" s="1581" t="s">
        <v>1754</v>
      </c>
      <c r="AQ169" s="1581" t="s">
        <v>1755</v>
      </c>
      <c r="AR169" s="1581" t="s">
        <v>1052</v>
      </c>
      <c r="AS169" s="1581" t="s">
        <v>1053</v>
      </c>
      <c r="AT169" s="1581" t="s">
        <v>1054</v>
      </c>
      <c r="AU169" s="1581" t="s">
        <v>1055</v>
      </c>
      <c r="AV169" s="1581" t="s">
        <v>1056</v>
      </c>
      <c r="AW169" s="1581" t="s">
        <v>1057</v>
      </c>
      <c r="AX169" s="1581" t="s">
        <v>1058</v>
      </c>
      <c r="AY169" s="1581" t="s">
        <v>1059</v>
      </c>
      <c r="AZ169" s="1581" t="s">
        <v>1060</v>
      </c>
      <c r="BA169" s="1581" t="s">
        <v>1061</v>
      </c>
      <c r="BB169" s="1581" t="s">
        <v>1004</v>
      </c>
      <c r="BC169" s="1581" t="s">
        <v>2097</v>
      </c>
      <c r="BD169" s="1581" t="s">
        <v>1638</v>
      </c>
      <c r="BE169" s="1581" t="s">
        <v>1003</v>
      </c>
      <c r="BF169" s="1578" t="str">
        <f>mamo!$B$1</f>
        <v>IN 92</v>
      </c>
      <c r="BG169" s="1581" t="s">
        <v>1311</v>
      </c>
      <c r="BH169" s="1581" t="s">
        <v>1754</v>
      </c>
      <c r="BI169" s="1581" t="s">
        <v>1755</v>
      </c>
      <c r="BJ169" s="1581" t="s">
        <v>1052</v>
      </c>
      <c r="BK169" s="1581" t="s">
        <v>1053</v>
      </c>
      <c r="BL169" s="1581" t="s">
        <v>1054</v>
      </c>
      <c r="BM169" s="1581" t="s">
        <v>1055</v>
      </c>
      <c r="BN169" s="1581" t="s">
        <v>1056</v>
      </c>
      <c r="BO169" s="1581" t="s">
        <v>1057</v>
      </c>
      <c r="BP169" s="1581" t="s">
        <v>1058</v>
      </c>
      <c r="BQ169" s="1581" t="s">
        <v>1059</v>
      </c>
      <c r="BR169" s="1581" t="s">
        <v>1060</v>
      </c>
      <c r="BS169" s="1581" t="s">
        <v>1061</v>
      </c>
      <c r="BT169" s="1581" t="s">
        <v>1004</v>
      </c>
      <c r="BU169" s="1581" t="s">
        <v>1638</v>
      </c>
      <c r="BV169" s="1581" t="s">
        <v>1003</v>
      </c>
      <c r="BW169" s="1578" t="str">
        <f>mamo!$B$1</f>
        <v>IN 92</v>
      </c>
      <c r="BX169" s="1614" t="s">
        <v>767</v>
      </c>
      <c r="BY169" s="1614" t="s">
        <v>768</v>
      </c>
      <c r="BZ169" s="1614" t="s">
        <v>769</v>
      </c>
      <c r="CA169" s="1614" t="s">
        <v>770</v>
      </c>
      <c r="CB169" s="1614" t="s">
        <v>771</v>
      </c>
      <c r="CC169" s="1614" t="s">
        <v>772</v>
      </c>
      <c r="CD169" s="1614" t="s">
        <v>773</v>
      </c>
      <c r="CE169" s="1614" t="s">
        <v>774</v>
      </c>
      <c r="CF169" s="1614" t="s">
        <v>767</v>
      </c>
      <c r="CG169" s="1614" t="s">
        <v>768</v>
      </c>
      <c r="CH169" s="1614" t="s">
        <v>769</v>
      </c>
      <c r="CI169" s="1614" t="s">
        <v>770</v>
      </c>
      <c r="CJ169" s="1614" t="s">
        <v>771</v>
      </c>
      <c r="CK169" s="1614" t="s">
        <v>772</v>
      </c>
      <c r="CL169" s="1614" t="s">
        <v>773</v>
      </c>
      <c r="CM169" s="1614" t="s">
        <v>774</v>
      </c>
    </row>
    <row r="170" spans="1:91" s="1567" customFormat="1" x14ac:dyDescent="0.2">
      <c r="A170" s="1575" t="s">
        <v>767</v>
      </c>
      <c r="B170" s="1642">
        <v>1</v>
      </c>
      <c r="C170" s="1592" t="s">
        <v>94</v>
      </c>
      <c r="D170" s="1592"/>
      <c r="E170" s="1574"/>
      <c r="F170" s="1574"/>
      <c r="G170" s="1574"/>
      <c r="H170" s="1574"/>
      <c r="I170" s="1574"/>
      <c r="J170" s="1574"/>
      <c r="K170" s="1574"/>
      <c r="L170" s="1574"/>
      <c r="M170" s="1574"/>
      <c r="N170" s="1574"/>
      <c r="O170" s="1577">
        <f>ROUNDDOWN(MAX(IF(G170=0,FALSE,ABS(G170/E170-1)),IF(I170=0,FALSE,ABS(I170/E170-1)),IF(K170=0,FALSE,ABS(K170/E170-1)),IF(M170=0,FALSE,ABS(M170/E170-1))),4)</f>
        <v>0</v>
      </c>
      <c r="P170" s="1576" t="str">
        <f t="shared" ref="P170" si="5">IF(COUNTBLANK(E170:N170)&gt;5,"NPA",IFERROR(IF(O170&gt;0.2,"Restrição",IF(O170&gt;0.1,"Não","Sim")),"NPA"))</f>
        <v>NPA</v>
      </c>
      <c r="Q170" s="1577" t="str">
        <f t="shared" ref="Q170" si="6">IFERROR(MAX(F170/E170,H170/G170,J170/I170,L170/K170,N170/M170),"")</f>
        <v/>
      </c>
      <c r="R170" s="1576" t="str">
        <f t="shared" ref="R170" si="7">IF(COUNTBLANK(G170:P170)&gt;5,"NPA",IFERROR(IF(Q170&gt;0.2,"Restrição",IF(Q170&gt;0.1,"Não","Sim")),"NPA"))</f>
        <v>NPA</v>
      </c>
      <c r="S170" s="1574"/>
      <c r="T170" s="1574"/>
      <c r="U170" s="1577" t="str">
        <f>IF(MAX(IF(LOOKUP(A170,$A$151:$A$158,$B$151:$B$158)&lt;&gt;0,ROUNDDOWN(ABS(S170/LOOKUP(A170,$A$151:$A$158,$B$151:$B$158)-1),4),0),IF(LOOKUP(A170,$A$151:$A$158,$D$151:$D$158)&lt;&gt;0,ROUNDDOWN(ABS(T170/LOOKUP(A170,$A$151:$A$158,$D$151:$D$158)-1),4),1000000))=1000000,"NPA",MAX(IF(LOOKUP(A170,$A$151:$A$158,$B$151:$B$158)&lt;&gt;0,ROUNDDOWN(ABS(S170/LOOKUP(A170,$A$151:$A$158,$B$151:$B$158)-1),4),0),IF(LOOKUP(A170,$A$151:$A$158,$D$151:$D$158)&lt;&gt;0,ROUNDDOWN(ABS(T170/LOOKUP(A170,$A$151:$A$158,$D$151:$D$158)-1),4),1000000)))</f>
        <v>NPA</v>
      </c>
      <c r="V170" s="1576" t="str">
        <f t="shared" ref="V170:V171" si="8">IF(OR(U170="NPA",T170=""),"NPA",IF(U170&lt;=2%,"Sim",IF(U170&gt;4%,"Restrição","Não")))</f>
        <v>NPA</v>
      </c>
      <c r="W170" s="1585">
        <f>$B$162</f>
        <v>2</v>
      </c>
      <c r="X170" s="1574"/>
      <c r="Y170" s="1574"/>
      <c r="Z170" s="1574"/>
      <c r="AA170" s="1574"/>
      <c r="AB170" s="1574"/>
      <c r="AC170" s="1574"/>
      <c r="AD170" s="1574"/>
      <c r="AE170" s="1574"/>
      <c r="AF170" s="1574"/>
      <c r="AG170" s="1574"/>
      <c r="AH170" s="1591" t="e">
        <f>AVERAGE(Z170,AB170,AD170,AF170)</f>
        <v>#DIV/0!</v>
      </c>
      <c r="AI170" s="1591" t="e">
        <f>AVERAGE(AA170,AC170,AE170,AG170)</f>
        <v>#DIV/0!</v>
      </c>
      <c r="AJ170" s="1568" t="e">
        <f>ROUNDDOWN(ABS(X170-AH170)/((Y170^2+AI170^2)/2)^0.5,4)*100</f>
        <v>#DIV/0!</v>
      </c>
      <c r="AK170" s="1568" t="e">
        <f t="shared" ref="AK170:AK201" si="9">ROUND(AJ170/BT170*100,1)</f>
        <v>#DIV/0!</v>
      </c>
      <c r="AL170" s="1568">
        <f t="shared" ref="AL170:AL201" si="10">HLOOKUP(W170,$N$162:$T$164,2,FALSE)</f>
        <v>115</v>
      </c>
      <c r="AM170" s="1568">
        <f t="shared" ref="AM170:AM201" si="11">HLOOKUP(W170,$N$162:$T$164,3,FALSE)</f>
        <v>105</v>
      </c>
      <c r="AN170" s="1576" t="str">
        <f>IF(ISERR(AK170),"NPA",IF(AK170&lt;AM170,"Restrição",IF(AK170&lt;AL170,"Não","Sim")))</f>
        <v>NPA</v>
      </c>
      <c r="AO170" s="1585">
        <f>$C$162</f>
        <v>4.5</v>
      </c>
      <c r="AP170" s="1574"/>
      <c r="AQ170" s="1574"/>
      <c r="AR170" s="1574"/>
      <c r="AS170" s="1574"/>
      <c r="AT170" s="1574"/>
      <c r="AU170" s="1574"/>
      <c r="AV170" s="1574"/>
      <c r="AW170" s="1574"/>
      <c r="AX170" s="1574"/>
      <c r="AY170" s="1574"/>
      <c r="AZ170" s="1591" t="e">
        <f>AVERAGE(AR170,AT170,AV170,AX170)</f>
        <v>#DIV/0!</v>
      </c>
      <c r="BA170" s="1591" t="e">
        <f>AVERAGE(AS170,AU170,AW170,AY170)</f>
        <v>#DIV/0!</v>
      </c>
      <c r="BB170" s="1568" t="e">
        <f>ROUNDDOWN(ABS(AP170-AZ170)/((AQ170^2+BA170^2)/2)^0.5,4)*100</f>
        <v>#DIV/0!</v>
      </c>
      <c r="BC170" s="1568" t="e">
        <f>ROUND(BB170/BT170*100,1)</f>
        <v>#DIV/0!</v>
      </c>
      <c r="BD170" s="1568">
        <f t="shared" ref="BD170:BD201" si="12">HLOOKUP(AO170,$N$162:$T$164,2,FALSE)</f>
        <v>103</v>
      </c>
      <c r="BE170" s="1568">
        <f t="shared" ref="BE170:BE201" si="13">HLOOKUP(AO170,$N$162:$T$164,3,FALSE)</f>
        <v>93</v>
      </c>
      <c r="BF170" s="1576" t="str">
        <f>IF(ISERR(BC170),"NPA",IF(BC170&lt;BE170,"Restrição",IF(BC170&lt;BD170,"Não","Sim")))</f>
        <v>NPA</v>
      </c>
      <c r="BG170" s="1965">
        <f>$D$162</f>
        <v>5</v>
      </c>
      <c r="BH170" s="1574"/>
      <c r="BI170" s="1574"/>
      <c r="BJ170" s="1574"/>
      <c r="BK170" s="1574"/>
      <c r="BL170" s="1574"/>
      <c r="BM170" s="1574"/>
      <c r="BN170" s="1574"/>
      <c r="BO170" s="1574"/>
      <c r="BP170" s="1574"/>
      <c r="BQ170" s="1574"/>
      <c r="BR170" s="1591" t="e">
        <f>AVERAGE(BJ170,BL170,BN170,BP170)</f>
        <v>#DIV/0!</v>
      </c>
      <c r="BS170" s="1591" t="e">
        <f>AVERAGE(BK170,BM170,BO170,BQ170)</f>
        <v>#DIV/0!</v>
      </c>
      <c r="BT170" s="1568" t="e">
        <f>ROUNDDOWN(ABS(BH170-BR170)/((BI170^2+BS170^2)/2)^0.5,4)*100</f>
        <v>#DIV/0!</v>
      </c>
      <c r="BU170" s="1568">
        <f>HLOOKUP(BG170,$N$162:$T$164,2,FALSE)</f>
        <v>100</v>
      </c>
      <c r="BV170" s="1568">
        <f>HLOOKUP(BG170,$N$162:$T$164,3,FALSE)</f>
        <v>90</v>
      </c>
      <c r="BW170" s="1576" t="str">
        <f>IF(ISERR(BT170),"NPA",IF(BT170&lt;BV170,"Restrição",IF(BT170&lt;BU170,"Não","Sim")))</f>
        <v>NPA</v>
      </c>
      <c r="BX170" s="348" t="str">
        <f t="shared" ref="BX170:CE179" si="14">IF(AND($A170=BX$169,$C170="Mamografia"),$Q170,"")</f>
        <v/>
      </c>
      <c r="BY170" s="348" t="str">
        <f t="shared" si="14"/>
        <v/>
      </c>
      <c r="BZ170" s="348" t="str">
        <f t="shared" si="14"/>
        <v/>
      </c>
      <c r="CA170" s="348" t="str">
        <f t="shared" si="14"/>
        <v/>
      </c>
      <c r="CB170" s="348" t="str">
        <f t="shared" si="14"/>
        <v/>
      </c>
      <c r="CC170" s="348" t="str">
        <f t="shared" si="14"/>
        <v/>
      </c>
      <c r="CD170" s="348" t="str">
        <f t="shared" si="14"/>
        <v/>
      </c>
      <c r="CE170" s="348" t="str">
        <f t="shared" si="14"/>
        <v/>
      </c>
      <c r="CF170" s="348" t="str">
        <f t="shared" ref="CF170:CM179" si="15">IF(AND($A170=CF$169,$C170="Convencional"),$Q170,"")</f>
        <v/>
      </c>
      <c r="CG170" s="348" t="str">
        <f t="shared" si="15"/>
        <v/>
      </c>
      <c r="CH170" s="348" t="str">
        <f t="shared" si="15"/>
        <v/>
      </c>
      <c r="CI170" s="348" t="str">
        <f t="shared" si="15"/>
        <v/>
      </c>
      <c r="CJ170" s="348" t="str">
        <f t="shared" si="15"/>
        <v/>
      </c>
      <c r="CK170" s="348" t="str">
        <f t="shared" si="15"/>
        <v/>
      </c>
      <c r="CL170" s="348" t="str">
        <f t="shared" si="15"/>
        <v/>
      </c>
      <c r="CM170" s="348" t="str">
        <f t="shared" si="15"/>
        <v/>
      </c>
    </row>
    <row r="171" spans="1:91" s="1567" customFormat="1" x14ac:dyDescent="0.2">
      <c r="A171" s="1574" t="str">
        <f>A170</f>
        <v>13 x 18</v>
      </c>
      <c r="B171" s="1642">
        <f>IF(A171=A170,B170+1,1)</f>
        <v>2</v>
      </c>
      <c r="C171" s="1592" t="str">
        <f>C170</f>
        <v>Convencional</v>
      </c>
      <c r="D171" s="1592"/>
      <c r="E171" s="1574"/>
      <c r="F171" s="1574"/>
      <c r="G171" s="1574"/>
      <c r="H171" s="1574"/>
      <c r="I171" s="1574"/>
      <c r="J171" s="1574"/>
      <c r="K171" s="1574"/>
      <c r="L171" s="1574"/>
      <c r="M171" s="1574"/>
      <c r="N171" s="1574"/>
      <c r="O171" s="1577">
        <f t="shared" ref="O171:O234" si="16">ROUNDDOWN(MAX(IF(G171=0,FALSE,ABS(G171/E171-1)),IF(I171=0,FALSE,ABS(I171/E171-1)),IF(K171=0,FALSE,ABS(K171/E171-1)),IF(M171=0,FALSE,ABS(M171/E171-1))),4)</f>
        <v>0</v>
      </c>
      <c r="P171" s="1576" t="str">
        <f t="shared" ref="P171:P234" si="17">IF(COUNTBLANK(E171:N171)&gt;5,"NPA",IFERROR(IF(O171&gt;0.2,"Restrição",IF(O171&gt;0.1,"Não","Sim")),"NPA"))</f>
        <v>NPA</v>
      </c>
      <c r="Q171" s="1577" t="str">
        <f t="shared" ref="Q171:Q234" si="18">IFERROR(MAX(F171/E171,H171/G171,J171/I171,L171/K171,N171/M171),"")</f>
        <v/>
      </c>
      <c r="R171" s="1576" t="str">
        <f t="shared" ref="R171:R234" si="19">IF(COUNTBLANK(G171:P171)&gt;5,"NPA",IFERROR(IF(Q171&gt;0.2,"Restrição",IF(Q171&gt;0.1,"Não","Sim")),"NPA"))</f>
        <v>NPA</v>
      </c>
      <c r="S171" s="1574"/>
      <c r="T171" s="1574"/>
      <c r="U171" s="1577" t="str">
        <f t="shared" ref="U171:U234" si="20">IF(MAX(IF(LOOKUP(A171,$A$151:$A$158,$B$151:$B$158)&lt;&gt;0,ROUNDDOWN(ABS(S171/LOOKUP(A171,$A$151:$A$158,$B$151:$B$158)-1),4),0),IF(LOOKUP(A171,$A$151:$A$158,$D$151:$D$158)&lt;&gt;0,ROUNDDOWN(ABS(T171/LOOKUP(A171,$A$151:$A$158,$D$151:$D$158)-1),4),1000000))=1000000,"NPA",MAX(IF(LOOKUP(A171,$A$151:$A$158,$B$151:$B$158)&lt;&gt;0,ROUNDDOWN(ABS(S171/LOOKUP(A171,$A$151:$A$158,$B$151:$B$158)-1),4),0),IF(LOOKUP(A171,$A$151:$A$158,$D$151:$D$158)&lt;&gt;0,ROUNDDOWN(ABS(T171/LOOKUP(A171,$A$151:$A$158,$D$151:$D$158)-1),4),1000000)))</f>
        <v>NPA</v>
      </c>
      <c r="V171" s="1576" t="str">
        <f t="shared" si="8"/>
        <v>NPA</v>
      </c>
      <c r="W171" s="1590">
        <f t="shared" ref="W171:W234" si="21">$B$162</f>
        <v>2</v>
      </c>
      <c r="X171" s="1575"/>
      <c r="Y171" s="1575"/>
      <c r="Z171" s="1575"/>
      <c r="AA171" s="1575"/>
      <c r="AB171" s="1575"/>
      <c r="AC171" s="1575"/>
      <c r="AD171" s="1575"/>
      <c r="AE171" s="1575"/>
      <c r="AF171" s="1575"/>
      <c r="AG171" s="1575"/>
      <c r="AH171" s="1591" t="e">
        <f t="shared" ref="AH171:AH234" si="22">AVERAGE(Z171,AB171,AD171,AF171)</f>
        <v>#DIV/0!</v>
      </c>
      <c r="AI171" s="1591" t="e">
        <f t="shared" ref="AI171:AI234" si="23">AVERAGE(AA171,AC171,AE171,AG171)</f>
        <v>#DIV/0!</v>
      </c>
      <c r="AJ171" s="1568" t="e">
        <f t="shared" ref="AJ171:AJ234" si="24">ROUNDDOWN(ABS(X171-AH171)/((Y171^2+AI171^2)/2)^0.5,4)*100</f>
        <v>#DIV/0!</v>
      </c>
      <c r="AK171" s="1568" t="e">
        <f t="shared" si="9"/>
        <v>#DIV/0!</v>
      </c>
      <c r="AL171" s="1568">
        <f t="shared" si="10"/>
        <v>115</v>
      </c>
      <c r="AM171" s="1568">
        <f t="shared" si="11"/>
        <v>105</v>
      </c>
      <c r="AN171" s="1576" t="str">
        <f t="shared" ref="AN171:AN234" si="25">IF(ISERR(AK171),"NPA",IF(AK171&lt;AM171,"Restrição",IF(AK171&lt;AL171,"Não","Sim")))</f>
        <v>NPA</v>
      </c>
      <c r="AO171" s="1585">
        <f t="shared" ref="AO171:AO234" si="26">$C$162</f>
        <v>4.5</v>
      </c>
      <c r="AP171" s="1574"/>
      <c r="AQ171" s="1574"/>
      <c r="AR171" s="1574"/>
      <c r="AS171" s="1574"/>
      <c r="AT171" s="1574"/>
      <c r="AU171" s="1574"/>
      <c r="AV171" s="1574"/>
      <c r="AW171" s="1574"/>
      <c r="AX171" s="1574"/>
      <c r="AY171" s="1574"/>
      <c r="AZ171" s="1591" t="e">
        <f t="shared" ref="AZ171:AZ234" si="27">AVERAGE(AR171,AT171,AV171,AX171)</f>
        <v>#DIV/0!</v>
      </c>
      <c r="BA171" s="1591" t="e">
        <f t="shared" ref="BA171:BA234" si="28">AVERAGE(AS171,AU171,AW171,AY171)</f>
        <v>#DIV/0!</v>
      </c>
      <c r="BB171" s="1568" t="e">
        <f t="shared" ref="BB171:BB234" si="29">ROUNDDOWN(ABS(AP171-AZ171)/((AQ171^2+BA171^2)/2)^0.5,4)*100</f>
        <v>#DIV/0!</v>
      </c>
      <c r="BC171" s="1568" t="e">
        <f t="shared" ref="BC171:BC234" si="30">ROUND(BB171/BT171*100,1)</f>
        <v>#DIV/0!</v>
      </c>
      <c r="BD171" s="1568">
        <f t="shared" si="12"/>
        <v>103</v>
      </c>
      <c r="BE171" s="1568">
        <f t="shared" si="13"/>
        <v>93</v>
      </c>
      <c r="BF171" s="1576" t="str">
        <f t="shared" ref="BF171:BF234" si="31">IF(ISERR(BC171),"NPA",IF(BC171&lt;BE171,"Restrição",IF(BC171&lt;BD171,"Não","Sim")))</f>
        <v>NPA</v>
      </c>
      <c r="BG171" s="1965">
        <f t="shared" ref="BG171:BG234" si="32">$D$162</f>
        <v>5</v>
      </c>
      <c r="BH171" s="1574"/>
      <c r="BI171" s="1574"/>
      <c r="BJ171" s="1574"/>
      <c r="BK171" s="1574"/>
      <c r="BL171" s="1574"/>
      <c r="BM171" s="1574"/>
      <c r="BN171" s="1574"/>
      <c r="BO171" s="1574"/>
      <c r="BP171" s="1574"/>
      <c r="BQ171" s="1574"/>
      <c r="BR171" s="1591" t="e">
        <f t="shared" ref="BR171:BR234" si="33">AVERAGE(BJ171,BL171,BN171,BP171)</f>
        <v>#DIV/0!</v>
      </c>
      <c r="BS171" s="1591" t="e">
        <f t="shared" ref="BS171:BS234" si="34">AVERAGE(BK171,BM171,BO171,BQ171)</f>
        <v>#DIV/0!</v>
      </c>
      <c r="BT171" s="1568" t="e">
        <f t="shared" ref="BT171:BT234" si="35">ROUNDDOWN(ABS(BH171-BR171)/((BI171^2+BS171^2)/2)^0.5,4)*100</f>
        <v>#DIV/0!</v>
      </c>
      <c r="BU171" s="1568">
        <f t="shared" ref="BU171:BU234" si="36">HLOOKUP(BG171,$N$162:$T$164,2,FALSE)</f>
        <v>100</v>
      </c>
      <c r="BV171" s="1568">
        <f t="shared" ref="BV171:BV234" si="37">HLOOKUP(BG171,$N$162:$T$164,3,FALSE)</f>
        <v>90</v>
      </c>
      <c r="BW171" s="1576" t="str">
        <f t="shared" ref="BW171:BW234" si="38">IF(ISERR(BT171),"NPA",IF(BT171&lt;BV171,"Restrição",IF(BT171&lt;BU171,"Não","Sim")))</f>
        <v>NPA</v>
      </c>
      <c r="BX171" s="348" t="str">
        <f t="shared" si="14"/>
        <v/>
      </c>
      <c r="BY171" s="348" t="str">
        <f t="shared" si="14"/>
        <v/>
      </c>
      <c r="BZ171" s="348" t="str">
        <f t="shared" si="14"/>
        <v/>
      </c>
      <c r="CA171" s="348" t="str">
        <f t="shared" si="14"/>
        <v/>
      </c>
      <c r="CB171" s="348" t="str">
        <f t="shared" si="14"/>
        <v/>
      </c>
      <c r="CC171" s="348" t="str">
        <f t="shared" si="14"/>
        <v/>
      </c>
      <c r="CD171" s="348" t="str">
        <f t="shared" si="14"/>
        <v/>
      </c>
      <c r="CE171" s="348" t="str">
        <f t="shared" si="14"/>
        <v/>
      </c>
      <c r="CF171" s="348" t="str">
        <f t="shared" si="15"/>
        <v/>
      </c>
      <c r="CG171" s="348" t="str">
        <f t="shared" si="15"/>
        <v/>
      </c>
      <c r="CH171" s="348" t="str">
        <f t="shared" si="15"/>
        <v/>
      </c>
      <c r="CI171" s="348" t="str">
        <f t="shared" si="15"/>
        <v/>
      </c>
      <c r="CJ171" s="348" t="str">
        <f t="shared" si="15"/>
        <v/>
      </c>
      <c r="CK171" s="348" t="str">
        <f t="shared" si="15"/>
        <v/>
      </c>
      <c r="CL171" s="348" t="str">
        <f t="shared" si="15"/>
        <v/>
      </c>
      <c r="CM171" s="348" t="str">
        <f t="shared" si="15"/>
        <v/>
      </c>
    </row>
    <row r="172" spans="1:91" s="1567" customFormat="1" x14ac:dyDescent="0.2">
      <c r="A172" s="1574" t="str">
        <f t="shared" ref="A172:A235" si="39">A171</f>
        <v>13 x 18</v>
      </c>
      <c r="B172" s="1642">
        <f t="shared" ref="B172:B235" si="40">IF(A172=A171,B171+1,1)</f>
        <v>3</v>
      </c>
      <c r="C172" s="1592" t="str">
        <f t="shared" ref="C172:C235" si="41">C171</f>
        <v>Convencional</v>
      </c>
      <c r="D172" s="1592"/>
      <c r="E172" s="1574"/>
      <c r="F172" s="1574"/>
      <c r="G172" s="1574"/>
      <c r="H172" s="1574"/>
      <c r="I172" s="1574"/>
      <c r="J172" s="1574"/>
      <c r="K172" s="1574"/>
      <c r="L172" s="1574"/>
      <c r="M172" s="1574"/>
      <c r="N172" s="1574"/>
      <c r="O172" s="1577">
        <f t="shared" si="16"/>
        <v>0</v>
      </c>
      <c r="P172" s="1576" t="str">
        <f t="shared" si="17"/>
        <v>NPA</v>
      </c>
      <c r="Q172" s="1577" t="str">
        <f t="shared" si="18"/>
        <v/>
      </c>
      <c r="R172" s="1576" t="str">
        <f t="shared" si="19"/>
        <v>NPA</v>
      </c>
      <c r="S172" s="1574"/>
      <c r="T172" s="1574"/>
      <c r="U172" s="1577" t="str">
        <f t="shared" si="20"/>
        <v>NPA</v>
      </c>
      <c r="V172" s="1576" t="str">
        <f>IF(OR(U172="NPA",T172=""),"NPA",IF(U172&lt;=2%,"Sim",IF(U172&gt;4%,"Restrição","Não")))</f>
        <v>NPA</v>
      </c>
      <c r="W172" s="1585">
        <f t="shared" si="21"/>
        <v>2</v>
      </c>
      <c r="X172" s="1574"/>
      <c r="Y172" s="1574"/>
      <c r="Z172" s="1574"/>
      <c r="AA172" s="1574"/>
      <c r="AB172" s="1574"/>
      <c r="AC172" s="1574"/>
      <c r="AD172" s="1574"/>
      <c r="AE172" s="1574"/>
      <c r="AF172" s="1574"/>
      <c r="AG172" s="1574"/>
      <c r="AH172" s="1591" t="e">
        <f>AVERAGE(Z172,AB172,AD172,AF172)</f>
        <v>#DIV/0!</v>
      </c>
      <c r="AI172" s="1591" t="e">
        <f t="shared" si="23"/>
        <v>#DIV/0!</v>
      </c>
      <c r="AJ172" s="1568" t="e">
        <f>ROUNDDOWN(ABS(X172-AH172)/((Y172^2+AI172^2)/2)^0.5,4)*100</f>
        <v>#DIV/0!</v>
      </c>
      <c r="AK172" s="1568" t="e">
        <f t="shared" si="9"/>
        <v>#DIV/0!</v>
      </c>
      <c r="AL172" s="1568">
        <f t="shared" si="10"/>
        <v>115</v>
      </c>
      <c r="AM172" s="1568">
        <f t="shared" si="11"/>
        <v>105</v>
      </c>
      <c r="AN172" s="1576" t="str">
        <f t="shared" si="25"/>
        <v>NPA</v>
      </c>
      <c r="AO172" s="1585">
        <f t="shared" si="26"/>
        <v>4.5</v>
      </c>
      <c r="AP172" s="1574"/>
      <c r="AQ172" s="1574"/>
      <c r="AR172" s="1574"/>
      <c r="AS172" s="1574"/>
      <c r="AT172" s="1574"/>
      <c r="AU172" s="1574"/>
      <c r="AV172" s="1574"/>
      <c r="AW172" s="1574"/>
      <c r="AX172" s="1574"/>
      <c r="AY172" s="1574"/>
      <c r="AZ172" s="1591" t="e">
        <f t="shared" si="27"/>
        <v>#DIV/0!</v>
      </c>
      <c r="BA172" s="1591" t="e">
        <f t="shared" si="28"/>
        <v>#DIV/0!</v>
      </c>
      <c r="BB172" s="1568" t="e">
        <f t="shared" si="29"/>
        <v>#DIV/0!</v>
      </c>
      <c r="BC172" s="1568" t="e">
        <f t="shared" si="30"/>
        <v>#DIV/0!</v>
      </c>
      <c r="BD172" s="1568">
        <f t="shared" si="12"/>
        <v>103</v>
      </c>
      <c r="BE172" s="1568">
        <f t="shared" si="13"/>
        <v>93</v>
      </c>
      <c r="BF172" s="1576" t="str">
        <f t="shared" si="31"/>
        <v>NPA</v>
      </c>
      <c r="BG172" s="1965">
        <f t="shared" si="32"/>
        <v>5</v>
      </c>
      <c r="BH172" s="1574"/>
      <c r="BI172" s="1574"/>
      <c r="BJ172" s="1574"/>
      <c r="BK172" s="1574"/>
      <c r="BL172" s="1574"/>
      <c r="BM172" s="1574"/>
      <c r="BN172" s="1574"/>
      <c r="BO172" s="1574"/>
      <c r="BP172" s="1574"/>
      <c r="BQ172" s="1574"/>
      <c r="BR172" s="1591" t="e">
        <f t="shared" si="33"/>
        <v>#DIV/0!</v>
      </c>
      <c r="BS172" s="1591" t="e">
        <f t="shared" si="34"/>
        <v>#DIV/0!</v>
      </c>
      <c r="BT172" s="1568" t="e">
        <f t="shared" si="35"/>
        <v>#DIV/0!</v>
      </c>
      <c r="BU172" s="1568">
        <f t="shared" si="36"/>
        <v>100</v>
      </c>
      <c r="BV172" s="1568">
        <f t="shared" si="37"/>
        <v>90</v>
      </c>
      <c r="BW172" s="1576" t="str">
        <f t="shared" si="38"/>
        <v>NPA</v>
      </c>
      <c r="BX172" s="348" t="str">
        <f t="shared" si="14"/>
        <v/>
      </c>
      <c r="BY172" s="348" t="str">
        <f t="shared" si="14"/>
        <v/>
      </c>
      <c r="BZ172" s="348" t="str">
        <f t="shared" si="14"/>
        <v/>
      </c>
      <c r="CA172" s="348" t="str">
        <f t="shared" si="14"/>
        <v/>
      </c>
      <c r="CB172" s="348" t="str">
        <f t="shared" si="14"/>
        <v/>
      </c>
      <c r="CC172" s="348" t="str">
        <f t="shared" si="14"/>
        <v/>
      </c>
      <c r="CD172" s="348" t="str">
        <f t="shared" si="14"/>
        <v/>
      </c>
      <c r="CE172" s="348" t="str">
        <f t="shared" si="14"/>
        <v/>
      </c>
      <c r="CF172" s="348" t="str">
        <f t="shared" si="15"/>
        <v/>
      </c>
      <c r="CG172" s="348" t="str">
        <f t="shared" si="15"/>
        <v/>
      </c>
      <c r="CH172" s="348" t="str">
        <f t="shared" si="15"/>
        <v/>
      </c>
      <c r="CI172" s="348" t="str">
        <f t="shared" si="15"/>
        <v/>
      </c>
      <c r="CJ172" s="348" t="str">
        <f t="shared" si="15"/>
        <v/>
      </c>
      <c r="CK172" s="348" t="str">
        <f t="shared" si="15"/>
        <v/>
      </c>
      <c r="CL172" s="348" t="str">
        <f t="shared" si="15"/>
        <v/>
      </c>
      <c r="CM172" s="348" t="str">
        <f t="shared" si="15"/>
        <v/>
      </c>
    </row>
    <row r="173" spans="1:91" s="1567" customFormat="1" x14ac:dyDescent="0.2">
      <c r="A173" s="1574" t="str">
        <f t="shared" si="39"/>
        <v>13 x 18</v>
      </c>
      <c r="B173" s="1642">
        <f t="shared" si="40"/>
        <v>4</v>
      </c>
      <c r="C173" s="1592" t="str">
        <f t="shared" si="41"/>
        <v>Convencional</v>
      </c>
      <c r="D173" s="1592"/>
      <c r="E173" s="1574"/>
      <c r="F173" s="1574"/>
      <c r="G173" s="1574"/>
      <c r="H173" s="1574"/>
      <c r="I173" s="1574"/>
      <c r="J173" s="1574"/>
      <c r="K173" s="1574"/>
      <c r="L173" s="1574"/>
      <c r="M173" s="1574"/>
      <c r="N173" s="1574"/>
      <c r="O173" s="1577">
        <f t="shared" si="16"/>
        <v>0</v>
      </c>
      <c r="P173" s="1576" t="str">
        <f t="shared" si="17"/>
        <v>NPA</v>
      </c>
      <c r="Q173" s="1577" t="str">
        <f t="shared" si="18"/>
        <v/>
      </c>
      <c r="R173" s="1576" t="str">
        <f t="shared" si="19"/>
        <v>NPA</v>
      </c>
      <c r="S173" s="1574"/>
      <c r="T173" s="1574"/>
      <c r="U173" s="1577" t="str">
        <f t="shared" si="20"/>
        <v>NPA</v>
      </c>
      <c r="V173" s="1576" t="str">
        <f t="shared" ref="V173:V236" si="42">IF(OR(U173="NPA",T173=""),"NPA",IF(U173&lt;=2%,"Sim",IF(U173&gt;4%,"Restrição","Não")))</f>
        <v>NPA</v>
      </c>
      <c r="W173" s="1585">
        <f t="shared" si="21"/>
        <v>2</v>
      </c>
      <c r="X173" s="1574"/>
      <c r="Y173" s="1574"/>
      <c r="Z173" s="1574"/>
      <c r="AA173" s="1574"/>
      <c r="AB173" s="1574"/>
      <c r="AC173" s="1574"/>
      <c r="AD173" s="1574"/>
      <c r="AE173" s="1574"/>
      <c r="AF173" s="1574"/>
      <c r="AG173" s="1574"/>
      <c r="AH173" s="1591" t="e">
        <f t="shared" si="22"/>
        <v>#DIV/0!</v>
      </c>
      <c r="AI173" s="1591" t="e">
        <f t="shared" si="23"/>
        <v>#DIV/0!</v>
      </c>
      <c r="AJ173" s="1568" t="e">
        <f t="shared" si="24"/>
        <v>#DIV/0!</v>
      </c>
      <c r="AK173" s="1568" t="e">
        <f t="shared" si="9"/>
        <v>#DIV/0!</v>
      </c>
      <c r="AL173" s="1568">
        <f t="shared" si="10"/>
        <v>115</v>
      </c>
      <c r="AM173" s="1568">
        <f t="shared" si="11"/>
        <v>105</v>
      </c>
      <c r="AN173" s="1576" t="str">
        <f t="shared" si="25"/>
        <v>NPA</v>
      </c>
      <c r="AO173" s="1585">
        <f t="shared" si="26"/>
        <v>4.5</v>
      </c>
      <c r="AP173" s="1574"/>
      <c r="AQ173" s="1574"/>
      <c r="AR173" s="1574"/>
      <c r="AS173" s="1574"/>
      <c r="AT173" s="1574"/>
      <c r="AU173" s="1574"/>
      <c r="AV173" s="1574"/>
      <c r="AW173" s="1574"/>
      <c r="AX173" s="1574"/>
      <c r="AY173" s="1574"/>
      <c r="AZ173" s="1591" t="e">
        <f t="shared" si="27"/>
        <v>#DIV/0!</v>
      </c>
      <c r="BA173" s="1591" t="e">
        <f t="shared" si="28"/>
        <v>#DIV/0!</v>
      </c>
      <c r="BB173" s="1568" t="e">
        <f t="shared" si="29"/>
        <v>#DIV/0!</v>
      </c>
      <c r="BC173" s="1568" t="e">
        <f t="shared" si="30"/>
        <v>#DIV/0!</v>
      </c>
      <c r="BD173" s="1568">
        <f t="shared" si="12"/>
        <v>103</v>
      </c>
      <c r="BE173" s="1568">
        <f t="shared" si="13"/>
        <v>93</v>
      </c>
      <c r="BF173" s="1576" t="str">
        <f t="shared" si="31"/>
        <v>NPA</v>
      </c>
      <c r="BG173" s="1965">
        <f t="shared" si="32"/>
        <v>5</v>
      </c>
      <c r="BH173" s="1574"/>
      <c r="BI173" s="1574"/>
      <c r="BJ173" s="1574"/>
      <c r="BK173" s="1574"/>
      <c r="BL173" s="1574"/>
      <c r="BM173" s="1574"/>
      <c r="BN173" s="1574"/>
      <c r="BO173" s="1574"/>
      <c r="BP173" s="1574"/>
      <c r="BQ173" s="1574"/>
      <c r="BR173" s="1591" t="e">
        <f t="shared" si="33"/>
        <v>#DIV/0!</v>
      </c>
      <c r="BS173" s="1591" t="e">
        <f t="shared" si="34"/>
        <v>#DIV/0!</v>
      </c>
      <c r="BT173" s="1568" t="e">
        <f t="shared" si="35"/>
        <v>#DIV/0!</v>
      </c>
      <c r="BU173" s="1568">
        <f t="shared" si="36"/>
        <v>100</v>
      </c>
      <c r="BV173" s="1568">
        <f t="shared" si="37"/>
        <v>90</v>
      </c>
      <c r="BW173" s="1576" t="str">
        <f t="shared" si="38"/>
        <v>NPA</v>
      </c>
      <c r="BX173" s="348" t="str">
        <f t="shared" si="14"/>
        <v/>
      </c>
      <c r="BY173" s="348" t="str">
        <f t="shared" si="14"/>
        <v/>
      </c>
      <c r="BZ173" s="348" t="str">
        <f t="shared" si="14"/>
        <v/>
      </c>
      <c r="CA173" s="348" t="str">
        <f t="shared" si="14"/>
        <v/>
      </c>
      <c r="CB173" s="348" t="str">
        <f t="shared" si="14"/>
        <v/>
      </c>
      <c r="CC173" s="348" t="str">
        <f t="shared" si="14"/>
        <v/>
      </c>
      <c r="CD173" s="348" t="str">
        <f t="shared" si="14"/>
        <v/>
      </c>
      <c r="CE173" s="348" t="str">
        <f t="shared" si="14"/>
        <v/>
      </c>
      <c r="CF173" s="348" t="str">
        <f t="shared" si="15"/>
        <v/>
      </c>
      <c r="CG173" s="348" t="str">
        <f t="shared" si="15"/>
        <v/>
      </c>
      <c r="CH173" s="348" t="str">
        <f t="shared" si="15"/>
        <v/>
      </c>
      <c r="CI173" s="348" t="str">
        <f t="shared" si="15"/>
        <v/>
      </c>
      <c r="CJ173" s="348" t="str">
        <f t="shared" si="15"/>
        <v/>
      </c>
      <c r="CK173" s="348" t="str">
        <f t="shared" si="15"/>
        <v/>
      </c>
      <c r="CL173" s="348" t="str">
        <f t="shared" si="15"/>
        <v/>
      </c>
      <c r="CM173" s="348" t="str">
        <f t="shared" si="15"/>
        <v/>
      </c>
    </row>
    <row r="174" spans="1:91" s="1567" customFormat="1" x14ac:dyDescent="0.2">
      <c r="A174" s="1574" t="str">
        <f t="shared" si="39"/>
        <v>13 x 18</v>
      </c>
      <c r="B174" s="1642">
        <f t="shared" si="40"/>
        <v>5</v>
      </c>
      <c r="C174" s="1592" t="str">
        <f t="shared" si="41"/>
        <v>Convencional</v>
      </c>
      <c r="D174" s="1592"/>
      <c r="E174" s="1574"/>
      <c r="F174" s="1574"/>
      <c r="G174" s="1574"/>
      <c r="H174" s="1574"/>
      <c r="I174" s="1574"/>
      <c r="J174" s="1574"/>
      <c r="K174" s="1574"/>
      <c r="L174" s="1574"/>
      <c r="M174" s="1574"/>
      <c r="N174" s="1574"/>
      <c r="O174" s="1577">
        <f t="shared" si="16"/>
        <v>0</v>
      </c>
      <c r="P174" s="1576" t="str">
        <f t="shared" si="17"/>
        <v>NPA</v>
      </c>
      <c r="Q174" s="1577" t="str">
        <f t="shared" si="18"/>
        <v/>
      </c>
      <c r="R174" s="1576" t="str">
        <f t="shared" si="19"/>
        <v>NPA</v>
      </c>
      <c r="S174" s="1574"/>
      <c r="T174" s="1574"/>
      <c r="U174" s="1577" t="str">
        <f t="shared" si="20"/>
        <v>NPA</v>
      </c>
      <c r="V174" s="1576" t="str">
        <f t="shared" si="42"/>
        <v>NPA</v>
      </c>
      <c r="W174" s="1585">
        <f t="shared" si="21"/>
        <v>2</v>
      </c>
      <c r="X174" s="1574"/>
      <c r="Y174" s="1574"/>
      <c r="Z174" s="1574"/>
      <c r="AA174" s="1574"/>
      <c r="AB174" s="1574"/>
      <c r="AC174" s="1574"/>
      <c r="AD174" s="1574"/>
      <c r="AE174" s="1574"/>
      <c r="AF174" s="1574"/>
      <c r="AG174" s="1574"/>
      <c r="AH174" s="1591" t="e">
        <f t="shared" si="22"/>
        <v>#DIV/0!</v>
      </c>
      <c r="AI174" s="1591" t="e">
        <f t="shared" si="23"/>
        <v>#DIV/0!</v>
      </c>
      <c r="AJ174" s="1568" t="e">
        <f t="shared" si="24"/>
        <v>#DIV/0!</v>
      </c>
      <c r="AK174" s="1568" t="e">
        <f t="shared" si="9"/>
        <v>#DIV/0!</v>
      </c>
      <c r="AL174" s="1568">
        <f t="shared" si="10"/>
        <v>115</v>
      </c>
      <c r="AM174" s="1568">
        <f t="shared" si="11"/>
        <v>105</v>
      </c>
      <c r="AN174" s="1576" t="str">
        <f t="shared" si="25"/>
        <v>NPA</v>
      </c>
      <c r="AO174" s="1585">
        <f t="shared" si="26"/>
        <v>4.5</v>
      </c>
      <c r="AP174" s="1574"/>
      <c r="AQ174" s="1574"/>
      <c r="AR174" s="1574"/>
      <c r="AS174" s="1574"/>
      <c r="AT174" s="1574"/>
      <c r="AU174" s="1574"/>
      <c r="AV174" s="1574"/>
      <c r="AW174" s="1574"/>
      <c r="AX174" s="1574"/>
      <c r="AY174" s="1574"/>
      <c r="AZ174" s="1591" t="e">
        <f t="shared" si="27"/>
        <v>#DIV/0!</v>
      </c>
      <c r="BA174" s="1591" t="e">
        <f t="shared" si="28"/>
        <v>#DIV/0!</v>
      </c>
      <c r="BB174" s="1568" t="e">
        <f t="shared" si="29"/>
        <v>#DIV/0!</v>
      </c>
      <c r="BC174" s="1568" t="e">
        <f t="shared" si="30"/>
        <v>#DIV/0!</v>
      </c>
      <c r="BD174" s="1568">
        <f t="shared" si="12"/>
        <v>103</v>
      </c>
      <c r="BE174" s="1568">
        <f t="shared" si="13"/>
        <v>93</v>
      </c>
      <c r="BF174" s="1576" t="str">
        <f t="shared" si="31"/>
        <v>NPA</v>
      </c>
      <c r="BG174" s="1965">
        <f t="shared" si="32"/>
        <v>5</v>
      </c>
      <c r="BH174" s="1574"/>
      <c r="BI174" s="1574"/>
      <c r="BJ174" s="1574"/>
      <c r="BK174" s="1574"/>
      <c r="BL174" s="1574"/>
      <c r="BM174" s="1574"/>
      <c r="BN174" s="1574"/>
      <c r="BO174" s="1574"/>
      <c r="BP174" s="1574"/>
      <c r="BQ174" s="1574"/>
      <c r="BR174" s="1591" t="e">
        <f t="shared" si="33"/>
        <v>#DIV/0!</v>
      </c>
      <c r="BS174" s="1591" t="e">
        <f t="shared" si="34"/>
        <v>#DIV/0!</v>
      </c>
      <c r="BT174" s="1568" t="e">
        <f t="shared" si="35"/>
        <v>#DIV/0!</v>
      </c>
      <c r="BU174" s="1568">
        <f t="shared" si="36"/>
        <v>100</v>
      </c>
      <c r="BV174" s="1568">
        <f t="shared" si="37"/>
        <v>90</v>
      </c>
      <c r="BW174" s="1576" t="str">
        <f t="shared" si="38"/>
        <v>NPA</v>
      </c>
      <c r="BX174" s="348" t="str">
        <f t="shared" si="14"/>
        <v/>
      </c>
      <c r="BY174" s="348" t="str">
        <f t="shared" si="14"/>
        <v/>
      </c>
      <c r="BZ174" s="348" t="str">
        <f t="shared" si="14"/>
        <v/>
      </c>
      <c r="CA174" s="348" t="str">
        <f t="shared" si="14"/>
        <v/>
      </c>
      <c r="CB174" s="348" t="str">
        <f t="shared" si="14"/>
        <v/>
      </c>
      <c r="CC174" s="348" t="str">
        <f t="shared" si="14"/>
        <v/>
      </c>
      <c r="CD174" s="348" t="str">
        <f t="shared" si="14"/>
        <v/>
      </c>
      <c r="CE174" s="348" t="str">
        <f t="shared" si="14"/>
        <v/>
      </c>
      <c r="CF174" s="348" t="str">
        <f t="shared" si="15"/>
        <v/>
      </c>
      <c r="CG174" s="348" t="str">
        <f t="shared" si="15"/>
        <v/>
      </c>
      <c r="CH174" s="348" t="str">
        <f t="shared" si="15"/>
        <v/>
      </c>
      <c r="CI174" s="348" t="str">
        <f t="shared" si="15"/>
        <v/>
      </c>
      <c r="CJ174" s="348" t="str">
        <f t="shared" si="15"/>
        <v/>
      </c>
      <c r="CK174" s="348" t="str">
        <f t="shared" si="15"/>
        <v/>
      </c>
      <c r="CL174" s="348" t="str">
        <f t="shared" si="15"/>
        <v/>
      </c>
      <c r="CM174" s="348" t="str">
        <f t="shared" si="15"/>
        <v/>
      </c>
    </row>
    <row r="175" spans="1:91" s="1567" customFormat="1" x14ac:dyDescent="0.2">
      <c r="A175" s="1574" t="str">
        <f t="shared" si="39"/>
        <v>13 x 18</v>
      </c>
      <c r="B175" s="1642">
        <f t="shared" si="40"/>
        <v>6</v>
      </c>
      <c r="C175" s="1592" t="str">
        <f t="shared" si="41"/>
        <v>Convencional</v>
      </c>
      <c r="D175" s="1592"/>
      <c r="E175" s="1574"/>
      <c r="F175" s="1574"/>
      <c r="G175" s="1574"/>
      <c r="H175" s="1574"/>
      <c r="I175" s="1574"/>
      <c r="J175" s="1574"/>
      <c r="K175" s="1574"/>
      <c r="L175" s="1574"/>
      <c r="M175" s="1574"/>
      <c r="N175" s="1574"/>
      <c r="O175" s="1577">
        <f t="shared" si="16"/>
        <v>0</v>
      </c>
      <c r="P175" s="1576" t="str">
        <f t="shared" si="17"/>
        <v>NPA</v>
      </c>
      <c r="Q175" s="1577" t="str">
        <f t="shared" si="18"/>
        <v/>
      </c>
      <c r="R175" s="1576" t="str">
        <f t="shared" si="19"/>
        <v>NPA</v>
      </c>
      <c r="S175" s="1574"/>
      <c r="T175" s="1574"/>
      <c r="U175" s="1577" t="str">
        <f t="shared" si="20"/>
        <v>NPA</v>
      </c>
      <c r="V175" s="1576" t="str">
        <f t="shared" si="42"/>
        <v>NPA</v>
      </c>
      <c r="W175" s="1585">
        <f t="shared" si="21"/>
        <v>2</v>
      </c>
      <c r="X175" s="1574"/>
      <c r="Y175" s="1574"/>
      <c r="Z175" s="1574"/>
      <c r="AA175" s="1574"/>
      <c r="AB175" s="1574"/>
      <c r="AC175" s="1574"/>
      <c r="AD175" s="1574"/>
      <c r="AE175" s="1574"/>
      <c r="AF175" s="1574"/>
      <c r="AG175" s="1574"/>
      <c r="AH175" s="1591" t="e">
        <f t="shared" si="22"/>
        <v>#DIV/0!</v>
      </c>
      <c r="AI175" s="1591" t="e">
        <f t="shared" si="23"/>
        <v>#DIV/0!</v>
      </c>
      <c r="AJ175" s="1568" t="e">
        <f t="shared" si="24"/>
        <v>#DIV/0!</v>
      </c>
      <c r="AK175" s="1568" t="e">
        <f t="shared" si="9"/>
        <v>#DIV/0!</v>
      </c>
      <c r="AL175" s="1568">
        <f t="shared" si="10"/>
        <v>115</v>
      </c>
      <c r="AM175" s="1568">
        <f t="shared" si="11"/>
        <v>105</v>
      </c>
      <c r="AN175" s="1576" t="str">
        <f t="shared" si="25"/>
        <v>NPA</v>
      </c>
      <c r="AO175" s="1585">
        <f t="shared" si="26"/>
        <v>4.5</v>
      </c>
      <c r="AP175" s="1574"/>
      <c r="AQ175" s="1574"/>
      <c r="AR175" s="1574"/>
      <c r="AS175" s="1574"/>
      <c r="AT175" s="1574"/>
      <c r="AU175" s="1574"/>
      <c r="AV175" s="1574"/>
      <c r="AW175" s="1574"/>
      <c r="AX175" s="1574"/>
      <c r="AY175" s="1574"/>
      <c r="AZ175" s="1591" t="e">
        <f t="shared" si="27"/>
        <v>#DIV/0!</v>
      </c>
      <c r="BA175" s="1591" t="e">
        <f t="shared" si="28"/>
        <v>#DIV/0!</v>
      </c>
      <c r="BB175" s="1568" t="e">
        <f t="shared" si="29"/>
        <v>#DIV/0!</v>
      </c>
      <c r="BC175" s="1568" t="e">
        <f t="shared" si="30"/>
        <v>#DIV/0!</v>
      </c>
      <c r="BD175" s="1568">
        <f t="shared" si="12"/>
        <v>103</v>
      </c>
      <c r="BE175" s="1568">
        <f t="shared" si="13"/>
        <v>93</v>
      </c>
      <c r="BF175" s="1576" t="str">
        <f t="shared" si="31"/>
        <v>NPA</v>
      </c>
      <c r="BG175" s="1965">
        <f t="shared" si="32"/>
        <v>5</v>
      </c>
      <c r="BH175" s="1574"/>
      <c r="BI175" s="1574"/>
      <c r="BJ175" s="1574"/>
      <c r="BK175" s="1574"/>
      <c r="BL175" s="1574"/>
      <c r="BM175" s="1574"/>
      <c r="BN175" s="1574"/>
      <c r="BO175" s="1574"/>
      <c r="BP175" s="1574"/>
      <c r="BQ175" s="1574"/>
      <c r="BR175" s="1591" t="e">
        <f t="shared" si="33"/>
        <v>#DIV/0!</v>
      </c>
      <c r="BS175" s="1591" t="e">
        <f t="shared" si="34"/>
        <v>#DIV/0!</v>
      </c>
      <c r="BT175" s="1568" t="e">
        <f t="shared" si="35"/>
        <v>#DIV/0!</v>
      </c>
      <c r="BU175" s="1568">
        <f t="shared" si="36"/>
        <v>100</v>
      </c>
      <c r="BV175" s="1568">
        <f t="shared" si="37"/>
        <v>90</v>
      </c>
      <c r="BW175" s="1576" t="str">
        <f t="shared" si="38"/>
        <v>NPA</v>
      </c>
      <c r="BX175" s="348" t="str">
        <f t="shared" si="14"/>
        <v/>
      </c>
      <c r="BY175" s="348" t="str">
        <f t="shared" si="14"/>
        <v/>
      </c>
      <c r="BZ175" s="348" t="str">
        <f t="shared" si="14"/>
        <v/>
      </c>
      <c r="CA175" s="348" t="str">
        <f t="shared" si="14"/>
        <v/>
      </c>
      <c r="CB175" s="348" t="str">
        <f t="shared" si="14"/>
        <v/>
      </c>
      <c r="CC175" s="348" t="str">
        <f t="shared" si="14"/>
        <v/>
      </c>
      <c r="CD175" s="348" t="str">
        <f t="shared" si="14"/>
        <v/>
      </c>
      <c r="CE175" s="348" t="str">
        <f t="shared" si="14"/>
        <v/>
      </c>
      <c r="CF175" s="348" t="str">
        <f t="shared" si="15"/>
        <v/>
      </c>
      <c r="CG175" s="348" t="str">
        <f t="shared" si="15"/>
        <v/>
      </c>
      <c r="CH175" s="348" t="str">
        <f t="shared" si="15"/>
        <v/>
      </c>
      <c r="CI175" s="348" t="str">
        <f t="shared" si="15"/>
        <v/>
      </c>
      <c r="CJ175" s="348" t="str">
        <f t="shared" si="15"/>
        <v/>
      </c>
      <c r="CK175" s="348" t="str">
        <f t="shared" si="15"/>
        <v/>
      </c>
      <c r="CL175" s="348" t="str">
        <f t="shared" si="15"/>
        <v/>
      </c>
      <c r="CM175" s="348" t="str">
        <f t="shared" si="15"/>
        <v/>
      </c>
    </row>
    <row r="176" spans="1:91" s="1567" customFormat="1" x14ac:dyDescent="0.2">
      <c r="A176" s="1574" t="str">
        <f t="shared" si="39"/>
        <v>13 x 18</v>
      </c>
      <c r="B176" s="1642">
        <f t="shared" si="40"/>
        <v>7</v>
      </c>
      <c r="C176" s="1592" t="str">
        <f t="shared" si="41"/>
        <v>Convencional</v>
      </c>
      <c r="D176" s="1592"/>
      <c r="E176" s="1574"/>
      <c r="F176" s="1574"/>
      <c r="G176" s="1574"/>
      <c r="H176" s="1574"/>
      <c r="I176" s="1574"/>
      <c r="J176" s="1574"/>
      <c r="K176" s="1574"/>
      <c r="L176" s="1574"/>
      <c r="M176" s="1574"/>
      <c r="N176" s="1574"/>
      <c r="O176" s="1577">
        <f t="shared" si="16"/>
        <v>0</v>
      </c>
      <c r="P176" s="1576" t="str">
        <f t="shared" si="17"/>
        <v>NPA</v>
      </c>
      <c r="Q176" s="1577" t="str">
        <f t="shared" si="18"/>
        <v/>
      </c>
      <c r="R176" s="1576" t="str">
        <f t="shared" si="19"/>
        <v>NPA</v>
      </c>
      <c r="S176" s="1574"/>
      <c r="T176" s="1574"/>
      <c r="U176" s="1577" t="str">
        <f t="shared" si="20"/>
        <v>NPA</v>
      </c>
      <c r="V176" s="1576" t="str">
        <f t="shared" si="42"/>
        <v>NPA</v>
      </c>
      <c r="W176" s="1585">
        <f t="shared" si="21"/>
        <v>2</v>
      </c>
      <c r="X176" s="1574"/>
      <c r="Y176" s="1574"/>
      <c r="Z176" s="1574"/>
      <c r="AA176" s="1574"/>
      <c r="AB176" s="1574"/>
      <c r="AC176" s="1574"/>
      <c r="AD176" s="1574"/>
      <c r="AE176" s="1574"/>
      <c r="AF176" s="1574"/>
      <c r="AG176" s="1574"/>
      <c r="AH176" s="1591" t="e">
        <f t="shared" si="22"/>
        <v>#DIV/0!</v>
      </c>
      <c r="AI176" s="1591" t="e">
        <f t="shared" si="23"/>
        <v>#DIV/0!</v>
      </c>
      <c r="AJ176" s="1568" t="e">
        <f t="shared" si="24"/>
        <v>#DIV/0!</v>
      </c>
      <c r="AK176" s="1568" t="e">
        <f t="shared" si="9"/>
        <v>#DIV/0!</v>
      </c>
      <c r="AL176" s="1568">
        <f t="shared" si="10"/>
        <v>115</v>
      </c>
      <c r="AM176" s="1568">
        <f t="shared" si="11"/>
        <v>105</v>
      </c>
      <c r="AN176" s="1576" t="str">
        <f t="shared" si="25"/>
        <v>NPA</v>
      </c>
      <c r="AO176" s="1585">
        <f t="shared" si="26"/>
        <v>4.5</v>
      </c>
      <c r="AP176" s="1574"/>
      <c r="AQ176" s="1574"/>
      <c r="AR176" s="1574"/>
      <c r="AS176" s="1574"/>
      <c r="AT176" s="1574"/>
      <c r="AU176" s="1574"/>
      <c r="AV176" s="1574"/>
      <c r="AW176" s="1574"/>
      <c r="AX176" s="1574"/>
      <c r="AY176" s="1574"/>
      <c r="AZ176" s="1591" t="e">
        <f t="shared" si="27"/>
        <v>#DIV/0!</v>
      </c>
      <c r="BA176" s="1591" t="e">
        <f t="shared" si="28"/>
        <v>#DIV/0!</v>
      </c>
      <c r="BB176" s="1568" t="e">
        <f t="shared" si="29"/>
        <v>#DIV/0!</v>
      </c>
      <c r="BC176" s="1568" t="e">
        <f t="shared" si="30"/>
        <v>#DIV/0!</v>
      </c>
      <c r="BD176" s="1568">
        <f t="shared" si="12"/>
        <v>103</v>
      </c>
      <c r="BE176" s="1568">
        <f t="shared" si="13"/>
        <v>93</v>
      </c>
      <c r="BF176" s="1576" t="str">
        <f t="shared" si="31"/>
        <v>NPA</v>
      </c>
      <c r="BG176" s="1965">
        <f t="shared" si="32"/>
        <v>5</v>
      </c>
      <c r="BH176" s="1574"/>
      <c r="BI176" s="1574"/>
      <c r="BJ176" s="1574"/>
      <c r="BK176" s="1574"/>
      <c r="BL176" s="1574"/>
      <c r="BM176" s="1574"/>
      <c r="BN176" s="1574"/>
      <c r="BO176" s="1574"/>
      <c r="BP176" s="1574"/>
      <c r="BQ176" s="1574"/>
      <c r="BR176" s="1591" t="e">
        <f t="shared" si="33"/>
        <v>#DIV/0!</v>
      </c>
      <c r="BS176" s="1591" t="e">
        <f t="shared" si="34"/>
        <v>#DIV/0!</v>
      </c>
      <c r="BT176" s="1568" t="e">
        <f t="shared" si="35"/>
        <v>#DIV/0!</v>
      </c>
      <c r="BU176" s="1568">
        <f t="shared" si="36"/>
        <v>100</v>
      </c>
      <c r="BV176" s="1568">
        <f t="shared" si="37"/>
        <v>90</v>
      </c>
      <c r="BW176" s="1576" t="str">
        <f t="shared" si="38"/>
        <v>NPA</v>
      </c>
      <c r="BX176" s="348" t="str">
        <f t="shared" si="14"/>
        <v/>
      </c>
      <c r="BY176" s="348" t="str">
        <f t="shared" si="14"/>
        <v/>
      </c>
      <c r="BZ176" s="348" t="str">
        <f t="shared" si="14"/>
        <v/>
      </c>
      <c r="CA176" s="348" t="str">
        <f t="shared" si="14"/>
        <v/>
      </c>
      <c r="CB176" s="348" t="str">
        <f t="shared" si="14"/>
        <v/>
      </c>
      <c r="CC176" s="348" t="str">
        <f t="shared" si="14"/>
        <v/>
      </c>
      <c r="CD176" s="348" t="str">
        <f t="shared" si="14"/>
        <v/>
      </c>
      <c r="CE176" s="348" t="str">
        <f t="shared" si="14"/>
        <v/>
      </c>
      <c r="CF176" s="348" t="str">
        <f t="shared" si="15"/>
        <v/>
      </c>
      <c r="CG176" s="348" t="str">
        <f t="shared" si="15"/>
        <v/>
      </c>
      <c r="CH176" s="348" t="str">
        <f t="shared" si="15"/>
        <v/>
      </c>
      <c r="CI176" s="348" t="str">
        <f t="shared" si="15"/>
        <v/>
      </c>
      <c r="CJ176" s="348" t="str">
        <f t="shared" si="15"/>
        <v/>
      </c>
      <c r="CK176" s="348" t="str">
        <f t="shared" si="15"/>
        <v/>
      </c>
      <c r="CL176" s="348" t="str">
        <f t="shared" si="15"/>
        <v/>
      </c>
      <c r="CM176" s="348" t="str">
        <f t="shared" si="15"/>
        <v/>
      </c>
    </row>
    <row r="177" spans="1:91" s="1567" customFormat="1" x14ac:dyDescent="0.2">
      <c r="A177" s="1574" t="str">
        <f t="shared" si="39"/>
        <v>13 x 18</v>
      </c>
      <c r="B177" s="1642">
        <f t="shared" si="40"/>
        <v>8</v>
      </c>
      <c r="C177" s="1592" t="str">
        <f t="shared" si="41"/>
        <v>Convencional</v>
      </c>
      <c r="D177" s="1592"/>
      <c r="E177" s="1574"/>
      <c r="F177" s="1574"/>
      <c r="G177" s="1574"/>
      <c r="H177" s="1574"/>
      <c r="I177" s="1574"/>
      <c r="J177" s="1574"/>
      <c r="K177" s="1574"/>
      <c r="L177" s="1574"/>
      <c r="M177" s="1574"/>
      <c r="N177" s="1574"/>
      <c r="O177" s="1577">
        <f t="shared" si="16"/>
        <v>0</v>
      </c>
      <c r="P177" s="1576" t="str">
        <f t="shared" si="17"/>
        <v>NPA</v>
      </c>
      <c r="Q177" s="1577" t="str">
        <f t="shared" si="18"/>
        <v/>
      </c>
      <c r="R177" s="1576" t="str">
        <f t="shared" si="19"/>
        <v>NPA</v>
      </c>
      <c r="S177" s="1574"/>
      <c r="T177" s="1574"/>
      <c r="U177" s="1577" t="str">
        <f t="shared" si="20"/>
        <v>NPA</v>
      </c>
      <c r="V177" s="1576" t="str">
        <f t="shared" si="42"/>
        <v>NPA</v>
      </c>
      <c r="W177" s="1585">
        <f t="shared" si="21"/>
        <v>2</v>
      </c>
      <c r="X177" s="1574"/>
      <c r="Y177" s="1574"/>
      <c r="Z177" s="1574"/>
      <c r="AA177" s="1574"/>
      <c r="AB177" s="1574"/>
      <c r="AC177" s="1574"/>
      <c r="AD177" s="1574"/>
      <c r="AE177" s="1574"/>
      <c r="AF177" s="1574"/>
      <c r="AG177" s="1574"/>
      <c r="AH177" s="1591" t="e">
        <f t="shared" si="22"/>
        <v>#DIV/0!</v>
      </c>
      <c r="AI177" s="1591" t="e">
        <f t="shared" si="23"/>
        <v>#DIV/0!</v>
      </c>
      <c r="AJ177" s="1568" t="e">
        <f t="shared" si="24"/>
        <v>#DIV/0!</v>
      </c>
      <c r="AK177" s="1568" t="e">
        <f t="shared" si="9"/>
        <v>#DIV/0!</v>
      </c>
      <c r="AL177" s="1568">
        <f t="shared" si="10"/>
        <v>115</v>
      </c>
      <c r="AM177" s="1568">
        <f t="shared" si="11"/>
        <v>105</v>
      </c>
      <c r="AN177" s="1576" t="str">
        <f t="shared" si="25"/>
        <v>NPA</v>
      </c>
      <c r="AO177" s="1585">
        <f t="shared" si="26"/>
        <v>4.5</v>
      </c>
      <c r="AP177" s="1574"/>
      <c r="AQ177" s="1574"/>
      <c r="AR177" s="1574"/>
      <c r="AS177" s="1574"/>
      <c r="AT177" s="1574"/>
      <c r="AU177" s="1574"/>
      <c r="AV177" s="1574"/>
      <c r="AW177" s="1574"/>
      <c r="AX177" s="1574"/>
      <c r="AY177" s="1574"/>
      <c r="AZ177" s="1591" t="e">
        <f t="shared" si="27"/>
        <v>#DIV/0!</v>
      </c>
      <c r="BA177" s="1591" t="e">
        <f t="shared" si="28"/>
        <v>#DIV/0!</v>
      </c>
      <c r="BB177" s="1568" t="e">
        <f t="shared" si="29"/>
        <v>#DIV/0!</v>
      </c>
      <c r="BC177" s="1568" t="e">
        <f t="shared" si="30"/>
        <v>#DIV/0!</v>
      </c>
      <c r="BD177" s="1568">
        <f t="shared" si="12"/>
        <v>103</v>
      </c>
      <c r="BE177" s="1568">
        <f t="shared" si="13"/>
        <v>93</v>
      </c>
      <c r="BF177" s="1576" t="str">
        <f t="shared" si="31"/>
        <v>NPA</v>
      </c>
      <c r="BG177" s="1965">
        <f t="shared" si="32"/>
        <v>5</v>
      </c>
      <c r="BH177" s="1574"/>
      <c r="BI177" s="1574"/>
      <c r="BJ177" s="1574"/>
      <c r="BK177" s="1574"/>
      <c r="BL177" s="1574"/>
      <c r="BM177" s="1574"/>
      <c r="BN177" s="1574"/>
      <c r="BO177" s="1574"/>
      <c r="BP177" s="1574"/>
      <c r="BQ177" s="1574"/>
      <c r="BR177" s="1591" t="e">
        <f t="shared" si="33"/>
        <v>#DIV/0!</v>
      </c>
      <c r="BS177" s="1591" t="e">
        <f t="shared" si="34"/>
        <v>#DIV/0!</v>
      </c>
      <c r="BT177" s="1568" t="e">
        <f t="shared" si="35"/>
        <v>#DIV/0!</v>
      </c>
      <c r="BU177" s="1568">
        <f t="shared" si="36"/>
        <v>100</v>
      </c>
      <c r="BV177" s="1568">
        <f t="shared" si="37"/>
        <v>90</v>
      </c>
      <c r="BW177" s="1576" t="str">
        <f t="shared" si="38"/>
        <v>NPA</v>
      </c>
      <c r="BX177" s="348" t="str">
        <f t="shared" si="14"/>
        <v/>
      </c>
      <c r="BY177" s="348" t="str">
        <f t="shared" si="14"/>
        <v/>
      </c>
      <c r="BZ177" s="348" t="str">
        <f t="shared" si="14"/>
        <v/>
      </c>
      <c r="CA177" s="348" t="str">
        <f t="shared" si="14"/>
        <v/>
      </c>
      <c r="CB177" s="348" t="str">
        <f t="shared" si="14"/>
        <v/>
      </c>
      <c r="CC177" s="348" t="str">
        <f t="shared" si="14"/>
        <v/>
      </c>
      <c r="CD177" s="348" t="str">
        <f t="shared" si="14"/>
        <v/>
      </c>
      <c r="CE177" s="348" t="str">
        <f t="shared" si="14"/>
        <v/>
      </c>
      <c r="CF177" s="348" t="str">
        <f t="shared" si="15"/>
        <v/>
      </c>
      <c r="CG177" s="348" t="str">
        <f t="shared" si="15"/>
        <v/>
      </c>
      <c r="CH177" s="348" t="str">
        <f t="shared" si="15"/>
        <v/>
      </c>
      <c r="CI177" s="348" t="str">
        <f t="shared" si="15"/>
        <v/>
      </c>
      <c r="CJ177" s="348" t="str">
        <f t="shared" si="15"/>
        <v/>
      </c>
      <c r="CK177" s="348" t="str">
        <f t="shared" si="15"/>
        <v/>
      </c>
      <c r="CL177" s="348" t="str">
        <f t="shared" si="15"/>
        <v/>
      </c>
      <c r="CM177" s="348" t="str">
        <f t="shared" si="15"/>
        <v/>
      </c>
    </row>
    <row r="178" spans="1:91" s="1567" customFormat="1" x14ac:dyDescent="0.2">
      <c r="A178" s="1574" t="str">
        <f t="shared" si="39"/>
        <v>13 x 18</v>
      </c>
      <c r="B178" s="1642">
        <f t="shared" si="40"/>
        <v>9</v>
      </c>
      <c r="C178" s="1592" t="str">
        <f t="shared" si="41"/>
        <v>Convencional</v>
      </c>
      <c r="D178" s="1592"/>
      <c r="E178" s="1574"/>
      <c r="F178" s="1574"/>
      <c r="G178" s="1574"/>
      <c r="H178" s="1574"/>
      <c r="I178" s="1574"/>
      <c r="J178" s="1574"/>
      <c r="K178" s="1574"/>
      <c r="L178" s="1574"/>
      <c r="M178" s="1574"/>
      <c r="N178" s="1574"/>
      <c r="O178" s="1577">
        <f t="shared" si="16"/>
        <v>0</v>
      </c>
      <c r="P178" s="1576" t="str">
        <f t="shared" si="17"/>
        <v>NPA</v>
      </c>
      <c r="Q178" s="1577" t="str">
        <f t="shared" si="18"/>
        <v/>
      </c>
      <c r="R178" s="1576" t="str">
        <f t="shared" si="19"/>
        <v>NPA</v>
      </c>
      <c r="S178" s="1574"/>
      <c r="T178" s="1574"/>
      <c r="U178" s="1577" t="str">
        <f t="shared" si="20"/>
        <v>NPA</v>
      </c>
      <c r="V178" s="1576" t="str">
        <f t="shared" si="42"/>
        <v>NPA</v>
      </c>
      <c r="W178" s="1585">
        <f t="shared" si="21"/>
        <v>2</v>
      </c>
      <c r="X178" s="1574"/>
      <c r="Y178" s="1574"/>
      <c r="Z178" s="1574"/>
      <c r="AA178" s="1574"/>
      <c r="AB178" s="1574"/>
      <c r="AC178" s="1574"/>
      <c r="AD178" s="1574"/>
      <c r="AE178" s="1574"/>
      <c r="AF178" s="1574"/>
      <c r="AG178" s="1574"/>
      <c r="AH178" s="1591" t="e">
        <f t="shared" si="22"/>
        <v>#DIV/0!</v>
      </c>
      <c r="AI178" s="1591" t="e">
        <f t="shared" si="23"/>
        <v>#DIV/0!</v>
      </c>
      <c r="AJ178" s="1568" t="e">
        <f t="shared" si="24"/>
        <v>#DIV/0!</v>
      </c>
      <c r="AK178" s="1568" t="e">
        <f t="shared" si="9"/>
        <v>#DIV/0!</v>
      </c>
      <c r="AL178" s="1568">
        <f t="shared" si="10"/>
        <v>115</v>
      </c>
      <c r="AM178" s="1568">
        <f t="shared" si="11"/>
        <v>105</v>
      </c>
      <c r="AN178" s="1576" t="str">
        <f t="shared" si="25"/>
        <v>NPA</v>
      </c>
      <c r="AO178" s="1585">
        <f t="shared" si="26"/>
        <v>4.5</v>
      </c>
      <c r="AP178" s="1574"/>
      <c r="AQ178" s="1574"/>
      <c r="AR178" s="1574"/>
      <c r="AS178" s="1574"/>
      <c r="AT178" s="1574"/>
      <c r="AU178" s="1574"/>
      <c r="AV178" s="1574"/>
      <c r="AW178" s="1574"/>
      <c r="AX178" s="1574"/>
      <c r="AY178" s="1574"/>
      <c r="AZ178" s="1591" t="e">
        <f t="shared" si="27"/>
        <v>#DIV/0!</v>
      </c>
      <c r="BA178" s="1591" t="e">
        <f t="shared" si="28"/>
        <v>#DIV/0!</v>
      </c>
      <c r="BB178" s="1568" t="e">
        <f t="shared" si="29"/>
        <v>#DIV/0!</v>
      </c>
      <c r="BC178" s="1568" t="e">
        <f t="shared" si="30"/>
        <v>#DIV/0!</v>
      </c>
      <c r="BD178" s="1568">
        <f t="shared" si="12"/>
        <v>103</v>
      </c>
      <c r="BE178" s="1568">
        <f t="shared" si="13"/>
        <v>93</v>
      </c>
      <c r="BF178" s="1576" t="str">
        <f t="shared" si="31"/>
        <v>NPA</v>
      </c>
      <c r="BG178" s="1965">
        <f t="shared" si="32"/>
        <v>5</v>
      </c>
      <c r="BH178" s="1574"/>
      <c r="BI178" s="1574"/>
      <c r="BJ178" s="1574"/>
      <c r="BK178" s="1574"/>
      <c r="BL178" s="1574"/>
      <c r="BM178" s="1574"/>
      <c r="BN178" s="1574"/>
      <c r="BO178" s="1574"/>
      <c r="BP178" s="1574"/>
      <c r="BQ178" s="1574"/>
      <c r="BR178" s="1591" t="e">
        <f t="shared" si="33"/>
        <v>#DIV/0!</v>
      </c>
      <c r="BS178" s="1591" t="e">
        <f t="shared" si="34"/>
        <v>#DIV/0!</v>
      </c>
      <c r="BT178" s="1568" t="e">
        <f t="shared" si="35"/>
        <v>#DIV/0!</v>
      </c>
      <c r="BU178" s="1568">
        <f t="shared" si="36"/>
        <v>100</v>
      </c>
      <c r="BV178" s="1568">
        <f t="shared" si="37"/>
        <v>90</v>
      </c>
      <c r="BW178" s="1576" t="str">
        <f t="shared" si="38"/>
        <v>NPA</v>
      </c>
      <c r="BX178" s="348" t="str">
        <f t="shared" si="14"/>
        <v/>
      </c>
      <c r="BY178" s="348" t="str">
        <f t="shared" si="14"/>
        <v/>
      </c>
      <c r="BZ178" s="348" t="str">
        <f t="shared" si="14"/>
        <v/>
      </c>
      <c r="CA178" s="348" t="str">
        <f t="shared" si="14"/>
        <v/>
      </c>
      <c r="CB178" s="348" t="str">
        <f t="shared" si="14"/>
        <v/>
      </c>
      <c r="CC178" s="348" t="str">
        <f t="shared" si="14"/>
        <v/>
      </c>
      <c r="CD178" s="348" t="str">
        <f t="shared" si="14"/>
        <v/>
      </c>
      <c r="CE178" s="348" t="str">
        <f t="shared" si="14"/>
        <v/>
      </c>
      <c r="CF178" s="348" t="str">
        <f t="shared" si="15"/>
        <v/>
      </c>
      <c r="CG178" s="348" t="str">
        <f t="shared" si="15"/>
        <v/>
      </c>
      <c r="CH178" s="348" t="str">
        <f t="shared" si="15"/>
        <v/>
      </c>
      <c r="CI178" s="348" t="str">
        <f t="shared" si="15"/>
        <v/>
      </c>
      <c r="CJ178" s="348" t="str">
        <f t="shared" si="15"/>
        <v/>
      </c>
      <c r="CK178" s="348" t="str">
        <f t="shared" si="15"/>
        <v/>
      </c>
      <c r="CL178" s="348" t="str">
        <f t="shared" si="15"/>
        <v/>
      </c>
      <c r="CM178" s="348" t="str">
        <f t="shared" si="15"/>
        <v/>
      </c>
    </row>
    <row r="179" spans="1:91" s="1567" customFormat="1" x14ac:dyDescent="0.2">
      <c r="A179" s="1574" t="str">
        <f t="shared" si="39"/>
        <v>13 x 18</v>
      </c>
      <c r="B179" s="1642">
        <f t="shared" si="40"/>
        <v>10</v>
      </c>
      <c r="C179" s="1592" t="str">
        <f t="shared" si="41"/>
        <v>Convencional</v>
      </c>
      <c r="D179" s="1592"/>
      <c r="E179" s="1574"/>
      <c r="F179" s="1574"/>
      <c r="G179" s="1574"/>
      <c r="H179" s="1574"/>
      <c r="I179" s="1574"/>
      <c r="J179" s="1574"/>
      <c r="K179" s="1574"/>
      <c r="L179" s="1574"/>
      <c r="M179" s="1574"/>
      <c r="N179" s="1574"/>
      <c r="O179" s="1577">
        <f t="shared" si="16"/>
        <v>0</v>
      </c>
      <c r="P179" s="1576" t="str">
        <f t="shared" si="17"/>
        <v>NPA</v>
      </c>
      <c r="Q179" s="1577" t="str">
        <f t="shared" si="18"/>
        <v/>
      </c>
      <c r="R179" s="1576" t="str">
        <f t="shared" si="19"/>
        <v>NPA</v>
      </c>
      <c r="S179" s="1574"/>
      <c r="T179" s="1574"/>
      <c r="U179" s="1577" t="str">
        <f t="shared" si="20"/>
        <v>NPA</v>
      </c>
      <c r="V179" s="1576" t="str">
        <f t="shared" si="42"/>
        <v>NPA</v>
      </c>
      <c r="W179" s="1585">
        <f t="shared" si="21"/>
        <v>2</v>
      </c>
      <c r="X179" s="1574"/>
      <c r="Y179" s="1574"/>
      <c r="Z179" s="1574"/>
      <c r="AA179" s="1574"/>
      <c r="AB179" s="1574"/>
      <c r="AC179" s="1574"/>
      <c r="AD179" s="1574"/>
      <c r="AE179" s="1574"/>
      <c r="AF179" s="1574"/>
      <c r="AG179" s="1574"/>
      <c r="AH179" s="1591" t="e">
        <f t="shared" si="22"/>
        <v>#DIV/0!</v>
      </c>
      <c r="AI179" s="1591" t="e">
        <f t="shared" si="23"/>
        <v>#DIV/0!</v>
      </c>
      <c r="AJ179" s="1568" t="e">
        <f t="shared" si="24"/>
        <v>#DIV/0!</v>
      </c>
      <c r="AK179" s="1568" t="e">
        <f t="shared" si="9"/>
        <v>#DIV/0!</v>
      </c>
      <c r="AL179" s="1568">
        <f t="shared" si="10"/>
        <v>115</v>
      </c>
      <c r="AM179" s="1568">
        <f t="shared" si="11"/>
        <v>105</v>
      </c>
      <c r="AN179" s="1576" t="str">
        <f t="shared" si="25"/>
        <v>NPA</v>
      </c>
      <c r="AO179" s="1585">
        <f t="shared" si="26"/>
        <v>4.5</v>
      </c>
      <c r="AP179" s="1574"/>
      <c r="AQ179" s="1574"/>
      <c r="AR179" s="1574"/>
      <c r="AS179" s="1574"/>
      <c r="AT179" s="1574"/>
      <c r="AU179" s="1574"/>
      <c r="AV179" s="1574"/>
      <c r="AW179" s="1574"/>
      <c r="AX179" s="1574"/>
      <c r="AY179" s="1574"/>
      <c r="AZ179" s="1591" t="e">
        <f t="shared" si="27"/>
        <v>#DIV/0!</v>
      </c>
      <c r="BA179" s="1591" t="e">
        <f t="shared" si="28"/>
        <v>#DIV/0!</v>
      </c>
      <c r="BB179" s="1568" t="e">
        <f t="shared" si="29"/>
        <v>#DIV/0!</v>
      </c>
      <c r="BC179" s="1568" t="e">
        <f t="shared" si="30"/>
        <v>#DIV/0!</v>
      </c>
      <c r="BD179" s="1568">
        <f t="shared" si="12"/>
        <v>103</v>
      </c>
      <c r="BE179" s="1568">
        <f t="shared" si="13"/>
        <v>93</v>
      </c>
      <c r="BF179" s="1576" t="str">
        <f t="shared" si="31"/>
        <v>NPA</v>
      </c>
      <c r="BG179" s="1965">
        <f t="shared" si="32"/>
        <v>5</v>
      </c>
      <c r="BH179" s="1574"/>
      <c r="BI179" s="1574"/>
      <c r="BJ179" s="1574"/>
      <c r="BK179" s="1574"/>
      <c r="BL179" s="1574"/>
      <c r="BM179" s="1574"/>
      <c r="BN179" s="1574"/>
      <c r="BO179" s="1574"/>
      <c r="BP179" s="1574"/>
      <c r="BQ179" s="1574"/>
      <c r="BR179" s="1591" t="e">
        <f t="shared" si="33"/>
        <v>#DIV/0!</v>
      </c>
      <c r="BS179" s="1591" t="e">
        <f t="shared" si="34"/>
        <v>#DIV/0!</v>
      </c>
      <c r="BT179" s="1568" t="e">
        <f t="shared" si="35"/>
        <v>#DIV/0!</v>
      </c>
      <c r="BU179" s="1568">
        <f t="shared" si="36"/>
        <v>100</v>
      </c>
      <c r="BV179" s="1568">
        <f t="shared" si="37"/>
        <v>90</v>
      </c>
      <c r="BW179" s="1576" t="str">
        <f t="shared" si="38"/>
        <v>NPA</v>
      </c>
      <c r="BX179" s="348" t="str">
        <f t="shared" si="14"/>
        <v/>
      </c>
      <c r="BY179" s="348" t="str">
        <f t="shared" si="14"/>
        <v/>
      </c>
      <c r="BZ179" s="348" t="str">
        <f t="shared" si="14"/>
        <v/>
      </c>
      <c r="CA179" s="348" t="str">
        <f t="shared" si="14"/>
        <v/>
      </c>
      <c r="CB179" s="348" t="str">
        <f t="shared" si="14"/>
        <v/>
      </c>
      <c r="CC179" s="348" t="str">
        <f t="shared" si="14"/>
        <v/>
      </c>
      <c r="CD179" s="348" t="str">
        <f t="shared" si="14"/>
        <v/>
      </c>
      <c r="CE179" s="348" t="str">
        <f t="shared" si="14"/>
        <v/>
      </c>
      <c r="CF179" s="348" t="str">
        <f t="shared" si="15"/>
        <v/>
      </c>
      <c r="CG179" s="348" t="str">
        <f t="shared" si="15"/>
        <v/>
      </c>
      <c r="CH179" s="348" t="str">
        <f t="shared" si="15"/>
        <v/>
      </c>
      <c r="CI179" s="348" t="str">
        <f t="shared" si="15"/>
        <v/>
      </c>
      <c r="CJ179" s="348" t="str">
        <f t="shared" si="15"/>
        <v/>
      </c>
      <c r="CK179" s="348" t="str">
        <f t="shared" si="15"/>
        <v/>
      </c>
      <c r="CL179" s="348" t="str">
        <f t="shared" si="15"/>
        <v/>
      </c>
      <c r="CM179" s="348" t="str">
        <f t="shared" si="15"/>
        <v/>
      </c>
    </row>
    <row r="180" spans="1:91" s="1567" customFormat="1" x14ac:dyDescent="0.2">
      <c r="A180" s="1574" t="str">
        <f t="shared" si="39"/>
        <v>13 x 18</v>
      </c>
      <c r="B180" s="1642">
        <f t="shared" si="40"/>
        <v>11</v>
      </c>
      <c r="C180" s="1592" t="str">
        <f t="shared" si="41"/>
        <v>Convencional</v>
      </c>
      <c r="D180" s="1592"/>
      <c r="E180" s="1574"/>
      <c r="F180" s="1574"/>
      <c r="G180" s="1574"/>
      <c r="H180" s="1574"/>
      <c r="I180" s="1574"/>
      <c r="J180" s="1574"/>
      <c r="K180" s="1574"/>
      <c r="L180" s="1574"/>
      <c r="M180" s="1574"/>
      <c r="N180" s="1574"/>
      <c r="O180" s="1577">
        <f t="shared" si="16"/>
        <v>0</v>
      </c>
      <c r="P180" s="1576" t="str">
        <f t="shared" si="17"/>
        <v>NPA</v>
      </c>
      <c r="Q180" s="1577" t="str">
        <f t="shared" si="18"/>
        <v/>
      </c>
      <c r="R180" s="1576" t="str">
        <f t="shared" si="19"/>
        <v>NPA</v>
      </c>
      <c r="S180" s="1574"/>
      <c r="T180" s="1574"/>
      <c r="U180" s="1577" t="str">
        <f t="shared" si="20"/>
        <v>NPA</v>
      </c>
      <c r="V180" s="1576" t="str">
        <f t="shared" si="42"/>
        <v>NPA</v>
      </c>
      <c r="W180" s="1585">
        <f t="shared" si="21"/>
        <v>2</v>
      </c>
      <c r="X180" s="1574"/>
      <c r="Y180" s="1574"/>
      <c r="Z180" s="1574"/>
      <c r="AA180" s="1574"/>
      <c r="AB180" s="1574"/>
      <c r="AC180" s="1574"/>
      <c r="AD180" s="1574"/>
      <c r="AE180" s="1574"/>
      <c r="AF180" s="1574"/>
      <c r="AG180" s="1574"/>
      <c r="AH180" s="1591" t="e">
        <f t="shared" si="22"/>
        <v>#DIV/0!</v>
      </c>
      <c r="AI180" s="1591" t="e">
        <f t="shared" si="23"/>
        <v>#DIV/0!</v>
      </c>
      <c r="AJ180" s="1568" t="e">
        <f t="shared" si="24"/>
        <v>#DIV/0!</v>
      </c>
      <c r="AK180" s="1568" t="e">
        <f t="shared" si="9"/>
        <v>#DIV/0!</v>
      </c>
      <c r="AL180" s="1568">
        <f t="shared" si="10"/>
        <v>115</v>
      </c>
      <c r="AM180" s="1568">
        <f t="shared" si="11"/>
        <v>105</v>
      </c>
      <c r="AN180" s="1576" t="str">
        <f t="shared" si="25"/>
        <v>NPA</v>
      </c>
      <c r="AO180" s="1585">
        <f t="shared" si="26"/>
        <v>4.5</v>
      </c>
      <c r="AP180" s="1574"/>
      <c r="AQ180" s="1574"/>
      <c r="AR180" s="1574"/>
      <c r="AS180" s="1574"/>
      <c r="AT180" s="1574"/>
      <c r="AU180" s="1574"/>
      <c r="AV180" s="1574"/>
      <c r="AW180" s="1574"/>
      <c r="AX180" s="1574"/>
      <c r="AY180" s="1574"/>
      <c r="AZ180" s="1591" t="e">
        <f t="shared" si="27"/>
        <v>#DIV/0!</v>
      </c>
      <c r="BA180" s="1591" t="e">
        <f t="shared" si="28"/>
        <v>#DIV/0!</v>
      </c>
      <c r="BB180" s="1568" t="e">
        <f t="shared" si="29"/>
        <v>#DIV/0!</v>
      </c>
      <c r="BC180" s="1568" t="e">
        <f t="shared" si="30"/>
        <v>#DIV/0!</v>
      </c>
      <c r="BD180" s="1568">
        <f t="shared" si="12"/>
        <v>103</v>
      </c>
      <c r="BE180" s="1568">
        <f t="shared" si="13"/>
        <v>93</v>
      </c>
      <c r="BF180" s="1576" t="str">
        <f t="shared" si="31"/>
        <v>NPA</v>
      </c>
      <c r="BG180" s="1965">
        <f t="shared" si="32"/>
        <v>5</v>
      </c>
      <c r="BH180" s="1574"/>
      <c r="BI180" s="1574"/>
      <c r="BJ180" s="1574"/>
      <c r="BK180" s="1574"/>
      <c r="BL180" s="1574"/>
      <c r="BM180" s="1574"/>
      <c r="BN180" s="1574"/>
      <c r="BO180" s="1574"/>
      <c r="BP180" s="1574"/>
      <c r="BQ180" s="1574"/>
      <c r="BR180" s="1591" t="e">
        <f t="shared" si="33"/>
        <v>#DIV/0!</v>
      </c>
      <c r="BS180" s="1591" t="e">
        <f t="shared" si="34"/>
        <v>#DIV/0!</v>
      </c>
      <c r="BT180" s="1568" t="e">
        <f t="shared" si="35"/>
        <v>#DIV/0!</v>
      </c>
      <c r="BU180" s="1568">
        <f t="shared" si="36"/>
        <v>100</v>
      </c>
      <c r="BV180" s="1568">
        <f t="shared" si="37"/>
        <v>90</v>
      </c>
      <c r="BW180" s="1576" t="str">
        <f t="shared" si="38"/>
        <v>NPA</v>
      </c>
      <c r="BX180" s="348" t="str">
        <f t="shared" ref="BX180:CE189" si="43">IF(AND($A180=BX$169,$C180="Mamografia"),$Q180,"")</f>
        <v/>
      </c>
      <c r="BY180" s="348" t="str">
        <f t="shared" si="43"/>
        <v/>
      </c>
      <c r="BZ180" s="348" t="str">
        <f t="shared" si="43"/>
        <v/>
      </c>
      <c r="CA180" s="348" t="str">
        <f t="shared" si="43"/>
        <v/>
      </c>
      <c r="CB180" s="348" t="str">
        <f t="shared" si="43"/>
        <v/>
      </c>
      <c r="CC180" s="348" t="str">
        <f t="shared" si="43"/>
        <v/>
      </c>
      <c r="CD180" s="348" t="str">
        <f t="shared" si="43"/>
        <v/>
      </c>
      <c r="CE180" s="348" t="str">
        <f t="shared" si="43"/>
        <v/>
      </c>
      <c r="CF180" s="348" t="str">
        <f t="shared" ref="CF180:CM189" si="44">IF(AND($A180=CF$169,$C180="Convencional"),$Q180,"")</f>
        <v/>
      </c>
      <c r="CG180" s="348" t="str">
        <f t="shared" si="44"/>
        <v/>
      </c>
      <c r="CH180" s="348" t="str">
        <f t="shared" si="44"/>
        <v/>
      </c>
      <c r="CI180" s="348" t="str">
        <f t="shared" si="44"/>
        <v/>
      </c>
      <c r="CJ180" s="348" t="str">
        <f t="shared" si="44"/>
        <v/>
      </c>
      <c r="CK180" s="348" t="str">
        <f t="shared" si="44"/>
        <v/>
      </c>
      <c r="CL180" s="348" t="str">
        <f t="shared" si="44"/>
        <v/>
      </c>
      <c r="CM180" s="348" t="str">
        <f t="shared" si="44"/>
        <v/>
      </c>
    </row>
    <row r="181" spans="1:91" s="1567" customFormat="1" x14ac:dyDescent="0.2">
      <c r="A181" s="1574" t="str">
        <f t="shared" si="39"/>
        <v>13 x 18</v>
      </c>
      <c r="B181" s="1642">
        <f t="shared" si="40"/>
        <v>12</v>
      </c>
      <c r="C181" s="1592" t="str">
        <f t="shared" si="41"/>
        <v>Convencional</v>
      </c>
      <c r="D181" s="1592"/>
      <c r="E181" s="1574"/>
      <c r="F181" s="1574"/>
      <c r="G181" s="1574"/>
      <c r="H181" s="1574"/>
      <c r="I181" s="1574"/>
      <c r="J181" s="1574"/>
      <c r="K181" s="1574"/>
      <c r="L181" s="1574"/>
      <c r="M181" s="1574"/>
      <c r="N181" s="1574"/>
      <c r="O181" s="1577">
        <f t="shared" si="16"/>
        <v>0</v>
      </c>
      <c r="P181" s="1576" t="str">
        <f t="shared" si="17"/>
        <v>NPA</v>
      </c>
      <c r="Q181" s="1577" t="str">
        <f t="shared" si="18"/>
        <v/>
      </c>
      <c r="R181" s="1576" t="str">
        <f t="shared" si="19"/>
        <v>NPA</v>
      </c>
      <c r="S181" s="1574"/>
      <c r="T181" s="1574"/>
      <c r="U181" s="1577" t="str">
        <f t="shared" si="20"/>
        <v>NPA</v>
      </c>
      <c r="V181" s="1576" t="str">
        <f t="shared" si="42"/>
        <v>NPA</v>
      </c>
      <c r="W181" s="1585">
        <f t="shared" si="21"/>
        <v>2</v>
      </c>
      <c r="X181" s="1574"/>
      <c r="Y181" s="1574"/>
      <c r="Z181" s="1574"/>
      <c r="AA181" s="1574"/>
      <c r="AB181" s="1574"/>
      <c r="AC181" s="1574"/>
      <c r="AD181" s="1574"/>
      <c r="AE181" s="1574"/>
      <c r="AF181" s="1574"/>
      <c r="AG181" s="1574"/>
      <c r="AH181" s="1591" t="e">
        <f t="shared" si="22"/>
        <v>#DIV/0!</v>
      </c>
      <c r="AI181" s="1591" t="e">
        <f t="shared" si="23"/>
        <v>#DIV/0!</v>
      </c>
      <c r="AJ181" s="1568" t="e">
        <f t="shared" si="24"/>
        <v>#DIV/0!</v>
      </c>
      <c r="AK181" s="1568" t="e">
        <f t="shared" si="9"/>
        <v>#DIV/0!</v>
      </c>
      <c r="AL181" s="1568">
        <f t="shared" si="10"/>
        <v>115</v>
      </c>
      <c r="AM181" s="1568">
        <f t="shared" si="11"/>
        <v>105</v>
      </c>
      <c r="AN181" s="1576" t="str">
        <f t="shared" si="25"/>
        <v>NPA</v>
      </c>
      <c r="AO181" s="1585">
        <f t="shared" si="26"/>
        <v>4.5</v>
      </c>
      <c r="AP181" s="1574"/>
      <c r="AQ181" s="1574"/>
      <c r="AR181" s="1574"/>
      <c r="AS181" s="1574"/>
      <c r="AT181" s="1574"/>
      <c r="AU181" s="1574"/>
      <c r="AV181" s="1574"/>
      <c r="AW181" s="1574"/>
      <c r="AX181" s="1574"/>
      <c r="AY181" s="1574"/>
      <c r="AZ181" s="1591" t="e">
        <f t="shared" si="27"/>
        <v>#DIV/0!</v>
      </c>
      <c r="BA181" s="1591" t="e">
        <f t="shared" si="28"/>
        <v>#DIV/0!</v>
      </c>
      <c r="BB181" s="1568" t="e">
        <f t="shared" si="29"/>
        <v>#DIV/0!</v>
      </c>
      <c r="BC181" s="1568" t="e">
        <f t="shared" si="30"/>
        <v>#DIV/0!</v>
      </c>
      <c r="BD181" s="1568">
        <f t="shared" si="12"/>
        <v>103</v>
      </c>
      <c r="BE181" s="1568">
        <f t="shared" si="13"/>
        <v>93</v>
      </c>
      <c r="BF181" s="1576" t="str">
        <f t="shared" si="31"/>
        <v>NPA</v>
      </c>
      <c r="BG181" s="1965">
        <f t="shared" si="32"/>
        <v>5</v>
      </c>
      <c r="BH181" s="1574"/>
      <c r="BI181" s="1574"/>
      <c r="BJ181" s="1574"/>
      <c r="BK181" s="1574"/>
      <c r="BL181" s="1574"/>
      <c r="BM181" s="1574"/>
      <c r="BN181" s="1574"/>
      <c r="BO181" s="1574"/>
      <c r="BP181" s="1574"/>
      <c r="BQ181" s="1574"/>
      <c r="BR181" s="1591" t="e">
        <f t="shared" si="33"/>
        <v>#DIV/0!</v>
      </c>
      <c r="BS181" s="1591" t="e">
        <f t="shared" si="34"/>
        <v>#DIV/0!</v>
      </c>
      <c r="BT181" s="1568" t="e">
        <f t="shared" si="35"/>
        <v>#DIV/0!</v>
      </c>
      <c r="BU181" s="1568">
        <f t="shared" si="36"/>
        <v>100</v>
      </c>
      <c r="BV181" s="1568">
        <f t="shared" si="37"/>
        <v>90</v>
      </c>
      <c r="BW181" s="1576" t="str">
        <f t="shared" si="38"/>
        <v>NPA</v>
      </c>
      <c r="BX181" s="348" t="str">
        <f t="shared" si="43"/>
        <v/>
      </c>
      <c r="BY181" s="348" t="str">
        <f t="shared" si="43"/>
        <v/>
      </c>
      <c r="BZ181" s="348" t="str">
        <f t="shared" si="43"/>
        <v/>
      </c>
      <c r="CA181" s="348" t="str">
        <f t="shared" si="43"/>
        <v/>
      </c>
      <c r="CB181" s="348" t="str">
        <f t="shared" si="43"/>
        <v/>
      </c>
      <c r="CC181" s="348" t="str">
        <f t="shared" si="43"/>
        <v/>
      </c>
      <c r="CD181" s="348" t="str">
        <f t="shared" si="43"/>
        <v/>
      </c>
      <c r="CE181" s="348" t="str">
        <f t="shared" si="43"/>
        <v/>
      </c>
      <c r="CF181" s="348" t="str">
        <f t="shared" si="44"/>
        <v/>
      </c>
      <c r="CG181" s="348" t="str">
        <f t="shared" si="44"/>
        <v/>
      </c>
      <c r="CH181" s="348" t="str">
        <f t="shared" si="44"/>
        <v/>
      </c>
      <c r="CI181" s="348" t="str">
        <f t="shared" si="44"/>
        <v/>
      </c>
      <c r="CJ181" s="348" t="str">
        <f t="shared" si="44"/>
        <v/>
      </c>
      <c r="CK181" s="348" t="str">
        <f t="shared" si="44"/>
        <v/>
      </c>
      <c r="CL181" s="348" t="str">
        <f t="shared" si="44"/>
        <v/>
      </c>
      <c r="CM181" s="348" t="str">
        <f t="shared" si="44"/>
        <v/>
      </c>
    </row>
    <row r="182" spans="1:91" s="1567" customFormat="1" x14ac:dyDescent="0.2">
      <c r="A182" s="1574" t="str">
        <f t="shared" si="39"/>
        <v>13 x 18</v>
      </c>
      <c r="B182" s="1642">
        <f t="shared" si="40"/>
        <v>13</v>
      </c>
      <c r="C182" s="1592" t="str">
        <f t="shared" si="41"/>
        <v>Convencional</v>
      </c>
      <c r="D182" s="1592"/>
      <c r="E182" s="1574"/>
      <c r="F182" s="1574"/>
      <c r="G182" s="1574"/>
      <c r="H182" s="1574"/>
      <c r="I182" s="1574"/>
      <c r="J182" s="1574"/>
      <c r="K182" s="1574"/>
      <c r="L182" s="1574"/>
      <c r="M182" s="1574"/>
      <c r="N182" s="1574"/>
      <c r="O182" s="1577">
        <f t="shared" si="16"/>
        <v>0</v>
      </c>
      <c r="P182" s="1576" t="str">
        <f t="shared" si="17"/>
        <v>NPA</v>
      </c>
      <c r="Q182" s="1577" t="str">
        <f t="shared" si="18"/>
        <v/>
      </c>
      <c r="R182" s="1576" t="str">
        <f t="shared" si="19"/>
        <v>NPA</v>
      </c>
      <c r="S182" s="1574"/>
      <c r="T182" s="1574"/>
      <c r="U182" s="1577" t="str">
        <f t="shared" si="20"/>
        <v>NPA</v>
      </c>
      <c r="V182" s="1576" t="str">
        <f t="shared" si="42"/>
        <v>NPA</v>
      </c>
      <c r="W182" s="1585">
        <f t="shared" si="21"/>
        <v>2</v>
      </c>
      <c r="X182" s="1574"/>
      <c r="Y182" s="1574"/>
      <c r="Z182" s="1574"/>
      <c r="AA182" s="1574"/>
      <c r="AB182" s="1574"/>
      <c r="AC182" s="1574"/>
      <c r="AD182" s="1574"/>
      <c r="AE182" s="1574"/>
      <c r="AF182" s="1574"/>
      <c r="AG182" s="1574"/>
      <c r="AH182" s="1591" t="e">
        <f t="shared" si="22"/>
        <v>#DIV/0!</v>
      </c>
      <c r="AI182" s="1591" t="e">
        <f t="shared" si="23"/>
        <v>#DIV/0!</v>
      </c>
      <c r="AJ182" s="1568" t="e">
        <f t="shared" si="24"/>
        <v>#DIV/0!</v>
      </c>
      <c r="AK182" s="1568" t="e">
        <f t="shared" si="9"/>
        <v>#DIV/0!</v>
      </c>
      <c r="AL182" s="1568">
        <f t="shared" si="10"/>
        <v>115</v>
      </c>
      <c r="AM182" s="1568">
        <f t="shared" si="11"/>
        <v>105</v>
      </c>
      <c r="AN182" s="1576" t="str">
        <f t="shared" si="25"/>
        <v>NPA</v>
      </c>
      <c r="AO182" s="1585">
        <f t="shared" si="26"/>
        <v>4.5</v>
      </c>
      <c r="AP182" s="1574"/>
      <c r="AQ182" s="1574"/>
      <c r="AR182" s="1574"/>
      <c r="AS182" s="1574"/>
      <c r="AT182" s="1574"/>
      <c r="AU182" s="1574"/>
      <c r="AV182" s="1574"/>
      <c r="AW182" s="1574"/>
      <c r="AX182" s="1574"/>
      <c r="AY182" s="1574"/>
      <c r="AZ182" s="1591" t="e">
        <f t="shared" si="27"/>
        <v>#DIV/0!</v>
      </c>
      <c r="BA182" s="1591" t="e">
        <f t="shared" si="28"/>
        <v>#DIV/0!</v>
      </c>
      <c r="BB182" s="1568" t="e">
        <f t="shared" si="29"/>
        <v>#DIV/0!</v>
      </c>
      <c r="BC182" s="1568" t="e">
        <f t="shared" si="30"/>
        <v>#DIV/0!</v>
      </c>
      <c r="BD182" s="1568">
        <f t="shared" si="12"/>
        <v>103</v>
      </c>
      <c r="BE182" s="1568">
        <f t="shared" si="13"/>
        <v>93</v>
      </c>
      <c r="BF182" s="1576" t="str">
        <f t="shared" si="31"/>
        <v>NPA</v>
      </c>
      <c r="BG182" s="1965">
        <f t="shared" si="32"/>
        <v>5</v>
      </c>
      <c r="BH182" s="1574"/>
      <c r="BI182" s="1574"/>
      <c r="BJ182" s="1574"/>
      <c r="BK182" s="1574"/>
      <c r="BL182" s="1574"/>
      <c r="BM182" s="1574"/>
      <c r="BN182" s="1574"/>
      <c r="BO182" s="1574"/>
      <c r="BP182" s="1574"/>
      <c r="BQ182" s="1574"/>
      <c r="BR182" s="1591" t="e">
        <f t="shared" si="33"/>
        <v>#DIV/0!</v>
      </c>
      <c r="BS182" s="1591" t="e">
        <f t="shared" si="34"/>
        <v>#DIV/0!</v>
      </c>
      <c r="BT182" s="1568" t="e">
        <f t="shared" si="35"/>
        <v>#DIV/0!</v>
      </c>
      <c r="BU182" s="1568">
        <f t="shared" si="36"/>
        <v>100</v>
      </c>
      <c r="BV182" s="1568">
        <f t="shared" si="37"/>
        <v>90</v>
      </c>
      <c r="BW182" s="1576" t="str">
        <f t="shared" si="38"/>
        <v>NPA</v>
      </c>
      <c r="BX182" s="348" t="str">
        <f t="shared" si="43"/>
        <v/>
      </c>
      <c r="BY182" s="348" t="str">
        <f t="shared" si="43"/>
        <v/>
      </c>
      <c r="BZ182" s="348" t="str">
        <f t="shared" si="43"/>
        <v/>
      </c>
      <c r="CA182" s="348" t="str">
        <f t="shared" si="43"/>
        <v/>
      </c>
      <c r="CB182" s="348" t="str">
        <f t="shared" si="43"/>
        <v/>
      </c>
      <c r="CC182" s="348" t="str">
        <f t="shared" si="43"/>
        <v/>
      </c>
      <c r="CD182" s="348" t="str">
        <f t="shared" si="43"/>
        <v/>
      </c>
      <c r="CE182" s="348" t="str">
        <f t="shared" si="43"/>
        <v/>
      </c>
      <c r="CF182" s="348" t="str">
        <f t="shared" si="44"/>
        <v/>
      </c>
      <c r="CG182" s="348" t="str">
        <f t="shared" si="44"/>
        <v/>
      </c>
      <c r="CH182" s="348" t="str">
        <f t="shared" si="44"/>
        <v/>
      </c>
      <c r="CI182" s="348" t="str">
        <f t="shared" si="44"/>
        <v/>
      </c>
      <c r="CJ182" s="348" t="str">
        <f t="shared" si="44"/>
        <v/>
      </c>
      <c r="CK182" s="348" t="str">
        <f t="shared" si="44"/>
        <v/>
      </c>
      <c r="CL182" s="348" t="str">
        <f t="shared" si="44"/>
        <v/>
      </c>
      <c r="CM182" s="348" t="str">
        <f t="shared" si="44"/>
        <v/>
      </c>
    </row>
    <row r="183" spans="1:91" s="1567" customFormat="1" x14ac:dyDescent="0.2">
      <c r="A183" s="1574" t="str">
        <f t="shared" si="39"/>
        <v>13 x 18</v>
      </c>
      <c r="B183" s="1642">
        <f t="shared" si="40"/>
        <v>14</v>
      </c>
      <c r="C183" s="1592" t="str">
        <f t="shared" si="41"/>
        <v>Convencional</v>
      </c>
      <c r="D183" s="1592"/>
      <c r="E183" s="1574"/>
      <c r="F183" s="1574"/>
      <c r="G183" s="1574"/>
      <c r="H183" s="1574"/>
      <c r="I183" s="1574"/>
      <c r="J183" s="1574"/>
      <c r="K183" s="1574"/>
      <c r="L183" s="1574"/>
      <c r="M183" s="1574"/>
      <c r="N183" s="1574"/>
      <c r="O183" s="1577">
        <f t="shared" si="16"/>
        <v>0</v>
      </c>
      <c r="P183" s="1576" t="str">
        <f t="shared" si="17"/>
        <v>NPA</v>
      </c>
      <c r="Q183" s="1577" t="str">
        <f t="shared" si="18"/>
        <v/>
      </c>
      <c r="R183" s="1576" t="str">
        <f t="shared" si="19"/>
        <v>NPA</v>
      </c>
      <c r="S183" s="1574"/>
      <c r="T183" s="1574"/>
      <c r="U183" s="1577" t="str">
        <f t="shared" si="20"/>
        <v>NPA</v>
      </c>
      <c r="V183" s="1576" t="str">
        <f t="shared" si="42"/>
        <v>NPA</v>
      </c>
      <c r="W183" s="1585">
        <f t="shared" si="21"/>
        <v>2</v>
      </c>
      <c r="X183" s="1574"/>
      <c r="Y183" s="1574"/>
      <c r="Z183" s="1574"/>
      <c r="AA183" s="1574"/>
      <c r="AB183" s="1574"/>
      <c r="AC183" s="1574"/>
      <c r="AD183" s="1574"/>
      <c r="AE183" s="1574"/>
      <c r="AF183" s="1574"/>
      <c r="AG183" s="1574"/>
      <c r="AH183" s="1591" t="e">
        <f t="shared" si="22"/>
        <v>#DIV/0!</v>
      </c>
      <c r="AI183" s="1591" t="e">
        <f t="shared" si="23"/>
        <v>#DIV/0!</v>
      </c>
      <c r="AJ183" s="1568" t="e">
        <f t="shared" si="24"/>
        <v>#DIV/0!</v>
      </c>
      <c r="AK183" s="1568" t="e">
        <f t="shared" si="9"/>
        <v>#DIV/0!</v>
      </c>
      <c r="AL183" s="1568">
        <f t="shared" si="10"/>
        <v>115</v>
      </c>
      <c r="AM183" s="1568">
        <f t="shared" si="11"/>
        <v>105</v>
      </c>
      <c r="AN183" s="1576" t="str">
        <f t="shared" si="25"/>
        <v>NPA</v>
      </c>
      <c r="AO183" s="1585">
        <f t="shared" si="26"/>
        <v>4.5</v>
      </c>
      <c r="AP183" s="1574"/>
      <c r="AQ183" s="1574"/>
      <c r="AR183" s="1574"/>
      <c r="AS183" s="1574"/>
      <c r="AT183" s="1574"/>
      <c r="AU183" s="1574"/>
      <c r="AV183" s="1574"/>
      <c r="AW183" s="1574"/>
      <c r="AX183" s="1574"/>
      <c r="AY183" s="1574"/>
      <c r="AZ183" s="1591" t="e">
        <f t="shared" si="27"/>
        <v>#DIV/0!</v>
      </c>
      <c r="BA183" s="1591" t="e">
        <f t="shared" si="28"/>
        <v>#DIV/0!</v>
      </c>
      <c r="BB183" s="1568" t="e">
        <f t="shared" si="29"/>
        <v>#DIV/0!</v>
      </c>
      <c r="BC183" s="1568" t="e">
        <f t="shared" si="30"/>
        <v>#DIV/0!</v>
      </c>
      <c r="BD183" s="1568">
        <f t="shared" si="12"/>
        <v>103</v>
      </c>
      <c r="BE183" s="1568">
        <f t="shared" si="13"/>
        <v>93</v>
      </c>
      <c r="BF183" s="1576" t="str">
        <f t="shared" si="31"/>
        <v>NPA</v>
      </c>
      <c r="BG183" s="1965">
        <f t="shared" si="32"/>
        <v>5</v>
      </c>
      <c r="BH183" s="1574"/>
      <c r="BI183" s="1574"/>
      <c r="BJ183" s="1574"/>
      <c r="BK183" s="1574"/>
      <c r="BL183" s="1574"/>
      <c r="BM183" s="1574"/>
      <c r="BN183" s="1574"/>
      <c r="BO183" s="1574"/>
      <c r="BP183" s="1574"/>
      <c r="BQ183" s="1574"/>
      <c r="BR183" s="1591" t="e">
        <f t="shared" si="33"/>
        <v>#DIV/0!</v>
      </c>
      <c r="BS183" s="1591" t="e">
        <f t="shared" si="34"/>
        <v>#DIV/0!</v>
      </c>
      <c r="BT183" s="1568" t="e">
        <f t="shared" si="35"/>
        <v>#DIV/0!</v>
      </c>
      <c r="BU183" s="1568">
        <f t="shared" si="36"/>
        <v>100</v>
      </c>
      <c r="BV183" s="1568">
        <f t="shared" si="37"/>
        <v>90</v>
      </c>
      <c r="BW183" s="1576" t="str">
        <f t="shared" si="38"/>
        <v>NPA</v>
      </c>
      <c r="BX183" s="348" t="str">
        <f t="shared" si="43"/>
        <v/>
      </c>
      <c r="BY183" s="348" t="str">
        <f t="shared" si="43"/>
        <v/>
      </c>
      <c r="BZ183" s="348" t="str">
        <f t="shared" si="43"/>
        <v/>
      </c>
      <c r="CA183" s="348" t="str">
        <f t="shared" si="43"/>
        <v/>
      </c>
      <c r="CB183" s="348" t="str">
        <f t="shared" si="43"/>
        <v/>
      </c>
      <c r="CC183" s="348" t="str">
        <f t="shared" si="43"/>
        <v/>
      </c>
      <c r="CD183" s="348" t="str">
        <f t="shared" si="43"/>
        <v/>
      </c>
      <c r="CE183" s="348" t="str">
        <f t="shared" si="43"/>
        <v/>
      </c>
      <c r="CF183" s="348" t="str">
        <f t="shared" si="44"/>
        <v/>
      </c>
      <c r="CG183" s="348" t="str">
        <f t="shared" si="44"/>
        <v/>
      </c>
      <c r="CH183" s="348" t="str">
        <f t="shared" si="44"/>
        <v/>
      </c>
      <c r="CI183" s="348" t="str">
        <f t="shared" si="44"/>
        <v/>
      </c>
      <c r="CJ183" s="348" t="str">
        <f t="shared" si="44"/>
        <v/>
      </c>
      <c r="CK183" s="348" t="str">
        <f t="shared" si="44"/>
        <v/>
      </c>
      <c r="CL183" s="348" t="str">
        <f t="shared" si="44"/>
        <v/>
      </c>
      <c r="CM183" s="348" t="str">
        <f t="shared" si="44"/>
        <v/>
      </c>
    </row>
    <row r="184" spans="1:91" s="1567" customFormat="1" x14ac:dyDescent="0.2">
      <c r="A184" s="1574" t="str">
        <f t="shared" si="39"/>
        <v>13 x 18</v>
      </c>
      <c r="B184" s="1642">
        <f t="shared" si="40"/>
        <v>15</v>
      </c>
      <c r="C184" s="1592" t="str">
        <f t="shared" si="41"/>
        <v>Convencional</v>
      </c>
      <c r="D184" s="1592"/>
      <c r="E184" s="1574"/>
      <c r="F184" s="1574"/>
      <c r="G184" s="1574"/>
      <c r="H184" s="1574"/>
      <c r="I184" s="1574"/>
      <c r="J184" s="1574"/>
      <c r="K184" s="1574"/>
      <c r="L184" s="1574"/>
      <c r="M184" s="1574"/>
      <c r="N184" s="1574"/>
      <c r="O184" s="1577">
        <f t="shared" si="16"/>
        <v>0</v>
      </c>
      <c r="P184" s="1576" t="str">
        <f t="shared" si="17"/>
        <v>NPA</v>
      </c>
      <c r="Q184" s="1577" t="str">
        <f t="shared" si="18"/>
        <v/>
      </c>
      <c r="R184" s="1576" t="str">
        <f t="shared" si="19"/>
        <v>NPA</v>
      </c>
      <c r="S184" s="1574"/>
      <c r="T184" s="1574"/>
      <c r="U184" s="1577" t="str">
        <f t="shared" si="20"/>
        <v>NPA</v>
      </c>
      <c r="V184" s="1576" t="str">
        <f t="shared" si="42"/>
        <v>NPA</v>
      </c>
      <c r="W184" s="1585">
        <f t="shared" si="21"/>
        <v>2</v>
      </c>
      <c r="X184" s="1574"/>
      <c r="Y184" s="1574"/>
      <c r="Z184" s="1574"/>
      <c r="AA184" s="1574"/>
      <c r="AB184" s="1574"/>
      <c r="AC184" s="1574"/>
      <c r="AD184" s="1574"/>
      <c r="AE184" s="1574"/>
      <c r="AF184" s="1574"/>
      <c r="AG184" s="1574"/>
      <c r="AH184" s="1591" t="e">
        <f t="shared" si="22"/>
        <v>#DIV/0!</v>
      </c>
      <c r="AI184" s="1591" t="e">
        <f t="shared" si="23"/>
        <v>#DIV/0!</v>
      </c>
      <c r="AJ184" s="1568" t="e">
        <f t="shared" si="24"/>
        <v>#DIV/0!</v>
      </c>
      <c r="AK184" s="1568" t="e">
        <f t="shared" si="9"/>
        <v>#DIV/0!</v>
      </c>
      <c r="AL184" s="1568">
        <f t="shared" si="10"/>
        <v>115</v>
      </c>
      <c r="AM184" s="1568">
        <f t="shared" si="11"/>
        <v>105</v>
      </c>
      <c r="AN184" s="1576" t="str">
        <f t="shared" si="25"/>
        <v>NPA</v>
      </c>
      <c r="AO184" s="1585">
        <f t="shared" si="26"/>
        <v>4.5</v>
      </c>
      <c r="AP184" s="1574"/>
      <c r="AQ184" s="1574"/>
      <c r="AR184" s="1574"/>
      <c r="AS184" s="1574"/>
      <c r="AT184" s="1574"/>
      <c r="AU184" s="1574"/>
      <c r="AV184" s="1574"/>
      <c r="AW184" s="1574"/>
      <c r="AX184" s="1574"/>
      <c r="AY184" s="1574"/>
      <c r="AZ184" s="1591" t="e">
        <f t="shared" si="27"/>
        <v>#DIV/0!</v>
      </c>
      <c r="BA184" s="1591" t="e">
        <f t="shared" si="28"/>
        <v>#DIV/0!</v>
      </c>
      <c r="BB184" s="1568" t="e">
        <f t="shared" si="29"/>
        <v>#DIV/0!</v>
      </c>
      <c r="BC184" s="1568" t="e">
        <f t="shared" si="30"/>
        <v>#DIV/0!</v>
      </c>
      <c r="BD184" s="1568">
        <f t="shared" si="12"/>
        <v>103</v>
      </c>
      <c r="BE184" s="1568">
        <f t="shared" si="13"/>
        <v>93</v>
      </c>
      <c r="BF184" s="1576" t="str">
        <f t="shared" si="31"/>
        <v>NPA</v>
      </c>
      <c r="BG184" s="1965">
        <f t="shared" si="32"/>
        <v>5</v>
      </c>
      <c r="BH184" s="1574"/>
      <c r="BI184" s="1574"/>
      <c r="BJ184" s="1574"/>
      <c r="BK184" s="1574"/>
      <c r="BL184" s="1574"/>
      <c r="BM184" s="1574"/>
      <c r="BN184" s="1574"/>
      <c r="BO184" s="1574"/>
      <c r="BP184" s="1574"/>
      <c r="BQ184" s="1574"/>
      <c r="BR184" s="1591" t="e">
        <f t="shared" si="33"/>
        <v>#DIV/0!</v>
      </c>
      <c r="BS184" s="1591" t="e">
        <f t="shared" si="34"/>
        <v>#DIV/0!</v>
      </c>
      <c r="BT184" s="1568" t="e">
        <f t="shared" si="35"/>
        <v>#DIV/0!</v>
      </c>
      <c r="BU184" s="1568">
        <f t="shared" si="36"/>
        <v>100</v>
      </c>
      <c r="BV184" s="1568">
        <f t="shared" si="37"/>
        <v>90</v>
      </c>
      <c r="BW184" s="1576" t="str">
        <f t="shared" si="38"/>
        <v>NPA</v>
      </c>
      <c r="BX184" s="348" t="str">
        <f t="shared" si="43"/>
        <v/>
      </c>
      <c r="BY184" s="348" t="str">
        <f t="shared" si="43"/>
        <v/>
      </c>
      <c r="BZ184" s="348" t="str">
        <f t="shared" si="43"/>
        <v/>
      </c>
      <c r="CA184" s="348" t="str">
        <f t="shared" si="43"/>
        <v/>
      </c>
      <c r="CB184" s="348" t="str">
        <f t="shared" si="43"/>
        <v/>
      </c>
      <c r="CC184" s="348" t="str">
        <f t="shared" si="43"/>
        <v/>
      </c>
      <c r="CD184" s="348" t="str">
        <f t="shared" si="43"/>
        <v/>
      </c>
      <c r="CE184" s="348" t="str">
        <f t="shared" si="43"/>
        <v/>
      </c>
      <c r="CF184" s="348" t="str">
        <f t="shared" si="44"/>
        <v/>
      </c>
      <c r="CG184" s="348" t="str">
        <f t="shared" si="44"/>
        <v/>
      </c>
      <c r="CH184" s="348" t="str">
        <f t="shared" si="44"/>
        <v/>
      </c>
      <c r="CI184" s="348" t="str">
        <f t="shared" si="44"/>
        <v/>
      </c>
      <c r="CJ184" s="348" t="str">
        <f t="shared" si="44"/>
        <v/>
      </c>
      <c r="CK184" s="348" t="str">
        <f t="shared" si="44"/>
        <v/>
      </c>
      <c r="CL184" s="348" t="str">
        <f t="shared" si="44"/>
        <v/>
      </c>
      <c r="CM184" s="348" t="str">
        <f t="shared" si="44"/>
        <v/>
      </c>
    </row>
    <row r="185" spans="1:91" s="1567" customFormat="1" x14ac:dyDescent="0.2">
      <c r="A185" s="1574" t="str">
        <f t="shared" si="39"/>
        <v>13 x 18</v>
      </c>
      <c r="B185" s="1642">
        <f t="shared" si="40"/>
        <v>16</v>
      </c>
      <c r="C185" s="1592" t="str">
        <f t="shared" si="41"/>
        <v>Convencional</v>
      </c>
      <c r="D185" s="1592"/>
      <c r="E185" s="1574"/>
      <c r="F185" s="1574"/>
      <c r="G185" s="1574"/>
      <c r="H185" s="1574"/>
      <c r="I185" s="1574"/>
      <c r="J185" s="1574"/>
      <c r="K185" s="1574"/>
      <c r="L185" s="1574"/>
      <c r="M185" s="1574"/>
      <c r="N185" s="1574"/>
      <c r="O185" s="1577">
        <f t="shared" si="16"/>
        <v>0</v>
      </c>
      <c r="P185" s="1576" t="str">
        <f t="shared" si="17"/>
        <v>NPA</v>
      </c>
      <c r="Q185" s="1577" t="str">
        <f t="shared" si="18"/>
        <v/>
      </c>
      <c r="R185" s="1576" t="str">
        <f t="shared" si="19"/>
        <v>NPA</v>
      </c>
      <c r="S185" s="1574"/>
      <c r="T185" s="1574"/>
      <c r="U185" s="1577" t="str">
        <f t="shared" si="20"/>
        <v>NPA</v>
      </c>
      <c r="V185" s="1576" t="str">
        <f t="shared" si="42"/>
        <v>NPA</v>
      </c>
      <c r="W185" s="1585">
        <f t="shared" si="21"/>
        <v>2</v>
      </c>
      <c r="X185" s="1574"/>
      <c r="Y185" s="1574"/>
      <c r="Z185" s="1574"/>
      <c r="AA185" s="1574"/>
      <c r="AB185" s="1574"/>
      <c r="AC185" s="1574"/>
      <c r="AD185" s="1574"/>
      <c r="AE185" s="1574"/>
      <c r="AF185" s="1574"/>
      <c r="AG185" s="1574"/>
      <c r="AH185" s="1591" t="e">
        <f t="shared" si="22"/>
        <v>#DIV/0!</v>
      </c>
      <c r="AI185" s="1591" t="e">
        <f t="shared" si="23"/>
        <v>#DIV/0!</v>
      </c>
      <c r="AJ185" s="1568" t="e">
        <f t="shared" si="24"/>
        <v>#DIV/0!</v>
      </c>
      <c r="AK185" s="1568" t="e">
        <f t="shared" si="9"/>
        <v>#DIV/0!</v>
      </c>
      <c r="AL185" s="1568">
        <f t="shared" si="10"/>
        <v>115</v>
      </c>
      <c r="AM185" s="1568">
        <f t="shared" si="11"/>
        <v>105</v>
      </c>
      <c r="AN185" s="1576" t="str">
        <f t="shared" si="25"/>
        <v>NPA</v>
      </c>
      <c r="AO185" s="1585">
        <f t="shared" si="26"/>
        <v>4.5</v>
      </c>
      <c r="AP185" s="1574"/>
      <c r="AQ185" s="1574"/>
      <c r="AR185" s="1574"/>
      <c r="AS185" s="1574"/>
      <c r="AT185" s="1574"/>
      <c r="AU185" s="1574"/>
      <c r="AV185" s="1574"/>
      <c r="AW185" s="1574"/>
      <c r="AX185" s="1574"/>
      <c r="AY185" s="1574"/>
      <c r="AZ185" s="1591" t="e">
        <f t="shared" si="27"/>
        <v>#DIV/0!</v>
      </c>
      <c r="BA185" s="1591" t="e">
        <f t="shared" si="28"/>
        <v>#DIV/0!</v>
      </c>
      <c r="BB185" s="1568" t="e">
        <f t="shared" si="29"/>
        <v>#DIV/0!</v>
      </c>
      <c r="BC185" s="1568" t="e">
        <f t="shared" si="30"/>
        <v>#DIV/0!</v>
      </c>
      <c r="BD185" s="1568">
        <f t="shared" si="12"/>
        <v>103</v>
      </c>
      <c r="BE185" s="1568">
        <f t="shared" si="13"/>
        <v>93</v>
      </c>
      <c r="BF185" s="1576" t="str">
        <f t="shared" si="31"/>
        <v>NPA</v>
      </c>
      <c r="BG185" s="1965">
        <f t="shared" si="32"/>
        <v>5</v>
      </c>
      <c r="BH185" s="1574"/>
      <c r="BI185" s="1574"/>
      <c r="BJ185" s="1574"/>
      <c r="BK185" s="1574"/>
      <c r="BL185" s="1574"/>
      <c r="BM185" s="1574"/>
      <c r="BN185" s="1574"/>
      <c r="BO185" s="1574"/>
      <c r="BP185" s="1574"/>
      <c r="BQ185" s="1574"/>
      <c r="BR185" s="1591" t="e">
        <f t="shared" si="33"/>
        <v>#DIV/0!</v>
      </c>
      <c r="BS185" s="1591" t="e">
        <f t="shared" si="34"/>
        <v>#DIV/0!</v>
      </c>
      <c r="BT185" s="1568" t="e">
        <f t="shared" si="35"/>
        <v>#DIV/0!</v>
      </c>
      <c r="BU185" s="1568">
        <f t="shared" si="36"/>
        <v>100</v>
      </c>
      <c r="BV185" s="1568">
        <f t="shared" si="37"/>
        <v>90</v>
      </c>
      <c r="BW185" s="1576" t="str">
        <f t="shared" si="38"/>
        <v>NPA</v>
      </c>
      <c r="BX185" s="348" t="str">
        <f t="shared" si="43"/>
        <v/>
      </c>
      <c r="BY185" s="348" t="str">
        <f t="shared" si="43"/>
        <v/>
      </c>
      <c r="BZ185" s="348" t="str">
        <f t="shared" si="43"/>
        <v/>
      </c>
      <c r="CA185" s="348" t="str">
        <f t="shared" si="43"/>
        <v/>
      </c>
      <c r="CB185" s="348" t="str">
        <f t="shared" si="43"/>
        <v/>
      </c>
      <c r="CC185" s="348" t="str">
        <f t="shared" si="43"/>
        <v/>
      </c>
      <c r="CD185" s="348" t="str">
        <f t="shared" si="43"/>
        <v/>
      </c>
      <c r="CE185" s="348" t="str">
        <f t="shared" si="43"/>
        <v/>
      </c>
      <c r="CF185" s="348" t="str">
        <f t="shared" si="44"/>
        <v/>
      </c>
      <c r="CG185" s="348" t="str">
        <f t="shared" si="44"/>
        <v/>
      </c>
      <c r="CH185" s="348" t="str">
        <f t="shared" si="44"/>
        <v/>
      </c>
      <c r="CI185" s="348" t="str">
        <f t="shared" si="44"/>
        <v/>
      </c>
      <c r="CJ185" s="348" t="str">
        <f t="shared" si="44"/>
        <v/>
      </c>
      <c r="CK185" s="348" t="str">
        <f t="shared" si="44"/>
        <v/>
      </c>
      <c r="CL185" s="348" t="str">
        <f t="shared" si="44"/>
        <v/>
      </c>
      <c r="CM185" s="348" t="str">
        <f t="shared" si="44"/>
        <v/>
      </c>
    </row>
    <row r="186" spans="1:91" s="1567" customFormat="1" x14ac:dyDescent="0.2">
      <c r="A186" s="1574" t="str">
        <f t="shared" si="39"/>
        <v>13 x 18</v>
      </c>
      <c r="B186" s="1642">
        <f t="shared" si="40"/>
        <v>17</v>
      </c>
      <c r="C186" s="1592" t="str">
        <f t="shared" si="41"/>
        <v>Convencional</v>
      </c>
      <c r="D186" s="1592"/>
      <c r="E186" s="1574"/>
      <c r="F186" s="1574"/>
      <c r="G186" s="1574"/>
      <c r="H186" s="1574"/>
      <c r="I186" s="1574"/>
      <c r="J186" s="1574"/>
      <c r="K186" s="1574"/>
      <c r="L186" s="1574"/>
      <c r="M186" s="1574"/>
      <c r="N186" s="1574"/>
      <c r="O186" s="1577">
        <f t="shared" si="16"/>
        <v>0</v>
      </c>
      <c r="P186" s="1576" t="str">
        <f t="shared" si="17"/>
        <v>NPA</v>
      </c>
      <c r="Q186" s="1577" t="str">
        <f t="shared" si="18"/>
        <v/>
      </c>
      <c r="R186" s="1576" t="str">
        <f t="shared" si="19"/>
        <v>NPA</v>
      </c>
      <c r="S186" s="1574"/>
      <c r="T186" s="1574"/>
      <c r="U186" s="1577" t="str">
        <f t="shared" si="20"/>
        <v>NPA</v>
      </c>
      <c r="V186" s="1576" t="str">
        <f t="shared" si="42"/>
        <v>NPA</v>
      </c>
      <c r="W186" s="1585">
        <f t="shared" si="21"/>
        <v>2</v>
      </c>
      <c r="X186" s="1574"/>
      <c r="Y186" s="1574"/>
      <c r="Z186" s="1574"/>
      <c r="AA186" s="1574"/>
      <c r="AB186" s="1574"/>
      <c r="AC186" s="1574"/>
      <c r="AD186" s="1574"/>
      <c r="AE186" s="1574"/>
      <c r="AF186" s="1574"/>
      <c r="AG186" s="1574"/>
      <c r="AH186" s="1591" t="e">
        <f t="shared" si="22"/>
        <v>#DIV/0!</v>
      </c>
      <c r="AI186" s="1591" t="e">
        <f t="shared" si="23"/>
        <v>#DIV/0!</v>
      </c>
      <c r="AJ186" s="1568" t="e">
        <f t="shared" si="24"/>
        <v>#DIV/0!</v>
      </c>
      <c r="AK186" s="1568" t="e">
        <f t="shared" si="9"/>
        <v>#DIV/0!</v>
      </c>
      <c r="AL186" s="1568">
        <f t="shared" si="10"/>
        <v>115</v>
      </c>
      <c r="AM186" s="1568">
        <f t="shared" si="11"/>
        <v>105</v>
      </c>
      <c r="AN186" s="1576" t="str">
        <f t="shared" si="25"/>
        <v>NPA</v>
      </c>
      <c r="AO186" s="1585">
        <f t="shared" si="26"/>
        <v>4.5</v>
      </c>
      <c r="AP186" s="1574"/>
      <c r="AQ186" s="1574"/>
      <c r="AR186" s="1574"/>
      <c r="AS186" s="1574"/>
      <c r="AT186" s="1574"/>
      <c r="AU186" s="1574"/>
      <c r="AV186" s="1574"/>
      <c r="AW186" s="1574"/>
      <c r="AX186" s="1574"/>
      <c r="AY186" s="1574"/>
      <c r="AZ186" s="1591" t="e">
        <f t="shared" si="27"/>
        <v>#DIV/0!</v>
      </c>
      <c r="BA186" s="1591" t="e">
        <f t="shared" si="28"/>
        <v>#DIV/0!</v>
      </c>
      <c r="BB186" s="1568" t="e">
        <f t="shared" si="29"/>
        <v>#DIV/0!</v>
      </c>
      <c r="BC186" s="1568" t="e">
        <f t="shared" si="30"/>
        <v>#DIV/0!</v>
      </c>
      <c r="BD186" s="1568">
        <f t="shared" si="12"/>
        <v>103</v>
      </c>
      <c r="BE186" s="1568">
        <f t="shared" si="13"/>
        <v>93</v>
      </c>
      <c r="BF186" s="1576" t="str">
        <f t="shared" si="31"/>
        <v>NPA</v>
      </c>
      <c r="BG186" s="1965">
        <f t="shared" si="32"/>
        <v>5</v>
      </c>
      <c r="BH186" s="1574"/>
      <c r="BI186" s="1574"/>
      <c r="BJ186" s="1574"/>
      <c r="BK186" s="1574"/>
      <c r="BL186" s="1574"/>
      <c r="BM186" s="1574"/>
      <c r="BN186" s="1574"/>
      <c r="BO186" s="1574"/>
      <c r="BP186" s="1574"/>
      <c r="BQ186" s="1574"/>
      <c r="BR186" s="1591" t="e">
        <f t="shared" si="33"/>
        <v>#DIV/0!</v>
      </c>
      <c r="BS186" s="1591" t="e">
        <f t="shared" si="34"/>
        <v>#DIV/0!</v>
      </c>
      <c r="BT186" s="1568" t="e">
        <f t="shared" si="35"/>
        <v>#DIV/0!</v>
      </c>
      <c r="BU186" s="1568">
        <f t="shared" si="36"/>
        <v>100</v>
      </c>
      <c r="BV186" s="1568">
        <f t="shared" si="37"/>
        <v>90</v>
      </c>
      <c r="BW186" s="1576" t="str">
        <f t="shared" si="38"/>
        <v>NPA</v>
      </c>
      <c r="BX186" s="348" t="str">
        <f t="shared" si="43"/>
        <v/>
      </c>
      <c r="BY186" s="348" t="str">
        <f t="shared" si="43"/>
        <v/>
      </c>
      <c r="BZ186" s="348" t="str">
        <f t="shared" si="43"/>
        <v/>
      </c>
      <c r="CA186" s="348" t="str">
        <f t="shared" si="43"/>
        <v/>
      </c>
      <c r="CB186" s="348" t="str">
        <f t="shared" si="43"/>
        <v/>
      </c>
      <c r="CC186" s="348" t="str">
        <f t="shared" si="43"/>
        <v/>
      </c>
      <c r="CD186" s="348" t="str">
        <f t="shared" si="43"/>
        <v/>
      </c>
      <c r="CE186" s="348" t="str">
        <f t="shared" si="43"/>
        <v/>
      </c>
      <c r="CF186" s="348" t="str">
        <f t="shared" si="44"/>
        <v/>
      </c>
      <c r="CG186" s="348" t="str">
        <f t="shared" si="44"/>
        <v/>
      </c>
      <c r="CH186" s="348" t="str">
        <f t="shared" si="44"/>
        <v/>
      </c>
      <c r="CI186" s="348" t="str">
        <f t="shared" si="44"/>
        <v/>
      </c>
      <c r="CJ186" s="348" t="str">
        <f t="shared" si="44"/>
        <v/>
      </c>
      <c r="CK186" s="348" t="str">
        <f t="shared" si="44"/>
        <v/>
      </c>
      <c r="CL186" s="348" t="str">
        <f t="shared" si="44"/>
        <v/>
      </c>
      <c r="CM186" s="348" t="str">
        <f t="shared" si="44"/>
        <v/>
      </c>
    </row>
    <row r="187" spans="1:91" s="1567" customFormat="1" x14ac:dyDescent="0.2">
      <c r="A187" s="1574" t="str">
        <f t="shared" si="39"/>
        <v>13 x 18</v>
      </c>
      <c r="B187" s="1642">
        <f t="shared" si="40"/>
        <v>18</v>
      </c>
      <c r="C187" s="1592" t="str">
        <f t="shared" si="41"/>
        <v>Convencional</v>
      </c>
      <c r="D187" s="1592"/>
      <c r="E187" s="1574"/>
      <c r="F187" s="1574"/>
      <c r="G187" s="1574"/>
      <c r="H187" s="1574"/>
      <c r="I187" s="1574"/>
      <c r="J187" s="1574"/>
      <c r="K187" s="1574"/>
      <c r="L187" s="1574"/>
      <c r="M187" s="1574"/>
      <c r="N187" s="1574"/>
      <c r="O187" s="1577">
        <f t="shared" si="16"/>
        <v>0</v>
      </c>
      <c r="P187" s="1576" t="str">
        <f t="shared" si="17"/>
        <v>NPA</v>
      </c>
      <c r="Q187" s="1577" t="str">
        <f t="shared" si="18"/>
        <v/>
      </c>
      <c r="R187" s="1576" t="str">
        <f t="shared" si="19"/>
        <v>NPA</v>
      </c>
      <c r="S187" s="1574"/>
      <c r="T187" s="1574"/>
      <c r="U187" s="1577" t="str">
        <f t="shared" si="20"/>
        <v>NPA</v>
      </c>
      <c r="V187" s="1576" t="str">
        <f t="shared" si="42"/>
        <v>NPA</v>
      </c>
      <c r="W187" s="1585">
        <f t="shared" si="21"/>
        <v>2</v>
      </c>
      <c r="X187" s="1574"/>
      <c r="Y187" s="1574"/>
      <c r="Z187" s="1574"/>
      <c r="AA187" s="1574"/>
      <c r="AB187" s="1574"/>
      <c r="AC187" s="1574"/>
      <c r="AD187" s="1574"/>
      <c r="AE187" s="1574"/>
      <c r="AF187" s="1574"/>
      <c r="AG187" s="1574"/>
      <c r="AH187" s="1591" t="e">
        <f t="shared" si="22"/>
        <v>#DIV/0!</v>
      </c>
      <c r="AI187" s="1591" t="e">
        <f t="shared" si="23"/>
        <v>#DIV/0!</v>
      </c>
      <c r="AJ187" s="1568" t="e">
        <f t="shared" si="24"/>
        <v>#DIV/0!</v>
      </c>
      <c r="AK187" s="1568" t="e">
        <f t="shared" si="9"/>
        <v>#DIV/0!</v>
      </c>
      <c r="AL187" s="1568">
        <f t="shared" si="10"/>
        <v>115</v>
      </c>
      <c r="AM187" s="1568">
        <f t="shared" si="11"/>
        <v>105</v>
      </c>
      <c r="AN187" s="1576" t="str">
        <f t="shared" si="25"/>
        <v>NPA</v>
      </c>
      <c r="AO187" s="1585">
        <f t="shared" si="26"/>
        <v>4.5</v>
      </c>
      <c r="AP187" s="1574"/>
      <c r="AQ187" s="1574"/>
      <c r="AR187" s="1574"/>
      <c r="AS187" s="1574"/>
      <c r="AT187" s="1574"/>
      <c r="AU187" s="1574"/>
      <c r="AV187" s="1574"/>
      <c r="AW187" s="1574"/>
      <c r="AX187" s="1574"/>
      <c r="AY187" s="1574"/>
      <c r="AZ187" s="1591" t="e">
        <f t="shared" si="27"/>
        <v>#DIV/0!</v>
      </c>
      <c r="BA187" s="1591" t="e">
        <f t="shared" si="28"/>
        <v>#DIV/0!</v>
      </c>
      <c r="BB187" s="1568" t="e">
        <f t="shared" si="29"/>
        <v>#DIV/0!</v>
      </c>
      <c r="BC187" s="1568" t="e">
        <f t="shared" si="30"/>
        <v>#DIV/0!</v>
      </c>
      <c r="BD187" s="1568">
        <f t="shared" si="12"/>
        <v>103</v>
      </c>
      <c r="BE187" s="1568">
        <f t="shared" si="13"/>
        <v>93</v>
      </c>
      <c r="BF187" s="1576" t="str">
        <f t="shared" si="31"/>
        <v>NPA</v>
      </c>
      <c r="BG187" s="1965">
        <f t="shared" si="32"/>
        <v>5</v>
      </c>
      <c r="BH187" s="1574"/>
      <c r="BI187" s="1574"/>
      <c r="BJ187" s="1574"/>
      <c r="BK187" s="1574"/>
      <c r="BL187" s="1574"/>
      <c r="BM187" s="1574"/>
      <c r="BN187" s="1574"/>
      <c r="BO187" s="1574"/>
      <c r="BP187" s="1574"/>
      <c r="BQ187" s="1574"/>
      <c r="BR187" s="1591" t="e">
        <f t="shared" si="33"/>
        <v>#DIV/0!</v>
      </c>
      <c r="BS187" s="1591" t="e">
        <f t="shared" si="34"/>
        <v>#DIV/0!</v>
      </c>
      <c r="BT187" s="1568" t="e">
        <f t="shared" si="35"/>
        <v>#DIV/0!</v>
      </c>
      <c r="BU187" s="1568">
        <f t="shared" si="36"/>
        <v>100</v>
      </c>
      <c r="BV187" s="1568">
        <f t="shared" si="37"/>
        <v>90</v>
      </c>
      <c r="BW187" s="1576" t="str">
        <f t="shared" si="38"/>
        <v>NPA</v>
      </c>
      <c r="BX187" s="348" t="str">
        <f t="shared" si="43"/>
        <v/>
      </c>
      <c r="BY187" s="348" t="str">
        <f t="shared" si="43"/>
        <v/>
      </c>
      <c r="BZ187" s="348" t="str">
        <f t="shared" si="43"/>
        <v/>
      </c>
      <c r="CA187" s="348" t="str">
        <f t="shared" si="43"/>
        <v/>
      </c>
      <c r="CB187" s="348" t="str">
        <f t="shared" si="43"/>
        <v/>
      </c>
      <c r="CC187" s="348" t="str">
        <f t="shared" si="43"/>
        <v/>
      </c>
      <c r="CD187" s="348" t="str">
        <f t="shared" si="43"/>
        <v/>
      </c>
      <c r="CE187" s="348" t="str">
        <f t="shared" si="43"/>
        <v/>
      </c>
      <c r="CF187" s="348" t="str">
        <f t="shared" si="44"/>
        <v/>
      </c>
      <c r="CG187" s="348" t="str">
        <f t="shared" si="44"/>
        <v/>
      </c>
      <c r="CH187" s="348" t="str">
        <f t="shared" si="44"/>
        <v/>
      </c>
      <c r="CI187" s="348" t="str">
        <f t="shared" si="44"/>
        <v/>
      </c>
      <c r="CJ187" s="348" t="str">
        <f t="shared" si="44"/>
        <v/>
      </c>
      <c r="CK187" s="348" t="str">
        <f t="shared" si="44"/>
        <v/>
      </c>
      <c r="CL187" s="348" t="str">
        <f t="shared" si="44"/>
        <v/>
      </c>
      <c r="CM187" s="348" t="str">
        <f t="shared" si="44"/>
        <v/>
      </c>
    </row>
    <row r="188" spans="1:91" s="1567" customFormat="1" x14ac:dyDescent="0.2">
      <c r="A188" s="1574" t="str">
        <f t="shared" si="39"/>
        <v>13 x 18</v>
      </c>
      <c r="B188" s="1642">
        <f t="shared" si="40"/>
        <v>19</v>
      </c>
      <c r="C188" s="1592" t="str">
        <f t="shared" si="41"/>
        <v>Convencional</v>
      </c>
      <c r="D188" s="1592"/>
      <c r="E188" s="1574"/>
      <c r="F188" s="1574"/>
      <c r="G188" s="1574"/>
      <c r="H188" s="1574"/>
      <c r="I188" s="1574"/>
      <c r="J188" s="1574"/>
      <c r="K188" s="1574"/>
      <c r="L188" s="1574"/>
      <c r="M188" s="1574"/>
      <c r="N188" s="1574"/>
      <c r="O188" s="1577">
        <f t="shared" si="16"/>
        <v>0</v>
      </c>
      <c r="P188" s="1576" t="str">
        <f t="shared" si="17"/>
        <v>NPA</v>
      </c>
      <c r="Q188" s="1577" t="str">
        <f t="shared" si="18"/>
        <v/>
      </c>
      <c r="R188" s="1576" t="str">
        <f t="shared" si="19"/>
        <v>NPA</v>
      </c>
      <c r="S188" s="1574"/>
      <c r="T188" s="1574"/>
      <c r="U188" s="1577" t="str">
        <f t="shared" si="20"/>
        <v>NPA</v>
      </c>
      <c r="V188" s="1576" t="str">
        <f t="shared" si="42"/>
        <v>NPA</v>
      </c>
      <c r="W188" s="1585">
        <f t="shared" si="21"/>
        <v>2</v>
      </c>
      <c r="X188" s="1574"/>
      <c r="Y188" s="1574"/>
      <c r="Z188" s="1574"/>
      <c r="AA188" s="1574"/>
      <c r="AB188" s="1574"/>
      <c r="AC188" s="1574"/>
      <c r="AD188" s="1574"/>
      <c r="AE188" s="1574"/>
      <c r="AF188" s="1574"/>
      <c r="AG188" s="1574"/>
      <c r="AH188" s="1591" t="e">
        <f t="shared" si="22"/>
        <v>#DIV/0!</v>
      </c>
      <c r="AI188" s="1591" t="e">
        <f t="shared" si="23"/>
        <v>#DIV/0!</v>
      </c>
      <c r="AJ188" s="1568" t="e">
        <f t="shared" si="24"/>
        <v>#DIV/0!</v>
      </c>
      <c r="AK188" s="1568" t="e">
        <f t="shared" si="9"/>
        <v>#DIV/0!</v>
      </c>
      <c r="AL188" s="1568">
        <f t="shared" si="10"/>
        <v>115</v>
      </c>
      <c r="AM188" s="1568">
        <f t="shared" si="11"/>
        <v>105</v>
      </c>
      <c r="AN188" s="1576" t="str">
        <f t="shared" si="25"/>
        <v>NPA</v>
      </c>
      <c r="AO188" s="1585">
        <f t="shared" si="26"/>
        <v>4.5</v>
      </c>
      <c r="AP188" s="1574"/>
      <c r="AQ188" s="1574"/>
      <c r="AR188" s="1574"/>
      <c r="AS188" s="1574"/>
      <c r="AT188" s="1574"/>
      <c r="AU188" s="1574"/>
      <c r="AV188" s="1574"/>
      <c r="AW188" s="1574"/>
      <c r="AX188" s="1574"/>
      <c r="AY188" s="1574"/>
      <c r="AZ188" s="1591" t="e">
        <f t="shared" si="27"/>
        <v>#DIV/0!</v>
      </c>
      <c r="BA188" s="1591" t="e">
        <f t="shared" si="28"/>
        <v>#DIV/0!</v>
      </c>
      <c r="BB188" s="1568" t="e">
        <f t="shared" si="29"/>
        <v>#DIV/0!</v>
      </c>
      <c r="BC188" s="1568" t="e">
        <f t="shared" si="30"/>
        <v>#DIV/0!</v>
      </c>
      <c r="BD188" s="1568">
        <f t="shared" si="12"/>
        <v>103</v>
      </c>
      <c r="BE188" s="1568">
        <f t="shared" si="13"/>
        <v>93</v>
      </c>
      <c r="BF188" s="1576" t="str">
        <f t="shared" si="31"/>
        <v>NPA</v>
      </c>
      <c r="BG188" s="1965">
        <f t="shared" si="32"/>
        <v>5</v>
      </c>
      <c r="BH188" s="1574"/>
      <c r="BI188" s="1574"/>
      <c r="BJ188" s="1574"/>
      <c r="BK188" s="1574"/>
      <c r="BL188" s="1574"/>
      <c r="BM188" s="1574"/>
      <c r="BN188" s="1574"/>
      <c r="BO188" s="1574"/>
      <c r="BP188" s="1574"/>
      <c r="BQ188" s="1574"/>
      <c r="BR188" s="1591" t="e">
        <f t="shared" si="33"/>
        <v>#DIV/0!</v>
      </c>
      <c r="BS188" s="1591" t="e">
        <f t="shared" si="34"/>
        <v>#DIV/0!</v>
      </c>
      <c r="BT188" s="1568" t="e">
        <f t="shared" si="35"/>
        <v>#DIV/0!</v>
      </c>
      <c r="BU188" s="1568">
        <f t="shared" si="36"/>
        <v>100</v>
      </c>
      <c r="BV188" s="1568">
        <f t="shared" si="37"/>
        <v>90</v>
      </c>
      <c r="BW188" s="1576" t="str">
        <f t="shared" si="38"/>
        <v>NPA</v>
      </c>
      <c r="BX188" s="348" t="str">
        <f t="shared" si="43"/>
        <v/>
      </c>
      <c r="BY188" s="348" t="str">
        <f t="shared" si="43"/>
        <v/>
      </c>
      <c r="BZ188" s="348" t="str">
        <f t="shared" si="43"/>
        <v/>
      </c>
      <c r="CA188" s="348" t="str">
        <f t="shared" si="43"/>
        <v/>
      </c>
      <c r="CB188" s="348" t="str">
        <f t="shared" si="43"/>
        <v/>
      </c>
      <c r="CC188" s="348" t="str">
        <f t="shared" si="43"/>
        <v/>
      </c>
      <c r="CD188" s="348" t="str">
        <f t="shared" si="43"/>
        <v/>
      </c>
      <c r="CE188" s="348" t="str">
        <f t="shared" si="43"/>
        <v/>
      </c>
      <c r="CF188" s="348" t="str">
        <f t="shared" si="44"/>
        <v/>
      </c>
      <c r="CG188" s="348" t="str">
        <f t="shared" si="44"/>
        <v/>
      </c>
      <c r="CH188" s="348" t="str">
        <f t="shared" si="44"/>
        <v/>
      </c>
      <c r="CI188" s="348" t="str">
        <f t="shared" si="44"/>
        <v/>
      </c>
      <c r="CJ188" s="348" t="str">
        <f t="shared" si="44"/>
        <v/>
      </c>
      <c r="CK188" s="348" t="str">
        <f t="shared" si="44"/>
        <v/>
      </c>
      <c r="CL188" s="348" t="str">
        <f t="shared" si="44"/>
        <v/>
      </c>
      <c r="CM188" s="348" t="str">
        <f t="shared" si="44"/>
        <v/>
      </c>
    </row>
    <row r="189" spans="1:91" s="1567" customFormat="1" x14ac:dyDescent="0.2">
      <c r="A189" s="1574" t="str">
        <f t="shared" si="39"/>
        <v>13 x 18</v>
      </c>
      <c r="B189" s="1642">
        <f t="shared" si="40"/>
        <v>20</v>
      </c>
      <c r="C189" s="1592" t="str">
        <f t="shared" si="41"/>
        <v>Convencional</v>
      </c>
      <c r="D189" s="1592"/>
      <c r="E189" s="1574"/>
      <c r="F189" s="1574"/>
      <c r="G189" s="1574"/>
      <c r="H189" s="1574"/>
      <c r="I189" s="1574"/>
      <c r="J189" s="1574"/>
      <c r="K189" s="1574"/>
      <c r="L189" s="1574"/>
      <c r="M189" s="1574"/>
      <c r="N189" s="1574"/>
      <c r="O189" s="1577">
        <f t="shared" si="16"/>
        <v>0</v>
      </c>
      <c r="P189" s="1576" t="str">
        <f t="shared" si="17"/>
        <v>NPA</v>
      </c>
      <c r="Q189" s="1577" t="str">
        <f t="shared" si="18"/>
        <v/>
      </c>
      <c r="R189" s="1576" t="str">
        <f t="shared" si="19"/>
        <v>NPA</v>
      </c>
      <c r="S189" s="1574"/>
      <c r="T189" s="1574"/>
      <c r="U189" s="1577" t="str">
        <f t="shared" si="20"/>
        <v>NPA</v>
      </c>
      <c r="V189" s="1576" t="str">
        <f t="shared" si="42"/>
        <v>NPA</v>
      </c>
      <c r="W189" s="1585">
        <f t="shared" si="21"/>
        <v>2</v>
      </c>
      <c r="X189" s="1574"/>
      <c r="Y189" s="1574"/>
      <c r="Z189" s="1574"/>
      <c r="AA189" s="1574"/>
      <c r="AB189" s="1574"/>
      <c r="AC189" s="1574"/>
      <c r="AD189" s="1574"/>
      <c r="AE189" s="1574"/>
      <c r="AF189" s="1574"/>
      <c r="AG189" s="1574"/>
      <c r="AH189" s="1591" t="e">
        <f t="shared" si="22"/>
        <v>#DIV/0!</v>
      </c>
      <c r="AI189" s="1591" t="e">
        <f t="shared" si="23"/>
        <v>#DIV/0!</v>
      </c>
      <c r="AJ189" s="1568" t="e">
        <f t="shared" si="24"/>
        <v>#DIV/0!</v>
      </c>
      <c r="AK189" s="1568" t="e">
        <f t="shared" si="9"/>
        <v>#DIV/0!</v>
      </c>
      <c r="AL189" s="1568">
        <f t="shared" si="10"/>
        <v>115</v>
      </c>
      <c r="AM189" s="1568">
        <f t="shared" si="11"/>
        <v>105</v>
      </c>
      <c r="AN189" s="1576" t="str">
        <f t="shared" si="25"/>
        <v>NPA</v>
      </c>
      <c r="AO189" s="1585">
        <f t="shared" si="26"/>
        <v>4.5</v>
      </c>
      <c r="AP189" s="1574"/>
      <c r="AQ189" s="1574"/>
      <c r="AR189" s="1574"/>
      <c r="AS189" s="1574"/>
      <c r="AT189" s="1574"/>
      <c r="AU189" s="1574"/>
      <c r="AV189" s="1574"/>
      <c r="AW189" s="1574"/>
      <c r="AX189" s="1574"/>
      <c r="AY189" s="1574"/>
      <c r="AZ189" s="1591" t="e">
        <f t="shared" si="27"/>
        <v>#DIV/0!</v>
      </c>
      <c r="BA189" s="1591" t="e">
        <f t="shared" si="28"/>
        <v>#DIV/0!</v>
      </c>
      <c r="BB189" s="1568" t="e">
        <f t="shared" si="29"/>
        <v>#DIV/0!</v>
      </c>
      <c r="BC189" s="1568" t="e">
        <f t="shared" si="30"/>
        <v>#DIV/0!</v>
      </c>
      <c r="BD189" s="1568">
        <f t="shared" si="12"/>
        <v>103</v>
      </c>
      <c r="BE189" s="1568">
        <f t="shared" si="13"/>
        <v>93</v>
      </c>
      <c r="BF189" s="1576" t="str">
        <f t="shared" si="31"/>
        <v>NPA</v>
      </c>
      <c r="BG189" s="1965">
        <f t="shared" si="32"/>
        <v>5</v>
      </c>
      <c r="BH189" s="1574"/>
      <c r="BI189" s="1574"/>
      <c r="BJ189" s="1574"/>
      <c r="BK189" s="1574"/>
      <c r="BL189" s="1574"/>
      <c r="BM189" s="1574"/>
      <c r="BN189" s="1574"/>
      <c r="BO189" s="1574"/>
      <c r="BP189" s="1574"/>
      <c r="BQ189" s="1574"/>
      <c r="BR189" s="1591" t="e">
        <f t="shared" si="33"/>
        <v>#DIV/0!</v>
      </c>
      <c r="BS189" s="1591" t="e">
        <f t="shared" si="34"/>
        <v>#DIV/0!</v>
      </c>
      <c r="BT189" s="1568" t="e">
        <f t="shared" si="35"/>
        <v>#DIV/0!</v>
      </c>
      <c r="BU189" s="1568">
        <f t="shared" si="36"/>
        <v>100</v>
      </c>
      <c r="BV189" s="1568">
        <f t="shared" si="37"/>
        <v>90</v>
      </c>
      <c r="BW189" s="1576" t="str">
        <f t="shared" si="38"/>
        <v>NPA</v>
      </c>
      <c r="BX189" s="348" t="str">
        <f t="shared" si="43"/>
        <v/>
      </c>
      <c r="BY189" s="348" t="str">
        <f t="shared" si="43"/>
        <v/>
      </c>
      <c r="BZ189" s="348" t="str">
        <f t="shared" si="43"/>
        <v/>
      </c>
      <c r="CA189" s="348" t="str">
        <f t="shared" si="43"/>
        <v/>
      </c>
      <c r="CB189" s="348" t="str">
        <f t="shared" si="43"/>
        <v/>
      </c>
      <c r="CC189" s="348" t="str">
        <f t="shared" si="43"/>
        <v/>
      </c>
      <c r="CD189" s="348" t="str">
        <f t="shared" si="43"/>
        <v/>
      </c>
      <c r="CE189" s="348" t="str">
        <f t="shared" si="43"/>
        <v/>
      </c>
      <c r="CF189" s="348" t="str">
        <f t="shared" si="44"/>
        <v/>
      </c>
      <c r="CG189" s="348" t="str">
        <f t="shared" si="44"/>
        <v/>
      </c>
      <c r="CH189" s="348" t="str">
        <f t="shared" si="44"/>
        <v/>
      </c>
      <c r="CI189" s="348" t="str">
        <f t="shared" si="44"/>
        <v/>
      </c>
      <c r="CJ189" s="348" t="str">
        <f t="shared" si="44"/>
        <v/>
      </c>
      <c r="CK189" s="348" t="str">
        <f t="shared" si="44"/>
        <v/>
      </c>
      <c r="CL189" s="348" t="str">
        <f t="shared" si="44"/>
        <v/>
      </c>
      <c r="CM189" s="348" t="str">
        <f t="shared" si="44"/>
        <v/>
      </c>
    </row>
    <row r="190" spans="1:91" s="1567" customFormat="1" x14ac:dyDescent="0.2">
      <c r="A190" s="1574" t="str">
        <f t="shared" si="39"/>
        <v>13 x 18</v>
      </c>
      <c r="B190" s="1642">
        <f t="shared" si="40"/>
        <v>21</v>
      </c>
      <c r="C190" s="1592" t="str">
        <f t="shared" si="41"/>
        <v>Convencional</v>
      </c>
      <c r="D190" s="1592"/>
      <c r="E190" s="1574"/>
      <c r="F190" s="1574"/>
      <c r="G190" s="1574"/>
      <c r="H190" s="1574"/>
      <c r="I190" s="1574"/>
      <c r="J190" s="1574"/>
      <c r="K190" s="1574"/>
      <c r="L190" s="1574"/>
      <c r="M190" s="1574"/>
      <c r="N190" s="1574"/>
      <c r="O190" s="1577">
        <f t="shared" si="16"/>
        <v>0</v>
      </c>
      <c r="P190" s="1576" t="str">
        <f t="shared" si="17"/>
        <v>NPA</v>
      </c>
      <c r="Q190" s="1577" t="str">
        <f t="shared" si="18"/>
        <v/>
      </c>
      <c r="R190" s="1576" t="str">
        <f t="shared" si="19"/>
        <v>NPA</v>
      </c>
      <c r="S190" s="1574"/>
      <c r="T190" s="1574"/>
      <c r="U190" s="1577" t="str">
        <f t="shared" si="20"/>
        <v>NPA</v>
      </c>
      <c r="V190" s="1576" t="str">
        <f t="shared" si="42"/>
        <v>NPA</v>
      </c>
      <c r="W190" s="1585">
        <f t="shared" si="21"/>
        <v>2</v>
      </c>
      <c r="X190" s="1574"/>
      <c r="Y190" s="1574"/>
      <c r="Z190" s="1574"/>
      <c r="AA190" s="1574"/>
      <c r="AB190" s="1574"/>
      <c r="AC190" s="1574"/>
      <c r="AD190" s="1574"/>
      <c r="AE190" s="1574"/>
      <c r="AF190" s="1574"/>
      <c r="AG190" s="1574"/>
      <c r="AH190" s="1591" t="e">
        <f t="shared" si="22"/>
        <v>#DIV/0!</v>
      </c>
      <c r="AI190" s="1591" t="e">
        <f t="shared" si="23"/>
        <v>#DIV/0!</v>
      </c>
      <c r="AJ190" s="1568" t="e">
        <f t="shared" si="24"/>
        <v>#DIV/0!</v>
      </c>
      <c r="AK190" s="1568" t="e">
        <f t="shared" si="9"/>
        <v>#DIV/0!</v>
      </c>
      <c r="AL190" s="1568">
        <f t="shared" si="10"/>
        <v>115</v>
      </c>
      <c r="AM190" s="1568">
        <f t="shared" si="11"/>
        <v>105</v>
      </c>
      <c r="AN190" s="1576" t="str">
        <f t="shared" si="25"/>
        <v>NPA</v>
      </c>
      <c r="AO190" s="1585">
        <f t="shared" si="26"/>
        <v>4.5</v>
      </c>
      <c r="AP190" s="1574"/>
      <c r="AQ190" s="1574"/>
      <c r="AR190" s="1574"/>
      <c r="AS190" s="1574"/>
      <c r="AT190" s="1574"/>
      <c r="AU190" s="1574"/>
      <c r="AV190" s="1574"/>
      <c r="AW190" s="1574"/>
      <c r="AX190" s="1574"/>
      <c r="AY190" s="1574"/>
      <c r="AZ190" s="1591" t="e">
        <f t="shared" si="27"/>
        <v>#DIV/0!</v>
      </c>
      <c r="BA190" s="1591" t="e">
        <f t="shared" si="28"/>
        <v>#DIV/0!</v>
      </c>
      <c r="BB190" s="1568" t="e">
        <f t="shared" si="29"/>
        <v>#DIV/0!</v>
      </c>
      <c r="BC190" s="1568" t="e">
        <f t="shared" si="30"/>
        <v>#DIV/0!</v>
      </c>
      <c r="BD190" s="1568">
        <f t="shared" si="12"/>
        <v>103</v>
      </c>
      <c r="BE190" s="1568">
        <f t="shared" si="13"/>
        <v>93</v>
      </c>
      <c r="BF190" s="1576" t="str">
        <f t="shared" si="31"/>
        <v>NPA</v>
      </c>
      <c r="BG190" s="1965">
        <f t="shared" si="32"/>
        <v>5</v>
      </c>
      <c r="BH190" s="1574"/>
      <c r="BI190" s="1574"/>
      <c r="BJ190" s="1574"/>
      <c r="BK190" s="1574"/>
      <c r="BL190" s="1574"/>
      <c r="BM190" s="1574"/>
      <c r="BN190" s="1574"/>
      <c r="BO190" s="1574"/>
      <c r="BP190" s="1574"/>
      <c r="BQ190" s="1574"/>
      <c r="BR190" s="1591" t="e">
        <f t="shared" si="33"/>
        <v>#DIV/0!</v>
      </c>
      <c r="BS190" s="1591" t="e">
        <f t="shared" si="34"/>
        <v>#DIV/0!</v>
      </c>
      <c r="BT190" s="1568" t="e">
        <f t="shared" si="35"/>
        <v>#DIV/0!</v>
      </c>
      <c r="BU190" s="1568">
        <f t="shared" si="36"/>
        <v>100</v>
      </c>
      <c r="BV190" s="1568">
        <f t="shared" si="37"/>
        <v>90</v>
      </c>
      <c r="BW190" s="1576" t="str">
        <f t="shared" si="38"/>
        <v>NPA</v>
      </c>
      <c r="BX190" s="348" t="str">
        <f t="shared" ref="BX190:CE199" si="45">IF(AND($A190=BX$169,$C190="Mamografia"),$Q190,"")</f>
        <v/>
      </c>
      <c r="BY190" s="348" t="str">
        <f t="shared" si="45"/>
        <v/>
      </c>
      <c r="BZ190" s="348" t="str">
        <f t="shared" si="45"/>
        <v/>
      </c>
      <c r="CA190" s="348" t="str">
        <f t="shared" si="45"/>
        <v/>
      </c>
      <c r="CB190" s="348" t="str">
        <f t="shared" si="45"/>
        <v/>
      </c>
      <c r="CC190" s="348" t="str">
        <f t="shared" si="45"/>
        <v/>
      </c>
      <c r="CD190" s="348" t="str">
        <f t="shared" si="45"/>
        <v/>
      </c>
      <c r="CE190" s="348" t="str">
        <f t="shared" si="45"/>
        <v/>
      </c>
      <c r="CF190" s="348" t="str">
        <f t="shared" ref="CF190:CM199" si="46">IF(AND($A190=CF$169,$C190="Convencional"),$Q190,"")</f>
        <v/>
      </c>
      <c r="CG190" s="348" t="str">
        <f t="shared" si="46"/>
        <v/>
      </c>
      <c r="CH190" s="348" t="str">
        <f t="shared" si="46"/>
        <v/>
      </c>
      <c r="CI190" s="348" t="str">
        <f t="shared" si="46"/>
        <v/>
      </c>
      <c r="CJ190" s="348" t="str">
        <f t="shared" si="46"/>
        <v/>
      </c>
      <c r="CK190" s="348" t="str">
        <f t="shared" si="46"/>
        <v/>
      </c>
      <c r="CL190" s="348" t="str">
        <f t="shared" si="46"/>
        <v/>
      </c>
      <c r="CM190" s="348" t="str">
        <f t="shared" si="46"/>
        <v/>
      </c>
    </row>
    <row r="191" spans="1:91" s="1567" customFormat="1" x14ac:dyDescent="0.2">
      <c r="A191" s="1574" t="str">
        <f t="shared" si="39"/>
        <v>13 x 18</v>
      </c>
      <c r="B191" s="1642">
        <f t="shared" si="40"/>
        <v>22</v>
      </c>
      <c r="C191" s="1592" t="str">
        <f t="shared" si="41"/>
        <v>Convencional</v>
      </c>
      <c r="D191" s="1592"/>
      <c r="E191" s="1574"/>
      <c r="F191" s="1574"/>
      <c r="G191" s="1574"/>
      <c r="H191" s="1574"/>
      <c r="I191" s="1574"/>
      <c r="J191" s="1574"/>
      <c r="K191" s="1574"/>
      <c r="L191" s="1574"/>
      <c r="M191" s="1574"/>
      <c r="N191" s="1574"/>
      <c r="O191" s="1577">
        <f t="shared" si="16"/>
        <v>0</v>
      </c>
      <c r="P191" s="1576" t="str">
        <f t="shared" si="17"/>
        <v>NPA</v>
      </c>
      <c r="Q191" s="1577" t="str">
        <f t="shared" si="18"/>
        <v/>
      </c>
      <c r="R191" s="1576" t="str">
        <f t="shared" si="19"/>
        <v>NPA</v>
      </c>
      <c r="S191" s="1574"/>
      <c r="T191" s="1574"/>
      <c r="U191" s="1577" t="str">
        <f t="shared" si="20"/>
        <v>NPA</v>
      </c>
      <c r="V191" s="1576" t="str">
        <f t="shared" si="42"/>
        <v>NPA</v>
      </c>
      <c r="W191" s="1585">
        <f t="shared" si="21"/>
        <v>2</v>
      </c>
      <c r="X191" s="1574"/>
      <c r="Y191" s="1574"/>
      <c r="Z191" s="1574"/>
      <c r="AA191" s="1574"/>
      <c r="AB191" s="1574"/>
      <c r="AC191" s="1574"/>
      <c r="AD191" s="1574"/>
      <c r="AE191" s="1574"/>
      <c r="AF191" s="1574"/>
      <c r="AG191" s="1574"/>
      <c r="AH191" s="1591" t="e">
        <f t="shared" si="22"/>
        <v>#DIV/0!</v>
      </c>
      <c r="AI191" s="1591" t="e">
        <f t="shared" si="23"/>
        <v>#DIV/0!</v>
      </c>
      <c r="AJ191" s="1568" t="e">
        <f t="shared" si="24"/>
        <v>#DIV/0!</v>
      </c>
      <c r="AK191" s="1568" t="e">
        <f t="shared" si="9"/>
        <v>#DIV/0!</v>
      </c>
      <c r="AL191" s="1568">
        <f t="shared" si="10"/>
        <v>115</v>
      </c>
      <c r="AM191" s="1568">
        <f t="shared" si="11"/>
        <v>105</v>
      </c>
      <c r="AN191" s="1576" t="str">
        <f t="shared" si="25"/>
        <v>NPA</v>
      </c>
      <c r="AO191" s="1585">
        <f t="shared" si="26"/>
        <v>4.5</v>
      </c>
      <c r="AP191" s="1574"/>
      <c r="AQ191" s="1574"/>
      <c r="AR191" s="1574"/>
      <c r="AS191" s="1574"/>
      <c r="AT191" s="1574"/>
      <c r="AU191" s="1574"/>
      <c r="AV191" s="1574"/>
      <c r="AW191" s="1574"/>
      <c r="AX191" s="1574"/>
      <c r="AY191" s="1574"/>
      <c r="AZ191" s="1591" t="e">
        <f t="shared" si="27"/>
        <v>#DIV/0!</v>
      </c>
      <c r="BA191" s="1591" t="e">
        <f t="shared" si="28"/>
        <v>#DIV/0!</v>
      </c>
      <c r="BB191" s="1568" t="e">
        <f t="shared" si="29"/>
        <v>#DIV/0!</v>
      </c>
      <c r="BC191" s="1568" t="e">
        <f t="shared" si="30"/>
        <v>#DIV/0!</v>
      </c>
      <c r="BD191" s="1568">
        <f t="shared" si="12"/>
        <v>103</v>
      </c>
      <c r="BE191" s="1568">
        <f t="shared" si="13"/>
        <v>93</v>
      </c>
      <c r="BF191" s="1576" t="str">
        <f t="shared" si="31"/>
        <v>NPA</v>
      </c>
      <c r="BG191" s="1965">
        <f t="shared" si="32"/>
        <v>5</v>
      </c>
      <c r="BH191" s="1574"/>
      <c r="BI191" s="1574"/>
      <c r="BJ191" s="1574"/>
      <c r="BK191" s="1574"/>
      <c r="BL191" s="1574"/>
      <c r="BM191" s="1574"/>
      <c r="BN191" s="1574"/>
      <c r="BO191" s="1574"/>
      <c r="BP191" s="1574"/>
      <c r="BQ191" s="1574"/>
      <c r="BR191" s="1591" t="e">
        <f t="shared" si="33"/>
        <v>#DIV/0!</v>
      </c>
      <c r="BS191" s="1591" t="e">
        <f t="shared" si="34"/>
        <v>#DIV/0!</v>
      </c>
      <c r="BT191" s="1568" t="e">
        <f t="shared" si="35"/>
        <v>#DIV/0!</v>
      </c>
      <c r="BU191" s="1568">
        <f t="shared" si="36"/>
        <v>100</v>
      </c>
      <c r="BV191" s="1568">
        <f t="shared" si="37"/>
        <v>90</v>
      </c>
      <c r="BW191" s="1576" t="str">
        <f t="shared" si="38"/>
        <v>NPA</v>
      </c>
      <c r="BX191" s="348" t="str">
        <f t="shared" si="45"/>
        <v/>
      </c>
      <c r="BY191" s="348" t="str">
        <f t="shared" si="45"/>
        <v/>
      </c>
      <c r="BZ191" s="348" t="str">
        <f t="shared" si="45"/>
        <v/>
      </c>
      <c r="CA191" s="348" t="str">
        <f t="shared" si="45"/>
        <v/>
      </c>
      <c r="CB191" s="348" t="str">
        <f t="shared" si="45"/>
        <v/>
      </c>
      <c r="CC191" s="348" t="str">
        <f t="shared" si="45"/>
        <v/>
      </c>
      <c r="CD191" s="348" t="str">
        <f t="shared" si="45"/>
        <v/>
      </c>
      <c r="CE191" s="348" t="str">
        <f t="shared" si="45"/>
        <v/>
      </c>
      <c r="CF191" s="348" t="str">
        <f t="shared" si="46"/>
        <v/>
      </c>
      <c r="CG191" s="348" t="str">
        <f t="shared" si="46"/>
        <v/>
      </c>
      <c r="CH191" s="348" t="str">
        <f t="shared" si="46"/>
        <v/>
      </c>
      <c r="CI191" s="348" t="str">
        <f t="shared" si="46"/>
        <v/>
      </c>
      <c r="CJ191" s="348" t="str">
        <f t="shared" si="46"/>
        <v/>
      </c>
      <c r="CK191" s="348" t="str">
        <f t="shared" si="46"/>
        <v/>
      </c>
      <c r="CL191" s="348" t="str">
        <f t="shared" si="46"/>
        <v/>
      </c>
      <c r="CM191" s="348" t="str">
        <f t="shared" si="46"/>
        <v/>
      </c>
    </row>
    <row r="192" spans="1:91" s="1567" customFormat="1" x14ac:dyDescent="0.2">
      <c r="A192" s="1574" t="str">
        <f t="shared" si="39"/>
        <v>13 x 18</v>
      </c>
      <c r="B192" s="1642">
        <f t="shared" si="40"/>
        <v>23</v>
      </c>
      <c r="C192" s="1592" t="str">
        <f t="shared" si="41"/>
        <v>Convencional</v>
      </c>
      <c r="D192" s="1592"/>
      <c r="E192" s="1574"/>
      <c r="F192" s="1574"/>
      <c r="G192" s="1574"/>
      <c r="H192" s="1574"/>
      <c r="I192" s="1574"/>
      <c r="J192" s="1574"/>
      <c r="K192" s="1574"/>
      <c r="L192" s="1574"/>
      <c r="M192" s="1574"/>
      <c r="N192" s="1574"/>
      <c r="O192" s="1577">
        <f t="shared" si="16"/>
        <v>0</v>
      </c>
      <c r="P192" s="1576" t="str">
        <f t="shared" si="17"/>
        <v>NPA</v>
      </c>
      <c r="Q192" s="1577" t="str">
        <f t="shared" si="18"/>
        <v/>
      </c>
      <c r="R192" s="1576" t="str">
        <f t="shared" si="19"/>
        <v>NPA</v>
      </c>
      <c r="S192" s="1574"/>
      <c r="T192" s="1574"/>
      <c r="U192" s="1577" t="str">
        <f t="shared" si="20"/>
        <v>NPA</v>
      </c>
      <c r="V192" s="1576" t="str">
        <f t="shared" si="42"/>
        <v>NPA</v>
      </c>
      <c r="W192" s="1585">
        <f t="shared" si="21"/>
        <v>2</v>
      </c>
      <c r="X192" s="1574"/>
      <c r="Y192" s="1574"/>
      <c r="Z192" s="1574"/>
      <c r="AA192" s="1574"/>
      <c r="AB192" s="1574"/>
      <c r="AC192" s="1574"/>
      <c r="AD192" s="1574"/>
      <c r="AE192" s="1574"/>
      <c r="AF192" s="1574"/>
      <c r="AG192" s="1574"/>
      <c r="AH192" s="1591" t="e">
        <f t="shared" si="22"/>
        <v>#DIV/0!</v>
      </c>
      <c r="AI192" s="1591" t="e">
        <f t="shared" si="23"/>
        <v>#DIV/0!</v>
      </c>
      <c r="AJ192" s="1568" t="e">
        <f t="shared" si="24"/>
        <v>#DIV/0!</v>
      </c>
      <c r="AK192" s="1568" t="e">
        <f t="shared" si="9"/>
        <v>#DIV/0!</v>
      </c>
      <c r="AL192" s="1568">
        <f t="shared" si="10"/>
        <v>115</v>
      </c>
      <c r="AM192" s="1568">
        <f t="shared" si="11"/>
        <v>105</v>
      </c>
      <c r="AN192" s="1576" t="str">
        <f t="shared" si="25"/>
        <v>NPA</v>
      </c>
      <c r="AO192" s="1585">
        <f t="shared" si="26"/>
        <v>4.5</v>
      </c>
      <c r="AP192" s="1574"/>
      <c r="AQ192" s="1574"/>
      <c r="AR192" s="1574"/>
      <c r="AS192" s="1574"/>
      <c r="AT192" s="1574"/>
      <c r="AU192" s="1574"/>
      <c r="AV192" s="1574"/>
      <c r="AW192" s="1574"/>
      <c r="AX192" s="1574"/>
      <c r="AY192" s="1574"/>
      <c r="AZ192" s="1591" t="e">
        <f t="shared" si="27"/>
        <v>#DIV/0!</v>
      </c>
      <c r="BA192" s="1591" t="e">
        <f t="shared" si="28"/>
        <v>#DIV/0!</v>
      </c>
      <c r="BB192" s="1568" t="e">
        <f t="shared" si="29"/>
        <v>#DIV/0!</v>
      </c>
      <c r="BC192" s="1568" t="e">
        <f t="shared" si="30"/>
        <v>#DIV/0!</v>
      </c>
      <c r="BD192" s="1568">
        <f t="shared" si="12"/>
        <v>103</v>
      </c>
      <c r="BE192" s="1568">
        <f t="shared" si="13"/>
        <v>93</v>
      </c>
      <c r="BF192" s="1576" t="str">
        <f t="shared" si="31"/>
        <v>NPA</v>
      </c>
      <c r="BG192" s="1965">
        <f t="shared" si="32"/>
        <v>5</v>
      </c>
      <c r="BH192" s="1574"/>
      <c r="BI192" s="1574"/>
      <c r="BJ192" s="1574"/>
      <c r="BK192" s="1574"/>
      <c r="BL192" s="1574"/>
      <c r="BM192" s="1574"/>
      <c r="BN192" s="1574"/>
      <c r="BO192" s="1574"/>
      <c r="BP192" s="1574"/>
      <c r="BQ192" s="1574"/>
      <c r="BR192" s="1591" t="e">
        <f t="shared" si="33"/>
        <v>#DIV/0!</v>
      </c>
      <c r="BS192" s="1591" t="e">
        <f t="shared" si="34"/>
        <v>#DIV/0!</v>
      </c>
      <c r="BT192" s="1568" t="e">
        <f t="shared" si="35"/>
        <v>#DIV/0!</v>
      </c>
      <c r="BU192" s="1568">
        <f t="shared" si="36"/>
        <v>100</v>
      </c>
      <c r="BV192" s="1568">
        <f t="shared" si="37"/>
        <v>90</v>
      </c>
      <c r="BW192" s="1576" t="str">
        <f t="shared" si="38"/>
        <v>NPA</v>
      </c>
      <c r="BX192" s="348" t="str">
        <f t="shared" si="45"/>
        <v/>
      </c>
      <c r="BY192" s="348" t="str">
        <f t="shared" si="45"/>
        <v/>
      </c>
      <c r="BZ192" s="348" t="str">
        <f t="shared" si="45"/>
        <v/>
      </c>
      <c r="CA192" s="348" t="str">
        <f t="shared" si="45"/>
        <v/>
      </c>
      <c r="CB192" s="348" t="str">
        <f t="shared" si="45"/>
        <v/>
      </c>
      <c r="CC192" s="348" t="str">
        <f t="shared" si="45"/>
        <v/>
      </c>
      <c r="CD192" s="348" t="str">
        <f t="shared" si="45"/>
        <v/>
      </c>
      <c r="CE192" s="348" t="str">
        <f t="shared" si="45"/>
        <v/>
      </c>
      <c r="CF192" s="348" t="str">
        <f t="shared" si="46"/>
        <v/>
      </c>
      <c r="CG192" s="348" t="str">
        <f t="shared" si="46"/>
        <v/>
      </c>
      <c r="CH192" s="348" t="str">
        <f t="shared" si="46"/>
        <v/>
      </c>
      <c r="CI192" s="348" t="str">
        <f t="shared" si="46"/>
        <v/>
      </c>
      <c r="CJ192" s="348" t="str">
        <f t="shared" si="46"/>
        <v/>
      </c>
      <c r="CK192" s="348" t="str">
        <f t="shared" si="46"/>
        <v/>
      </c>
      <c r="CL192" s="348" t="str">
        <f t="shared" si="46"/>
        <v/>
      </c>
      <c r="CM192" s="348" t="str">
        <f t="shared" si="46"/>
        <v/>
      </c>
    </row>
    <row r="193" spans="1:91" s="1567" customFormat="1" x14ac:dyDescent="0.2">
      <c r="A193" s="1574" t="str">
        <f t="shared" si="39"/>
        <v>13 x 18</v>
      </c>
      <c r="B193" s="1642">
        <f t="shared" si="40"/>
        <v>24</v>
      </c>
      <c r="C193" s="1592" t="str">
        <f t="shared" si="41"/>
        <v>Convencional</v>
      </c>
      <c r="D193" s="1592"/>
      <c r="E193" s="1574"/>
      <c r="F193" s="1574"/>
      <c r="G193" s="1574"/>
      <c r="H193" s="1574"/>
      <c r="I193" s="1574"/>
      <c r="J193" s="1574"/>
      <c r="K193" s="1574"/>
      <c r="L193" s="1574"/>
      <c r="M193" s="1574"/>
      <c r="N193" s="1574"/>
      <c r="O193" s="1577">
        <f t="shared" si="16"/>
        <v>0</v>
      </c>
      <c r="P193" s="1576" t="str">
        <f t="shared" si="17"/>
        <v>NPA</v>
      </c>
      <c r="Q193" s="1577" t="str">
        <f t="shared" si="18"/>
        <v/>
      </c>
      <c r="R193" s="1576" t="str">
        <f t="shared" si="19"/>
        <v>NPA</v>
      </c>
      <c r="S193" s="1574"/>
      <c r="T193" s="1574"/>
      <c r="U193" s="1577" t="str">
        <f t="shared" si="20"/>
        <v>NPA</v>
      </c>
      <c r="V193" s="1576" t="str">
        <f t="shared" si="42"/>
        <v>NPA</v>
      </c>
      <c r="W193" s="1585">
        <f t="shared" si="21"/>
        <v>2</v>
      </c>
      <c r="X193" s="1574"/>
      <c r="Y193" s="1574"/>
      <c r="Z193" s="1574"/>
      <c r="AA193" s="1574"/>
      <c r="AB193" s="1574"/>
      <c r="AC193" s="1574"/>
      <c r="AD193" s="1574"/>
      <c r="AE193" s="1574"/>
      <c r="AF193" s="1574"/>
      <c r="AG193" s="1574"/>
      <c r="AH193" s="1591" t="e">
        <f t="shared" si="22"/>
        <v>#DIV/0!</v>
      </c>
      <c r="AI193" s="1591" t="e">
        <f t="shared" si="23"/>
        <v>#DIV/0!</v>
      </c>
      <c r="AJ193" s="1568" t="e">
        <f t="shared" si="24"/>
        <v>#DIV/0!</v>
      </c>
      <c r="AK193" s="1568" t="e">
        <f t="shared" si="9"/>
        <v>#DIV/0!</v>
      </c>
      <c r="AL193" s="1568">
        <f t="shared" si="10"/>
        <v>115</v>
      </c>
      <c r="AM193" s="1568">
        <f t="shared" si="11"/>
        <v>105</v>
      </c>
      <c r="AN193" s="1576" t="str">
        <f t="shared" si="25"/>
        <v>NPA</v>
      </c>
      <c r="AO193" s="1585">
        <f t="shared" si="26"/>
        <v>4.5</v>
      </c>
      <c r="AP193" s="1574"/>
      <c r="AQ193" s="1574"/>
      <c r="AR193" s="1574"/>
      <c r="AS193" s="1574"/>
      <c r="AT193" s="1574"/>
      <c r="AU193" s="1574"/>
      <c r="AV193" s="1574"/>
      <c r="AW193" s="1574"/>
      <c r="AX193" s="1574"/>
      <c r="AY193" s="1574"/>
      <c r="AZ193" s="1591" t="e">
        <f t="shared" si="27"/>
        <v>#DIV/0!</v>
      </c>
      <c r="BA193" s="1591" t="e">
        <f t="shared" si="28"/>
        <v>#DIV/0!</v>
      </c>
      <c r="BB193" s="1568" t="e">
        <f t="shared" si="29"/>
        <v>#DIV/0!</v>
      </c>
      <c r="BC193" s="1568" t="e">
        <f t="shared" si="30"/>
        <v>#DIV/0!</v>
      </c>
      <c r="BD193" s="1568">
        <f t="shared" si="12"/>
        <v>103</v>
      </c>
      <c r="BE193" s="1568">
        <f t="shared" si="13"/>
        <v>93</v>
      </c>
      <c r="BF193" s="1576" t="str">
        <f t="shared" si="31"/>
        <v>NPA</v>
      </c>
      <c r="BG193" s="1965">
        <f t="shared" si="32"/>
        <v>5</v>
      </c>
      <c r="BH193" s="1574"/>
      <c r="BI193" s="1574"/>
      <c r="BJ193" s="1574"/>
      <c r="BK193" s="1574"/>
      <c r="BL193" s="1574"/>
      <c r="BM193" s="1574"/>
      <c r="BN193" s="1574"/>
      <c r="BO193" s="1574"/>
      <c r="BP193" s="1574"/>
      <c r="BQ193" s="1574"/>
      <c r="BR193" s="1591" t="e">
        <f t="shared" si="33"/>
        <v>#DIV/0!</v>
      </c>
      <c r="BS193" s="1591" t="e">
        <f t="shared" si="34"/>
        <v>#DIV/0!</v>
      </c>
      <c r="BT193" s="1568" t="e">
        <f t="shared" si="35"/>
        <v>#DIV/0!</v>
      </c>
      <c r="BU193" s="1568">
        <f t="shared" si="36"/>
        <v>100</v>
      </c>
      <c r="BV193" s="1568">
        <f t="shared" si="37"/>
        <v>90</v>
      </c>
      <c r="BW193" s="1576" t="str">
        <f t="shared" si="38"/>
        <v>NPA</v>
      </c>
      <c r="BX193" s="348" t="str">
        <f t="shared" si="45"/>
        <v/>
      </c>
      <c r="BY193" s="348" t="str">
        <f t="shared" si="45"/>
        <v/>
      </c>
      <c r="BZ193" s="348" t="str">
        <f t="shared" si="45"/>
        <v/>
      </c>
      <c r="CA193" s="348" t="str">
        <f t="shared" si="45"/>
        <v/>
      </c>
      <c r="CB193" s="348" t="str">
        <f t="shared" si="45"/>
        <v/>
      </c>
      <c r="CC193" s="348" t="str">
        <f t="shared" si="45"/>
        <v/>
      </c>
      <c r="CD193" s="348" t="str">
        <f t="shared" si="45"/>
        <v/>
      </c>
      <c r="CE193" s="348" t="str">
        <f t="shared" si="45"/>
        <v/>
      </c>
      <c r="CF193" s="348" t="str">
        <f t="shared" si="46"/>
        <v/>
      </c>
      <c r="CG193" s="348" t="str">
        <f t="shared" si="46"/>
        <v/>
      </c>
      <c r="CH193" s="348" t="str">
        <f t="shared" si="46"/>
        <v/>
      </c>
      <c r="CI193" s="348" t="str">
        <f t="shared" si="46"/>
        <v/>
      </c>
      <c r="CJ193" s="348" t="str">
        <f t="shared" si="46"/>
        <v/>
      </c>
      <c r="CK193" s="348" t="str">
        <f t="shared" si="46"/>
        <v/>
      </c>
      <c r="CL193" s="348" t="str">
        <f t="shared" si="46"/>
        <v/>
      </c>
      <c r="CM193" s="348" t="str">
        <f t="shared" si="46"/>
        <v/>
      </c>
    </row>
    <row r="194" spans="1:91" s="1567" customFormat="1" x14ac:dyDescent="0.2">
      <c r="A194" s="1574" t="str">
        <f t="shared" si="39"/>
        <v>13 x 18</v>
      </c>
      <c r="B194" s="1642">
        <f t="shared" si="40"/>
        <v>25</v>
      </c>
      <c r="C194" s="1592" t="str">
        <f t="shared" si="41"/>
        <v>Convencional</v>
      </c>
      <c r="D194" s="1592"/>
      <c r="E194" s="1574"/>
      <c r="F194" s="1574"/>
      <c r="G194" s="1574"/>
      <c r="H194" s="1574"/>
      <c r="I194" s="1574"/>
      <c r="J194" s="1574"/>
      <c r="K194" s="1574"/>
      <c r="L194" s="1574"/>
      <c r="M194" s="1574"/>
      <c r="N194" s="1574"/>
      <c r="O194" s="1577">
        <f t="shared" si="16"/>
        <v>0</v>
      </c>
      <c r="P194" s="1576" t="str">
        <f t="shared" si="17"/>
        <v>NPA</v>
      </c>
      <c r="Q194" s="1577" t="str">
        <f t="shared" si="18"/>
        <v/>
      </c>
      <c r="R194" s="1576" t="str">
        <f t="shared" si="19"/>
        <v>NPA</v>
      </c>
      <c r="S194" s="1574"/>
      <c r="T194" s="1574"/>
      <c r="U194" s="1577" t="str">
        <f t="shared" si="20"/>
        <v>NPA</v>
      </c>
      <c r="V194" s="1576" t="str">
        <f t="shared" si="42"/>
        <v>NPA</v>
      </c>
      <c r="W194" s="1585">
        <f t="shared" si="21"/>
        <v>2</v>
      </c>
      <c r="X194" s="1574"/>
      <c r="Y194" s="1574"/>
      <c r="Z194" s="1574"/>
      <c r="AA194" s="1574"/>
      <c r="AB194" s="1574"/>
      <c r="AC194" s="1574"/>
      <c r="AD194" s="1574"/>
      <c r="AE194" s="1574"/>
      <c r="AF194" s="1574"/>
      <c r="AG194" s="1574"/>
      <c r="AH194" s="1591" t="e">
        <f t="shared" si="22"/>
        <v>#DIV/0!</v>
      </c>
      <c r="AI194" s="1591" t="e">
        <f t="shared" si="23"/>
        <v>#DIV/0!</v>
      </c>
      <c r="AJ194" s="1568" t="e">
        <f t="shared" si="24"/>
        <v>#DIV/0!</v>
      </c>
      <c r="AK194" s="1568" t="e">
        <f t="shared" si="9"/>
        <v>#DIV/0!</v>
      </c>
      <c r="AL194" s="1568">
        <f t="shared" si="10"/>
        <v>115</v>
      </c>
      <c r="AM194" s="1568">
        <f t="shared" si="11"/>
        <v>105</v>
      </c>
      <c r="AN194" s="1576" t="str">
        <f t="shared" si="25"/>
        <v>NPA</v>
      </c>
      <c r="AO194" s="1585">
        <f t="shared" si="26"/>
        <v>4.5</v>
      </c>
      <c r="AP194" s="1574"/>
      <c r="AQ194" s="1574"/>
      <c r="AR194" s="1574"/>
      <c r="AS194" s="1574"/>
      <c r="AT194" s="1574"/>
      <c r="AU194" s="1574"/>
      <c r="AV194" s="1574"/>
      <c r="AW194" s="1574"/>
      <c r="AX194" s="1574"/>
      <c r="AY194" s="1574"/>
      <c r="AZ194" s="1591" t="e">
        <f t="shared" si="27"/>
        <v>#DIV/0!</v>
      </c>
      <c r="BA194" s="1591" t="e">
        <f t="shared" si="28"/>
        <v>#DIV/0!</v>
      </c>
      <c r="BB194" s="1568" t="e">
        <f t="shared" si="29"/>
        <v>#DIV/0!</v>
      </c>
      <c r="BC194" s="1568" t="e">
        <f t="shared" si="30"/>
        <v>#DIV/0!</v>
      </c>
      <c r="BD194" s="1568">
        <f t="shared" si="12"/>
        <v>103</v>
      </c>
      <c r="BE194" s="1568">
        <f t="shared" si="13"/>
        <v>93</v>
      </c>
      <c r="BF194" s="1576" t="str">
        <f t="shared" si="31"/>
        <v>NPA</v>
      </c>
      <c r="BG194" s="1965">
        <f t="shared" si="32"/>
        <v>5</v>
      </c>
      <c r="BH194" s="1574"/>
      <c r="BI194" s="1574"/>
      <c r="BJ194" s="1574"/>
      <c r="BK194" s="1574"/>
      <c r="BL194" s="1574"/>
      <c r="BM194" s="1574"/>
      <c r="BN194" s="1574"/>
      <c r="BO194" s="1574"/>
      <c r="BP194" s="1574"/>
      <c r="BQ194" s="1574"/>
      <c r="BR194" s="1591" t="e">
        <f t="shared" si="33"/>
        <v>#DIV/0!</v>
      </c>
      <c r="BS194" s="1591" t="e">
        <f t="shared" si="34"/>
        <v>#DIV/0!</v>
      </c>
      <c r="BT194" s="1568" t="e">
        <f t="shared" si="35"/>
        <v>#DIV/0!</v>
      </c>
      <c r="BU194" s="1568">
        <f t="shared" si="36"/>
        <v>100</v>
      </c>
      <c r="BV194" s="1568">
        <f t="shared" si="37"/>
        <v>90</v>
      </c>
      <c r="BW194" s="1576" t="str">
        <f t="shared" si="38"/>
        <v>NPA</v>
      </c>
      <c r="BX194" s="348" t="str">
        <f t="shared" si="45"/>
        <v/>
      </c>
      <c r="BY194" s="348" t="str">
        <f t="shared" si="45"/>
        <v/>
      </c>
      <c r="BZ194" s="348" t="str">
        <f t="shared" si="45"/>
        <v/>
      </c>
      <c r="CA194" s="348" t="str">
        <f t="shared" si="45"/>
        <v/>
      </c>
      <c r="CB194" s="348" t="str">
        <f t="shared" si="45"/>
        <v/>
      </c>
      <c r="CC194" s="348" t="str">
        <f t="shared" si="45"/>
        <v/>
      </c>
      <c r="CD194" s="348" t="str">
        <f t="shared" si="45"/>
        <v/>
      </c>
      <c r="CE194" s="348" t="str">
        <f t="shared" si="45"/>
        <v/>
      </c>
      <c r="CF194" s="348" t="str">
        <f t="shared" si="46"/>
        <v/>
      </c>
      <c r="CG194" s="348" t="str">
        <f t="shared" si="46"/>
        <v/>
      </c>
      <c r="CH194" s="348" t="str">
        <f t="shared" si="46"/>
        <v/>
      </c>
      <c r="CI194" s="348" t="str">
        <f t="shared" si="46"/>
        <v/>
      </c>
      <c r="CJ194" s="348" t="str">
        <f t="shared" si="46"/>
        <v/>
      </c>
      <c r="CK194" s="348" t="str">
        <f t="shared" si="46"/>
        <v/>
      </c>
      <c r="CL194" s="348" t="str">
        <f t="shared" si="46"/>
        <v/>
      </c>
      <c r="CM194" s="348" t="str">
        <f t="shared" si="46"/>
        <v/>
      </c>
    </row>
    <row r="195" spans="1:91" s="1567" customFormat="1" x14ac:dyDescent="0.2">
      <c r="A195" s="1574" t="str">
        <f t="shared" si="39"/>
        <v>13 x 18</v>
      </c>
      <c r="B195" s="1642">
        <f t="shared" si="40"/>
        <v>26</v>
      </c>
      <c r="C195" s="1592" t="str">
        <f t="shared" si="41"/>
        <v>Convencional</v>
      </c>
      <c r="D195" s="1592"/>
      <c r="E195" s="1574"/>
      <c r="F195" s="1574"/>
      <c r="G195" s="1574"/>
      <c r="H195" s="1574"/>
      <c r="I195" s="1574"/>
      <c r="J195" s="1574"/>
      <c r="K195" s="1574"/>
      <c r="L195" s="1574"/>
      <c r="M195" s="1574"/>
      <c r="N195" s="1574"/>
      <c r="O195" s="1577">
        <f t="shared" si="16"/>
        <v>0</v>
      </c>
      <c r="P195" s="1576" t="str">
        <f t="shared" si="17"/>
        <v>NPA</v>
      </c>
      <c r="Q195" s="1577" t="str">
        <f t="shared" si="18"/>
        <v/>
      </c>
      <c r="R195" s="1576" t="str">
        <f t="shared" si="19"/>
        <v>NPA</v>
      </c>
      <c r="S195" s="1574"/>
      <c r="T195" s="1574"/>
      <c r="U195" s="1577" t="str">
        <f t="shared" si="20"/>
        <v>NPA</v>
      </c>
      <c r="V195" s="1576" t="str">
        <f t="shared" si="42"/>
        <v>NPA</v>
      </c>
      <c r="W195" s="1585">
        <f t="shared" si="21"/>
        <v>2</v>
      </c>
      <c r="X195" s="1574"/>
      <c r="Y195" s="1574"/>
      <c r="Z195" s="1574"/>
      <c r="AA195" s="1574"/>
      <c r="AB195" s="1574"/>
      <c r="AC195" s="1574"/>
      <c r="AD195" s="1574"/>
      <c r="AE195" s="1574"/>
      <c r="AF195" s="1574"/>
      <c r="AG195" s="1574"/>
      <c r="AH195" s="1591" t="e">
        <f t="shared" si="22"/>
        <v>#DIV/0!</v>
      </c>
      <c r="AI195" s="1591" t="e">
        <f t="shared" si="23"/>
        <v>#DIV/0!</v>
      </c>
      <c r="AJ195" s="1568" t="e">
        <f t="shared" si="24"/>
        <v>#DIV/0!</v>
      </c>
      <c r="AK195" s="1568" t="e">
        <f t="shared" si="9"/>
        <v>#DIV/0!</v>
      </c>
      <c r="AL195" s="1568">
        <f t="shared" si="10"/>
        <v>115</v>
      </c>
      <c r="AM195" s="1568">
        <f t="shared" si="11"/>
        <v>105</v>
      </c>
      <c r="AN195" s="1576" t="str">
        <f t="shared" si="25"/>
        <v>NPA</v>
      </c>
      <c r="AO195" s="1585">
        <f t="shared" si="26"/>
        <v>4.5</v>
      </c>
      <c r="AP195" s="1574"/>
      <c r="AQ195" s="1574"/>
      <c r="AR195" s="1574"/>
      <c r="AS195" s="1574"/>
      <c r="AT195" s="1574"/>
      <c r="AU195" s="1574"/>
      <c r="AV195" s="1574"/>
      <c r="AW195" s="1574"/>
      <c r="AX195" s="1574"/>
      <c r="AY195" s="1574"/>
      <c r="AZ195" s="1591" t="e">
        <f t="shared" si="27"/>
        <v>#DIV/0!</v>
      </c>
      <c r="BA195" s="1591" t="e">
        <f t="shared" si="28"/>
        <v>#DIV/0!</v>
      </c>
      <c r="BB195" s="1568" t="e">
        <f t="shared" si="29"/>
        <v>#DIV/0!</v>
      </c>
      <c r="BC195" s="1568" t="e">
        <f t="shared" si="30"/>
        <v>#DIV/0!</v>
      </c>
      <c r="BD195" s="1568">
        <f t="shared" si="12"/>
        <v>103</v>
      </c>
      <c r="BE195" s="1568">
        <f t="shared" si="13"/>
        <v>93</v>
      </c>
      <c r="BF195" s="1576" t="str">
        <f t="shared" si="31"/>
        <v>NPA</v>
      </c>
      <c r="BG195" s="1965">
        <f t="shared" si="32"/>
        <v>5</v>
      </c>
      <c r="BH195" s="1574"/>
      <c r="BI195" s="1574"/>
      <c r="BJ195" s="1574"/>
      <c r="BK195" s="1574"/>
      <c r="BL195" s="1574"/>
      <c r="BM195" s="1574"/>
      <c r="BN195" s="1574"/>
      <c r="BO195" s="1574"/>
      <c r="BP195" s="1574"/>
      <c r="BQ195" s="1574"/>
      <c r="BR195" s="1591" t="e">
        <f t="shared" si="33"/>
        <v>#DIV/0!</v>
      </c>
      <c r="BS195" s="1591" t="e">
        <f t="shared" si="34"/>
        <v>#DIV/0!</v>
      </c>
      <c r="BT195" s="1568" t="e">
        <f t="shared" si="35"/>
        <v>#DIV/0!</v>
      </c>
      <c r="BU195" s="1568">
        <f t="shared" si="36"/>
        <v>100</v>
      </c>
      <c r="BV195" s="1568">
        <f t="shared" si="37"/>
        <v>90</v>
      </c>
      <c r="BW195" s="1576" t="str">
        <f t="shared" si="38"/>
        <v>NPA</v>
      </c>
      <c r="BX195" s="348" t="str">
        <f t="shared" si="45"/>
        <v/>
      </c>
      <c r="BY195" s="348" t="str">
        <f t="shared" si="45"/>
        <v/>
      </c>
      <c r="BZ195" s="348" t="str">
        <f t="shared" si="45"/>
        <v/>
      </c>
      <c r="CA195" s="348" t="str">
        <f t="shared" si="45"/>
        <v/>
      </c>
      <c r="CB195" s="348" t="str">
        <f t="shared" si="45"/>
        <v/>
      </c>
      <c r="CC195" s="348" t="str">
        <f t="shared" si="45"/>
        <v/>
      </c>
      <c r="CD195" s="348" t="str">
        <f t="shared" si="45"/>
        <v/>
      </c>
      <c r="CE195" s="348" t="str">
        <f t="shared" si="45"/>
        <v/>
      </c>
      <c r="CF195" s="348" t="str">
        <f t="shared" si="46"/>
        <v/>
      </c>
      <c r="CG195" s="348" t="str">
        <f t="shared" si="46"/>
        <v/>
      </c>
      <c r="CH195" s="348" t="str">
        <f t="shared" si="46"/>
        <v/>
      </c>
      <c r="CI195" s="348" t="str">
        <f t="shared" si="46"/>
        <v/>
      </c>
      <c r="CJ195" s="348" t="str">
        <f t="shared" si="46"/>
        <v/>
      </c>
      <c r="CK195" s="348" t="str">
        <f t="shared" si="46"/>
        <v/>
      </c>
      <c r="CL195" s="348" t="str">
        <f t="shared" si="46"/>
        <v/>
      </c>
      <c r="CM195" s="348" t="str">
        <f t="shared" si="46"/>
        <v/>
      </c>
    </row>
    <row r="196" spans="1:91" s="1567" customFormat="1" x14ac:dyDescent="0.2">
      <c r="A196" s="1574" t="str">
        <f t="shared" si="39"/>
        <v>13 x 18</v>
      </c>
      <c r="B196" s="1642">
        <f t="shared" si="40"/>
        <v>27</v>
      </c>
      <c r="C196" s="1592" t="str">
        <f t="shared" si="41"/>
        <v>Convencional</v>
      </c>
      <c r="D196" s="1592"/>
      <c r="E196" s="1574"/>
      <c r="F196" s="1574"/>
      <c r="G196" s="1574"/>
      <c r="H196" s="1574"/>
      <c r="I196" s="1574"/>
      <c r="J196" s="1574"/>
      <c r="K196" s="1574"/>
      <c r="L196" s="1574"/>
      <c r="M196" s="1574"/>
      <c r="N196" s="1574"/>
      <c r="O196" s="1577">
        <f t="shared" si="16"/>
        <v>0</v>
      </c>
      <c r="P196" s="1576" t="str">
        <f t="shared" si="17"/>
        <v>NPA</v>
      </c>
      <c r="Q196" s="1577" t="str">
        <f t="shared" si="18"/>
        <v/>
      </c>
      <c r="R196" s="1576" t="str">
        <f t="shared" si="19"/>
        <v>NPA</v>
      </c>
      <c r="S196" s="1574"/>
      <c r="T196" s="1574"/>
      <c r="U196" s="1577" t="str">
        <f t="shared" si="20"/>
        <v>NPA</v>
      </c>
      <c r="V196" s="1576" t="str">
        <f t="shared" si="42"/>
        <v>NPA</v>
      </c>
      <c r="W196" s="1585">
        <f t="shared" si="21"/>
        <v>2</v>
      </c>
      <c r="X196" s="1574"/>
      <c r="Y196" s="1574"/>
      <c r="Z196" s="1574"/>
      <c r="AA196" s="1574"/>
      <c r="AB196" s="1574"/>
      <c r="AC196" s="1574"/>
      <c r="AD196" s="1574"/>
      <c r="AE196" s="1574"/>
      <c r="AF196" s="1574"/>
      <c r="AG196" s="1574"/>
      <c r="AH196" s="1591" t="e">
        <f t="shared" si="22"/>
        <v>#DIV/0!</v>
      </c>
      <c r="AI196" s="1591" t="e">
        <f t="shared" si="23"/>
        <v>#DIV/0!</v>
      </c>
      <c r="AJ196" s="1568" t="e">
        <f t="shared" si="24"/>
        <v>#DIV/0!</v>
      </c>
      <c r="AK196" s="1568" t="e">
        <f t="shared" si="9"/>
        <v>#DIV/0!</v>
      </c>
      <c r="AL196" s="1568">
        <f t="shared" si="10"/>
        <v>115</v>
      </c>
      <c r="AM196" s="1568">
        <f t="shared" si="11"/>
        <v>105</v>
      </c>
      <c r="AN196" s="1576" t="str">
        <f t="shared" si="25"/>
        <v>NPA</v>
      </c>
      <c r="AO196" s="1585">
        <f t="shared" si="26"/>
        <v>4.5</v>
      </c>
      <c r="AP196" s="1574"/>
      <c r="AQ196" s="1574"/>
      <c r="AR196" s="1574"/>
      <c r="AS196" s="1574"/>
      <c r="AT196" s="1574"/>
      <c r="AU196" s="1574"/>
      <c r="AV196" s="1574"/>
      <c r="AW196" s="1574"/>
      <c r="AX196" s="1574"/>
      <c r="AY196" s="1574"/>
      <c r="AZ196" s="1591" t="e">
        <f t="shared" si="27"/>
        <v>#DIV/0!</v>
      </c>
      <c r="BA196" s="1591" t="e">
        <f t="shared" si="28"/>
        <v>#DIV/0!</v>
      </c>
      <c r="BB196" s="1568" t="e">
        <f t="shared" si="29"/>
        <v>#DIV/0!</v>
      </c>
      <c r="BC196" s="1568" t="e">
        <f t="shared" si="30"/>
        <v>#DIV/0!</v>
      </c>
      <c r="BD196" s="1568">
        <f t="shared" si="12"/>
        <v>103</v>
      </c>
      <c r="BE196" s="1568">
        <f t="shared" si="13"/>
        <v>93</v>
      </c>
      <c r="BF196" s="1576" t="str">
        <f t="shared" si="31"/>
        <v>NPA</v>
      </c>
      <c r="BG196" s="1965">
        <f t="shared" si="32"/>
        <v>5</v>
      </c>
      <c r="BH196" s="1574"/>
      <c r="BI196" s="1574"/>
      <c r="BJ196" s="1574"/>
      <c r="BK196" s="1574"/>
      <c r="BL196" s="1574"/>
      <c r="BM196" s="1574"/>
      <c r="BN196" s="1574"/>
      <c r="BO196" s="1574"/>
      <c r="BP196" s="1574"/>
      <c r="BQ196" s="1574"/>
      <c r="BR196" s="1591" t="e">
        <f t="shared" si="33"/>
        <v>#DIV/0!</v>
      </c>
      <c r="BS196" s="1591" t="e">
        <f t="shared" si="34"/>
        <v>#DIV/0!</v>
      </c>
      <c r="BT196" s="1568" t="e">
        <f t="shared" si="35"/>
        <v>#DIV/0!</v>
      </c>
      <c r="BU196" s="1568">
        <f t="shared" si="36"/>
        <v>100</v>
      </c>
      <c r="BV196" s="1568">
        <f t="shared" si="37"/>
        <v>90</v>
      </c>
      <c r="BW196" s="1576" t="str">
        <f t="shared" si="38"/>
        <v>NPA</v>
      </c>
      <c r="BX196" s="348" t="str">
        <f t="shared" si="45"/>
        <v/>
      </c>
      <c r="BY196" s="348" t="str">
        <f t="shared" si="45"/>
        <v/>
      </c>
      <c r="BZ196" s="348" t="str">
        <f t="shared" si="45"/>
        <v/>
      </c>
      <c r="CA196" s="348" t="str">
        <f t="shared" si="45"/>
        <v/>
      </c>
      <c r="CB196" s="348" t="str">
        <f t="shared" si="45"/>
        <v/>
      </c>
      <c r="CC196" s="348" t="str">
        <f t="shared" si="45"/>
        <v/>
      </c>
      <c r="CD196" s="348" t="str">
        <f t="shared" si="45"/>
        <v/>
      </c>
      <c r="CE196" s="348" t="str">
        <f t="shared" si="45"/>
        <v/>
      </c>
      <c r="CF196" s="348" t="str">
        <f t="shared" si="46"/>
        <v/>
      </c>
      <c r="CG196" s="348" t="str">
        <f t="shared" si="46"/>
        <v/>
      </c>
      <c r="CH196" s="348" t="str">
        <f t="shared" si="46"/>
        <v/>
      </c>
      <c r="CI196" s="348" t="str">
        <f t="shared" si="46"/>
        <v/>
      </c>
      <c r="CJ196" s="348" t="str">
        <f t="shared" si="46"/>
        <v/>
      </c>
      <c r="CK196" s="348" t="str">
        <f t="shared" si="46"/>
        <v/>
      </c>
      <c r="CL196" s="348" t="str">
        <f t="shared" si="46"/>
        <v/>
      </c>
      <c r="CM196" s="348" t="str">
        <f t="shared" si="46"/>
        <v/>
      </c>
    </row>
    <row r="197" spans="1:91" x14ac:dyDescent="0.25">
      <c r="A197" s="1574" t="str">
        <f t="shared" si="39"/>
        <v>13 x 18</v>
      </c>
      <c r="B197" s="1642">
        <f t="shared" si="40"/>
        <v>28</v>
      </c>
      <c r="C197" s="1592" t="str">
        <f t="shared" si="41"/>
        <v>Convencional</v>
      </c>
      <c r="D197" s="1592"/>
      <c r="E197" s="1574"/>
      <c r="F197" s="1574"/>
      <c r="G197" s="1574"/>
      <c r="H197" s="1574"/>
      <c r="I197" s="1574"/>
      <c r="J197" s="1574"/>
      <c r="K197" s="1574"/>
      <c r="L197" s="1574"/>
      <c r="M197" s="1574"/>
      <c r="N197" s="1574"/>
      <c r="O197" s="1577">
        <f t="shared" si="16"/>
        <v>0</v>
      </c>
      <c r="P197" s="1576" t="str">
        <f t="shared" si="17"/>
        <v>NPA</v>
      </c>
      <c r="Q197" s="1577" t="str">
        <f t="shared" si="18"/>
        <v/>
      </c>
      <c r="R197" s="1576" t="str">
        <f t="shared" si="19"/>
        <v>NPA</v>
      </c>
      <c r="S197" s="1574"/>
      <c r="T197" s="1574"/>
      <c r="U197" s="1577" t="str">
        <f t="shared" si="20"/>
        <v>NPA</v>
      </c>
      <c r="V197" s="1576" t="str">
        <f t="shared" si="42"/>
        <v>NPA</v>
      </c>
      <c r="W197" s="1585">
        <f t="shared" si="21"/>
        <v>2</v>
      </c>
      <c r="X197" s="1574"/>
      <c r="Y197" s="1574"/>
      <c r="Z197" s="1574"/>
      <c r="AA197" s="1574"/>
      <c r="AB197" s="1574"/>
      <c r="AC197" s="1574"/>
      <c r="AD197" s="1574"/>
      <c r="AE197" s="1574"/>
      <c r="AF197" s="1574"/>
      <c r="AG197" s="1574"/>
      <c r="AH197" s="1591" t="e">
        <f t="shared" si="22"/>
        <v>#DIV/0!</v>
      </c>
      <c r="AI197" s="1591" t="e">
        <f t="shared" si="23"/>
        <v>#DIV/0!</v>
      </c>
      <c r="AJ197" s="1568" t="e">
        <f t="shared" si="24"/>
        <v>#DIV/0!</v>
      </c>
      <c r="AK197" s="1568" t="e">
        <f t="shared" si="9"/>
        <v>#DIV/0!</v>
      </c>
      <c r="AL197" s="1568">
        <f t="shared" si="10"/>
        <v>115</v>
      </c>
      <c r="AM197" s="1568">
        <f t="shared" si="11"/>
        <v>105</v>
      </c>
      <c r="AN197" s="1576" t="str">
        <f t="shared" si="25"/>
        <v>NPA</v>
      </c>
      <c r="AO197" s="1585">
        <f t="shared" si="26"/>
        <v>4.5</v>
      </c>
      <c r="AP197" s="1574"/>
      <c r="AQ197" s="1574"/>
      <c r="AR197" s="1574"/>
      <c r="AS197" s="1574"/>
      <c r="AT197" s="1574"/>
      <c r="AU197" s="1574"/>
      <c r="AV197" s="1574"/>
      <c r="AW197" s="1574"/>
      <c r="AX197" s="1574"/>
      <c r="AY197" s="1574"/>
      <c r="AZ197" s="1591" t="e">
        <f t="shared" si="27"/>
        <v>#DIV/0!</v>
      </c>
      <c r="BA197" s="1591" t="e">
        <f t="shared" si="28"/>
        <v>#DIV/0!</v>
      </c>
      <c r="BB197" s="1568" t="e">
        <f t="shared" si="29"/>
        <v>#DIV/0!</v>
      </c>
      <c r="BC197" s="1568" t="e">
        <f t="shared" si="30"/>
        <v>#DIV/0!</v>
      </c>
      <c r="BD197" s="1568">
        <f t="shared" si="12"/>
        <v>103</v>
      </c>
      <c r="BE197" s="1568">
        <f t="shared" si="13"/>
        <v>93</v>
      </c>
      <c r="BF197" s="1576" t="str">
        <f t="shared" si="31"/>
        <v>NPA</v>
      </c>
      <c r="BG197" s="1965">
        <f t="shared" si="32"/>
        <v>5</v>
      </c>
      <c r="BH197" s="1574"/>
      <c r="BI197" s="1574"/>
      <c r="BJ197" s="1574"/>
      <c r="BK197" s="1574"/>
      <c r="BL197" s="1574"/>
      <c r="BM197" s="1574"/>
      <c r="BN197" s="1574"/>
      <c r="BO197" s="1574"/>
      <c r="BP197" s="1574"/>
      <c r="BQ197" s="1574"/>
      <c r="BR197" s="1591" t="e">
        <f t="shared" si="33"/>
        <v>#DIV/0!</v>
      </c>
      <c r="BS197" s="1591" t="e">
        <f t="shared" si="34"/>
        <v>#DIV/0!</v>
      </c>
      <c r="BT197" s="1568" t="e">
        <f t="shared" si="35"/>
        <v>#DIV/0!</v>
      </c>
      <c r="BU197" s="1568">
        <f t="shared" si="36"/>
        <v>100</v>
      </c>
      <c r="BV197" s="1568">
        <f t="shared" si="37"/>
        <v>90</v>
      </c>
      <c r="BW197" s="1576" t="str">
        <f t="shared" si="38"/>
        <v>NPA</v>
      </c>
      <c r="BX197" s="348" t="str">
        <f t="shared" si="45"/>
        <v/>
      </c>
      <c r="BY197" s="348" t="str">
        <f t="shared" si="45"/>
        <v/>
      </c>
      <c r="BZ197" s="348" t="str">
        <f t="shared" si="45"/>
        <v/>
      </c>
      <c r="CA197" s="348" t="str">
        <f t="shared" si="45"/>
        <v/>
      </c>
      <c r="CB197" s="348" t="str">
        <f t="shared" si="45"/>
        <v/>
      </c>
      <c r="CC197" s="348" t="str">
        <f t="shared" si="45"/>
        <v/>
      </c>
      <c r="CD197" s="348" t="str">
        <f t="shared" si="45"/>
        <v/>
      </c>
      <c r="CE197" s="348" t="str">
        <f t="shared" si="45"/>
        <v/>
      </c>
      <c r="CF197" s="348" t="str">
        <f t="shared" si="46"/>
        <v/>
      </c>
      <c r="CG197" s="348" t="str">
        <f t="shared" si="46"/>
        <v/>
      </c>
      <c r="CH197" s="348" t="str">
        <f t="shared" si="46"/>
        <v/>
      </c>
      <c r="CI197" s="348" t="str">
        <f t="shared" si="46"/>
        <v/>
      </c>
      <c r="CJ197" s="348" t="str">
        <f t="shared" si="46"/>
        <v/>
      </c>
      <c r="CK197" s="348" t="str">
        <f t="shared" si="46"/>
        <v/>
      </c>
      <c r="CL197" s="348" t="str">
        <f t="shared" si="46"/>
        <v/>
      </c>
      <c r="CM197" s="348" t="str">
        <f t="shared" si="46"/>
        <v/>
      </c>
    </row>
    <row r="198" spans="1:91" x14ac:dyDescent="0.25">
      <c r="A198" s="1574" t="str">
        <f t="shared" si="39"/>
        <v>13 x 18</v>
      </c>
      <c r="B198" s="1642">
        <f t="shared" si="40"/>
        <v>29</v>
      </c>
      <c r="C198" s="1592" t="str">
        <f t="shared" si="41"/>
        <v>Convencional</v>
      </c>
      <c r="D198" s="1592"/>
      <c r="E198" s="1574"/>
      <c r="F198" s="1574"/>
      <c r="G198" s="1574"/>
      <c r="H198" s="1574"/>
      <c r="I198" s="1574"/>
      <c r="J198" s="1574"/>
      <c r="K198" s="1574"/>
      <c r="L198" s="1574"/>
      <c r="M198" s="1574"/>
      <c r="N198" s="1574"/>
      <c r="O198" s="1577">
        <f t="shared" si="16"/>
        <v>0</v>
      </c>
      <c r="P198" s="1576" t="str">
        <f t="shared" si="17"/>
        <v>NPA</v>
      </c>
      <c r="Q198" s="1577" t="str">
        <f t="shared" si="18"/>
        <v/>
      </c>
      <c r="R198" s="1576" t="str">
        <f t="shared" si="19"/>
        <v>NPA</v>
      </c>
      <c r="S198" s="1574"/>
      <c r="T198" s="1574"/>
      <c r="U198" s="1577" t="str">
        <f t="shared" si="20"/>
        <v>NPA</v>
      </c>
      <c r="V198" s="1576" t="str">
        <f t="shared" si="42"/>
        <v>NPA</v>
      </c>
      <c r="W198" s="1585">
        <f t="shared" si="21"/>
        <v>2</v>
      </c>
      <c r="X198" s="1574"/>
      <c r="Y198" s="1574"/>
      <c r="Z198" s="1574"/>
      <c r="AA198" s="1574"/>
      <c r="AB198" s="1574"/>
      <c r="AC198" s="1574"/>
      <c r="AD198" s="1574"/>
      <c r="AE198" s="1574"/>
      <c r="AF198" s="1574"/>
      <c r="AG198" s="1574"/>
      <c r="AH198" s="1591" t="e">
        <f t="shared" si="22"/>
        <v>#DIV/0!</v>
      </c>
      <c r="AI198" s="1591" t="e">
        <f t="shared" si="23"/>
        <v>#DIV/0!</v>
      </c>
      <c r="AJ198" s="1568" t="e">
        <f t="shared" si="24"/>
        <v>#DIV/0!</v>
      </c>
      <c r="AK198" s="1568" t="e">
        <f t="shared" si="9"/>
        <v>#DIV/0!</v>
      </c>
      <c r="AL198" s="1568">
        <f t="shared" si="10"/>
        <v>115</v>
      </c>
      <c r="AM198" s="1568">
        <f t="shared" si="11"/>
        <v>105</v>
      </c>
      <c r="AN198" s="1576" t="str">
        <f t="shared" si="25"/>
        <v>NPA</v>
      </c>
      <c r="AO198" s="1585">
        <f t="shared" si="26"/>
        <v>4.5</v>
      </c>
      <c r="AP198" s="1574"/>
      <c r="AQ198" s="1574"/>
      <c r="AR198" s="1574"/>
      <c r="AS198" s="1574"/>
      <c r="AT198" s="1574"/>
      <c r="AU198" s="1574"/>
      <c r="AV198" s="1574"/>
      <c r="AW198" s="1574"/>
      <c r="AX198" s="1574"/>
      <c r="AY198" s="1574"/>
      <c r="AZ198" s="1591" t="e">
        <f t="shared" si="27"/>
        <v>#DIV/0!</v>
      </c>
      <c r="BA198" s="1591" t="e">
        <f t="shared" si="28"/>
        <v>#DIV/0!</v>
      </c>
      <c r="BB198" s="1568" t="e">
        <f t="shared" si="29"/>
        <v>#DIV/0!</v>
      </c>
      <c r="BC198" s="1568" t="e">
        <f t="shared" si="30"/>
        <v>#DIV/0!</v>
      </c>
      <c r="BD198" s="1568">
        <f t="shared" si="12"/>
        <v>103</v>
      </c>
      <c r="BE198" s="1568">
        <f t="shared" si="13"/>
        <v>93</v>
      </c>
      <c r="BF198" s="1576" t="str">
        <f t="shared" si="31"/>
        <v>NPA</v>
      </c>
      <c r="BG198" s="1965">
        <f t="shared" si="32"/>
        <v>5</v>
      </c>
      <c r="BH198" s="1574"/>
      <c r="BI198" s="1574"/>
      <c r="BJ198" s="1574"/>
      <c r="BK198" s="1574"/>
      <c r="BL198" s="1574"/>
      <c r="BM198" s="1574"/>
      <c r="BN198" s="1574"/>
      <c r="BO198" s="1574"/>
      <c r="BP198" s="1574"/>
      <c r="BQ198" s="1574"/>
      <c r="BR198" s="1591" t="e">
        <f t="shared" si="33"/>
        <v>#DIV/0!</v>
      </c>
      <c r="BS198" s="1591" t="e">
        <f t="shared" si="34"/>
        <v>#DIV/0!</v>
      </c>
      <c r="BT198" s="1568" t="e">
        <f t="shared" si="35"/>
        <v>#DIV/0!</v>
      </c>
      <c r="BU198" s="1568">
        <f t="shared" si="36"/>
        <v>100</v>
      </c>
      <c r="BV198" s="1568">
        <f t="shared" si="37"/>
        <v>90</v>
      </c>
      <c r="BW198" s="1576" t="str">
        <f t="shared" si="38"/>
        <v>NPA</v>
      </c>
      <c r="BX198" s="348" t="str">
        <f t="shared" si="45"/>
        <v/>
      </c>
      <c r="BY198" s="348" t="str">
        <f t="shared" si="45"/>
        <v/>
      </c>
      <c r="BZ198" s="348" t="str">
        <f t="shared" si="45"/>
        <v/>
      </c>
      <c r="CA198" s="348" t="str">
        <f t="shared" si="45"/>
        <v/>
      </c>
      <c r="CB198" s="348" t="str">
        <f t="shared" si="45"/>
        <v/>
      </c>
      <c r="CC198" s="348" t="str">
        <f t="shared" si="45"/>
        <v/>
      </c>
      <c r="CD198" s="348" t="str">
        <f t="shared" si="45"/>
        <v/>
      </c>
      <c r="CE198" s="348" t="str">
        <f t="shared" si="45"/>
        <v/>
      </c>
      <c r="CF198" s="348" t="str">
        <f t="shared" si="46"/>
        <v/>
      </c>
      <c r="CG198" s="348" t="str">
        <f t="shared" si="46"/>
        <v/>
      </c>
      <c r="CH198" s="348" t="str">
        <f t="shared" si="46"/>
        <v/>
      </c>
      <c r="CI198" s="348" t="str">
        <f t="shared" si="46"/>
        <v/>
      </c>
      <c r="CJ198" s="348" t="str">
        <f t="shared" si="46"/>
        <v/>
      </c>
      <c r="CK198" s="348" t="str">
        <f t="shared" si="46"/>
        <v/>
      </c>
      <c r="CL198" s="348" t="str">
        <f t="shared" si="46"/>
        <v/>
      </c>
      <c r="CM198" s="348" t="str">
        <f t="shared" si="46"/>
        <v/>
      </c>
    </row>
    <row r="199" spans="1:91" x14ac:dyDescent="0.25">
      <c r="A199" s="1574" t="str">
        <f t="shared" si="39"/>
        <v>13 x 18</v>
      </c>
      <c r="B199" s="1642">
        <f t="shared" si="40"/>
        <v>30</v>
      </c>
      <c r="C199" s="1592" t="str">
        <f t="shared" si="41"/>
        <v>Convencional</v>
      </c>
      <c r="D199" s="1592"/>
      <c r="E199" s="1574"/>
      <c r="F199" s="1574"/>
      <c r="G199" s="1574"/>
      <c r="H199" s="1574"/>
      <c r="I199" s="1574"/>
      <c r="J199" s="1574"/>
      <c r="K199" s="1574"/>
      <c r="L199" s="1574"/>
      <c r="M199" s="1574"/>
      <c r="N199" s="1574"/>
      <c r="O199" s="1577">
        <f t="shared" si="16"/>
        <v>0</v>
      </c>
      <c r="P199" s="1576" t="str">
        <f t="shared" si="17"/>
        <v>NPA</v>
      </c>
      <c r="Q199" s="1577" t="str">
        <f t="shared" si="18"/>
        <v/>
      </c>
      <c r="R199" s="1576" t="str">
        <f t="shared" si="19"/>
        <v>NPA</v>
      </c>
      <c r="S199" s="1574"/>
      <c r="T199" s="1574"/>
      <c r="U199" s="1577" t="str">
        <f t="shared" si="20"/>
        <v>NPA</v>
      </c>
      <c r="V199" s="1576" t="str">
        <f t="shared" si="42"/>
        <v>NPA</v>
      </c>
      <c r="W199" s="1585">
        <f t="shared" si="21"/>
        <v>2</v>
      </c>
      <c r="X199" s="1574"/>
      <c r="Y199" s="1574"/>
      <c r="Z199" s="1574"/>
      <c r="AA199" s="1574"/>
      <c r="AB199" s="1574"/>
      <c r="AC199" s="1574"/>
      <c r="AD199" s="1574"/>
      <c r="AE199" s="1574"/>
      <c r="AF199" s="1574"/>
      <c r="AG199" s="1574"/>
      <c r="AH199" s="1591" t="e">
        <f t="shared" si="22"/>
        <v>#DIV/0!</v>
      </c>
      <c r="AI199" s="1591" t="e">
        <f t="shared" si="23"/>
        <v>#DIV/0!</v>
      </c>
      <c r="AJ199" s="1568" t="e">
        <f t="shared" si="24"/>
        <v>#DIV/0!</v>
      </c>
      <c r="AK199" s="1568" t="e">
        <f t="shared" si="9"/>
        <v>#DIV/0!</v>
      </c>
      <c r="AL199" s="1568">
        <f t="shared" si="10"/>
        <v>115</v>
      </c>
      <c r="AM199" s="1568">
        <f t="shared" si="11"/>
        <v>105</v>
      </c>
      <c r="AN199" s="1576" t="str">
        <f t="shared" si="25"/>
        <v>NPA</v>
      </c>
      <c r="AO199" s="1585">
        <f t="shared" si="26"/>
        <v>4.5</v>
      </c>
      <c r="AP199" s="1574"/>
      <c r="AQ199" s="1574"/>
      <c r="AR199" s="1574"/>
      <c r="AS199" s="1574"/>
      <c r="AT199" s="1574"/>
      <c r="AU199" s="1574"/>
      <c r="AV199" s="1574"/>
      <c r="AW199" s="1574"/>
      <c r="AX199" s="1574"/>
      <c r="AY199" s="1574"/>
      <c r="AZ199" s="1591" t="e">
        <f t="shared" si="27"/>
        <v>#DIV/0!</v>
      </c>
      <c r="BA199" s="1591" t="e">
        <f t="shared" si="28"/>
        <v>#DIV/0!</v>
      </c>
      <c r="BB199" s="1568" t="e">
        <f t="shared" si="29"/>
        <v>#DIV/0!</v>
      </c>
      <c r="BC199" s="1568" t="e">
        <f t="shared" si="30"/>
        <v>#DIV/0!</v>
      </c>
      <c r="BD199" s="1568">
        <f t="shared" si="12"/>
        <v>103</v>
      </c>
      <c r="BE199" s="1568">
        <f t="shared" si="13"/>
        <v>93</v>
      </c>
      <c r="BF199" s="1576" t="str">
        <f t="shared" si="31"/>
        <v>NPA</v>
      </c>
      <c r="BG199" s="1965">
        <f t="shared" si="32"/>
        <v>5</v>
      </c>
      <c r="BH199" s="1574"/>
      <c r="BI199" s="1574"/>
      <c r="BJ199" s="1574"/>
      <c r="BK199" s="1574"/>
      <c r="BL199" s="1574"/>
      <c r="BM199" s="1574"/>
      <c r="BN199" s="1574"/>
      <c r="BO199" s="1574"/>
      <c r="BP199" s="1574"/>
      <c r="BQ199" s="1574"/>
      <c r="BR199" s="1591" t="e">
        <f t="shared" si="33"/>
        <v>#DIV/0!</v>
      </c>
      <c r="BS199" s="1591" t="e">
        <f t="shared" si="34"/>
        <v>#DIV/0!</v>
      </c>
      <c r="BT199" s="1568" t="e">
        <f t="shared" si="35"/>
        <v>#DIV/0!</v>
      </c>
      <c r="BU199" s="1568">
        <f t="shared" si="36"/>
        <v>100</v>
      </c>
      <c r="BV199" s="1568">
        <f t="shared" si="37"/>
        <v>90</v>
      </c>
      <c r="BW199" s="1576" t="str">
        <f t="shared" si="38"/>
        <v>NPA</v>
      </c>
      <c r="BX199" s="348" t="str">
        <f t="shared" si="45"/>
        <v/>
      </c>
      <c r="BY199" s="348" t="str">
        <f t="shared" si="45"/>
        <v/>
      </c>
      <c r="BZ199" s="348" t="str">
        <f t="shared" si="45"/>
        <v/>
      </c>
      <c r="CA199" s="348" t="str">
        <f t="shared" si="45"/>
        <v/>
      </c>
      <c r="CB199" s="348" t="str">
        <f t="shared" si="45"/>
        <v/>
      </c>
      <c r="CC199" s="348" t="str">
        <f t="shared" si="45"/>
        <v/>
      </c>
      <c r="CD199" s="348" t="str">
        <f t="shared" si="45"/>
        <v/>
      </c>
      <c r="CE199" s="348" t="str">
        <f t="shared" si="45"/>
        <v/>
      </c>
      <c r="CF199" s="348" t="str">
        <f t="shared" si="46"/>
        <v/>
      </c>
      <c r="CG199" s="348" t="str">
        <f t="shared" si="46"/>
        <v/>
      </c>
      <c r="CH199" s="348" t="str">
        <f t="shared" si="46"/>
        <v/>
      </c>
      <c r="CI199" s="348" t="str">
        <f t="shared" si="46"/>
        <v/>
      </c>
      <c r="CJ199" s="348" t="str">
        <f t="shared" si="46"/>
        <v/>
      </c>
      <c r="CK199" s="348" t="str">
        <f t="shared" si="46"/>
        <v/>
      </c>
      <c r="CL199" s="348" t="str">
        <f t="shared" si="46"/>
        <v/>
      </c>
      <c r="CM199" s="348" t="str">
        <f t="shared" si="46"/>
        <v/>
      </c>
    </row>
    <row r="200" spans="1:91" x14ac:dyDescent="0.25">
      <c r="A200" s="1574" t="str">
        <f t="shared" si="39"/>
        <v>13 x 18</v>
      </c>
      <c r="B200" s="1642">
        <f t="shared" si="40"/>
        <v>31</v>
      </c>
      <c r="C200" s="1592" t="str">
        <f t="shared" si="41"/>
        <v>Convencional</v>
      </c>
      <c r="D200" s="1592"/>
      <c r="E200" s="1574"/>
      <c r="F200" s="1574"/>
      <c r="G200" s="1574"/>
      <c r="H200" s="1574"/>
      <c r="I200" s="1574"/>
      <c r="J200" s="1574"/>
      <c r="K200" s="1574"/>
      <c r="L200" s="1574"/>
      <c r="M200" s="1574"/>
      <c r="N200" s="1574"/>
      <c r="O200" s="1577">
        <f t="shared" si="16"/>
        <v>0</v>
      </c>
      <c r="P200" s="1576" t="str">
        <f t="shared" si="17"/>
        <v>NPA</v>
      </c>
      <c r="Q200" s="1577" t="str">
        <f t="shared" si="18"/>
        <v/>
      </c>
      <c r="R200" s="1576" t="str">
        <f t="shared" si="19"/>
        <v>NPA</v>
      </c>
      <c r="S200" s="1574"/>
      <c r="T200" s="1574"/>
      <c r="U200" s="1577" t="str">
        <f t="shared" si="20"/>
        <v>NPA</v>
      </c>
      <c r="V200" s="1576" t="str">
        <f t="shared" si="42"/>
        <v>NPA</v>
      </c>
      <c r="W200" s="1585">
        <f t="shared" si="21"/>
        <v>2</v>
      </c>
      <c r="X200" s="1574"/>
      <c r="Y200" s="1574"/>
      <c r="Z200" s="1574"/>
      <c r="AA200" s="1574"/>
      <c r="AB200" s="1574"/>
      <c r="AC200" s="1574"/>
      <c r="AD200" s="1574"/>
      <c r="AE200" s="1574"/>
      <c r="AF200" s="1574"/>
      <c r="AG200" s="1574"/>
      <c r="AH200" s="1591" t="e">
        <f t="shared" si="22"/>
        <v>#DIV/0!</v>
      </c>
      <c r="AI200" s="1591" t="e">
        <f t="shared" si="23"/>
        <v>#DIV/0!</v>
      </c>
      <c r="AJ200" s="1568" t="e">
        <f t="shared" si="24"/>
        <v>#DIV/0!</v>
      </c>
      <c r="AK200" s="1568" t="e">
        <f t="shared" si="9"/>
        <v>#DIV/0!</v>
      </c>
      <c r="AL200" s="1568">
        <f t="shared" si="10"/>
        <v>115</v>
      </c>
      <c r="AM200" s="1568">
        <f t="shared" si="11"/>
        <v>105</v>
      </c>
      <c r="AN200" s="1576" t="str">
        <f t="shared" si="25"/>
        <v>NPA</v>
      </c>
      <c r="AO200" s="1585">
        <f t="shared" si="26"/>
        <v>4.5</v>
      </c>
      <c r="AP200" s="1574"/>
      <c r="AQ200" s="1574"/>
      <c r="AR200" s="1574"/>
      <c r="AS200" s="1574"/>
      <c r="AT200" s="1574"/>
      <c r="AU200" s="1574"/>
      <c r="AV200" s="1574"/>
      <c r="AW200" s="1574"/>
      <c r="AX200" s="1574"/>
      <c r="AY200" s="1574"/>
      <c r="AZ200" s="1591" t="e">
        <f t="shared" si="27"/>
        <v>#DIV/0!</v>
      </c>
      <c r="BA200" s="1591" t="e">
        <f t="shared" si="28"/>
        <v>#DIV/0!</v>
      </c>
      <c r="BB200" s="1568" t="e">
        <f t="shared" si="29"/>
        <v>#DIV/0!</v>
      </c>
      <c r="BC200" s="1568" t="e">
        <f t="shared" si="30"/>
        <v>#DIV/0!</v>
      </c>
      <c r="BD200" s="1568">
        <f t="shared" si="12"/>
        <v>103</v>
      </c>
      <c r="BE200" s="1568">
        <f t="shared" si="13"/>
        <v>93</v>
      </c>
      <c r="BF200" s="1576" t="str">
        <f t="shared" si="31"/>
        <v>NPA</v>
      </c>
      <c r="BG200" s="1965">
        <f t="shared" si="32"/>
        <v>5</v>
      </c>
      <c r="BH200" s="1574"/>
      <c r="BI200" s="1574"/>
      <c r="BJ200" s="1574"/>
      <c r="BK200" s="1574"/>
      <c r="BL200" s="1574"/>
      <c r="BM200" s="1574"/>
      <c r="BN200" s="1574"/>
      <c r="BO200" s="1574"/>
      <c r="BP200" s="1574"/>
      <c r="BQ200" s="1574"/>
      <c r="BR200" s="1591" t="e">
        <f t="shared" si="33"/>
        <v>#DIV/0!</v>
      </c>
      <c r="BS200" s="1591" t="e">
        <f t="shared" si="34"/>
        <v>#DIV/0!</v>
      </c>
      <c r="BT200" s="1568" t="e">
        <f t="shared" si="35"/>
        <v>#DIV/0!</v>
      </c>
      <c r="BU200" s="1568">
        <f t="shared" si="36"/>
        <v>100</v>
      </c>
      <c r="BV200" s="1568">
        <f t="shared" si="37"/>
        <v>90</v>
      </c>
      <c r="BW200" s="1576" t="str">
        <f t="shared" si="38"/>
        <v>NPA</v>
      </c>
      <c r="BX200" s="348" t="str">
        <f t="shared" ref="BX200:CE209" si="47">IF(AND($A200=BX$169,$C200="Mamografia"),$Q200,"")</f>
        <v/>
      </c>
      <c r="BY200" s="348" t="str">
        <f t="shared" si="47"/>
        <v/>
      </c>
      <c r="BZ200" s="348" t="str">
        <f t="shared" si="47"/>
        <v/>
      </c>
      <c r="CA200" s="348" t="str">
        <f t="shared" si="47"/>
        <v/>
      </c>
      <c r="CB200" s="348" t="str">
        <f t="shared" si="47"/>
        <v/>
      </c>
      <c r="CC200" s="348" t="str">
        <f t="shared" si="47"/>
        <v/>
      </c>
      <c r="CD200" s="348" t="str">
        <f t="shared" si="47"/>
        <v/>
      </c>
      <c r="CE200" s="348" t="str">
        <f t="shared" si="47"/>
        <v/>
      </c>
      <c r="CF200" s="348" t="str">
        <f t="shared" ref="CF200:CM209" si="48">IF(AND($A200=CF$169,$C200="Convencional"),$Q200,"")</f>
        <v/>
      </c>
      <c r="CG200" s="348" t="str">
        <f t="shared" si="48"/>
        <v/>
      </c>
      <c r="CH200" s="348" t="str">
        <f t="shared" si="48"/>
        <v/>
      </c>
      <c r="CI200" s="348" t="str">
        <f t="shared" si="48"/>
        <v/>
      </c>
      <c r="CJ200" s="348" t="str">
        <f t="shared" si="48"/>
        <v/>
      </c>
      <c r="CK200" s="348" t="str">
        <f t="shared" si="48"/>
        <v/>
      </c>
      <c r="CL200" s="348" t="str">
        <f t="shared" si="48"/>
        <v/>
      </c>
      <c r="CM200" s="348" t="str">
        <f t="shared" si="48"/>
        <v/>
      </c>
    </row>
    <row r="201" spans="1:91" x14ac:dyDescent="0.25">
      <c r="A201" s="1574" t="str">
        <f t="shared" si="39"/>
        <v>13 x 18</v>
      </c>
      <c r="B201" s="1642">
        <f t="shared" si="40"/>
        <v>32</v>
      </c>
      <c r="C201" s="1592" t="str">
        <f t="shared" si="41"/>
        <v>Convencional</v>
      </c>
      <c r="D201" s="1592"/>
      <c r="E201" s="1574"/>
      <c r="F201" s="1574"/>
      <c r="G201" s="1574"/>
      <c r="H201" s="1574"/>
      <c r="I201" s="1574"/>
      <c r="J201" s="1574"/>
      <c r="K201" s="1574"/>
      <c r="L201" s="1574"/>
      <c r="M201" s="1574"/>
      <c r="N201" s="1574"/>
      <c r="O201" s="1577">
        <f t="shared" si="16"/>
        <v>0</v>
      </c>
      <c r="P201" s="1576" t="str">
        <f t="shared" si="17"/>
        <v>NPA</v>
      </c>
      <c r="Q201" s="1577" t="str">
        <f t="shared" si="18"/>
        <v/>
      </c>
      <c r="R201" s="1576" t="str">
        <f t="shared" si="19"/>
        <v>NPA</v>
      </c>
      <c r="S201" s="1574"/>
      <c r="T201" s="1574"/>
      <c r="U201" s="1577" t="str">
        <f t="shared" si="20"/>
        <v>NPA</v>
      </c>
      <c r="V201" s="1576" t="str">
        <f t="shared" si="42"/>
        <v>NPA</v>
      </c>
      <c r="W201" s="1585">
        <f t="shared" si="21"/>
        <v>2</v>
      </c>
      <c r="X201" s="1574"/>
      <c r="Y201" s="1574"/>
      <c r="Z201" s="1574"/>
      <c r="AA201" s="1574"/>
      <c r="AB201" s="1574"/>
      <c r="AC201" s="1574"/>
      <c r="AD201" s="1574"/>
      <c r="AE201" s="1574"/>
      <c r="AF201" s="1574"/>
      <c r="AG201" s="1574"/>
      <c r="AH201" s="1591" t="e">
        <f t="shared" si="22"/>
        <v>#DIV/0!</v>
      </c>
      <c r="AI201" s="1591" t="e">
        <f t="shared" si="23"/>
        <v>#DIV/0!</v>
      </c>
      <c r="AJ201" s="1568" t="e">
        <f t="shared" si="24"/>
        <v>#DIV/0!</v>
      </c>
      <c r="AK201" s="1568" t="e">
        <f t="shared" si="9"/>
        <v>#DIV/0!</v>
      </c>
      <c r="AL201" s="1568">
        <f t="shared" si="10"/>
        <v>115</v>
      </c>
      <c r="AM201" s="1568">
        <f t="shared" si="11"/>
        <v>105</v>
      </c>
      <c r="AN201" s="1576" t="str">
        <f t="shared" si="25"/>
        <v>NPA</v>
      </c>
      <c r="AO201" s="1585">
        <f t="shared" si="26"/>
        <v>4.5</v>
      </c>
      <c r="AP201" s="1574"/>
      <c r="AQ201" s="1574"/>
      <c r="AR201" s="1574"/>
      <c r="AS201" s="1574"/>
      <c r="AT201" s="1574"/>
      <c r="AU201" s="1574"/>
      <c r="AV201" s="1574"/>
      <c r="AW201" s="1574"/>
      <c r="AX201" s="1574"/>
      <c r="AY201" s="1574"/>
      <c r="AZ201" s="1591" t="e">
        <f t="shared" si="27"/>
        <v>#DIV/0!</v>
      </c>
      <c r="BA201" s="1591" t="e">
        <f t="shared" si="28"/>
        <v>#DIV/0!</v>
      </c>
      <c r="BB201" s="1568" t="e">
        <f t="shared" si="29"/>
        <v>#DIV/0!</v>
      </c>
      <c r="BC201" s="1568" t="e">
        <f t="shared" si="30"/>
        <v>#DIV/0!</v>
      </c>
      <c r="BD201" s="1568">
        <f t="shared" si="12"/>
        <v>103</v>
      </c>
      <c r="BE201" s="1568">
        <f t="shared" si="13"/>
        <v>93</v>
      </c>
      <c r="BF201" s="1576" t="str">
        <f t="shared" si="31"/>
        <v>NPA</v>
      </c>
      <c r="BG201" s="1965">
        <f t="shared" si="32"/>
        <v>5</v>
      </c>
      <c r="BH201" s="1574"/>
      <c r="BI201" s="1574"/>
      <c r="BJ201" s="1574"/>
      <c r="BK201" s="1574"/>
      <c r="BL201" s="1574"/>
      <c r="BM201" s="1574"/>
      <c r="BN201" s="1574"/>
      <c r="BO201" s="1574"/>
      <c r="BP201" s="1574"/>
      <c r="BQ201" s="1574"/>
      <c r="BR201" s="1591" t="e">
        <f t="shared" si="33"/>
        <v>#DIV/0!</v>
      </c>
      <c r="BS201" s="1591" t="e">
        <f t="shared" si="34"/>
        <v>#DIV/0!</v>
      </c>
      <c r="BT201" s="1568" t="e">
        <f t="shared" si="35"/>
        <v>#DIV/0!</v>
      </c>
      <c r="BU201" s="1568">
        <f t="shared" si="36"/>
        <v>100</v>
      </c>
      <c r="BV201" s="1568">
        <f t="shared" si="37"/>
        <v>90</v>
      </c>
      <c r="BW201" s="1576" t="str">
        <f t="shared" si="38"/>
        <v>NPA</v>
      </c>
      <c r="BX201" s="348" t="str">
        <f t="shared" si="47"/>
        <v/>
      </c>
      <c r="BY201" s="348" t="str">
        <f t="shared" si="47"/>
        <v/>
      </c>
      <c r="BZ201" s="348" t="str">
        <f t="shared" si="47"/>
        <v/>
      </c>
      <c r="CA201" s="348" t="str">
        <f t="shared" si="47"/>
        <v/>
      </c>
      <c r="CB201" s="348" t="str">
        <f t="shared" si="47"/>
        <v/>
      </c>
      <c r="CC201" s="348" t="str">
        <f t="shared" si="47"/>
        <v/>
      </c>
      <c r="CD201" s="348" t="str">
        <f t="shared" si="47"/>
        <v/>
      </c>
      <c r="CE201" s="348" t="str">
        <f t="shared" si="47"/>
        <v/>
      </c>
      <c r="CF201" s="348" t="str">
        <f t="shared" si="48"/>
        <v/>
      </c>
      <c r="CG201" s="348" t="str">
        <f t="shared" si="48"/>
        <v/>
      </c>
      <c r="CH201" s="348" t="str">
        <f t="shared" si="48"/>
        <v/>
      </c>
      <c r="CI201" s="348" t="str">
        <f t="shared" si="48"/>
        <v/>
      </c>
      <c r="CJ201" s="348" t="str">
        <f t="shared" si="48"/>
        <v/>
      </c>
      <c r="CK201" s="348" t="str">
        <f t="shared" si="48"/>
        <v/>
      </c>
      <c r="CL201" s="348" t="str">
        <f t="shared" si="48"/>
        <v/>
      </c>
      <c r="CM201" s="348" t="str">
        <f t="shared" si="48"/>
        <v/>
      </c>
    </row>
    <row r="202" spans="1:91" x14ac:dyDescent="0.25">
      <c r="A202" s="1574" t="str">
        <f t="shared" si="39"/>
        <v>13 x 18</v>
      </c>
      <c r="B202" s="1642">
        <f t="shared" si="40"/>
        <v>33</v>
      </c>
      <c r="C202" s="1592" t="str">
        <f t="shared" si="41"/>
        <v>Convencional</v>
      </c>
      <c r="D202" s="1592"/>
      <c r="E202" s="1574"/>
      <c r="F202" s="1574"/>
      <c r="G202" s="1574"/>
      <c r="H202" s="1574"/>
      <c r="I202" s="1574"/>
      <c r="J202" s="1574"/>
      <c r="K202" s="1574"/>
      <c r="L202" s="1574"/>
      <c r="M202" s="1574"/>
      <c r="N202" s="1574"/>
      <c r="O202" s="1577">
        <f t="shared" si="16"/>
        <v>0</v>
      </c>
      <c r="P202" s="1576" t="str">
        <f t="shared" si="17"/>
        <v>NPA</v>
      </c>
      <c r="Q202" s="1577" t="str">
        <f t="shared" si="18"/>
        <v/>
      </c>
      <c r="R202" s="1576" t="str">
        <f t="shared" si="19"/>
        <v>NPA</v>
      </c>
      <c r="S202" s="1574"/>
      <c r="T202" s="1574"/>
      <c r="U202" s="1577" t="str">
        <f t="shared" si="20"/>
        <v>NPA</v>
      </c>
      <c r="V202" s="1576" t="str">
        <f t="shared" si="42"/>
        <v>NPA</v>
      </c>
      <c r="W202" s="1585">
        <f t="shared" si="21"/>
        <v>2</v>
      </c>
      <c r="X202" s="1574"/>
      <c r="Y202" s="1574"/>
      <c r="Z202" s="1574"/>
      <c r="AA202" s="1574"/>
      <c r="AB202" s="1574"/>
      <c r="AC202" s="1574"/>
      <c r="AD202" s="1574"/>
      <c r="AE202" s="1574"/>
      <c r="AF202" s="1574"/>
      <c r="AG202" s="1574"/>
      <c r="AH202" s="1591" t="e">
        <f t="shared" si="22"/>
        <v>#DIV/0!</v>
      </c>
      <c r="AI202" s="1591" t="e">
        <f t="shared" si="23"/>
        <v>#DIV/0!</v>
      </c>
      <c r="AJ202" s="1568" t="e">
        <f t="shared" si="24"/>
        <v>#DIV/0!</v>
      </c>
      <c r="AK202" s="1568" t="e">
        <f t="shared" ref="AK202:AK233" si="49">ROUND(AJ202/BT202*100,1)</f>
        <v>#DIV/0!</v>
      </c>
      <c r="AL202" s="1568">
        <f t="shared" ref="AL202:AL233" si="50">HLOOKUP(W202,$N$162:$T$164,2,FALSE)</f>
        <v>115</v>
      </c>
      <c r="AM202" s="1568">
        <f t="shared" ref="AM202:AM233" si="51">HLOOKUP(W202,$N$162:$T$164,3,FALSE)</f>
        <v>105</v>
      </c>
      <c r="AN202" s="1576" t="str">
        <f t="shared" si="25"/>
        <v>NPA</v>
      </c>
      <c r="AO202" s="1585">
        <f t="shared" si="26"/>
        <v>4.5</v>
      </c>
      <c r="AP202" s="1574"/>
      <c r="AQ202" s="1574"/>
      <c r="AR202" s="1574"/>
      <c r="AS202" s="1574"/>
      <c r="AT202" s="1574"/>
      <c r="AU202" s="1574"/>
      <c r="AV202" s="1574"/>
      <c r="AW202" s="1574"/>
      <c r="AX202" s="1574"/>
      <c r="AY202" s="1574"/>
      <c r="AZ202" s="1591" t="e">
        <f t="shared" si="27"/>
        <v>#DIV/0!</v>
      </c>
      <c r="BA202" s="1591" t="e">
        <f t="shared" si="28"/>
        <v>#DIV/0!</v>
      </c>
      <c r="BB202" s="1568" t="e">
        <f t="shared" si="29"/>
        <v>#DIV/0!</v>
      </c>
      <c r="BC202" s="1568" t="e">
        <f t="shared" si="30"/>
        <v>#DIV/0!</v>
      </c>
      <c r="BD202" s="1568">
        <f t="shared" ref="BD202:BD233" si="52">HLOOKUP(AO202,$N$162:$T$164,2,FALSE)</f>
        <v>103</v>
      </c>
      <c r="BE202" s="1568">
        <f t="shared" ref="BE202:BE233" si="53">HLOOKUP(AO202,$N$162:$T$164,3,FALSE)</f>
        <v>93</v>
      </c>
      <c r="BF202" s="1576" t="str">
        <f t="shared" si="31"/>
        <v>NPA</v>
      </c>
      <c r="BG202" s="1965">
        <f t="shared" si="32"/>
        <v>5</v>
      </c>
      <c r="BH202" s="1574"/>
      <c r="BI202" s="1574"/>
      <c r="BJ202" s="1574"/>
      <c r="BK202" s="1574"/>
      <c r="BL202" s="1574"/>
      <c r="BM202" s="1574"/>
      <c r="BN202" s="1574"/>
      <c r="BO202" s="1574"/>
      <c r="BP202" s="1574"/>
      <c r="BQ202" s="1574"/>
      <c r="BR202" s="1591" t="e">
        <f t="shared" si="33"/>
        <v>#DIV/0!</v>
      </c>
      <c r="BS202" s="1591" t="e">
        <f t="shared" si="34"/>
        <v>#DIV/0!</v>
      </c>
      <c r="BT202" s="1568" t="e">
        <f t="shared" si="35"/>
        <v>#DIV/0!</v>
      </c>
      <c r="BU202" s="1568">
        <f t="shared" si="36"/>
        <v>100</v>
      </c>
      <c r="BV202" s="1568">
        <f t="shared" si="37"/>
        <v>90</v>
      </c>
      <c r="BW202" s="1576" t="str">
        <f t="shared" si="38"/>
        <v>NPA</v>
      </c>
      <c r="BX202" s="348" t="str">
        <f t="shared" si="47"/>
        <v/>
      </c>
      <c r="BY202" s="348" t="str">
        <f t="shared" si="47"/>
        <v/>
      </c>
      <c r="BZ202" s="348" t="str">
        <f t="shared" si="47"/>
        <v/>
      </c>
      <c r="CA202" s="348" t="str">
        <f t="shared" si="47"/>
        <v/>
      </c>
      <c r="CB202" s="348" t="str">
        <f t="shared" si="47"/>
        <v/>
      </c>
      <c r="CC202" s="348" t="str">
        <f t="shared" si="47"/>
        <v/>
      </c>
      <c r="CD202" s="348" t="str">
        <f t="shared" si="47"/>
        <v/>
      </c>
      <c r="CE202" s="348" t="str">
        <f t="shared" si="47"/>
        <v/>
      </c>
      <c r="CF202" s="348" t="str">
        <f t="shared" si="48"/>
        <v/>
      </c>
      <c r="CG202" s="348" t="str">
        <f t="shared" si="48"/>
        <v/>
      </c>
      <c r="CH202" s="348" t="str">
        <f t="shared" si="48"/>
        <v/>
      </c>
      <c r="CI202" s="348" t="str">
        <f t="shared" si="48"/>
        <v/>
      </c>
      <c r="CJ202" s="348" t="str">
        <f t="shared" si="48"/>
        <v/>
      </c>
      <c r="CK202" s="348" t="str">
        <f t="shared" si="48"/>
        <v/>
      </c>
      <c r="CL202" s="348" t="str">
        <f t="shared" si="48"/>
        <v/>
      </c>
      <c r="CM202" s="348" t="str">
        <f t="shared" si="48"/>
        <v/>
      </c>
    </row>
    <row r="203" spans="1:91" x14ac:dyDescent="0.25">
      <c r="A203" s="1574" t="str">
        <f t="shared" si="39"/>
        <v>13 x 18</v>
      </c>
      <c r="B203" s="1642">
        <f t="shared" si="40"/>
        <v>34</v>
      </c>
      <c r="C203" s="1592" t="str">
        <f t="shared" si="41"/>
        <v>Convencional</v>
      </c>
      <c r="D203" s="1592"/>
      <c r="E203" s="1574"/>
      <c r="F203" s="1574"/>
      <c r="G203" s="1574"/>
      <c r="H203" s="1574"/>
      <c r="I203" s="1574"/>
      <c r="J203" s="1574"/>
      <c r="K203" s="1574"/>
      <c r="L203" s="1574"/>
      <c r="M203" s="1574"/>
      <c r="N203" s="1574"/>
      <c r="O203" s="1577">
        <f t="shared" si="16"/>
        <v>0</v>
      </c>
      <c r="P203" s="1576" t="str">
        <f t="shared" si="17"/>
        <v>NPA</v>
      </c>
      <c r="Q203" s="1577" t="str">
        <f t="shared" si="18"/>
        <v/>
      </c>
      <c r="R203" s="1576" t="str">
        <f t="shared" si="19"/>
        <v>NPA</v>
      </c>
      <c r="S203" s="1574"/>
      <c r="T203" s="1574"/>
      <c r="U203" s="1577" t="str">
        <f t="shared" si="20"/>
        <v>NPA</v>
      </c>
      <c r="V203" s="1576" t="str">
        <f t="shared" si="42"/>
        <v>NPA</v>
      </c>
      <c r="W203" s="1585">
        <f t="shared" si="21"/>
        <v>2</v>
      </c>
      <c r="X203" s="1574"/>
      <c r="Y203" s="1574"/>
      <c r="Z203" s="1574"/>
      <c r="AA203" s="1574"/>
      <c r="AB203" s="1574"/>
      <c r="AC203" s="1574"/>
      <c r="AD203" s="1574"/>
      <c r="AE203" s="1574"/>
      <c r="AF203" s="1574"/>
      <c r="AG203" s="1574"/>
      <c r="AH203" s="1591" t="e">
        <f t="shared" si="22"/>
        <v>#DIV/0!</v>
      </c>
      <c r="AI203" s="1591" t="e">
        <f t="shared" si="23"/>
        <v>#DIV/0!</v>
      </c>
      <c r="AJ203" s="1568" t="e">
        <f t="shared" si="24"/>
        <v>#DIV/0!</v>
      </c>
      <c r="AK203" s="1568" t="e">
        <f t="shared" si="49"/>
        <v>#DIV/0!</v>
      </c>
      <c r="AL203" s="1568">
        <f t="shared" si="50"/>
        <v>115</v>
      </c>
      <c r="AM203" s="1568">
        <f t="shared" si="51"/>
        <v>105</v>
      </c>
      <c r="AN203" s="1576" t="str">
        <f t="shared" si="25"/>
        <v>NPA</v>
      </c>
      <c r="AO203" s="1585">
        <f t="shared" si="26"/>
        <v>4.5</v>
      </c>
      <c r="AP203" s="1574"/>
      <c r="AQ203" s="1574"/>
      <c r="AR203" s="1574"/>
      <c r="AS203" s="1574"/>
      <c r="AT203" s="1574"/>
      <c r="AU203" s="1574"/>
      <c r="AV203" s="1574"/>
      <c r="AW203" s="1574"/>
      <c r="AX203" s="1574"/>
      <c r="AY203" s="1574"/>
      <c r="AZ203" s="1591" t="e">
        <f t="shared" si="27"/>
        <v>#DIV/0!</v>
      </c>
      <c r="BA203" s="1591" t="e">
        <f t="shared" si="28"/>
        <v>#DIV/0!</v>
      </c>
      <c r="BB203" s="1568" t="e">
        <f t="shared" si="29"/>
        <v>#DIV/0!</v>
      </c>
      <c r="BC203" s="1568" t="e">
        <f t="shared" si="30"/>
        <v>#DIV/0!</v>
      </c>
      <c r="BD203" s="1568">
        <f t="shared" si="52"/>
        <v>103</v>
      </c>
      <c r="BE203" s="1568">
        <f t="shared" si="53"/>
        <v>93</v>
      </c>
      <c r="BF203" s="1576" t="str">
        <f t="shared" si="31"/>
        <v>NPA</v>
      </c>
      <c r="BG203" s="1965">
        <f t="shared" si="32"/>
        <v>5</v>
      </c>
      <c r="BH203" s="1574"/>
      <c r="BI203" s="1574"/>
      <c r="BJ203" s="1574"/>
      <c r="BK203" s="1574"/>
      <c r="BL203" s="1574"/>
      <c r="BM203" s="1574"/>
      <c r="BN203" s="1574"/>
      <c r="BO203" s="1574"/>
      <c r="BP203" s="1574"/>
      <c r="BQ203" s="1574"/>
      <c r="BR203" s="1591" t="e">
        <f t="shared" si="33"/>
        <v>#DIV/0!</v>
      </c>
      <c r="BS203" s="1591" t="e">
        <f t="shared" si="34"/>
        <v>#DIV/0!</v>
      </c>
      <c r="BT203" s="1568" t="e">
        <f t="shared" si="35"/>
        <v>#DIV/0!</v>
      </c>
      <c r="BU203" s="1568">
        <f t="shared" si="36"/>
        <v>100</v>
      </c>
      <c r="BV203" s="1568">
        <f t="shared" si="37"/>
        <v>90</v>
      </c>
      <c r="BW203" s="1576" t="str">
        <f t="shared" si="38"/>
        <v>NPA</v>
      </c>
      <c r="BX203" s="348" t="str">
        <f t="shared" si="47"/>
        <v/>
      </c>
      <c r="BY203" s="348" t="str">
        <f t="shared" si="47"/>
        <v/>
      </c>
      <c r="BZ203" s="348" t="str">
        <f t="shared" si="47"/>
        <v/>
      </c>
      <c r="CA203" s="348" t="str">
        <f t="shared" si="47"/>
        <v/>
      </c>
      <c r="CB203" s="348" t="str">
        <f t="shared" si="47"/>
        <v/>
      </c>
      <c r="CC203" s="348" t="str">
        <f t="shared" si="47"/>
        <v/>
      </c>
      <c r="CD203" s="348" t="str">
        <f t="shared" si="47"/>
        <v/>
      </c>
      <c r="CE203" s="348" t="str">
        <f t="shared" si="47"/>
        <v/>
      </c>
      <c r="CF203" s="348" t="str">
        <f t="shared" si="48"/>
        <v/>
      </c>
      <c r="CG203" s="348" t="str">
        <f t="shared" si="48"/>
        <v/>
      </c>
      <c r="CH203" s="348" t="str">
        <f t="shared" si="48"/>
        <v/>
      </c>
      <c r="CI203" s="348" t="str">
        <f t="shared" si="48"/>
        <v/>
      </c>
      <c r="CJ203" s="348" t="str">
        <f t="shared" si="48"/>
        <v/>
      </c>
      <c r="CK203" s="348" t="str">
        <f t="shared" si="48"/>
        <v/>
      </c>
      <c r="CL203" s="348" t="str">
        <f t="shared" si="48"/>
        <v/>
      </c>
      <c r="CM203" s="348" t="str">
        <f t="shared" si="48"/>
        <v/>
      </c>
    </row>
    <row r="204" spans="1:91" x14ac:dyDescent="0.25">
      <c r="A204" s="1574" t="str">
        <f t="shared" si="39"/>
        <v>13 x 18</v>
      </c>
      <c r="B204" s="1642">
        <f t="shared" si="40"/>
        <v>35</v>
      </c>
      <c r="C204" s="1592" t="str">
        <f t="shared" si="41"/>
        <v>Convencional</v>
      </c>
      <c r="D204" s="1592"/>
      <c r="E204" s="1574"/>
      <c r="F204" s="1574"/>
      <c r="G204" s="1574"/>
      <c r="H204" s="1574"/>
      <c r="I204" s="1574"/>
      <c r="J204" s="1574"/>
      <c r="K204" s="1574"/>
      <c r="L204" s="1574"/>
      <c r="M204" s="1574"/>
      <c r="N204" s="1574"/>
      <c r="O204" s="1577">
        <f t="shared" si="16"/>
        <v>0</v>
      </c>
      <c r="P204" s="1576" t="str">
        <f t="shared" si="17"/>
        <v>NPA</v>
      </c>
      <c r="Q204" s="1577" t="str">
        <f t="shared" si="18"/>
        <v/>
      </c>
      <c r="R204" s="1576" t="str">
        <f t="shared" si="19"/>
        <v>NPA</v>
      </c>
      <c r="S204" s="1574"/>
      <c r="T204" s="1574"/>
      <c r="U204" s="1577" t="str">
        <f t="shared" si="20"/>
        <v>NPA</v>
      </c>
      <c r="V204" s="1576" t="str">
        <f t="shared" si="42"/>
        <v>NPA</v>
      </c>
      <c r="W204" s="1585">
        <f t="shared" si="21"/>
        <v>2</v>
      </c>
      <c r="X204" s="1574"/>
      <c r="Y204" s="1574"/>
      <c r="Z204" s="1574"/>
      <c r="AA204" s="1574"/>
      <c r="AB204" s="1574"/>
      <c r="AC204" s="1574"/>
      <c r="AD204" s="1574"/>
      <c r="AE204" s="1574"/>
      <c r="AF204" s="1574"/>
      <c r="AG204" s="1574"/>
      <c r="AH204" s="1591" t="e">
        <f t="shared" si="22"/>
        <v>#DIV/0!</v>
      </c>
      <c r="AI204" s="1591" t="e">
        <f t="shared" si="23"/>
        <v>#DIV/0!</v>
      </c>
      <c r="AJ204" s="1568" t="e">
        <f t="shared" si="24"/>
        <v>#DIV/0!</v>
      </c>
      <c r="AK204" s="1568" t="e">
        <f t="shared" si="49"/>
        <v>#DIV/0!</v>
      </c>
      <c r="AL204" s="1568">
        <f t="shared" si="50"/>
        <v>115</v>
      </c>
      <c r="AM204" s="1568">
        <f t="shared" si="51"/>
        <v>105</v>
      </c>
      <c r="AN204" s="1576" t="str">
        <f t="shared" si="25"/>
        <v>NPA</v>
      </c>
      <c r="AO204" s="1585">
        <f t="shared" si="26"/>
        <v>4.5</v>
      </c>
      <c r="AP204" s="1574"/>
      <c r="AQ204" s="1574"/>
      <c r="AR204" s="1574"/>
      <c r="AS204" s="1574"/>
      <c r="AT204" s="1574"/>
      <c r="AU204" s="1574"/>
      <c r="AV204" s="1574"/>
      <c r="AW204" s="1574"/>
      <c r="AX204" s="1574"/>
      <c r="AY204" s="1574"/>
      <c r="AZ204" s="1591" t="e">
        <f t="shared" si="27"/>
        <v>#DIV/0!</v>
      </c>
      <c r="BA204" s="1591" t="e">
        <f t="shared" si="28"/>
        <v>#DIV/0!</v>
      </c>
      <c r="BB204" s="1568" t="e">
        <f t="shared" si="29"/>
        <v>#DIV/0!</v>
      </c>
      <c r="BC204" s="1568" t="e">
        <f t="shared" si="30"/>
        <v>#DIV/0!</v>
      </c>
      <c r="BD204" s="1568">
        <f t="shared" si="52"/>
        <v>103</v>
      </c>
      <c r="BE204" s="1568">
        <f t="shared" si="53"/>
        <v>93</v>
      </c>
      <c r="BF204" s="1576" t="str">
        <f t="shared" si="31"/>
        <v>NPA</v>
      </c>
      <c r="BG204" s="1965">
        <f t="shared" si="32"/>
        <v>5</v>
      </c>
      <c r="BH204" s="1574"/>
      <c r="BI204" s="1574"/>
      <c r="BJ204" s="1574"/>
      <c r="BK204" s="1574"/>
      <c r="BL204" s="1574"/>
      <c r="BM204" s="1574"/>
      <c r="BN204" s="1574"/>
      <c r="BO204" s="1574"/>
      <c r="BP204" s="1574"/>
      <c r="BQ204" s="1574"/>
      <c r="BR204" s="1591" t="e">
        <f t="shared" si="33"/>
        <v>#DIV/0!</v>
      </c>
      <c r="BS204" s="1591" t="e">
        <f t="shared" si="34"/>
        <v>#DIV/0!</v>
      </c>
      <c r="BT204" s="1568" t="e">
        <f t="shared" si="35"/>
        <v>#DIV/0!</v>
      </c>
      <c r="BU204" s="1568">
        <f t="shared" si="36"/>
        <v>100</v>
      </c>
      <c r="BV204" s="1568">
        <f t="shared" si="37"/>
        <v>90</v>
      </c>
      <c r="BW204" s="1576" t="str">
        <f t="shared" si="38"/>
        <v>NPA</v>
      </c>
      <c r="BX204" s="348" t="str">
        <f t="shared" si="47"/>
        <v/>
      </c>
      <c r="BY204" s="348" t="str">
        <f t="shared" si="47"/>
        <v/>
      </c>
      <c r="BZ204" s="348" t="str">
        <f t="shared" si="47"/>
        <v/>
      </c>
      <c r="CA204" s="348" t="str">
        <f t="shared" si="47"/>
        <v/>
      </c>
      <c r="CB204" s="348" t="str">
        <f t="shared" si="47"/>
        <v/>
      </c>
      <c r="CC204" s="348" t="str">
        <f t="shared" si="47"/>
        <v/>
      </c>
      <c r="CD204" s="348" t="str">
        <f t="shared" si="47"/>
        <v/>
      </c>
      <c r="CE204" s="348" t="str">
        <f t="shared" si="47"/>
        <v/>
      </c>
      <c r="CF204" s="348" t="str">
        <f t="shared" si="48"/>
        <v/>
      </c>
      <c r="CG204" s="348" t="str">
        <f t="shared" si="48"/>
        <v/>
      </c>
      <c r="CH204" s="348" t="str">
        <f t="shared" si="48"/>
        <v/>
      </c>
      <c r="CI204" s="348" t="str">
        <f t="shared" si="48"/>
        <v/>
      </c>
      <c r="CJ204" s="348" t="str">
        <f t="shared" si="48"/>
        <v/>
      </c>
      <c r="CK204" s="348" t="str">
        <f t="shared" si="48"/>
        <v/>
      </c>
      <c r="CL204" s="348" t="str">
        <f t="shared" si="48"/>
        <v/>
      </c>
      <c r="CM204" s="348" t="str">
        <f t="shared" si="48"/>
        <v/>
      </c>
    </row>
    <row r="205" spans="1:91" x14ac:dyDescent="0.25">
      <c r="A205" s="1574" t="str">
        <f t="shared" si="39"/>
        <v>13 x 18</v>
      </c>
      <c r="B205" s="1642">
        <f t="shared" si="40"/>
        <v>36</v>
      </c>
      <c r="C205" s="1592" t="str">
        <f t="shared" si="41"/>
        <v>Convencional</v>
      </c>
      <c r="D205" s="1592"/>
      <c r="E205" s="1574"/>
      <c r="F205" s="1574"/>
      <c r="G205" s="1574"/>
      <c r="H205" s="1574"/>
      <c r="I205" s="1574"/>
      <c r="J205" s="1574"/>
      <c r="K205" s="1574"/>
      <c r="L205" s="1574"/>
      <c r="M205" s="1574"/>
      <c r="N205" s="1574"/>
      <c r="O205" s="1577">
        <f t="shared" si="16"/>
        <v>0</v>
      </c>
      <c r="P205" s="1576" t="str">
        <f t="shared" si="17"/>
        <v>NPA</v>
      </c>
      <c r="Q205" s="1577" t="str">
        <f t="shared" si="18"/>
        <v/>
      </c>
      <c r="R205" s="1576" t="str">
        <f t="shared" si="19"/>
        <v>NPA</v>
      </c>
      <c r="S205" s="1574"/>
      <c r="T205" s="1574"/>
      <c r="U205" s="1577" t="str">
        <f t="shared" si="20"/>
        <v>NPA</v>
      </c>
      <c r="V205" s="1576" t="str">
        <f t="shared" si="42"/>
        <v>NPA</v>
      </c>
      <c r="W205" s="1585">
        <f t="shared" si="21"/>
        <v>2</v>
      </c>
      <c r="X205" s="1574"/>
      <c r="Y205" s="1574"/>
      <c r="Z205" s="1574"/>
      <c r="AA205" s="1574"/>
      <c r="AB205" s="1574"/>
      <c r="AC205" s="1574"/>
      <c r="AD205" s="1574"/>
      <c r="AE205" s="1574"/>
      <c r="AF205" s="1574"/>
      <c r="AG205" s="1574"/>
      <c r="AH205" s="1591" t="e">
        <f t="shared" si="22"/>
        <v>#DIV/0!</v>
      </c>
      <c r="AI205" s="1591" t="e">
        <f t="shared" si="23"/>
        <v>#DIV/0!</v>
      </c>
      <c r="AJ205" s="1568" t="e">
        <f t="shared" si="24"/>
        <v>#DIV/0!</v>
      </c>
      <c r="AK205" s="1568" t="e">
        <f t="shared" si="49"/>
        <v>#DIV/0!</v>
      </c>
      <c r="AL205" s="1568">
        <f t="shared" si="50"/>
        <v>115</v>
      </c>
      <c r="AM205" s="1568">
        <f t="shared" si="51"/>
        <v>105</v>
      </c>
      <c r="AN205" s="1576" t="str">
        <f t="shared" si="25"/>
        <v>NPA</v>
      </c>
      <c r="AO205" s="1585">
        <f t="shared" si="26"/>
        <v>4.5</v>
      </c>
      <c r="AP205" s="1574"/>
      <c r="AQ205" s="1574"/>
      <c r="AR205" s="1574"/>
      <c r="AS205" s="1574"/>
      <c r="AT205" s="1574"/>
      <c r="AU205" s="1574"/>
      <c r="AV205" s="1574"/>
      <c r="AW205" s="1574"/>
      <c r="AX205" s="1574"/>
      <c r="AY205" s="1574"/>
      <c r="AZ205" s="1591" t="e">
        <f t="shared" si="27"/>
        <v>#DIV/0!</v>
      </c>
      <c r="BA205" s="1591" t="e">
        <f t="shared" si="28"/>
        <v>#DIV/0!</v>
      </c>
      <c r="BB205" s="1568" t="e">
        <f t="shared" si="29"/>
        <v>#DIV/0!</v>
      </c>
      <c r="BC205" s="1568" t="e">
        <f t="shared" si="30"/>
        <v>#DIV/0!</v>
      </c>
      <c r="BD205" s="1568">
        <f t="shared" si="52"/>
        <v>103</v>
      </c>
      <c r="BE205" s="1568">
        <f t="shared" si="53"/>
        <v>93</v>
      </c>
      <c r="BF205" s="1576" t="str">
        <f t="shared" si="31"/>
        <v>NPA</v>
      </c>
      <c r="BG205" s="1965">
        <f t="shared" si="32"/>
        <v>5</v>
      </c>
      <c r="BH205" s="1574"/>
      <c r="BI205" s="1574"/>
      <c r="BJ205" s="1574"/>
      <c r="BK205" s="1574"/>
      <c r="BL205" s="1574"/>
      <c r="BM205" s="1574"/>
      <c r="BN205" s="1574"/>
      <c r="BO205" s="1574"/>
      <c r="BP205" s="1574"/>
      <c r="BQ205" s="1574"/>
      <c r="BR205" s="1591" t="e">
        <f t="shared" si="33"/>
        <v>#DIV/0!</v>
      </c>
      <c r="BS205" s="1591" t="e">
        <f t="shared" si="34"/>
        <v>#DIV/0!</v>
      </c>
      <c r="BT205" s="1568" t="e">
        <f t="shared" si="35"/>
        <v>#DIV/0!</v>
      </c>
      <c r="BU205" s="1568">
        <f t="shared" si="36"/>
        <v>100</v>
      </c>
      <c r="BV205" s="1568">
        <f t="shared" si="37"/>
        <v>90</v>
      </c>
      <c r="BW205" s="1576" t="str">
        <f t="shared" si="38"/>
        <v>NPA</v>
      </c>
      <c r="BX205" s="348" t="str">
        <f t="shared" si="47"/>
        <v/>
      </c>
      <c r="BY205" s="348" t="str">
        <f t="shared" si="47"/>
        <v/>
      </c>
      <c r="BZ205" s="348" t="str">
        <f t="shared" si="47"/>
        <v/>
      </c>
      <c r="CA205" s="348" t="str">
        <f t="shared" si="47"/>
        <v/>
      </c>
      <c r="CB205" s="348" t="str">
        <f t="shared" si="47"/>
        <v/>
      </c>
      <c r="CC205" s="348" t="str">
        <f t="shared" si="47"/>
        <v/>
      </c>
      <c r="CD205" s="348" t="str">
        <f t="shared" si="47"/>
        <v/>
      </c>
      <c r="CE205" s="348" t="str">
        <f t="shared" si="47"/>
        <v/>
      </c>
      <c r="CF205" s="348" t="str">
        <f t="shared" si="48"/>
        <v/>
      </c>
      <c r="CG205" s="348" t="str">
        <f t="shared" si="48"/>
        <v/>
      </c>
      <c r="CH205" s="348" t="str">
        <f t="shared" si="48"/>
        <v/>
      </c>
      <c r="CI205" s="348" t="str">
        <f t="shared" si="48"/>
        <v/>
      </c>
      <c r="CJ205" s="348" t="str">
        <f t="shared" si="48"/>
        <v/>
      </c>
      <c r="CK205" s="348" t="str">
        <f t="shared" si="48"/>
        <v/>
      </c>
      <c r="CL205" s="348" t="str">
        <f t="shared" si="48"/>
        <v/>
      </c>
      <c r="CM205" s="348" t="str">
        <f t="shared" si="48"/>
        <v/>
      </c>
    </row>
    <row r="206" spans="1:91" x14ac:dyDescent="0.25">
      <c r="A206" s="1574" t="str">
        <f t="shared" si="39"/>
        <v>13 x 18</v>
      </c>
      <c r="B206" s="1642">
        <f t="shared" si="40"/>
        <v>37</v>
      </c>
      <c r="C206" s="1592" t="str">
        <f t="shared" si="41"/>
        <v>Convencional</v>
      </c>
      <c r="D206" s="1592"/>
      <c r="E206" s="1574"/>
      <c r="F206" s="1574"/>
      <c r="G206" s="1574"/>
      <c r="H206" s="1574"/>
      <c r="I206" s="1574"/>
      <c r="J206" s="1574"/>
      <c r="K206" s="1574"/>
      <c r="L206" s="1574"/>
      <c r="M206" s="1574"/>
      <c r="N206" s="1574"/>
      <c r="O206" s="1577">
        <f t="shared" si="16"/>
        <v>0</v>
      </c>
      <c r="P206" s="1576" t="str">
        <f t="shared" si="17"/>
        <v>NPA</v>
      </c>
      <c r="Q206" s="1577" t="str">
        <f t="shared" si="18"/>
        <v/>
      </c>
      <c r="R206" s="1576" t="str">
        <f t="shared" si="19"/>
        <v>NPA</v>
      </c>
      <c r="S206" s="1574"/>
      <c r="T206" s="1574"/>
      <c r="U206" s="1577" t="str">
        <f t="shared" si="20"/>
        <v>NPA</v>
      </c>
      <c r="V206" s="1576" t="str">
        <f t="shared" si="42"/>
        <v>NPA</v>
      </c>
      <c r="W206" s="1585">
        <f t="shared" si="21"/>
        <v>2</v>
      </c>
      <c r="X206" s="1574"/>
      <c r="Y206" s="1574"/>
      <c r="Z206" s="1574"/>
      <c r="AA206" s="1574"/>
      <c r="AB206" s="1574"/>
      <c r="AC206" s="1574"/>
      <c r="AD206" s="1574"/>
      <c r="AE206" s="1574"/>
      <c r="AF206" s="1574"/>
      <c r="AG206" s="1574"/>
      <c r="AH206" s="1591" t="e">
        <f t="shared" si="22"/>
        <v>#DIV/0!</v>
      </c>
      <c r="AI206" s="1591" t="e">
        <f t="shared" si="23"/>
        <v>#DIV/0!</v>
      </c>
      <c r="AJ206" s="1568" t="e">
        <f t="shared" si="24"/>
        <v>#DIV/0!</v>
      </c>
      <c r="AK206" s="1568" t="e">
        <f t="shared" si="49"/>
        <v>#DIV/0!</v>
      </c>
      <c r="AL206" s="1568">
        <f t="shared" si="50"/>
        <v>115</v>
      </c>
      <c r="AM206" s="1568">
        <f t="shared" si="51"/>
        <v>105</v>
      </c>
      <c r="AN206" s="1576" t="str">
        <f t="shared" si="25"/>
        <v>NPA</v>
      </c>
      <c r="AO206" s="1585">
        <f t="shared" si="26"/>
        <v>4.5</v>
      </c>
      <c r="AP206" s="1574"/>
      <c r="AQ206" s="1574"/>
      <c r="AR206" s="1574"/>
      <c r="AS206" s="1574"/>
      <c r="AT206" s="1574"/>
      <c r="AU206" s="1574"/>
      <c r="AV206" s="1574"/>
      <c r="AW206" s="1574"/>
      <c r="AX206" s="1574"/>
      <c r="AY206" s="1574"/>
      <c r="AZ206" s="1591" t="e">
        <f t="shared" si="27"/>
        <v>#DIV/0!</v>
      </c>
      <c r="BA206" s="1591" t="e">
        <f t="shared" si="28"/>
        <v>#DIV/0!</v>
      </c>
      <c r="BB206" s="1568" t="e">
        <f t="shared" si="29"/>
        <v>#DIV/0!</v>
      </c>
      <c r="BC206" s="1568" t="e">
        <f t="shared" si="30"/>
        <v>#DIV/0!</v>
      </c>
      <c r="BD206" s="1568">
        <f t="shared" si="52"/>
        <v>103</v>
      </c>
      <c r="BE206" s="1568">
        <f t="shared" si="53"/>
        <v>93</v>
      </c>
      <c r="BF206" s="1576" t="str">
        <f t="shared" si="31"/>
        <v>NPA</v>
      </c>
      <c r="BG206" s="1965">
        <f t="shared" si="32"/>
        <v>5</v>
      </c>
      <c r="BH206" s="1574"/>
      <c r="BI206" s="1574"/>
      <c r="BJ206" s="1574"/>
      <c r="BK206" s="1574"/>
      <c r="BL206" s="1574"/>
      <c r="BM206" s="1574"/>
      <c r="BN206" s="1574"/>
      <c r="BO206" s="1574"/>
      <c r="BP206" s="1574"/>
      <c r="BQ206" s="1574"/>
      <c r="BR206" s="1591" t="e">
        <f t="shared" si="33"/>
        <v>#DIV/0!</v>
      </c>
      <c r="BS206" s="1591" t="e">
        <f t="shared" si="34"/>
        <v>#DIV/0!</v>
      </c>
      <c r="BT206" s="1568" t="e">
        <f t="shared" si="35"/>
        <v>#DIV/0!</v>
      </c>
      <c r="BU206" s="1568">
        <f t="shared" si="36"/>
        <v>100</v>
      </c>
      <c r="BV206" s="1568">
        <f t="shared" si="37"/>
        <v>90</v>
      </c>
      <c r="BW206" s="1576" t="str">
        <f t="shared" si="38"/>
        <v>NPA</v>
      </c>
      <c r="BX206" s="348" t="str">
        <f t="shared" si="47"/>
        <v/>
      </c>
      <c r="BY206" s="348" t="str">
        <f t="shared" si="47"/>
        <v/>
      </c>
      <c r="BZ206" s="348" t="str">
        <f t="shared" si="47"/>
        <v/>
      </c>
      <c r="CA206" s="348" t="str">
        <f t="shared" si="47"/>
        <v/>
      </c>
      <c r="CB206" s="348" t="str">
        <f t="shared" si="47"/>
        <v/>
      </c>
      <c r="CC206" s="348" t="str">
        <f t="shared" si="47"/>
        <v/>
      </c>
      <c r="CD206" s="348" t="str">
        <f t="shared" si="47"/>
        <v/>
      </c>
      <c r="CE206" s="348" t="str">
        <f t="shared" si="47"/>
        <v/>
      </c>
      <c r="CF206" s="348" t="str">
        <f t="shared" si="48"/>
        <v/>
      </c>
      <c r="CG206" s="348" t="str">
        <f t="shared" si="48"/>
        <v/>
      </c>
      <c r="CH206" s="348" t="str">
        <f t="shared" si="48"/>
        <v/>
      </c>
      <c r="CI206" s="348" t="str">
        <f t="shared" si="48"/>
        <v/>
      </c>
      <c r="CJ206" s="348" t="str">
        <f t="shared" si="48"/>
        <v/>
      </c>
      <c r="CK206" s="348" t="str">
        <f t="shared" si="48"/>
        <v/>
      </c>
      <c r="CL206" s="348" t="str">
        <f t="shared" si="48"/>
        <v/>
      </c>
      <c r="CM206" s="348" t="str">
        <f t="shared" si="48"/>
        <v/>
      </c>
    </row>
    <row r="207" spans="1:91" x14ac:dyDescent="0.25">
      <c r="A207" s="1574" t="str">
        <f t="shared" si="39"/>
        <v>13 x 18</v>
      </c>
      <c r="B207" s="1642">
        <f t="shared" si="40"/>
        <v>38</v>
      </c>
      <c r="C207" s="1592" t="str">
        <f t="shared" si="41"/>
        <v>Convencional</v>
      </c>
      <c r="D207" s="1592"/>
      <c r="E207" s="1574"/>
      <c r="F207" s="1574"/>
      <c r="G207" s="1574"/>
      <c r="H207" s="1574"/>
      <c r="I207" s="1574"/>
      <c r="J207" s="1574"/>
      <c r="K207" s="1574"/>
      <c r="L207" s="1574"/>
      <c r="M207" s="1574"/>
      <c r="N207" s="1574"/>
      <c r="O207" s="1577">
        <f t="shared" si="16"/>
        <v>0</v>
      </c>
      <c r="P207" s="1576" t="str">
        <f t="shared" si="17"/>
        <v>NPA</v>
      </c>
      <c r="Q207" s="1577" t="str">
        <f t="shared" si="18"/>
        <v/>
      </c>
      <c r="R207" s="1576" t="str">
        <f t="shared" si="19"/>
        <v>NPA</v>
      </c>
      <c r="S207" s="1574"/>
      <c r="T207" s="1574"/>
      <c r="U207" s="1577" t="str">
        <f t="shared" si="20"/>
        <v>NPA</v>
      </c>
      <c r="V207" s="1576" t="str">
        <f t="shared" si="42"/>
        <v>NPA</v>
      </c>
      <c r="W207" s="1585">
        <f t="shared" si="21"/>
        <v>2</v>
      </c>
      <c r="X207" s="1574"/>
      <c r="Y207" s="1574"/>
      <c r="Z207" s="1574"/>
      <c r="AA207" s="1574"/>
      <c r="AB207" s="1574"/>
      <c r="AC207" s="1574"/>
      <c r="AD207" s="1574"/>
      <c r="AE207" s="1574"/>
      <c r="AF207" s="1574"/>
      <c r="AG207" s="1574"/>
      <c r="AH207" s="1591" t="e">
        <f t="shared" si="22"/>
        <v>#DIV/0!</v>
      </c>
      <c r="AI207" s="1591" t="e">
        <f t="shared" si="23"/>
        <v>#DIV/0!</v>
      </c>
      <c r="AJ207" s="1568" t="e">
        <f t="shared" si="24"/>
        <v>#DIV/0!</v>
      </c>
      <c r="AK207" s="1568" t="e">
        <f t="shared" si="49"/>
        <v>#DIV/0!</v>
      </c>
      <c r="AL207" s="1568">
        <f t="shared" si="50"/>
        <v>115</v>
      </c>
      <c r="AM207" s="1568">
        <f t="shared" si="51"/>
        <v>105</v>
      </c>
      <c r="AN207" s="1576" t="str">
        <f t="shared" si="25"/>
        <v>NPA</v>
      </c>
      <c r="AO207" s="1585">
        <f t="shared" si="26"/>
        <v>4.5</v>
      </c>
      <c r="AP207" s="1574"/>
      <c r="AQ207" s="1574"/>
      <c r="AR207" s="1574"/>
      <c r="AS207" s="1574"/>
      <c r="AT207" s="1574"/>
      <c r="AU207" s="1574"/>
      <c r="AV207" s="1574"/>
      <c r="AW207" s="1574"/>
      <c r="AX207" s="1574"/>
      <c r="AY207" s="1574"/>
      <c r="AZ207" s="1591" t="e">
        <f t="shared" si="27"/>
        <v>#DIV/0!</v>
      </c>
      <c r="BA207" s="1591" t="e">
        <f t="shared" si="28"/>
        <v>#DIV/0!</v>
      </c>
      <c r="BB207" s="1568" t="e">
        <f t="shared" si="29"/>
        <v>#DIV/0!</v>
      </c>
      <c r="BC207" s="1568" t="e">
        <f t="shared" si="30"/>
        <v>#DIV/0!</v>
      </c>
      <c r="BD207" s="1568">
        <f t="shared" si="52"/>
        <v>103</v>
      </c>
      <c r="BE207" s="1568">
        <f t="shared" si="53"/>
        <v>93</v>
      </c>
      <c r="BF207" s="1576" t="str">
        <f t="shared" si="31"/>
        <v>NPA</v>
      </c>
      <c r="BG207" s="1965">
        <f t="shared" si="32"/>
        <v>5</v>
      </c>
      <c r="BH207" s="1574"/>
      <c r="BI207" s="1574"/>
      <c r="BJ207" s="1574"/>
      <c r="BK207" s="1574"/>
      <c r="BL207" s="1574"/>
      <c r="BM207" s="1574"/>
      <c r="BN207" s="1574"/>
      <c r="BO207" s="1574"/>
      <c r="BP207" s="1574"/>
      <c r="BQ207" s="1574"/>
      <c r="BR207" s="1591" t="e">
        <f t="shared" si="33"/>
        <v>#DIV/0!</v>
      </c>
      <c r="BS207" s="1591" t="e">
        <f t="shared" si="34"/>
        <v>#DIV/0!</v>
      </c>
      <c r="BT207" s="1568" t="e">
        <f t="shared" si="35"/>
        <v>#DIV/0!</v>
      </c>
      <c r="BU207" s="1568">
        <f t="shared" si="36"/>
        <v>100</v>
      </c>
      <c r="BV207" s="1568">
        <f t="shared" si="37"/>
        <v>90</v>
      </c>
      <c r="BW207" s="1576" t="str">
        <f t="shared" si="38"/>
        <v>NPA</v>
      </c>
      <c r="BX207" s="348" t="str">
        <f t="shared" si="47"/>
        <v/>
      </c>
      <c r="BY207" s="348" t="str">
        <f t="shared" si="47"/>
        <v/>
      </c>
      <c r="BZ207" s="348" t="str">
        <f t="shared" si="47"/>
        <v/>
      </c>
      <c r="CA207" s="348" t="str">
        <f t="shared" si="47"/>
        <v/>
      </c>
      <c r="CB207" s="348" t="str">
        <f t="shared" si="47"/>
        <v/>
      </c>
      <c r="CC207" s="348" t="str">
        <f t="shared" si="47"/>
        <v/>
      </c>
      <c r="CD207" s="348" t="str">
        <f t="shared" si="47"/>
        <v/>
      </c>
      <c r="CE207" s="348" t="str">
        <f t="shared" si="47"/>
        <v/>
      </c>
      <c r="CF207" s="348" t="str">
        <f t="shared" si="48"/>
        <v/>
      </c>
      <c r="CG207" s="348" t="str">
        <f t="shared" si="48"/>
        <v/>
      </c>
      <c r="CH207" s="348" t="str">
        <f t="shared" si="48"/>
        <v/>
      </c>
      <c r="CI207" s="348" t="str">
        <f t="shared" si="48"/>
        <v/>
      </c>
      <c r="CJ207" s="348" t="str">
        <f t="shared" si="48"/>
        <v/>
      </c>
      <c r="CK207" s="348" t="str">
        <f t="shared" si="48"/>
        <v/>
      </c>
      <c r="CL207" s="348" t="str">
        <f t="shared" si="48"/>
        <v/>
      </c>
      <c r="CM207" s="348" t="str">
        <f t="shared" si="48"/>
        <v/>
      </c>
    </row>
    <row r="208" spans="1:91" x14ac:dyDescent="0.25">
      <c r="A208" s="1574" t="str">
        <f t="shared" si="39"/>
        <v>13 x 18</v>
      </c>
      <c r="B208" s="1642">
        <f t="shared" si="40"/>
        <v>39</v>
      </c>
      <c r="C208" s="1592" t="str">
        <f t="shared" si="41"/>
        <v>Convencional</v>
      </c>
      <c r="D208" s="1592"/>
      <c r="E208" s="1574"/>
      <c r="F208" s="1574"/>
      <c r="G208" s="1574"/>
      <c r="H208" s="1574"/>
      <c r="I208" s="1574"/>
      <c r="J208" s="1574"/>
      <c r="K208" s="1574"/>
      <c r="L208" s="1574"/>
      <c r="M208" s="1574"/>
      <c r="N208" s="1574"/>
      <c r="O208" s="1577">
        <f t="shared" si="16"/>
        <v>0</v>
      </c>
      <c r="P208" s="1576" t="str">
        <f t="shared" si="17"/>
        <v>NPA</v>
      </c>
      <c r="Q208" s="1577" t="str">
        <f t="shared" si="18"/>
        <v/>
      </c>
      <c r="R208" s="1576" t="str">
        <f t="shared" si="19"/>
        <v>NPA</v>
      </c>
      <c r="S208" s="1574"/>
      <c r="T208" s="1574"/>
      <c r="U208" s="1577" t="str">
        <f t="shared" si="20"/>
        <v>NPA</v>
      </c>
      <c r="V208" s="1576" t="str">
        <f t="shared" si="42"/>
        <v>NPA</v>
      </c>
      <c r="W208" s="1585">
        <f t="shared" si="21"/>
        <v>2</v>
      </c>
      <c r="X208" s="1574"/>
      <c r="Y208" s="1574"/>
      <c r="Z208" s="1574"/>
      <c r="AA208" s="1574"/>
      <c r="AB208" s="1574"/>
      <c r="AC208" s="1574"/>
      <c r="AD208" s="1574"/>
      <c r="AE208" s="1574"/>
      <c r="AF208" s="1574"/>
      <c r="AG208" s="1574"/>
      <c r="AH208" s="1591" t="e">
        <f t="shared" si="22"/>
        <v>#DIV/0!</v>
      </c>
      <c r="AI208" s="1591" t="e">
        <f t="shared" si="23"/>
        <v>#DIV/0!</v>
      </c>
      <c r="AJ208" s="1568" t="e">
        <f t="shared" si="24"/>
        <v>#DIV/0!</v>
      </c>
      <c r="AK208" s="1568" t="e">
        <f t="shared" si="49"/>
        <v>#DIV/0!</v>
      </c>
      <c r="AL208" s="1568">
        <f t="shared" si="50"/>
        <v>115</v>
      </c>
      <c r="AM208" s="1568">
        <f t="shared" si="51"/>
        <v>105</v>
      </c>
      <c r="AN208" s="1576" t="str">
        <f t="shared" si="25"/>
        <v>NPA</v>
      </c>
      <c r="AO208" s="1585">
        <f t="shared" si="26"/>
        <v>4.5</v>
      </c>
      <c r="AP208" s="1574"/>
      <c r="AQ208" s="1574"/>
      <c r="AR208" s="1574"/>
      <c r="AS208" s="1574"/>
      <c r="AT208" s="1574"/>
      <c r="AU208" s="1574"/>
      <c r="AV208" s="1574"/>
      <c r="AW208" s="1574"/>
      <c r="AX208" s="1574"/>
      <c r="AY208" s="1574"/>
      <c r="AZ208" s="1591" t="e">
        <f t="shared" si="27"/>
        <v>#DIV/0!</v>
      </c>
      <c r="BA208" s="1591" t="e">
        <f t="shared" si="28"/>
        <v>#DIV/0!</v>
      </c>
      <c r="BB208" s="1568" t="e">
        <f t="shared" si="29"/>
        <v>#DIV/0!</v>
      </c>
      <c r="BC208" s="1568" t="e">
        <f t="shared" si="30"/>
        <v>#DIV/0!</v>
      </c>
      <c r="BD208" s="1568">
        <f t="shared" si="52"/>
        <v>103</v>
      </c>
      <c r="BE208" s="1568">
        <f t="shared" si="53"/>
        <v>93</v>
      </c>
      <c r="BF208" s="1576" t="str">
        <f t="shared" si="31"/>
        <v>NPA</v>
      </c>
      <c r="BG208" s="1965">
        <f t="shared" si="32"/>
        <v>5</v>
      </c>
      <c r="BH208" s="1574"/>
      <c r="BI208" s="1574"/>
      <c r="BJ208" s="1574"/>
      <c r="BK208" s="1574"/>
      <c r="BL208" s="1574"/>
      <c r="BM208" s="1574"/>
      <c r="BN208" s="1574"/>
      <c r="BO208" s="1574"/>
      <c r="BP208" s="1574"/>
      <c r="BQ208" s="1574"/>
      <c r="BR208" s="1591" t="e">
        <f t="shared" si="33"/>
        <v>#DIV/0!</v>
      </c>
      <c r="BS208" s="1591" t="e">
        <f t="shared" si="34"/>
        <v>#DIV/0!</v>
      </c>
      <c r="BT208" s="1568" t="e">
        <f t="shared" si="35"/>
        <v>#DIV/0!</v>
      </c>
      <c r="BU208" s="1568">
        <f t="shared" si="36"/>
        <v>100</v>
      </c>
      <c r="BV208" s="1568">
        <f t="shared" si="37"/>
        <v>90</v>
      </c>
      <c r="BW208" s="1576" t="str">
        <f t="shared" si="38"/>
        <v>NPA</v>
      </c>
      <c r="BX208" s="348" t="str">
        <f t="shared" si="47"/>
        <v/>
      </c>
      <c r="BY208" s="348" t="str">
        <f t="shared" si="47"/>
        <v/>
      </c>
      <c r="BZ208" s="348" t="str">
        <f t="shared" si="47"/>
        <v/>
      </c>
      <c r="CA208" s="348" t="str">
        <f t="shared" si="47"/>
        <v/>
      </c>
      <c r="CB208" s="348" t="str">
        <f t="shared" si="47"/>
        <v/>
      </c>
      <c r="CC208" s="348" t="str">
        <f t="shared" si="47"/>
        <v/>
      </c>
      <c r="CD208" s="348" t="str">
        <f t="shared" si="47"/>
        <v/>
      </c>
      <c r="CE208" s="348" t="str">
        <f t="shared" si="47"/>
        <v/>
      </c>
      <c r="CF208" s="348" t="str">
        <f t="shared" si="48"/>
        <v/>
      </c>
      <c r="CG208" s="348" t="str">
        <f t="shared" si="48"/>
        <v/>
      </c>
      <c r="CH208" s="348" t="str">
        <f t="shared" si="48"/>
        <v/>
      </c>
      <c r="CI208" s="348" t="str">
        <f t="shared" si="48"/>
        <v/>
      </c>
      <c r="CJ208" s="348" t="str">
        <f t="shared" si="48"/>
        <v/>
      </c>
      <c r="CK208" s="348" t="str">
        <f t="shared" si="48"/>
        <v/>
      </c>
      <c r="CL208" s="348" t="str">
        <f t="shared" si="48"/>
        <v/>
      </c>
      <c r="CM208" s="348" t="str">
        <f t="shared" si="48"/>
        <v/>
      </c>
    </row>
    <row r="209" spans="1:91" x14ac:dyDescent="0.25">
      <c r="A209" s="1574" t="str">
        <f t="shared" si="39"/>
        <v>13 x 18</v>
      </c>
      <c r="B209" s="1642">
        <f t="shared" si="40"/>
        <v>40</v>
      </c>
      <c r="C209" s="1592" t="str">
        <f t="shared" si="41"/>
        <v>Convencional</v>
      </c>
      <c r="D209" s="1592"/>
      <c r="E209" s="1574"/>
      <c r="F209" s="1574"/>
      <c r="G209" s="1574"/>
      <c r="H209" s="1574"/>
      <c r="I209" s="1574"/>
      <c r="J209" s="1574"/>
      <c r="K209" s="1574"/>
      <c r="L209" s="1574"/>
      <c r="M209" s="1574"/>
      <c r="N209" s="1574"/>
      <c r="O209" s="1577">
        <f t="shared" si="16"/>
        <v>0</v>
      </c>
      <c r="P209" s="1576" t="str">
        <f t="shared" si="17"/>
        <v>NPA</v>
      </c>
      <c r="Q209" s="1577" t="str">
        <f t="shared" si="18"/>
        <v/>
      </c>
      <c r="R209" s="1576" t="str">
        <f t="shared" si="19"/>
        <v>NPA</v>
      </c>
      <c r="S209" s="1574"/>
      <c r="T209" s="1574"/>
      <c r="U209" s="1577" t="str">
        <f t="shared" si="20"/>
        <v>NPA</v>
      </c>
      <c r="V209" s="1576" t="str">
        <f t="shared" si="42"/>
        <v>NPA</v>
      </c>
      <c r="W209" s="1585">
        <f t="shared" si="21"/>
        <v>2</v>
      </c>
      <c r="X209" s="1574"/>
      <c r="Y209" s="1574"/>
      <c r="Z209" s="1574"/>
      <c r="AA209" s="1574"/>
      <c r="AB209" s="1574"/>
      <c r="AC209" s="1574"/>
      <c r="AD209" s="1574"/>
      <c r="AE209" s="1574"/>
      <c r="AF209" s="1574"/>
      <c r="AG209" s="1574"/>
      <c r="AH209" s="1591" t="e">
        <f t="shared" si="22"/>
        <v>#DIV/0!</v>
      </c>
      <c r="AI209" s="1591" t="e">
        <f t="shared" si="23"/>
        <v>#DIV/0!</v>
      </c>
      <c r="AJ209" s="1568" t="e">
        <f t="shared" si="24"/>
        <v>#DIV/0!</v>
      </c>
      <c r="AK209" s="1568" t="e">
        <f t="shared" si="49"/>
        <v>#DIV/0!</v>
      </c>
      <c r="AL209" s="1568">
        <f t="shared" si="50"/>
        <v>115</v>
      </c>
      <c r="AM209" s="1568">
        <f t="shared" si="51"/>
        <v>105</v>
      </c>
      <c r="AN209" s="1576" t="str">
        <f t="shared" si="25"/>
        <v>NPA</v>
      </c>
      <c r="AO209" s="1585">
        <f t="shared" si="26"/>
        <v>4.5</v>
      </c>
      <c r="AP209" s="1574"/>
      <c r="AQ209" s="1574"/>
      <c r="AR209" s="1574"/>
      <c r="AS209" s="1574"/>
      <c r="AT209" s="1574"/>
      <c r="AU209" s="1574"/>
      <c r="AV209" s="1574"/>
      <c r="AW209" s="1574"/>
      <c r="AX209" s="1574"/>
      <c r="AY209" s="1574"/>
      <c r="AZ209" s="1591" t="e">
        <f t="shared" si="27"/>
        <v>#DIV/0!</v>
      </c>
      <c r="BA209" s="1591" t="e">
        <f t="shared" si="28"/>
        <v>#DIV/0!</v>
      </c>
      <c r="BB209" s="1568" t="e">
        <f t="shared" si="29"/>
        <v>#DIV/0!</v>
      </c>
      <c r="BC209" s="1568" t="e">
        <f t="shared" si="30"/>
        <v>#DIV/0!</v>
      </c>
      <c r="BD209" s="1568">
        <f t="shared" si="52"/>
        <v>103</v>
      </c>
      <c r="BE209" s="1568">
        <f t="shared" si="53"/>
        <v>93</v>
      </c>
      <c r="BF209" s="1576" t="str">
        <f t="shared" si="31"/>
        <v>NPA</v>
      </c>
      <c r="BG209" s="1965">
        <f t="shared" si="32"/>
        <v>5</v>
      </c>
      <c r="BH209" s="1574"/>
      <c r="BI209" s="1574"/>
      <c r="BJ209" s="1574"/>
      <c r="BK209" s="1574"/>
      <c r="BL209" s="1574"/>
      <c r="BM209" s="1574"/>
      <c r="BN209" s="1574"/>
      <c r="BO209" s="1574"/>
      <c r="BP209" s="1574"/>
      <c r="BQ209" s="1574"/>
      <c r="BR209" s="1591" t="e">
        <f t="shared" si="33"/>
        <v>#DIV/0!</v>
      </c>
      <c r="BS209" s="1591" t="e">
        <f t="shared" si="34"/>
        <v>#DIV/0!</v>
      </c>
      <c r="BT209" s="1568" t="e">
        <f t="shared" si="35"/>
        <v>#DIV/0!</v>
      </c>
      <c r="BU209" s="1568">
        <f t="shared" si="36"/>
        <v>100</v>
      </c>
      <c r="BV209" s="1568">
        <f t="shared" si="37"/>
        <v>90</v>
      </c>
      <c r="BW209" s="1576" t="str">
        <f t="shared" si="38"/>
        <v>NPA</v>
      </c>
      <c r="BX209" s="348" t="str">
        <f t="shared" si="47"/>
        <v/>
      </c>
      <c r="BY209" s="348" t="str">
        <f t="shared" si="47"/>
        <v/>
      </c>
      <c r="BZ209" s="348" t="str">
        <f t="shared" si="47"/>
        <v/>
      </c>
      <c r="CA209" s="348" t="str">
        <f t="shared" si="47"/>
        <v/>
      </c>
      <c r="CB209" s="348" t="str">
        <f t="shared" si="47"/>
        <v/>
      </c>
      <c r="CC209" s="348" t="str">
        <f t="shared" si="47"/>
        <v/>
      </c>
      <c r="CD209" s="348" t="str">
        <f t="shared" si="47"/>
        <v/>
      </c>
      <c r="CE209" s="348" t="str">
        <f t="shared" si="47"/>
        <v/>
      </c>
      <c r="CF209" s="348" t="str">
        <f t="shared" si="48"/>
        <v/>
      </c>
      <c r="CG209" s="348" t="str">
        <f t="shared" si="48"/>
        <v/>
      </c>
      <c r="CH209" s="348" t="str">
        <f t="shared" si="48"/>
        <v/>
      </c>
      <c r="CI209" s="348" t="str">
        <f t="shared" si="48"/>
        <v/>
      </c>
      <c r="CJ209" s="348" t="str">
        <f t="shared" si="48"/>
        <v/>
      </c>
      <c r="CK209" s="348" t="str">
        <f t="shared" si="48"/>
        <v/>
      </c>
      <c r="CL209" s="348" t="str">
        <f t="shared" si="48"/>
        <v/>
      </c>
      <c r="CM209" s="348" t="str">
        <f t="shared" si="48"/>
        <v/>
      </c>
    </row>
    <row r="210" spans="1:91" x14ac:dyDescent="0.25">
      <c r="A210" s="1574" t="str">
        <f t="shared" si="39"/>
        <v>13 x 18</v>
      </c>
      <c r="B210" s="1642">
        <f t="shared" si="40"/>
        <v>41</v>
      </c>
      <c r="C210" s="1592" t="str">
        <f t="shared" si="41"/>
        <v>Convencional</v>
      </c>
      <c r="D210" s="1592"/>
      <c r="E210" s="1574"/>
      <c r="F210" s="1574"/>
      <c r="G210" s="1574"/>
      <c r="H210" s="1574"/>
      <c r="I210" s="1574"/>
      <c r="J210" s="1574"/>
      <c r="K210" s="1574"/>
      <c r="L210" s="1574"/>
      <c r="M210" s="1574"/>
      <c r="N210" s="1574"/>
      <c r="O210" s="1577">
        <f t="shared" si="16"/>
        <v>0</v>
      </c>
      <c r="P210" s="1576" t="str">
        <f t="shared" si="17"/>
        <v>NPA</v>
      </c>
      <c r="Q210" s="1577" t="str">
        <f t="shared" si="18"/>
        <v/>
      </c>
      <c r="R210" s="1576" t="str">
        <f t="shared" si="19"/>
        <v>NPA</v>
      </c>
      <c r="S210" s="1574"/>
      <c r="T210" s="1574"/>
      <c r="U210" s="1577" t="str">
        <f t="shared" si="20"/>
        <v>NPA</v>
      </c>
      <c r="V210" s="1576" t="str">
        <f t="shared" si="42"/>
        <v>NPA</v>
      </c>
      <c r="W210" s="1585">
        <f t="shared" si="21"/>
        <v>2</v>
      </c>
      <c r="X210" s="1574"/>
      <c r="Y210" s="1574"/>
      <c r="Z210" s="1574"/>
      <c r="AA210" s="1574"/>
      <c r="AB210" s="1574"/>
      <c r="AC210" s="1574"/>
      <c r="AD210" s="1574"/>
      <c r="AE210" s="1574"/>
      <c r="AF210" s="1574"/>
      <c r="AG210" s="1574"/>
      <c r="AH210" s="1591" t="e">
        <f t="shared" si="22"/>
        <v>#DIV/0!</v>
      </c>
      <c r="AI210" s="1591" t="e">
        <f t="shared" si="23"/>
        <v>#DIV/0!</v>
      </c>
      <c r="AJ210" s="1568" t="e">
        <f t="shared" si="24"/>
        <v>#DIV/0!</v>
      </c>
      <c r="AK210" s="1568" t="e">
        <f t="shared" si="49"/>
        <v>#DIV/0!</v>
      </c>
      <c r="AL210" s="1568">
        <f t="shared" si="50"/>
        <v>115</v>
      </c>
      <c r="AM210" s="1568">
        <f t="shared" si="51"/>
        <v>105</v>
      </c>
      <c r="AN210" s="1576" t="str">
        <f t="shared" si="25"/>
        <v>NPA</v>
      </c>
      <c r="AO210" s="1585">
        <f t="shared" si="26"/>
        <v>4.5</v>
      </c>
      <c r="AP210" s="1574"/>
      <c r="AQ210" s="1574"/>
      <c r="AR210" s="1574"/>
      <c r="AS210" s="1574"/>
      <c r="AT210" s="1574"/>
      <c r="AU210" s="1574"/>
      <c r="AV210" s="1574"/>
      <c r="AW210" s="1574"/>
      <c r="AX210" s="1574"/>
      <c r="AY210" s="1574"/>
      <c r="AZ210" s="1591" t="e">
        <f t="shared" si="27"/>
        <v>#DIV/0!</v>
      </c>
      <c r="BA210" s="1591" t="e">
        <f t="shared" si="28"/>
        <v>#DIV/0!</v>
      </c>
      <c r="BB210" s="1568" t="e">
        <f t="shared" si="29"/>
        <v>#DIV/0!</v>
      </c>
      <c r="BC210" s="1568" t="e">
        <f t="shared" si="30"/>
        <v>#DIV/0!</v>
      </c>
      <c r="BD210" s="1568">
        <f t="shared" si="52"/>
        <v>103</v>
      </c>
      <c r="BE210" s="1568">
        <f t="shared" si="53"/>
        <v>93</v>
      </c>
      <c r="BF210" s="1576" t="str">
        <f t="shared" si="31"/>
        <v>NPA</v>
      </c>
      <c r="BG210" s="1965">
        <f t="shared" si="32"/>
        <v>5</v>
      </c>
      <c r="BH210" s="1574"/>
      <c r="BI210" s="1574"/>
      <c r="BJ210" s="1574"/>
      <c r="BK210" s="1574"/>
      <c r="BL210" s="1574"/>
      <c r="BM210" s="1574"/>
      <c r="BN210" s="1574"/>
      <c r="BO210" s="1574"/>
      <c r="BP210" s="1574"/>
      <c r="BQ210" s="1574"/>
      <c r="BR210" s="1591" t="e">
        <f t="shared" si="33"/>
        <v>#DIV/0!</v>
      </c>
      <c r="BS210" s="1591" t="e">
        <f t="shared" si="34"/>
        <v>#DIV/0!</v>
      </c>
      <c r="BT210" s="1568" t="e">
        <f t="shared" si="35"/>
        <v>#DIV/0!</v>
      </c>
      <c r="BU210" s="1568">
        <f t="shared" si="36"/>
        <v>100</v>
      </c>
      <c r="BV210" s="1568">
        <f t="shared" si="37"/>
        <v>90</v>
      </c>
      <c r="BW210" s="1576" t="str">
        <f t="shared" si="38"/>
        <v>NPA</v>
      </c>
      <c r="BX210" s="348" t="str">
        <f t="shared" ref="BX210:CE219" si="54">IF(AND($A210=BX$169,$C210="Mamografia"),$Q210,"")</f>
        <v/>
      </c>
      <c r="BY210" s="348" t="str">
        <f t="shared" si="54"/>
        <v/>
      </c>
      <c r="BZ210" s="348" t="str">
        <f t="shared" si="54"/>
        <v/>
      </c>
      <c r="CA210" s="348" t="str">
        <f t="shared" si="54"/>
        <v/>
      </c>
      <c r="CB210" s="348" t="str">
        <f t="shared" si="54"/>
        <v/>
      </c>
      <c r="CC210" s="348" t="str">
        <f t="shared" si="54"/>
        <v/>
      </c>
      <c r="CD210" s="348" t="str">
        <f t="shared" si="54"/>
        <v/>
      </c>
      <c r="CE210" s="348" t="str">
        <f t="shared" si="54"/>
        <v/>
      </c>
      <c r="CF210" s="348" t="str">
        <f t="shared" ref="CF210:CM219" si="55">IF(AND($A210=CF$169,$C210="Convencional"),$Q210,"")</f>
        <v/>
      </c>
      <c r="CG210" s="348" t="str">
        <f t="shared" si="55"/>
        <v/>
      </c>
      <c r="CH210" s="348" t="str">
        <f t="shared" si="55"/>
        <v/>
      </c>
      <c r="CI210" s="348" t="str">
        <f t="shared" si="55"/>
        <v/>
      </c>
      <c r="CJ210" s="348" t="str">
        <f t="shared" si="55"/>
        <v/>
      </c>
      <c r="CK210" s="348" t="str">
        <f t="shared" si="55"/>
        <v/>
      </c>
      <c r="CL210" s="348" t="str">
        <f t="shared" si="55"/>
        <v/>
      </c>
      <c r="CM210" s="348" t="str">
        <f t="shared" si="55"/>
        <v/>
      </c>
    </row>
    <row r="211" spans="1:91" x14ac:dyDescent="0.25">
      <c r="A211" s="1574" t="str">
        <f t="shared" si="39"/>
        <v>13 x 18</v>
      </c>
      <c r="B211" s="1642">
        <f t="shared" si="40"/>
        <v>42</v>
      </c>
      <c r="C211" s="1592" t="str">
        <f t="shared" si="41"/>
        <v>Convencional</v>
      </c>
      <c r="D211" s="1592"/>
      <c r="E211" s="1574"/>
      <c r="F211" s="1574"/>
      <c r="G211" s="1574"/>
      <c r="H211" s="1574"/>
      <c r="I211" s="1574"/>
      <c r="J211" s="1574"/>
      <c r="K211" s="1574"/>
      <c r="L211" s="1574"/>
      <c r="M211" s="1574"/>
      <c r="N211" s="1574"/>
      <c r="O211" s="1577">
        <f t="shared" si="16"/>
        <v>0</v>
      </c>
      <c r="P211" s="1576" t="str">
        <f t="shared" si="17"/>
        <v>NPA</v>
      </c>
      <c r="Q211" s="1577" t="str">
        <f t="shared" si="18"/>
        <v/>
      </c>
      <c r="R211" s="1576" t="str">
        <f t="shared" si="19"/>
        <v>NPA</v>
      </c>
      <c r="S211" s="1574"/>
      <c r="T211" s="1574"/>
      <c r="U211" s="1577" t="str">
        <f t="shared" si="20"/>
        <v>NPA</v>
      </c>
      <c r="V211" s="1576" t="str">
        <f t="shared" si="42"/>
        <v>NPA</v>
      </c>
      <c r="W211" s="1585">
        <f t="shared" si="21"/>
        <v>2</v>
      </c>
      <c r="X211" s="1574"/>
      <c r="Y211" s="1574"/>
      <c r="Z211" s="1574"/>
      <c r="AA211" s="1574"/>
      <c r="AB211" s="1574"/>
      <c r="AC211" s="1574"/>
      <c r="AD211" s="1574"/>
      <c r="AE211" s="1574"/>
      <c r="AF211" s="1574"/>
      <c r="AG211" s="1574"/>
      <c r="AH211" s="1591" t="e">
        <f t="shared" si="22"/>
        <v>#DIV/0!</v>
      </c>
      <c r="AI211" s="1591" t="e">
        <f t="shared" si="23"/>
        <v>#DIV/0!</v>
      </c>
      <c r="AJ211" s="1568" t="e">
        <f t="shared" si="24"/>
        <v>#DIV/0!</v>
      </c>
      <c r="AK211" s="1568" t="e">
        <f t="shared" si="49"/>
        <v>#DIV/0!</v>
      </c>
      <c r="AL211" s="1568">
        <f t="shared" si="50"/>
        <v>115</v>
      </c>
      <c r="AM211" s="1568">
        <f t="shared" si="51"/>
        <v>105</v>
      </c>
      <c r="AN211" s="1576" t="str">
        <f t="shared" si="25"/>
        <v>NPA</v>
      </c>
      <c r="AO211" s="1585">
        <f t="shared" si="26"/>
        <v>4.5</v>
      </c>
      <c r="AP211" s="1574"/>
      <c r="AQ211" s="1574"/>
      <c r="AR211" s="1574"/>
      <c r="AS211" s="1574"/>
      <c r="AT211" s="1574"/>
      <c r="AU211" s="1574"/>
      <c r="AV211" s="1574"/>
      <c r="AW211" s="1574"/>
      <c r="AX211" s="1574"/>
      <c r="AY211" s="1574"/>
      <c r="AZ211" s="1591" t="e">
        <f t="shared" si="27"/>
        <v>#DIV/0!</v>
      </c>
      <c r="BA211" s="1591" t="e">
        <f t="shared" si="28"/>
        <v>#DIV/0!</v>
      </c>
      <c r="BB211" s="1568" t="e">
        <f t="shared" si="29"/>
        <v>#DIV/0!</v>
      </c>
      <c r="BC211" s="1568" t="e">
        <f t="shared" si="30"/>
        <v>#DIV/0!</v>
      </c>
      <c r="BD211" s="1568">
        <f t="shared" si="52"/>
        <v>103</v>
      </c>
      <c r="BE211" s="1568">
        <f t="shared" si="53"/>
        <v>93</v>
      </c>
      <c r="BF211" s="1576" t="str">
        <f t="shared" si="31"/>
        <v>NPA</v>
      </c>
      <c r="BG211" s="1965">
        <f t="shared" si="32"/>
        <v>5</v>
      </c>
      <c r="BH211" s="1574"/>
      <c r="BI211" s="1574"/>
      <c r="BJ211" s="1574"/>
      <c r="BK211" s="1574"/>
      <c r="BL211" s="1574"/>
      <c r="BM211" s="1574"/>
      <c r="BN211" s="1574"/>
      <c r="BO211" s="1574"/>
      <c r="BP211" s="1574"/>
      <c r="BQ211" s="1574"/>
      <c r="BR211" s="1591" t="e">
        <f t="shared" si="33"/>
        <v>#DIV/0!</v>
      </c>
      <c r="BS211" s="1591" t="e">
        <f t="shared" si="34"/>
        <v>#DIV/0!</v>
      </c>
      <c r="BT211" s="1568" t="e">
        <f t="shared" si="35"/>
        <v>#DIV/0!</v>
      </c>
      <c r="BU211" s="1568">
        <f t="shared" si="36"/>
        <v>100</v>
      </c>
      <c r="BV211" s="1568">
        <f t="shared" si="37"/>
        <v>90</v>
      </c>
      <c r="BW211" s="1576" t="str">
        <f t="shared" si="38"/>
        <v>NPA</v>
      </c>
      <c r="BX211" s="348" t="str">
        <f t="shared" si="54"/>
        <v/>
      </c>
      <c r="BY211" s="348" t="str">
        <f t="shared" si="54"/>
        <v/>
      </c>
      <c r="BZ211" s="348" t="str">
        <f t="shared" si="54"/>
        <v/>
      </c>
      <c r="CA211" s="348" t="str">
        <f t="shared" si="54"/>
        <v/>
      </c>
      <c r="CB211" s="348" t="str">
        <f t="shared" si="54"/>
        <v/>
      </c>
      <c r="CC211" s="348" t="str">
        <f t="shared" si="54"/>
        <v/>
      </c>
      <c r="CD211" s="348" t="str">
        <f t="shared" si="54"/>
        <v/>
      </c>
      <c r="CE211" s="348" t="str">
        <f t="shared" si="54"/>
        <v/>
      </c>
      <c r="CF211" s="348" t="str">
        <f t="shared" si="55"/>
        <v/>
      </c>
      <c r="CG211" s="348" t="str">
        <f t="shared" si="55"/>
        <v/>
      </c>
      <c r="CH211" s="348" t="str">
        <f t="shared" si="55"/>
        <v/>
      </c>
      <c r="CI211" s="348" t="str">
        <f t="shared" si="55"/>
        <v/>
      </c>
      <c r="CJ211" s="348" t="str">
        <f t="shared" si="55"/>
        <v/>
      </c>
      <c r="CK211" s="348" t="str">
        <f t="shared" si="55"/>
        <v/>
      </c>
      <c r="CL211" s="348" t="str">
        <f t="shared" si="55"/>
        <v/>
      </c>
      <c r="CM211" s="348" t="str">
        <f t="shared" si="55"/>
        <v/>
      </c>
    </row>
    <row r="212" spans="1:91" x14ac:dyDescent="0.25">
      <c r="A212" s="1574" t="str">
        <f t="shared" si="39"/>
        <v>13 x 18</v>
      </c>
      <c r="B212" s="1642">
        <f t="shared" si="40"/>
        <v>43</v>
      </c>
      <c r="C212" s="1592" t="str">
        <f t="shared" si="41"/>
        <v>Convencional</v>
      </c>
      <c r="D212" s="1592"/>
      <c r="E212" s="1574"/>
      <c r="F212" s="1574"/>
      <c r="G212" s="1574"/>
      <c r="H212" s="1574"/>
      <c r="I212" s="1574"/>
      <c r="J212" s="1574"/>
      <c r="K212" s="1574"/>
      <c r="L212" s="1574"/>
      <c r="M212" s="1574"/>
      <c r="N212" s="1574"/>
      <c r="O212" s="1577">
        <f t="shared" si="16"/>
        <v>0</v>
      </c>
      <c r="P212" s="1576" t="str">
        <f t="shared" si="17"/>
        <v>NPA</v>
      </c>
      <c r="Q212" s="1577" t="str">
        <f t="shared" si="18"/>
        <v/>
      </c>
      <c r="R212" s="1576" t="str">
        <f t="shared" si="19"/>
        <v>NPA</v>
      </c>
      <c r="S212" s="1574"/>
      <c r="T212" s="1574"/>
      <c r="U212" s="1577" t="str">
        <f t="shared" si="20"/>
        <v>NPA</v>
      </c>
      <c r="V212" s="1576" t="str">
        <f t="shared" si="42"/>
        <v>NPA</v>
      </c>
      <c r="W212" s="1585">
        <f t="shared" si="21"/>
        <v>2</v>
      </c>
      <c r="X212" s="1574"/>
      <c r="Y212" s="1574"/>
      <c r="Z212" s="1574"/>
      <c r="AA212" s="1574"/>
      <c r="AB212" s="1574"/>
      <c r="AC212" s="1574"/>
      <c r="AD212" s="1574"/>
      <c r="AE212" s="1574"/>
      <c r="AF212" s="1574"/>
      <c r="AG212" s="1574"/>
      <c r="AH212" s="1591" t="e">
        <f t="shared" si="22"/>
        <v>#DIV/0!</v>
      </c>
      <c r="AI212" s="1591" t="e">
        <f t="shared" si="23"/>
        <v>#DIV/0!</v>
      </c>
      <c r="AJ212" s="1568" t="e">
        <f t="shared" si="24"/>
        <v>#DIV/0!</v>
      </c>
      <c r="AK212" s="1568" t="e">
        <f t="shared" si="49"/>
        <v>#DIV/0!</v>
      </c>
      <c r="AL212" s="1568">
        <f t="shared" si="50"/>
        <v>115</v>
      </c>
      <c r="AM212" s="1568">
        <f t="shared" si="51"/>
        <v>105</v>
      </c>
      <c r="AN212" s="1576" t="str">
        <f t="shared" si="25"/>
        <v>NPA</v>
      </c>
      <c r="AO212" s="1585">
        <f t="shared" si="26"/>
        <v>4.5</v>
      </c>
      <c r="AP212" s="1574"/>
      <c r="AQ212" s="1574"/>
      <c r="AR212" s="1574"/>
      <c r="AS212" s="1574"/>
      <c r="AT212" s="1574"/>
      <c r="AU212" s="1574"/>
      <c r="AV212" s="1574"/>
      <c r="AW212" s="1574"/>
      <c r="AX212" s="1574"/>
      <c r="AY212" s="1574"/>
      <c r="AZ212" s="1591" t="e">
        <f t="shared" si="27"/>
        <v>#DIV/0!</v>
      </c>
      <c r="BA212" s="1591" t="e">
        <f t="shared" si="28"/>
        <v>#DIV/0!</v>
      </c>
      <c r="BB212" s="1568" t="e">
        <f t="shared" si="29"/>
        <v>#DIV/0!</v>
      </c>
      <c r="BC212" s="1568" t="e">
        <f t="shared" si="30"/>
        <v>#DIV/0!</v>
      </c>
      <c r="BD212" s="1568">
        <f t="shared" si="52"/>
        <v>103</v>
      </c>
      <c r="BE212" s="1568">
        <f t="shared" si="53"/>
        <v>93</v>
      </c>
      <c r="BF212" s="1576" t="str">
        <f t="shared" si="31"/>
        <v>NPA</v>
      </c>
      <c r="BG212" s="1965">
        <f t="shared" si="32"/>
        <v>5</v>
      </c>
      <c r="BH212" s="1574"/>
      <c r="BI212" s="1574"/>
      <c r="BJ212" s="1574"/>
      <c r="BK212" s="1574"/>
      <c r="BL212" s="1574"/>
      <c r="BM212" s="1574"/>
      <c r="BN212" s="1574"/>
      <c r="BO212" s="1574"/>
      <c r="BP212" s="1574"/>
      <c r="BQ212" s="1574"/>
      <c r="BR212" s="1591" t="e">
        <f t="shared" si="33"/>
        <v>#DIV/0!</v>
      </c>
      <c r="BS212" s="1591" t="e">
        <f t="shared" si="34"/>
        <v>#DIV/0!</v>
      </c>
      <c r="BT212" s="1568" t="e">
        <f t="shared" si="35"/>
        <v>#DIV/0!</v>
      </c>
      <c r="BU212" s="1568">
        <f t="shared" si="36"/>
        <v>100</v>
      </c>
      <c r="BV212" s="1568">
        <f t="shared" si="37"/>
        <v>90</v>
      </c>
      <c r="BW212" s="1576" t="str">
        <f t="shared" si="38"/>
        <v>NPA</v>
      </c>
      <c r="BX212" s="348" t="str">
        <f t="shared" si="54"/>
        <v/>
      </c>
      <c r="BY212" s="348" t="str">
        <f t="shared" si="54"/>
        <v/>
      </c>
      <c r="BZ212" s="348" t="str">
        <f t="shared" si="54"/>
        <v/>
      </c>
      <c r="CA212" s="348" t="str">
        <f t="shared" si="54"/>
        <v/>
      </c>
      <c r="CB212" s="348" t="str">
        <f t="shared" si="54"/>
        <v/>
      </c>
      <c r="CC212" s="348" t="str">
        <f t="shared" si="54"/>
        <v/>
      </c>
      <c r="CD212" s="348" t="str">
        <f t="shared" si="54"/>
        <v/>
      </c>
      <c r="CE212" s="348" t="str">
        <f t="shared" si="54"/>
        <v/>
      </c>
      <c r="CF212" s="348" t="str">
        <f t="shared" si="55"/>
        <v/>
      </c>
      <c r="CG212" s="348" t="str">
        <f t="shared" si="55"/>
        <v/>
      </c>
      <c r="CH212" s="348" t="str">
        <f t="shared" si="55"/>
        <v/>
      </c>
      <c r="CI212" s="348" t="str">
        <f t="shared" si="55"/>
        <v/>
      </c>
      <c r="CJ212" s="348" t="str">
        <f t="shared" si="55"/>
        <v/>
      </c>
      <c r="CK212" s="348" t="str">
        <f t="shared" si="55"/>
        <v/>
      </c>
      <c r="CL212" s="348" t="str">
        <f t="shared" si="55"/>
        <v/>
      </c>
      <c r="CM212" s="348" t="str">
        <f t="shared" si="55"/>
        <v/>
      </c>
    </row>
    <row r="213" spans="1:91" x14ac:dyDescent="0.25">
      <c r="A213" s="1574" t="str">
        <f t="shared" si="39"/>
        <v>13 x 18</v>
      </c>
      <c r="B213" s="1642">
        <f t="shared" si="40"/>
        <v>44</v>
      </c>
      <c r="C213" s="1592" t="str">
        <f t="shared" si="41"/>
        <v>Convencional</v>
      </c>
      <c r="D213" s="1592"/>
      <c r="E213" s="1574"/>
      <c r="F213" s="1574"/>
      <c r="G213" s="1574"/>
      <c r="H213" s="1574"/>
      <c r="I213" s="1574"/>
      <c r="J213" s="1574"/>
      <c r="K213" s="1574"/>
      <c r="L213" s="1574"/>
      <c r="M213" s="1574"/>
      <c r="N213" s="1574"/>
      <c r="O213" s="1577">
        <f t="shared" si="16"/>
        <v>0</v>
      </c>
      <c r="P213" s="1576" t="str">
        <f t="shared" si="17"/>
        <v>NPA</v>
      </c>
      <c r="Q213" s="1577" t="str">
        <f t="shared" si="18"/>
        <v/>
      </c>
      <c r="R213" s="1576" t="str">
        <f t="shared" si="19"/>
        <v>NPA</v>
      </c>
      <c r="S213" s="1574"/>
      <c r="T213" s="1574"/>
      <c r="U213" s="1577" t="str">
        <f t="shared" si="20"/>
        <v>NPA</v>
      </c>
      <c r="V213" s="1576" t="str">
        <f t="shared" si="42"/>
        <v>NPA</v>
      </c>
      <c r="W213" s="1585">
        <f t="shared" si="21"/>
        <v>2</v>
      </c>
      <c r="X213" s="1574"/>
      <c r="Y213" s="1574"/>
      <c r="Z213" s="1574"/>
      <c r="AA213" s="1574"/>
      <c r="AB213" s="1574"/>
      <c r="AC213" s="1574"/>
      <c r="AD213" s="1574"/>
      <c r="AE213" s="1574"/>
      <c r="AF213" s="1574"/>
      <c r="AG213" s="1574"/>
      <c r="AH213" s="1591" t="e">
        <f t="shared" si="22"/>
        <v>#DIV/0!</v>
      </c>
      <c r="AI213" s="1591" t="e">
        <f t="shared" si="23"/>
        <v>#DIV/0!</v>
      </c>
      <c r="AJ213" s="1568" t="e">
        <f t="shared" si="24"/>
        <v>#DIV/0!</v>
      </c>
      <c r="AK213" s="1568" t="e">
        <f t="shared" si="49"/>
        <v>#DIV/0!</v>
      </c>
      <c r="AL213" s="1568">
        <f t="shared" si="50"/>
        <v>115</v>
      </c>
      <c r="AM213" s="1568">
        <f t="shared" si="51"/>
        <v>105</v>
      </c>
      <c r="AN213" s="1576" t="str">
        <f t="shared" si="25"/>
        <v>NPA</v>
      </c>
      <c r="AO213" s="1585">
        <f t="shared" si="26"/>
        <v>4.5</v>
      </c>
      <c r="AP213" s="1574"/>
      <c r="AQ213" s="1574"/>
      <c r="AR213" s="1574"/>
      <c r="AS213" s="1574"/>
      <c r="AT213" s="1574"/>
      <c r="AU213" s="1574"/>
      <c r="AV213" s="1574"/>
      <c r="AW213" s="1574"/>
      <c r="AX213" s="1574"/>
      <c r="AY213" s="1574"/>
      <c r="AZ213" s="1591" t="e">
        <f t="shared" si="27"/>
        <v>#DIV/0!</v>
      </c>
      <c r="BA213" s="1591" t="e">
        <f t="shared" si="28"/>
        <v>#DIV/0!</v>
      </c>
      <c r="BB213" s="1568" t="e">
        <f t="shared" si="29"/>
        <v>#DIV/0!</v>
      </c>
      <c r="BC213" s="1568" t="e">
        <f t="shared" si="30"/>
        <v>#DIV/0!</v>
      </c>
      <c r="BD213" s="1568">
        <f t="shared" si="52"/>
        <v>103</v>
      </c>
      <c r="BE213" s="1568">
        <f t="shared" si="53"/>
        <v>93</v>
      </c>
      <c r="BF213" s="1576" t="str">
        <f t="shared" si="31"/>
        <v>NPA</v>
      </c>
      <c r="BG213" s="1965">
        <f t="shared" si="32"/>
        <v>5</v>
      </c>
      <c r="BH213" s="1574"/>
      <c r="BI213" s="1574"/>
      <c r="BJ213" s="1574"/>
      <c r="BK213" s="1574"/>
      <c r="BL213" s="1574"/>
      <c r="BM213" s="1574"/>
      <c r="BN213" s="1574"/>
      <c r="BO213" s="1574"/>
      <c r="BP213" s="1574"/>
      <c r="BQ213" s="1574"/>
      <c r="BR213" s="1591" t="e">
        <f t="shared" si="33"/>
        <v>#DIV/0!</v>
      </c>
      <c r="BS213" s="1591" t="e">
        <f t="shared" si="34"/>
        <v>#DIV/0!</v>
      </c>
      <c r="BT213" s="1568" t="e">
        <f t="shared" si="35"/>
        <v>#DIV/0!</v>
      </c>
      <c r="BU213" s="1568">
        <f t="shared" si="36"/>
        <v>100</v>
      </c>
      <c r="BV213" s="1568">
        <f t="shared" si="37"/>
        <v>90</v>
      </c>
      <c r="BW213" s="1576" t="str">
        <f t="shared" si="38"/>
        <v>NPA</v>
      </c>
      <c r="BX213" s="348" t="str">
        <f t="shared" si="54"/>
        <v/>
      </c>
      <c r="BY213" s="348" t="str">
        <f t="shared" si="54"/>
        <v/>
      </c>
      <c r="BZ213" s="348" t="str">
        <f t="shared" si="54"/>
        <v/>
      </c>
      <c r="CA213" s="348" t="str">
        <f t="shared" si="54"/>
        <v/>
      </c>
      <c r="CB213" s="348" t="str">
        <f t="shared" si="54"/>
        <v/>
      </c>
      <c r="CC213" s="348" t="str">
        <f t="shared" si="54"/>
        <v/>
      </c>
      <c r="CD213" s="348" t="str">
        <f t="shared" si="54"/>
        <v/>
      </c>
      <c r="CE213" s="348" t="str">
        <f t="shared" si="54"/>
        <v/>
      </c>
      <c r="CF213" s="348" t="str">
        <f t="shared" si="55"/>
        <v/>
      </c>
      <c r="CG213" s="348" t="str">
        <f t="shared" si="55"/>
        <v/>
      </c>
      <c r="CH213" s="348" t="str">
        <f t="shared" si="55"/>
        <v/>
      </c>
      <c r="CI213" s="348" t="str">
        <f t="shared" si="55"/>
        <v/>
      </c>
      <c r="CJ213" s="348" t="str">
        <f t="shared" si="55"/>
        <v/>
      </c>
      <c r="CK213" s="348" t="str">
        <f t="shared" si="55"/>
        <v/>
      </c>
      <c r="CL213" s="348" t="str">
        <f t="shared" si="55"/>
        <v/>
      </c>
      <c r="CM213" s="348" t="str">
        <f t="shared" si="55"/>
        <v/>
      </c>
    </row>
    <row r="214" spans="1:91" x14ac:dyDescent="0.25">
      <c r="A214" s="1574" t="str">
        <f t="shared" si="39"/>
        <v>13 x 18</v>
      </c>
      <c r="B214" s="1642">
        <f t="shared" si="40"/>
        <v>45</v>
      </c>
      <c r="C214" s="1592" t="str">
        <f t="shared" si="41"/>
        <v>Convencional</v>
      </c>
      <c r="D214" s="1592"/>
      <c r="E214" s="1574"/>
      <c r="F214" s="1574"/>
      <c r="G214" s="1574"/>
      <c r="H214" s="1574"/>
      <c r="I214" s="1574"/>
      <c r="J214" s="1574"/>
      <c r="K214" s="1574"/>
      <c r="L214" s="1574"/>
      <c r="M214" s="1574"/>
      <c r="N214" s="1574"/>
      <c r="O214" s="1577">
        <f t="shared" si="16"/>
        <v>0</v>
      </c>
      <c r="P214" s="1576" t="str">
        <f t="shared" si="17"/>
        <v>NPA</v>
      </c>
      <c r="Q214" s="1577" t="str">
        <f t="shared" si="18"/>
        <v/>
      </c>
      <c r="R214" s="1576" t="str">
        <f t="shared" si="19"/>
        <v>NPA</v>
      </c>
      <c r="S214" s="1574"/>
      <c r="T214" s="1574"/>
      <c r="U214" s="1577" t="str">
        <f t="shared" si="20"/>
        <v>NPA</v>
      </c>
      <c r="V214" s="1576" t="str">
        <f t="shared" si="42"/>
        <v>NPA</v>
      </c>
      <c r="W214" s="1585">
        <f t="shared" si="21"/>
        <v>2</v>
      </c>
      <c r="X214" s="1574"/>
      <c r="Y214" s="1574"/>
      <c r="Z214" s="1574"/>
      <c r="AA214" s="1574"/>
      <c r="AB214" s="1574"/>
      <c r="AC214" s="1574"/>
      <c r="AD214" s="1574"/>
      <c r="AE214" s="1574"/>
      <c r="AF214" s="1574"/>
      <c r="AG214" s="1574"/>
      <c r="AH214" s="1591" t="e">
        <f t="shared" si="22"/>
        <v>#DIV/0!</v>
      </c>
      <c r="AI214" s="1591" t="e">
        <f t="shared" si="23"/>
        <v>#DIV/0!</v>
      </c>
      <c r="AJ214" s="1568" t="e">
        <f t="shared" si="24"/>
        <v>#DIV/0!</v>
      </c>
      <c r="AK214" s="1568" t="e">
        <f t="shared" si="49"/>
        <v>#DIV/0!</v>
      </c>
      <c r="AL214" s="1568">
        <f t="shared" si="50"/>
        <v>115</v>
      </c>
      <c r="AM214" s="1568">
        <f t="shared" si="51"/>
        <v>105</v>
      </c>
      <c r="AN214" s="1576" t="str">
        <f t="shared" si="25"/>
        <v>NPA</v>
      </c>
      <c r="AO214" s="1585">
        <f t="shared" si="26"/>
        <v>4.5</v>
      </c>
      <c r="AP214" s="1574"/>
      <c r="AQ214" s="1574"/>
      <c r="AR214" s="1574"/>
      <c r="AS214" s="1574"/>
      <c r="AT214" s="1574"/>
      <c r="AU214" s="1574"/>
      <c r="AV214" s="1574"/>
      <c r="AW214" s="1574"/>
      <c r="AX214" s="1574"/>
      <c r="AY214" s="1574"/>
      <c r="AZ214" s="1591" t="e">
        <f t="shared" si="27"/>
        <v>#DIV/0!</v>
      </c>
      <c r="BA214" s="1591" t="e">
        <f t="shared" si="28"/>
        <v>#DIV/0!</v>
      </c>
      <c r="BB214" s="1568" t="e">
        <f t="shared" si="29"/>
        <v>#DIV/0!</v>
      </c>
      <c r="BC214" s="1568" t="e">
        <f t="shared" si="30"/>
        <v>#DIV/0!</v>
      </c>
      <c r="BD214" s="1568">
        <f t="shared" si="52"/>
        <v>103</v>
      </c>
      <c r="BE214" s="1568">
        <f t="shared" si="53"/>
        <v>93</v>
      </c>
      <c r="BF214" s="1576" t="str">
        <f t="shared" si="31"/>
        <v>NPA</v>
      </c>
      <c r="BG214" s="1965">
        <f t="shared" si="32"/>
        <v>5</v>
      </c>
      <c r="BH214" s="1574"/>
      <c r="BI214" s="1574"/>
      <c r="BJ214" s="1574"/>
      <c r="BK214" s="1574"/>
      <c r="BL214" s="1574"/>
      <c r="BM214" s="1574"/>
      <c r="BN214" s="1574"/>
      <c r="BO214" s="1574"/>
      <c r="BP214" s="1574"/>
      <c r="BQ214" s="1574"/>
      <c r="BR214" s="1591" t="e">
        <f t="shared" si="33"/>
        <v>#DIV/0!</v>
      </c>
      <c r="BS214" s="1591" t="e">
        <f t="shared" si="34"/>
        <v>#DIV/0!</v>
      </c>
      <c r="BT214" s="1568" t="e">
        <f t="shared" si="35"/>
        <v>#DIV/0!</v>
      </c>
      <c r="BU214" s="1568">
        <f t="shared" si="36"/>
        <v>100</v>
      </c>
      <c r="BV214" s="1568">
        <f t="shared" si="37"/>
        <v>90</v>
      </c>
      <c r="BW214" s="1576" t="str">
        <f t="shared" si="38"/>
        <v>NPA</v>
      </c>
      <c r="BX214" s="348" t="str">
        <f t="shared" si="54"/>
        <v/>
      </c>
      <c r="BY214" s="348" t="str">
        <f t="shared" si="54"/>
        <v/>
      </c>
      <c r="BZ214" s="348" t="str">
        <f t="shared" si="54"/>
        <v/>
      </c>
      <c r="CA214" s="348" t="str">
        <f t="shared" si="54"/>
        <v/>
      </c>
      <c r="CB214" s="348" t="str">
        <f t="shared" si="54"/>
        <v/>
      </c>
      <c r="CC214" s="348" t="str">
        <f t="shared" si="54"/>
        <v/>
      </c>
      <c r="CD214" s="348" t="str">
        <f t="shared" si="54"/>
        <v/>
      </c>
      <c r="CE214" s="348" t="str">
        <f t="shared" si="54"/>
        <v/>
      </c>
      <c r="CF214" s="348" t="str">
        <f t="shared" si="55"/>
        <v/>
      </c>
      <c r="CG214" s="348" t="str">
        <f t="shared" si="55"/>
        <v/>
      </c>
      <c r="CH214" s="348" t="str">
        <f t="shared" si="55"/>
        <v/>
      </c>
      <c r="CI214" s="348" t="str">
        <f t="shared" si="55"/>
        <v/>
      </c>
      <c r="CJ214" s="348" t="str">
        <f t="shared" si="55"/>
        <v/>
      </c>
      <c r="CK214" s="348" t="str">
        <f t="shared" si="55"/>
        <v/>
      </c>
      <c r="CL214" s="348" t="str">
        <f t="shared" si="55"/>
        <v/>
      </c>
      <c r="CM214" s="348" t="str">
        <f t="shared" si="55"/>
        <v/>
      </c>
    </row>
    <row r="215" spans="1:91" x14ac:dyDescent="0.25">
      <c r="A215" s="1574" t="str">
        <f t="shared" si="39"/>
        <v>13 x 18</v>
      </c>
      <c r="B215" s="1642">
        <f t="shared" si="40"/>
        <v>46</v>
      </c>
      <c r="C215" s="1592" t="str">
        <f t="shared" si="41"/>
        <v>Convencional</v>
      </c>
      <c r="D215" s="1592"/>
      <c r="E215" s="1574"/>
      <c r="F215" s="1574"/>
      <c r="G215" s="1574"/>
      <c r="H215" s="1574"/>
      <c r="I215" s="1574"/>
      <c r="J215" s="1574"/>
      <c r="K215" s="1574"/>
      <c r="L215" s="1574"/>
      <c r="M215" s="1574"/>
      <c r="N215" s="1574"/>
      <c r="O215" s="1577">
        <f t="shared" si="16"/>
        <v>0</v>
      </c>
      <c r="P215" s="1576" t="str">
        <f t="shared" si="17"/>
        <v>NPA</v>
      </c>
      <c r="Q215" s="1577" t="str">
        <f t="shared" si="18"/>
        <v/>
      </c>
      <c r="R215" s="1576" t="str">
        <f t="shared" si="19"/>
        <v>NPA</v>
      </c>
      <c r="S215" s="1574"/>
      <c r="T215" s="1574"/>
      <c r="U215" s="1577" t="str">
        <f t="shared" si="20"/>
        <v>NPA</v>
      </c>
      <c r="V215" s="1576" t="str">
        <f t="shared" si="42"/>
        <v>NPA</v>
      </c>
      <c r="W215" s="1585">
        <f t="shared" si="21"/>
        <v>2</v>
      </c>
      <c r="X215" s="1574"/>
      <c r="Y215" s="1574"/>
      <c r="Z215" s="1574"/>
      <c r="AA215" s="1574"/>
      <c r="AB215" s="1574"/>
      <c r="AC215" s="1574"/>
      <c r="AD215" s="1574"/>
      <c r="AE215" s="1574"/>
      <c r="AF215" s="1574"/>
      <c r="AG215" s="1574"/>
      <c r="AH215" s="1591" t="e">
        <f t="shared" si="22"/>
        <v>#DIV/0!</v>
      </c>
      <c r="AI215" s="1591" t="e">
        <f t="shared" si="23"/>
        <v>#DIV/0!</v>
      </c>
      <c r="AJ215" s="1568" t="e">
        <f t="shared" si="24"/>
        <v>#DIV/0!</v>
      </c>
      <c r="AK215" s="1568" t="e">
        <f t="shared" si="49"/>
        <v>#DIV/0!</v>
      </c>
      <c r="AL215" s="1568">
        <f t="shared" si="50"/>
        <v>115</v>
      </c>
      <c r="AM215" s="1568">
        <f t="shared" si="51"/>
        <v>105</v>
      </c>
      <c r="AN215" s="1576" t="str">
        <f t="shared" si="25"/>
        <v>NPA</v>
      </c>
      <c r="AO215" s="1585">
        <f t="shared" si="26"/>
        <v>4.5</v>
      </c>
      <c r="AP215" s="1574"/>
      <c r="AQ215" s="1574"/>
      <c r="AR215" s="1574"/>
      <c r="AS215" s="1574"/>
      <c r="AT215" s="1574"/>
      <c r="AU215" s="1574"/>
      <c r="AV215" s="1574"/>
      <c r="AW215" s="1574"/>
      <c r="AX215" s="1574"/>
      <c r="AY215" s="1574"/>
      <c r="AZ215" s="1591" t="e">
        <f t="shared" si="27"/>
        <v>#DIV/0!</v>
      </c>
      <c r="BA215" s="1591" t="e">
        <f t="shared" si="28"/>
        <v>#DIV/0!</v>
      </c>
      <c r="BB215" s="1568" t="e">
        <f t="shared" si="29"/>
        <v>#DIV/0!</v>
      </c>
      <c r="BC215" s="1568" t="e">
        <f t="shared" si="30"/>
        <v>#DIV/0!</v>
      </c>
      <c r="BD215" s="1568">
        <f t="shared" si="52"/>
        <v>103</v>
      </c>
      <c r="BE215" s="1568">
        <f t="shared" si="53"/>
        <v>93</v>
      </c>
      <c r="BF215" s="1576" t="str">
        <f t="shared" si="31"/>
        <v>NPA</v>
      </c>
      <c r="BG215" s="1965">
        <f t="shared" si="32"/>
        <v>5</v>
      </c>
      <c r="BH215" s="1574"/>
      <c r="BI215" s="1574"/>
      <c r="BJ215" s="1574"/>
      <c r="BK215" s="1574"/>
      <c r="BL215" s="1574"/>
      <c r="BM215" s="1574"/>
      <c r="BN215" s="1574"/>
      <c r="BO215" s="1574"/>
      <c r="BP215" s="1574"/>
      <c r="BQ215" s="1574"/>
      <c r="BR215" s="1591" t="e">
        <f t="shared" si="33"/>
        <v>#DIV/0!</v>
      </c>
      <c r="BS215" s="1591" t="e">
        <f t="shared" si="34"/>
        <v>#DIV/0!</v>
      </c>
      <c r="BT215" s="1568" t="e">
        <f t="shared" si="35"/>
        <v>#DIV/0!</v>
      </c>
      <c r="BU215" s="1568">
        <f t="shared" si="36"/>
        <v>100</v>
      </c>
      <c r="BV215" s="1568">
        <f t="shared" si="37"/>
        <v>90</v>
      </c>
      <c r="BW215" s="1576" t="str">
        <f t="shared" si="38"/>
        <v>NPA</v>
      </c>
      <c r="BX215" s="348" t="str">
        <f t="shared" si="54"/>
        <v/>
      </c>
      <c r="BY215" s="348" t="str">
        <f t="shared" si="54"/>
        <v/>
      </c>
      <c r="BZ215" s="348" t="str">
        <f t="shared" si="54"/>
        <v/>
      </c>
      <c r="CA215" s="348" t="str">
        <f t="shared" si="54"/>
        <v/>
      </c>
      <c r="CB215" s="348" t="str">
        <f t="shared" si="54"/>
        <v/>
      </c>
      <c r="CC215" s="348" t="str">
        <f t="shared" si="54"/>
        <v/>
      </c>
      <c r="CD215" s="348" t="str">
        <f t="shared" si="54"/>
        <v/>
      </c>
      <c r="CE215" s="348" t="str">
        <f t="shared" si="54"/>
        <v/>
      </c>
      <c r="CF215" s="348" t="str">
        <f t="shared" si="55"/>
        <v/>
      </c>
      <c r="CG215" s="348" t="str">
        <f t="shared" si="55"/>
        <v/>
      </c>
      <c r="CH215" s="348" t="str">
        <f t="shared" si="55"/>
        <v/>
      </c>
      <c r="CI215" s="348" t="str">
        <f t="shared" si="55"/>
        <v/>
      </c>
      <c r="CJ215" s="348" t="str">
        <f t="shared" si="55"/>
        <v/>
      </c>
      <c r="CK215" s="348" t="str">
        <f t="shared" si="55"/>
        <v/>
      </c>
      <c r="CL215" s="348" t="str">
        <f t="shared" si="55"/>
        <v/>
      </c>
      <c r="CM215" s="348" t="str">
        <f t="shared" si="55"/>
        <v/>
      </c>
    </row>
    <row r="216" spans="1:91" x14ac:dyDescent="0.25">
      <c r="A216" s="1574" t="str">
        <f t="shared" si="39"/>
        <v>13 x 18</v>
      </c>
      <c r="B216" s="1642">
        <f t="shared" si="40"/>
        <v>47</v>
      </c>
      <c r="C216" s="1592" t="str">
        <f t="shared" si="41"/>
        <v>Convencional</v>
      </c>
      <c r="D216" s="1592"/>
      <c r="E216" s="1574"/>
      <c r="F216" s="1574"/>
      <c r="G216" s="1574"/>
      <c r="H216" s="1574"/>
      <c r="I216" s="1574"/>
      <c r="J216" s="1574"/>
      <c r="K216" s="1574"/>
      <c r="L216" s="1574"/>
      <c r="M216" s="1574"/>
      <c r="N216" s="1574"/>
      <c r="O216" s="1577">
        <f t="shared" si="16"/>
        <v>0</v>
      </c>
      <c r="P216" s="1576" t="str">
        <f t="shared" si="17"/>
        <v>NPA</v>
      </c>
      <c r="Q216" s="1577" t="str">
        <f t="shared" si="18"/>
        <v/>
      </c>
      <c r="R216" s="1576" t="str">
        <f t="shared" si="19"/>
        <v>NPA</v>
      </c>
      <c r="S216" s="1574"/>
      <c r="T216" s="1574"/>
      <c r="U216" s="1577" t="str">
        <f t="shared" si="20"/>
        <v>NPA</v>
      </c>
      <c r="V216" s="1576" t="str">
        <f t="shared" si="42"/>
        <v>NPA</v>
      </c>
      <c r="W216" s="1585">
        <f t="shared" si="21"/>
        <v>2</v>
      </c>
      <c r="X216" s="1574"/>
      <c r="Y216" s="1574"/>
      <c r="Z216" s="1574"/>
      <c r="AA216" s="1574"/>
      <c r="AB216" s="1574"/>
      <c r="AC216" s="1574"/>
      <c r="AD216" s="1574"/>
      <c r="AE216" s="1574"/>
      <c r="AF216" s="1574"/>
      <c r="AG216" s="1574"/>
      <c r="AH216" s="1591" t="e">
        <f t="shared" si="22"/>
        <v>#DIV/0!</v>
      </c>
      <c r="AI216" s="1591" t="e">
        <f t="shared" si="23"/>
        <v>#DIV/0!</v>
      </c>
      <c r="AJ216" s="1568" t="e">
        <f t="shared" si="24"/>
        <v>#DIV/0!</v>
      </c>
      <c r="AK216" s="1568" t="e">
        <f t="shared" si="49"/>
        <v>#DIV/0!</v>
      </c>
      <c r="AL216" s="1568">
        <f t="shared" si="50"/>
        <v>115</v>
      </c>
      <c r="AM216" s="1568">
        <f t="shared" si="51"/>
        <v>105</v>
      </c>
      <c r="AN216" s="1576" t="str">
        <f t="shared" si="25"/>
        <v>NPA</v>
      </c>
      <c r="AO216" s="1585">
        <f t="shared" si="26"/>
        <v>4.5</v>
      </c>
      <c r="AP216" s="1574"/>
      <c r="AQ216" s="1574"/>
      <c r="AR216" s="1574"/>
      <c r="AS216" s="1574"/>
      <c r="AT216" s="1574"/>
      <c r="AU216" s="1574"/>
      <c r="AV216" s="1574"/>
      <c r="AW216" s="1574"/>
      <c r="AX216" s="1574"/>
      <c r="AY216" s="1574"/>
      <c r="AZ216" s="1591" t="e">
        <f t="shared" si="27"/>
        <v>#DIV/0!</v>
      </c>
      <c r="BA216" s="1591" t="e">
        <f t="shared" si="28"/>
        <v>#DIV/0!</v>
      </c>
      <c r="BB216" s="1568" t="e">
        <f t="shared" si="29"/>
        <v>#DIV/0!</v>
      </c>
      <c r="BC216" s="1568" t="e">
        <f t="shared" si="30"/>
        <v>#DIV/0!</v>
      </c>
      <c r="BD216" s="1568">
        <f t="shared" si="52"/>
        <v>103</v>
      </c>
      <c r="BE216" s="1568">
        <f t="shared" si="53"/>
        <v>93</v>
      </c>
      <c r="BF216" s="1576" t="str">
        <f t="shared" si="31"/>
        <v>NPA</v>
      </c>
      <c r="BG216" s="1965">
        <f t="shared" si="32"/>
        <v>5</v>
      </c>
      <c r="BH216" s="1574"/>
      <c r="BI216" s="1574"/>
      <c r="BJ216" s="1574"/>
      <c r="BK216" s="1574"/>
      <c r="BL216" s="1574"/>
      <c r="BM216" s="1574"/>
      <c r="BN216" s="1574"/>
      <c r="BO216" s="1574"/>
      <c r="BP216" s="1574"/>
      <c r="BQ216" s="1574"/>
      <c r="BR216" s="1591" t="e">
        <f t="shared" si="33"/>
        <v>#DIV/0!</v>
      </c>
      <c r="BS216" s="1591" t="e">
        <f t="shared" si="34"/>
        <v>#DIV/0!</v>
      </c>
      <c r="BT216" s="1568" t="e">
        <f t="shared" si="35"/>
        <v>#DIV/0!</v>
      </c>
      <c r="BU216" s="1568">
        <f t="shared" si="36"/>
        <v>100</v>
      </c>
      <c r="BV216" s="1568">
        <f t="shared" si="37"/>
        <v>90</v>
      </c>
      <c r="BW216" s="1576" t="str">
        <f t="shared" si="38"/>
        <v>NPA</v>
      </c>
      <c r="BX216" s="348" t="str">
        <f t="shared" si="54"/>
        <v/>
      </c>
      <c r="BY216" s="348" t="str">
        <f t="shared" si="54"/>
        <v/>
      </c>
      <c r="BZ216" s="348" t="str">
        <f t="shared" si="54"/>
        <v/>
      </c>
      <c r="CA216" s="348" t="str">
        <f t="shared" si="54"/>
        <v/>
      </c>
      <c r="CB216" s="348" t="str">
        <f t="shared" si="54"/>
        <v/>
      </c>
      <c r="CC216" s="348" t="str">
        <f t="shared" si="54"/>
        <v/>
      </c>
      <c r="CD216" s="348" t="str">
        <f t="shared" si="54"/>
        <v/>
      </c>
      <c r="CE216" s="348" t="str">
        <f t="shared" si="54"/>
        <v/>
      </c>
      <c r="CF216" s="348" t="str">
        <f t="shared" si="55"/>
        <v/>
      </c>
      <c r="CG216" s="348" t="str">
        <f t="shared" si="55"/>
        <v/>
      </c>
      <c r="CH216" s="348" t="str">
        <f t="shared" si="55"/>
        <v/>
      </c>
      <c r="CI216" s="348" t="str">
        <f t="shared" si="55"/>
        <v/>
      </c>
      <c r="CJ216" s="348" t="str">
        <f t="shared" si="55"/>
        <v/>
      </c>
      <c r="CK216" s="348" t="str">
        <f t="shared" si="55"/>
        <v/>
      </c>
      <c r="CL216" s="348" t="str">
        <f t="shared" si="55"/>
        <v/>
      </c>
      <c r="CM216" s="348" t="str">
        <f t="shared" si="55"/>
        <v/>
      </c>
    </row>
    <row r="217" spans="1:91" x14ac:dyDescent="0.25">
      <c r="A217" s="1574" t="str">
        <f t="shared" si="39"/>
        <v>13 x 18</v>
      </c>
      <c r="B217" s="1642">
        <f t="shared" si="40"/>
        <v>48</v>
      </c>
      <c r="C217" s="1592" t="str">
        <f t="shared" si="41"/>
        <v>Convencional</v>
      </c>
      <c r="D217" s="1592"/>
      <c r="E217" s="1574"/>
      <c r="F217" s="1574"/>
      <c r="G217" s="1574"/>
      <c r="H217" s="1574"/>
      <c r="I217" s="1574"/>
      <c r="J217" s="1574"/>
      <c r="K217" s="1574"/>
      <c r="L217" s="1574"/>
      <c r="M217" s="1574"/>
      <c r="N217" s="1574"/>
      <c r="O217" s="1577">
        <f t="shared" si="16"/>
        <v>0</v>
      </c>
      <c r="P217" s="1576" t="str">
        <f t="shared" si="17"/>
        <v>NPA</v>
      </c>
      <c r="Q217" s="1577" t="str">
        <f t="shared" si="18"/>
        <v/>
      </c>
      <c r="R217" s="1576" t="str">
        <f t="shared" si="19"/>
        <v>NPA</v>
      </c>
      <c r="S217" s="1574"/>
      <c r="T217" s="1574"/>
      <c r="U217" s="1577" t="str">
        <f t="shared" si="20"/>
        <v>NPA</v>
      </c>
      <c r="V217" s="1576" t="str">
        <f t="shared" si="42"/>
        <v>NPA</v>
      </c>
      <c r="W217" s="1585">
        <f t="shared" si="21"/>
        <v>2</v>
      </c>
      <c r="X217" s="1574"/>
      <c r="Y217" s="1574"/>
      <c r="Z217" s="1574"/>
      <c r="AA217" s="1574"/>
      <c r="AB217" s="1574"/>
      <c r="AC217" s="1574"/>
      <c r="AD217" s="1574"/>
      <c r="AE217" s="1574"/>
      <c r="AF217" s="1574"/>
      <c r="AG217" s="1574"/>
      <c r="AH217" s="1591" t="e">
        <f t="shared" si="22"/>
        <v>#DIV/0!</v>
      </c>
      <c r="AI217" s="1591" t="e">
        <f t="shared" si="23"/>
        <v>#DIV/0!</v>
      </c>
      <c r="AJ217" s="1568" t="e">
        <f t="shared" si="24"/>
        <v>#DIV/0!</v>
      </c>
      <c r="AK217" s="1568" t="e">
        <f t="shared" si="49"/>
        <v>#DIV/0!</v>
      </c>
      <c r="AL217" s="1568">
        <f t="shared" si="50"/>
        <v>115</v>
      </c>
      <c r="AM217" s="1568">
        <f t="shared" si="51"/>
        <v>105</v>
      </c>
      <c r="AN217" s="1576" t="str">
        <f t="shared" si="25"/>
        <v>NPA</v>
      </c>
      <c r="AO217" s="1585">
        <f t="shared" si="26"/>
        <v>4.5</v>
      </c>
      <c r="AP217" s="1574"/>
      <c r="AQ217" s="1574"/>
      <c r="AR217" s="1574"/>
      <c r="AS217" s="1574"/>
      <c r="AT217" s="1574"/>
      <c r="AU217" s="1574"/>
      <c r="AV217" s="1574"/>
      <c r="AW217" s="1574"/>
      <c r="AX217" s="1574"/>
      <c r="AY217" s="1574"/>
      <c r="AZ217" s="1591" t="e">
        <f t="shared" si="27"/>
        <v>#DIV/0!</v>
      </c>
      <c r="BA217" s="1591" t="e">
        <f t="shared" si="28"/>
        <v>#DIV/0!</v>
      </c>
      <c r="BB217" s="1568" t="e">
        <f t="shared" si="29"/>
        <v>#DIV/0!</v>
      </c>
      <c r="BC217" s="1568" t="e">
        <f t="shared" si="30"/>
        <v>#DIV/0!</v>
      </c>
      <c r="BD217" s="1568">
        <f t="shared" si="52"/>
        <v>103</v>
      </c>
      <c r="BE217" s="1568">
        <f t="shared" si="53"/>
        <v>93</v>
      </c>
      <c r="BF217" s="1576" t="str">
        <f t="shared" si="31"/>
        <v>NPA</v>
      </c>
      <c r="BG217" s="1965">
        <f t="shared" si="32"/>
        <v>5</v>
      </c>
      <c r="BH217" s="1574"/>
      <c r="BI217" s="1574"/>
      <c r="BJ217" s="1574"/>
      <c r="BK217" s="1574"/>
      <c r="BL217" s="1574"/>
      <c r="BM217" s="1574"/>
      <c r="BN217" s="1574"/>
      <c r="BO217" s="1574"/>
      <c r="BP217" s="1574"/>
      <c r="BQ217" s="1574"/>
      <c r="BR217" s="1591" t="e">
        <f t="shared" si="33"/>
        <v>#DIV/0!</v>
      </c>
      <c r="BS217" s="1591" t="e">
        <f t="shared" si="34"/>
        <v>#DIV/0!</v>
      </c>
      <c r="BT217" s="1568" t="e">
        <f t="shared" si="35"/>
        <v>#DIV/0!</v>
      </c>
      <c r="BU217" s="1568">
        <f t="shared" si="36"/>
        <v>100</v>
      </c>
      <c r="BV217" s="1568">
        <f t="shared" si="37"/>
        <v>90</v>
      </c>
      <c r="BW217" s="1576" t="str">
        <f t="shared" si="38"/>
        <v>NPA</v>
      </c>
      <c r="BX217" s="348" t="str">
        <f t="shared" si="54"/>
        <v/>
      </c>
      <c r="BY217" s="348" t="str">
        <f t="shared" si="54"/>
        <v/>
      </c>
      <c r="BZ217" s="348" t="str">
        <f t="shared" si="54"/>
        <v/>
      </c>
      <c r="CA217" s="348" t="str">
        <f t="shared" si="54"/>
        <v/>
      </c>
      <c r="CB217" s="348" t="str">
        <f t="shared" si="54"/>
        <v/>
      </c>
      <c r="CC217" s="348" t="str">
        <f t="shared" si="54"/>
        <v/>
      </c>
      <c r="CD217" s="348" t="str">
        <f t="shared" si="54"/>
        <v/>
      </c>
      <c r="CE217" s="348" t="str">
        <f t="shared" si="54"/>
        <v/>
      </c>
      <c r="CF217" s="348" t="str">
        <f t="shared" si="55"/>
        <v/>
      </c>
      <c r="CG217" s="348" t="str">
        <f t="shared" si="55"/>
        <v/>
      </c>
      <c r="CH217" s="348" t="str">
        <f t="shared" si="55"/>
        <v/>
      </c>
      <c r="CI217" s="348" t="str">
        <f t="shared" si="55"/>
        <v/>
      </c>
      <c r="CJ217" s="348" t="str">
        <f t="shared" si="55"/>
        <v/>
      </c>
      <c r="CK217" s="348" t="str">
        <f t="shared" si="55"/>
        <v/>
      </c>
      <c r="CL217" s="348" t="str">
        <f t="shared" si="55"/>
        <v/>
      </c>
      <c r="CM217" s="348" t="str">
        <f t="shared" si="55"/>
        <v/>
      </c>
    </row>
    <row r="218" spans="1:91" x14ac:dyDescent="0.25">
      <c r="A218" s="1574" t="str">
        <f t="shared" si="39"/>
        <v>13 x 18</v>
      </c>
      <c r="B218" s="1642">
        <f t="shared" si="40"/>
        <v>49</v>
      </c>
      <c r="C218" s="1592" t="str">
        <f t="shared" si="41"/>
        <v>Convencional</v>
      </c>
      <c r="D218" s="1592"/>
      <c r="E218" s="1574"/>
      <c r="F218" s="1574"/>
      <c r="G218" s="1574"/>
      <c r="H218" s="1574"/>
      <c r="I218" s="1574"/>
      <c r="J218" s="1574"/>
      <c r="K218" s="1574"/>
      <c r="L218" s="1574"/>
      <c r="M218" s="1574"/>
      <c r="N218" s="1574"/>
      <c r="O218" s="1577">
        <f t="shared" si="16"/>
        <v>0</v>
      </c>
      <c r="P218" s="1576" t="str">
        <f t="shared" si="17"/>
        <v>NPA</v>
      </c>
      <c r="Q218" s="1577" t="str">
        <f t="shared" si="18"/>
        <v/>
      </c>
      <c r="R218" s="1576" t="str">
        <f t="shared" si="19"/>
        <v>NPA</v>
      </c>
      <c r="S218" s="1574"/>
      <c r="T218" s="1574"/>
      <c r="U218" s="1577" t="str">
        <f t="shared" si="20"/>
        <v>NPA</v>
      </c>
      <c r="V218" s="1576" t="str">
        <f t="shared" si="42"/>
        <v>NPA</v>
      </c>
      <c r="W218" s="1585">
        <f t="shared" si="21"/>
        <v>2</v>
      </c>
      <c r="X218" s="1574"/>
      <c r="Y218" s="1574"/>
      <c r="Z218" s="1574"/>
      <c r="AA218" s="1574"/>
      <c r="AB218" s="1574"/>
      <c r="AC218" s="1574"/>
      <c r="AD218" s="1574"/>
      <c r="AE218" s="1574"/>
      <c r="AF218" s="1574"/>
      <c r="AG218" s="1574"/>
      <c r="AH218" s="1591" t="e">
        <f t="shared" si="22"/>
        <v>#DIV/0!</v>
      </c>
      <c r="AI218" s="1591" t="e">
        <f t="shared" si="23"/>
        <v>#DIV/0!</v>
      </c>
      <c r="AJ218" s="1568" t="e">
        <f t="shared" si="24"/>
        <v>#DIV/0!</v>
      </c>
      <c r="AK218" s="1568" t="e">
        <f t="shared" si="49"/>
        <v>#DIV/0!</v>
      </c>
      <c r="AL218" s="1568">
        <f t="shared" si="50"/>
        <v>115</v>
      </c>
      <c r="AM218" s="1568">
        <f t="shared" si="51"/>
        <v>105</v>
      </c>
      <c r="AN218" s="1576" t="str">
        <f t="shared" si="25"/>
        <v>NPA</v>
      </c>
      <c r="AO218" s="1585">
        <f t="shared" si="26"/>
        <v>4.5</v>
      </c>
      <c r="AP218" s="1574"/>
      <c r="AQ218" s="1574"/>
      <c r="AR218" s="1574"/>
      <c r="AS218" s="1574"/>
      <c r="AT218" s="1574"/>
      <c r="AU218" s="1574"/>
      <c r="AV218" s="1574"/>
      <c r="AW218" s="1574"/>
      <c r="AX218" s="1574"/>
      <c r="AY218" s="1574"/>
      <c r="AZ218" s="1591" t="e">
        <f t="shared" si="27"/>
        <v>#DIV/0!</v>
      </c>
      <c r="BA218" s="1591" t="e">
        <f t="shared" si="28"/>
        <v>#DIV/0!</v>
      </c>
      <c r="BB218" s="1568" t="e">
        <f t="shared" si="29"/>
        <v>#DIV/0!</v>
      </c>
      <c r="BC218" s="1568" t="e">
        <f t="shared" si="30"/>
        <v>#DIV/0!</v>
      </c>
      <c r="BD218" s="1568">
        <f t="shared" si="52"/>
        <v>103</v>
      </c>
      <c r="BE218" s="1568">
        <f t="shared" si="53"/>
        <v>93</v>
      </c>
      <c r="BF218" s="1576" t="str">
        <f t="shared" si="31"/>
        <v>NPA</v>
      </c>
      <c r="BG218" s="1965">
        <f t="shared" si="32"/>
        <v>5</v>
      </c>
      <c r="BH218" s="1574"/>
      <c r="BI218" s="1574"/>
      <c r="BJ218" s="1574"/>
      <c r="BK218" s="1574"/>
      <c r="BL218" s="1574"/>
      <c r="BM218" s="1574"/>
      <c r="BN218" s="1574"/>
      <c r="BO218" s="1574"/>
      <c r="BP218" s="1574"/>
      <c r="BQ218" s="1574"/>
      <c r="BR218" s="1591" t="e">
        <f t="shared" si="33"/>
        <v>#DIV/0!</v>
      </c>
      <c r="BS218" s="1591" t="e">
        <f t="shared" si="34"/>
        <v>#DIV/0!</v>
      </c>
      <c r="BT218" s="1568" t="e">
        <f t="shared" si="35"/>
        <v>#DIV/0!</v>
      </c>
      <c r="BU218" s="1568">
        <f t="shared" si="36"/>
        <v>100</v>
      </c>
      <c r="BV218" s="1568">
        <f t="shared" si="37"/>
        <v>90</v>
      </c>
      <c r="BW218" s="1576" t="str">
        <f t="shared" si="38"/>
        <v>NPA</v>
      </c>
      <c r="BX218" s="348" t="str">
        <f t="shared" si="54"/>
        <v/>
      </c>
      <c r="BY218" s="348" t="str">
        <f t="shared" si="54"/>
        <v/>
      </c>
      <c r="BZ218" s="348" t="str">
        <f t="shared" si="54"/>
        <v/>
      </c>
      <c r="CA218" s="348" t="str">
        <f t="shared" si="54"/>
        <v/>
      </c>
      <c r="CB218" s="348" t="str">
        <f t="shared" si="54"/>
        <v/>
      </c>
      <c r="CC218" s="348" t="str">
        <f t="shared" si="54"/>
        <v/>
      </c>
      <c r="CD218" s="348" t="str">
        <f t="shared" si="54"/>
        <v/>
      </c>
      <c r="CE218" s="348" t="str">
        <f t="shared" si="54"/>
        <v/>
      </c>
      <c r="CF218" s="348" t="str">
        <f t="shared" si="55"/>
        <v/>
      </c>
      <c r="CG218" s="348" t="str">
        <f t="shared" si="55"/>
        <v/>
      </c>
      <c r="CH218" s="348" t="str">
        <f t="shared" si="55"/>
        <v/>
      </c>
      <c r="CI218" s="348" t="str">
        <f t="shared" si="55"/>
        <v/>
      </c>
      <c r="CJ218" s="348" t="str">
        <f t="shared" si="55"/>
        <v/>
      </c>
      <c r="CK218" s="348" t="str">
        <f t="shared" si="55"/>
        <v/>
      </c>
      <c r="CL218" s="348" t="str">
        <f t="shared" si="55"/>
        <v/>
      </c>
      <c r="CM218" s="348" t="str">
        <f t="shared" si="55"/>
        <v/>
      </c>
    </row>
    <row r="219" spans="1:91" x14ac:dyDescent="0.25">
      <c r="A219" s="1574" t="str">
        <f t="shared" si="39"/>
        <v>13 x 18</v>
      </c>
      <c r="B219" s="1642">
        <f t="shared" si="40"/>
        <v>50</v>
      </c>
      <c r="C219" s="1592" t="str">
        <f t="shared" si="41"/>
        <v>Convencional</v>
      </c>
      <c r="D219" s="1592"/>
      <c r="E219" s="1574"/>
      <c r="F219" s="1574"/>
      <c r="G219" s="1574"/>
      <c r="H219" s="1574"/>
      <c r="I219" s="1574"/>
      <c r="J219" s="1574"/>
      <c r="K219" s="1574"/>
      <c r="L219" s="1574"/>
      <c r="M219" s="1574"/>
      <c r="N219" s="1574"/>
      <c r="O219" s="1577">
        <f t="shared" si="16"/>
        <v>0</v>
      </c>
      <c r="P219" s="1576" t="str">
        <f t="shared" si="17"/>
        <v>NPA</v>
      </c>
      <c r="Q219" s="1577" t="str">
        <f t="shared" si="18"/>
        <v/>
      </c>
      <c r="R219" s="1576" t="str">
        <f t="shared" si="19"/>
        <v>NPA</v>
      </c>
      <c r="S219" s="1574"/>
      <c r="T219" s="1574"/>
      <c r="U219" s="1577" t="str">
        <f t="shared" si="20"/>
        <v>NPA</v>
      </c>
      <c r="V219" s="1576" t="str">
        <f t="shared" si="42"/>
        <v>NPA</v>
      </c>
      <c r="W219" s="1585">
        <f t="shared" si="21"/>
        <v>2</v>
      </c>
      <c r="X219" s="1574"/>
      <c r="Y219" s="1574"/>
      <c r="Z219" s="1574"/>
      <c r="AA219" s="1574"/>
      <c r="AB219" s="1574"/>
      <c r="AC219" s="1574"/>
      <c r="AD219" s="1574"/>
      <c r="AE219" s="1574"/>
      <c r="AF219" s="1574"/>
      <c r="AG219" s="1574"/>
      <c r="AH219" s="1591" t="e">
        <f t="shared" si="22"/>
        <v>#DIV/0!</v>
      </c>
      <c r="AI219" s="1591" t="e">
        <f t="shared" si="23"/>
        <v>#DIV/0!</v>
      </c>
      <c r="AJ219" s="1568" t="e">
        <f t="shared" si="24"/>
        <v>#DIV/0!</v>
      </c>
      <c r="AK219" s="1568" t="e">
        <f t="shared" si="49"/>
        <v>#DIV/0!</v>
      </c>
      <c r="AL219" s="1568">
        <f t="shared" si="50"/>
        <v>115</v>
      </c>
      <c r="AM219" s="1568">
        <f t="shared" si="51"/>
        <v>105</v>
      </c>
      <c r="AN219" s="1576" t="str">
        <f t="shared" si="25"/>
        <v>NPA</v>
      </c>
      <c r="AO219" s="1585">
        <f t="shared" si="26"/>
        <v>4.5</v>
      </c>
      <c r="AP219" s="1574"/>
      <c r="AQ219" s="1574"/>
      <c r="AR219" s="1574"/>
      <c r="AS219" s="1574"/>
      <c r="AT219" s="1574"/>
      <c r="AU219" s="1574"/>
      <c r="AV219" s="1574"/>
      <c r="AW219" s="1574"/>
      <c r="AX219" s="1574"/>
      <c r="AY219" s="1574"/>
      <c r="AZ219" s="1591" t="e">
        <f t="shared" si="27"/>
        <v>#DIV/0!</v>
      </c>
      <c r="BA219" s="1591" t="e">
        <f t="shared" si="28"/>
        <v>#DIV/0!</v>
      </c>
      <c r="BB219" s="1568" t="e">
        <f t="shared" si="29"/>
        <v>#DIV/0!</v>
      </c>
      <c r="BC219" s="1568" t="e">
        <f t="shared" si="30"/>
        <v>#DIV/0!</v>
      </c>
      <c r="BD219" s="1568">
        <f t="shared" si="52"/>
        <v>103</v>
      </c>
      <c r="BE219" s="1568">
        <f t="shared" si="53"/>
        <v>93</v>
      </c>
      <c r="BF219" s="1576" t="str">
        <f t="shared" si="31"/>
        <v>NPA</v>
      </c>
      <c r="BG219" s="1965">
        <f t="shared" si="32"/>
        <v>5</v>
      </c>
      <c r="BH219" s="1574"/>
      <c r="BI219" s="1574"/>
      <c r="BJ219" s="1574"/>
      <c r="BK219" s="1574"/>
      <c r="BL219" s="1574"/>
      <c r="BM219" s="1574"/>
      <c r="BN219" s="1574"/>
      <c r="BO219" s="1574"/>
      <c r="BP219" s="1574"/>
      <c r="BQ219" s="1574"/>
      <c r="BR219" s="1591" t="e">
        <f t="shared" si="33"/>
        <v>#DIV/0!</v>
      </c>
      <c r="BS219" s="1591" t="e">
        <f t="shared" si="34"/>
        <v>#DIV/0!</v>
      </c>
      <c r="BT219" s="1568" t="e">
        <f t="shared" si="35"/>
        <v>#DIV/0!</v>
      </c>
      <c r="BU219" s="1568">
        <f t="shared" si="36"/>
        <v>100</v>
      </c>
      <c r="BV219" s="1568">
        <f t="shared" si="37"/>
        <v>90</v>
      </c>
      <c r="BW219" s="1576" t="str">
        <f t="shared" si="38"/>
        <v>NPA</v>
      </c>
      <c r="BX219" s="348" t="str">
        <f t="shared" si="54"/>
        <v/>
      </c>
      <c r="BY219" s="348" t="str">
        <f t="shared" si="54"/>
        <v/>
      </c>
      <c r="BZ219" s="348" t="str">
        <f t="shared" si="54"/>
        <v/>
      </c>
      <c r="CA219" s="348" t="str">
        <f t="shared" si="54"/>
        <v/>
      </c>
      <c r="CB219" s="348" t="str">
        <f t="shared" si="54"/>
        <v/>
      </c>
      <c r="CC219" s="348" t="str">
        <f t="shared" si="54"/>
        <v/>
      </c>
      <c r="CD219" s="348" t="str">
        <f t="shared" si="54"/>
        <v/>
      </c>
      <c r="CE219" s="348" t="str">
        <f t="shared" si="54"/>
        <v/>
      </c>
      <c r="CF219" s="348" t="str">
        <f t="shared" si="55"/>
        <v/>
      </c>
      <c r="CG219" s="348" t="str">
        <f t="shared" si="55"/>
        <v/>
      </c>
      <c r="CH219" s="348" t="str">
        <f t="shared" si="55"/>
        <v/>
      </c>
      <c r="CI219" s="348" t="str">
        <f t="shared" si="55"/>
        <v/>
      </c>
      <c r="CJ219" s="348" t="str">
        <f t="shared" si="55"/>
        <v/>
      </c>
      <c r="CK219" s="348" t="str">
        <f t="shared" si="55"/>
        <v/>
      </c>
      <c r="CL219" s="348" t="str">
        <f t="shared" si="55"/>
        <v/>
      </c>
      <c r="CM219" s="348" t="str">
        <f t="shared" si="55"/>
        <v/>
      </c>
    </row>
    <row r="220" spans="1:91" x14ac:dyDescent="0.25">
      <c r="A220" s="1574" t="str">
        <f t="shared" si="39"/>
        <v>13 x 18</v>
      </c>
      <c r="B220" s="1642">
        <f t="shared" si="40"/>
        <v>51</v>
      </c>
      <c r="C220" s="1592" t="str">
        <f t="shared" si="41"/>
        <v>Convencional</v>
      </c>
      <c r="D220" s="1592"/>
      <c r="E220" s="1574"/>
      <c r="F220" s="1574"/>
      <c r="G220" s="1574"/>
      <c r="H220" s="1574"/>
      <c r="I220" s="1574"/>
      <c r="J220" s="1574"/>
      <c r="K220" s="1574"/>
      <c r="L220" s="1574"/>
      <c r="M220" s="1574"/>
      <c r="N220" s="1574"/>
      <c r="O220" s="1577">
        <f t="shared" si="16"/>
        <v>0</v>
      </c>
      <c r="P220" s="1576" t="str">
        <f t="shared" si="17"/>
        <v>NPA</v>
      </c>
      <c r="Q220" s="1577" t="str">
        <f t="shared" si="18"/>
        <v/>
      </c>
      <c r="R220" s="1576" t="str">
        <f t="shared" si="19"/>
        <v>NPA</v>
      </c>
      <c r="S220" s="1574"/>
      <c r="T220" s="1574"/>
      <c r="U220" s="1577" t="str">
        <f t="shared" si="20"/>
        <v>NPA</v>
      </c>
      <c r="V220" s="1576" t="str">
        <f t="shared" si="42"/>
        <v>NPA</v>
      </c>
      <c r="W220" s="1585">
        <f t="shared" si="21"/>
        <v>2</v>
      </c>
      <c r="X220" s="1574"/>
      <c r="Y220" s="1574"/>
      <c r="Z220" s="1574"/>
      <c r="AA220" s="1574"/>
      <c r="AB220" s="1574"/>
      <c r="AC220" s="1574"/>
      <c r="AD220" s="1574"/>
      <c r="AE220" s="1574"/>
      <c r="AF220" s="1574"/>
      <c r="AG220" s="1574"/>
      <c r="AH220" s="1591" t="e">
        <f t="shared" si="22"/>
        <v>#DIV/0!</v>
      </c>
      <c r="AI220" s="1591" t="e">
        <f t="shared" si="23"/>
        <v>#DIV/0!</v>
      </c>
      <c r="AJ220" s="1568" t="e">
        <f t="shared" si="24"/>
        <v>#DIV/0!</v>
      </c>
      <c r="AK220" s="1568" t="e">
        <f t="shared" si="49"/>
        <v>#DIV/0!</v>
      </c>
      <c r="AL220" s="1568">
        <f t="shared" si="50"/>
        <v>115</v>
      </c>
      <c r="AM220" s="1568">
        <f t="shared" si="51"/>
        <v>105</v>
      </c>
      <c r="AN220" s="1576" t="str">
        <f t="shared" si="25"/>
        <v>NPA</v>
      </c>
      <c r="AO220" s="1585">
        <f t="shared" si="26"/>
        <v>4.5</v>
      </c>
      <c r="AP220" s="1574"/>
      <c r="AQ220" s="1574"/>
      <c r="AR220" s="1574"/>
      <c r="AS220" s="1574"/>
      <c r="AT220" s="1574"/>
      <c r="AU220" s="1574"/>
      <c r="AV220" s="1574"/>
      <c r="AW220" s="1574"/>
      <c r="AX220" s="1574"/>
      <c r="AY220" s="1574"/>
      <c r="AZ220" s="1591" t="e">
        <f t="shared" si="27"/>
        <v>#DIV/0!</v>
      </c>
      <c r="BA220" s="1591" t="e">
        <f t="shared" si="28"/>
        <v>#DIV/0!</v>
      </c>
      <c r="BB220" s="1568" t="e">
        <f t="shared" si="29"/>
        <v>#DIV/0!</v>
      </c>
      <c r="BC220" s="1568" t="e">
        <f t="shared" si="30"/>
        <v>#DIV/0!</v>
      </c>
      <c r="BD220" s="1568">
        <f t="shared" si="52"/>
        <v>103</v>
      </c>
      <c r="BE220" s="1568">
        <f t="shared" si="53"/>
        <v>93</v>
      </c>
      <c r="BF220" s="1576" t="str">
        <f t="shared" si="31"/>
        <v>NPA</v>
      </c>
      <c r="BG220" s="1965">
        <f t="shared" si="32"/>
        <v>5</v>
      </c>
      <c r="BH220" s="1574"/>
      <c r="BI220" s="1574"/>
      <c r="BJ220" s="1574"/>
      <c r="BK220" s="1574"/>
      <c r="BL220" s="1574"/>
      <c r="BM220" s="1574"/>
      <c r="BN220" s="1574"/>
      <c r="BO220" s="1574"/>
      <c r="BP220" s="1574"/>
      <c r="BQ220" s="1574"/>
      <c r="BR220" s="1591" t="e">
        <f t="shared" si="33"/>
        <v>#DIV/0!</v>
      </c>
      <c r="BS220" s="1591" t="e">
        <f t="shared" si="34"/>
        <v>#DIV/0!</v>
      </c>
      <c r="BT220" s="1568" t="e">
        <f t="shared" si="35"/>
        <v>#DIV/0!</v>
      </c>
      <c r="BU220" s="1568">
        <f t="shared" si="36"/>
        <v>100</v>
      </c>
      <c r="BV220" s="1568">
        <f t="shared" si="37"/>
        <v>90</v>
      </c>
      <c r="BW220" s="1576" t="str">
        <f t="shared" si="38"/>
        <v>NPA</v>
      </c>
      <c r="BX220" s="348" t="str">
        <f t="shared" ref="BX220:CE229" si="56">IF(AND($A220=BX$169,$C220="Mamografia"),$Q220,"")</f>
        <v/>
      </c>
      <c r="BY220" s="348" t="str">
        <f t="shared" si="56"/>
        <v/>
      </c>
      <c r="BZ220" s="348" t="str">
        <f t="shared" si="56"/>
        <v/>
      </c>
      <c r="CA220" s="348" t="str">
        <f t="shared" si="56"/>
        <v/>
      </c>
      <c r="CB220" s="348" t="str">
        <f t="shared" si="56"/>
        <v/>
      </c>
      <c r="CC220" s="348" t="str">
        <f t="shared" si="56"/>
        <v/>
      </c>
      <c r="CD220" s="348" t="str">
        <f t="shared" si="56"/>
        <v/>
      </c>
      <c r="CE220" s="348" t="str">
        <f t="shared" si="56"/>
        <v/>
      </c>
      <c r="CF220" s="348" t="str">
        <f t="shared" ref="CF220:CM229" si="57">IF(AND($A220=CF$169,$C220="Convencional"),$Q220,"")</f>
        <v/>
      </c>
      <c r="CG220" s="348" t="str">
        <f t="shared" si="57"/>
        <v/>
      </c>
      <c r="CH220" s="348" t="str">
        <f t="shared" si="57"/>
        <v/>
      </c>
      <c r="CI220" s="348" t="str">
        <f t="shared" si="57"/>
        <v/>
      </c>
      <c r="CJ220" s="348" t="str">
        <f t="shared" si="57"/>
        <v/>
      </c>
      <c r="CK220" s="348" t="str">
        <f t="shared" si="57"/>
        <v/>
      </c>
      <c r="CL220" s="348" t="str">
        <f t="shared" si="57"/>
        <v/>
      </c>
      <c r="CM220" s="348" t="str">
        <f t="shared" si="57"/>
        <v/>
      </c>
    </row>
    <row r="221" spans="1:91" x14ac:dyDescent="0.25">
      <c r="A221" s="1574" t="str">
        <f t="shared" si="39"/>
        <v>13 x 18</v>
      </c>
      <c r="B221" s="1642">
        <f t="shared" si="40"/>
        <v>52</v>
      </c>
      <c r="C221" s="1592" t="str">
        <f t="shared" si="41"/>
        <v>Convencional</v>
      </c>
      <c r="D221" s="1592"/>
      <c r="E221" s="1574"/>
      <c r="F221" s="1574"/>
      <c r="G221" s="1574"/>
      <c r="H221" s="1574"/>
      <c r="I221" s="1574"/>
      <c r="J221" s="1574"/>
      <c r="K221" s="1574"/>
      <c r="L221" s="1574"/>
      <c r="M221" s="1574"/>
      <c r="N221" s="1574"/>
      <c r="O221" s="1577">
        <f t="shared" si="16"/>
        <v>0</v>
      </c>
      <c r="P221" s="1576" t="str">
        <f t="shared" si="17"/>
        <v>NPA</v>
      </c>
      <c r="Q221" s="1577" t="str">
        <f t="shared" si="18"/>
        <v/>
      </c>
      <c r="R221" s="1576" t="str">
        <f t="shared" si="19"/>
        <v>NPA</v>
      </c>
      <c r="S221" s="1574"/>
      <c r="T221" s="1574"/>
      <c r="U221" s="1577" t="str">
        <f t="shared" si="20"/>
        <v>NPA</v>
      </c>
      <c r="V221" s="1576" t="str">
        <f t="shared" si="42"/>
        <v>NPA</v>
      </c>
      <c r="W221" s="1585">
        <f t="shared" si="21"/>
        <v>2</v>
      </c>
      <c r="X221" s="1574"/>
      <c r="Y221" s="1574"/>
      <c r="Z221" s="1574"/>
      <c r="AA221" s="1574"/>
      <c r="AB221" s="1574"/>
      <c r="AC221" s="1574"/>
      <c r="AD221" s="1574"/>
      <c r="AE221" s="1574"/>
      <c r="AF221" s="1574"/>
      <c r="AG221" s="1574"/>
      <c r="AH221" s="1591" t="e">
        <f t="shared" si="22"/>
        <v>#DIV/0!</v>
      </c>
      <c r="AI221" s="1591" t="e">
        <f t="shared" si="23"/>
        <v>#DIV/0!</v>
      </c>
      <c r="AJ221" s="1568" t="e">
        <f t="shared" si="24"/>
        <v>#DIV/0!</v>
      </c>
      <c r="AK221" s="1568" t="e">
        <f t="shared" si="49"/>
        <v>#DIV/0!</v>
      </c>
      <c r="AL221" s="1568">
        <f t="shared" si="50"/>
        <v>115</v>
      </c>
      <c r="AM221" s="1568">
        <f t="shared" si="51"/>
        <v>105</v>
      </c>
      <c r="AN221" s="1576" t="str">
        <f t="shared" si="25"/>
        <v>NPA</v>
      </c>
      <c r="AO221" s="1585">
        <f t="shared" si="26"/>
        <v>4.5</v>
      </c>
      <c r="AP221" s="1574"/>
      <c r="AQ221" s="1574"/>
      <c r="AR221" s="1574"/>
      <c r="AS221" s="1574"/>
      <c r="AT221" s="1574"/>
      <c r="AU221" s="1574"/>
      <c r="AV221" s="1574"/>
      <c r="AW221" s="1574"/>
      <c r="AX221" s="1574"/>
      <c r="AY221" s="1574"/>
      <c r="AZ221" s="1591" t="e">
        <f t="shared" si="27"/>
        <v>#DIV/0!</v>
      </c>
      <c r="BA221" s="1591" t="e">
        <f t="shared" si="28"/>
        <v>#DIV/0!</v>
      </c>
      <c r="BB221" s="1568" t="e">
        <f t="shared" si="29"/>
        <v>#DIV/0!</v>
      </c>
      <c r="BC221" s="1568" t="e">
        <f t="shared" si="30"/>
        <v>#DIV/0!</v>
      </c>
      <c r="BD221" s="1568">
        <f t="shared" si="52"/>
        <v>103</v>
      </c>
      <c r="BE221" s="1568">
        <f t="shared" si="53"/>
        <v>93</v>
      </c>
      <c r="BF221" s="1576" t="str">
        <f t="shared" si="31"/>
        <v>NPA</v>
      </c>
      <c r="BG221" s="1965">
        <f t="shared" si="32"/>
        <v>5</v>
      </c>
      <c r="BH221" s="1574"/>
      <c r="BI221" s="1574"/>
      <c r="BJ221" s="1574"/>
      <c r="BK221" s="1574"/>
      <c r="BL221" s="1574"/>
      <c r="BM221" s="1574"/>
      <c r="BN221" s="1574"/>
      <c r="BO221" s="1574"/>
      <c r="BP221" s="1574"/>
      <c r="BQ221" s="1574"/>
      <c r="BR221" s="1591" t="e">
        <f t="shared" si="33"/>
        <v>#DIV/0!</v>
      </c>
      <c r="BS221" s="1591" t="e">
        <f t="shared" si="34"/>
        <v>#DIV/0!</v>
      </c>
      <c r="BT221" s="1568" t="e">
        <f t="shared" si="35"/>
        <v>#DIV/0!</v>
      </c>
      <c r="BU221" s="1568">
        <f t="shared" si="36"/>
        <v>100</v>
      </c>
      <c r="BV221" s="1568">
        <f t="shared" si="37"/>
        <v>90</v>
      </c>
      <c r="BW221" s="1576" t="str">
        <f t="shared" si="38"/>
        <v>NPA</v>
      </c>
      <c r="BX221" s="348" t="str">
        <f t="shared" si="56"/>
        <v/>
      </c>
      <c r="BY221" s="348" t="str">
        <f t="shared" si="56"/>
        <v/>
      </c>
      <c r="BZ221" s="348" t="str">
        <f t="shared" si="56"/>
        <v/>
      </c>
      <c r="CA221" s="348" t="str">
        <f t="shared" si="56"/>
        <v/>
      </c>
      <c r="CB221" s="348" t="str">
        <f t="shared" si="56"/>
        <v/>
      </c>
      <c r="CC221" s="348" t="str">
        <f t="shared" si="56"/>
        <v/>
      </c>
      <c r="CD221" s="348" t="str">
        <f t="shared" si="56"/>
        <v/>
      </c>
      <c r="CE221" s="348" t="str">
        <f t="shared" si="56"/>
        <v/>
      </c>
      <c r="CF221" s="348" t="str">
        <f t="shared" si="57"/>
        <v/>
      </c>
      <c r="CG221" s="348" t="str">
        <f t="shared" si="57"/>
        <v/>
      </c>
      <c r="CH221" s="348" t="str">
        <f t="shared" si="57"/>
        <v/>
      </c>
      <c r="CI221" s="348" t="str">
        <f t="shared" si="57"/>
        <v/>
      </c>
      <c r="CJ221" s="348" t="str">
        <f t="shared" si="57"/>
        <v/>
      </c>
      <c r="CK221" s="348" t="str">
        <f t="shared" si="57"/>
        <v/>
      </c>
      <c r="CL221" s="348" t="str">
        <f t="shared" si="57"/>
        <v/>
      </c>
      <c r="CM221" s="348" t="str">
        <f t="shared" si="57"/>
        <v/>
      </c>
    </row>
    <row r="222" spans="1:91" x14ac:dyDescent="0.25">
      <c r="A222" s="1574" t="str">
        <f t="shared" si="39"/>
        <v>13 x 18</v>
      </c>
      <c r="B222" s="1642">
        <f t="shared" si="40"/>
        <v>53</v>
      </c>
      <c r="C222" s="1592" t="str">
        <f t="shared" si="41"/>
        <v>Convencional</v>
      </c>
      <c r="D222" s="1592"/>
      <c r="E222" s="1574"/>
      <c r="F222" s="1574"/>
      <c r="G222" s="1574"/>
      <c r="H222" s="1574"/>
      <c r="I222" s="1574"/>
      <c r="J222" s="1574"/>
      <c r="K222" s="1574"/>
      <c r="L222" s="1574"/>
      <c r="M222" s="1574"/>
      <c r="N222" s="1574"/>
      <c r="O222" s="1577">
        <f t="shared" si="16"/>
        <v>0</v>
      </c>
      <c r="P222" s="1576" t="str">
        <f t="shared" si="17"/>
        <v>NPA</v>
      </c>
      <c r="Q222" s="1577" t="str">
        <f t="shared" si="18"/>
        <v/>
      </c>
      <c r="R222" s="1576" t="str">
        <f t="shared" si="19"/>
        <v>NPA</v>
      </c>
      <c r="S222" s="1574"/>
      <c r="T222" s="1574"/>
      <c r="U222" s="1577" t="str">
        <f t="shared" si="20"/>
        <v>NPA</v>
      </c>
      <c r="V222" s="1576" t="str">
        <f t="shared" si="42"/>
        <v>NPA</v>
      </c>
      <c r="W222" s="1585">
        <f t="shared" si="21"/>
        <v>2</v>
      </c>
      <c r="X222" s="1574"/>
      <c r="Y222" s="1574"/>
      <c r="Z222" s="1574"/>
      <c r="AA222" s="1574"/>
      <c r="AB222" s="1574"/>
      <c r="AC222" s="1574"/>
      <c r="AD222" s="1574"/>
      <c r="AE222" s="1574"/>
      <c r="AF222" s="1574"/>
      <c r="AG222" s="1574"/>
      <c r="AH222" s="1591" t="e">
        <f t="shared" si="22"/>
        <v>#DIV/0!</v>
      </c>
      <c r="AI222" s="1591" t="e">
        <f t="shared" si="23"/>
        <v>#DIV/0!</v>
      </c>
      <c r="AJ222" s="1568" t="e">
        <f t="shared" si="24"/>
        <v>#DIV/0!</v>
      </c>
      <c r="AK222" s="1568" t="e">
        <f t="shared" si="49"/>
        <v>#DIV/0!</v>
      </c>
      <c r="AL222" s="1568">
        <f t="shared" si="50"/>
        <v>115</v>
      </c>
      <c r="AM222" s="1568">
        <f t="shared" si="51"/>
        <v>105</v>
      </c>
      <c r="AN222" s="1576" t="str">
        <f t="shared" si="25"/>
        <v>NPA</v>
      </c>
      <c r="AO222" s="1585">
        <f t="shared" si="26"/>
        <v>4.5</v>
      </c>
      <c r="AP222" s="1574"/>
      <c r="AQ222" s="1574"/>
      <c r="AR222" s="1574"/>
      <c r="AS222" s="1574"/>
      <c r="AT222" s="1574"/>
      <c r="AU222" s="1574"/>
      <c r="AV222" s="1574"/>
      <c r="AW222" s="1574"/>
      <c r="AX222" s="1574"/>
      <c r="AY222" s="1574"/>
      <c r="AZ222" s="1591" t="e">
        <f t="shared" si="27"/>
        <v>#DIV/0!</v>
      </c>
      <c r="BA222" s="1591" t="e">
        <f t="shared" si="28"/>
        <v>#DIV/0!</v>
      </c>
      <c r="BB222" s="1568" t="e">
        <f t="shared" si="29"/>
        <v>#DIV/0!</v>
      </c>
      <c r="BC222" s="1568" t="e">
        <f t="shared" si="30"/>
        <v>#DIV/0!</v>
      </c>
      <c r="BD222" s="1568">
        <f t="shared" si="52"/>
        <v>103</v>
      </c>
      <c r="BE222" s="1568">
        <f t="shared" si="53"/>
        <v>93</v>
      </c>
      <c r="BF222" s="1576" t="str">
        <f t="shared" si="31"/>
        <v>NPA</v>
      </c>
      <c r="BG222" s="1965">
        <f t="shared" si="32"/>
        <v>5</v>
      </c>
      <c r="BH222" s="1574"/>
      <c r="BI222" s="1574"/>
      <c r="BJ222" s="1574"/>
      <c r="BK222" s="1574"/>
      <c r="BL222" s="1574"/>
      <c r="BM222" s="1574"/>
      <c r="BN222" s="1574"/>
      <c r="BO222" s="1574"/>
      <c r="BP222" s="1574"/>
      <c r="BQ222" s="1574"/>
      <c r="BR222" s="1591" t="e">
        <f t="shared" si="33"/>
        <v>#DIV/0!</v>
      </c>
      <c r="BS222" s="1591" t="e">
        <f t="shared" si="34"/>
        <v>#DIV/0!</v>
      </c>
      <c r="BT222" s="1568" t="e">
        <f t="shared" si="35"/>
        <v>#DIV/0!</v>
      </c>
      <c r="BU222" s="1568">
        <f t="shared" si="36"/>
        <v>100</v>
      </c>
      <c r="BV222" s="1568">
        <f t="shared" si="37"/>
        <v>90</v>
      </c>
      <c r="BW222" s="1576" t="str">
        <f t="shared" si="38"/>
        <v>NPA</v>
      </c>
      <c r="BX222" s="348" t="str">
        <f t="shared" si="56"/>
        <v/>
      </c>
      <c r="BY222" s="348" t="str">
        <f t="shared" si="56"/>
        <v/>
      </c>
      <c r="BZ222" s="348" t="str">
        <f t="shared" si="56"/>
        <v/>
      </c>
      <c r="CA222" s="348" t="str">
        <f t="shared" si="56"/>
        <v/>
      </c>
      <c r="CB222" s="348" t="str">
        <f t="shared" si="56"/>
        <v/>
      </c>
      <c r="CC222" s="348" t="str">
        <f t="shared" si="56"/>
        <v/>
      </c>
      <c r="CD222" s="348" t="str">
        <f t="shared" si="56"/>
        <v/>
      </c>
      <c r="CE222" s="348" t="str">
        <f t="shared" si="56"/>
        <v/>
      </c>
      <c r="CF222" s="348" t="str">
        <f t="shared" si="57"/>
        <v/>
      </c>
      <c r="CG222" s="348" t="str">
        <f t="shared" si="57"/>
        <v/>
      </c>
      <c r="CH222" s="348" t="str">
        <f t="shared" si="57"/>
        <v/>
      </c>
      <c r="CI222" s="348" t="str">
        <f t="shared" si="57"/>
        <v/>
      </c>
      <c r="CJ222" s="348" t="str">
        <f t="shared" si="57"/>
        <v/>
      </c>
      <c r="CK222" s="348" t="str">
        <f t="shared" si="57"/>
        <v/>
      </c>
      <c r="CL222" s="348" t="str">
        <f t="shared" si="57"/>
        <v/>
      </c>
      <c r="CM222" s="348" t="str">
        <f t="shared" si="57"/>
        <v/>
      </c>
    </row>
    <row r="223" spans="1:91" x14ac:dyDescent="0.25">
      <c r="A223" s="1574" t="str">
        <f t="shared" si="39"/>
        <v>13 x 18</v>
      </c>
      <c r="B223" s="1642">
        <f t="shared" si="40"/>
        <v>54</v>
      </c>
      <c r="C223" s="1592" t="str">
        <f t="shared" si="41"/>
        <v>Convencional</v>
      </c>
      <c r="D223" s="1592"/>
      <c r="E223" s="1574"/>
      <c r="F223" s="1574"/>
      <c r="G223" s="1574"/>
      <c r="H223" s="1574"/>
      <c r="I223" s="1574"/>
      <c r="J223" s="1574"/>
      <c r="K223" s="1574"/>
      <c r="L223" s="1574"/>
      <c r="M223" s="1574"/>
      <c r="N223" s="1574"/>
      <c r="O223" s="1577">
        <f t="shared" si="16"/>
        <v>0</v>
      </c>
      <c r="P223" s="1576" t="str">
        <f t="shared" si="17"/>
        <v>NPA</v>
      </c>
      <c r="Q223" s="1577" t="str">
        <f t="shared" si="18"/>
        <v/>
      </c>
      <c r="R223" s="1576" t="str">
        <f t="shared" si="19"/>
        <v>NPA</v>
      </c>
      <c r="S223" s="1574"/>
      <c r="T223" s="1574"/>
      <c r="U223" s="1577" t="str">
        <f t="shared" si="20"/>
        <v>NPA</v>
      </c>
      <c r="V223" s="1576" t="str">
        <f t="shared" si="42"/>
        <v>NPA</v>
      </c>
      <c r="W223" s="1585">
        <f t="shared" si="21"/>
        <v>2</v>
      </c>
      <c r="X223" s="1574"/>
      <c r="Y223" s="1574"/>
      <c r="Z223" s="1574"/>
      <c r="AA223" s="1574"/>
      <c r="AB223" s="1574"/>
      <c r="AC223" s="1574"/>
      <c r="AD223" s="1574"/>
      <c r="AE223" s="1574"/>
      <c r="AF223" s="1574"/>
      <c r="AG223" s="1574"/>
      <c r="AH223" s="1591" t="e">
        <f t="shared" si="22"/>
        <v>#DIV/0!</v>
      </c>
      <c r="AI223" s="1591" t="e">
        <f t="shared" si="23"/>
        <v>#DIV/0!</v>
      </c>
      <c r="AJ223" s="1568" t="e">
        <f t="shared" si="24"/>
        <v>#DIV/0!</v>
      </c>
      <c r="AK223" s="1568" t="e">
        <f t="shared" si="49"/>
        <v>#DIV/0!</v>
      </c>
      <c r="AL223" s="1568">
        <f t="shared" si="50"/>
        <v>115</v>
      </c>
      <c r="AM223" s="1568">
        <f t="shared" si="51"/>
        <v>105</v>
      </c>
      <c r="AN223" s="1576" t="str">
        <f t="shared" si="25"/>
        <v>NPA</v>
      </c>
      <c r="AO223" s="1585">
        <f t="shared" si="26"/>
        <v>4.5</v>
      </c>
      <c r="AP223" s="1574"/>
      <c r="AQ223" s="1574"/>
      <c r="AR223" s="1574"/>
      <c r="AS223" s="1574"/>
      <c r="AT223" s="1574"/>
      <c r="AU223" s="1574"/>
      <c r="AV223" s="1574"/>
      <c r="AW223" s="1574"/>
      <c r="AX223" s="1574"/>
      <c r="AY223" s="1574"/>
      <c r="AZ223" s="1591" t="e">
        <f t="shared" si="27"/>
        <v>#DIV/0!</v>
      </c>
      <c r="BA223" s="1591" t="e">
        <f t="shared" si="28"/>
        <v>#DIV/0!</v>
      </c>
      <c r="BB223" s="1568" t="e">
        <f t="shared" si="29"/>
        <v>#DIV/0!</v>
      </c>
      <c r="BC223" s="1568" t="e">
        <f t="shared" si="30"/>
        <v>#DIV/0!</v>
      </c>
      <c r="BD223" s="1568">
        <f t="shared" si="52"/>
        <v>103</v>
      </c>
      <c r="BE223" s="1568">
        <f t="shared" si="53"/>
        <v>93</v>
      </c>
      <c r="BF223" s="1576" t="str">
        <f t="shared" si="31"/>
        <v>NPA</v>
      </c>
      <c r="BG223" s="1965">
        <f t="shared" si="32"/>
        <v>5</v>
      </c>
      <c r="BH223" s="1574"/>
      <c r="BI223" s="1574"/>
      <c r="BJ223" s="1574"/>
      <c r="BK223" s="1574"/>
      <c r="BL223" s="1574"/>
      <c r="BM223" s="1574"/>
      <c r="BN223" s="1574"/>
      <c r="BO223" s="1574"/>
      <c r="BP223" s="1574"/>
      <c r="BQ223" s="1574"/>
      <c r="BR223" s="1591" t="e">
        <f t="shared" si="33"/>
        <v>#DIV/0!</v>
      </c>
      <c r="BS223" s="1591" t="e">
        <f t="shared" si="34"/>
        <v>#DIV/0!</v>
      </c>
      <c r="BT223" s="1568" t="e">
        <f t="shared" si="35"/>
        <v>#DIV/0!</v>
      </c>
      <c r="BU223" s="1568">
        <f t="shared" si="36"/>
        <v>100</v>
      </c>
      <c r="BV223" s="1568">
        <f t="shared" si="37"/>
        <v>90</v>
      </c>
      <c r="BW223" s="1576" t="str">
        <f t="shared" si="38"/>
        <v>NPA</v>
      </c>
      <c r="BX223" s="348" t="str">
        <f t="shared" si="56"/>
        <v/>
      </c>
      <c r="BY223" s="348" t="str">
        <f t="shared" si="56"/>
        <v/>
      </c>
      <c r="BZ223" s="348" t="str">
        <f t="shared" si="56"/>
        <v/>
      </c>
      <c r="CA223" s="348" t="str">
        <f t="shared" si="56"/>
        <v/>
      </c>
      <c r="CB223" s="348" t="str">
        <f t="shared" si="56"/>
        <v/>
      </c>
      <c r="CC223" s="348" t="str">
        <f t="shared" si="56"/>
        <v/>
      </c>
      <c r="CD223" s="348" t="str">
        <f t="shared" si="56"/>
        <v/>
      </c>
      <c r="CE223" s="348" t="str">
        <f t="shared" si="56"/>
        <v/>
      </c>
      <c r="CF223" s="348" t="str">
        <f t="shared" si="57"/>
        <v/>
      </c>
      <c r="CG223" s="348" t="str">
        <f t="shared" si="57"/>
        <v/>
      </c>
      <c r="CH223" s="348" t="str">
        <f t="shared" si="57"/>
        <v/>
      </c>
      <c r="CI223" s="348" t="str">
        <f t="shared" si="57"/>
        <v/>
      </c>
      <c r="CJ223" s="348" t="str">
        <f t="shared" si="57"/>
        <v/>
      </c>
      <c r="CK223" s="348" t="str">
        <f t="shared" si="57"/>
        <v/>
      </c>
      <c r="CL223" s="348" t="str">
        <f t="shared" si="57"/>
        <v/>
      </c>
      <c r="CM223" s="348" t="str">
        <f t="shared" si="57"/>
        <v/>
      </c>
    </row>
    <row r="224" spans="1:91" x14ac:dyDescent="0.25">
      <c r="A224" s="1574" t="str">
        <f t="shared" si="39"/>
        <v>13 x 18</v>
      </c>
      <c r="B224" s="1642">
        <f t="shared" si="40"/>
        <v>55</v>
      </c>
      <c r="C224" s="1592" t="str">
        <f t="shared" si="41"/>
        <v>Convencional</v>
      </c>
      <c r="D224" s="1592"/>
      <c r="E224" s="1574"/>
      <c r="F224" s="1574"/>
      <c r="G224" s="1574"/>
      <c r="H224" s="1574"/>
      <c r="I224" s="1574"/>
      <c r="J224" s="1574"/>
      <c r="K224" s="1574"/>
      <c r="L224" s="1574"/>
      <c r="M224" s="1574"/>
      <c r="N224" s="1574"/>
      <c r="O224" s="1577">
        <f t="shared" si="16"/>
        <v>0</v>
      </c>
      <c r="P224" s="1576" t="str">
        <f t="shared" si="17"/>
        <v>NPA</v>
      </c>
      <c r="Q224" s="1577" t="str">
        <f t="shared" si="18"/>
        <v/>
      </c>
      <c r="R224" s="1576" t="str">
        <f t="shared" si="19"/>
        <v>NPA</v>
      </c>
      <c r="S224" s="1574"/>
      <c r="T224" s="1574"/>
      <c r="U224" s="1577" t="str">
        <f t="shared" si="20"/>
        <v>NPA</v>
      </c>
      <c r="V224" s="1576" t="str">
        <f t="shared" si="42"/>
        <v>NPA</v>
      </c>
      <c r="W224" s="1585">
        <f t="shared" si="21"/>
        <v>2</v>
      </c>
      <c r="X224" s="1574"/>
      <c r="Y224" s="1574"/>
      <c r="Z224" s="1574"/>
      <c r="AA224" s="1574"/>
      <c r="AB224" s="1574"/>
      <c r="AC224" s="1574"/>
      <c r="AD224" s="1574"/>
      <c r="AE224" s="1574"/>
      <c r="AF224" s="1574"/>
      <c r="AG224" s="1574"/>
      <c r="AH224" s="1591" t="e">
        <f t="shared" si="22"/>
        <v>#DIV/0!</v>
      </c>
      <c r="AI224" s="1591" t="e">
        <f t="shared" si="23"/>
        <v>#DIV/0!</v>
      </c>
      <c r="AJ224" s="1568" t="e">
        <f t="shared" si="24"/>
        <v>#DIV/0!</v>
      </c>
      <c r="AK224" s="1568" t="e">
        <f t="shared" si="49"/>
        <v>#DIV/0!</v>
      </c>
      <c r="AL224" s="1568">
        <f t="shared" si="50"/>
        <v>115</v>
      </c>
      <c r="AM224" s="1568">
        <f t="shared" si="51"/>
        <v>105</v>
      </c>
      <c r="AN224" s="1576" t="str">
        <f t="shared" si="25"/>
        <v>NPA</v>
      </c>
      <c r="AO224" s="1585">
        <f t="shared" si="26"/>
        <v>4.5</v>
      </c>
      <c r="AP224" s="1574"/>
      <c r="AQ224" s="1574"/>
      <c r="AR224" s="1574"/>
      <c r="AS224" s="1574"/>
      <c r="AT224" s="1574"/>
      <c r="AU224" s="1574"/>
      <c r="AV224" s="1574"/>
      <c r="AW224" s="1574"/>
      <c r="AX224" s="1574"/>
      <c r="AY224" s="1574"/>
      <c r="AZ224" s="1591" t="e">
        <f t="shared" si="27"/>
        <v>#DIV/0!</v>
      </c>
      <c r="BA224" s="1591" t="e">
        <f t="shared" si="28"/>
        <v>#DIV/0!</v>
      </c>
      <c r="BB224" s="1568" t="e">
        <f t="shared" si="29"/>
        <v>#DIV/0!</v>
      </c>
      <c r="BC224" s="1568" t="e">
        <f t="shared" si="30"/>
        <v>#DIV/0!</v>
      </c>
      <c r="BD224" s="1568">
        <f t="shared" si="52"/>
        <v>103</v>
      </c>
      <c r="BE224" s="1568">
        <f t="shared" si="53"/>
        <v>93</v>
      </c>
      <c r="BF224" s="1576" t="str">
        <f t="shared" si="31"/>
        <v>NPA</v>
      </c>
      <c r="BG224" s="1965">
        <f t="shared" si="32"/>
        <v>5</v>
      </c>
      <c r="BH224" s="1574"/>
      <c r="BI224" s="1574"/>
      <c r="BJ224" s="1574"/>
      <c r="BK224" s="1574"/>
      <c r="BL224" s="1574"/>
      <c r="BM224" s="1574"/>
      <c r="BN224" s="1574"/>
      <c r="BO224" s="1574"/>
      <c r="BP224" s="1574"/>
      <c r="BQ224" s="1574"/>
      <c r="BR224" s="1591" t="e">
        <f t="shared" si="33"/>
        <v>#DIV/0!</v>
      </c>
      <c r="BS224" s="1591" t="e">
        <f t="shared" si="34"/>
        <v>#DIV/0!</v>
      </c>
      <c r="BT224" s="1568" t="e">
        <f t="shared" si="35"/>
        <v>#DIV/0!</v>
      </c>
      <c r="BU224" s="1568">
        <f t="shared" si="36"/>
        <v>100</v>
      </c>
      <c r="BV224" s="1568">
        <f t="shared" si="37"/>
        <v>90</v>
      </c>
      <c r="BW224" s="1576" t="str">
        <f t="shared" si="38"/>
        <v>NPA</v>
      </c>
      <c r="BX224" s="348" t="str">
        <f t="shared" si="56"/>
        <v/>
      </c>
      <c r="BY224" s="348" t="str">
        <f t="shared" si="56"/>
        <v/>
      </c>
      <c r="BZ224" s="348" t="str">
        <f t="shared" si="56"/>
        <v/>
      </c>
      <c r="CA224" s="348" t="str">
        <f t="shared" si="56"/>
        <v/>
      </c>
      <c r="CB224" s="348" t="str">
        <f t="shared" si="56"/>
        <v/>
      </c>
      <c r="CC224" s="348" t="str">
        <f t="shared" si="56"/>
        <v/>
      </c>
      <c r="CD224" s="348" t="str">
        <f t="shared" si="56"/>
        <v/>
      </c>
      <c r="CE224" s="348" t="str">
        <f t="shared" si="56"/>
        <v/>
      </c>
      <c r="CF224" s="348" t="str">
        <f t="shared" si="57"/>
        <v/>
      </c>
      <c r="CG224" s="348" t="str">
        <f t="shared" si="57"/>
        <v/>
      </c>
      <c r="CH224" s="348" t="str">
        <f t="shared" si="57"/>
        <v/>
      </c>
      <c r="CI224" s="348" t="str">
        <f t="shared" si="57"/>
        <v/>
      </c>
      <c r="CJ224" s="348" t="str">
        <f t="shared" si="57"/>
        <v/>
      </c>
      <c r="CK224" s="348" t="str">
        <f t="shared" si="57"/>
        <v/>
      </c>
      <c r="CL224" s="348" t="str">
        <f t="shared" si="57"/>
        <v/>
      </c>
      <c r="CM224" s="348" t="str">
        <f t="shared" si="57"/>
        <v/>
      </c>
    </row>
    <row r="225" spans="1:91" x14ac:dyDescent="0.25">
      <c r="A225" s="1574" t="str">
        <f t="shared" si="39"/>
        <v>13 x 18</v>
      </c>
      <c r="B225" s="1642">
        <f t="shared" si="40"/>
        <v>56</v>
      </c>
      <c r="C225" s="1592" t="str">
        <f t="shared" si="41"/>
        <v>Convencional</v>
      </c>
      <c r="D225" s="1592"/>
      <c r="E225" s="1574"/>
      <c r="F225" s="1574"/>
      <c r="G225" s="1574"/>
      <c r="H225" s="1574"/>
      <c r="I225" s="1574"/>
      <c r="J225" s="1574"/>
      <c r="K225" s="1574"/>
      <c r="L225" s="1574"/>
      <c r="M225" s="1574"/>
      <c r="N225" s="1574"/>
      <c r="O225" s="1577">
        <f t="shared" si="16"/>
        <v>0</v>
      </c>
      <c r="P225" s="1576" t="str">
        <f t="shared" si="17"/>
        <v>NPA</v>
      </c>
      <c r="Q225" s="1577" t="str">
        <f t="shared" si="18"/>
        <v/>
      </c>
      <c r="R225" s="1576" t="str">
        <f t="shared" si="19"/>
        <v>NPA</v>
      </c>
      <c r="S225" s="1574"/>
      <c r="T225" s="1574"/>
      <c r="U225" s="1577" t="str">
        <f t="shared" si="20"/>
        <v>NPA</v>
      </c>
      <c r="V225" s="1576" t="str">
        <f t="shared" si="42"/>
        <v>NPA</v>
      </c>
      <c r="W225" s="1585">
        <f t="shared" si="21"/>
        <v>2</v>
      </c>
      <c r="X225" s="1574"/>
      <c r="Y225" s="1574"/>
      <c r="Z225" s="1574"/>
      <c r="AA225" s="1574"/>
      <c r="AB225" s="1574"/>
      <c r="AC225" s="1574"/>
      <c r="AD225" s="1574"/>
      <c r="AE225" s="1574"/>
      <c r="AF225" s="1574"/>
      <c r="AG225" s="1574"/>
      <c r="AH225" s="1591" t="e">
        <f t="shared" si="22"/>
        <v>#DIV/0!</v>
      </c>
      <c r="AI225" s="1591" t="e">
        <f t="shared" si="23"/>
        <v>#DIV/0!</v>
      </c>
      <c r="AJ225" s="1568" t="e">
        <f t="shared" si="24"/>
        <v>#DIV/0!</v>
      </c>
      <c r="AK225" s="1568" t="e">
        <f t="shared" si="49"/>
        <v>#DIV/0!</v>
      </c>
      <c r="AL225" s="1568">
        <f t="shared" si="50"/>
        <v>115</v>
      </c>
      <c r="AM225" s="1568">
        <f t="shared" si="51"/>
        <v>105</v>
      </c>
      <c r="AN225" s="1576" t="str">
        <f t="shared" si="25"/>
        <v>NPA</v>
      </c>
      <c r="AO225" s="1585">
        <f t="shared" si="26"/>
        <v>4.5</v>
      </c>
      <c r="AP225" s="1574"/>
      <c r="AQ225" s="1574"/>
      <c r="AR225" s="1574"/>
      <c r="AS225" s="1574"/>
      <c r="AT225" s="1574"/>
      <c r="AU225" s="1574"/>
      <c r="AV225" s="1574"/>
      <c r="AW225" s="1574"/>
      <c r="AX225" s="1574"/>
      <c r="AY225" s="1574"/>
      <c r="AZ225" s="1591" t="e">
        <f t="shared" si="27"/>
        <v>#DIV/0!</v>
      </c>
      <c r="BA225" s="1591" t="e">
        <f t="shared" si="28"/>
        <v>#DIV/0!</v>
      </c>
      <c r="BB225" s="1568" t="e">
        <f t="shared" si="29"/>
        <v>#DIV/0!</v>
      </c>
      <c r="BC225" s="1568" t="e">
        <f t="shared" si="30"/>
        <v>#DIV/0!</v>
      </c>
      <c r="BD225" s="1568">
        <f t="shared" si="52"/>
        <v>103</v>
      </c>
      <c r="BE225" s="1568">
        <f t="shared" si="53"/>
        <v>93</v>
      </c>
      <c r="BF225" s="1576" t="str">
        <f t="shared" si="31"/>
        <v>NPA</v>
      </c>
      <c r="BG225" s="1965">
        <f t="shared" si="32"/>
        <v>5</v>
      </c>
      <c r="BH225" s="1574"/>
      <c r="BI225" s="1574"/>
      <c r="BJ225" s="1574"/>
      <c r="BK225" s="1574"/>
      <c r="BL225" s="1574"/>
      <c r="BM225" s="1574"/>
      <c r="BN225" s="1574"/>
      <c r="BO225" s="1574"/>
      <c r="BP225" s="1574"/>
      <c r="BQ225" s="1574"/>
      <c r="BR225" s="1591" t="e">
        <f t="shared" si="33"/>
        <v>#DIV/0!</v>
      </c>
      <c r="BS225" s="1591" t="e">
        <f t="shared" si="34"/>
        <v>#DIV/0!</v>
      </c>
      <c r="BT225" s="1568" t="e">
        <f t="shared" si="35"/>
        <v>#DIV/0!</v>
      </c>
      <c r="BU225" s="1568">
        <f t="shared" si="36"/>
        <v>100</v>
      </c>
      <c r="BV225" s="1568">
        <f t="shared" si="37"/>
        <v>90</v>
      </c>
      <c r="BW225" s="1576" t="str">
        <f t="shared" si="38"/>
        <v>NPA</v>
      </c>
      <c r="BX225" s="348" t="str">
        <f t="shared" si="56"/>
        <v/>
      </c>
      <c r="BY225" s="348" t="str">
        <f t="shared" si="56"/>
        <v/>
      </c>
      <c r="BZ225" s="348" t="str">
        <f t="shared" si="56"/>
        <v/>
      </c>
      <c r="CA225" s="348" t="str">
        <f t="shared" si="56"/>
        <v/>
      </c>
      <c r="CB225" s="348" t="str">
        <f t="shared" si="56"/>
        <v/>
      </c>
      <c r="CC225" s="348" t="str">
        <f t="shared" si="56"/>
        <v/>
      </c>
      <c r="CD225" s="348" t="str">
        <f t="shared" si="56"/>
        <v/>
      </c>
      <c r="CE225" s="348" t="str">
        <f t="shared" si="56"/>
        <v/>
      </c>
      <c r="CF225" s="348" t="str">
        <f t="shared" si="57"/>
        <v/>
      </c>
      <c r="CG225" s="348" t="str">
        <f t="shared" si="57"/>
        <v/>
      </c>
      <c r="CH225" s="348" t="str">
        <f t="shared" si="57"/>
        <v/>
      </c>
      <c r="CI225" s="348" t="str">
        <f t="shared" si="57"/>
        <v/>
      </c>
      <c r="CJ225" s="348" t="str">
        <f t="shared" si="57"/>
        <v/>
      </c>
      <c r="CK225" s="348" t="str">
        <f t="shared" si="57"/>
        <v/>
      </c>
      <c r="CL225" s="348" t="str">
        <f t="shared" si="57"/>
        <v/>
      </c>
      <c r="CM225" s="348" t="str">
        <f t="shared" si="57"/>
        <v/>
      </c>
    </row>
    <row r="226" spans="1:91" x14ac:dyDescent="0.25">
      <c r="A226" s="1574" t="str">
        <f t="shared" si="39"/>
        <v>13 x 18</v>
      </c>
      <c r="B226" s="1642">
        <f t="shared" si="40"/>
        <v>57</v>
      </c>
      <c r="C226" s="1592" t="str">
        <f t="shared" si="41"/>
        <v>Convencional</v>
      </c>
      <c r="D226" s="1592"/>
      <c r="E226" s="1574"/>
      <c r="F226" s="1574"/>
      <c r="G226" s="1574"/>
      <c r="H226" s="1574"/>
      <c r="I226" s="1574"/>
      <c r="J226" s="1574"/>
      <c r="K226" s="1574"/>
      <c r="L226" s="1574"/>
      <c r="M226" s="1574"/>
      <c r="N226" s="1574"/>
      <c r="O226" s="1577">
        <f t="shared" si="16"/>
        <v>0</v>
      </c>
      <c r="P226" s="1576" t="str">
        <f t="shared" si="17"/>
        <v>NPA</v>
      </c>
      <c r="Q226" s="1577" t="str">
        <f t="shared" si="18"/>
        <v/>
      </c>
      <c r="R226" s="1576" t="str">
        <f t="shared" si="19"/>
        <v>NPA</v>
      </c>
      <c r="S226" s="1574"/>
      <c r="T226" s="1574"/>
      <c r="U226" s="1577" t="str">
        <f t="shared" si="20"/>
        <v>NPA</v>
      </c>
      <c r="V226" s="1576" t="str">
        <f t="shared" si="42"/>
        <v>NPA</v>
      </c>
      <c r="W226" s="1585">
        <f t="shared" si="21"/>
        <v>2</v>
      </c>
      <c r="X226" s="1574"/>
      <c r="Y226" s="1574"/>
      <c r="Z226" s="1574"/>
      <c r="AA226" s="1574"/>
      <c r="AB226" s="1574"/>
      <c r="AC226" s="1574"/>
      <c r="AD226" s="1574"/>
      <c r="AE226" s="1574"/>
      <c r="AF226" s="1574"/>
      <c r="AG226" s="1574"/>
      <c r="AH226" s="1591" t="e">
        <f t="shared" si="22"/>
        <v>#DIV/0!</v>
      </c>
      <c r="AI226" s="1591" t="e">
        <f t="shared" si="23"/>
        <v>#DIV/0!</v>
      </c>
      <c r="AJ226" s="1568" t="e">
        <f t="shared" si="24"/>
        <v>#DIV/0!</v>
      </c>
      <c r="AK226" s="1568" t="e">
        <f t="shared" si="49"/>
        <v>#DIV/0!</v>
      </c>
      <c r="AL226" s="1568">
        <f t="shared" si="50"/>
        <v>115</v>
      </c>
      <c r="AM226" s="1568">
        <f t="shared" si="51"/>
        <v>105</v>
      </c>
      <c r="AN226" s="1576" t="str">
        <f t="shared" si="25"/>
        <v>NPA</v>
      </c>
      <c r="AO226" s="1585">
        <f t="shared" si="26"/>
        <v>4.5</v>
      </c>
      <c r="AP226" s="1574"/>
      <c r="AQ226" s="1574"/>
      <c r="AR226" s="1574"/>
      <c r="AS226" s="1574"/>
      <c r="AT226" s="1574"/>
      <c r="AU226" s="1574"/>
      <c r="AV226" s="1574"/>
      <c r="AW226" s="1574"/>
      <c r="AX226" s="1574"/>
      <c r="AY226" s="1574"/>
      <c r="AZ226" s="1591" t="e">
        <f t="shared" si="27"/>
        <v>#DIV/0!</v>
      </c>
      <c r="BA226" s="1591" t="e">
        <f t="shared" si="28"/>
        <v>#DIV/0!</v>
      </c>
      <c r="BB226" s="1568" t="e">
        <f t="shared" si="29"/>
        <v>#DIV/0!</v>
      </c>
      <c r="BC226" s="1568" t="e">
        <f t="shared" si="30"/>
        <v>#DIV/0!</v>
      </c>
      <c r="BD226" s="1568">
        <f t="shared" si="52"/>
        <v>103</v>
      </c>
      <c r="BE226" s="1568">
        <f t="shared" si="53"/>
        <v>93</v>
      </c>
      <c r="BF226" s="1576" t="str">
        <f t="shared" si="31"/>
        <v>NPA</v>
      </c>
      <c r="BG226" s="1965">
        <f t="shared" si="32"/>
        <v>5</v>
      </c>
      <c r="BH226" s="1574"/>
      <c r="BI226" s="1574"/>
      <c r="BJ226" s="1574"/>
      <c r="BK226" s="1574"/>
      <c r="BL226" s="1574"/>
      <c r="BM226" s="1574"/>
      <c r="BN226" s="1574"/>
      <c r="BO226" s="1574"/>
      <c r="BP226" s="1574"/>
      <c r="BQ226" s="1574"/>
      <c r="BR226" s="1591" t="e">
        <f t="shared" si="33"/>
        <v>#DIV/0!</v>
      </c>
      <c r="BS226" s="1591" t="e">
        <f t="shared" si="34"/>
        <v>#DIV/0!</v>
      </c>
      <c r="BT226" s="1568" t="e">
        <f t="shared" si="35"/>
        <v>#DIV/0!</v>
      </c>
      <c r="BU226" s="1568">
        <f t="shared" si="36"/>
        <v>100</v>
      </c>
      <c r="BV226" s="1568">
        <f t="shared" si="37"/>
        <v>90</v>
      </c>
      <c r="BW226" s="1576" t="str">
        <f t="shared" si="38"/>
        <v>NPA</v>
      </c>
      <c r="BX226" s="348" t="str">
        <f t="shared" si="56"/>
        <v/>
      </c>
      <c r="BY226" s="348" t="str">
        <f t="shared" si="56"/>
        <v/>
      </c>
      <c r="BZ226" s="348" t="str">
        <f t="shared" si="56"/>
        <v/>
      </c>
      <c r="CA226" s="348" t="str">
        <f t="shared" si="56"/>
        <v/>
      </c>
      <c r="CB226" s="348" t="str">
        <f t="shared" si="56"/>
        <v/>
      </c>
      <c r="CC226" s="348" t="str">
        <f t="shared" si="56"/>
        <v/>
      </c>
      <c r="CD226" s="348" t="str">
        <f t="shared" si="56"/>
        <v/>
      </c>
      <c r="CE226" s="348" t="str">
        <f t="shared" si="56"/>
        <v/>
      </c>
      <c r="CF226" s="348" t="str">
        <f t="shared" si="57"/>
        <v/>
      </c>
      <c r="CG226" s="348" t="str">
        <f t="shared" si="57"/>
        <v/>
      </c>
      <c r="CH226" s="348" t="str">
        <f t="shared" si="57"/>
        <v/>
      </c>
      <c r="CI226" s="348" t="str">
        <f t="shared" si="57"/>
        <v/>
      </c>
      <c r="CJ226" s="348" t="str">
        <f t="shared" si="57"/>
        <v/>
      </c>
      <c r="CK226" s="348" t="str">
        <f t="shared" si="57"/>
        <v/>
      </c>
      <c r="CL226" s="348" t="str">
        <f t="shared" si="57"/>
        <v/>
      </c>
      <c r="CM226" s="348" t="str">
        <f t="shared" si="57"/>
        <v/>
      </c>
    </row>
    <row r="227" spans="1:91" x14ac:dyDescent="0.25">
      <c r="A227" s="1574" t="str">
        <f t="shared" si="39"/>
        <v>13 x 18</v>
      </c>
      <c r="B227" s="1642">
        <f t="shared" si="40"/>
        <v>58</v>
      </c>
      <c r="C227" s="1592" t="str">
        <f t="shared" si="41"/>
        <v>Convencional</v>
      </c>
      <c r="D227" s="1592"/>
      <c r="E227" s="1574"/>
      <c r="F227" s="1574"/>
      <c r="G227" s="1574"/>
      <c r="H227" s="1574"/>
      <c r="I227" s="1574"/>
      <c r="J227" s="1574"/>
      <c r="K227" s="1574"/>
      <c r="L227" s="1574"/>
      <c r="M227" s="1574"/>
      <c r="N227" s="1574"/>
      <c r="O227" s="1577">
        <f t="shared" si="16"/>
        <v>0</v>
      </c>
      <c r="P227" s="1576" t="str">
        <f t="shared" si="17"/>
        <v>NPA</v>
      </c>
      <c r="Q227" s="1577" t="str">
        <f t="shared" si="18"/>
        <v/>
      </c>
      <c r="R227" s="1576" t="str">
        <f t="shared" si="19"/>
        <v>NPA</v>
      </c>
      <c r="S227" s="1574"/>
      <c r="T227" s="1574"/>
      <c r="U227" s="1577" t="str">
        <f t="shared" si="20"/>
        <v>NPA</v>
      </c>
      <c r="V227" s="1576" t="str">
        <f t="shared" si="42"/>
        <v>NPA</v>
      </c>
      <c r="W227" s="1585">
        <f t="shared" si="21"/>
        <v>2</v>
      </c>
      <c r="X227" s="1574"/>
      <c r="Y227" s="1574"/>
      <c r="Z227" s="1574"/>
      <c r="AA227" s="1574"/>
      <c r="AB227" s="1574"/>
      <c r="AC227" s="1574"/>
      <c r="AD227" s="1574"/>
      <c r="AE227" s="1574"/>
      <c r="AF227" s="1574"/>
      <c r="AG227" s="1574"/>
      <c r="AH227" s="1591" t="e">
        <f t="shared" si="22"/>
        <v>#DIV/0!</v>
      </c>
      <c r="AI227" s="1591" t="e">
        <f t="shared" si="23"/>
        <v>#DIV/0!</v>
      </c>
      <c r="AJ227" s="1568" t="e">
        <f t="shared" si="24"/>
        <v>#DIV/0!</v>
      </c>
      <c r="AK227" s="1568" t="e">
        <f t="shared" si="49"/>
        <v>#DIV/0!</v>
      </c>
      <c r="AL227" s="1568">
        <f t="shared" si="50"/>
        <v>115</v>
      </c>
      <c r="AM227" s="1568">
        <f t="shared" si="51"/>
        <v>105</v>
      </c>
      <c r="AN227" s="1576" t="str">
        <f t="shared" si="25"/>
        <v>NPA</v>
      </c>
      <c r="AO227" s="1585">
        <f t="shared" si="26"/>
        <v>4.5</v>
      </c>
      <c r="AP227" s="1574"/>
      <c r="AQ227" s="1574"/>
      <c r="AR227" s="1574"/>
      <c r="AS227" s="1574"/>
      <c r="AT227" s="1574"/>
      <c r="AU227" s="1574"/>
      <c r="AV227" s="1574"/>
      <c r="AW227" s="1574"/>
      <c r="AX227" s="1574"/>
      <c r="AY227" s="1574"/>
      <c r="AZ227" s="1591" t="e">
        <f t="shared" si="27"/>
        <v>#DIV/0!</v>
      </c>
      <c r="BA227" s="1591" t="e">
        <f t="shared" si="28"/>
        <v>#DIV/0!</v>
      </c>
      <c r="BB227" s="1568" t="e">
        <f t="shared" si="29"/>
        <v>#DIV/0!</v>
      </c>
      <c r="BC227" s="1568" t="e">
        <f t="shared" si="30"/>
        <v>#DIV/0!</v>
      </c>
      <c r="BD227" s="1568">
        <f t="shared" si="52"/>
        <v>103</v>
      </c>
      <c r="BE227" s="1568">
        <f t="shared" si="53"/>
        <v>93</v>
      </c>
      <c r="BF227" s="1576" t="str">
        <f t="shared" si="31"/>
        <v>NPA</v>
      </c>
      <c r="BG227" s="1965">
        <f t="shared" si="32"/>
        <v>5</v>
      </c>
      <c r="BH227" s="1574"/>
      <c r="BI227" s="1574"/>
      <c r="BJ227" s="1574"/>
      <c r="BK227" s="1574"/>
      <c r="BL227" s="1574"/>
      <c r="BM227" s="1574"/>
      <c r="BN227" s="1574"/>
      <c r="BO227" s="1574"/>
      <c r="BP227" s="1574"/>
      <c r="BQ227" s="1574"/>
      <c r="BR227" s="1591" t="e">
        <f t="shared" si="33"/>
        <v>#DIV/0!</v>
      </c>
      <c r="BS227" s="1591" t="e">
        <f t="shared" si="34"/>
        <v>#DIV/0!</v>
      </c>
      <c r="BT227" s="1568" t="e">
        <f t="shared" si="35"/>
        <v>#DIV/0!</v>
      </c>
      <c r="BU227" s="1568">
        <f t="shared" si="36"/>
        <v>100</v>
      </c>
      <c r="BV227" s="1568">
        <f t="shared" si="37"/>
        <v>90</v>
      </c>
      <c r="BW227" s="1576" t="str">
        <f t="shared" si="38"/>
        <v>NPA</v>
      </c>
      <c r="BX227" s="348" t="str">
        <f t="shared" si="56"/>
        <v/>
      </c>
      <c r="BY227" s="348" t="str">
        <f t="shared" si="56"/>
        <v/>
      </c>
      <c r="BZ227" s="348" t="str">
        <f t="shared" si="56"/>
        <v/>
      </c>
      <c r="CA227" s="348" t="str">
        <f t="shared" si="56"/>
        <v/>
      </c>
      <c r="CB227" s="348" t="str">
        <f t="shared" si="56"/>
        <v/>
      </c>
      <c r="CC227" s="348" t="str">
        <f t="shared" si="56"/>
        <v/>
      </c>
      <c r="CD227" s="348" t="str">
        <f t="shared" si="56"/>
        <v/>
      </c>
      <c r="CE227" s="348" t="str">
        <f t="shared" si="56"/>
        <v/>
      </c>
      <c r="CF227" s="348" t="str">
        <f t="shared" si="57"/>
        <v/>
      </c>
      <c r="CG227" s="348" t="str">
        <f t="shared" si="57"/>
        <v/>
      </c>
      <c r="CH227" s="348" t="str">
        <f t="shared" si="57"/>
        <v/>
      </c>
      <c r="CI227" s="348" t="str">
        <f t="shared" si="57"/>
        <v/>
      </c>
      <c r="CJ227" s="348" t="str">
        <f t="shared" si="57"/>
        <v/>
      </c>
      <c r="CK227" s="348" t="str">
        <f t="shared" si="57"/>
        <v/>
      </c>
      <c r="CL227" s="348" t="str">
        <f t="shared" si="57"/>
        <v/>
      </c>
      <c r="CM227" s="348" t="str">
        <f t="shared" si="57"/>
        <v/>
      </c>
    </row>
    <row r="228" spans="1:91" x14ac:dyDescent="0.25">
      <c r="A228" s="1574" t="str">
        <f t="shared" si="39"/>
        <v>13 x 18</v>
      </c>
      <c r="B228" s="1642">
        <f t="shared" si="40"/>
        <v>59</v>
      </c>
      <c r="C228" s="1592" t="str">
        <f t="shared" si="41"/>
        <v>Convencional</v>
      </c>
      <c r="D228" s="1592"/>
      <c r="E228" s="1574"/>
      <c r="F228" s="1574"/>
      <c r="G228" s="1574"/>
      <c r="H228" s="1574"/>
      <c r="I228" s="1574"/>
      <c r="J228" s="1574"/>
      <c r="K228" s="1574"/>
      <c r="L228" s="1574"/>
      <c r="M228" s="1574"/>
      <c r="N228" s="1574"/>
      <c r="O228" s="1577">
        <f t="shared" si="16"/>
        <v>0</v>
      </c>
      <c r="P228" s="1576" t="str">
        <f t="shared" si="17"/>
        <v>NPA</v>
      </c>
      <c r="Q228" s="1577" t="str">
        <f t="shared" si="18"/>
        <v/>
      </c>
      <c r="R228" s="1576" t="str">
        <f t="shared" si="19"/>
        <v>NPA</v>
      </c>
      <c r="S228" s="1574"/>
      <c r="T228" s="1574"/>
      <c r="U228" s="1577" t="str">
        <f t="shared" si="20"/>
        <v>NPA</v>
      </c>
      <c r="V228" s="1576" t="str">
        <f t="shared" si="42"/>
        <v>NPA</v>
      </c>
      <c r="W228" s="1585">
        <f t="shared" si="21"/>
        <v>2</v>
      </c>
      <c r="X228" s="1574"/>
      <c r="Y228" s="1574"/>
      <c r="Z228" s="1574"/>
      <c r="AA228" s="1574"/>
      <c r="AB228" s="1574"/>
      <c r="AC228" s="1574"/>
      <c r="AD228" s="1574"/>
      <c r="AE228" s="1574"/>
      <c r="AF228" s="1574"/>
      <c r="AG228" s="1574"/>
      <c r="AH228" s="1591" t="e">
        <f t="shared" si="22"/>
        <v>#DIV/0!</v>
      </c>
      <c r="AI228" s="1591" t="e">
        <f t="shared" si="23"/>
        <v>#DIV/0!</v>
      </c>
      <c r="AJ228" s="1568" t="e">
        <f t="shared" si="24"/>
        <v>#DIV/0!</v>
      </c>
      <c r="AK228" s="1568" t="e">
        <f t="shared" si="49"/>
        <v>#DIV/0!</v>
      </c>
      <c r="AL228" s="1568">
        <f t="shared" si="50"/>
        <v>115</v>
      </c>
      <c r="AM228" s="1568">
        <f t="shared" si="51"/>
        <v>105</v>
      </c>
      <c r="AN228" s="1576" t="str">
        <f t="shared" si="25"/>
        <v>NPA</v>
      </c>
      <c r="AO228" s="1585">
        <f t="shared" si="26"/>
        <v>4.5</v>
      </c>
      <c r="AP228" s="1574"/>
      <c r="AQ228" s="1574"/>
      <c r="AR228" s="1574"/>
      <c r="AS228" s="1574"/>
      <c r="AT228" s="1574"/>
      <c r="AU228" s="1574"/>
      <c r="AV228" s="1574"/>
      <c r="AW228" s="1574"/>
      <c r="AX228" s="1574"/>
      <c r="AY228" s="1574"/>
      <c r="AZ228" s="1591" t="e">
        <f t="shared" si="27"/>
        <v>#DIV/0!</v>
      </c>
      <c r="BA228" s="1591" t="e">
        <f t="shared" si="28"/>
        <v>#DIV/0!</v>
      </c>
      <c r="BB228" s="1568" t="e">
        <f t="shared" si="29"/>
        <v>#DIV/0!</v>
      </c>
      <c r="BC228" s="1568" t="e">
        <f t="shared" si="30"/>
        <v>#DIV/0!</v>
      </c>
      <c r="BD228" s="1568">
        <f t="shared" si="52"/>
        <v>103</v>
      </c>
      <c r="BE228" s="1568">
        <f t="shared" si="53"/>
        <v>93</v>
      </c>
      <c r="BF228" s="1576" t="str">
        <f t="shared" si="31"/>
        <v>NPA</v>
      </c>
      <c r="BG228" s="1965">
        <f t="shared" si="32"/>
        <v>5</v>
      </c>
      <c r="BH228" s="1574"/>
      <c r="BI228" s="1574"/>
      <c r="BJ228" s="1574"/>
      <c r="BK228" s="1574"/>
      <c r="BL228" s="1574"/>
      <c r="BM228" s="1574"/>
      <c r="BN228" s="1574"/>
      <c r="BO228" s="1574"/>
      <c r="BP228" s="1574"/>
      <c r="BQ228" s="1574"/>
      <c r="BR228" s="1591" t="e">
        <f t="shared" si="33"/>
        <v>#DIV/0!</v>
      </c>
      <c r="BS228" s="1591" t="e">
        <f t="shared" si="34"/>
        <v>#DIV/0!</v>
      </c>
      <c r="BT228" s="1568" t="e">
        <f t="shared" si="35"/>
        <v>#DIV/0!</v>
      </c>
      <c r="BU228" s="1568">
        <f t="shared" si="36"/>
        <v>100</v>
      </c>
      <c r="BV228" s="1568">
        <f t="shared" si="37"/>
        <v>90</v>
      </c>
      <c r="BW228" s="1576" t="str">
        <f t="shared" si="38"/>
        <v>NPA</v>
      </c>
      <c r="BX228" s="348" t="str">
        <f t="shared" si="56"/>
        <v/>
      </c>
      <c r="BY228" s="348" t="str">
        <f t="shared" si="56"/>
        <v/>
      </c>
      <c r="BZ228" s="348" t="str">
        <f t="shared" si="56"/>
        <v/>
      </c>
      <c r="CA228" s="348" t="str">
        <f t="shared" si="56"/>
        <v/>
      </c>
      <c r="CB228" s="348" t="str">
        <f t="shared" si="56"/>
        <v/>
      </c>
      <c r="CC228" s="348" t="str">
        <f t="shared" si="56"/>
        <v/>
      </c>
      <c r="CD228" s="348" t="str">
        <f t="shared" si="56"/>
        <v/>
      </c>
      <c r="CE228" s="348" t="str">
        <f t="shared" si="56"/>
        <v/>
      </c>
      <c r="CF228" s="348" t="str">
        <f t="shared" si="57"/>
        <v/>
      </c>
      <c r="CG228" s="348" t="str">
        <f t="shared" si="57"/>
        <v/>
      </c>
      <c r="CH228" s="348" t="str">
        <f t="shared" si="57"/>
        <v/>
      </c>
      <c r="CI228" s="348" t="str">
        <f t="shared" si="57"/>
        <v/>
      </c>
      <c r="CJ228" s="348" t="str">
        <f t="shared" si="57"/>
        <v/>
      </c>
      <c r="CK228" s="348" t="str">
        <f t="shared" si="57"/>
        <v/>
      </c>
      <c r="CL228" s="348" t="str">
        <f t="shared" si="57"/>
        <v/>
      </c>
      <c r="CM228" s="348" t="str">
        <f t="shared" si="57"/>
        <v/>
      </c>
    </row>
    <row r="229" spans="1:91" x14ac:dyDescent="0.25">
      <c r="A229" s="1574" t="str">
        <f t="shared" si="39"/>
        <v>13 x 18</v>
      </c>
      <c r="B229" s="1642">
        <f t="shared" si="40"/>
        <v>60</v>
      </c>
      <c r="C229" s="1592" t="str">
        <f t="shared" si="41"/>
        <v>Convencional</v>
      </c>
      <c r="D229" s="1592"/>
      <c r="E229" s="1574"/>
      <c r="F229" s="1574"/>
      <c r="G229" s="1574"/>
      <c r="H229" s="1574"/>
      <c r="I229" s="1574"/>
      <c r="J229" s="1574"/>
      <c r="K229" s="1574"/>
      <c r="L229" s="1574"/>
      <c r="M229" s="1574"/>
      <c r="N229" s="1574"/>
      <c r="O229" s="1577">
        <f t="shared" si="16"/>
        <v>0</v>
      </c>
      <c r="P229" s="1576" t="str">
        <f t="shared" si="17"/>
        <v>NPA</v>
      </c>
      <c r="Q229" s="1577" t="str">
        <f t="shared" si="18"/>
        <v/>
      </c>
      <c r="R229" s="1576" t="str">
        <f t="shared" si="19"/>
        <v>NPA</v>
      </c>
      <c r="S229" s="1574"/>
      <c r="T229" s="1574"/>
      <c r="U229" s="1577" t="str">
        <f t="shared" si="20"/>
        <v>NPA</v>
      </c>
      <c r="V229" s="1576" t="str">
        <f t="shared" si="42"/>
        <v>NPA</v>
      </c>
      <c r="W229" s="1585">
        <f t="shared" si="21"/>
        <v>2</v>
      </c>
      <c r="X229" s="1574"/>
      <c r="Y229" s="1574"/>
      <c r="Z229" s="1574"/>
      <c r="AA229" s="1574"/>
      <c r="AB229" s="1574"/>
      <c r="AC229" s="1574"/>
      <c r="AD229" s="1574"/>
      <c r="AE229" s="1574"/>
      <c r="AF229" s="1574"/>
      <c r="AG229" s="1574"/>
      <c r="AH229" s="1591" t="e">
        <f t="shared" si="22"/>
        <v>#DIV/0!</v>
      </c>
      <c r="AI229" s="1591" t="e">
        <f t="shared" si="23"/>
        <v>#DIV/0!</v>
      </c>
      <c r="AJ229" s="1568" t="e">
        <f t="shared" si="24"/>
        <v>#DIV/0!</v>
      </c>
      <c r="AK229" s="1568" t="e">
        <f t="shared" si="49"/>
        <v>#DIV/0!</v>
      </c>
      <c r="AL229" s="1568">
        <f t="shared" si="50"/>
        <v>115</v>
      </c>
      <c r="AM229" s="1568">
        <f t="shared" si="51"/>
        <v>105</v>
      </c>
      <c r="AN229" s="1576" t="str">
        <f t="shared" si="25"/>
        <v>NPA</v>
      </c>
      <c r="AO229" s="1585">
        <f t="shared" si="26"/>
        <v>4.5</v>
      </c>
      <c r="AP229" s="1574"/>
      <c r="AQ229" s="1574"/>
      <c r="AR229" s="1574"/>
      <c r="AS229" s="1574"/>
      <c r="AT229" s="1574"/>
      <c r="AU229" s="1574"/>
      <c r="AV229" s="1574"/>
      <c r="AW229" s="1574"/>
      <c r="AX229" s="1574"/>
      <c r="AY229" s="1574"/>
      <c r="AZ229" s="1591" t="e">
        <f t="shared" si="27"/>
        <v>#DIV/0!</v>
      </c>
      <c r="BA229" s="1591" t="e">
        <f t="shared" si="28"/>
        <v>#DIV/0!</v>
      </c>
      <c r="BB229" s="1568" t="e">
        <f t="shared" si="29"/>
        <v>#DIV/0!</v>
      </c>
      <c r="BC229" s="1568" t="e">
        <f t="shared" si="30"/>
        <v>#DIV/0!</v>
      </c>
      <c r="BD229" s="1568">
        <f t="shared" si="52"/>
        <v>103</v>
      </c>
      <c r="BE229" s="1568">
        <f t="shared" si="53"/>
        <v>93</v>
      </c>
      <c r="BF229" s="1576" t="str">
        <f t="shared" si="31"/>
        <v>NPA</v>
      </c>
      <c r="BG229" s="1965">
        <f t="shared" si="32"/>
        <v>5</v>
      </c>
      <c r="BH229" s="1574"/>
      <c r="BI229" s="1574"/>
      <c r="BJ229" s="1574"/>
      <c r="BK229" s="1574"/>
      <c r="BL229" s="1574"/>
      <c r="BM229" s="1574"/>
      <c r="BN229" s="1574"/>
      <c r="BO229" s="1574"/>
      <c r="BP229" s="1574"/>
      <c r="BQ229" s="1574"/>
      <c r="BR229" s="1591" t="e">
        <f t="shared" si="33"/>
        <v>#DIV/0!</v>
      </c>
      <c r="BS229" s="1591" t="e">
        <f t="shared" si="34"/>
        <v>#DIV/0!</v>
      </c>
      <c r="BT229" s="1568" t="e">
        <f t="shared" si="35"/>
        <v>#DIV/0!</v>
      </c>
      <c r="BU229" s="1568">
        <f t="shared" si="36"/>
        <v>100</v>
      </c>
      <c r="BV229" s="1568">
        <f t="shared" si="37"/>
        <v>90</v>
      </c>
      <c r="BW229" s="1576" t="str">
        <f t="shared" si="38"/>
        <v>NPA</v>
      </c>
      <c r="BX229" s="348" t="str">
        <f t="shared" si="56"/>
        <v/>
      </c>
      <c r="BY229" s="348" t="str">
        <f t="shared" si="56"/>
        <v/>
      </c>
      <c r="BZ229" s="348" t="str">
        <f t="shared" si="56"/>
        <v/>
      </c>
      <c r="CA229" s="348" t="str">
        <f t="shared" si="56"/>
        <v/>
      </c>
      <c r="CB229" s="348" t="str">
        <f t="shared" si="56"/>
        <v/>
      </c>
      <c r="CC229" s="348" t="str">
        <f t="shared" si="56"/>
        <v/>
      </c>
      <c r="CD229" s="348" t="str">
        <f t="shared" si="56"/>
        <v/>
      </c>
      <c r="CE229" s="348" t="str">
        <f t="shared" si="56"/>
        <v/>
      </c>
      <c r="CF229" s="348" t="str">
        <f t="shared" si="57"/>
        <v/>
      </c>
      <c r="CG229" s="348" t="str">
        <f t="shared" si="57"/>
        <v/>
      </c>
      <c r="CH229" s="348" t="str">
        <f t="shared" si="57"/>
        <v/>
      </c>
      <c r="CI229" s="348" t="str">
        <f t="shared" si="57"/>
        <v/>
      </c>
      <c r="CJ229" s="348" t="str">
        <f t="shared" si="57"/>
        <v/>
      </c>
      <c r="CK229" s="348" t="str">
        <f t="shared" si="57"/>
        <v/>
      </c>
      <c r="CL229" s="348" t="str">
        <f t="shared" si="57"/>
        <v/>
      </c>
      <c r="CM229" s="348" t="str">
        <f t="shared" si="57"/>
        <v/>
      </c>
    </row>
    <row r="230" spans="1:91" x14ac:dyDescent="0.25">
      <c r="A230" s="1574" t="str">
        <f t="shared" si="39"/>
        <v>13 x 18</v>
      </c>
      <c r="B230" s="1642">
        <f t="shared" si="40"/>
        <v>61</v>
      </c>
      <c r="C230" s="1592" t="str">
        <f t="shared" si="41"/>
        <v>Convencional</v>
      </c>
      <c r="D230" s="1592"/>
      <c r="E230" s="1574"/>
      <c r="F230" s="1574"/>
      <c r="G230" s="1574"/>
      <c r="H230" s="1574"/>
      <c r="I230" s="1574"/>
      <c r="J230" s="1574"/>
      <c r="K230" s="1574"/>
      <c r="L230" s="1574"/>
      <c r="M230" s="1574"/>
      <c r="N230" s="1574"/>
      <c r="O230" s="1577">
        <f t="shared" si="16"/>
        <v>0</v>
      </c>
      <c r="P230" s="1576" t="str">
        <f t="shared" si="17"/>
        <v>NPA</v>
      </c>
      <c r="Q230" s="1577" t="str">
        <f t="shared" si="18"/>
        <v/>
      </c>
      <c r="R230" s="1576" t="str">
        <f t="shared" si="19"/>
        <v>NPA</v>
      </c>
      <c r="S230" s="1574"/>
      <c r="T230" s="1574"/>
      <c r="U230" s="1577" t="str">
        <f t="shared" si="20"/>
        <v>NPA</v>
      </c>
      <c r="V230" s="1576" t="str">
        <f t="shared" si="42"/>
        <v>NPA</v>
      </c>
      <c r="W230" s="1585">
        <f t="shared" si="21"/>
        <v>2</v>
      </c>
      <c r="X230" s="1574"/>
      <c r="Y230" s="1574"/>
      <c r="Z230" s="1574"/>
      <c r="AA230" s="1574"/>
      <c r="AB230" s="1574"/>
      <c r="AC230" s="1574"/>
      <c r="AD230" s="1574"/>
      <c r="AE230" s="1574"/>
      <c r="AF230" s="1574"/>
      <c r="AG230" s="1574"/>
      <c r="AH230" s="1591" t="e">
        <f t="shared" si="22"/>
        <v>#DIV/0!</v>
      </c>
      <c r="AI230" s="1591" t="e">
        <f t="shared" si="23"/>
        <v>#DIV/0!</v>
      </c>
      <c r="AJ230" s="1568" t="e">
        <f t="shared" si="24"/>
        <v>#DIV/0!</v>
      </c>
      <c r="AK230" s="1568" t="e">
        <f t="shared" si="49"/>
        <v>#DIV/0!</v>
      </c>
      <c r="AL230" s="1568">
        <f t="shared" si="50"/>
        <v>115</v>
      </c>
      <c r="AM230" s="1568">
        <f t="shared" si="51"/>
        <v>105</v>
      </c>
      <c r="AN230" s="1576" t="str">
        <f t="shared" si="25"/>
        <v>NPA</v>
      </c>
      <c r="AO230" s="1585">
        <f t="shared" si="26"/>
        <v>4.5</v>
      </c>
      <c r="AP230" s="1574"/>
      <c r="AQ230" s="1574"/>
      <c r="AR230" s="1574"/>
      <c r="AS230" s="1574"/>
      <c r="AT230" s="1574"/>
      <c r="AU230" s="1574"/>
      <c r="AV230" s="1574"/>
      <c r="AW230" s="1574"/>
      <c r="AX230" s="1574"/>
      <c r="AY230" s="1574"/>
      <c r="AZ230" s="1591" t="e">
        <f t="shared" si="27"/>
        <v>#DIV/0!</v>
      </c>
      <c r="BA230" s="1591" t="e">
        <f t="shared" si="28"/>
        <v>#DIV/0!</v>
      </c>
      <c r="BB230" s="1568" t="e">
        <f t="shared" si="29"/>
        <v>#DIV/0!</v>
      </c>
      <c r="BC230" s="1568" t="e">
        <f t="shared" si="30"/>
        <v>#DIV/0!</v>
      </c>
      <c r="BD230" s="1568">
        <f t="shared" si="52"/>
        <v>103</v>
      </c>
      <c r="BE230" s="1568">
        <f t="shared" si="53"/>
        <v>93</v>
      </c>
      <c r="BF230" s="1576" t="str">
        <f t="shared" si="31"/>
        <v>NPA</v>
      </c>
      <c r="BG230" s="1965">
        <f t="shared" si="32"/>
        <v>5</v>
      </c>
      <c r="BH230" s="1574"/>
      <c r="BI230" s="1574"/>
      <c r="BJ230" s="1574"/>
      <c r="BK230" s="1574"/>
      <c r="BL230" s="1574"/>
      <c r="BM230" s="1574"/>
      <c r="BN230" s="1574"/>
      <c r="BO230" s="1574"/>
      <c r="BP230" s="1574"/>
      <c r="BQ230" s="1574"/>
      <c r="BR230" s="1591" t="e">
        <f t="shared" si="33"/>
        <v>#DIV/0!</v>
      </c>
      <c r="BS230" s="1591" t="e">
        <f t="shared" si="34"/>
        <v>#DIV/0!</v>
      </c>
      <c r="BT230" s="1568" t="e">
        <f t="shared" si="35"/>
        <v>#DIV/0!</v>
      </c>
      <c r="BU230" s="1568">
        <f t="shared" si="36"/>
        <v>100</v>
      </c>
      <c r="BV230" s="1568">
        <f t="shared" si="37"/>
        <v>90</v>
      </c>
      <c r="BW230" s="1576" t="str">
        <f t="shared" si="38"/>
        <v>NPA</v>
      </c>
      <c r="BX230" s="348" t="str">
        <f t="shared" ref="BX230:CE239" si="58">IF(AND($A230=BX$169,$C230="Mamografia"),$Q230,"")</f>
        <v/>
      </c>
      <c r="BY230" s="348" t="str">
        <f t="shared" si="58"/>
        <v/>
      </c>
      <c r="BZ230" s="348" t="str">
        <f t="shared" si="58"/>
        <v/>
      </c>
      <c r="CA230" s="348" t="str">
        <f t="shared" si="58"/>
        <v/>
      </c>
      <c r="CB230" s="348" t="str">
        <f t="shared" si="58"/>
        <v/>
      </c>
      <c r="CC230" s="348" t="str">
        <f t="shared" si="58"/>
        <v/>
      </c>
      <c r="CD230" s="348" t="str">
        <f t="shared" si="58"/>
        <v/>
      </c>
      <c r="CE230" s="348" t="str">
        <f t="shared" si="58"/>
        <v/>
      </c>
      <c r="CF230" s="348" t="str">
        <f t="shared" ref="CF230:CM239" si="59">IF(AND($A230=CF$169,$C230="Convencional"),$Q230,"")</f>
        <v/>
      </c>
      <c r="CG230" s="348" t="str">
        <f t="shared" si="59"/>
        <v/>
      </c>
      <c r="CH230" s="348" t="str">
        <f t="shared" si="59"/>
        <v/>
      </c>
      <c r="CI230" s="348" t="str">
        <f t="shared" si="59"/>
        <v/>
      </c>
      <c r="CJ230" s="348" t="str">
        <f t="shared" si="59"/>
        <v/>
      </c>
      <c r="CK230" s="348" t="str">
        <f t="shared" si="59"/>
        <v/>
      </c>
      <c r="CL230" s="348" t="str">
        <f t="shared" si="59"/>
        <v/>
      </c>
      <c r="CM230" s="348" t="str">
        <f t="shared" si="59"/>
        <v/>
      </c>
    </row>
    <row r="231" spans="1:91" x14ac:dyDescent="0.25">
      <c r="A231" s="1574" t="str">
        <f t="shared" si="39"/>
        <v>13 x 18</v>
      </c>
      <c r="B231" s="1642">
        <f t="shared" si="40"/>
        <v>62</v>
      </c>
      <c r="C231" s="1592" t="str">
        <f t="shared" si="41"/>
        <v>Convencional</v>
      </c>
      <c r="D231" s="1592"/>
      <c r="E231" s="1574"/>
      <c r="F231" s="1574"/>
      <c r="G231" s="1574"/>
      <c r="H231" s="1574"/>
      <c r="I231" s="1574"/>
      <c r="J231" s="1574"/>
      <c r="K231" s="1574"/>
      <c r="L231" s="1574"/>
      <c r="M231" s="1574"/>
      <c r="N231" s="1574"/>
      <c r="O231" s="1577">
        <f t="shared" si="16"/>
        <v>0</v>
      </c>
      <c r="P231" s="1576" t="str">
        <f t="shared" si="17"/>
        <v>NPA</v>
      </c>
      <c r="Q231" s="1577" t="str">
        <f t="shared" si="18"/>
        <v/>
      </c>
      <c r="R231" s="1576" t="str">
        <f t="shared" si="19"/>
        <v>NPA</v>
      </c>
      <c r="S231" s="1574"/>
      <c r="T231" s="1574"/>
      <c r="U231" s="1577" t="str">
        <f t="shared" si="20"/>
        <v>NPA</v>
      </c>
      <c r="V231" s="1576" t="str">
        <f t="shared" si="42"/>
        <v>NPA</v>
      </c>
      <c r="W231" s="1585">
        <f t="shared" si="21"/>
        <v>2</v>
      </c>
      <c r="X231" s="1574"/>
      <c r="Y231" s="1574"/>
      <c r="Z231" s="1574"/>
      <c r="AA231" s="1574"/>
      <c r="AB231" s="1574"/>
      <c r="AC231" s="1574"/>
      <c r="AD231" s="1574"/>
      <c r="AE231" s="1574"/>
      <c r="AF231" s="1574"/>
      <c r="AG231" s="1574"/>
      <c r="AH231" s="1591" t="e">
        <f t="shared" si="22"/>
        <v>#DIV/0!</v>
      </c>
      <c r="AI231" s="1591" t="e">
        <f t="shared" si="23"/>
        <v>#DIV/0!</v>
      </c>
      <c r="AJ231" s="1568" t="e">
        <f t="shared" si="24"/>
        <v>#DIV/0!</v>
      </c>
      <c r="AK231" s="1568" t="e">
        <f t="shared" si="49"/>
        <v>#DIV/0!</v>
      </c>
      <c r="AL231" s="1568">
        <f t="shared" si="50"/>
        <v>115</v>
      </c>
      <c r="AM231" s="1568">
        <f t="shared" si="51"/>
        <v>105</v>
      </c>
      <c r="AN231" s="1576" t="str">
        <f t="shared" si="25"/>
        <v>NPA</v>
      </c>
      <c r="AO231" s="1585">
        <f t="shared" si="26"/>
        <v>4.5</v>
      </c>
      <c r="AP231" s="1574"/>
      <c r="AQ231" s="1574"/>
      <c r="AR231" s="1574"/>
      <c r="AS231" s="1574"/>
      <c r="AT231" s="1574"/>
      <c r="AU231" s="1574"/>
      <c r="AV231" s="1574"/>
      <c r="AW231" s="1574"/>
      <c r="AX231" s="1574"/>
      <c r="AY231" s="1574"/>
      <c r="AZ231" s="1591" t="e">
        <f t="shared" si="27"/>
        <v>#DIV/0!</v>
      </c>
      <c r="BA231" s="1591" t="e">
        <f t="shared" si="28"/>
        <v>#DIV/0!</v>
      </c>
      <c r="BB231" s="1568" t="e">
        <f t="shared" si="29"/>
        <v>#DIV/0!</v>
      </c>
      <c r="BC231" s="1568" t="e">
        <f t="shared" si="30"/>
        <v>#DIV/0!</v>
      </c>
      <c r="BD231" s="1568">
        <f t="shared" si="52"/>
        <v>103</v>
      </c>
      <c r="BE231" s="1568">
        <f t="shared" si="53"/>
        <v>93</v>
      </c>
      <c r="BF231" s="1576" t="str">
        <f t="shared" si="31"/>
        <v>NPA</v>
      </c>
      <c r="BG231" s="1965">
        <f t="shared" si="32"/>
        <v>5</v>
      </c>
      <c r="BH231" s="1574"/>
      <c r="BI231" s="1574"/>
      <c r="BJ231" s="1574"/>
      <c r="BK231" s="1574"/>
      <c r="BL231" s="1574"/>
      <c r="BM231" s="1574"/>
      <c r="BN231" s="1574"/>
      <c r="BO231" s="1574"/>
      <c r="BP231" s="1574"/>
      <c r="BQ231" s="1574"/>
      <c r="BR231" s="1591" t="e">
        <f t="shared" si="33"/>
        <v>#DIV/0!</v>
      </c>
      <c r="BS231" s="1591" t="e">
        <f t="shared" si="34"/>
        <v>#DIV/0!</v>
      </c>
      <c r="BT231" s="1568" t="e">
        <f t="shared" si="35"/>
        <v>#DIV/0!</v>
      </c>
      <c r="BU231" s="1568">
        <f t="shared" si="36"/>
        <v>100</v>
      </c>
      <c r="BV231" s="1568">
        <f t="shared" si="37"/>
        <v>90</v>
      </c>
      <c r="BW231" s="1576" t="str">
        <f t="shared" si="38"/>
        <v>NPA</v>
      </c>
      <c r="BX231" s="348" t="str">
        <f t="shared" si="58"/>
        <v/>
      </c>
      <c r="BY231" s="348" t="str">
        <f t="shared" si="58"/>
        <v/>
      </c>
      <c r="BZ231" s="348" t="str">
        <f t="shared" si="58"/>
        <v/>
      </c>
      <c r="CA231" s="348" t="str">
        <f t="shared" si="58"/>
        <v/>
      </c>
      <c r="CB231" s="348" t="str">
        <f t="shared" si="58"/>
        <v/>
      </c>
      <c r="CC231" s="348" t="str">
        <f t="shared" si="58"/>
        <v/>
      </c>
      <c r="CD231" s="348" t="str">
        <f t="shared" si="58"/>
        <v/>
      </c>
      <c r="CE231" s="348" t="str">
        <f t="shared" si="58"/>
        <v/>
      </c>
      <c r="CF231" s="348" t="str">
        <f t="shared" si="59"/>
        <v/>
      </c>
      <c r="CG231" s="348" t="str">
        <f t="shared" si="59"/>
        <v/>
      </c>
      <c r="CH231" s="348" t="str">
        <f t="shared" si="59"/>
        <v/>
      </c>
      <c r="CI231" s="348" t="str">
        <f t="shared" si="59"/>
        <v/>
      </c>
      <c r="CJ231" s="348" t="str">
        <f t="shared" si="59"/>
        <v/>
      </c>
      <c r="CK231" s="348" t="str">
        <f t="shared" si="59"/>
        <v/>
      </c>
      <c r="CL231" s="348" t="str">
        <f t="shared" si="59"/>
        <v/>
      </c>
      <c r="CM231" s="348" t="str">
        <f t="shared" si="59"/>
        <v/>
      </c>
    </row>
    <row r="232" spans="1:91" x14ac:dyDescent="0.25">
      <c r="A232" s="1574" t="str">
        <f t="shared" si="39"/>
        <v>13 x 18</v>
      </c>
      <c r="B232" s="1642">
        <f t="shared" si="40"/>
        <v>63</v>
      </c>
      <c r="C232" s="1592" t="str">
        <f t="shared" si="41"/>
        <v>Convencional</v>
      </c>
      <c r="D232" s="1592"/>
      <c r="E232" s="1574"/>
      <c r="F232" s="1574"/>
      <c r="G232" s="1574"/>
      <c r="H232" s="1574"/>
      <c r="I232" s="1574"/>
      <c r="J232" s="1574"/>
      <c r="K232" s="1574"/>
      <c r="L232" s="1574"/>
      <c r="M232" s="1574"/>
      <c r="N232" s="1574"/>
      <c r="O232" s="1577">
        <f t="shared" si="16"/>
        <v>0</v>
      </c>
      <c r="P232" s="1576" t="str">
        <f t="shared" si="17"/>
        <v>NPA</v>
      </c>
      <c r="Q232" s="1577" t="str">
        <f t="shared" si="18"/>
        <v/>
      </c>
      <c r="R232" s="1576" t="str">
        <f t="shared" si="19"/>
        <v>NPA</v>
      </c>
      <c r="S232" s="1574"/>
      <c r="T232" s="1574"/>
      <c r="U232" s="1577" t="str">
        <f t="shared" si="20"/>
        <v>NPA</v>
      </c>
      <c r="V232" s="1576" t="str">
        <f t="shared" si="42"/>
        <v>NPA</v>
      </c>
      <c r="W232" s="1585">
        <f t="shared" si="21"/>
        <v>2</v>
      </c>
      <c r="X232" s="1574"/>
      <c r="Y232" s="1574"/>
      <c r="Z232" s="1574"/>
      <c r="AA232" s="1574"/>
      <c r="AB232" s="1574"/>
      <c r="AC232" s="1574"/>
      <c r="AD232" s="1574"/>
      <c r="AE232" s="1574"/>
      <c r="AF232" s="1574"/>
      <c r="AG232" s="1574"/>
      <c r="AH232" s="1591" t="e">
        <f t="shared" si="22"/>
        <v>#DIV/0!</v>
      </c>
      <c r="AI232" s="1591" t="e">
        <f t="shared" si="23"/>
        <v>#DIV/0!</v>
      </c>
      <c r="AJ232" s="1568" t="e">
        <f t="shared" si="24"/>
        <v>#DIV/0!</v>
      </c>
      <c r="AK232" s="1568" t="e">
        <f t="shared" si="49"/>
        <v>#DIV/0!</v>
      </c>
      <c r="AL232" s="1568">
        <f t="shared" si="50"/>
        <v>115</v>
      </c>
      <c r="AM232" s="1568">
        <f t="shared" si="51"/>
        <v>105</v>
      </c>
      <c r="AN232" s="1576" t="str">
        <f t="shared" si="25"/>
        <v>NPA</v>
      </c>
      <c r="AO232" s="1585">
        <f t="shared" si="26"/>
        <v>4.5</v>
      </c>
      <c r="AP232" s="1574"/>
      <c r="AQ232" s="1574"/>
      <c r="AR232" s="1574"/>
      <c r="AS232" s="1574"/>
      <c r="AT232" s="1574"/>
      <c r="AU232" s="1574"/>
      <c r="AV232" s="1574"/>
      <c r="AW232" s="1574"/>
      <c r="AX232" s="1574"/>
      <c r="AY232" s="1574"/>
      <c r="AZ232" s="1591" t="e">
        <f t="shared" si="27"/>
        <v>#DIV/0!</v>
      </c>
      <c r="BA232" s="1591" t="e">
        <f t="shared" si="28"/>
        <v>#DIV/0!</v>
      </c>
      <c r="BB232" s="1568" t="e">
        <f t="shared" si="29"/>
        <v>#DIV/0!</v>
      </c>
      <c r="BC232" s="1568" t="e">
        <f t="shared" si="30"/>
        <v>#DIV/0!</v>
      </c>
      <c r="BD232" s="1568">
        <f t="shared" si="52"/>
        <v>103</v>
      </c>
      <c r="BE232" s="1568">
        <f t="shared" si="53"/>
        <v>93</v>
      </c>
      <c r="BF232" s="1576" t="str">
        <f t="shared" si="31"/>
        <v>NPA</v>
      </c>
      <c r="BG232" s="1965">
        <f t="shared" si="32"/>
        <v>5</v>
      </c>
      <c r="BH232" s="1574"/>
      <c r="BI232" s="1574"/>
      <c r="BJ232" s="1574"/>
      <c r="BK232" s="1574"/>
      <c r="BL232" s="1574"/>
      <c r="BM232" s="1574"/>
      <c r="BN232" s="1574"/>
      <c r="BO232" s="1574"/>
      <c r="BP232" s="1574"/>
      <c r="BQ232" s="1574"/>
      <c r="BR232" s="1591" t="e">
        <f t="shared" si="33"/>
        <v>#DIV/0!</v>
      </c>
      <c r="BS232" s="1591" t="e">
        <f t="shared" si="34"/>
        <v>#DIV/0!</v>
      </c>
      <c r="BT232" s="1568" t="e">
        <f t="shared" si="35"/>
        <v>#DIV/0!</v>
      </c>
      <c r="BU232" s="1568">
        <f t="shared" si="36"/>
        <v>100</v>
      </c>
      <c r="BV232" s="1568">
        <f t="shared" si="37"/>
        <v>90</v>
      </c>
      <c r="BW232" s="1576" t="str">
        <f t="shared" si="38"/>
        <v>NPA</v>
      </c>
      <c r="BX232" s="348" t="str">
        <f t="shared" si="58"/>
        <v/>
      </c>
      <c r="BY232" s="348" t="str">
        <f t="shared" si="58"/>
        <v/>
      </c>
      <c r="BZ232" s="348" t="str">
        <f t="shared" si="58"/>
        <v/>
      </c>
      <c r="CA232" s="348" t="str">
        <f t="shared" si="58"/>
        <v/>
      </c>
      <c r="CB232" s="348" t="str">
        <f t="shared" si="58"/>
        <v/>
      </c>
      <c r="CC232" s="348" t="str">
        <f t="shared" si="58"/>
        <v/>
      </c>
      <c r="CD232" s="348" t="str">
        <f t="shared" si="58"/>
        <v/>
      </c>
      <c r="CE232" s="348" t="str">
        <f t="shared" si="58"/>
        <v/>
      </c>
      <c r="CF232" s="348" t="str">
        <f t="shared" si="59"/>
        <v/>
      </c>
      <c r="CG232" s="348" t="str">
        <f t="shared" si="59"/>
        <v/>
      </c>
      <c r="CH232" s="348" t="str">
        <f t="shared" si="59"/>
        <v/>
      </c>
      <c r="CI232" s="348" t="str">
        <f t="shared" si="59"/>
        <v/>
      </c>
      <c r="CJ232" s="348" t="str">
        <f t="shared" si="59"/>
        <v/>
      </c>
      <c r="CK232" s="348" t="str">
        <f t="shared" si="59"/>
        <v/>
      </c>
      <c r="CL232" s="348" t="str">
        <f t="shared" si="59"/>
        <v/>
      </c>
      <c r="CM232" s="348" t="str">
        <f t="shared" si="59"/>
        <v/>
      </c>
    </row>
    <row r="233" spans="1:91" x14ac:dyDescent="0.25">
      <c r="A233" s="1574" t="str">
        <f t="shared" si="39"/>
        <v>13 x 18</v>
      </c>
      <c r="B233" s="1642">
        <f t="shared" si="40"/>
        <v>64</v>
      </c>
      <c r="C233" s="1592" t="str">
        <f t="shared" si="41"/>
        <v>Convencional</v>
      </c>
      <c r="D233" s="1592"/>
      <c r="E233" s="1574"/>
      <c r="F233" s="1574"/>
      <c r="G233" s="1574"/>
      <c r="H233" s="1574"/>
      <c r="I233" s="1574"/>
      <c r="J233" s="1574"/>
      <c r="K233" s="1574"/>
      <c r="L233" s="1574"/>
      <c r="M233" s="1574"/>
      <c r="N233" s="1574"/>
      <c r="O233" s="1577">
        <f t="shared" si="16"/>
        <v>0</v>
      </c>
      <c r="P233" s="1576" t="str">
        <f t="shared" si="17"/>
        <v>NPA</v>
      </c>
      <c r="Q233" s="1577" t="str">
        <f t="shared" si="18"/>
        <v/>
      </c>
      <c r="R233" s="1576" t="str">
        <f t="shared" si="19"/>
        <v>NPA</v>
      </c>
      <c r="S233" s="1574"/>
      <c r="T233" s="1574"/>
      <c r="U233" s="1577" t="str">
        <f t="shared" si="20"/>
        <v>NPA</v>
      </c>
      <c r="V233" s="1576" t="str">
        <f t="shared" si="42"/>
        <v>NPA</v>
      </c>
      <c r="W233" s="1585">
        <f t="shared" si="21"/>
        <v>2</v>
      </c>
      <c r="X233" s="1574"/>
      <c r="Y233" s="1574"/>
      <c r="Z233" s="1574"/>
      <c r="AA233" s="1574"/>
      <c r="AB233" s="1574"/>
      <c r="AC233" s="1574"/>
      <c r="AD233" s="1574"/>
      <c r="AE233" s="1574"/>
      <c r="AF233" s="1574"/>
      <c r="AG233" s="1574"/>
      <c r="AH233" s="1591" t="e">
        <f t="shared" si="22"/>
        <v>#DIV/0!</v>
      </c>
      <c r="AI233" s="1591" t="e">
        <f t="shared" si="23"/>
        <v>#DIV/0!</v>
      </c>
      <c r="AJ233" s="1568" t="e">
        <f t="shared" si="24"/>
        <v>#DIV/0!</v>
      </c>
      <c r="AK233" s="1568" t="e">
        <f t="shared" si="49"/>
        <v>#DIV/0!</v>
      </c>
      <c r="AL233" s="1568">
        <f t="shared" si="50"/>
        <v>115</v>
      </c>
      <c r="AM233" s="1568">
        <f t="shared" si="51"/>
        <v>105</v>
      </c>
      <c r="AN233" s="1576" t="str">
        <f t="shared" si="25"/>
        <v>NPA</v>
      </c>
      <c r="AO233" s="1585">
        <f t="shared" si="26"/>
        <v>4.5</v>
      </c>
      <c r="AP233" s="1574"/>
      <c r="AQ233" s="1574"/>
      <c r="AR233" s="1574"/>
      <c r="AS233" s="1574"/>
      <c r="AT233" s="1574"/>
      <c r="AU233" s="1574"/>
      <c r="AV233" s="1574"/>
      <c r="AW233" s="1574"/>
      <c r="AX233" s="1574"/>
      <c r="AY233" s="1574"/>
      <c r="AZ233" s="1591" t="e">
        <f t="shared" si="27"/>
        <v>#DIV/0!</v>
      </c>
      <c r="BA233" s="1591" t="e">
        <f t="shared" si="28"/>
        <v>#DIV/0!</v>
      </c>
      <c r="BB233" s="1568" t="e">
        <f t="shared" si="29"/>
        <v>#DIV/0!</v>
      </c>
      <c r="BC233" s="1568" t="e">
        <f t="shared" si="30"/>
        <v>#DIV/0!</v>
      </c>
      <c r="BD233" s="1568">
        <f t="shared" si="52"/>
        <v>103</v>
      </c>
      <c r="BE233" s="1568">
        <f t="shared" si="53"/>
        <v>93</v>
      </c>
      <c r="BF233" s="1576" t="str">
        <f t="shared" si="31"/>
        <v>NPA</v>
      </c>
      <c r="BG233" s="1965">
        <f t="shared" si="32"/>
        <v>5</v>
      </c>
      <c r="BH233" s="1574"/>
      <c r="BI233" s="1574"/>
      <c r="BJ233" s="1574"/>
      <c r="BK233" s="1574"/>
      <c r="BL233" s="1574"/>
      <c r="BM233" s="1574"/>
      <c r="BN233" s="1574"/>
      <c r="BO233" s="1574"/>
      <c r="BP233" s="1574"/>
      <c r="BQ233" s="1574"/>
      <c r="BR233" s="1591" t="e">
        <f t="shared" si="33"/>
        <v>#DIV/0!</v>
      </c>
      <c r="BS233" s="1591" t="e">
        <f t="shared" si="34"/>
        <v>#DIV/0!</v>
      </c>
      <c r="BT233" s="1568" t="e">
        <f t="shared" si="35"/>
        <v>#DIV/0!</v>
      </c>
      <c r="BU233" s="1568">
        <f t="shared" si="36"/>
        <v>100</v>
      </c>
      <c r="BV233" s="1568">
        <f t="shared" si="37"/>
        <v>90</v>
      </c>
      <c r="BW233" s="1576" t="str">
        <f t="shared" si="38"/>
        <v>NPA</v>
      </c>
      <c r="BX233" s="348" t="str">
        <f t="shared" si="58"/>
        <v/>
      </c>
      <c r="BY233" s="348" t="str">
        <f t="shared" si="58"/>
        <v/>
      </c>
      <c r="BZ233" s="348" t="str">
        <f t="shared" si="58"/>
        <v/>
      </c>
      <c r="CA233" s="348" t="str">
        <f t="shared" si="58"/>
        <v/>
      </c>
      <c r="CB233" s="348" t="str">
        <f t="shared" si="58"/>
        <v/>
      </c>
      <c r="CC233" s="348" t="str">
        <f t="shared" si="58"/>
        <v/>
      </c>
      <c r="CD233" s="348" t="str">
        <f t="shared" si="58"/>
        <v/>
      </c>
      <c r="CE233" s="348" t="str">
        <f t="shared" si="58"/>
        <v/>
      </c>
      <c r="CF233" s="348" t="str">
        <f t="shared" si="59"/>
        <v/>
      </c>
      <c r="CG233" s="348" t="str">
        <f t="shared" si="59"/>
        <v/>
      </c>
      <c r="CH233" s="348" t="str">
        <f t="shared" si="59"/>
        <v/>
      </c>
      <c r="CI233" s="348" t="str">
        <f t="shared" si="59"/>
        <v/>
      </c>
      <c r="CJ233" s="348" t="str">
        <f t="shared" si="59"/>
        <v/>
      </c>
      <c r="CK233" s="348" t="str">
        <f t="shared" si="59"/>
        <v/>
      </c>
      <c r="CL233" s="348" t="str">
        <f t="shared" si="59"/>
        <v/>
      </c>
      <c r="CM233" s="348" t="str">
        <f t="shared" si="59"/>
        <v/>
      </c>
    </row>
    <row r="234" spans="1:91" x14ac:dyDescent="0.25">
      <c r="A234" s="1574" t="str">
        <f t="shared" si="39"/>
        <v>13 x 18</v>
      </c>
      <c r="B234" s="1642">
        <f t="shared" si="40"/>
        <v>65</v>
      </c>
      <c r="C234" s="1592" t="str">
        <f t="shared" si="41"/>
        <v>Convencional</v>
      </c>
      <c r="D234" s="1592"/>
      <c r="E234" s="1574"/>
      <c r="F234" s="1574"/>
      <c r="G234" s="1574"/>
      <c r="H234" s="1574"/>
      <c r="I234" s="1574"/>
      <c r="J234" s="1574"/>
      <c r="K234" s="1574"/>
      <c r="L234" s="1574"/>
      <c r="M234" s="1574"/>
      <c r="N234" s="1574"/>
      <c r="O234" s="1577">
        <f t="shared" si="16"/>
        <v>0</v>
      </c>
      <c r="P234" s="1576" t="str">
        <f t="shared" si="17"/>
        <v>NPA</v>
      </c>
      <c r="Q234" s="1577" t="str">
        <f t="shared" si="18"/>
        <v/>
      </c>
      <c r="R234" s="1576" t="str">
        <f t="shared" si="19"/>
        <v>NPA</v>
      </c>
      <c r="S234" s="1574"/>
      <c r="T234" s="1574"/>
      <c r="U234" s="1577" t="str">
        <f t="shared" si="20"/>
        <v>NPA</v>
      </c>
      <c r="V234" s="1576" t="str">
        <f t="shared" si="42"/>
        <v>NPA</v>
      </c>
      <c r="W234" s="1585">
        <f t="shared" si="21"/>
        <v>2</v>
      </c>
      <c r="X234" s="1574"/>
      <c r="Y234" s="1574"/>
      <c r="Z234" s="1574"/>
      <c r="AA234" s="1574"/>
      <c r="AB234" s="1574"/>
      <c r="AC234" s="1574"/>
      <c r="AD234" s="1574"/>
      <c r="AE234" s="1574"/>
      <c r="AF234" s="1574"/>
      <c r="AG234" s="1574"/>
      <c r="AH234" s="1591" t="e">
        <f t="shared" si="22"/>
        <v>#DIV/0!</v>
      </c>
      <c r="AI234" s="1591" t="e">
        <f t="shared" si="23"/>
        <v>#DIV/0!</v>
      </c>
      <c r="AJ234" s="1568" t="e">
        <f t="shared" si="24"/>
        <v>#DIV/0!</v>
      </c>
      <c r="AK234" s="1568" t="e">
        <f t="shared" ref="AK234:AK249" si="60">ROUND(AJ234/BT234*100,1)</f>
        <v>#DIV/0!</v>
      </c>
      <c r="AL234" s="1568">
        <f t="shared" ref="AL234:AL249" si="61">HLOOKUP(W234,$N$162:$T$164,2,FALSE)</f>
        <v>115</v>
      </c>
      <c r="AM234" s="1568">
        <f t="shared" ref="AM234:AM249" si="62">HLOOKUP(W234,$N$162:$T$164,3,FALSE)</f>
        <v>105</v>
      </c>
      <c r="AN234" s="1576" t="str">
        <f t="shared" si="25"/>
        <v>NPA</v>
      </c>
      <c r="AO234" s="1585">
        <f t="shared" si="26"/>
        <v>4.5</v>
      </c>
      <c r="AP234" s="1574"/>
      <c r="AQ234" s="1574"/>
      <c r="AR234" s="1574"/>
      <c r="AS234" s="1574"/>
      <c r="AT234" s="1574"/>
      <c r="AU234" s="1574"/>
      <c r="AV234" s="1574"/>
      <c r="AW234" s="1574"/>
      <c r="AX234" s="1574"/>
      <c r="AY234" s="1574"/>
      <c r="AZ234" s="1591" t="e">
        <f t="shared" si="27"/>
        <v>#DIV/0!</v>
      </c>
      <c r="BA234" s="1591" t="e">
        <f t="shared" si="28"/>
        <v>#DIV/0!</v>
      </c>
      <c r="BB234" s="1568" t="e">
        <f t="shared" si="29"/>
        <v>#DIV/0!</v>
      </c>
      <c r="BC234" s="1568" t="e">
        <f t="shared" si="30"/>
        <v>#DIV/0!</v>
      </c>
      <c r="BD234" s="1568">
        <f t="shared" ref="BD234:BD249" si="63">HLOOKUP(AO234,$N$162:$T$164,2,FALSE)</f>
        <v>103</v>
      </c>
      <c r="BE234" s="1568">
        <f t="shared" ref="BE234:BE249" si="64">HLOOKUP(AO234,$N$162:$T$164,3,FALSE)</f>
        <v>93</v>
      </c>
      <c r="BF234" s="1576" t="str">
        <f t="shared" si="31"/>
        <v>NPA</v>
      </c>
      <c r="BG234" s="1965">
        <f t="shared" si="32"/>
        <v>5</v>
      </c>
      <c r="BH234" s="1574"/>
      <c r="BI234" s="1574"/>
      <c r="BJ234" s="1574"/>
      <c r="BK234" s="1574"/>
      <c r="BL234" s="1574"/>
      <c r="BM234" s="1574"/>
      <c r="BN234" s="1574"/>
      <c r="BO234" s="1574"/>
      <c r="BP234" s="1574"/>
      <c r="BQ234" s="1574"/>
      <c r="BR234" s="1591" t="e">
        <f t="shared" si="33"/>
        <v>#DIV/0!</v>
      </c>
      <c r="BS234" s="1591" t="e">
        <f t="shared" si="34"/>
        <v>#DIV/0!</v>
      </c>
      <c r="BT234" s="1568" t="e">
        <f t="shared" si="35"/>
        <v>#DIV/0!</v>
      </c>
      <c r="BU234" s="1568">
        <f t="shared" si="36"/>
        <v>100</v>
      </c>
      <c r="BV234" s="1568">
        <f t="shared" si="37"/>
        <v>90</v>
      </c>
      <c r="BW234" s="1576" t="str">
        <f t="shared" si="38"/>
        <v>NPA</v>
      </c>
      <c r="BX234" s="348" t="str">
        <f t="shared" si="58"/>
        <v/>
      </c>
      <c r="BY234" s="348" t="str">
        <f t="shared" si="58"/>
        <v/>
      </c>
      <c r="BZ234" s="348" t="str">
        <f t="shared" si="58"/>
        <v/>
      </c>
      <c r="CA234" s="348" t="str">
        <f t="shared" si="58"/>
        <v/>
      </c>
      <c r="CB234" s="348" t="str">
        <f t="shared" si="58"/>
        <v/>
      </c>
      <c r="CC234" s="348" t="str">
        <f t="shared" si="58"/>
        <v/>
      </c>
      <c r="CD234" s="348" t="str">
        <f t="shared" si="58"/>
        <v/>
      </c>
      <c r="CE234" s="348" t="str">
        <f t="shared" si="58"/>
        <v/>
      </c>
      <c r="CF234" s="348" t="str">
        <f t="shared" si="59"/>
        <v/>
      </c>
      <c r="CG234" s="348" t="str">
        <f t="shared" si="59"/>
        <v/>
      </c>
      <c r="CH234" s="348" t="str">
        <f t="shared" si="59"/>
        <v/>
      </c>
      <c r="CI234" s="348" t="str">
        <f t="shared" si="59"/>
        <v/>
      </c>
      <c r="CJ234" s="348" t="str">
        <f t="shared" si="59"/>
        <v/>
      </c>
      <c r="CK234" s="348" t="str">
        <f t="shared" si="59"/>
        <v/>
      </c>
      <c r="CL234" s="348" t="str">
        <f t="shared" si="59"/>
        <v/>
      </c>
      <c r="CM234" s="348" t="str">
        <f t="shared" si="59"/>
        <v/>
      </c>
    </row>
    <row r="235" spans="1:91" x14ac:dyDescent="0.25">
      <c r="A235" s="1574" t="str">
        <f t="shared" si="39"/>
        <v>13 x 18</v>
      </c>
      <c r="B235" s="1642">
        <f t="shared" si="40"/>
        <v>66</v>
      </c>
      <c r="C235" s="1592" t="str">
        <f t="shared" si="41"/>
        <v>Convencional</v>
      </c>
      <c r="D235" s="1592"/>
      <c r="E235" s="1574"/>
      <c r="F235" s="1574"/>
      <c r="G235" s="1574"/>
      <c r="H235" s="1574"/>
      <c r="I235" s="1574"/>
      <c r="J235" s="1574"/>
      <c r="K235" s="1574"/>
      <c r="L235" s="1574"/>
      <c r="M235" s="1574"/>
      <c r="N235" s="1574"/>
      <c r="O235" s="1577">
        <f t="shared" ref="O235:O249" si="65">ROUNDDOWN(MAX(IF(G235=0,FALSE,ABS(G235/E235-1)),IF(I235=0,FALSE,ABS(I235/E235-1)),IF(K235=0,FALSE,ABS(K235/E235-1)),IF(M235=0,FALSE,ABS(M235/E235-1))),4)</f>
        <v>0</v>
      </c>
      <c r="P235" s="1576" t="str">
        <f t="shared" ref="P235:P249" si="66">IF(COUNTBLANK(E235:N235)&gt;5,"NPA",IFERROR(IF(O235&gt;0.2,"Restrição",IF(O235&gt;0.1,"Não","Sim")),"NPA"))</f>
        <v>NPA</v>
      </c>
      <c r="Q235" s="1577" t="str">
        <f t="shared" ref="Q235:Q249" si="67">IFERROR(MAX(F235/E235,H235/G235,J235/I235,L235/K235,N235/M235),"")</f>
        <v/>
      </c>
      <c r="R235" s="1576" t="str">
        <f t="shared" ref="R235:R249" si="68">IF(COUNTBLANK(G235:P235)&gt;5,"NPA",IFERROR(IF(Q235&gt;0.2,"Restrição",IF(Q235&gt;0.1,"Não","Sim")),"NPA"))</f>
        <v>NPA</v>
      </c>
      <c r="S235" s="1574"/>
      <c r="T235" s="1574"/>
      <c r="U235" s="1577" t="str">
        <f t="shared" ref="U235:U249" si="69">IF(MAX(IF(LOOKUP(A235,$A$151:$A$158,$B$151:$B$158)&lt;&gt;0,ROUNDDOWN(ABS(S235/LOOKUP(A235,$A$151:$A$158,$B$151:$B$158)-1),4),0),IF(LOOKUP(A235,$A$151:$A$158,$D$151:$D$158)&lt;&gt;0,ROUNDDOWN(ABS(T235/LOOKUP(A235,$A$151:$A$158,$D$151:$D$158)-1),4),1000000))=1000000,"NPA",MAX(IF(LOOKUP(A235,$A$151:$A$158,$B$151:$B$158)&lt;&gt;0,ROUNDDOWN(ABS(S235/LOOKUP(A235,$A$151:$A$158,$B$151:$B$158)-1),4),0),IF(LOOKUP(A235,$A$151:$A$158,$D$151:$D$158)&lt;&gt;0,ROUNDDOWN(ABS(T235/LOOKUP(A235,$A$151:$A$158,$D$151:$D$158)-1),4),1000000)))</f>
        <v>NPA</v>
      </c>
      <c r="V235" s="1576" t="str">
        <f t="shared" si="42"/>
        <v>NPA</v>
      </c>
      <c r="W235" s="1585">
        <f t="shared" ref="W235:W249" si="70">$B$162</f>
        <v>2</v>
      </c>
      <c r="X235" s="1574"/>
      <c r="Y235" s="1574"/>
      <c r="Z235" s="1574"/>
      <c r="AA235" s="1574"/>
      <c r="AB235" s="1574"/>
      <c r="AC235" s="1574"/>
      <c r="AD235" s="1574"/>
      <c r="AE235" s="1574"/>
      <c r="AF235" s="1574"/>
      <c r="AG235" s="1574"/>
      <c r="AH235" s="1591" t="e">
        <f t="shared" ref="AH235:AH249" si="71">AVERAGE(Z235,AB235,AD235,AF235)</f>
        <v>#DIV/0!</v>
      </c>
      <c r="AI235" s="1591" t="e">
        <f t="shared" ref="AI235:AI249" si="72">AVERAGE(AA235,AC235,AE235,AG235)</f>
        <v>#DIV/0!</v>
      </c>
      <c r="AJ235" s="1568" t="e">
        <f t="shared" ref="AJ235:AJ249" si="73">ROUNDDOWN(ABS(X235-AH235)/((Y235^2+AI235^2)/2)^0.5,4)*100</f>
        <v>#DIV/0!</v>
      </c>
      <c r="AK235" s="1568" t="e">
        <f t="shared" si="60"/>
        <v>#DIV/0!</v>
      </c>
      <c r="AL235" s="1568">
        <f t="shared" si="61"/>
        <v>115</v>
      </c>
      <c r="AM235" s="1568">
        <f t="shared" si="62"/>
        <v>105</v>
      </c>
      <c r="AN235" s="1576" t="str">
        <f t="shared" ref="AN235:AN249" si="74">IF(ISERR(AK235),"NPA",IF(AK235&lt;AM235,"Restrição",IF(AK235&lt;AL235,"Não","Sim")))</f>
        <v>NPA</v>
      </c>
      <c r="AO235" s="1585">
        <f t="shared" ref="AO235:AO249" si="75">$C$162</f>
        <v>4.5</v>
      </c>
      <c r="AP235" s="1574"/>
      <c r="AQ235" s="1574"/>
      <c r="AR235" s="1574"/>
      <c r="AS235" s="1574"/>
      <c r="AT235" s="1574"/>
      <c r="AU235" s="1574"/>
      <c r="AV235" s="1574"/>
      <c r="AW235" s="1574"/>
      <c r="AX235" s="1574"/>
      <c r="AY235" s="1574"/>
      <c r="AZ235" s="1591" t="e">
        <f t="shared" ref="AZ235:AZ249" si="76">AVERAGE(AR235,AT235,AV235,AX235)</f>
        <v>#DIV/0!</v>
      </c>
      <c r="BA235" s="1591" t="e">
        <f t="shared" ref="BA235:BA249" si="77">AVERAGE(AS235,AU235,AW235,AY235)</f>
        <v>#DIV/0!</v>
      </c>
      <c r="BB235" s="1568" t="e">
        <f t="shared" ref="BB235:BB249" si="78">ROUNDDOWN(ABS(AP235-AZ235)/((AQ235^2+BA235^2)/2)^0.5,4)*100</f>
        <v>#DIV/0!</v>
      </c>
      <c r="BC235" s="1568" t="e">
        <f t="shared" ref="BC235:BC249" si="79">ROUND(BB235/BT235*100,1)</f>
        <v>#DIV/0!</v>
      </c>
      <c r="BD235" s="1568">
        <f t="shared" si="63"/>
        <v>103</v>
      </c>
      <c r="BE235" s="1568">
        <f t="shared" si="64"/>
        <v>93</v>
      </c>
      <c r="BF235" s="1576" t="str">
        <f t="shared" ref="BF235:BF249" si="80">IF(ISERR(BC235),"NPA",IF(BC235&lt;BE235,"Restrição",IF(BC235&lt;BD235,"Não","Sim")))</f>
        <v>NPA</v>
      </c>
      <c r="BG235" s="1965">
        <f t="shared" ref="BG235:BG249" si="81">$D$162</f>
        <v>5</v>
      </c>
      <c r="BH235" s="1574"/>
      <c r="BI235" s="1574"/>
      <c r="BJ235" s="1574"/>
      <c r="BK235" s="1574"/>
      <c r="BL235" s="1574"/>
      <c r="BM235" s="1574"/>
      <c r="BN235" s="1574"/>
      <c r="BO235" s="1574"/>
      <c r="BP235" s="1574"/>
      <c r="BQ235" s="1574"/>
      <c r="BR235" s="1591" t="e">
        <f t="shared" ref="BR235:BR249" si="82">AVERAGE(BJ235,BL235,BN235,BP235)</f>
        <v>#DIV/0!</v>
      </c>
      <c r="BS235" s="1591" t="e">
        <f t="shared" ref="BS235:BS249" si="83">AVERAGE(BK235,BM235,BO235,BQ235)</f>
        <v>#DIV/0!</v>
      </c>
      <c r="BT235" s="1568" t="e">
        <f t="shared" ref="BT235:BT249" si="84">ROUNDDOWN(ABS(BH235-BR235)/((BI235^2+BS235^2)/2)^0.5,4)*100</f>
        <v>#DIV/0!</v>
      </c>
      <c r="BU235" s="1568">
        <f t="shared" ref="BU235:BU249" si="85">HLOOKUP(BG235,$N$162:$T$164,2,FALSE)</f>
        <v>100</v>
      </c>
      <c r="BV235" s="1568">
        <f t="shared" ref="BV235:BV249" si="86">HLOOKUP(BG235,$N$162:$T$164,3,FALSE)</f>
        <v>90</v>
      </c>
      <c r="BW235" s="1576" t="str">
        <f t="shared" ref="BW235:BW249" si="87">IF(ISERR(BT235),"NPA",IF(BT235&lt;BV235,"Restrição",IF(BT235&lt;BU235,"Não","Sim")))</f>
        <v>NPA</v>
      </c>
      <c r="BX235" s="348" t="str">
        <f t="shared" si="58"/>
        <v/>
      </c>
      <c r="BY235" s="348" t="str">
        <f t="shared" si="58"/>
        <v/>
      </c>
      <c r="BZ235" s="348" t="str">
        <f t="shared" si="58"/>
        <v/>
      </c>
      <c r="CA235" s="348" t="str">
        <f t="shared" si="58"/>
        <v/>
      </c>
      <c r="CB235" s="348" t="str">
        <f t="shared" si="58"/>
        <v/>
      </c>
      <c r="CC235" s="348" t="str">
        <f t="shared" si="58"/>
        <v/>
      </c>
      <c r="CD235" s="348" t="str">
        <f t="shared" si="58"/>
        <v/>
      </c>
      <c r="CE235" s="348" t="str">
        <f t="shared" si="58"/>
        <v/>
      </c>
      <c r="CF235" s="348" t="str">
        <f t="shared" si="59"/>
        <v/>
      </c>
      <c r="CG235" s="348" t="str">
        <f t="shared" si="59"/>
        <v/>
      </c>
      <c r="CH235" s="348" t="str">
        <f t="shared" si="59"/>
        <v/>
      </c>
      <c r="CI235" s="348" t="str">
        <f t="shared" si="59"/>
        <v/>
      </c>
      <c r="CJ235" s="348" t="str">
        <f t="shared" si="59"/>
        <v/>
      </c>
      <c r="CK235" s="348" t="str">
        <f t="shared" si="59"/>
        <v/>
      </c>
      <c r="CL235" s="348" t="str">
        <f t="shared" si="59"/>
        <v/>
      </c>
      <c r="CM235" s="348" t="str">
        <f t="shared" si="59"/>
        <v/>
      </c>
    </row>
    <row r="236" spans="1:91" x14ac:dyDescent="0.25">
      <c r="A236" s="1574" t="str">
        <f t="shared" ref="A236:A249" si="88">A235</f>
        <v>13 x 18</v>
      </c>
      <c r="B236" s="1642">
        <f t="shared" ref="B236:B249" si="89">IF(A236=A235,B235+1,1)</f>
        <v>67</v>
      </c>
      <c r="C236" s="1592" t="str">
        <f t="shared" ref="C236:C249" si="90">C235</f>
        <v>Convencional</v>
      </c>
      <c r="D236" s="1592"/>
      <c r="E236" s="1574"/>
      <c r="F236" s="1574"/>
      <c r="G236" s="1574"/>
      <c r="H236" s="1574"/>
      <c r="I236" s="1574"/>
      <c r="J236" s="1574"/>
      <c r="K236" s="1574"/>
      <c r="L236" s="1574"/>
      <c r="M236" s="1574"/>
      <c r="N236" s="1574"/>
      <c r="O236" s="1577">
        <f t="shared" si="65"/>
        <v>0</v>
      </c>
      <c r="P236" s="1576" t="str">
        <f t="shared" si="66"/>
        <v>NPA</v>
      </c>
      <c r="Q236" s="1577" t="str">
        <f t="shared" si="67"/>
        <v/>
      </c>
      <c r="R236" s="1576" t="str">
        <f t="shared" si="68"/>
        <v>NPA</v>
      </c>
      <c r="S236" s="1574"/>
      <c r="T236" s="1574"/>
      <c r="U236" s="1577" t="str">
        <f t="shared" si="69"/>
        <v>NPA</v>
      </c>
      <c r="V236" s="1576" t="str">
        <f t="shared" si="42"/>
        <v>NPA</v>
      </c>
      <c r="W236" s="1585">
        <f t="shared" si="70"/>
        <v>2</v>
      </c>
      <c r="X236" s="1574"/>
      <c r="Y236" s="1574"/>
      <c r="Z236" s="1574"/>
      <c r="AA236" s="1574"/>
      <c r="AB236" s="1574"/>
      <c r="AC236" s="1574"/>
      <c r="AD236" s="1574"/>
      <c r="AE236" s="1574"/>
      <c r="AF236" s="1574"/>
      <c r="AG236" s="1574"/>
      <c r="AH236" s="1591" t="e">
        <f t="shared" si="71"/>
        <v>#DIV/0!</v>
      </c>
      <c r="AI236" s="1591" t="e">
        <f t="shared" si="72"/>
        <v>#DIV/0!</v>
      </c>
      <c r="AJ236" s="1568" t="e">
        <f t="shared" si="73"/>
        <v>#DIV/0!</v>
      </c>
      <c r="AK236" s="1568" t="e">
        <f t="shared" si="60"/>
        <v>#DIV/0!</v>
      </c>
      <c r="AL236" s="1568">
        <f t="shared" si="61"/>
        <v>115</v>
      </c>
      <c r="AM236" s="1568">
        <f t="shared" si="62"/>
        <v>105</v>
      </c>
      <c r="AN236" s="1576" t="str">
        <f t="shared" si="74"/>
        <v>NPA</v>
      </c>
      <c r="AO236" s="1585">
        <f t="shared" si="75"/>
        <v>4.5</v>
      </c>
      <c r="AP236" s="1574"/>
      <c r="AQ236" s="1574"/>
      <c r="AR236" s="1574"/>
      <c r="AS236" s="1574"/>
      <c r="AT236" s="1574"/>
      <c r="AU236" s="1574"/>
      <c r="AV236" s="1574"/>
      <c r="AW236" s="1574"/>
      <c r="AX236" s="1574"/>
      <c r="AY236" s="1574"/>
      <c r="AZ236" s="1591" t="e">
        <f t="shared" si="76"/>
        <v>#DIV/0!</v>
      </c>
      <c r="BA236" s="1591" t="e">
        <f t="shared" si="77"/>
        <v>#DIV/0!</v>
      </c>
      <c r="BB236" s="1568" t="e">
        <f t="shared" si="78"/>
        <v>#DIV/0!</v>
      </c>
      <c r="BC236" s="1568" t="e">
        <f t="shared" si="79"/>
        <v>#DIV/0!</v>
      </c>
      <c r="BD236" s="1568">
        <f t="shared" si="63"/>
        <v>103</v>
      </c>
      <c r="BE236" s="1568">
        <f t="shared" si="64"/>
        <v>93</v>
      </c>
      <c r="BF236" s="1576" t="str">
        <f t="shared" si="80"/>
        <v>NPA</v>
      </c>
      <c r="BG236" s="1965">
        <f t="shared" si="81"/>
        <v>5</v>
      </c>
      <c r="BH236" s="1574"/>
      <c r="BI236" s="1574"/>
      <c r="BJ236" s="1574"/>
      <c r="BK236" s="1574"/>
      <c r="BL236" s="1574"/>
      <c r="BM236" s="1574"/>
      <c r="BN236" s="1574"/>
      <c r="BO236" s="1574"/>
      <c r="BP236" s="1574"/>
      <c r="BQ236" s="1574"/>
      <c r="BR236" s="1591" t="e">
        <f t="shared" si="82"/>
        <v>#DIV/0!</v>
      </c>
      <c r="BS236" s="1591" t="e">
        <f t="shared" si="83"/>
        <v>#DIV/0!</v>
      </c>
      <c r="BT236" s="1568" t="e">
        <f t="shared" si="84"/>
        <v>#DIV/0!</v>
      </c>
      <c r="BU236" s="1568">
        <f t="shared" si="85"/>
        <v>100</v>
      </c>
      <c r="BV236" s="1568">
        <f t="shared" si="86"/>
        <v>90</v>
      </c>
      <c r="BW236" s="1576" t="str">
        <f t="shared" si="87"/>
        <v>NPA</v>
      </c>
      <c r="BX236" s="348" t="str">
        <f t="shared" si="58"/>
        <v/>
      </c>
      <c r="BY236" s="348" t="str">
        <f t="shared" si="58"/>
        <v/>
      </c>
      <c r="BZ236" s="348" t="str">
        <f t="shared" si="58"/>
        <v/>
      </c>
      <c r="CA236" s="348" t="str">
        <f t="shared" si="58"/>
        <v/>
      </c>
      <c r="CB236" s="348" t="str">
        <f t="shared" si="58"/>
        <v/>
      </c>
      <c r="CC236" s="348" t="str">
        <f t="shared" si="58"/>
        <v/>
      </c>
      <c r="CD236" s="348" t="str">
        <f t="shared" si="58"/>
        <v/>
      </c>
      <c r="CE236" s="348" t="str">
        <f t="shared" si="58"/>
        <v/>
      </c>
      <c r="CF236" s="348" t="str">
        <f t="shared" si="59"/>
        <v/>
      </c>
      <c r="CG236" s="348" t="str">
        <f t="shared" si="59"/>
        <v/>
      </c>
      <c r="CH236" s="348" t="str">
        <f t="shared" si="59"/>
        <v/>
      </c>
      <c r="CI236" s="348" t="str">
        <f t="shared" si="59"/>
        <v/>
      </c>
      <c r="CJ236" s="348" t="str">
        <f t="shared" si="59"/>
        <v/>
      </c>
      <c r="CK236" s="348" t="str">
        <f t="shared" si="59"/>
        <v/>
      </c>
      <c r="CL236" s="348" t="str">
        <f t="shared" si="59"/>
        <v/>
      </c>
      <c r="CM236" s="348" t="str">
        <f t="shared" si="59"/>
        <v/>
      </c>
    </row>
    <row r="237" spans="1:91" x14ac:dyDescent="0.25">
      <c r="A237" s="1574" t="str">
        <f t="shared" si="88"/>
        <v>13 x 18</v>
      </c>
      <c r="B237" s="1642">
        <f t="shared" si="89"/>
        <v>68</v>
      </c>
      <c r="C237" s="1592" t="str">
        <f t="shared" si="90"/>
        <v>Convencional</v>
      </c>
      <c r="D237" s="1592"/>
      <c r="E237" s="1574"/>
      <c r="F237" s="1574"/>
      <c r="G237" s="1574"/>
      <c r="H237" s="1574"/>
      <c r="I237" s="1574"/>
      <c r="J237" s="1574"/>
      <c r="K237" s="1574"/>
      <c r="L237" s="1574"/>
      <c r="M237" s="1574"/>
      <c r="N237" s="1574"/>
      <c r="O237" s="1577">
        <f t="shared" si="65"/>
        <v>0</v>
      </c>
      <c r="P237" s="1576" t="str">
        <f t="shared" si="66"/>
        <v>NPA</v>
      </c>
      <c r="Q237" s="1577" t="str">
        <f t="shared" si="67"/>
        <v/>
      </c>
      <c r="R237" s="1576" t="str">
        <f t="shared" si="68"/>
        <v>NPA</v>
      </c>
      <c r="S237" s="1574"/>
      <c r="T237" s="1574"/>
      <c r="U237" s="1577" t="str">
        <f t="shared" si="69"/>
        <v>NPA</v>
      </c>
      <c r="V237" s="1576" t="str">
        <f t="shared" ref="V237:V249" si="91">IF(OR(U237="NPA",T237=""),"NPA",IF(U237&lt;=2%,"Sim",IF(U237&gt;4%,"Restrição","Não")))</f>
        <v>NPA</v>
      </c>
      <c r="W237" s="1585">
        <f t="shared" si="70"/>
        <v>2</v>
      </c>
      <c r="X237" s="1574"/>
      <c r="Y237" s="1574"/>
      <c r="Z237" s="1574"/>
      <c r="AA237" s="1574"/>
      <c r="AB237" s="1574"/>
      <c r="AC237" s="1574"/>
      <c r="AD237" s="1574"/>
      <c r="AE237" s="1574"/>
      <c r="AF237" s="1574"/>
      <c r="AG237" s="1574"/>
      <c r="AH237" s="1591" t="e">
        <f t="shared" si="71"/>
        <v>#DIV/0!</v>
      </c>
      <c r="AI237" s="1591" t="e">
        <f t="shared" si="72"/>
        <v>#DIV/0!</v>
      </c>
      <c r="AJ237" s="1568" t="e">
        <f t="shared" si="73"/>
        <v>#DIV/0!</v>
      </c>
      <c r="AK237" s="1568" t="e">
        <f t="shared" si="60"/>
        <v>#DIV/0!</v>
      </c>
      <c r="AL237" s="1568">
        <f t="shared" si="61"/>
        <v>115</v>
      </c>
      <c r="AM237" s="1568">
        <f t="shared" si="62"/>
        <v>105</v>
      </c>
      <c r="AN237" s="1576" t="str">
        <f t="shared" si="74"/>
        <v>NPA</v>
      </c>
      <c r="AO237" s="1585">
        <f t="shared" si="75"/>
        <v>4.5</v>
      </c>
      <c r="AP237" s="1574"/>
      <c r="AQ237" s="1574"/>
      <c r="AR237" s="1574"/>
      <c r="AS237" s="1574"/>
      <c r="AT237" s="1574"/>
      <c r="AU237" s="1574"/>
      <c r="AV237" s="1574"/>
      <c r="AW237" s="1574"/>
      <c r="AX237" s="1574"/>
      <c r="AY237" s="1574"/>
      <c r="AZ237" s="1591" t="e">
        <f t="shared" si="76"/>
        <v>#DIV/0!</v>
      </c>
      <c r="BA237" s="1591" t="e">
        <f t="shared" si="77"/>
        <v>#DIV/0!</v>
      </c>
      <c r="BB237" s="1568" t="e">
        <f t="shared" si="78"/>
        <v>#DIV/0!</v>
      </c>
      <c r="BC237" s="1568" t="e">
        <f t="shared" si="79"/>
        <v>#DIV/0!</v>
      </c>
      <c r="BD237" s="1568">
        <f t="shared" si="63"/>
        <v>103</v>
      </c>
      <c r="BE237" s="1568">
        <f t="shared" si="64"/>
        <v>93</v>
      </c>
      <c r="BF237" s="1576" t="str">
        <f t="shared" si="80"/>
        <v>NPA</v>
      </c>
      <c r="BG237" s="1965">
        <f t="shared" si="81"/>
        <v>5</v>
      </c>
      <c r="BH237" s="1574"/>
      <c r="BI237" s="1574"/>
      <c r="BJ237" s="1574"/>
      <c r="BK237" s="1574"/>
      <c r="BL237" s="1574"/>
      <c r="BM237" s="1574"/>
      <c r="BN237" s="1574"/>
      <c r="BO237" s="1574"/>
      <c r="BP237" s="1574"/>
      <c r="BQ237" s="1574"/>
      <c r="BR237" s="1591" t="e">
        <f t="shared" si="82"/>
        <v>#DIV/0!</v>
      </c>
      <c r="BS237" s="1591" t="e">
        <f t="shared" si="83"/>
        <v>#DIV/0!</v>
      </c>
      <c r="BT237" s="1568" t="e">
        <f t="shared" si="84"/>
        <v>#DIV/0!</v>
      </c>
      <c r="BU237" s="1568">
        <f t="shared" si="85"/>
        <v>100</v>
      </c>
      <c r="BV237" s="1568">
        <f t="shared" si="86"/>
        <v>90</v>
      </c>
      <c r="BW237" s="1576" t="str">
        <f t="shared" si="87"/>
        <v>NPA</v>
      </c>
      <c r="BX237" s="348" t="str">
        <f t="shared" si="58"/>
        <v/>
      </c>
      <c r="BY237" s="348" t="str">
        <f t="shared" si="58"/>
        <v/>
      </c>
      <c r="BZ237" s="348" t="str">
        <f t="shared" si="58"/>
        <v/>
      </c>
      <c r="CA237" s="348" t="str">
        <f t="shared" si="58"/>
        <v/>
      </c>
      <c r="CB237" s="348" t="str">
        <f t="shared" si="58"/>
        <v/>
      </c>
      <c r="CC237" s="348" t="str">
        <f t="shared" si="58"/>
        <v/>
      </c>
      <c r="CD237" s="348" t="str">
        <f t="shared" si="58"/>
        <v/>
      </c>
      <c r="CE237" s="348" t="str">
        <f t="shared" si="58"/>
        <v/>
      </c>
      <c r="CF237" s="348" t="str">
        <f t="shared" si="59"/>
        <v/>
      </c>
      <c r="CG237" s="348" t="str">
        <f t="shared" si="59"/>
        <v/>
      </c>
      <c r="CH237" s="348" t="str">
        <f t="shared" si="59"/>
        <v/>
      </c>
      <c r="CI237" s="348" t="str">
        <f t="shared" si="59"/>
        <v/>
      </c>
      <c r="CJ237" s="348" t="str">
        <f t="shared" si="59"/>
        <v/>
      </c>
      <c r="CK237" s="348" t="str">
        <f t="shared" si="59"/>
        <v/>
      </c>
      <c r="CL237" s="348" t="str">
        <f t="shared" si="59"/>
        <v/>
      </c>
      <c r="CM237" s="348" t="str">
        <f t="shared" si="59"/>
        <v/>
      </c>
    </row>
    <row r="238" spans="1:91" x14ac:dyDescent="0.25">
      <c r="A238" s="1574" t="str">
        <f t="shared" si="88"/>
        <v>13 x 18</v>
      </c>
      <c r="B238" s="1642">
        <f t="shared" si="89"/>
        <v>69</v>
      </c>
      <c r="C238" s="1592" t="str">
        <f t="shared" si="90"/>
        <v>Convencional</v>
      </c>
      <c r="D238" s="1592"/>
      <c r="E238" s="1574"/>
      <c r="F238" s="1574"/>
      <c r="G238" s="1574"/>
      <c r="H238" s="1574"/>
      <c r="I238" s="1574"/>
      <c r="J238" s="1574"/>
      <c r="K238" s="1574"/>
      <c r="L238" s="1574"/>
      <c r="M238" s="1574"/>
      <c r="N238" s="1574"/>
      <c r="O238" s="1577">
        <f t="shared" si="65"/>
        <v>0</v>
      </c>
      <c r="P238" s="1576" t="str">
        <f t="shared" si="66"/>
        <v>NPA</v>
      </c>
      <c r="Q238" s="1577" t="str">
        <f t="shared" si="67"/>
        <v/>
      </c>
      <c r="R238" s="1576" t="str">
        <f t="shared" si="68"/>
        <v>NPA</v>
      </c>
      <c r="S238" s="1574"/>
      <c r="T238" s="1574"/>
      <c r="U238" s="1577" t="str">
        <f t="shared" si="69"/>
        <v>NPA</v>
      </c>
      <c r="V238" s="1576" t="str">
        <f t="shared" si="91"/>
        <v>NPA</v>
      </c>
      <c r="W238" s="1585">
        <f t="shared" si="70"/>
        <v>2</v>
      </c>
      <c r="X238" s="1574"/>
      <c r="Y238" s="1574"/>
      <c r="Z238" s="1574"/>
      <c r="AA238" s="1574"/>
      <c r="AB238" s="1574"/>
      <c r="AC238" s="1574"/>
      <c r="AD238" s="1574"/>
      <c r="AE238" s="1574"/>
      <c r="AF238" s="1574"/>
      <c r="AG238" s="1574"/>
      <c r="AH238" s="1591" t="e">
        <f t="shared" si="71"/>
        <v>#DIV/0!</v>
      </c>
      <c r="AI238" s="1591" t="e">
        <f t="shared" si="72"/>
        <v>#DIV/0!</v>
      </c>
      <c r="AJ238" s="1568" t="e">
        <f t="shared" si="73"/>
        <v>#DIV/0!</v>
      </c>
      <c r="AK238" s="1568" t="e">
        <f t="shared" si="60"/>
        <v>#DIV/0!</v>
      </c>
      <c r="AL238" s="1568">
        <f t="shared" si="61"/>
        <v>115</v>
      </c>
      <c r="AM238" s="1568">
        <f t="shared" si="62"/>
        <v>105</v>
      </c>
      <c r="AN238" s="1576" t="str">
        <f t="shared" si="74"/>
        <v>NPA</v>
      </c>
      <c r="AO238" s="1585">
        <f t="shared" si="75"/>
        <v>4.5</v>
      </c>
      <c r="AP238" s="1574"/>
      <c r="AQ238" s="1574"/>
      <c r="AR238" s="1574"/>
      <c r="AS238" s="1574"/>
      <c r="AT238" s="1574"/>
      <c r="AU238" s="1574"/>
      <c r="AV238" s="1574"/>
      <c r="AW238" s="1574"/>
      <c r="AX238" s="1574"/>
      <c r="AY238" s="1574"/>
      <c r="AZ238" s="1591" t="e">
        <f t="shared" si="76"/>
        <v>#DIV/0!</v>
      </c>
      <c r="BA238" s="1591" t="e">
        <f t="shared" si="77"/>
        <v>#DIV/0!</v>
      </c>
      <c r="BB238" s="1568" t="e">
        <f t="shared" si="78"/>
        <v>#DIV/0!</v>
      </c>
      <c r="BC238" s="1568" t="e">
        <f t="shared" si="79"/>
        <v>#DIV/0!</v>
      </c>
      <c r="BD238" s="1568">
        <f t="shared" si="63"/>
        <v>103</v>
      </c>
      <c r="BE238" s="1568">
        <f t="shared" si="64"/>
        <v>93</v>
      </c>
      <c r="BF238" s="1576" t="str">
        <f t="shared" si="80"/>
        <v>NPA</v>
      </c>
      <c r="BG238" s="1965">
        <f t="shared" si="81"/>
        <v>5</v>
      </c>
      <c r="BH238" s="1574"/>
      <c r="BI238" s="1574"/>
      <c r="BJ238" s="1574"/>
      <c r="BK238" s="1574"/>
      <c r="BL238" s="1574"/>
      <c r="BM238" s="1574"/>
      <c r="BN238" s="1574"/>
      <c r="BO238" s="1574"/>
      <c r="BP238" s="1574"/>
      <c r="BQ238" s="1574"/>
      <c r="BR238" s="1591" t="e">
        <f t="shared" si="82"/>
        <v>#DIV/0!</v>
      </c>
      <c r="BS238" s="1591" t="e">
        <f t="shared" si="83"/>
        <v>#DIV/0!</v>
      </c>
      <c r="BT238" s="1568" t="e">
        <f t="shared" si="84"/>
        <v>#DIV/0!</v>
      </c>
      <c r="BU238" s="1568">
        <f t="shared" si="85"/>
        <v>100</v>
      </c>
      <c r="BV238" s="1568">
        <f t="shared" si="86"/>
        <v>90</v>
      </c>
      <c r="BW238" s="1576" t="str">
        <f t="shared" si="87"/>
        <v>NPA</v>
      </c>
      <c r="BX238" s="348" t="str">
        <f t="shared" si="58"/>
        <v/>
      </c>
      <c r="BY238" s="348" t="str">
        <f t="shared" si="58"/>
        <v/>
      </c>
      <c r="BZ238" s="348" t="str">
        <f t="shared" si="58"/>
        <v/>
      </c>
      <c r="CA238" s="348" t="str">
        <f t="shared" si="58"/>
        <v/>
      </c>
      <c r="CB238" s="348" t="str">
        <f t="shared" si="58"/>
        <v/>
      </c>
      <c r="CC238" s="348" t="str">
        <f t="shared" si="58"/>
        <v/>
      </c>
      <c r="CD238" s="348" t="str">
        <f t="shared" si="58"/>
        <v/>
      </c>
      <c r="CE238" s="348" t="str">
        <f t="shared" si="58"/>
        <v/>
      </c>
      <c r="CF238" s="348" t="str">
        <f t="shared" si="59"/>
        <v/>
      </c>
      <c r="CG238" s="348" t="str">
        <f t="shared" si="59"/>
        <v/>
      </c>
      <c r="CH238" s="348" t="str">
        <f t="shared" si="59"/>
        <v/>
      </c>
      <c r="CI238" s="348" t="str">
        <f t="shared" si="59"/>
        <v/>
      </c>
      <c r="CJ238" s="348" t="str">
        <f t="shared" si="59"/>
        <v/>
      </c>
      <c r="CK238" s="348" t="str">
        <f t="shared" si="59"/>
        <v/>
      </c>
      <c r="CL238" s="348" t="str">
        <f t="shared" si="59"/>
        <v/>
      </c>
      <c r="CM238" s="348" t="str">
        <f t="shared" si="59"/>
        <v/>
      </c>
    </row>
    <row r="239" spans="1:91" x14ac:dyDescent="0.25">
      <c r="A239" s="1574" t="str">
        <f t="shared" si="88"/>
        <v>13 x 18</v>
      </c>
      <c r="B239" s="1642">
        <f t="shared" si="89"/>
        <v>70</v>
      </c>
      <c r="C239" s="1592" t="str">
        <f t="shared" si="90"/>
        <v>Convencional</v>
      </c>
      <c r="D239" s="1592"/>
      <c r="E239" s="1574"/>
      <c r="F239" s="1574"/>
      <c r="G239" s="1574"/>
      <c r="H239" s="1574"/>
      <c r="I239" s="1574"/>
      <c r="J239" s="1574"/>
      <c r="K239" s="1574"/>
      <c r="L239" s="1574"/>
      <c r="M239" s="1574"/>
      <c r="N239" s="1574"/>
      <c r="O239" s="1577">
        <f t="shared" si="65"/>
        <v>0</v>
      </c>
      <c r="P239" s="1576" t="str">
        <f t="shared" si="66"/>
        <v>NPA</v>
      </c>
      <c r="Q239" s="1577" t="str">
        <f t="shared" si="67"/>
        <v/>
      </c>
      <c r="R239" s="1576" t="str">
        <f t="shared" si="68"/>
        <v>NPA</v>
      </c>
      <c r="S239" s="1574"/>
      <c r="T239" s="1574"/>
      <c r="U239" s="1577" t="str">
        <f t="shared" si="69"/>
        <v>NPA</v>
      </c>
      <c r="V239" s="1576" t="str">
        <f t="shared" si="91"/>
        <v>NPA</v>
      </c>
      <c r="W239" s="1585">
        <f t="shared" si="70"/>
        <v>2</v>
      </c>
      <c r="X239" s="1574"/>
      <c r="Y239" s="1574"/>
      <c r="Z239" s="1574"/>
      <c r="AA239" s="1574"/>
      <c r="AB239" s="1574"/>
      <c r="AC239" s="1574"/>
      <c r="AD239" s="1574"/>
      <c r="AE239" s="1574"/>
      <c r="AF239" s="1574"/>
      <c r="AG239" s="1574"/>
      <c r="AH239" s="1591" t="e">
        <f t="shared" si="71"/>
        <v>#DIV/0!</v>
      </c>
      <c r="AI239" s="1591" t="e">
        <f t="shared" si="72"/>
        <v>#DIV/0!</v>
      </c>
      <c r="AJ239" s="1568" t="e">
        <f t="shared" si="73"/>
        <v>#DIV/0!</v>
      </c>
      <c r="AK239" s="1568" t="e">
        <f t="shared" si="60"/>
        <v>#DIV/0!</v>
      </c>
      <c r="AL239" s="1568">
        <f t="shared" si="61"/>
        <v>115</v>
      </c>
      <c r="AM239" s="1568">
        <f t="shared" si="62"/>
        <v>105</v>
      </c>
      <c r="AN239" s="1576" t="str">
        <f t="shared" si="74"/>
        <v>NPA</v>
      </c>
      <c r="AO239" s="1585">
        <f t="shared" si="75"/>
        <v>4.5</v>
      </c>
      <c r="AP239" s="1574"/>
      <c r="AQ239" s="1574"/>
      <c r="AR239" s="1574"/>
      <c r="AS239" s="1574"/>
      <c r="AT239" s="1574"/>
      <c r="AU239" s="1574"/>
      <c r="AV239" s="1574"/>
      <c r="AW239" s="1574"/>
      <c r="AX239" s="1574"/>
      <c r="AY239" s="1574"/>
      <c r="AZ239" s="1591" t="e">
        <f t="shared" si="76"/>
        <v>#DIV/0!</v>
      </c>
      <c r="BA239" s="1591" t="e">
        <f t="shared" si="77"/>
        <v>#DIV/0!</v>
      </c>
      <c r="BB239" s="1568" t="e">
        <f t="shared" si="78"/>
        <v>#DIV/0!</v>
      </c>
      <c r="BC239" s="1568" t="e">
        <f t="shared" si="79"/>
        <v>#DIV/0!</v>
      </c>
      <c r="BD239" s="1568">
        <f t="shared" si="63"/>
        <v>103</v>
      </c>
      <c r="BE239" s="1568">
        <f t="shared" si="64"/>
        <v>93</v>
      </c>
      <c r="BF239" s="1576" t="str">
        <f t="shared" si="80"/>
        <v>NPA</v>
      </c>
      <c r="BG239" s="1965">
        <f t="shared" si="81"/>
        <v>5</v>
      </c>
      <c r="BH239" s="1574"/>
      <c r="BI239" s="1574"/>
      <c r="BJ239" s="1574"/>
      <c r="BK239" s="1574"/>
      <c r="BL239" s="1574"/>
      <c r="BM239" s="1574"/>
      <c r="BN239" s="1574"/>
      <c r="BO239" s="1574"/>
      <c r="BP239" s="1574"/>
      <c r="BQ239" s="1574"/>
      <c r="BR239" s="1591" t="e">
        <f t="shared" si="82"/>
        <v>#DIV/0!</v>
      </c>
      <c r="BS239" s="1591" t="e">
        <f t="shared" si="83"/>
        <v>#DIV/0!</v>
      </c>
      <c r="BT239" s="1568" t="e">
        <f t="shared" si="84"/>
        <v>#DIV/0!</v>
      </c>
      <c r="BU239" s="1568">
        <f t="shared" si="85"/>
        <v>100</v>
      </c>
      <c r="BV239" s="1568">
        <f t="shared" si="86"/>
        <v>90</v>
      </c>
      <c r="BW239" s="1576" t="str">
        <f t="shared" si="87"/>
        <v>NPA</v>
      </c>
      <c r="BX239" s="348" t="str">
        <f t="shared" si="58"/>
        <v/>
      </c>
      <c r="BY239" s="348" t="str">
        <f t="shared" si="58"/>
        <v/>
      </c>
      <c r="BZ239" s="348" t="str">
        <f t="shared" si="58"/>
        <v/>
      </c>
      <c r="CA239" s="348" t="str">
        <f t="shared" si="58"/>
        <v/>
      </c>
      <c r="CB239" s="348" t="str">
        <f t="shared" si="58"/>
        <v/>
      </c>
      <c r="CC239" s="348" t="str">
        <f t="shared" si="58"/>
        <v/>
      </c>
      <c r="CD239" s="348" t="str">
        <f t="shared" si="58"/>
        <v/>
      </c>
      <c r="CE239" s="348" t="str">
        <f t="shared" si="58"/>
        <v/>
      </c>
      <c r="CF239" s="348" t="str">
        <f t="shared" si="59"/>
        <v/>
      </c>
      <c r="CG239" s="348" t="str">
        <f t="shared" si="59"/>
        <v/>
      </c>
      <c r="CH239" s="348" t="str">
        <f t="shared" si="59"/>
        <v/>
      </c>
      <c r="CI239" s="348" t="str">
        <f t="shared" si="59"/>
        <v/>
      </c>
      <c r="CJ239" s="348" t="str">
        <f t="shared" si="59"/>
        <v/>
      </c>
      <c r="CK239" s="348" t="str">
        <f t="shared" si="59"/>
        <v/>
      </c>
      <c r="CL239" s="348" t="str">
        <f t="shared" si="59"/>
        <v/>
      </c>
      <c r="CM239" s="348" t="str">
        <f t="shared" si="59"/>
        <v/>
      </c>
    </row>
    <row r="240" spans="1:91" x14ac:dyDescent="0.25">
      <c r="A240" s="1574" t="str">
        <f t="shared" si="88"/>
        <v>13 x 18</v>
      </c>
      <c r="B240" s="1642">
        <f t="shared" si="89"/>
        <v>71</v>
      </c>
      <c r="C240" s="1592" t="str">
        <f t="shared" si="90"/>
        <v>Convencional</v>
      </c>
      <c r="D240" s="1592"/>
      <c r="E240" s="1574"/>
      <c r="F240" s="1574"/>
      <c r="G240" s="1574"/>
      <c r="H240" s="1574"/>
      <c r="I240" s="1574"/>
      <c r="J240" s="1574"/>
      <c r="K240" s="1574"/>
      <c r="L240" s="1574"/>
      <c r="M240" s="1574"/>
      <c r="N240" s="1574"/>
      <c r="O240" s="1577">
        <f t="shared" si="65"/>
        <v>0</v>
      </c>
      <c r="P240" s="1576" t="str">
        <f t="shared" si="66"/>
        <v>NPA</v>
      </c>
      <c r="Q240" s="1577" t="str">
        <f t="shared" si="67"/>
        <v/>
      </c>
      <c r="R240" s="1576" t="str">
        <f t="shared" si="68"/>
        <v>NPA</v>
      </c>
      <c r="S240" s="1574"/>
      <c r="T240" s="1574"/>
      <c r="U240" s="1577" t="str">
        <f t="shared" si="69"/>
        <v>NPA</v>
      </c>
      <c r="V240" s="1576" t="str">
        <f t="shared" si="91"/>
        <v>NPA</v>
      </c>
      <c r="W240" s="1585">
        <f t="shared" si="70"/>
        <v>2</v>
      </c>
      <c r="X240" s="1574"/>
      <c r="Y240" s="1574"/>
      <c r="Z240" s="1574"/>
      <c r="AA240" s="1574"/>
      <c r="AB240" s="1574"/>
      <c r="AC240" s="1574"/>
      <c r="AD240" s="1574"/>
      <c r="AE240" s="1574"/>
      <c r="AF240" s="1574"/>
      <c r="AG240" s="1574"/>
      <c r="AH240" s="1591" t="e">
        <f t="shared" si="71"/>
        <v>#DIV/0!</v>
      </c>
      <c r="AI240" s="1591" t="e">
        <f t="shared" si="72"/>
        <v>#DIV/0!</v>
      </c>
      <c r="AJ240" s="1568" t="e">
        <f t="shared" si="73"/>
        <v>#DIV/0!</v>
      </c>
      <c r="AK240" s="1568" t="e">
        <f t="shared" si="60"/>
        <v>#DIV/0!</v>
      </c>
      <c r="AL240" s="1568">
        <f t="shared" si="61"/>
        <v>115</v>
      </c>
      <c r="AM240" s="1568">
        <f t="shared" si="62"/>
        <v>105</v>
      </c>
      <c r="AN240" s="1576" t="str">
        <f t="shared" si="74"/>
        <v>NPA</v>
      </c>
      <c r="AO240" s="1585">
        <f t="shared" si="75"/>
        <v>4.5</v>
      </c>
      <c r="AP240" s="1574"/>
      <c r="AQ240" s="1574"/>
      <c r="AR240" s="1574"/>
      <c r="AS240" s="1574"/>
      <c r="AT240" s="1574"/>
      <c r="AU240" s="1574"/>
      <c r="AV240" s="1574"/>
      <c r="AW240" s="1574"/>
      <c r="AX240" s="1574"/>
      <c r="AY240" s="1574"/>
      <c r="AZ240" s="1591" t="e">
        <f t="shared" si="76"/>
        <v>#DIV/0!</v>
      </c>
      <c r="BA240" s="1591" t="e">
        <f t="shared" si="77"/>
        <v>#DIV/0!</v>
      </c>
      <c r="BB240" s="1568" t="e">
        <f t="shared" si="78"/>
        <v>#DIV/0!</v>
      </c>
      <c r="BC240" s="1568" t="e">
        <f t="shared" si="79"/>
        <v>#DIV/0!</v>
      </c>
      <c r="BD240" s="1568">
        <f t="shared" si="63"/>
        <v>103</v>
      </c>
      <c r="BE240" s="1568">
        <f t="shared" si="64"/>
        <v>93</v>
      </c>
      <c r="BF240" s="1576" t="str">
        <f t="shared" si="80"/>
        <v>NPA</v>
      </c>
      <c r="BG240" s="1965">
        <f t="shared" si="81"/>
        <v>5</v>
      </c>
      <c r="BH240" s="1574"/>
      <c r="BI240" s="1574"/>
      <c r="BJ240" s="1574"/>
      <c r="BK240" s="1574"/>
      <c r="BL240" s="1574"/>
      <c r="BM240" s="1574"/>
      <c r="BN240" s="1574"/>
      <c r="BO240" s="1574"/>
      <c r="BP240" s="1574"/>
      <c r="BQ240" s="1574"/>
      <c r="BR240" s="1591" t="e">
        <f t="shared" si="82"/>
        <v>#DIV/0!</v>
      </c>
      <c r="BS240" s="1591" t="e">
        <f t="shared" si="83"/>
        <v>#DIV/0!</v>
      </c>
      <c r="BT240" s="1568" t="e">
        <f t="shared" si="84"/>
        <v>#DIV/0!</v>
      </c>
      <c r="BU240" s="1568">
        <f t="shared" si="85"/>
        <v>100</v>
      </c>
      <c r="BV240" s="1568">
        <f t="shared" si="86"/>
        <v>90</v>
      </c>
      <c r="BW240" s="1576" t="str">
        <f t="shared" si="87"/>
        <v>NPA</v>
      </c>
      <c r="BX240" s="348" t="str">
        <f t="shared" ref="BX240:CE249" si="92">IF(AND($A240=BX$169,$C240="Mamografia"),$Q240,"")</f>
        <v/>
      </c>
      <c r="BY240" s="348" t="str">
        <f t="shared" si="92"/>
        <v/>
      </c>
      <c r="BZ240" s="348" t="str">
        <f t="shared" si="92"/>
        <v/>
      </c>
      <c r="CA240" s="348" t="str">
        <f t="shared" si="92"/>
        <v/>
      </c>
      <c r="CB240" s="348" t="str">
        <f t="shared" si="92"/>
        <v/>
      </c>
      <c r="CC240" s="348" t="str">
        <f t="shared" si="92"/>
        <v/>
      </c>
      <c r="CD240" s="348" t="str">
        <f t="shared" si="92"/>
        <v/>
      </c>
      <c r="CE240" s="348" t="str">
        <f t="shared" si="92"/>
        <v/>
      </c>
      <c r="CF240" s="348" t="str">
        <f t="shared" ref="CF240:CM249" si="93">IF(AND($A240=CF$169,$C240="Convencional"),$Q240,"")</f>
        <v/>
      </c>
      <c r="CG240" s="348" t="str">
        <f t="shared" si="93"/>
        <v/>
      </c>
      <c r="CH240" s="348" t="str">
        <f t="shared" si="93"/>
        <v/>
      </c>
      <c r="CI240" s="348" t="str">
        <f t="shared" si="93"/>
        <v/>
      </c>
      <c r="CJ240" s="348" t="str">
        <f t="shared" si="93"/>
        <v/>
      </c>
      <c r="CK240" s="348" t="str">
        <f t="shared" si="93"/>
        <v/>
      </c>
      <c r="CL240" s="348" t="str">
        <f t="shared" si="93"/>
        <v/>
      </c>
      <c r="CM240" s="348" t="str">
        <f t="shared" si="93"/>
        <v/>
      </c>
    </row>
    <row r="241" spans="1:91" x14ac:dyDescent="0.25">
      <c r="A241" s="1574" t="str">
        <f t="shared" si="88"/>
        <v>13 x 18</v>
      </c>
      <c r="B241" s="1642">
        <f t="shared" si="89"/>
        <v>72</v>
      </c>
      <c r="C241" s="1592" t="str">
        <f t="shared" si="90"/>
        <v>Convencional</v>
      </c>
      <c r="D241" s="1592"/>
      <c r="E241" s="1574"/>
      <c r="F241" s="1574"/>
      <c r="G241" s="1574"/>
      <c r="H241" s="1574"/>
      <c r="I241" s="1574"/>
      <c r="J241" s="1574"/>
      <c r="K241" s="1574"/>
      <c r="L241" s="1574"/>
      <c r="M241" s="1574"/>
      <c r="N241" s="1574"/>
      <c r="O241" s="1577">
        <f t="shared" si="65"/>
        <v>0</v>
      </c>
      <c r="P241" s="1576" t="str">
        <f t="shared" si="66"/>
        <v>NPA</v>
      </c>
      <c r="Q241" s="1577" t="str">
        <f t="shared" si="67"/>
        <v/>
      </c>
      <c r="R241" s="1576" t="str">
        <f t="shared" si="68"/>
        <v>NPA</v>
      </c>
      <c r="S241" s="1574"/>
      <c r="T241" s="1574"/>
      <c r="U241" s="1577" t="str">
        <f t="shared" si="69"/>
        <v>NPA</v>
      </c>
      <c r="V241" s="1576" t="str">
        <f t="shared" si="91"/>
        <v>NPA</v>
      </c>
      <c r="W241" s="1585">
        <f t="shared" si="70"/>
        <v>2</v>
      </c>
      <c r="X241" s="1574"/>
      <c r="Y241" s="1574"/>
      <c r="Z241" s="1574"/>
      <c r="AA241" s="1574"/>
      <c r="AB241" s="1574"/>
      <c r="AC241" s="1574"/>
      <c r="AD241" s="1574"/>
      <c r="AE241" s="1574"/>
      <c r="AF241" s="1574"/>
      <c r="AG241" s="1574"/>
      <c r="AH241" s="1591" t="e">
        <f t="shared" si="71"/>
        <v>#DIV/0!</v>
      </c>
      <c r="AI241" s="1591" t="e">
        <f t="shared" si="72"/>
        <v>#DIV/0!</v>
      </c>
      <c r="AJ241" s="1568" t="e">
        <f t="shared" si="73"/>
        <v>#DIV/0!</v>
      </c>
      <c r="AK241" s="1568" t="e">
        <f t="shared" si="60"/>
        <v>#DIV/0!</v>
      </c>
      <c r="AL241" s="1568">
        <f t="shared" si="61"/>
        <v>115</v>
      </c>
      <c r="AM241" s="1568">
        <f t="shared" si="62"/>
        <v>105</v>
      </c>
      <c r="AN241" s="1576" t="str">
        <f t="shared" si="74"/>
        <v>NPA</v>
      </c>
      <c r="AO241" s="1585">
        <f t="shared" si="75"/>
        <v>4.5</v>
      </c>
      <c r="AP241" s="1574"/>
      <c r="AQ241" s="1574"/>
      <c r="AR241" s="1574"/>
      <c r="AS241" s="1574"/>
      <c r="AT241" s="1574"/>
      <c r="AU241" s="1574"/>
      <c r="AV241" s="1574"/>
      <c r="AW241" s="1574"/>
      <c r="AX241" s="1574"/>
      <c r="AY241" s="1574"/>
      <c r="AZ241" s="1591" t="e">
        <f t="shared" si="76"/>
        <v>#DIV/0!</v>
      </c>
      <c r="BA241" s="1591" t="e">
        <f t="shared" si="77"/>
        <v>#DIV/0!</v>
      </c>
      <c r="BB241" s="1568" t="e">
        <f t="shared" si="78"/>
        <v>#DIV/0!</v>
      </c>
      <c r="BC241" s="1568" t="e">
        <f t="shared" si="79"/>
        <v>#DIV/0!</v>
      </c>
      <c r="BD241" s="1568">
        <f t="shared" si="63"/>
        <v>103</v>
      </c>
      <c r="BE241" s="1568">
        <f t="shared" si="64"/>
        <v>93</v>
      </c>
      <c r="BF241" s="1576" t="str">
        <f t="shared" si="80"/>
        <v>NPA</v>
      </c>
      <c r="BG241" s="1965">
        <f t="shared" si="81"/>
        <v>5</v>
      </c>
      <c r="BH241" s="1574"/>
      <c r="BI241" s="1574"/>
      <c r="BJ241" s="1574"/>
      <c r="BK241" s="1574"/>
      <c r="BL241" s="1574"/>
      <c r="BM241" s="1574"/>
      <c r="BN241" s="1574"/>
      <c r="BO241" s="1574"/>
      <c r="BP241" s="1574"/>
      <c r="BQ241" s="1574"/>
      <c r="BR241" s="1591" t="e">
        <f t="shared" si="82"/>
        <v>#DIV/0!</v>
      </c>
      <c r="BS241" s="1591" t="e">
        <f t="shared" si="83"/>
        <v>#DIV/0!</v>
      </c>
      <c r="BT241" s="1568" t="e">
        <f t="shared" si="84"/>
        <v>#DIV/0!</v>
      </c>
      <c r="BU241" s="1568">
        <f t="shared" si="85"/>
        <v>100</v>
      </c>
      <c r="BV241" s="1568">
        <f t="shared" si="86"/>
        <v>90</v>
      </c>
      <c r="BW241" s="1576" t="str">
        <f t="shared" si="87"/>
        <v>NPA</v>
      </c>
      <c r="BX241" s="348" t="str">
        <f t="shared" si="92"/>
        <v/>
      </c>
      <c r="BY241" s="348" t="str">
        <f t="shared" si="92"/>
        <v/>
      </c>
      <c r="BZ241" s="348" t="str">
        <f t="shared" si="92"/>
        <v/>
      </c>
      <c r="CA241" s="348" t="str">
        <f t="shared" si="92"/>
        <v/>
      </c>
      <c r="CB241" s="348" t="str">
        <f t="shared" si="92"/>
        <v/>
      </c>
      <c r="CC241" s="348" t="str">
        <f t="shared" si="92"/>
        <v/>
      </c>
      <c r="CD241" s="348" t="str">
        <f t="shared" si="92"/>
        <v/>
      </c>
      <c r="CE241" s="348" t="str">
        <f t="shared" si="92"/>
        <v/>
      </c>
      <c r="CF241" s="348" t="str">
        <f t="shared" si="93"/>
        <v/>
      </c>
      <c r="CG241" s="348" t="str">
        <f t="shared" si="93"/>
        <v/>
      </c>
      <c r="CH241" s="348" t="str">
        <f t="shared" si="93"/>
        <v/>
      </c>
      <c r="CI241" s="348" t="str">
        <f t="shared" si="93"/>
        <v/>
      </c>
      <c r="CJ241" s="348" t="str">
        <f t="shared" si="93"/>
        <v/>
      </c>
      <c r="CK241" s="348" t="str">
        <f t="shared" si="93"/>
        <v/>
      </c>
      <c r="CL241" s="348" t="str">
        <f t="shared" si="93"/>
        <v/>
      </c>
      <c r="CM241" s="348" t="str">
        <f t="shared" si="93"/>
        <v/>
      </c>
    </row>
    <row r="242" spans="1:91" x14ac:dyDescent="0.25">
      <c r="A242" s="1574" t="str">
        <f t="shared" si="88"/>
        <v>13 x 18</v>
      </c>
      <c r="B242" s="1642">
        <f t="shared" si="89"/>
        <v>73</v>
      </c>
      <c r="C242" s="1592" t="str">
        <f t="shared" si="90"/>
        <v>Convencional</v>
      </c>
      <c r="D242" s="1592"/>
      <c r="E242" s="1574"/>
      <c r="F242" s="1574"/>
      <c r="G242" s="1574"/>
      <c r="H242" s="1574"/>
      <c r="I242" s="1574"/>
      <c r="J242" s="1574"/>
      <c r="K242" s="1574"/>
      <c r="L242" s="1574"/>
      <c r="M242" s="1574"/>
      <c r="N242" s="1574"/>
      <c r="O242" s="1577">
        <f t="shared" si="65"/>
        <v>0</v>
      </c>
      <c r="P242" s="1576" t="str">
        <f t="shared" si="66"/>
        <v>NPA</v>
      </c>
      <c r="Q242" s="1577" t="str">
        <f t="shared" si="67"/>
        <v/>
      </c>
      <c r="R242" s="1576" t="str">
        <f t="shared" si="68"/>
        <v>NPA</v>
      </c>
      <c r="S242" s="1574"/>
      <c r="T242" s="1574"/>
      <c r="U242" s="1577" t="str">
        <f t="shared" si="69"/>
        <v>NPA</v>
      </c>
      <c r="V242" s="1576" t="str">
        <f t="shared" si="91"/>
        <v>NPA</v>
      </c>
      <c r="W242" s="1585">
        <f t="shared" si="70"/>
        <v>2</v>
      </c>
      <c r="X242" s="1574"/>
      <c r="Y242" s="1574"/>
      <c r="Z242" s="1574"/>
      <c r="AA242" s="1574"/>
      <c r="AB242" s="1574"/>
      <c r="AC242" s="1574"/>
      <c r="AD242" s="1574"/>
      <c r="AE242" s="1574"/>
      <c r="AF242" s="1574"/>
      <c r="AG242" s="1574"/>
      <c r="AH242" s="1591" t="e">
        <f t="shared" si="71"/>
        <v>#DIV/0!</v>
      </c>
      <c r="AI242" s="1591" t="e">
        <f t="shared" si="72"/>
        <v>#DIV/0!</v>
      </c>
      <c r="AJ242" s="1568" t="e">
        <f t="shared" si="73"/>
        <v>#DIV/0!</v>
      </c>
      <c r="AK242" s="1568" t="e">
        <f t="shared" si="60"/>
        <v>#DIV/0!</v>
      </c>
      <c r="AL242" s="1568">
        <f t="shared" si="61"/>
        <v>115</v>
      </c>
      <c r="AM242" s="1568">
        <f t="shared" si="62"/>
        <v>105</v>
      </c>
      <c r="AN242" s="1576" t="str">
        <f t="shared" si="74"/>
        <v>NPA</v>
      </c>
      <c r="AO242" s="1585">
        <f t="shared" si="75"/>
        <v>4.5</v>
      </c>
      <c r="AP242" s="1574"/>
      <c r="AQ242" s="1574"/>
      <c r="AR242" s="1574"/>
      <c r="AS242" s="1574"/>
      <c r="AT242" s="1574"/>
      <c r="AU242" s="1574"/>
      <c r="AV242" s="1574"/>
      <c r="AW242" s="1574"/>
      <c r="AX242" s="1574"/>
      <c r="AY242" s="1574"/>
      <c r="AZ242" s="1591" t="e">
        <f t="shared" si="76"/>
        <v>#DIV/0!</v>
      </c>
      <c r="BA242" s="1591" t="e">
        <f t="shared" si="77"/>
        <v>#DIV/0!</v>
      </c>
      <c r="BB242" s="1568" t="e">
        <f t="shared" si="78"/>
        <v>#DIV/0!</v>
      </c>
      <c r="BC242" s="1568" t="e">
        <f t="shared" si="79"/>
        <v>#DIV/0!</v>
      </c>
      <c r="BD242" s="1568">
        <f t="shared" si="63"/>
        <v>103</v>
      </c>
      <c r="BE242" s="1568">
        <f t="shared" si="64"/>
        <v>93</v>
      </c>
      <c r="BF242" s="1576" t="str">
        <f t="shared" si="80"/>
        <v>NPA</v>
      </c>
      <c r="BG242" s="1965">
        <f t="shared" si="81"/>
        <v>5</v>
      </c>
      <c r="BH242" s="1574"/>
      <c r="BI242" s="1574"/>
      <c r="BJ242" s="1574"/>
      <c r="BK242" s="1574"/>
      <c r="BL242" s="1574"/>
      <c r="BM242" s="1574"/>
      <c r="BN242" s="1574"/>
      <c r="BO242" s="1574"/>
      <c r="BP242" s="1574"/>
      <c r="BQ242" s="1574"/>
      <c r="BR242" s="1591" t="e">
        <f t="shared" si="82"/>
        <v>#DIV/0!</v>
      </c>
      <c r="BS242" s="1591" t="e">
        <f t="shared" si="83"/>
        <v>#DIV/0!</v>
      </c>
      <c r="BT242" s="1568" t="e">
        <f t="shared" si="84"/>
        <v>#DIV/0!</v>
      </c>
      <c r="BU242" s="1568">
        <f t="shared" si="85"/>
        <v>100</v>
      </c>
      <c r="BV242" s="1568">
        <f t="shared" si="86"/>
        <v>90</v>
      </c>
      <c r="BW242" s="1576" t="str">
        <f t="shared" si="87"/>
        <v>NPA</v>
      </c>
      <c r="BX242" s="348" t="str">
        <f t="shared" si="92"/>
        <v/>
      </c>
      <c r="BY242" s="348" t="str">
        <f t="shared" si="92"/>
        <v/>
      </c>
      <c r="BZ242" s="348" t="str">
        <f t="shared" si="92"/>
        <v/>
      </c>
      <c r="CA242" s="348" t="str">
        <f t="shared" si="92"/>
        <v/>
      </c>
      <c r="CB242" s="348" t="str">
        <f t="shared" si="92"/>
        <v/>
      </c>
      <c r="CC242" s="348" t="str">
        <f t="shared" si="92"/>
        <v/>
      </c>
      <c r="CD242" s="348" t="str">
        <f t="shared" si="92"/>
        <v/>
      </c>
      <c r="CE242" s="348" t="str">
        <f t="shared" si="92"/>
        <v/>
      </c>
      <c r="CF242" s="348" t="str">
        <f t="shared" si="93"/>
        <v/>
      </c>
      <c r="CG242" s="348" t="str">
        <f t="shared" si="93"/>
        <v/>
      </c>
      <c r="CH242" s="348" t="str">
        <f t="shared" si="93"/>
        <v/>
      </c>
      <c r="CI242" s="348" t="str">
        <f t="shared" si="93"/>
        <v/>
      </c>
      <c r="CJ242" s="348" t="str">
        <f t="shared" si="93"/>
        <v/>
      </c>
      <c r="CK242" s="348" t="str">
        <f t="shared" si="93"/>
        <v/>
      </c>
      <c r="CL242" s="348" t="str">
        <f t="shared" si="93"/>
        <v/>
      </c>
      <c r="CM242" s="348" t="str">
        <f t="shared" si="93"/>
        <v/>
      </c>
    </row>
    <row r="243" spans="1:91" x14ac:dyDescent="0.25">
      <c r="A243" s="1574" t="str">
        <f t="shared" si="88"/>
        <v>13 x 18</v>
      </c>
      <c r="B243" s="1642">
        <f t="shared" si="89"/>
        <v>74</v>
      </c>
      <c r="C243" s="1592" t="str">
        <f t="shared" si="90"/>
        <v>Convencional</v>
      </c>
      <c r="D243" s="1592"/>
      <c r="E243" s="1574"/>
      <c r="F243" s="1574"/>
      <c r="G243" s="1574"/>
      <c r="H243" s="1574"/>
      <c r="I243" s="1574"/>
      <c r="J243" s="1574"/>
      <c r="K243" s="1574"/>
      <c r="L243" s="1574"/>
      <c r="M243" s="1574"/>
      <c r="N243" s="1574"/>
      <c r="O243" s="1577">
        <f t="shared" si="65"/>
        <v>0</v>
      </c>
      <c r="P243" s="1576" t="str">
        <f t="shared" si="66"/>
        <v>NPA</v>
      </c>
      <c r="Q243" s="1577" t="str">
        <f t="shared" si="67"/>
        <v/>
      </c>
      <c r="R243" s="1576" t="str">
        <f t="shared" si="68"/>
        <v>NPA</v>
      </c>
      <c r="S243" s="1574"/>
      <c r="T243" s="1574"/>
      <c r="U243" s="1577" t="str">
        <f t="shared" si="69"/>
        <v>NPA</v>
      </c>
      <c r="V243" s="1576" t="str">
        <f t="shared" si="91"/>
        <v>NPA</v>
      </c>
      <c r="W243" s="1585">
        <f t="shared" si="70"/>
        <v>2</v>
      </c>
      <c r="X243" s="1574"/>
      <c r="Y243" s="1574"/>
      <c r="Z243" s="1574"/>
      <c r="AA243" s="1574"/>
      <c r="AB243" s="1574"/>
      <c r="AC243" s="1574"/>
      <c r="AD243" s="1574"/>
      <c r="AE243" s="1574"/>
      <c r="AF243" s="1574"/>
      <c r="AG243" s="1574"/>
      <c r="AH243" s="1591" t="e">
        <f t="shared" si="71"/>
        <v>#DIV/0!</v>
      </c>
      <c r="AI243" s="1591" t="e">
        <f t="shared" si="72"/>
        <v>#DIV/0!</v>
      </c>
      <c r="AJ243" s="1568" t="e">
        <f t="shared" si="73"/>
        <v>#DIV/0!</v>
      </c>
      <c r="AK243" s="1568" t="e">
        <f t="shared" si="60"/>
        <v>#DIV/0!</v>
      </c>
      <c r="AL243" s="1568">
        <f t="shared" si="61"/>
        <v>115</v>
      </c>
      <c r="AM243" s="1568">
        <f t="shared" si="62"/>
        <v>105</v>
      </c>
      <c r="AN243" s="1576" t="str">
        <f t="shared" si="74"/>
        <v>NPA</v>
      </c>
      <c r="AO243" s="1585">
        <f t="shared" si="75"/>
        <v>4.5</v>
      </c>
      <c r="AP243" s="1574"/>
      <c r="AQ243" s="1574"/>
      <c r="AR243" s="1574"/>
      <c r="AS243" s="1574"/>
      <c r="AT243" s="1574"/>
      <c r="AU243" s="1574"/>
      <c r="AV243" s="1574"/>
      <c r="AW243" s="1574"/>
      <c r="AX243" s="1574"/>
      <c r="AY243" s="1574"/>
      <c r="AZ243" s="1591" t="e">
        <f t="shared" si="76"/>
        <v>#DIV/0!</v>
      </c>
      <c r="BA243" s="1591" t="e">
        <f t="shared" si="77"/>
        <v>#DIV/0!</v>
      </c>
      <c r="BB243" s="1568" t="e">
        <f t="shared" si="78"/>
        <v>#DIV/0!</v>
      </c>
      <c r="BC243" s="1568" t="e">
        <f t="shared" si="79"/>
        <v>#DIV/0!</v>
      </c>
      <c r="BD243" s="1568">
        <f t="shared" si="63"/>
        <v>103</v>
      </c>
      <c r="BE243" s="1568">
        <f t="shared" si="64"/>
        <v>93</v>
      </c>
      <c r="BF243" s="1576" t="str">
        <f t="shared" si="80"/>
        <v>NPA</v>
      </c>
      <c r="BG243" s="1965">
        <f t="shared" si="81"/>
        <v>5</v>
      </c>
      <c r="BH243" s="1574"/>
      <c r="BI243" s="1574"/>
      <c r="BJ243" s="1574"/>
      <c r="BK243" s="1574"/>
      <c r="BL243" s="1574"/>
      <c r="BM243" s="1574"/>
      <c r="BN243" s="1574"/>
      <c r="BO243" s="1574"/>
      <c r="BP243" s="1574"/>
      <c r="BQ243" s="1574"/>
      <c r="BR243" s="1591" t="e">
        <f t="shared" si="82"/>
        <v>#DIV/0!</v>
      </c>
      <c r="BS243" s="1591" t="e">
        <f t="shared" si="83"/>
        <v>#DIV/0!</v>
      </c>
      <c r="BT243" s="1568" t="e">
        <f t="shared" si="84"/>
        <v>#DIV/0!</v>
      </c>
      <c r="BU243" s="1568">
        <f t="shared" si="85"/>
        <v>100</v>
      </c>
      <c r="BV243" s="1568">
        <f t="shared" si="86"/>
        <v>90</v>
      </c>
      <c r="BW243" s="1576" t="str">
        <f t="shared" si="87"/>
        <v>NPA</v>
      </c>
      <c r="BX243" s="348" t="str">
        <f t="shared" si="92"/>
        <v/>
      </c>
      <c r="BY243" s="348" t="str">
        <f t="shared" si="92"/>
        <v/>
      </c>
      <c r="BZ243" s="348" t="str">
        <f t="shared" si="92"/>
        <v/>
      </c>
      <c r="CA243" s="348" t="str">
        <f t="shared" si="92"/>
        <v/>
      </c>
      <c r="CB243" s="348" t="str">
        <f t="shared" si="92"/>
        <v/>
      </c>
      <c r="CC243" s="348" t="str">
        <f t="shared" si="92"/>
        <v/>
      </c>
      <c r="CD243" s="348" t="str">
        <f t="shared" si="92"/>
        <v/>
      </c>
      <c r="CE243" s="348" t="str">
        <f t="shared" si="92"/>
        <v/>
      </c>
      <c r="CF243" s="348" t="str">
        <f t="shared" si="93"/>
        <v/>
      </c>
      <c r="CG243" s="348" t="str">
        <f t="shared" si="93"/>
        <v/>
      </c>
      <c r="CH243" s="348" t="str">
        <f t="shared" si="93"/>
        <v/>
      </c>
      <c r="CI243" s="348" t="str">
        <f t="shared" si="93"/>
        <v/>
      </c>
      <c r="CJ243" s="348" t="str">
        <f t="shared" si="93"/>
        <v/>
      </c>
      <c r="CK243" s="348" t="str">
        <f t="shared" si="93"/>
        <v/>
      </c>
      <c r="CL243" s="348" t="str">
        <f t="shared" si="93"/>
        <v/>
      </c>
      <c r="CM243" s="348" t="str">
        <f t="shared" si="93"/>
        <v/>
      </c>
    </row>
    <row r="244" spans="1:91" x14ac:dyDescent="0.25">
      <c r="A244" s="1574" t="str">
        <f t="shared" si="88"/>
        <v>13 x 18</v>
      </c>
      <c r="B244" s="1642">
        <f t="shared" si="89"/>
        <v>75</v>
      </c>
      <c r="C244" s="1592" t="str">
        <f t="shared" si="90"/>
        <v>Convencional</v>
      </c>
      <c r="D244" s="1592"/>
      <c r="E244" s="1574"/>
      <c r="F244" s="1574"/>
      <c r="G244" s="1574"/>
      <c r="H244" s="1574"/>
      <c r="I244" s="1574"/>
      <c r="J244" s="1574"/>
      <c r="K244" s="1574"/>
      <c r="L244" s="1574"/>
      <c r="M244" s="1574"/>
      <c r="N244" s="1574"/>
      <c r="O244" s="1577">
        <f t="shared" si="65"/>
        <v>0</v>
      </c>
      <c r="P244" s="1576" t="str">
        <f t="shared" si="66"/>
        <v>NPA</v>
      </c>
      <c r="Q244" s="1577" t="str">
        <f t="shared" si="67"/>
        <v/>
      </c>
      <c r="R244" s="1576" t="str">
        <f t="shared" si="68"/>
        <v>NPA</v>
      </c>
      <c r="S244" s="1574"/>
      <c r="T244" s="1574"/>
      <c r="U244" s="1577" t="str">
        <f t="shared" si="69"/>
        <v>NPA</v>
      </c>
      <c r="V244" s="1576" t="str">
        <f t="shared" si="91"/>
        <v>NPA</v>
      </c>
      <c r="W244" s="1585">
        <f t="shared" si="70"/>
        <v>2</v>
      </c>
      <c r="X244" s="1574"/>
      <c r="Y244" s="1574"/>
      <c r="Z244" s="1574"/>
      <c r="AA244" s="1574"/>
      <c r="AB244" s="1574"/>
      <c r="AC244" s="1574"/>
      <c r="AD244" s="1574"/>
      <c r="AE244" s="1574"/>
      <c r="AF244" s="1574"/>
      <c r="AG244" s="1574"/>
      <c r="AH244" s="1591" t="e">
        <f t="shared" si="71"/>
        <v>#DIV/0!</v>
      </c>
      <c r="AI244" s="1591" t="e">
        <f t="shared" si="72"/>
        <v>#DIV/0!</v>
      </c>
      <c r="AJ244" s="1568" t="e">
        <f t="shared" si="73"/>
        <v>#DIV/0!</v>
      </c>
      <c r="AK244" s="1568" t="e">
        <f t="shared" si="60"/>
        <v>#DIV/0!</v>
      </c>
      <c r="AL244" s="1568">
        <f t="shared" si="61"/>
        <v>115</v>
      </c>
      <c r="AM244" s="1568">
        <f t="shared" si="62"/>
        <v>105</v>
      </c>
      <c r="AN244" s="1576" t="str">
        <f t="shared" si="74"/>
        <v>NPA</v>
      </c>
      <c r="AO244" s="1585">
        <f t="shared" si="75"/>
        <v>4.5</v>
      </c>
      <c r="AP244" s="1574"/>
      <c r="AQ244" s="1574"/>
      <c r="AR244" s="1574"/>
      <c r="AS244" s="1574"/>
      <c r="AT244" s="1574"/>
      <c r="AU244" s="1574"/>
      <c r="AV244" s="1574"/>
      <c r="AW244" s="1574"/>
      <c r="AX244" s="1574"/>
      <c r="AY244" s="1574"/>
      <c r="AZ244" s="1591" t="e">
        <f t="shared" si="76"/>
        <v>#DIV/0!</v>
      </c>
      <c r="BA244" s="1591" t="e">
        <f t="shared" si="77"/>
        <v>#DIV/0!</v>
      </c>
      <c r="BB244" s="1568" t="e">
        <f t="shared" si="78"/>
        <v>#DIV/0!</v>
      </c>
      <c r="BC244" s="1568" t="e">
        <f t="shared" si="79"/>
        <v>#DIV/0!</v>
      </c>
      <c r="BD244" s="1568">
        <f t="shared" si="63"/>
        <v>103</v>
      </c>
      <c r="BE244" s="1568">
        <f t="shared" si="64"/>
        <v>93</v>
      </c>
      <c r="BF244" s="1576" t="str">
        <f t="shared" si="80"/>
        <v>NPA</v>
      </c>
      <c r="BG244" s="1965">
        <f t="shared" si="81"/>
        <v>5</v>
      </c>
      <c r="BH244" s="1574"/>
      <c r="BI244" s="1574"/>
      <c r="BJ244" s="1574"/>
      <c r="BK244" s="1574"/>
      <c r="BL244" s="1574"/>
      <c r="BM244" s="1574"/>
      <c r="BN244" s="1574"/>
      <c r="BO244" s="1574"/>
      <c r="BP244" s="1574"/>
      <c r="BQ244" s="1574"/>
      <c r="BR244" s="1591" t="e">
        <f t="shared" si="82"/>
        <v>#DIV/0!</v>
      </c>
      <c r="BS244" s="1591" t="e">
        <f t="shared" si="83"/>
        <v>#DIV/0!</v>
      </c>
      <c r="BT244" s="1568" t="e">
        <f t="shared" si="84"/>
        <v>#DIV/0!</v>
      </c>
      <c r="BU244" s="1568">
        <f t="shared" si="85"/>
        <v>100</v>
      </c>
      <c r="BV244" s="1568">
        <f t="shared" si="86"/>
        <v>90</v>
      </c>
      <c r="BW244" s="1576" t="str">
        <f t="shared" si="87"/>
        <v>NPA</v>
      </c>
      <c r="BX244" s="348" t="str">
        <f t="shared" si="92"/>
        <v/>
      </c>
      <c r="BY244" s="348" t="str">
        <f t="shared" si="92"/>
        <v/>
      </c>
      <c r="BZ244" s="348" t="str">
        <f t="shared" si="92"/>
        <v/>
      </c>
      <c r="CA244" s="348" t="str">
        <f t="shared" si="92"/>
        <v/>
      </c>
      <c r="CB244" s="348" t="str">
        <f t="shared" si="92"/>
        <v/>
      </c>
      <c r="CC244" s="348" t="str">
        <f t="shared" si="92"/>
        <v/>
      </c>
      <c r="CD244" s="348" t="str">
        <f t="shared" si="92"/>
        <v/>
      </c>
      <c r="CE244" s="348" t="str">
        <f t="shared" si="92"/>
        <v/>
      </c>
      <c r="CF244" s="348" t="str">
        <f t="shared" si="93"/>
        <v/>
      </c>
      <c r="CG244" s="348" t="str">
        <f t="shared" si="93"/>
        <v/>
      </c>
      <c r="CH244" s="348" t="str">
        <f t="shared" si="93"/>
        <v/>
      </c>
      <c r="CI244" s="348" t="str">
        <f t="shared" si="93"/>
        <v/>
      </c>
      <c r="CJ244" s="348" t="str">
        <f t="shared" si="93"/>
        <v/>
      </c>
      <c r="CK244" s="348" t="str">
        <f t="shared" si="93"/>
        <v/>
      </c>
      <c r="CL244" s="348" t="str">
        <f t="shared" si="93"/>
        <v/>
      </c>
      <c r="CM244" s="348" t="str">
        <f t="shared" si="93"/>
        <v/>
      </c>
    </row>
    <row r="245" spans="1:91" x14ac:dyDescent="0.25">
      <c r="A245" s="1574" t="str">
        <f t="shared" si="88"/>
        <v>13 x 18</v>
      </c>
      <c r="B245" s="1642">
        <f t="shared" si="89"/>
        <v>76</v>
      </c>
      <c r="C245" s="1592" t="str">
        <f t="shared" si="90"/>
        <v>Convencional</v>
      </c>
      <c r="D245" s="1592"/>
      <c r="E245" s="1574"/>
      <c r="F245" s="1574"/>
      <c r="G245" s="1574"/>
      <c r="H245" s="1574"/>
      <c r="I245" s="1574"/>
      <c r="J245" s="1574"/>
      <c r="K245" s="1574"/>
      <c r="L245" s="1574"/>
      <c r="M245" s="1574"/>
      <c r="N245" s="1574"/>
      <c r="O245" s="1577">
        <f t="shared" si="65"/>
        <v>0</v>
      </c>
      <c r="P245" s="1576" t="str">
        <f t="shared" si="66"/>
        <v>NPA</v>
      </c>
      <c r="Q245" s="1577" t="str">
        <f t="shared" si="67"/>
        <v/>
      </c>
      <c r="R245" s="1576" t="str">
        <f t="shared" si="68"/>
        <v>NPA</v>
      </c>
      <c r="S245" s="1574"/>
      <c r="T245" s="1574"/>
      <c r="U245" s="1577" t="str">
        <f t="shared" si="69"/>
        <v>NPA</v>
      </c>
      <c r="V245" s="1576" t="str">
        <f t="shared" si="91"/>
        <v>NPA</v>
      </c>
      <c r="W245" s="1585">
        <f t="shared" si="70"/>
        <v>2</v>
      </c>
      <c r="X245" s="1574"/>
      <c r="Y245" s="1574"/>
      <c r="Z245" s="1574"/>
      <c r="AA245" s="1574"/>
      <c r="AB245" s="1574"/>
      <c r="AC245" s="1574"/>
      <c r="AD245" s="1574"/>
      <c r="AE245" s="1574"/>
      <c r="AF245" s="1574"/>
      <c r="AG245" s="1574"/>
      <c r="AH245" s="1591" t="e">
        <f t="shared" si="71"/>
        <v>#DIV/0!</v>
      </c>
      <c r="AI245" s="1591" t="e">
        <f t="shared" si="72"/>
        <v>#DIV/0!</v>
      </c>
      <c r="AJ245" s="1568" t="e">
        <f t="shared" si="73"/>
        <v>#DIV/0!</v>
      </c>
      <c r="AK245" s="1568" t="e">
        <f t="shared" si="60"/>
        <v>#DIV/0!</v>
      </c>
      <c r="AL245" s="1568">
        <f t="shared" si="61"/>
        <v>115</v>
      </c>
      <c r="AM245" s="1568">
        <f t="shared" si="62"/>
        <v>105</v>
      </c>
      <c r="AN245" s="1576" t="str">
        <f t="shared" si="74"/>
        <v>NPA</v>
      </c>
      <c r="AO245" s="1585">
        <f t="shared" si="75"/>
        <v>4.5</v>
      </c>
      <c r="AP245" s="1574"/>
      <c r="AQ245" s="1574"/>
      <c r="AR245" s="1574"/>
      <c r="AS245" s="1574"/>
      <c r="AT245" s="1574"/>
      <c r="AU245" s="1574"/>
      <c r="AV245" s="1574"/>
      <c r="AW245" s="1574"/>
      <c r="AX245" s="1574"/>
      <c r="AY245" s="1574"/>
      <c r="AZ245" s="1591" t="e">
        <f t="shared" si="76"/>
        <v>#DIV/0!</v>
      </c>
      <c r="BA245" s="1591" t="e">
        <f t="shared" si="77"/>
        <v>#DIV/0!</v>
      </c>
      <c r="BB245" s="1568" t="e">
        <f t="shared" si="78"/>
        <v>#DIV/0!</v>
      </c>
      <c r="BC245" s="1568" t="e">
        <f t="shared" si="79"/>
        <v>#DIV/0!</v>
      </c>
      <c r="BD245" s="1568">
        <f t="shared" si="63"/>
        <v>103</v>
      </c>
      <c r="BE245" s="1568">
        <f t="shared" si="64"/>
        <v>93</v>
      </c>
      <c r="BF245" s="1576" t="str">
        <f t="shared" si="80"/>
        <v>NPA</v>
      </c>
      <c r="BG245" s="1965">
        <f t="shared" si="81"/>
        <v>5</v>
      </c>
      <c r="BH245" s="1574"/>
      <c r="BI245" s="1574"/>
      <c r="BJ245" s="1574"/>
      <c r="BK245" s="1574"/>
      <c r="BL245" s="1574"/>
      <c r="BM245" s="1574"/>
      <c r="BN245" s="1574"/>
      <c r="BO245" s="1574"/>
      <c r="BP245" s="1574"/>
      <c r="BQ245" s="1574"/>
      <c r="BR245" s="1591" t="e">
        <f t="shared" si="82"/>
        <v>#DIV/0!</v>
      </c>
      <c r="BS245" s="1591" t="e">
        <f t="shared" si="83"/>
        <v>#DIV/0!</v>
      </c>
      <c r="BT245" s="1568" t="e">
        <f t="shared" si="84"/>
        <v>#DIV/0!</v>
      </c>
      <c r="BU245" s="1568">
        <f t="shared" si="85"/>
        <v>100</v>
      </c>
      <c r="BV245" s="1568">
        <f t="shared" si="86"/>
        <v>90</v>
      </c>
      <c r="BW245" s="1576" t="str">
        <f t="shared" si="87"/>
        <v>NPA</v>
      </c>
      <c r="BX245" s="348" t="str">
        <f t="shared" si="92"/>
        <v/>
      </c>
      <c r="BY245" s="348" t="str">
        <f t="shared" si="92"/>
        <v/>
      </c>
      <c r="BZ245" s="348" t="str">
        <f t="shared" si="92"/>
        <v/>
      </c>
      <c r="CA245" s="348" t="str">
        <f t="shared" si="92"/>
        <v/>
      </c>
      <c r="CB245" s="348" t="str">
        <f t="shared" si="92"/>
        <v/>
      </c>
      <c r="CC245" s="348" t="str">
        <f t="shared" si="92"/>
        <v/>
      </c>
      <c r="CD245" s="348" t="str">
        <f t="shared" si="92"/>
        <v/>
      </c>
      <c r="CE245" s="348" t="str">
        <f t="shared" si="92"/>
        <v/>
      </c>
      <c r="CF245" s="348" t="str">
        <f t="shared" si="93"/>
        <v/>
      </c>
      <c r="CG245" s="348" t="str">
        <f t="shared" si="93"/>
        <v/>
      </c>
      <c r="CH245" s="348" t="str">
        <f t="shared" si="93"/>
        <v/>
      </c>
      <c r="CI245" s="348" t="str">
        <f t="shared" si="93"/>
        <v/>
      </c>
      <c r="CJ245" s="348" t="str">
        <f t="shared" si="93"/>
        <v/>
      </c>
      <c r="CK245" s="348" t="str">
        <f t="shared" si="93"/>
        <v/>
      </c>
      <c r="CL245" s="348" t="str">
        <f t="shared" si="93"/>
        <v/>
      </c>
      <c r="CM245" s="348" t="str">
        <f t="shared" si="93"/>
        <v/>
      </c>
    </row>
    <row r="246" spans="1:91" x14ac:dyDescent="0.25">
      <c r="A246" s="1574" t="str">
        <f t="shared" si="88"/>
        <v>13 x 18</v>
      </c>
      <c r="B246" s="1642">
        <f t="shared" si="89"/>
        <v>77</v>
      </c>
      <c r="C246" s="1592" t="str">
        <f t="shared" si="90"/>
        <v>Convencional</v>
      </c>
      <c r="D246" s="1592"/>
      <c r="E246" s="1574"/>
      <c r="F246" s="1574"/>
      <c r="G246" s="1574"/>
      <c r="H246" s="1574"/>
      <c r="I246" s="1574"/>
      <c r="J246" s="1574"/>
      <c r="K246" s="1574"/>
      <c r="L246" s="1574"/>
      <c r="M246" s="1574"/>
      <c r="N246" s="1574"/>
      <c r="O246" s="1577">
        <f t="shared" si="65"/>
        <v>0</v>
      </c>
      <c r="P246" s="1576" t="str">
        <f t="shared" si="66"/>
        <v>NPA</v>
      </c>
      <c r="Q246" s="1577" t="str">
        <f t="shared" si="67"/>
        <v/>
      </c>
      <c r="R246" s="1576" t="str">
        <f t="shared" si="68"/>
        <v>NPA</v>
      </c>
      <c r="S246" s="1574"/>
      <c r="T246" s="1574"/>
      <c r="U246" s="1577" t="str">
        <f t="shared" si="69"/>
        <v>NPA</v>
      </c>
      <c r="V246" s="1576" t="str">
        <f t="shared" si="91"/>
        <v>NPA</v>
      </c>
      <c r="W246" s="1585">
        <f t="shared" si="70"/>
        <v>2</v>
      </c>
      <c r="X246" s="1574"/>
      <c r="Y246" s="1574"/>
      <c r="Z246" s="1574"/>
      <c r="AA246" s="1574"/>
      <c r="AB246" s="1574"/>
      <c r="AC246" s="1574"/>
      <c r="AD246" s="1574"/>
      <c r="AE246" s="1574"/>
      <c r="AF246" s="1574"/>
      <c r="AG246" s="1574"/>
      <c r="AH246" s="1591" t="e">
        <f t="shared" si="71"/>
        <v>#DIV/0!</v>
      </c>
      <c r="AI246" s="1591" t="e">
        <f t="shared" si="72"/>
        <v>#DIV/0!</v>
      </c>
      <c r="AJ246" s="1568" t="e">
        <f t="shared" si="73"/>
        <v>#DIV/0!</v>
      </c>
      <c r="AK246" s="1568" t="e">
        <f t="shared" si="60"/>
        <v>#DIV/0!</v>
      </c>
      <c r="AL246" s="1568">
        <f t="shared" si="61"/>
        <v>115</v>
      </c>
      <c r="AM246" s="1568">
        <f t="shared" si="62"/>
        <v>105</v>
      </c>
      <c r="AN246" s="1576" t="str">
        <f t="shared" si="74"/>
        <v>NPA</v>
      </c>
      <c r="AO246" s="1585">
        <f t="shared" si="75"/>
        <v>4.5</v>
      </c>
      <c r="AP246" s="1574"/>
      <c r="AQ246" s="1574"/>
      <c r="AR246" s="1574"/>
      <c r="AS246" s="1574"/>
      <c r="AT246" s="1574"/>
      <c r="AU246" s="1574"/>
      <c r="AV246" s="1574"/>
      <c r="AW246" s="1574"/>
      <c r="AX246" s="1574"/>
      <c r="AY246" s="1574"/>
      <c r="AZ246" s="1591" t="e">
        <f t="shared" si="76"/>
        <v>#DIV/0!</v>
      </c>
      <c r="BA246" s="1591" t="e">
        <f t="shared" si="77"/>
        <v>#DIV/0!</v>
      </c>
      <c r="BB246" s="1568" t="e">
        <f t="shared" si="78"/>
        <v>#DIV/0!</v>
      </c>
      <c r="BC246" s="1568" t="e">
        <f t="shared" si="79"/>
        <v>#DIV/0!</v>
      </c>
      <c r="BD246" s="1568">
        <f t="shared" si="63"/>
        <v>103</v>
      </c>
      <c r="BE246" s="1568">
        <f t="shared" si="64"/>
        <v>93</v>
      </c>
      <c r="BF246" s="1576" t="str">
        <f t="shared" si="80"/>
        <v>NPA</v>
      </c>
      <c r="BG246" s="1965">
        <f t="shared" si="81"/>
        <v>5</v>
      </c>
      <c r="BH246" s="1574"/>
      <c r="BI246" s="1574"/>
      <c r="BJ246" s="1574"/>
      <c r="BK246" s="1574"/>
      <c r="BL246" s="1574"/>
      <c r="BM246" s="1574"/>
      <c r="BN246" s="1574"/>
      <c r="BO246" s="1574"/>
      <c r="BP246" s="1574"/>
      <c r="BQ246" s="1574"/>
      <c r="BR246" s="1591" t="e">
        <f t="shared" si="82"/>
        <v>#DIV/0!</v>
      </c>
      <c r="BS246" s="1591" t="e">
        <f t="shared" si="83"/>
        <v>#DIV/0!</v>
      </c>
      <c r="BT246" s="1568" t="e">
        <f t="shared" si="84"/>
        <v>#DIV/0!</v>
      </c>
      <c r="BU246" s="1568">
        <f t="shared" si="85"/>
        <v>100</v>
      </c>
      <c r="BV246" s="1568">
        <f t="shared" si="86"/>
        <v>90</v>
      </c>
      <c r="BW246" s="1576" t="str">
        <f t="shared" si="87"/>
        <v>NPA</v>
      </c>
      <c r="BX246" s="348" t="str">
        <f t="shared" si="92"/>
        <v/>
      </c>
      <c r="BY246" s="348" t="str">
        <f t="shared" si="92"/>
        <v/>
      </c>
      <c r="BZ246" s="348" t="str">
        <f t="shared" si="92"/>
        <v/>
      </c>
      <c r="CA246" s="348" t="str">
        <f t="shared" si="92"/>
        <v/>
      </c>
      <c r="CB246" s="348" t="str">
        <f t="shared" si="92"/>
        <v/>
      </c>
      <c r="CC246" s="348" t="str">
        <f t="shared" si="92"/>
        <v/>
      </c>
      <c r="CD246" s="348" t="str">
        <f t="shared" si="92"/>
        <v/>
      </c>
      <c r="CE246" s="348" t="str">
        <f t="shared" si="92"/>
        <v/>
      </c>
      <c r="CF246" s="348" t="str">
        <f t="shared" si="93"/>
        <v/>
      </c>
      <c r="CG246" s="348" t="str">
        <f t="shared" si="93"/>
        <v/>
      </c>
      <c r="CH246" s="348" t="str">
        <f t="shared" si="93"/>
        <v/>
      </c>
      <c r="CI246" s="348" t="str">
        <f t="shared" si="93"/>
        <v/>
      </c>
      <c r="CJ246" s="348" t="str">
        <f t="shared" si="93"/>
        <v/>
      </c>
      <c r="CK246" s="348" t="str">
        <f t="shared" si="93"/>
        <v/>
      </c>
      <c r="CL246" s="348" t="str">
        <f t="shared" si="93"/>
        <v/>
      </c>
      <c r="CM246" s="348" t="str">
        <f t="shared" si="93"/>
        <v/>
      </c>
    </row>
    <row r="247" spans="1:91" x14ac:dyDescent="0.25">
      <c r="A247" s="1574" t="str">
        <f t="shared" si="88"/>
        <v>13 x 18</v>
      </c>
      <c r="B247" s="1642">
        <f t="shared" si="89"/>
        <v>78</v>
      </c>
      <c r="C247" s="1592" t="str">
        <f t="shared" si="90"/>
        <v>Convencional</v>
      </c>
      <c r="D247" s="1592"/>
      <c r="E247" s="1574"/>
      <c r="F247" s="1574"/>
      <c r="G247" s="1574"/>
      <c r="H247" s="1574"/>
      <c r="I247" s="1574"/>
      <c r="J247" s="1574"/>
      <c r="K247" s="1574"/>
      <c r="L247" s="1574"/>
      <c r="M247" s="1574"/>
      <c r="N247" s="1574"/>
      <c r="O247" s="1577">
        <f t="shared" si="65"/>
        <v>0</v>
      </c>
      <c r="P247" s="1576" t="str">
        <f t="shared" si="66"/>
        <v>NPA</v>
      </c>
      <c r="Q247" s="1577" t="str">
        <f t="shared" si="67"/>
        <v/>
      </c>
      <c r="R247" s="1576" t="str">
        <f t="shared" si="68"/>
        <v>NPA</v>
      </c>
      <c r="S247" s="1574"/>
      <c r="T247" s="1574"/>
      <c r="U247" s="1577" t="str">
        <f t="shared" si="69"/>
        <v>NPA</v>
      </c>
      <c r="V247" s="1576" t="str">
        <f t="shared" si="91"/>
        <v>NPA</v>
      </c>
      <c r="W247" s="1585">
        <f t="shared" si="70"/>
        <v>2</v>
      </c>
      <c r="X247" s="1574"/>
      <c r="Y247" s="1574"/>
      <c r="Z247" s="1574"/>
      <c r="AA247" s="1574"/>
      <c r="AB247" s="1574"/>
      <c r="AC247" s="1574"/>
      <c r="AD247" s="1574"/>
      <c r="AE247" s="1574"/>
      <c r="AF247" s="1574"/>
      <c r="AG247" s="1574"/>
      <c r="AH247" s="1591" t="e">
        <f t="shared" si="71"/>
        <v>#DIV/0!</v>
      </c>
      <c r="AI247" s="1591" t="e">
        <f t="shared" si="72"/>
        <v>#DIV/0!</v>
      </c>
      <c r="AJ247" s="1568" t="e">
        <f t="shared" si="73"/>
        <v>#DIV/0!</v>
      </c>
      <c r="AK247" s="1568" t="e">
        <f t="shared" si="60"/>
        <v>#DIV/0!</v>
      </c>
      <c r="AL247" s="1568">
        <f t="shared" si="61"/>
        <v>115</v>
      </c>
      <c r="AM247" s="1568">
        <f t="shared" si="62"/>
        <v>105</v>
      </c>
      <c r="AN247" s="1576" t="str">
        <f t="shared" si="74"/>
        <v>NPA</v>
      </c>
      <c r="AO247" s="1585">
        <f t="shared" si="75"/>
        <v>4.5</v>
      </c>
      <c r="AP247" s="1574"/>
      <c r="AQ247" s="1574"/>
      <c r="AR247" s="1574"/>
      <c r="AS247" s="1574"/>
      <c r="AT247" s="1574"/>
      <c r="AU247" s="1574"/>
      <c r="AV247" s="1574"/>
      <c r="AW247" s="1574"/>
      <c r="AX247" s="1574"/>
      <c r="AY247" s="1574"/>
      <c r="AZ247" s="1591" t="e">
        <f t="shared" si="76"/>
        <v>#DIV/0!</v>
      </c>
      <c r="BA247" s="1591" t="e">
        <f t="shared" si="77"/>
        <v>#DIV/0!</v>
      </c>
      <c r="BB247" s="1568" t="e">
        <f t="shared" si="78"/>
        <v>#DIV/0!</v>
      </c>
      <c r="BC247" s="1568" t="e">
        <f t="shared" si="79"/>
        <v>#DIV/0!</v>
      </c>
      <c r="BD247" s="1568">
        <f t="shared" si="63"/>
        <v>103</v>
      </c>
      <c r="BE247" s="1568">
        <f t="shared" si="64"/>
        <v>93</v>
      </c>
      <c r="BF247" s="1576" t="str">
        <f t="shared" si="80"/>
        <v>NPA</v>
      </c>
      <c r="BG247" s="1965">
        <f t="shared" si="81"/>
        <v>5</v>
      </c>
      <c r="BH247" s="1574"/>
      <c r="BI247" s="1574"/>
      <c r="BJ247" s="1574"/>
      <c r="BK247" s="1574"/>
      <c r="BL247" s="1574"/>
      <c r="BM247" s="1574"/>
      <c r="BN247" s="1574"/>
      <c r="BO247" s="1574"/>
      <c r="BP247" s="1574"/>
      <c r="BQ247" s="1574"/>
      <c r="BR247" s="1591" t="e">
        <f t="shared" si="82"/>
        <v>#DIV/0!</v>
      </c>
      <c r="BS247" s="1591" t="e">
        <f t="shared" si="83"/>
        <v>#DIV/0!</v>
      </c>
      <c r="BT247" s="1568" t="e">
        <f t="shared" si="84"/>
        <v>#DIV/0!</v>
      </c>
      <c r="BU247" s="1568">
        <f t="shared" si="85"/>
        <v>100</v>
      </c>
      <c r="BV247" s="1568">
        <f t="shared" si="86"/>
        <v>90</v>
      </c>
      <c r="BW247" s="1576" t="str">
        <f t="shared" si="87"/>
        <v>NPA</v>
      </c>
      <c r="BX247" s="348" t="str">
        <f t="shared" si="92"/>
        <v/>
      </c>
      <c r="BY247" s="348" t="str">
        <f t="shared" si="92"/>
        <v/>
      </c>
      <c r="BZ247" s="348" t="str">
        <f t="shared" si="92"/>
        <v/>
      </c>
      <c r="CA247" s="348" t="str">
        <f t="shared" si="92"/>
        <v/>
      </c>
      <c r="CB247" s="348" t="str">
        <f t="shared" si="92"/>
        <v/>
      </c>
      <c r="CC247" s="348" t="str">
        <f t="shared" si="92"/>
        <v/>
      </c>
      <c r="CD247" s="348" t="str">
        <f t="shared" si="92"/>
        <v/>
      </c>
      <c r="CE247" s="348" t="str">
        <f t="shared" si="92"/>
        <v/>
      </c>
      <c r="CF247" s="348" t="str">
        <f t="shared" si="93"/>
        <v/>
      </c>
      <c r="CG247" s="348" t="str">
        <f t="shared" si="93"/>
        <v/>
      </c>
      <c r="CH247" s="348" t="str">
        <f t="shared" si="93"/>
        <v/>
      </c>
      <c r="CI247" s="348" t="str">
        <f t="shared" si="93"/>
        <v/>
      </c>
      <c r="CJ247" s="348" t="str">
        <f t="shared" si="93"/>
        <v/>
      </c>
      <c r="CK247" s="348" t="str">
        <f t="shared" si="93"/>
        <v/>
      </c>
      <c r="CL247" s="348" t="str">
        <f t="shared" si="93"/>
        <v/>
      </c>
      <c r="CM247" s="348" t="str">
        <f t="shared" si="93"/>
        <v/>
      </c>
    </row>
    <row r="248" spans="1:91" x14ac:dyDescent="0.25">
      <c r="A248" s="1574" t="str">
        <f t="shared" si="88"/>
        <v>13 x 18</v>
      </c>
      <c r="B248" s="1642">
        <f t="shared" si="89"/>
        <v>79</v>
      </c>
      <c r="C248" s="1592" t="str">
        <f t="shared" si="90"/>
        <v>Convencional</v>
      </c>
      <c r="D248" s="1592"/>
      <c r="E248" s="1574"/>
      <c r="F248" s="1574"/>
      <c r="G248" s="1574"/>
      <c r="H248" s="1574"/>
      <c r="I248" s="1574"/>
      <c r="J248" s="1574"/>
      <c r="K248" s="1574"/>
      <c r="L248" s="1574"/>
      <c r="M248" s="1574"/>
      <c r="N248" s="1574"/>
      <c r="O248" s="1577">
        <f t="shared" si="65"/>
        <v>0</v>
      </c>
      <c r="P248" s="1576" t="str">
        <f t="shared" si="66"/>
        <v>NPA</v>
      </c>
      <c r="Q248" s="1577" t="str">
        <f t="shared" si="67"/>
        <v/>
      </c>
      <c r="R248" s="1576" t="str">
        <f t="shared" si="68"/>
        <v>NPA</v>
      </c>
      <c r="S248" s="1574"/>
      <c r="T248" s="1574"/>
      <c r="U248" s="1577" t="str">
        <f t="shared" si="69"/>
        <v>NPA</v>
      </c>
      <c r="V248" s="1576" t="str">
        <f t="shared" si="91"/>
        <v>NPA</v>
      </c>
      <c r="W248" s="1585">
        <f t="shared" si="70"/>
        <v>2</v>
      </c>
      <c r="X248" s="1574"/>
      <c r="Y248" s="1574"/>
      <c r="Z248" s="1574"/>
      <c r="AA248" s="1574"/>
      <c r="AB248" s="1574"/>
      <c r="AC248" s="1574"/>
      <c r="AD248" s="1574"/>
      <c r="AE248" s="1574"/>
      <c r="AF248" s="1574"/>
      <c r="AG248" s="1574"/>
      <c r="AH248" s="1591" t="e">
        <f t="shared" si="71"/>
        <v>#DIV/0!</v>
      </c>
      <c r="AI248" s="1591" t="e">
        <f t="shared" si="72"/>
        <v>#DIV/0!</v>
      </c>
      <c r="AJ248" s="1568" t="e">
        <f t="shared" si="73"/>
        <v>#DIV/0!</v>
      </c>
      <c r="AK248" s="1568" t="e">
        <f t="shared" si="60"/>
        <v>#DIV/0!</v>
      </c>
      <c r="AL248" s="1568">
        <f t="shared" si="61"/>
        <v>115</v>
      </c>
      <c r="AM248" s="1568">
        <f t="shared" si="62"/>
        <v>105</v>
      </c>
      <c r="AN248" s="1576" t="str">
        <f t="shared" si="74"/>
        <v>NPA</v>
      </c>
      <c r="AO248" s="1585">
        <f t="shared" si="75"/>
        <v>4.5</v>
      </c>
      <c r="AP248" s="1574"/>
      <c r="AQ248" s="1574"/>
      <c r="AR248" s="1574"/>
      <c r="AS248" s="1574"/>
      <c r="AT248" s="1574"/>
      <c r="AU248" s="1574"/>
      <c r="AV248" s="1574"/>
      <c r="AW248" s="1574"/>
      <c r="AX248" s="1574"/>
      <c r="AY248" s="1574"/>
      <c r="AZ248" s="1591" t="e">
        <f t="shared" si="76"/>
        <v>#DIV/0!</v>
      </c>
      <c r="BA248" s="1591" t="e">
        <f t="shared" si="77"/>
        <v>#DIV/0!</v>
      </c>
      <c r="BB248" s="1568" t="e">
        <f t="shared" si="78"/>
        <v>#DIV/0!</v>
      </c>
      <c r="BC248" s="1568" t="e">
        <f t="shared" si="79"/>
        <v>#DIV/0!</v>
      </c>
      <c r="BD248" s="1568">
        <f t="shared" si="63"/>
        <v>103</v>
      </c>
      <c r="BE248" s="1568">
        <f t="shared" si="64"/>
        <v>93</v>
      </c>
      <c r="BF248" s="1576" t="str">
        <f t="shared" si="80"/>
        <v>NPA</v>
      </c>
      <c r="BG248" s="1965">
        <f t="shared" si="81"/>
        <v>5</v>
      </c>
      <c r="BH248" s="1574"/>
      <c r="BI248" s="1574"/>
      <c r="BJ248" s="1574"/>
      <c r="BK248" s="1574"/>
      <c r="BL248" s="1574"/>
      <c r="BM248" s="1574"/>
      <c r="BN248" s="1574"/>
      <c r="BO248" s="1574"/>
      <c r="BP248" s="1574"/>
      <c r="BQ248" s="1574"/>
      <c r="BR248" s="1591" t="e">
        <f t="shared" si="82"/>
        <v>#DIV/0!</v>
      </c>
      <c r="BS248" s="1591" t="e">
        <f t="shared" si="83"/>
        <v>#DIV/0!</v>
      </c>
      <c r="BT248" s="1568" t="e">
        <f t="shared" si="84"/>
        <v>#DIV/0!</v>
      </c>
      <c r="BU248" s="1568">
        <f t="shared" si="85"/>
        <v>100</v>
      </c>
      <c r="BV248" s="1568">
        <f t="shared" si="86"/>
        <v>90</v>
      </c>
      <c r="BW248" s="1576" t="str">
        <f t="shared" si="87"/>
        <v>NPA</v>
      </c>
      <c r="BX248" s="348" t="str">
        <f t="shared" si="92"/>
        <v/>
      </c>
      <c r="BY248" s="348" t="str">
        <f t="shared" si="92"/>
        <v/>
      </c>
      <c r="BZ248" s="348" t="str">
        <f t="shared" si="92"/>
        <v/>
      </c>
      <c r="CA248" s="348" t="str">
        <f t="shared" si="92"/>
        <v/>
      </c>
      <c r="CB248" s="348" t="str">
        <f t="shared" si="92"/>
        <v/>
      </c>
      <c r="CC248" s="348" t="str">
        <f t="shared" si="92"/>
        <v/>
      </c>
      <c r="CD248" s="348" t="str">
        <f t="shared" si="92"/>
        <v/>
      </c>
      <c r="CE248" s="348" t="str">
        <f t="shared" si="92"/>
        <v/>
      </c>
      <c r="CF248" s="348" t="str">
        <f t="shared" si="93"/>
        <v/>
      </c>
      <c r="CG248" s="348" t="str">
        <f t="shared" si="93"/>
        <v/>
      </c>
      <c r="CH248" s="348" t="str">
        <f t="shared" si="93"/>
        <v/>
      </c>
      <c r="CI248" s="348" t="str">
        <f t="shared" si="93"/>
        <v/>
      </c>
      <c r="CJ248" s="348" t="str">
        <f t="shared" si="93"/>
        <v/>
      </c>
      <c r="CK248" s="348" t="str">
        <f t="shared" si="93"/>
        <v/>
      </c>
      <c r="CL248" s="348" t="str">
        <f t="shared" si="93"/>
        <v/>
      </c>
      <c r="CM248" s="348" t="str">
        <f t="shared" si="93"/>
        <v/>
      </c>
    </row>
    <row r="249" spans="1:91" x14ac:dyDescent="0.25">
      <c r="A249" s="1574" t="str">
        <f t="shared" si="88"/>
        <v>13 x 18</v>
      </c>
      <c r="B249" s="1642">
        <f t="shared" si="89"/>
        <v>80</v>
      </c>
      <c r="C249" s="1592" t="str">
        <f t="shared" si="90"/>
        <v>Convencional</v>
      </c>
      <c r="D249" s="1592"/>
      <c r="E249" s="1574"/>
      <c r="F249" s="1574"/>
      <c r="G249" s="1574"/>
      <c r="H249" s="1574"/>
      <c r="I249" s="1574"/>
      <c r="J249" s="1574"/>
      <c r="K249" s="1574"/>
      <c r="L249" s="1574"/>
      <c r="M249" s="1574"/>
      <c r="N249" s="1574"/>
      <c r="O249" s="1577">
        <f t="shared" si="65"/>
        <v>0</v>
      </c>
      <c r="P249" s="1576" t="str">
        <f t="shared" si="66"/>
        <v>NPA</v>
      </c>
      <c r="Q249" s="1577" t="str">
        <f t="shared" si="67"/>
        <v/>
      </c>
      <c r="R249" s="1576" t="str">
        <f t="shared" si="68"/>
        <v>NPA</v>
      </c>
      <c r="S249" s="1574"/>
      <c r="T249" s="1574"/>
      <c r="U249" s="1577" t="str">
        <f t="shared" si="69"/>
        <v>NPA</v>
      </c>
      <c r="V249" s="1576" t="str">
        <f t="shared" si="91"/>
        <v>NPA</v>
      </c>
      <c r="W249" s="1585">
        <f t="shared" si="70"/>
        <v>2</v>
      </c>
      <c r="X249" s="1574"/>
      <c r="Y249" s="1574"/>
      <c r="Z249" s="1574"/>
      <c r="AA249" s="1574"/>
      <c r="AB249" s="1574"/>
      <c r="AC249" s="1574"/>
      <c r="AD249" s="1574"/>
      <c r="AE249" s="1574"/>
      <c r="AF249" s="1574"/>
      <c r="AG249" s="1574"/>
      <c r="AH249" s="1591" t="e">
        <f t="shared" si="71"/>
        <v>#DIV/0!</v>
      </c>
      <c r="AI249" s="1591" t="e">
        <f t="shared" si="72"/>
        <v>#DIV/0!</v>
      </c>
      <c r="AJ249" s="1568" t="e">
        <f t="shared" si="73"/>
        <v>#DIV/0!</v>
      </c>
      <c r="AK249" s="1568" t="e">
        <f t="shared" si="60"/>
        <v>#DIV/0!</v>
      </c>
      <c r="AL249" s="1568">
        <f t="shared" si="61"/>
        <v>115</v>
      </c>
      <c r="AM249" s="1568">
        <f t="shared" si="62"/>
        <v>105</v>
      </c>
      <c r="AN249" s="1576" t="str">
        <f t="shared" si="74"/>
        <v>NPA</v>
      </c>
      <c r="AO249" s="1585">
        <f t="shared" si="75"/>
        <v>4.5</v>
      </c>
      <c r="AP249" s="1574"/>
      <c r="AQ249" s="1574"/>
      <c r="AR249" s="1574"/>
      <c r="AS249" s="1574"/>
      <c r="AT249" s="1574"/>
      <c r="AU249" s="1574"/>
      <c r="AV249" s="1574"/>
      <c r="AW249" s="1574"/>
      <c r="AX249" s="1574"/>
      <c r="AY249" s="1574"/>
      <c r="AZ249" s="1591" t="e">
        <f t="shared" si="76"/>
        <v>#DIV/0!</v>
      </c>
      <c r="BA249" s="1591" t="e">
        <f t="shared" si="77"/>
        <v>#DIV/0!</v>
      </c>
      <c r="BB249" s="1568" t="e">
        <f t="shared" si="78"/>
        <v>#DIV/0!</v>
      </c>
      <c r="BC249" s="1568" t="e">
        <f t="shared" si="79"/>
        <v>#DIV/0!</v>
      </c>
      <c r="BD249" s="1568">
        <f t="shared" si="63"/>
        <v>103</v>
      </c>
      <c r="BE249" s="1568">
        <f t="shared" si="64"/>
        <v>93</v>
      </c>
      <c r="BF249" s="1576" t="str">
        <f t="shared" si="80"/>
        <v>NPA</v>
      </c>
      <c r="BG249" s="1965">
        <f t="shared" si="81"/>
        <v>5</v>
      </c>
      <c r="BH249" s="1574"/>
      <c r="BI249" s="1574"/>
      <c r="BJ249" s="1574"/>
      <c r="BK249" s="1574"/>
      <c r="BL249" s="1574"/>
      <c r="BM249" s="1574"/>
      <c r="BN249" s="1574"/>
      <c r="BO249" s="1574"/>
      <c r="BP249" s="1574"/>
      <c r="BQ249" s="1574"/>
      <c r="BR249" s="1591" t="e">
        <f t="shared" si="82"/>
        <v>#DIV/0!</v>
      </c>
      <c r="BS249" s="1591" t="e">
        <f t="shared" si="83"/>
        <v>#DIV/0!</v>
      </c>
      <c r="BT249" s="1568" t="e">
        <f t="shared" si="84"/>
        <v>#DIV/0!</v>
      </c>
      <c r="BU249" s="1568">
        <f t="shared" si="85"/>
        <v>100</v>
      </c>
      <c r="BV249" s="1568">
        <f t="shared" si="86"/>
        <v>90</v>
      </c>
      <c r="BW249" s="1576" t="str">
        <f t="shared" si="87"/>
        <v>NPA</v>
      </c>
      <c r="BX249" s="348" t="str">
        <f t="shared" si="92"/>
        <v/>
      </c>
      <c r="BY249" s="348" t="str">
        <f t="shared" si="92"/>
        <v/>
      </c>
      <c r="BZ249" s="348" t="str">
        <f t="shared" si="92"/>
        <v/>
      </c>
      <c r="CA249" s="348" t="str">
        <f t="shared" si="92"/>
        <v/>
      </c>
      <c r="CB249" s="348" t="str">
        <f t="shared" si="92"/>
        <v/>
      </c>
      <c r="CC249" s="348" t="str">
        <f t="shared" si="92"/>
        <v/>
      </c>
      <c r="CD249" s="348" t="str">
        <f t="shared" si="92"/>
        <v/>
      </c>
      <c r="CE249" s="348" t="str">
        <f t="shared" si="92"/>
        <v/>
      </c>
      <c r="CF249" s="348" t="str">
        <f t="shared" si="93"/>
        <v/>
      </c>
      <c r="CG249" s="348" t="str">
        <f t="shared" si="93"/>
        <v/>
      </c>
      <c r="CH249" s="348" t="str">
        <f t="shared" si="93"/>
        <v/>
      </c>
      <c r="CI249" s="348" t="str">
        <f t="shared" si="93"/>
        <v/>
      </c>
      <c r="CJ249" s="348" t="str">
        <f t="shared" si="93"/>
        <v/>
      </c>
      <c r="CK249" s="348" t="str">
        <f t="shared" si="93"/>
        <v/>
      </c>
      <c r="CL249" s="348" t="str">
        <f t="shared" si="93"/>
        <v/>
      </c>
      <c r="CM249" s="348" t="str">
        <f t="shared" si="93"/>
        <v/>
      </c>
    </row>
    <row r="250" spans="1:91" x14ac:dyDescent="0.25">
      <c r="S250" s="291"/>
      <c r="T250" s="291"/>
      <c r="U250" s="291"/>
      <c r="V250" s="291"/>
    </row>
    <row r="252" spans="1:91" x14ac:dyDescent="0.25">
      <c r="A252" s="1159"/>
    </row>
    <row r="253" spans="1:91" x14ac:dyDescent="0.25">
      <c r="A253" s="1159"/>
    </row>
    <row r="254" spans="1:91" x14ac:dyDescent="0.25">
      <c r="A254" s="1159"/>
    </row>
    <row r="255" spans="1:91" x14ac:dyDescent="0.25">
      <c r="A255" s="1159"/>
    </row>
    <row r="256" spans="1:91" x14ac:dyDescent="0.25">
      <c r="A256" s="1159"/>
    </row>
    <row r="257" spans="1:1" x14ac:dyDescent="0.25">
      <c r="A257" s="1159"/>
    </row>
    <row r="258" spans="1:1" x14ac:dyDescent="0.25">
      <c r="A258" s="1159"/>
    </row>
    <row r="259" spans="1:1" x14ac:dyDescent="0.25">
      <c r="A259" s="1159"/>
    </row>
  </sheetData>
  <sheetProtection selectLockedCells="1" autoFilter="0"/>
  <sortState ref="A170:A177">
    <sortCondition ref="A170"/>
  </sortState>
  <mergeCells count="15">
    <mergeCell ref="B101:E101"/>
    <mergeCell ref="A148:B148"/>
    <mergeCell ref="A160:B160"/>
    <mergeCell ref="S168:V168"/>
    <mergeCell ref="E168:P168"/>
    <mergeCell ref="Q168:R168"/>
    <mergeCell ref="B150:D150"/>
    <mergeCell ref="C151:C158"/>
    <mergeCell ref="A166:B166"/>
    <mergeCell ref="A144:B144"/>
    <mergeCell ref="B116:I116"/>
    <mergeCell ref="D168:D169"/>
    <mergeCell ref="A168:A169"/>
    <mergeCell ref="C168:C169"/>
    <mergeCell ref="B168:B169"/>
  </mergeCells>
  <dataValidations count="14">
    <dataValidation type="list" allowBlank="1" showInputMessage="1" showErrorMessage="1" error="Digite a para aceitavel e na para não aceitável" sqref="I128">
      <formula1>"a,na"</formula1>
    </dataValidation>
    <dataValidation type="list" allowBlank="1" showInputMessage="1" showErrorMessage="1" error="digite s para sim ou n para não" promptTitle="Sim ou Não " sqref="B11:E11 B19:B21">
      <formula1>"s,n"</formula1>
    </dataValidation>
    <dataValidation type="list" allowBlank="1" showInputMessage="1" showErrorMessage="1" error="Digite s para sim ou n para não" promptTitle="Digite s ou n " sqref="B9:E9">
      <formula1>"Sim,Não,Velando filme"</formula1>
    </dataValidation>
    <dataValidation type="list" allowBlank="1" showInputMessage="1" showErrorMessage="1" error="digite s para sim ou n para não" promptTitle="s ou n " sqref="B10:E10 C23:BA23">
      <formula1>"s,n"</formula1>
    </dataValidation>
    <dataValidation type="list" allowBlank="1" showInputMessage="1" showErrorMessage="1" sqref="B34:E34">
      <formula1>"Processadora,Impressora"</formula1>
    </dataValidation>
    <dataValidation type="list" allowBlank="1" showInputMessage="1" showErrorMessage="1" error="Digite a para aceitavel e na para não aceitável" sqref="B118:K125 D170:D249">
      <formula1>"Íntegro,Não íntegro"</formula1>
    </dataValidation>
    <dataValidation type="list" allowBlank="1" showInputMessage="1" showErrorMessage="1" error="Digite a para aceitavel e na para não aceitável" sqref="B129:K136">
      <formula1>"ok,ruim,CR,DR"</formula1>
    </dataValidation>
    <dataValidation allowBlank="1" showInputMessage="1" showErrorMessage="1" error="digite s para sim ou n para não" promptTitle="Sim ou Não " sqref="B8:E8 B17"/>
    <dataValidation type="list" allowBlank="1" showInputMessage="1" showErrorMessage="1" error="digite s para sim ou n para não" promptTitle="Sim ou Não " sqref="B12:E12">
      <formula1>"Manual,outra"</formula1>
    </dataValidation>
    <dataValidation type="list" allowBlank="1" showInputMessage="1" showErrorMessage="1" sqref="A170:A249">
      <formula1>$A$118:$A$125</formula1>
    </dataValidation>
    <dataValidation type="list" allowBlank="1" showInputMessage="1" showErrorMessage="1" sqref="W170:W249 AO170:AO249 BG170:BG249">
      <formula1>$N$162:$T$162</formula1>
    </dataValidation>
    <dataValidation type="list" allowBlank="1" showInputMessage="1" showErrorMessage="1" error="Digite a para aceitavel e na para não aceitável" sqref="C170:C249">
      <formula1>"Convencional,Mamografia"</formula1>
    </dataValidation>
    <dataValidation type="list" allowBlank="1" showInputMessage="1" showErrorMessage="1" error="digite s para sim ou n para não" promptTitle="Sim ou Não " sqref="B18">
      <formula1>"s,n,velando filme"</formula1>
    </dataValidation>
    <dataValidation type="list" allowBlank="1" showInputMessage="1" showErrorMessage="1" sqref="B141:B142">
      <formula1>"Sim,Não"</formula1>
    </dataValidation>
  </dataValidations>
  <pageMargins left="0.511811024" right="0.511811024" top="0.78740157499999996" bottom="0.78740157499999996" header="0.31496062000000002" footer="0.31496062000000002"/>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N695"/>
  <sheetViews>
    <sheetView view="pageBreakPreview" zoomScaleNormal="100" zoomScaleSheetLayoutView="100" workbookViewId="0">
      <pane ySplit="1" topLeftCell="A626" activePane="bottomLeft" state="frozen"/>
      <selection activeCell="C12" sqref="C12:J13"/>
      <selection pane="bottomLeft" activeCell="C12" sqref="C12:J13"/>
    </sheetView>
  </sheetViews>
  <sheetFormatPr defaultColWidth="9.140625" defaultRowHeight="15.75" x14ac:dyDescent="0.25"/>
  <cols>
    <col min="1" max="3" width="9.140625" style="34" customWidth="1"/>
    <col min="4" max="8" width="8.42578125" style="34" customWidth="1"/>
    <col min="9" max="9" width="9.140625" style="34"/>
    <col min="10" max="10" width="9.140625" style="34" customWidth="1"/>
    <col min="11" max="16384" width="9.140625" style="34"/>
  </cols>
  <sheetData>
    <row r="1" spans="1:11" s="1647" customFormat="1" ht="15" customHeight="1" x14ac:dyDescent="0.25">
      <c r="A1" s="2580" t="e">
        <f>Cabeçalho!B6</f>
        <v>#N/A</v>
      </c>
      <c r="B1" s="2580"/>
      <c r="C1" s="2580"/>
      <c r="D1" s="2580"/>
      <c r="E1" s="2856" t="s">
        <v>951</v>
      </c>
      <c r="F1" s="2856"/>
      <c r="G1" s="2856"/>
      <c r="H1" s="1649"/>
      <c r="I1" s="277" t="s">
        <v>341</v>
      </c>
      <c r="J1" s="278" t="e">
        <f>IF(Cabeçalho!B12="","",Cabeçalho!B12)</f>
        <v>#N/A</v>
      </c>
      <c r="K1" s="1668" t="s">
        <v>648</v>
      </c>
    </row>
    <row r="3" spans="1:11" ht="15" customHeight="1" x14ac:dyDescent="0.25">
      <c r="A3" s="2483" t="s">
        <v>952</v>
      </c>
      <c r="B3" s="2483"/>
      <c r="C3" s="2483"/>
      <c r="D3" s="2483"/>
      <c r="E3" s="2483"/>
      <c r="F3" s="2483"/>
      <c r="G3" s="2483"/>
      <c r="H3" s="2483"/>
      <c r="I3" s="2483"/>
      <c r="J3" s="2483"/>
    </row>
    <row r="5" spans="1:11" ht="15" customHeight="1" x14ac:dyDescent="0.25">
      <c r="A5" s="2483" t="s">
        <v>114</v>
      </c>
      <c r="B5" s="2483"/>
      <c r="C5" s="2483"/>
      <c r="D5" s="2483"/>
      <c r="E5" s="2483"/>
      <c r="F5" s="2483"/>
      <c r="G5" s="2483"/>
      <c r="H5" s="2483"/>
      <c r="I5" s="2483"/>
      <c r="J5" s="2483"/>
    </row>
    <row r="9" spans="1:11" x14ac:dyDescent="0.25">
      <c r="C9" s="2484" t="e">
        <f>Cabeçalho!B6</f>
        <v>#N/A</v>
      </c>
      <c r="D9" s="2484"/>
      <c r="E9" s="2484"/>
      <c r="F9" s="2484"/>
      <c r="G9" s="2484"/>
      <c r="H9" s="2484"/>
      <c r="I9" s="2484"/>
      <c r="J9" s="2484"/>
    </row>
    <row r="10" spans="1:11" ht="15" customHeight="1" x14ac:dyDescent="0.25">
      <c r="C10" s="2484"/>
      <c r="D10" s="2484"/>
      <c r="E10" s="2484"/>
      <c r="F10" s="2484"/>
      <c r="G10" s="2484"/>
      <c r="H10" s="2484"/>
      <c r="I10" s="2484"/>
      <c r="J10" s="2484"/>
    </row>
    <row r="11" spans="1:11" ht="15" customHeight="1" x14ac:dyDescent="0.25">
      <c r="B11" s="281"/>
      <c r="C11" s="281"/>
      <c r="D11" s="281"/>
      <c r="E11" s="281"/>
      <c r="F11" s="281"/>
      <c r="G11" s="281"/>
      <c r="H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c r="H14" s="281"/>
    </row>
    <row r="15" spans="1:11" ht="15" customHeight="1" x14ac:dyDescent="0.25">
      <c r="C15" s="280" t="e">
        <f>Cabeçalho!B8</f>
        <v>#N/A</v>
      </c>
      <c r="E15" s="281" t="e">
        <f>CONCATENATE(Cabeçalho!B9,", ",Cabeçalho!B10)</f>
        <v>#N/A</v>
      </c>
      <c r="F15" s="281"/>
      <c r="G15" s="281"/>
      <c r="H15" s="281"/>
    </row>
    <row r="17" spans="1:11" ht="15" customHeight="1" x14ac:dyDescent="0.25">
      <c r="A17" s="34" t="s">
        <v>115</v>
      </c>
      <c r="C17" s="2486" t="e">
        <f>Cabeçalho!B4</f>
        <v>#N/A</v>
      </c>
      <c r="D17" s="2486"/>
      <c r="E17" s="2486"/>
      <c r="F17" s="2486"/>
      <c r="G17" s="2486"/>
      <c r="H17" s="2486"/>
      <c r="I17" s="2486"/>
      <c r="J17" s="2486"/>
    </row>
    <row r="18" spans="1:11" ht="15" customHeight="1" x14ac:dyDescent="0.25">
      <c r="C18" s="280" t="e">
        <f>Cabeçalho!B5</f>
        <v>#N/A</v>
      </c>
    </row>
    <row r="19" spans="1:11" ht="15" customHeight="1" x14ac:dyDescent="0.25">
      <c r="C19" s="281"/>
    </row>
    <row r="20" spans="1:11" ht="15" customHeight="1" x14ac:dyDescent="0.25">
      <c r="C20" s="282"/>
    </row>
    <row r="21" spans="1:11" ht="15" customHeight="1" x14ac:dyDescent="0.25">
      <c r="A21" s="281" t="s">
        <v>116</v>
      </c>
    </row>
    <row r="22" spans="1:11" ht="15" customHeight="1" x14ac:dyDescent="0.25">
      <c r="A22" s="2476" t="str">
        <f>IntroRDC</f>
        <v xml:space="preserve">               Este Laudo Técnico é parte do Programa de Garantia da Qualidade, conforme Resolução da Diretoria Colegiada - RDC 611/2022 da ANVISA.</v>
      </c>
      <c r="B22" s="2476"/>
      <c r="C22" s="2476"/>
      <c r="D22" s="2476"/>
      <c r="E22" s="2476"/>
      <c r="F22" s="2476"/>
      <c r="G22" s="2476"/>
      <c r="H22" s="2476"/>
      <c r="I22" s="2476"/>
      <c r="J22" s="2476"/>
    </row>
    <row r="23" spans="1:11" ht="15" customHeight="1" x14ac:dyDescent="0.25">
      <c r="A23" s="2476"/>
      <c r="B23" s="2476"/>
      <c r="C23" s="2476"/>
      <c r="D23" s="2476"/>
      <c r="E23" s="2476"/>
      <c r="F23" s="2476"/>
      <c r="G23" s="2476"/>
      <c r="H23" s="2476"/>
      <c r="I23" s="2476"/>
      <c r="J23" s="2476"/>
    </row>
    <row r="24" spans="1:11" ht="15" customHeight="1" x14ac:dyDescent="0.25">
      <c r="A24" s="2476" t="str">
        <f>IntroProtocolo</f>
        <v xml:space="preserve">               A metodologia utilizada atende aos "Protocolos para Execução de Testes em Sistemas de Radiologia Diagnóstica e Intervencionista" do CONFEA.</v>
      </c>
      <c r="B24" s="2476"/>
      <c r="C24" s="2476"/>
      <c r="D24" s="2476"/>
      <c r="E24" s="2476"/>
      <c r="F24" s="2476"/>
      <c r="G24" s="2476"/>
      <c r="H24" s="2476"/>
      <c r="I24" s="2476"/>
      <c r="J24" s="2476"/>
    </row>
    <row r="25" spans="1:11" ht="15" customHeight="1" x14ac:dyDescent="0.25">
      <c r="A25" s="2476"/>
      <c r="B25" s="2476"/>
      <c r="C25" s="2476"/>
      <c r="D25" s="2476"/>
      <c r="E25" s="2476"/>
      <c r="F25" s="2476"/>
      <c r="G25" s="2476"/>
      <c r="H25" s="2476"/>
      <c r="I25" s="2476"/>
      <c r="J25" s="2476"/>
    </row>
    <row r="26" spans="1:11" ht="15" customHeight="1" x14ac:dyDescent="0.25">
      <c r="A26" s="2476" t="str">
        <f>IntroNR32</f>
        <v xml:space="preserve">               Serve para comprovação e/ou como subsídio para atendimento da Norma Regulamentadora NR-32 do MTb.</v>
      </c>
      <c r="B26" s="2476"/>
      <c r="C26" s="2476"/>
      <c r="D26" s="2476"/>
      <c r="E26" s="2476"/>
      <c r="F26" s="2476"/>
      <c r="G26" s="2476"/>
      <c r="H26" s="2476"/>
      <c r="I26" s="2476"/>
      <c r="J26" s="2476"/>
      <c r="K26" s="34" t="str">
        <f>IF(Acessórios!B14=0,"x","")</f>
        <v>x</v>
      </c>
    </row>
    <row r="27" spans="1:11" ht="15" customHeight="1" x14ac:dyDescent="0.25">
      <c r="A27" s="2476"/>
      <c r="B27" s="2476"/>
      <c r="C27" s="2476"/>
      <c r="D27" s="2476"/>
      <c r="E27" s="2476"/>
      <c r="F27" s="2476"/>
      <c r="G27" s="2476"/>
      <c r="H27" s="2476"/>
      <c r="I27" s="2476"/>
      <c r="J27" s="2476"/>
      <c r="K27" s="34" t="str">
        <f>K26</f>
        <v>x</v>
      </c>
    </row>
    <row r="29" spans="1:11" ht="15" customHeight="1" x14ac:dyDescent="0.25">
      <c r="A29" s="281" t="s">
        <v>333</v>
      </c>
    </row>
    <row r="30" spans="1:11" ht="15" customHeight="1" x14ac:dyDescent="0.25">
      <c r="A30" s="2476" t="str">
        <f>"               Verificar a integridade e adequação dos chassis e cassetes às Instruções Normativas "&amp;VLOOKUP("Raios X convencional",IN_ANVISA[],2)&amp;"/"&amp;VLOOKUP("Raios X convencional",IN_ANVISA[],3)&amp;" e "&amp;VLOOKUP("Mamografia",IN_ANVISA[],2)&amp;"/"&amp;VLOOKUP("Mamografia",IN_ANVISA[],3)&amp;" da ANVISA."</f>
        <v xml:space="preserve">               Verificar a integridade e adequação dos chassis e cassetes às Instruções Normativas 90/2021 e 92/2021 da ANVISA.</v>
      </c>
      <c r="B30" s="2476"/>
      <c r="C30" s="2476"/>
      <c r="D30" s="2476"/>
      <c r="E30" s="2476"/>
      <c r="F30" s="2476"/>
      <c r="G30" s="2476"/>
      <c r="H30" s="2476"/>
      <c r="I30" s="2476"/>
      <c r="J30" s="2476"/>
      <c r="K30" s="34" t="str">
        <f>IF(COUNTA(Acessórios!B118:K127)&gt;0,"","x")</f>
        <v>x</v>
      </c>
    </row>
    <row r="31" spans="1:11" ht="15" customHeight="1" x14ac:dyDescent="0.25">
      <c r="A31" s="2476"/>
      <c r="B31" s="2476"/>
      <c r="C31" s="2476"/>
      <c r="D31" s="2476"/>
      <c r="E31" s="2476"/>
      <c r="F31" s="2476"/>
      <c r="G31" s="2476"/>
      <c r="H31" s="2476"/>
      <c r="I31" s="2476"/>
      <c r="J31" s="2476"/>
      <c r="K31" s="34" t="str">
        <f>K30</f>
        <v>x</v>
      </c>
    </row>
    <row r="32" spans="1:11" ht="15" customHeight="1" x14ac:dyDescent="0.25">
      <c r="A32" s="2476" t="str">
        <f>"                Verificar a adequação do contato tela-filme dos chassis e cassetes que utilizam filmes às Instruções Normativas "&amp;VLOOKUP("Raios X convencional",IN_ANVISA[],2)&amp;"/"&amp;VLOOKUP("Raios X convencional",IN_ANVISA[],3)&amp;", "&amp;VLOOKUP("Mamografia",IN_ANVISA[],2)&amp;"/"&amp;VLOOKUP("Mamografia",IN_ANVISA[],3)&amp;" e "&amp;VLOOKUP("Extraoral",IN_ANVISA[],2)&amp;"/"&amp;VLOOKUP("Extraoral",IN_ANVISA[],3)&amp;" da ANVISA."</f>
        <v xml:space="preserve">                Verificar a adequação do contato tela-filme dos chassis e cassetes que utilizam filmes às Instruções Normativas 90/2021, 92/2021 e 94/2021 da ANVISA.</v>
      </c>
      <c r="B32" s="2476"/>
      <c r="C32" s="2476"/>
      <c r="D32" s="2476"/>
      <c r="E32" s="2476"/>
      <c r="F32" s="2476"/>
      <c r="G32" s="2476"/>
      <c r="H32" s="2476"/>
      <c r="I32" s="2476"/>
      <c r="J32" s="2476"/>
      <c r="K32" s="34" t="str">
        <f>IF(COUNTA(Acessórios!B129:K136)&gt;0,"","x")</f>
        <v>x</v>
      </c>
    </row>
    <row r="33" spans="1:11" ht="15" customHeight="1" x14ac:dyDescent="0.25">
      <c r="A33" s="2476"/>
      <c r="B33" s="2476"/>
      <c r="C33" s="2476"/>
      <c r="D33" s="2476"/>
      <c r="E33" s="2476"/>
      <c r="F33" s="2476"/>
      <c r="G33" s="2476"/>
      <c r="H33" s="2476"/>
      <c r="I33" s="2476"/>
      <c r="J33" s="2476"/>
      <c r="K33" s="34" t="str">
        <f>K32</f>
        <v>x</v>
      </c>
    </row>
    <row r="34" spans="1:11" ht="15" customHeight="1" x14ac:dyDescent="0.25">
      <c r="A34" s="2476" t="str">
        <f>"                Verificar a adequação da vedação da câmara escura à Norma Regulamentadora 32 do MTb e às Instruções Normativas "&amp;VLOOKUP("Raios X convencional",IN_ANVISA[],2)&amp;"/"&amp;VLOOKUP("Raios X convencional",IN_ANVISA[],3)&amp;", "&amp;VLOOKUP("Mamografia",IN_ANVISA[],2)&amp;"/"&amp;VLOOKUP("Mamografia",IN_ANVISA[],3)&amp;" e "&amp;VLOOKUP("Extraoral",IN_ANVISA[],2)&amp;"/"&amp;VLOOKUP("Extraoral",IN_ANVISA[],3)&amp;" da ANVISA."</f>
        <v xml:space="preserve">                Verificar a adequação da vedação da câmara escura à Norma Regulamentadora 32 do MTb e às Instruções Normativas 90/2021, 92/2021 e 94/2021 da ANVISA.</v>
      </c>
      <c r="B34" s="2476"/>
      <c r="C34" s="2476"/>
      <c r="D34" s="2476"/>
      <c r="E34" s="2476"/>
      <c r="F34" s="2476"/>
      <c r="G34" s="2476"/>
      <c r="H34" s="2476"/>
      <c r="I34" s="2476"/>
      <c r="J34" s="2476"/>
      <c r="K34" s="34" t="str">
        <f>K26</f>
        <v>x</v>
      </c>
    </row>
    <row r="35" spans="1:11" ht="15" customHeight="1" x14ac:dyDescent="0.25">
      <c r="A35" s="2476"/>
      <c r="B35" s="2476"/>
      <c r="C35" s="2476"/>
      <c r="D35" s="2476"/>
      <c r="E35" s="2476"/>
      <c r="F35" s="2476"/>
      <c r="G35" s="2476"/>
      <c r="H35" s="2476"/>
      <c r="I35" s="2476"/>
      <c r="J35" s="2476"/>
      <c r="K35" s="34" t="str">
        <f>K34</f>
        <v>x</v>
      </c>
    </row>
    <row r="36" spans="1:11" ht="15" customHeight="1" x14ac:dyDescent="0.25">
      <c r="A36" s="2476" t="str">
        <f>"                Verificar a adequação da vedação da câmara de revelação à Instrução Normativa "&amp;VLOOKUP("Intraoral",IN_ANVISA[],2)&amp;"/"&amp;VLOOKUP("Intraoral",IN_ANVISA[],3)&amp;" da ANVISA."</f>
        <v xml:space="preserve">                Verificar a adequação da vedação da câmara de revelação à Instrução Normativa 95/2021 da ANVISA.</v>
      </c>
      <c r="B36" s="2476"/>
      <c r="C36" s="2476"/>
      <c r="D36" s="2476"/>
      <c r="E36" s="2476"/>
      <c r="F36" s="2476"/>
      <c r="G36" s="2476"/>
      <c r="H36" s="2476"/>
      <c r="I36" s="2476"/>
      <c r="J36" s="2476"/>
      <c r="K36" s="34" t="str">
        <f>IF(Cabeçalho!B14&lt;&gt;"Intraoral","x","")</f>
        <v>x</v>
      </c>
    </row>
    <row r="37" spans="1:11" ht="15" customHeight="1" x14ac:dyDescent="0.25">
      <c r="A37" s="2476"/>
      <c r="B37" s="2476"/>
      <c r="C37" s="2476"/>
      <c r="D37" s="2476"/>
      <c r="E37" s="2476"/>
      <c r="F37" s="2476"/>
      <c r="G37" s="2476"/>
      <c r="H37" s="2476"/>
      <c r="I37" s="2476"/>
      <c r="J37" s="2476"/>
      <c r="K37" s="34" t="str">
        <f>K36</f>
        <v>x</v>
      </c>
    </row>
    <row r="38" spans="1:11" ht="15" customHeight="1" x14ac:dyDescent="0.25">
      <c r="A38" s="2476" t="str">
        <f>"               Verificar a adequação da sensitometria e da temperatura do sistema de processamento à Instrução Normativa "&amp;VLOOKUP("Mamografia",IN_ANVISA[],2)&amp;"/"&amp;VLOOKUP("Mamografia",IN_ANVISA[],3)&amp;" da ANVISA."</f>
        <v xml:space="preserve">               Verificar a adequação da sensitometria e da temperatura do sistema de processamento à Instrução Normativa 92/2021 da ANVISA.</v>
      </c>
      <c r="B38" s="2476"/>
      <c r="C38" s="2476"/>
      <c r="D38" s="2476"/>
      <c r="E38" s="2476"/>
      <c r="F38" s="2476"/>
      <c r="G38" s="2476"/>
      <c r="H38" s="2476"/>
      <c r="I38" s="2476"/>
      <c r="J38" s="2476"/>
      <c r="K38" s="34" t="str">
        <f>IF(Acessórios!B57&gt;0,"","x")</f>
        <v>x</v>
      </c>
    </row>
    <row r="39" spans="1:11" ht="15" customHeight="1" x14ac:dyDescent="0.25">
      <c r="A39" s="2476"/>
      <c r="B39" s="2476"/>
      <c r="C39" s="2476"/>
      <c r="D39" s="2476"/>
      <c r="E39" s="2476"/>
      <c r="F39" s="2476"/>
      <c r="G39" s="2476"/>
      <c r="H39" s="2476"/>
      <c r="I39" s="2476"/>
      <c r="J39" s="2476"/>
      <c r="K39" s="34" t="str">
        <f>K38</f>
        <v>x</v>
      </c>
    </row>
    <row r="40" spans="1:11" ht="15" customHeight="1" x14ac:dyDescent="0.25">
      <c r="A40" s="2476" t="str">
        <f>"               Verificar a adequação da uniformidade da imagem dos chassis e cassetes às Instruções Normativas "&amp;VLOOKUP("Raios X convencional",IN_ANVISA[],2)&amp;"/"&amp;VLOOKUP("Raios X convencional",IN_ANVISA[],3)&amp;" e "&amp;VLOOKUP("Mamografia",IN_ANVISA[],2)&amp;"/"&amp;VLOOKUP("Mamografia",IN_ANVISA[],3)&amp;" da ANVISA."</f>
        <v xml:space="preserve">               Verificar a adequação da uniformidade da imagem dos chassis e cassetes às Instruções Normativas 90/2021 e 92/2021 da ANVISA.</v>
      </c>
      <c r="B40" s="2476"/>
      <c r="C40" s="2476"/>
      <c r="D40" s="2476"/>
      <c r="E40" s="2476"/>
      <c r="F40" s="2476"/>
      <c r="G40" s="2476"/>
      <c r="H40" s="2476"/>
      <c r="I40" s="2476"/>
      <c r="J40" s="2476"/>
      <c r="K40" s="34" t="str">
        <f>K42</f>
        <v/>
      </c>
    </row>
    <row r="41" spans="1:11" ht="15" customHeight="1" x14ac:dyDescent="0.25">
      <c r="A41" s="2476"/>
      <c r="B41" s="2476"/>
      <c r="C41" s="2476"/>
      <c r="D41" s="2476"/>
      <c r="E41" s="2476"/>
      <c r="F41" s="2476"/>
      <c r="G41" s="2476"/>
      <c r="H41" s="2476"/>
      <c r="I41" s="2476"/>
      <c r="J41" s="2476"/>
      <c r="K41" s="34" t="str">
        <f>K40</f>
        <v/>
      </c>
    </row>
    <row r="42" spans="1:11" ht="15" customHeight="1" x14ac:dyDescent="0.25">
      <c r="A42" s="2476" t="str">
        <f>"               Verificar a adequação da diferença de sensibilidade entre as placas de fósforo para receptores de imagem de mesmo tamanho às Instruções Normativas "&amp;VLOOKUP("Raios X convencional",IN_ANVISA[],2)&amp;"/"&amp;VLOOKUP("Raios X convencional",IN_ANVISA[],3)&amp;" e "&amp;VLOOKUP("Mamografia",IN_ANVISA[],2)&amp;"/"&amp;VLOOKUP("Mamografia",IN_ANVISA[],3)&amp;" da ANVISA."</f>
        <v xml:space="preserve">               Verificar a adequação da diferença de sensibilidade entre as placas de fósforo para receptores de imagem de mesmo tamanho às Instruções Normativas 90/2021 e 92/2021 da ANVISA.</v>
      </c>
      <c r="B42" s="2476"/>
      <c r="C42" s="2476"/>
      <c r="D42" s="2476"/>
      <c r="E42" s="2476"/>
      <c r="F42" s="2476"/>
      <c r="G42" s="2476"/>
      <c r="H42" s="2476"/>
      <c r="I42" s="2476"/>
      <c r="J42" s="2476"/>
      <c r="K42" s="34" t="str">
        <f>IF(Cabeçalho!G20="Filme","x","")</f>
        <v/>
      </c>
    </row>
    <row r="43" spans="1:11" ht="15" customHeight="1" x14ac:dyDescent="0.25">
      <c r="A43" s="2476"/>
      <c r="B43" s="2476"/>
      <c r="C43" s="2476"/>
      <c r="D43" s="2476"/>
      <c r="E43" s="2476"/>
      <c r="F43" s="2476"/>
      <c r="G43" s="2476"/>
      <c r="H43" s="2476"/>
      <c r="I43" s="2476"/>
      <c r="J43" s="2476"/>
      <c r="K43" s="34" t="str">
        <f>K42</f>
        <v/>
      </c>
    </row>
    <row r="44" spans="1:11" ht="15" customHeight="1" x14ac:dyDescent="0.25">
      <c r="A44" s="2476"/>
      <c r="B44" s="2476"/>
      <c r="C44" s="2476"/>
      <c r="D44" s="2476"/>
      <c r="E44" s="2476"/>
      <c r="F44" s="2476"/>
      <c r="G44" s="2476"/>
      <c r="H44" s="2476"/>
      <c r="I44" s="2476"/>
      <c r="J44" s="2476"/>
      <c r="K44" s="34" t="str">
        <f>K43</f>
        <v/>
      </c>
    </row>
    <row r="45" spans="1:11" ht="15" customHeight="1" x14ac:dyDescent="0.25">
      <c r="A45" s="2476" t="str">
        <f>"               Verificar a adequação do ciclo de apagamento às Instruções Normativas "&amp;VLOOKUP("Raios X convencional",IN_ANVISA[],2)&amp;"/"&amp;VLOOKUP("Raios X convencional",IN_ANVISA[],3)&amp;" e "&amp;VLOOKUP("Mamografia",IN_ANVISA[],2)&amp;"/"&amp;VLOOKUP("Mamografia",IN_ANVISA[],3)&amp;" da ANVISA."</f>
        <v xml:space="preserve">               Verificar a adequação do ciclo de apagamento às Instruções Normativas 90/2021 e 92/2021 da ANVISA.</v>
      </c>
      <c r="B45" s="2476"/>
      <c r="C45" s="2476"/>
      <c r="D45" s="2476"/>
      <c r="E45" s="2476"/>
      <c r="F45" s="2476"/>
      <c r="G45" s="2476"/>
      <c r="H45" s="2476"/>
      <c r="I45" s="2476"/>
      <c r="J45" s="2476"/>
      <c r="K45" s="34" t="str">
        <f>K42</f>
        <v/>
      </c>
    </row>
    <row r="46" spans="1:11" ht="15" customHeight="1" x14ac:dyDescent="0.25">
      <c r="A46" s="2476"/>
      <c r="B46" s="2476"/>
      <c r="C46" s="2476"/>
      <c r="D46" s="2476"/>
      <c r="E46" s="2476"/>
      <c r="F46" s="2476"/>
      <c r="G46" s="2476"/>
      <c r="H46" s="2476"/>
      <c r="I46" s="2476"/>
      <c r="J46" s="2476"/>
      <c r="K46" s="34" t="str">
        <f>K45</f>
        <v/>
      </c>
    </row>
    <row r="47" spans="1:11" ht="15" customHeight="1" x14ac:dyDescent="0.25">
      <c r="A47" s="2476" t="str">
        <f>"               Verificar a adequação da distorção geométrica à Instrução Normativa "&amp;VLOOKUP("Raios X convencional",IN_ANVISA[],2)&amp;"/"&amp;VLOOKUP("Raios X convencional",IN_ANVISA[],3)&amp;" da ANVISA."</f>
        <v xml:space="preserve">               Verificar a adequação da distorção geométrica à Instrução Normativa 90/2021 da ANVISA.</v>
      </c>
      <c r="B47" s="2476"/>
      <c r="C47" s="2476"/>
      <c r="D47" s="2476"/>
      <c r="E47" s="2476"/>
      <c r="F47" s="2476"/>
      <c r="G47" s="2476"/>
      <c r="H47" s="2476"/>
      <c r="I47" s="2476"/>
      <c r="J47" s="2476"/>
      <c r="K47" s="34" t="str">
        <f>IF(Cabeçalho!B14&lt;&gt;"Raios X convencional","x","")</f>
        <v>x</v>
      </c>
    </row>
    <row r="48" spans="1:11" ht="15" customHeight="1" x14ac:dyDescent="0.25">
      <c r="A48" s="2476"/>
      <c r="B48" s="2476"/>
      <c r="C48" s="2476"/>
      <c r="D48" s="2476"/>
      <c r="E48" s="2476"/>
      <c r="F48" s="2476"/>
      <c r="G48" s="2476"/>
      <c r="H48" s="2476"/>
      <c r="I48" s="2476"/>
      <c r="J48" s="2476"/>
      <c r="K48" s="34" t="str">
        <f>K47</f>
        <v>x</v>
      </c>
    </row>
    <row r="49" spans="1:12" ht="15" customHeight="1" x14ac:dyDescent="0.25">
      <c r="A49" s="2476" t="str">
        <f>"               Verificar a adequação da razão contraste-ruído da mamografia à Instrução Normativa "&amp;VLOOKUP("Mamografia",IN_ANVISA[],2)&amp;"/"&amp;VLOOKUP("Mamografia",IN_ANVISA[],3)&amp;" da ANVISA."</f>
        <v xml:space="preserve">               Verificar a adequação da razão contraste-ruído da mamografia à Instrução Normativa 92/2021 da ANVISA.</v>
      </c>
      <c r="B49" s="2476"/>
      <c r="C49" s="2476"/>
      <c r="D49" s="2476"/>
      <c r="E49" s="2476"/>
      <c r="F49" s="2476"/>
      <c r="G49" s="2476"/>
      <c r="H49" s="2476"/>
      <c r="I49" s="2476"/>
      <c r="J49" s="2476"/>
      <c r="K49" s="34" t="str">
        <f>IF(Cabeçalho!B14&lt;&gt;"Mamografia","x","")</f>
        <v>x</v>
      </c>
    </row>
    <row r="50" spans="1:12" ht="15" customHeight="1" x14ac:dyDescent="0.25">
      <c r="A50" s="2476"/>
      <c r="B50" s="2476"/>
      <c r="C50" s="2476"/>
      <c r="D50" s="2476"/>
      <c r="E50" s="2476"/>
      <c r="F50" s="2476"/>
      <c r="G50" s="2476"/>
      <c r="H50" s="2476"/>
      <c r="I50" s="2476"/>
      <c r="J50" s="2476"/>
      <c r="K50" s="34" t="str">
        <f>K49</f>
        <v>x</v>
      </c>
    </row>
    <row r="51" spans="1:12" ht="15" customHeight="1" x14ac:dyDescent="0.25">
      <c r="A51" s="2476" t="str">
        <f>OBJETIVO</f>
        <v xml:space="preserve">                Fornecer elementos para aceitação ou rejeição do equipamento, bem como para corrigir eventuais desvios, falhas e anomalias.</v>
      </c>
      <c r="B51" s="2476"/>
      <c r="C51" s="2476"/>
      <c r="D51" s="2476"/>
      <c r="E51" s="2476"/>
      <c r="F51" s="2476"/>
      <c r="G51" s="2476"/>
      <c r="H51" s="2476"/>
      <c r="I51" s="2476"/>
      <c r="J51" s="2476"/>
    </row>
    <row r="52" spans="1:12" ht="15" customHeight="1" x14ac:dyDescent="0.25">
      <c r="A52" s="2476"/>
      <c r="B52" s="2476"/>
      <c r="C52" s="2476"/>
      <c r="D52" s="2476"/>
      <c r="E52" s="2476"/>
      <c r="F52" s="2476"/>
      <c r="G52" s="2476"/>
      <c r="H52" s="2476"/>
      <c r="I52" s="2476"/>
      <c r="J52" s="2476"/>
    </row>
    <row r="53" spans="1:12" ht="15" customHeight="1" x14ac:dyDescent="0.25">
      <c r="A53" s="1648"/>
      <c r="B53" s="1648"/>
      <c r="C53" s="1648"/>
      <c r="D53" s="1648"/>
      <c r="E53" s="1648"/>
      <c r="F53" s="1648"/>
      <c r="G53" s="1648"/>
      <c r="H53" s="1648"/>
      <c r="I53" s="1648"/>
      <c r="J53" s="1648"/>
    </row>
    <row r="54" spans="1:12" s="2054" customFormat="1" ht="15" customHeight="1" x14ac:dyDescent="0.25">
      <c r="A54" s="2468"/>
      <c r="B54" s="2468"/>
      <c r="C54" s="2468"/>
      <c r="D54" s="2052"/>
      <c r="E54" s="2052"/>
      <c r="F54" s="2052"/>
      <c r="G54" s="2052"/>
      <c r="H54" s="2052"/>
      <c r="I54" s="2052"/>
      <c r="J54" s="2052"/>
    </row>
    <row r="56" spans="1:12" ht="15" customHeight="1" x14ac:dyDescent="0.25">
      <c r="A56" s="281" t="s">
        <v>805</v>
      </c>
      <c r="K56" s="34" t="str">
        <f>K57</f>
        <v>x</v>
      </c>
      <c r="L56" s="34">
        <f>IF(K56="",3,2)</f>
        <v>2</v>
      </c>
    </row>
    <row r="57" spans="1:12" ht="15" customHeight="1" x14ac:dyDescent="0.25">
      <c r="A57" s="2118" t="s">
        <v>2344</v>
      </c>
      <c r="B57" s="3112" t="s">
        <v>2686</v>
      </c>
      <c r="C57" s="3112"/>
      <c r="D57" s="3112"/>
      <c r="E57" s="3112"/>
      <c r="F57" s="3112"/>
      <c r="G57" s="3112"/>
      <c r="H57" s="3112"/>
      <c r="I57" s="3112"/>
      <c r="J57" s="3112"/>
      <c r="K57" s="34" t="str">
        <f>K61</f>
        <v>x</v>
      </c>
    </row>
    <row r="58" spans="1:12" s="2118" customFormat="1" ht="15" customHeight="1" x14ac:dyDescent="0.25">
      <c r="B58" s="3112"/>
      <c r="C58" s="3112"/>
      <c r="D58" s="3112"/>
      <c r="E58" s="3112"/>
      <c r="F58" s="3112"/>
      <c r="G58" s="3112"/>
      <c r="H58" s="3112"/>
      <c r="I58" s="3112"/>
      <c r="J58" s="3112"/>
      <c r="K58" s="2118" t="str">
        <f>K62</f>
        <v>x</v>
      </c>
    </row>
    <row r="59" spans="1:12" s="2118" customFormat="1" ht="15" customHeight="1" x14ac:dyDescent="0.25">
      <c r="A59" s="2118" t="s">
        <v>2684</v>
      </c>
      <c r="K59" s="2118" t="str">
        <f t="shared" ref="K59:K60" si="0">K62</f>
        <v>x</v>
      </c>
    </row>
    <row r="60" spans="1:12" s="2118" customFormat="1" ht="15" customHeight="1" x14ac:dyDescent="0.25">
      <c r="A60" s="2118" t="s">
        <v>2685</v>
      </c>
      <c r="K60" s="2118" t="str">
        <f t="shared" si="0"/>
        <v>x</v>
      </c>
    </row>
    <row r="61" spans="1:12" ht="15" customHeight="1" x14ac:dyDescent="0.25">
      <c r="A61" s="3101" t="s">
        <v>776</v>
      </c>
      <c r="B61" s="3101"/>
      <c r="C61" s="3101" t="s">
        <v>336</v>
      </c>
      <c r="D61" s="3101"/>
      <c r="E61" s="3101" t="s">
        <v>365</v>
      </c>
      <c r="F61" s="3101"/>
      <c r="G61" s="3101" t="s">
        <v>777</v>
      </c>
      <c r="H61" s="3101"/>
      <c r="I61" s="3101" t="s">
        <v>328</v>
      </c>
      <c r="J61" s="3101"/>
      <c r="K61" s="34" t="str">
        <f>IF(COUNTIF(K62:K151,"")=0,"x","")</f>
        <v>x</v>
      </c>
    </row>
    <row r="62" spans="1:12" ht="15" customHeight="1" x14ac:dyDescent="0.25">
      <c r="A62" s="2881" t="str">
        <f>Acessórios!A129</f>
        <v>13 x 18</v>
      </c>
      <c r="B62" s="2881"/>
      <c r="C62" s="2881">
        <v>1</v>
      </c>
      <c r="D62" s="2881"/>
      <c r="E62" s="3102" t="s">
        <v>240</v>
      </c>
      <c r="F62" s="3102"/>
      <c r="G62" s="3102" t="str">
        <f>IF(VLOOKUP(A62,Acessórios!$A$129:$K$136,C62+1,FALSE)="Ruim","Não uniforme",IF(OR(VLOOKUP(A62,Acessórios!$A$129:$K$136,C62+1,FALSE)="CR",VLOOKUP(A62,Acessórios!$A$129:$K$136,C62+1,FALSE)="DR"),CONCATENATE("NA (",VLOOKUP(A62,Acessórios!$A$129:$K$136,C62+1,FALSE),")"),IF(VLOOKUP(A62,Acessórios!$A$129:$K$136,C62+1,FALSE)=0,"Não avaliado","Uniforme")))</f>
        <v>Não avaliado</v>
      </c>
      <c r="H62" s="3102"/>
      <c r="I62" s="2881" t="str">
        <f>IF(VLOOKUP(A62,Acessórios!$A$118:$K$125,C62+1,FALSE)=0,"Não avaliado",VLOOKUP(A62,Acessórios!$A$118:$K$125,C62+1,FALSE))</f>
        <v>Não avaliado</v>
      </c>
      <c r="J62" s="2881"/>
      <c r="K62" s="34" t="str">
        <f>IF(I62&lt;&gt;"Não avaliado","","x")</f>
        <v>x</v>
      </c>
    </row>
    <row r="63" spans="1:12" ht="15" customHeight="1" x14ac:dyDescent="0.25">
      <c r="A63" s="2881" t="s">
        <v>767</v>
      </c>
      <c r="B63" s="2881"/>
      <c r="C63" s="2881">
        <v>2</v>
      </c>
      <c r="D63" s="2881"/>
      <c r="E63" s="3102" t="s">
        <v>240</v>
      </c>
      <c r="F63" s="3102"/>
      <c r="G63" s="3102" t="str">
        <f>IF(VLOOKUP(A63,Acessórios!$A$129:$K$136,C63+1,FALSE)="Ruim","Não uniforme",IF(OR(VLOOKUP(A63,Acessórios!$A$129:$K$136,C63+1,FALSE)="CR",VLOOKUP(A63,Acessórios!$A$129:$K$136,C63+1,FALSE)="DR"),CONCATENATE("NA (",VLOOKUP(A63,Acessórios!$A$129:$K$136,C63+1,FALSE),")"),IF(VLOOKUP(A63,Acessórios!$A$129:$K$136,C63+1,FALSE)=0,"Não avaliado","Uniforme")))</f>
        <v>Não avaliado</v>
      </c>
      <c r="H63" s="3102"/>
      <c r="I63" s="2881" t="str">
        <f>IF(VLOOKUP(A63,Acessórios!$A$118:$K$125,C63+1,FALSE)=0,"Não avaliado",VLOOKUP(A63,Acessórios!$A$118:$K$125,C63+1,FALSE))</f>
        <v>Não avaliado</v>
      </c>
      <c r="J63" s="2881"/>
      <c r="K63" s="34" t="str">
        <f t="shared" ref="K63:K126" si="1">IF(I63&lt;&gt;"Não avaliado","","x")</f>
        <v>x</v>
      </c>
    </row>
    <row r="64" spans="1:12" ht="15" customHeight="1" x14ac:dyDescent="0.25">
      <c r="A64" s="2881" t="s">
        <v>767</v>
      </c>
      <c r="B64" s="2881"/>
      <c r="C64" s="2881">
        <v>3</v>
      </c>
      <c r="D64" s="2881"/>
      <c r="E64" s="3102" t="s">
        <v>240</v>
      </c>
      <c r="F64" s="3102"/>
      <c r="G64" s="3102" t="str">
        <f>IF(VLOOKUP(A64,Acessórios!$A$129:$K$136,C64+1,FALSE)="Ruim","Não uniforme",IF(OR(VLOOKUP(A64,Acessórios!$A$129:$K$136,C64+1,FALSE)="CR",VLOOKUP(A64,Acessórios!$A$129:$K$136,C64+1,FALSE)="DR"),CONCATENATE("NA (",VLOOKUP(A64,Acessórios!$A$129:$K$136,C64+1,FALSE),")"),IF(VLOOKUP(A64,Acessórios!$A$129:$K$136,C64+1,FALSE)=0,"Não avaliado","Uniforme")))</f>
        <v>Não avaliado</v>
      </c>
      <c r="H64" s="3102"/>
      <c r="I64" s="2881" t="str">
        <f>IF(VLOOKUP(A64,Acessórios!$A$118:$K$125,C64+1,FALSE)=0,"Não avaliado",VLOOKUP(A64,Acessórios!$A$118:$K$125,C64+1,FALSE))</f>
        <v>Não avaliado</v>
      </c>
      <c r="J64" s="2881"/>
      <c r="K64" s="34" t="str">
        <f t="shared" si="1"/>
        <v>x</v>
      </c>
    </row>
    <row r="65" spans="1:11" ht="15" customHeight="1" x14ac:dyDescent="0.25">
      <c r="A65" s="2881" t="s">
        <v>767</v>
      </c>
      <c r="B65" s="2881"/>
      <c r="C65" s="2881">
        <v>4</v>
      </c>
      <c r="D65" s="2881"/>
      <c r="E65" s="3102" t="s">
        <v>240</v>
      </c>
      <c r="F65" s="3102"/>
      <c r="G65" s="3102" t="str">
        <f>IF(VLOOKUP(A65,Acessórios!$A$129:$K$136,C65+1,FALSE)="Ruim","Não uniforme",IF(OR(VLOOKUP(A65,Acessórios!$A$129:$K$136,C65+1,FALSE)="CR",VLOOKUP(A65,Acessórios!$A$129:$K$136,C65+1,FALSE)="DR"),CONCATENATE("NA (",VLOOKUP(A65,Acessórios!$A$129:$K$136,C65+1,FALSE),")"),IF(VLOOKUP(A65,Acessórios!$A$129:$K$136,C65+1,FALSE)=0,"Não avaliado","Uniforme")))</f>
        <v>Não avaliado</v>
      </c>
      <c r="H65" s="3102"/>
      <c r="I65" s="2881" t="str">
        <f>IF(VLOOKUP(A65,Acessórios!$A$118:$K$125,C65+1,FALSE)=0,"Não avaliado",VLOOKUP(A65,Acessórios!$A$118:$K$125,C65+1,FALSE))</f>
        <v>Não avaliado</v>
      </c>
      <c r="J65" s="2881"/>
      <c r="K65" s="34" t="str">
        <f t="shared" si="1"/>
        <v>x</v>
      </c>
    </row>
    <row r="66" spans="1:11" ht="15" customHeight="1" x14ac:dyDescent="0.25">
      <c r="A66" s="2881" t="s">
        <v>767</v>
      </c>
      <c r="B66" s="2881"/>
      <c r="C66" s="2881">
        <v>5</v>
      </c>
      <c r="D66" s="2881"/>
      <c r="E66" s="3102" t="s">
        <v>240</v>
      </c>
      <c r="F66" s="3102"/>
      <c r="G66" s="3102" t="str">
        <f>IF(VLOOKUP(A66,Acessórios!$A$129:$K$136,C66+1,FALSE)="Ruim","Não uniforme",IF(OR(VLOOKUP(A66,Acessórios!$A$129:$K$136,C66+1,FALSE)="CR",VLOOKUP(A66,Acessórios!$A$129:$K$136,C66+1,FALSE)="DR"),CONCATENATE("NA (",VLOOKUP(A66,Acessórios!$A$129:$K$136,C66+1,FALSE),")"),IF(VLOOKUP(A66,Acessórios!$A$129:$K$136,C66+1,FALSE)=0,"Não avaliado","Uniforme")))</f>
        <v>Não avaliado</v>
      </c>
      <c r="H66" s="3102"/>
      <c r="I66" s="2881" t="str">
        <f>IF(VLOOKUP(A66,Acessórios!$A$118:$K$125,C66+1,FALSE)=0,"Não avaliado",VLOOKUP(A66,Acessórios!$A$118:$K$125,C66+1,FALSE))</f>
        <v>Não avaliado</v>
      </c>
      <c r="J66" s="2881"/>
      <c r="K66" s="34" t="str">
        <f t="shared" si="1"/>
        <v>x</v>
      </c>
    </row>
    <row r="67" spans="1:11" ht="15" customHeight="1" x14ac:dyDescent="0.25">
      <c r="A67" s="2881" t="s">
        <v>767</v>
      </c>
      <c r="B67" s="2881"/>
      <c r="C67" s="2881">
        <v>6</v>
      </c>
      <c r="D67" s="2881"/>
      <c r="E67" s="3102" t="s">
        <v>240</v>
      </c>
      <c r="F67" s="3102"/>
      <c r="G67" s="3102" t="str">
        <f>IF(VLOOKUP(A67,Acessórios!$A$129:$K$136,C67+1,FALSE)="Ruim","Não uniforme",IF(OR(VLOOKUP(A67,Acessórios!$A$129:$K$136,C67+1,FALSE)="CR",VLOOKUP(A67,Acessórios!$A$129:$K$136,C67+1,FALSE)="DR"),CONCATENATE("NA (",VLOOKUP(A67,Acessórios!$A$129:$K$136,C67+1,FALSE),")"),IF(VLOOKUP(A67,Acessórios!$A$129:$K$136,C67+1,FALSE)=0,"Não avaliado","Uniforme")))</f>
        <v>Não avaliado</v>
      </c>
      <c r="H67" s="3102"/>
      <c r="I67" s="2881" t="str">
        <f>IF(VLOOKUP(A67,Acessórios!$A$118:$K$125,C67+1,FALSE)=0,"Não avaliado",VLOOKUP(A67,Acessórios!$A$118:$K$125,C67+1,FALSE))</f>
        <v>Não avaliado</v>
      </c>
      <c r="J67" s="2881"/>
      <c r="K67" s="34" t="str">
        <f t="shared" si="1"/>
        <v>x</v>
      </c>
    </row>
    <row r="68" spans="1:11" ht="15" customHeight="1" x14ac:dyDescent="0.25">
      <c r="A68" s="2881" t="s">
        <v>767</v>
      </c>
      <c r="B68" s="2881"/>
      <c r="C68" s="2881">
        <v>7</v>
      </c>
      <c r="D68" s="2881"/>
      <c r="E68" s="3102" t="s">
        <v>240</v>
      </c>
      <c r="F68" s="3102"/>
      <c r="G68" s="3102" t="str">
        <f>IF(VLOOKUP(A68,Acessórios!$A$129:$K$136,C68+1,FALSE)="Ruim","Não uniforme",IF(OR(VLOOKUP(A68,Acessórios!$A$129:$K$136,C68+1,FALSE)="CR",VLOOKUP(A68,Acessórios!$A$129:$K$136,C68+1,FALSE)="DR"),CONCATENATE("NA (",VLOOKUP(A68,Acessórios!$A$129:$K$136,C68+1,FALSE),")"),IF(VLOOKUP(A68,Acessórios!$A$129:$K$136,C68+1,FALSE)=0,"Não avaliado","Uniforme")))</f>
        <v>Não avaliado</v>
      </c>
      <c r="H68" s="3102"/>
      <c r="I68" s="2881" t="str">
        <f>IF(VLOOKUP(A68,Acessórios!$A$118:$K$125,C68+1,FALSE)=0,"Não avaliado",VLOOKUP(A68,Acessórios!$A$118:$K$125,C68+1,FALSE))</f>
        <v>Não avaliado</v>
      </c>
      <c r="J68" s="2881"/>
      <c r="K68" s="34" t="str">
        <f t="shared" si="1"/>
        <v>x</v>
      </c>
    </row>
    <row r="69" spans="1:11" ht="15" customHeight="1" x14ac:dyDescent="0.25">
      <c r="A69" s="2881" t="s">
        <v>767</v>
      </c>
      <c r="B69" s="2881"/>
      <c r="C69" s="2881">
        <v>8</v>
      </c>
      <c r="D69" s="2881"/>
      <c r="E69" s="3102" t="s">
        <v>240</v>
      </c>
      <c r="F69" s="3102"/>
      <c r="G69" s="3102" t="str">
        <f>IF(VLOOKUP(A69,Acessórios!$A$129:$K$136,C69+1,FALSE)="Ruim","Não uniforme",IF(OR(VLOOKUP(A69,Acessórios!$A$129:$K$136,C69+1,FALSE)="CR",VLOOKUP(A69,Acessórios!$A$129:$K$136,C69+1,FALSE)="DR"),CONCATENATE("NA (",VLOOKUP(A69,Acessórios!$A$129:$K$136,C69+1,FALSE),")"),IF(VLOOKUP(A69,Acessórios!$A$129:$K$136,C69+1,FALSE)=0,"Não avaliado","Uniforme")))</f>
        <v>Não avaliado</v>
      </c>
      <c r="H69" s="3102"/>
      <c r="I69" s="2881" t="str">
        <f>IF(VLOOKUP(A69,Acessórios!$A$118:$K$125,C69+1,FALSE)=0,"Não avaliado",VLOOKUP(A69,Acessórios!$A$118:$K$125,C69+1,FALSE))</f>
        <v>Não avaliado</v>
      </c>
      <c r="J69" s="2881"/>
      <c r="K69" s="34" t="str">
        <f t="shared" si="1"/>
        <v>x</v>
      </c>
    </row>
    <row r="70" spans="1:11" ht="15" customHeight="1" x14ac:dyDescent="0.25">
      <c r="A70" s="2881" t="s">
        <v>767</v>
      </c>
      <c r="B70" s="2881"/>
      <c r="C70" s="2881">
        <v>9</v>
      </c>
      <c r="D70" s="2881"/>
      <c r="E70" s="3102" t="s">
        <v>240</v>
      </c>
      <c r="F70" s="3102"/>
      <c r="G70" s="3102" t="str">
        <f>IF(VLOOKUP(A70,Acessórios!$A$129:$K$136,C70+1,FALSE)="Ruim","Não uniforme",IF(OR(VLOOKUP(A70,Acessórios!$A$129:$K$136,C70+1,FALSE)="CR",VLOOKUP(A70,Acessórios!$A$129:$K$136,C70+1,FALSE)="DR"),CONCATENATE("NA (",VLOOKUP(A70,Acessórios!$A$129:$K$136,C70+1,FALSE),")"),IF(VLOOKUP(A70,Acessórios!$A$129:$K$136,C70+1,FALSE)=0,"Não avaliado","Uniforme")))</f>
        <v>Não avaliado</v>
      </c>
      <c r="H70" s="3102"/>
      <c r="I70" s="2881" t="str">
        <f>IF(VLOOKUP(A70,Acessórios!$A$118:$K$125,C70+1,FALSE)=0,"Não avaliado",VLOOKUP(A70,Acessórios!$A$118:$K$125,C70+1,FALSE))</f>
        <v>Não avaliado</v>
      </c>
      <c r="J70" s="2881"/>
      <c r="K70" s="34" t="str">
        <f t="shared" si="1"/>
        <v>x</v>
      </c>
    </row>
    <row r="71" spans="1:11" ht="15" customHeight="1" x14ac:dyDescent="0.25">
      <c r="A71" s="2881" t="s">
        <v>767</v>
      </c>
      <c r="B71" s="2881"/>
      <c r="C71" s="2881">
        <v>10</v>
      </c>
      <c r="D71" s="2881"/>
      <c r="E71" s="3102" t="s">
        <v>240</v>
      </c>
      <c r="F71" s="3102"/>
      <c r="G71" s="3102" t="str">
        <f>IF(VLOOKUP(A71,Acessórios!$A$129:$K$136,C71+1,FALSE)="Ruim","Não uniforme",IF(OR(VLOOKUP(A71,Acessórios!$A$129:$K$136,C71+1,FALSE)="CR",VLOOKUP(A71,Acessórios!$A$129:$K$136,C71+1,FALSE)="DR"),CONCATENATE("NA (",VLOOKUP(A71,Acessórios!$A$129:$K$136,C71+1,FALSE),")"),IF(VLOOKUP(A71,Acessórios!$A$129:$K$136,C71+1,FALSE)=0,"Não avaliado","Uniforme")))</f>
        <v>Não avaliado</v>
      </c>
      <c r="H71" s="3102"/>
      <c r="I71" s="2881" t="str">
        <f>IF(VLOOKUP(A71,Acessórios!$A$118:$K$125,C71+1,FALSE)=0,"Não avaliado",VLOOKUP(A71,Acessórios!$A$118:$K$125,C71+1,FALSE))</f>
        <v>Não avaliado</v>
      </c>
      <c r="J71" s="2881"/>
      <c r="K71" s="34" t="str">
        <f t="shared" si="1"/>
        <v>x</v>
      </c>
    </row>
    <row r="72" spans="1:11" ht="15" customHeight="1" x14ac:dyDescent="0.25">
      <c r="A72" s="2881" t="s">
        <v>768</v>
      </c>
      <c r="B72" s="2881"/>
      <c r="C72" s="2881">
        <v>1</v>
      </c>
      <c r="D72" s="2881"/>
      <c r="E72" s="3102" t="s">
        <v>240</v>
      </c>
      <c r="F72" s="3102"/>
      <c r="G72" s="3102" t="str">
        <f>IF(VLOOKUP(A72,Acessórios!$A$129:$K$136,C72+1,FALSE)="Ruim","Não uniforme",IF(OR(VLOOKUP(A72,Acessórios!$A$129:$K$136,C72+1,FALSE)="CR",VLOOKUP(A72,Acessórios!$A$129:$K$136,C72+1,FALSE)="DR"),CONCATENATE("NA (",VLOOKUP(A72,Acessórios!$A$129:$K$136,C72+1,FALSE),")"),IF(VLOOKUP(A72,Acessórios!$A$129:$K$136,C72+1,FALSE)=0,"Não avaliado","Uniforme")))</f>
        <v>Não avaliado</v>
      </c>
      <c r="H72" s="3102"/>
      <c r="I72" s="2881" t="str">
        <f>IF(VLOOKUP(A72,Acessórios!$A$118:$K$125,C72+1,FALSE)=0,"Não avaliado",VLOOKUP(A72,Acessórios!$A$118:$K$125,C72+1,FALSE))</f>
        <v>Não avaliado</v>
      </c>
      <c r="J72" s="2881"/>
      <c r="K72" s="34" t="str">
        <f t="shared" si="1"/>
        <v>x</v>
      </c>
    </row>
    <row r="73" spans="1:11" ht="15" customHeight="1" x14ac:dyDescent="0.25">
      <c r="A73" s="2881" t="s">
        <v>768</v>
      </c>
      <c r="B73" s="2881"/>
      <c r="C73" s="2881">
        <v>2</v>
      </c>
      <c r="D73" s="2881"/>
      <c r="E73" s="3102" t="s">
        <v>240</v>
      </c>
      <c r="F73" s="3102"/>
      <c r="G73" s="3102" t="str">
        <f>IF(VLOOKUP(A73,Acessórios!$A$129:$K$136,C73+1,FALSE)="Ruim","Não uniforme",IF(OR(VLOOKUP(A73,Acessórios!$A$129:$K$136,C73+1,FALSE)="CR",VLOOKUP(A73,Acessórios!$A$129:$K$136,C73+1,FALSE)="DR"),CONCATENATE("NA (",VLOOKUP(A73,Acessórios!$A$129:$K$136,C73+1,FALSE),")"),IF(VLOOKUP(A73,Acessórios!$A$129:$K$136,C73+1,FALSE)=0,"Não avaliado","Uniforme")))</f>
        <v>Não avaliado</v>
      </c>
      <c r="H73" s="3102"/>
      <c r="I73" s="2881" t="str">
        <f>IF(VLOOKUP(A73,Acessórios!$A$118:$K$125,C73+1,FALSE)=0,"Não avaliado",VLOOKUP(A73,Acessórios!$A$118:$K$125,C73+1,FALSE))</f>
        <v>Não avaliado</v>
      </c>
      <c r="J73" s="2881"/>
      <c r="K73" s="34" t="str">
        <f t="shared" si="1"/>
        <v>x</v>
      </c>
    </row>
    <row r="74" spans="1:11" ht="15" customHeight="1" x14ac:dyDescent="0.25">
      <c r="A74" s="2881" t="s">
        <v>768</v>
      </c>
      <c r="B74" s="2881"/>
      <c r="C74" s="2881">
        <v>3</v>
      </c>
      <c r="D74" s="2881"/>
      <c r="E74" s="3102" t="s">
        <v>240</v>
      </c>
      <c r="F74" s="3102"/>
      <c r="G74" s="3102" t="str">
        <f>IF(VLOOKUP(A74,Acessórios!$A$129:$K$136,C74+1,FALSE)="Ruim","Não uniforme",IF(OR(VLOOKUP(A74,Acessórios!$A$129:$K$136,C74+1,FALSE)="CR",VLOOKUP(A74,Acessórios!$A$129:$K$136,C74+1,FALSE)="DR"),CONCATENATE("NA (",VLOOKUP(A74,Acessórios!$A$129:$K$136,C74+1,FALSE),")"),IF(VLOOKUP(A74,Acessórios!$A$129:$K$136,C74+1,FALSE)=0,"Não avaliado","Uniforme")))</f>
        <v>Não avaliado</v>
      </c>
      <c r="H74" s="3102"/>
      <c r="I74" s="2881" t="str">
        <f>IF(VLOOKUP(A74,Acessórios!$A$118:$K$125,C74+1,FALSE)=0,"Não avaliado",VLOOKUP(A74,Acessórios!$A$118:$K$125,C74+1,FALSE))</f>
        <v>Não avaliado</v>
      </c>
      <c r="J74" s="2881"/>
      <c r="K74" s="34" t="str">
        <f t="shared" si="1"/>
        <v>x</v>
      </c>
    </row>
    <row r="75" spans="1:11" ht="15" customHeight="1" x14ac:dyDescent="0.25">
      <c r="A75" s="2881" t="s">
        <v>768</v>
      </c>
      <c r="B75" s="2881"/>
      <c r="C75" s="2881">
        <v>4</v>
      </c>
      <c r="D75" s="2881"/>
      <c r="E75" s="3102" t="s">
        <v>240</v>
      </c>
      <c r="F75" s="3102"/>
      <c r="G75" s="3102" t="str">
        <f>IF(VLOOKUP(A75,Acessórios!$A$129:$K$136,C75+1,FALSE)="Ruim","Não uniforme",IF(OR(VLOOKUP(A75,Acessórios!$A$129:$K$136,C75+1,FALSE)="CR",VLOOKUP(A75,Acessórios!$A$129:$K$136,C75+1,FALSE)="DR"),CONCATENATE("NA (",VLOOKUP(A75,Acessórios!$A$129:$K$136,C75+1,FALSE),")"),IF(VLOOKUP(A75,Acessórios!$A$129:$K$136,C75+1,FALSE)=0,"Não avaliado","Uniforme")))</f>
        <v>Não avaliado</v>
      </c>
      <c r="H75" s="3102"/>
      <c r="I75" s="2881" t="str">
        <f>IF(VLOOKUP(A75,Acessórios!$A$118:$K$125,C75+1,FALSE)=0,"Não avaliado",VLOOKUP(A75,Acessórios!$A$118:$K$125,C75+1,FALSE))</f>
        <v>Não avaliado</v>
      </c>
      <c r="J75" s="2881"/>
      <c r="K75" s="34" t="str">
        <f t="shared" si="1"/>
        <v>x</v>
      </c>
    </row>
    <row r="76" spans="1:11" ht="15" customHeight="1" x14ac:dyDescent="0.25">
      <c r="A76" s="2881" t="s">
        <v>768</v>
      </c>
      <c r="B76" s="2881"/>
      <c r="C76" s="2881">
        <v>5</v>
      </c>
      <c r="D76" s="2881"/>
      <c r="E76" s="3102" t="s">
        <v>240</v>
      </c>
      <c r="F76" s="3102"/>
      <c r="G76" s="3102" t="str">
        <f>IF(VLOOKUP(A76,Acessórios!$A$129:$K$136,C76+1,FALSE)="Ruim","Não uniforme",IF(OR(VLOOKUP(A76,Acessórios!$A$129:$K$136,C76+1,FALSE)="CR",VLOOKUP(A76,Acessórios!$A$129:$K$136,C76+1,FALSE)="DR"),CONCATENATE("NA (",VLOOKUP(A76,Acessórios!$A$129:$K$136,C76+1,FALSE),")"),IF(VLOOKUP(A76,Acessórios!$A$129:$K$136,C76+1,FALSE)=0,"Não avaliado","Uniforme")))</f>
        <v>Não avaliado</v>
      </c>
      <c r="H76" s="3102"/>
      <c r="I76" s="2881" t="str">
        <f>IF(VLOOKUP(A76,Acessórios!$A$118:$K$125,C76+1,FALSE)=0,"Não avaliado",VLOOKUP(A76,Acessórios!$A$118:$K$125,C76+1,FALSE))</f>
        <v>Não avaliado</v>
      </c>
      <c r="J76" s="2881"/>
      <c r="K76" s="34" t="str">
        <f t="shared" si="1"/>
        <v>x</v>
      </c>
    </row>
    <row r="77" spans="1:11" ht="15" customHeight="1" x14ac:dyDescent="0.25">
      <c r="A77" s="2881" t="s">
        <v>768</v>
      </c>
      <c r="B77" s="2881"/>
      <c r="C77" s="2881">
        <v>6</v>
      </c>
      <c r="D77" s="2881"/>
      <c r="E77" s="3102" t="s">
        <v>240</v>
      </c>
      <c r="F77" s="3102"/>
      <c r="G77" s="3102" t="str">
        <f>IF(VLOOKUP(A77,Acessórios!$A$129:$K$136,C77+1,FALSE)="Ruim","Não uniforme",IF(OR(VLOOKUP(A77,Acessórios!$A$129:$K$136,C77+1,FALSE)="CR",VLOOKUP(A77,Acessórios!$A$129:$K$136,C77+1,FALSE)="DR"),CONCATENATE("NA (",VLOOKUP(A77,Acessórios!$A$129:$K$136,C77+1,FALSE),")"),IF(VLOOKUP(A77,Acessórios!$A$129:$K$136,C77+1,FALSE)=0,"Não avaliado","Uniforme")))</f>
        <v>Não avaliado</v>
      </c>
      <c r="H77" s="3102"/>
      <c r="I77" s="2881" t="str">
        <f>IF(VLOOKUP(A77,Acessórios!$A$118:$K$125,C77+1,FALSE)=0,"Não avaliado",VLOOKUP(A77,Acessórios!$A$118:$K$125,C77+1,FALSE))</f>
        <v>Não avaliado</v>
      </c>
      <c r="J77" s="2881"/>
      <c r="K77" s="34" t="str">
        <f t="shared" si="1"/>
        <v>x</v>
      </c>
    </row>
    <row r="78" spans="1:11" ht="15" customHeight="1" x14ac:dyDescent="0.25">
      <c r="A78" s="2881" t="s">
        <v>768</v>
      </c>
      <c r="B78" s="2881"/>
      <c r="C78" s="2881">
        <v>7</v>
      </c>
      <c r="D78" s="2881"/>
      <c r="E78" s="3102" t="s">
        <v>240</v>
      </c>
      <c r="F78" s="3102"/>
      <c r="G78" s="3102" t="str">
        <f>IF(VLOOKUP(A78,Acessórios!$A$129:$K$136,C78+1,FALSE)="Ruim","Não uniforme",IF(OR(VLOOKUP(A78,Acessórios!$A$129:$K$136,C78+1,FALSE)="CR",VLOOKUP(A78,Acessórios!$A$129:$K$136,C78+1,FALSE)="DR"),CONCATENATE("NA (",VLOOKUP(A78,Acessórios!$A$129:$K$136,C78+1,FALSE),")"),IF(VLOOKUP(A78,Acessórios!$A$129:$K$136,C78+1,FALSE)=0,"Não avaliado","Uniforme")))</f>
        <v>Não avaliado</v>
      </c>
      <c r="H78" s="3102"/>
      <c r="I78" s="2881" t="str">
        <f>IF(VLOOKUP(A78,Acessórios!$A$118:$K$125,C78+1,FALSE)=0,"Não avaliado",VLOOKUP(A78,Acessórios!$A$118:$K$125,C78+1,FALSE))</f>
        <v>Não avaliado</v>
      </c>
      <c r="J78" s="2881"/>
      <c r="K78" s="34" t="str">
        <f t="shared" si="1"/>
        <v>x</v>
      </c>
    </row>
    <row r="79" spans="1:11" ht="15" customHeight="1" x14ac:dyDescent="0.25">
      <c r="A79" s="2881" t="s">
        <v>768</v>
      </c>
      <c r="B79" s="2881"/>
      <c r="C79" s="2881">
        <v>8</v>
      </c>
      <c r="D79" s="2881"/>
      <c r="E79" s="3102" t="s">
        <v>240</v>
      </c>
      <c r="F79" s="3102"/>
      <c r="G79" s="3102" t="str">
        <f>IF(VLOOKUP(A79,Acessórios!$A$129:$K$136,C79+1,FALSE)="Ruim","Não uniforme",IF(OR(VLOOKUP(A79,Acessórios!$A$129:$K$136,C79+1,FALSE)="CR",VLOOKUP(A79,Acessórios!$A$129:$K$136,C79+1,FALSE)="DR"),CONCATENATE("NA (",VLOOKUP(A79,Acessórios!$A$129:$K$136,C79+1,FALSE),")"),IF(VLOOKUP(A79,Acessórios!$A$129:$K$136,C79+1,FALSE)=0,"Não avaliado","Uniforme")))</f>
        <v>Não avaliado</v>
      </c>
      <c r="H79" s="3102"/>
      <c r="I79" s="2881" t="str">
        <f>IF(VLOOKUP(A79,Acessórios!$A$118:$K$125,C79+1,FALSE)=0,"Não avaliado",VLOOKUP(A79,Acessórios!$A$118:$K$125,C79+1,FALSE))</f>
        <v>Não avaliado</v>
      </c>
      <c r="J79" s="2881"/>
      <c r="K79" s="34" t="str">
        <f t="shared" si="1"/>
        <v>x</v>
      </c>
    </row>
    <row r="80" spans="1:11" ht="15" customHeight="1" x14ac:dyDescent="0.25">
      <c r="A80" s="2881" t="s">
        <v>768</v>
      </c>
      <c r="B80" s="2881"/>
      <c r="C80" s="2881">
        <v>9</v>
      </c>
      <c r="D80" s="2881"/>
      <c r="E80" s="3102" t="s">
        <v>240</v>
      </c>
      <c r="F80" s="3102"/>
      <c r="G80" s="3102" t="str">
        <f>IF(VLOOKUP(A80,Acessórios!$A$129:$K$136,C80+1,FALSE)="Ruim","Não uniforme",IF(OR(VLOOKUP(A80,Acessórios!$A$129:$K$136,C80+1,FALSE)="CR",VLOOKUP(A80,Acessórios!$A$129:$K$136,C80+1,FALSE)="DR"),CONCATENATE("NA (",VLOOKUP(A80,Acessórios!$A$129:$K$136,C80+1,FALSE),")"),IF(VLOOKUP(A80,Acessórios!$A$129:$K$136,C80+1,FALSE)=0,"Não avaliado","Uniforme")))</f>
        <v>Não avaliado</v>
      </c>
      <c r="H80" s="3102"/>
      <c r="I80" s="2881" t="str">
        <f>IF(VLOOKUP(A80,Acessórios!$A$118:$K$125,C80+1,FALSE)=0,"Não avaliado",VLOOKUP(A80,Acessórios!$A$118:$K$125,C80+1,FALSE))</f>
        <v>Não avaliado</v>
      </c>
      <c r="J80" s="2881"/>
      <c r="K80" s="34" t="str">
        <f t="shared" si="1"/>
        <v>x</v>
      </c>
    </row>
    <row r="81" spans="1:11" ht="15" customHeight="1" x14ac:dyDescent="0.25">
      <c r="A81" s="2881" t="s">
        <v>768</v>
      </c>
      <c r="B81" s="2881"/>
      <c r="C81" s="2881">
        <v>10</v>
      </c>
      <c r="D81" s="2881"/>
      <c r="E81" s="3102" t="s">
        <v>240</v>
      </c>
      <c r="F81" s="3102"/>
      <c r="G81" s="3102" t="str">
        <f>IF(VLOOKUP(A81,Acessórios!$A$129:$K$136,C81+1,FALSE)="Ruim","Não uniforme",IF(OR(VLOOKUP(A81,Acessórios!$A$129:$K$136,C81+1,FALSE)="CR",VLOOKUP(A81,Acessórios!$A$129:$K$136,C81+1,FALSE)="DR"),CONCATENATE("NA (",VLOOKUP(A81,Acessórios!$A$129:$K$136,C81+1,FALSE),")"),IF(VLOOKUP(A81,Acessórios!$A$129:$K$136,C81+1,FALSE)=0,"Não avaliado","Uniforme")))</f>
        <v>Não avaliado</v>
      </c>
      <c r="H81" s="3102"/>
      <c r="I81" s="2881" t="str">
        <f>IF(VLOOKUP(A81,Acessórios!$A$118:$K$125,C81+1,FALSE)=0,"Não avaliado",VLOOKUP(A81,Acessórios!$A$118:$K$125,C81+1,FALSE))</f>
        <v>Não avaliado</v>
      </c>
      <c r="J81" s="2881"/>
      <c r="K81" s="34" t="str">
        <f t="shared" si="1"/>
        <v>x</v>
      </c>
    </row>
    <row r="82" spans="1:11" ht="15" customHeight="1" x14ac:dyDescent="0.25">
      <c r="A82" s="2881" t="s">
        <v>769</v>
      </c>
      <c r="B82" s="2881"/>
      <c r="C82" s="2881">
        <v>1</v>
      </c>
      <c r="D82" s="2881"/>
      <c r="E82" s="3102" t="s">
        <v>240</v>
      </c>
      <c r="F82" s="3102"/>
      <c r="G82" s="3102" t="str">
        <f>IF(VLOOKUP(A82,Acessórios!$A$129:$K$136,C82+1,FALSE)="Ruim","Não uniforme",IF(OR(VLOOKUP(A82,Acessórios!$A$129:$K$136,C82+1,FALSE)="CR",VLOOKUP(A82,Acessórios!$A$129:$K$136,C82+1,FALSE)="DR"),CONCATENATE("NA (",VLOOKUP(A82,Acessórios!$A$129:$K$136,C82+1,FALSE),")"),IF(VLOOKUP(A82,Acessórios!$A$129:$K$136,C82+1,FALSE)=0,"Não avaliado","Uniforme")))</f>
        <v>Não avaliado</v>
      </c>
      <c r="H82" s="3102"/>
      <c r="I82" s="2881" t="str">
        <f>IF(VLOOKUP(A82,Acessórios!$A$118:$K$125,C82+1,FALSE)=0,"Não avaliado",VLOOKUP(A82,Acessórios!$A$118:$K$125,C82+1,FALSE))</f>
        <v>Não avaliado</v>
      </c>
      <c r="J82" s="2881"/>
      <c r="K82" s="34" t="str">
        <f t="shared" si="1"/>
        <v>x</v>
      </c>
    </row>
    <row r="83" spans="1:11" ht="15" customHeight="1" x14ac:dyDescent="0.25">
      <c r="A83" s="2881" t="s">
        <v>769</v>
      </c>
      <c r="B83" s="2881"/>
      <c r="C83" s="2881">
        <v>2</v>
      </c>
      <c r="D83" s="2881"/>
      <c r="E83" s="3102" t="s">
        <v>240</v>
      </c>
      <c r="F83" s="3102"/>
      <c r="G83" s="3102" t="str">
        <f>IF(VLOOKUP(A83,Acessórios!$A$129:$K$136,C83+1,FALSE)="Ruim","Não uniforme",IF(OR(VLOOKUP(A83,Acessórios!$A$129:$K$136,C83+1,FALSE)="CR",VLOOKUP(A83,Acessórios!$A$129:$K$136,C83+1,FALSE)="DR"),CONCATENATE("NA (",VLOOKUP(A83,Acessórios!$A$129:$K$136,C83+1,FALSE),")"),IF(VLOOKUP(A83,Acessórios!$A$129:$K$136,C83+1,FALSE)=0,"Não avaliado","Uniforme")))</f>
        <v>Não avaliado</v>
      </c>
      <c r="H83" s="3102"/>
      <c r="I83" s="2881" t="str">
        <f>IF(VLOOKUP(A83,Acessórios!$A$118:$K$125,C83+1,FALSE)=0,"Não avaliado",VLOOKUP(A83,Acessórios!$A$118:$K$125,C83+1,FALSE))</f>
        <v>Não avaliado</v>
      </c>
      <c r="J83" s="2881"/>
      <c r="K83" s="34" t="str">
        <f t="shared" si="1"/>
        <v>x</v>
      </c>
    </row>
    <row r="84" spans="1:11" ht="15" customHeight="1" x14ac:dyDescent="0.25">
      <c r="A84" s="2881" t="s">
        <v>769</v>
      </c>
      <c r="B84" s="2881"/>
      <c r="C84" s="2881">
        <v>3</v>
      </c>
      <c r="D84" s="2881"/>
      <c r="E84" s="3102" t="s">
        <v>240</v>
      </c>
      <c r="F84" s="3102"/>
      <c r="G84" s="3102" t="str">
        <f>IF(VLOOKUP(A84,Acessórios!$A$129:$K$136,C84+1,FALSE)="Ruim","Não uniforme",IF(OR(VLOOKUP(A84,Acessórios!$A$129:$K$136,C84+1,FALSE)="CR",VLOOKUP(A84,Acessórios!$A$129:$K$136,C84+1,FALSE)="DR"),CONCATENATE("NA (",VLOOKUP(A84,Acessórios!$A$129:$K$136,C84+1,FALSE),")"),IF(VLOOKUP(A84,Acessórios!$A$129:$K$136,C84+1,FALSE)=0,"Não avaliado","Uniforme")))</f>
        <v>Não avaliado</v>
      </c>
      <c r="H84" s="3102"/>
      <c r="I84" s="2881" t="str">
        <f>IF(VLOOKUP(A84,Acessórios!$A$118:$K$125,C84+1,FALSE)=0,"Não avaliado",VLOOKUP(A84,Acessórios!$A$118:$K$125,C84+1,FALSE))</f>
        <v>Não avaliado</v>
      </c>
      <c r="J84" s="2881"/>
      <c r="K84" s="34" t="str">
        <f t="shared" si="1"/>
        <v>x</v>
      </c>
    </row>
    <row r="85" spans="1:11" ht="15" customHeight="1" x14ac:dyDescent="0.25">
      <c r="A85" s="2881" t="s">
        <v>769</v>
      </c>
      <c r="B85" s="2881"/>
      <c r="C85" s="2881">
        <v>4</v>
      </c>
      <c r="D85" s="2881"/>
      <c r="E85" s="3102" t="s">
        <v>240</v>
      </c>
      <c r="F85" s="3102"/>
      <c r="G85" s="3102" t="str">
        <f>IF(VLOOKUP(A85,Acessórios!$A$129:$K$136,C85+1,FALSE)="Ruim","Não uniforme",IF(OR(VLOOKUP(A85,Acessórios!$A$129:$K$136,C85+1,FALSE)="CR",VLOOKUP(A85,Acessórios!$A$129:$K$136,C85+1,FALSE)="DR"),CONCATENATE("NA (",VLOOKUP(A85,Acessórios!$A$129:$K$136,C85+1,FALSE),")"),IF(VLOOKUP(A85,Acessórios!$A$129:$K$136,C85+1,FALSE)=0,"Não avaliado","Uniforme")))</f>
        <v>Não avaliado</v>
      </c>
      <c r="H85" s="3102"/>
      <c r="I85" s="2881" t="str">
        <f>IF(VLOOKUP(A85,Acessórios!$A$118:$K$125,C85+1,FALSE)=0,"Não avaliado",VLOOKUP(A85,Acessórios!$A$118:$K$125,C85+1,FALSE))</f>
        <v>Não avaliado</v>
      </c>
      <c r="J85" s="2881"/>
      <c r="K85" s="34" t="str">
        <f t="shared" si="1"/>
        <v>x</v>
      </c>
    </row>
    <row r="86" spans="1:11" ht="15" customHeight="1" x14ac:dyDescent="0.25">
      <c r="A86" s="2881" t="s">
        <v>769</v>
      </c>
      <c r="B86" s="2881"/>
      <c r="C86" s="2881">
        <v>5</v>
      </c>
      <c r="D86" s="2881"/>
      <c r="E86" s="3102" t="s">
        <v>240</v>
      </c>
      <c r="F86" s="3102"/>
      <c r="G86" s="3102" t="str">
        <f>IF(VLOOKUP(A86,Acessórios!$A$129:$K$136,C86+1,FALSE)="Ruim","Não uniforme",IF(OR(VLOOKUP(A86,Acessórios!$A$129:$K$136,C86+1,FALSE)="CR",VLOOKUP(A86,Acessórios!$A$129:$K$136,C86+1,FALSE)="DR"),CONCATENATE("NA (",VLOOKUP(A86,Acessórios!$A$129:$K$136,C86+1,FALSE),")"),IF(VLOOKUP(A86,Acessórios!$A$129:$K$136,C86+1,FALSE)=0,"Não avaliado","Uniforme")))</f>
        <v>Não avaliado</v>
      </c>
      <c r="H86" s="3102"/>
      <c r="I86" s="2881" t="str">
        <f>IF(VLOOKUP(A86,Acessórios!$A$118:$K$125,C86+1,FALSE)=0,"Não avaliado",VLOOKUP(A86,Acessórios!$A$118:$K$125,C86+1,FALSE))</f>
        <v>Não avaliado</v>
      </c>
      <c r="J86" s="2881"/>
      <c r="K86" s="34" t="str">
        <f t="shared" si="1"/>
        <v>x</v>
      </c>
    </row>
    <row r="87" spans="1:11" ht="15" customHeight="1" x14ac:dyDescent="0.25">
      <c r="A87" s="2881" t="s">
        <v>769</v>
      </c>
      <c r="B87" s="2881"/>
      <c r="C87" s="2881">
        <v>6</v>
      </c>
      <c r="D87" s="2881"/>
      <c r="E87" s="3102" t="s">
        <v>240</v>
      </c>
      <c r="F87" s="3102"/>
      <c r="G87" s="3102" t="str">
        <f>IF(VLOOKUP(A87,Acessórios!$A$129:$K$136,C87+1,FALSE)="Ruim","Não uniforme",IF(OR(VLOOKUP(A87,Acessórios!$A$129:$K$136,C87+1,FALSE)="CR",VLOOKUP(A87,Acessórios!$A$129:$K$136,C87+1,FALSE)="DR"),CONCATENATE("NA (",VLOOKUP(A87,Acessórios!$A$129:$K$136,C87+1,FALSE),")"),IF(VLOOKUP(A87,Acessórios!$A$129:$K$136,C87+1,FALSE)=0,"Não avaliado","Uniforme")))</f>
        <v>Não avaliado</v>
      </c>
      <c r="H87" s="3102"/>
      <c r="I87" s="2881" t="str">
        <f>IF(VLOOKUP(A87,Acessórios!$A$118:$K$125,C87+1,FALSE)=0,"Não avaliado",VLOOKUP(A87,Acessórios!$A$118:$K$125,C87+1,FALSE))</f>
        <v>Não avaliado</v>
      </c>
      <c r="J87" s="2881"/>
      <c r="K87" s="34" t="str">
        <f t="shared" si="1"/>
        <v>x</v>
      </c>
    </row>
    <row r="88" spans="1:11" ht="15" customHeight="1" x14ac:dyDescent="0.25">
      <c r="A88" s="2881" t="s">
        <v>769</v>
      </c>
      <c r="B88" s="2881"/>
      <c r="C88" s="2881">
        <v>7</v>
      </c>
      <c r="D88" s="2881"/>
      <c r="E88" s="3102" t="s">
        <v>240</v>
      </c>
      <c r="F88" s="3102"/>
      <c r="G88" s="3102" t="str">
        <f>IF(VLOOKUP(A88,Acessórios!$A$129:$K$136,C88+1,FALSE)="Ruim","Não uniforme",IF(OR(VLOOKUP(A88,Acessórios!$A$129:$K$136,C88+1,FALSE)="CR",VLOOKUP(A88,Acessórios!$A$129:$K$136,C88+1,FALSE)="DR"),CONCATENATE("NA (",VLOOKUP(A88,Acessórios!$A$129:$K$136,C88+1,FALSE),")"),IF(VLOOKUP(A88,Acessórios!$A$129:$K$136,C88+1,FALSE)=0,"Não avaliado","Uniforme")))</f>
        <v>Não avaliado</v>
      </c>
      <c r="H88" s="3102"/>
      <c r="I88" s="2881" t="str">
        <f>IF(VLOOKUP(A88,Acessórios!$A$118:$K$125,C88+1,FALSE)=0,"Não avaliado",VLOOKUP(A88,Acessórios!$A$118:$K$125,C88+1,FALSE))</f>
        <v>Não avaliado</v>
      </c>
      <c r="J88" s="2881"/>
      <c r="K88" s="34" t="str">
        <f t="shared" si="1"/>
        <v>x</v>
      </c>
    </row>
    <row r="89" spans="1:11" ht="15" customHeight="1" x14ac:dyDescent="0.25">
      <c r="A89" s="2881" t="s">
        <v>769</v>
      </c>
      <c r="B89" s="2881"/>
      <c r="C89" s="2881">
        <v>8</v>
      </c>
      <c r="D89" s="2881"/>
      <c r="E89" s="3102" t="s">
        <v>240</v>
      </c>
      <c r="F89" s="3102"/>
      <c r="G89" s="3102" t="str">
        <f>IF(VLOOKUP(A89,Acessórios!$A$129:$K$136,C89+1,FALSE)="Ruim","Não uniforme",IF(OR(VLOOKUP(A89,Acessórios!$A$129:$K$136,C89+1,FALSE)="CR",VLOOKUP(A89,Acessórios!$A$129:$K$136,C89+1,FALSE)="DR"),CONCATENATE("NA (",VLOOKUP(A89,Acessórios!$A$129:$K$136,C89+1,FALSE),")"),IF(VLOOKUP(A89,Acessórios!$A$129:$K$136,C89+1,FALSE)=0,"Não avaliado","Uniforme")))</f>
        <v>Não avaliado</v>
      </c>
      <c r="H89" s="3102"/>
      <c r="I89" s="2881" t="str">
        <f>IF(VLOOKUP(A89,Acessórios!$A$118:$K$125,C89+1,FALSE)=0,"Não avaliado",VLOOKUP(A89,Acessórios!$A$118:$K$125,C89+1,FALSE))</f>
        <v>Não avaliado</v>
      </c>
      <c r="J89" s="2881"/>
      <c r="K89" s="34" t="str">
        <f t="shared" si="1"/>
        <v>x</v>
      </c>
    </row>
    <row r="90" spans="1:11" ht="15" customHeight="1" x14ac:dyDescent="0.25">
      <c r="A90" s="2881" t="s">
        <v>769</v>
      </c>
      <c r="B90" s="2881"/>
      <c r="C90" s="2881">
        <v>9</v>
      </c>
      <c r="D90" s="2881"/>
      <c r="E90" s="3102" t="s">
        <v>240</v>
      </c>
      <c r="F90" s="3102"/>
      <c r="G90" s="3102" t="str">
        <f>IF(VLOOKUP(A90,Acessórios!$A$129:$K$136,C90+1,FALSE)="Ruim","Não uniforme",IF(OR(VLOOKUP(A90,Acessórios!$A$129:$K$136,C90+1,FALSE)="CR",VLOOKUP(A90,Acessórios!$A$129:$K$136,C90+1,FALSE)="DR"),CONCATENATE("NA (",VLOOKUP(A90,Acessórios!$A$129:$K$136,C90+1,FALSE),")"),IF(VLOOKUP(A90,Acessórios!$A$129:$K$136,C90+1,FALSE)=0,"Não avaliado","Uniforme")))</f>
        <v>Não avaliado</v>
      </c>
      <c r="H90" s="3102"/>
      <c r="I90" s="2881" t="str">
        <f>IF(VLOOKUP(A90,Acessórios!$A$118:$K$125,C90+1,FALSE)=0,"Não avaliado",VLOOKUP(A90,Acessórios!$A$118:$K$125,C90+1,FALSE))</f>
        <v>Não avaliado</v>
      </c>
      <c r="J90" s="2881"/>
      <c r="K90" s="34" t="str">
        <f t="shared" si="1"/>
        <v>x</v>
      </c>
    </row>
    <row r="91" spans="1:11" ht="15" customHeight="1" x14ac:dyDescent="0.25">
      <c r="A91" s="2881" t="s">
        <v>769</v>
      </c>
      <c r="B91" s="2881"/>
      <c r="C91" s="2881">
        <v>10</v>
      </c>
      <c r="D91" s="2881"/>
      <c r="E91" s="3102" t="s">
        <v>240</v>
      </c>
      <c r="F91" s="3102"/>
      <c r="G91" s="3102" t="str">
        <f>IF(VLOOKUP(A91,Acessórios!$A$129:$K$136,C91+1,FALSE)="Ruim","Não uniforme",IF(OR(VLOOKUP(A91,Acessórios!$A$129:$K$136,C91+1,FALSE)="CR",VLOOKUP(A91,Acessórios!$A$129:$K$136,C91+1,FALSE)="DR"),CONCATENATE("NA (",VLOOKUP(A91,Acessórios!$A$129:$K$136,C91+1,FALSE),")"),IF(VLOOKUP(A91,Acessórios!$A$129:$K$136,C91+1,FALSE)=0,"Não avaliado","Uniforme")))</f>
        <v>Não avaliado</v>
      </c>
      <c r="H91" s="3102"/>
      <c r="I91" s="2881" t="str">
        <f>IF(VLOOKUP(A91,Acessórios!$A$118:$K$125,C91+1,FALSE)=0,"Não avaliado",VLOOKUP(A91,Acessórios!$A$118:$K$125,C91+1,FALSE))</f>
        <v>Não avaliado</v>
      </c>
      <c r="J91" s="2881"/>
      <c r="K91" s="34" t="str">
        <f t="shared" si="1"/>
        <v>x</v>
      </c>
    </row>
    <row r="92" spans="1:11" ht="15" customHeight="1" x14ac:dyDescent="0.25">
      <c r="A92" s="2881" t="s">
        <v>770</v>
      </c>
      <c r="B92" s="2881"/>
      <c r="C92" s="2881">
        <v>1</v>
      </c>
      <c r="D92" s="2881"/>
      <c r="E92" s="3102" t="s">
        <v>240</v>
      </c>
      <c r="F92" s="3102"/>
      <c r="G92" s="3102" t="str">
        <f>IF(VLOOKUP(A92,Acessórios!$A$129:$K$136,C92+1,FALSE)="Ruim","Não uniforme",IF(OR(VLOOKUP(A92,Acessórios!$A$129:$K$136,C92+1,FALSE)="CR",VLOOKUP(A92,Acessórios!$A$129:$K$136,C92+1,FALSE)="DR"),CONCATENATE("NA (",VLOOKUP(A92,Acessórios!$A$129:$K$136,C92+1,FALSE),")"),IF(VLOOKUP(A92,Acessórios!$A$129:$K$136,C92+1,FALSE)=0,"Não avaliado","Uniforme")))</f>
        <v>Não avaliado</v>
      </c>
      <c r="H92" s="3102"/>
      <c r="I92" s="2881" t="str">
        <f>IF(VLOOKUP(A92,Acessórios!$A$118:$K$125,C92+1,FALSE)=0,"Não avaliado",VLOOKUP(A92,Acessórios!$A$118:$K$125,C92+1,FALSE))</f>
        <v>Não avaliado</v>
      </c>
      <c r="J92" s="2881"/>
      <c r="K92" s="34" t="str">
        <f t="shared" si="1"/>
        <v>x</v>
      </c>
    </row>
    <row r="93" spans="1:11" ht="15" customHeight="1" x14ac:dyDescent="0.25">
      <c r="A93" s="2881" t="s">
        <v>770</v>
      </c>
      <c r="B93" s="2881"/>
      <c r="C93" s="2881">
        <v>2</v>
      </c>
      <c r="D93" s="2881"/>
      <c r="E93" s="3102" t="s">
        <v>240</v>
      </c>
      <c r="F93" s="3102"/>
      <c r="G93" s="3102" t="str">
        <f>IF(VLOOKUP(A93,Acessórios!$A$129:$K$136,C93+1,FALSE)="Ruim","Não uniforme",IF(OR(VLOOKUP(A93,Acessórios!$A$129:$K$136,C93+1,FALSE)="CR",VLOOKUP(A93,Acessórios!$A$129:$K$136,C93+1,FALSE)="DR"),CONCATENATE("NA (",VLOOKUP(A93,Acessórios!$A$129:$K$136,C93+1,FALSE),")"),IF(VLOOKUP(A93,Acessórios!$A$129:$K$136,C93+1,FALSE)=0,"Não avaliado","Uniforme")))</f>
        <v>Não avaliado</v>
      </c>
      <c r="H93" s="3102"/>
      <c r="I93" s="2881" t="str">
        <f>IF(VLOOKUP(A93,Acessórios!$A$118:$K$125,C93+1,FALSE)=0,"Não avaliado",VLOOKUP(A93,Acessórios!$A$118:$K$125,C93+1,FALSE))</f>
        <v>Não avaliado</v>
      </c>
      <c r="J93" s="2881"/>
      <c r="K93" s="34" t="str">
        <f t="shared" si="1"/>
        <v>x</v>
      </c>
    </row>
    <row r="94" spans="1:11" ht="15" customHeight="1" x14ac:dyDescent="0.25">
      <c r="A94" s="2881" t="s">
        <v>770</v>
      </c>
      <c r="B94" s="2881"/>
      <c r="C94" s="2881">
        <v>3</v>
      </c>
      <c r="D94" s="2881"/>
      <c r="E94" s="3102" t="s">
        <v>240</v>
      </c>
      <c r="F94" s="3102"/>
      <c r="G94" s="3102" t="str">
        <f>IF(VLOOKUP(A94,Acessórios!$A$129:$K$136,C94+1,FALSE)="Ruim","Não uniforme",IF(OR(VLOOKUP(A94,Acessórios!$A$129:$K$136,C94+1,FALSE)="CR",VLOOKUP(A94,Acessórios!$A$129:$K$136,C94+1,FALSE)="DR"),CONCATENATE("NA (",VLOOKUP(A94,Acessórios!$A$129:$K$136,C94+1,FALSE),")"),IF(VLOOKUP(A94,Acessórios!$A$129:$K$136,C94+1,FALSE)=0,"Não avaliado","Uniforme")))</f>
        <v>Não avaliado</v>
      </c>
      <c r="H94" s="3102"/>
      <c r="I94" s="2881" t="str">
        <f>IF(VLOOKUP(A94,Acessórios!$A$118:$K$125,C94+1,FALSE)=0,"Não avaliado",VLOOKUP(A94,Acessórios!$A$118:$K$125,C94+1,FALSE))</f>
        <v>Não avaliado</v>
      </c>
      <c r="J94" s="2881"/>
      <c r="K94" s="34" t="str">
        <f t="shared" si="1"/>
        <v>x</v>
      </c>
    </row>
    <row r="95" spans="1:11" ht="15" customHeight="1" x14ac:dyDescent="0.25">
      <c r="A95" s="2881" t="s">
        <v>770</v>
      </c>
      <c r="B95" s="2881"/>
      <c r="C95" s="2881">
        <v>4</v>
      </c>
      <c r="D95" s="2881"/>
      <c r="E95" s="3102" t="s">
        <v>240</v>
      </c>
      <c r="F95" s="3102"/>
      <c r="G95" s="3102" t="str">
        <f>IF(VLOOKUP(A95,Acessórios!$A$129:$K$136,C95+1,FALSE)="Ruim","Não uniforme",IF(OR(VLOOKUP(A95,Acessórios!$A$129:$K$136,C95+1,FALSE)="CR",VLOOKUP(A95,Acessórios!$A$129:$K$136,C95+1,FALSE)="DR"),CONCATENATE("NA (",VLOOKUP(A95,Acessórios!$A$129:$K$136,C95+1,FALSE),")"),IF(VLOOKUP(A95,Acessórios!$A$129:$K$136,C95+1,FALSE)=0,"Não avaliado","Uniforme")))</f>
        <v>Não avaliado</v>
      </c>
      <c r="H95" s="3102"/>
      <c r="I95" s="2881" t="str">
        <f>IF(VLOOKUP(A95,Acessórios!$A$118:$K$125,C95+1,FALSE)=0,"Não avaliado",VLOOKUP(A95,Acessórios!$A$118:$K$125,C95+1,FALSE))</f>
        <v>Não avaliado</v>
      </c>
      <c r="J95" s="2881"/>
      <c r="K95" s="34" t="str">
        <f t="shared" si="1"/>
        <v>x</v>
      </c>
    </row>
    <row r="96" spans="1:11" ht="15" customHeight="1" x14ac:dyDescent="0.25">
      <c r="A96" s="2881" t="s">
        <v>770</v>
      </c>
      <c r="B96" s="2881"/>
      <c r="C96" s="2881">
        <v>5</v>
      </c>
      <c r="D96" s="2881"/>
      <c r="E96" s="3102" t="s">
        <v>240</v>
      </c>
      <c r="F96" s="3102"/>
      <c r="G96" s="3102" t="str">
        <f>IF(VLOOKUP(A96,Acessórios!$A$129:$K$136,C96+1,FALSE)="Ruim","Não uniforme",IF(OR(VLOOKUP(A96,Acessórios!$A$129:$K$136,C96+1,FALSE)="CR",VLOOKUP(A96,Acessórios!$A$129:$K$136,C96+1,FALSE)="DR"),CONCATENATE("NA (",VLOOKUP(A96,Acessórios!$A$129:$K$136,C96+1,FALSE),")"),IF(VLOOKUP(A96,Acessórios!$A$129:$K$136,C96+1,FALSE)=0,"Não avaliado","Uniforme")))</f>
        <v>Não avaliado</v>
      </c>
      <c r="H96" s="3102"/>
      <c r="I96" s="2881" t="str">
        <f>IF(VLOOKUP(A96,Acessórios!$A$118:$K$125,C96+1,FALSE)=0,"Não avaliado",VLOOKUP(A96,Acessórios!$A$118:$K$125,C96+1,FALSE))</f>
        <v>Não avaliado</v>
      </c>
      <c r="J96" s="2881"/>
      <c r="K96" s="34" t="str">
        <f t="shared" si="1"/>
        <v>x</v>
      </c>
    </row>
    <row r="97" spans="1:11" ht="15" customHeight="1" x14ac:dyDescent="0.25">
      <c r="A97" s="2881" t="s">
        <v>770</v>
      </c>
      <c r="B97" s="2881"/>
      <c r="C97" s="2881">
        <v>6</v>
      </c>
      <c r="D97" s="2881"/>
      <c r="E97" s="3102" t="s">
        <v>240</v>
      </c>
      <c r="F97" s="3102"/>
      <c r="G97" s="3102" t="str">
        <f>IF(VLOOKUP(A97,Acessórios!$A$129:$K$136,C97+1,FALSE)="Ruim","Não uniforme",IF(OR(VLOOKUP(A97,Acessórios!$A$129:$K$136,C97+1,FALSE)="CR",VLOOKUP(A97,Acessórios!$A$129:$K$136,C97+1,FALSE)="DR"),CONCATENATE("NA (",VLOOKUP(A97,Acessórios!$A$129:$K$136,C97+1,FALSE),")"),IF(VLOOKUP(A97,Acessórios!$A$129:$K$136,C97+1,FALSE)=0,"Não avaliado","Uniforme")))</f>
        <v>Não avaliado</v>
      </c>
      <c r="H97" s="3102"/>
      <c r="I97" s="2881" t="str">
        <f>IF(VLOOKUP(A97,Acessórios!$A$118:$K$125,C97+1,FALSE)=0,"Não avaliado",VLOOKUP(A97,Acessórios!$A$118:$K$125,C97+1,FALSE))</f>
        <v>Não avaliado</v>
      </c>
      <c r="J97" s="2881"/>
      <c r="K97" s="34" t="str">
        <f t="shared" si="1"/>
        <v>x</v>
      </c>
    </row>
    <row r="98" spans="1:11" ht="15" customHeight="1" x14ac:dyDescent="0.25">
      <c r="A98" s="2881" t="s">
        <v>770</v>
      </c>
      <c r="B98" s="2881"/>
      <c r="C98" s="2881">
        <v>7</v>
      </c>
      <c r="D98" s="2881"/>
      <c r="E98" s="3102" t="s">
        <v>240</v>
      </c>
      <c r="F98" s="3102"/>
      <c r="G98" s="3102" t="str">
        <f>IF(VLOOKUP(A98,Acessórios!$A$129:$K$136,C98+1,FALSE)="Ruim","Não uniforme",IF(OR(VLOOKUP(A98,Acessórios!$A$129:$K$136,C98+1,FALSE)="CR",VLOOKUP(A98,Acessórios!$A$129:$K$136,C98+1,FALSE)="DR"),CONCATENATE("NA (",VLOOKUP(A98,Acessórios!$A$129:$K$136,C98+1,FALSE),")"),IF(VLOOKUP(A98,Acessórios!$A$129:$K$136,C98+1,FALSE)=0,"Não avaliado","Uniforme")))</f>
        <v>Não avaliado</v>
      </c>
      <c r="H98" s="3102"/>
      <c r="I98" s="2881" t="str">
        <f>IF(VLOOKUP(A98,Acessórios!$A$118:$K$125,C98+1,FALSE)=0,"Não avaliado",VLOOKUP(A98,Acessórios!$A$118:$K$125,C98+1,FALSE))</f>
        <v>Não avaliado</v>
      </c>
      <c r="J98" s="2881"/>
      <c r="K98" s="34" t="str">
        <f t="shared" si="1"/>
        <v>x</v>
      </c>
    </row>
    <row r="99" spans="1:11" ht="15" customHeight="1" x14ac:dyDescent="0.25">
      <c r="A99" s="2881" t="s">
        <v>770</v>
      </c>
      <c r="B99" s="2881"/>
      <c r="C99" s="2881">
        <v>8</v>
      </c>
      <c r="D99" s="2881"/>
      <c r="E99" s="3102" t="s">
        <v>240</v>
      </c>
      <c r="F99" s="3102"/>
      <c r="G99" s="3102" t="str">
        <f>IF(VLOOKUP(A99,Acessórios!$A$129:$K$136,C99+1,FALSE)="Ruim","Não uniforme",IF(OR(VLOOKUP(A99,Acessórios!$A$129:$K$136,C99+1,FALSE)="CR",VLOOKUP(A99,Acessórios!$A$129:$K$136,C99+1,FALSE)="DR"),CONCATENATE("NA (",VLOOKUP(A99,Acessórios!$A$129:$K$136,C99+1,FALSE),")"),IF(VLOOKUP(A99,Acessórios!$A$129:$K$136,C99+1,FALSE)=0,"Não avaliado","Uniforme")))</f>
        <v>Não avaliado</v>
      </c>
      <c r="H99" s="3102"/>
      <c r="I99" s="2881" t="str">
        <f>IF(VLOOKUP(A99,Acessórios!$A$118:$K$125,C99+1,FALSE)=0,"Não avaliado",VLOOKUP(A99,Acessórios!$A$118:$K$125,C99+1,FALSE))</f>
        <v>Não avaliado</v>
      </c>
      <c r="J99" s="2881"/>
      <c r="K99" s="34" t="str">
        <f t="shared" si="1"/>
        <v>x</v>
      </c>
    </row>
    <row r="100" spans="1:11" ht="15" customHeight="1" x14ac:dyDescent="0.25">
      <c r="A100" s="2881" t="s">
        <v>770</v>
      </c>
      <c r="B100" s="2881"/>
      <c r="C100" s="2881">
        <v>9</v>
      </c>
      <c r="D100" s="2881"/>
      <c r="E100" s="3102" t="s">
        <v>240</v>
      </c>
      <c r="F100" s="3102"/>
      <c r="G100" s="3102" t="str">
        <f>IF(VLOOKUP(A100,Acessórios!$A$129:$K$136,C100+1,FALSE)="Ruim","Não uniforme",IF(OR(VLOOKUP(A100,Acessórios!$A$129:$K$136,C100+1,FALSE)="CR",VLOOKUP(A100,Acessórios!$A$129:$K$136,C100+1,FALSE)="DR"),CONCATENATE("NA (",VLOOKUP(A100,Acessórios!$A$129:$K$136,C100+1,FALSE),")"),IF(VLOOKUP(A100,Acessórios!$A$129:$K$136,C100+1,FALSE)=0,"Não avaliado","Uniforme")))</f>
        <v>Não avaliado</v>
      </c>
      <c r="H100" s="3102"/>
      <c r="I100" s="2881" t="str">
        <f>IF(VLOOKUP(A100,Acessórios!$A$118:$K$125,C100+1,FALSE)=0,"Não avaliado",VLOOKUP(A100,Acessórios!$A$118:$K$125,C100+1,FALSE))</f>
        <v>Não avaliado</v>
      </c>
      <c r="J100" s="2881"/>
      <c r="K100" s="34" t="str">
        <f t="shared" si="1"/>
        <v>x</v>
      </c>
    </row>
    <row r="101" spans="1:11" ht="15" customHeight="1" x14ac:dyDescent="0.25">
      <c r="A101" s="2881" t="s">
        <v>770</v>
      </c>
      <c r="B101" s="2881"/>
      <c r="C101" s="2881">
        <v>10</v>
      </c>
      <c r="D101" s="2881"/>
      <c r="E101" s="3102" t="s">
        <v>240</v>
      </c>
      <c r="F101" s="3102"/>
      <c r="G101" s="3102" t="str">
        <f>IF(VLOOKUP(A101,Acessórios!$A$129:$K$136,C101+1,FALSE)="Ruim","Não uniforme",IF(OR(VLOOKUP(A101,Acessórios!$A$129:$K$136,C101+1,FALSE)="CR",VLOOKUP(A101,Acessórios!$A$129:$K$136,C101+1,FALSE)="DR"),CONCATENATE("NA (",VLOOKUP(A101,Acessórios!$A$129:$K$136,C101+1,FALSE),")"),IF(VLOOKUP(A101,Acessórios!$A$129:$K$136,C101+1,FALSE)=0,"Não avaliado","Uniforme")))</f>
        <v>Não avaliado</v>
      </c>
      <c r="H101" s="3102"/>
      <c r="I101" s="2881" t="str">
        <f>IF(VLOOKUP(A101,Acessórios!$A$118:$K$125,C101+1,FALSE)=0,"Não avaliado",VLOOKUP(A101,Acessórios!$A$118:$K$125,C101+1,FALSE))</f>
        <v>Não avaliado</v>
      </c>
      <c r="J101" s="2881"/>
      <c r="K101" s="34" t="str">
        <f t="shared" si="1"/>
        <v>x</v>
      </c>
    </row>
    <row r="102" spans="1:11" ht="15" customHeight="1" x14ac:dyDescent="0.25">
      <c r="A102" s="2881" t="s">
        <v>771</v>
      </c>
      <c r="B102" s="2881"/>
      <c r="C102" s="2881">
        <v>1</v>
      </c>
      <c r="D102" s="2881"/>
      <c r="E102" s="3102" t="s">
        <v>240</v>
      </c>
      <c r="F102" s="3102"/>
      <c r="G102" s="3102" t="str">
        <f>IF(VLOOKUP(A102,Acessórios!$A$129:$K$136,C102+1,FALSE)="Ruim","Não uniforme",IF(OR(VLOOKUP(A102,Acessórios!$A$129:$K$136,C102+1,FALSE)="CR",VLOOKUP(A102,Acessórios!$A$129:$K$136,C102+1,FALSE)="DR"),CONCATENATE("NA (",VLOOKUP(A102,Acessórios!$A$129:$K$136,C102+1,FALSE),")"),IF(VLOOKUP(A102,Acessórios!$A$129:$K$136,C102+1,FALSE)=0,"Não avaliado","Uniforme")))</f>
        <v>Não avaliado</v>
      </c>
      <c r="H102" s="3102"/>
      <c r="I102" s="2881" t="str">
        <f>IF(VLOOKUP(A102,Acessórios!$A$118:$K$125,C102+1,FALSE)=0,"Não avaliado",VLOOKUP(A102,Acessórios!$A$118:$K$125,C102+1,FALSE))</f>
        <v>Não avaliado</v>
      </c>
      <c r="J102" s="2881"/>
      <c r="K102" s="34" t="str">
        <f t="shared" si="1"/>
        <v>x</v>
      </c>
    </row>
    <row r="103" spans="1:11" ht="15" customHeight="1" x14ac:dyDescent="0.25">
      <c r="A103" s="2881" t="s">
        <v>771</v>
      </c>
      <c r="B103" s="2881"/>
      <c r="C103" s="2881">
        <v>2</v>
      </c>
      <c r="D103" s="2881"/>
      <c r="E103" s="3102" t="s">
        <v>240</v>
      </c>
      <c r="F103" s="3102"/>
      <c r="G103" s="3102" t="str">
        <f>IF(VLOOKUP(A103,Acessórios!$A$129:$K$136,C103+1,FALSE)="Ruim","Não uniforme",IF(OR(VLOOKUP(A103,Acessórios!$A$129:$K$136,C103+1,FALSE)="CR",VLOOKUP(A103,Acessórios!$A$129:$K$136,C103+1,FALSE)="DR"),CONCATENATE("NA (",VLOOKUP(A103,Acessórios!$A$129:$K$136,C103+1,FALSE),")"),IF(VLOOKUP(A103,Acessórios!$A$129:$K$136,C103+1,FALSE)=0,"Não avaliado","Uniforme")))</f>
        <v>Não avaliado</v>
      </c>
      <c r="H103" s="3102"/>
      <c r="I103" s="2881" t="str">
        <f>IF(VLOOKUP(A103,Acessórios!$A$118:$K$125,C103+1,FALSE)=0,"Não avaliado",VLOOKUP(A103,Acessórios!$A$118:$K$125,C103+1,FALSE))</f>
        <v>Não avaliado</v>
      </c>
      <c r="J103" s="2881"/>
      <c r="K103" s="34" t="str">
        <f t="shared" si="1"/>
        <v>x</v>
      </c>
    </row>
    <row r="104" spans="1:11" ht="15" customHeight="1" x14ac:dyDescent="0.25">
      <c r="A104" s="2881" t="s">
        <v>771</v>
      </c>
      <c r="B104" s="2881"/>
      <c r="C104" s="2881">
        <v>3</v>
      </c>
      <c r="D104" s="2881"/>
      <c r="E104" s="3102" t="s">
        <v>240</v>
      </c>
      <c r="F104" s="3102"/>
      <c r="G104" s="3102" t="str">
        <f>IF(VLOOKUP(A104,Acessórios!$A$129:$K$136,C104+1,FALSE)="Ruim","Não uniforme",IF(OR(VLOOKUP(A104,Acessórios!$A$129:$K$136,C104+1,FALSE)="CR",VLOOKUP(A104,Acessórios!$A$129:$K$136,C104+1,FALSE)="DR"),CONCATENATE("NA (",VLOOKUP(A104,Acessórios!$A$129:$K$136,C104+1,FALSE),")"),IF(VLOOKUP(A104,Acessórios!$A$129:$K$136,C104+1,FALSE)=0,"Não avaliado","Uniforme")))</f>
        <v>Não avaliado</v>
      </c>
      <c r="H104" s="3102"/>
      <c r="I104" s="2881" t="str">
        <f>IF(VLOOKUP(A104,Acessórios!$A$118:$K$125,C104+1,FALSE)=0,"Não avaliado",VLOOKUP(A104,Acessórios!$A$118:$K$125,C104+1,FALSE))</f>
        <v>Não avaliado</v>
      </c>
      <c r="J104" s="2881"/>
      <c r="K104" s="34" t="str">
        <f t="shared" si="1"/>
        <v>x</v>
      </c>
    </row>
    <row r="105" spans="1:11" ht="15" customHeight="1" x14ac:dyDescent="0.25">
      <c r="A105" s="2881" t="s">
        <v>771</v>
      </c>
      <c r="B105" s="2881"/>
      <c r="C105" s="2881">
        <v>4</v>
      </c>
      <c r="D105" s="2881"/>
      <c r="E105" s="3102" t="s">
        <v>240</v>
      </c>
      <c r="F105" s="3102"/>
      <c r="G105" s="3102" t="str">
        <f>IF(VLOOKUP(A105,Acessórios!$A$129:$K$136,C105+1,FALSE)="Ruim","Não uniforme",IF(OR(VLOOKUP(A105,Acessórios!$A$129:$K$136,C105+1,FALSE)="CR",VLOOKUP(A105,Acessórios!$A$129:$K$136,C105+1,FALSE)="DR"),CONCATENATE("NA (",VLOOKUP(A105,Acessórios!$A$129:$K$136,C105+1,FALSE),")"),IF(VLOOKUP(A105,Acessórios!$A$129:$K$136,C105+1,FALSE)=0,"Não avaliado","Uniforme")))</f>
        <v>Não avaliado</v>
      </c>
      <c r="H105" s="3102"/>
      <c r="I105" s="2881" t="str">
        <f>IF(VLOOKUP(A105,Acessórios!$A$118:$K$125,C105+1,FALSE)=0,"Não avaliado",VLOOKUP(A105,Acessórios!$A$118:$K$125,C105+1,FALSE))</f>
        <v>Não avaliado</v>
      </c>
      <c r="J105" s="2881"/>
      <c r="K105" s="34" t="str">
        <f t="shared" si="1"/>
        <v>x</v>
      </c>
    </row>
    <row r="106" spans="1:11" ht="15" customHeight="1" x14ac:dyDescent="0.25">
      <c r="A106" s="2881" t="s">
        <v>771</v>
      </c>
      <c r="B106" s="2881"/>
      <c r="C106" s="2881">
        <v>5</v>
      </c>
      <c r="D106" s="2881"/>
      <c r="E106" s="3102" t="s">
        <v>240</v>
      </c>
      <c r="F106" s="3102"/>
      <c r="G106" s="3102" t="str">
        <f>IF(VLOOKUP(A106,Acessórios!$A$129:$K$136,C106+1,FALSE)="Ruim","Não uniforme",IF(OR(VLOOKUP(A106,Acessórios!$A$129:$K$136,C106+1,FALSE)="CR",VLOOKUP(A106,Acessórios!$A$129:$K$136,C106+1,FALSE)="DR"),CONCATENATE("NA (",VLOOKUP(A106,Acessórios!$A$129:$K$136,C106+1,FALSE),")"),IF(VLOOKUP(A106,Acessórios!$A$129:$K$136,C106+1,FALSE)=0,"Não avaliado","Uniforme")))</f>
        <v>Não avaliado</v>
      </c>
      <c r="H106" s="3102"/>
      <c r="I106" s="2881" t="str">
        <f>IF(VLOOKUP(A106,Acessórios!$A$118:$K$125,C106+1,FALSE)=0,"Não avaliado",VLOOKUP(A106,Acessórios!$A$118:$K$125,C106+1,FALSE))</f>
        <v>Não avaliado</v>
      </c>
      <c r="J106" s="2881"/>
      <c r="K106" s="34" t="str">
        <f t="shared" si="1"/>
        <v>x</v>
      </c>
    </row>
    <row r="107" spans="1:11" ht="15" customHeight="1" x14ac:dyDescent="0.25">
      <c r="A107" s="2881" t="s">
        <v>771</v>
      </c>
      <c r="B107" s="2881"/>
      <c r="C107" s="2881">
        <v>6</v>
      </c>
      <c r="D107" s="2881"/>
      <c r="E107" s="3102" t="s">
        <v>240</v>
      </c>
      <c r="F107" s="3102"/>
      <c r="G107" s="3102" t="str">
        <f>IF(VLOOKUP(A107,Acessórios!$A$129:$K$136,C107+1,FALSE)="Ruim","Não uniforme",IF(OR(VLOOKUP(A107,Acessórios!$A$129:$K$136,C107+1,FALSE)="CR",VLOOKUP(A107,Acessórios!$A$129:$K$136,C107+1,FALSE)="DR"),CONCATENATE("NA (",VLOOKUP(A107,Acessórios!$A$129:$K$136,C107+1,FALSE),")"),IF(VLOOKUP(A107,Acessórios!$A$129:$K$136,C107+1,FALSE)=0,"Não avaliado","Uniforme")))</f>
        <v>Não avaliado</v>
      </c>
      <c r="H107" s="3102"/>
      <c r="I107" s="2881" t="str">
        <f>IF(VLOOKUP(A107,Acessórios!$A$118:$K$125,C107+1,FALSE)=0,"Não avaliado",VLOOKUP(A107,Acessórios!$A$118:$K$125,C107+1,FALSE))</f>
        <v>Não avaliado</v>
      </c>
      <c r="J107" s="2881"/>
      <c r="K107" s="34" t="str">
        <f t="shared" si="1"/>
        <v>x</v>
      </c>
    </row>
    <row r="108" spans="1:11" ht="15" customHeight="1" x14ac:dyDescent="0.25">
      <c r="A108" s="2881" t="s">
        <v>771</v>
      </c>
      <c r="B108" s="2881"/>
      <c r="C108" s="2881">
        <v>7</v>
      </c>
      <c r="D108" s="2881"/>
      <c r="E108" s="3102" t="s">
        <v>240</v>
      </c>
      <c r="F108" s="3102"/>
      <c r="G108" s="3102" t="str">
        <f>IF(VLOOKUP(A108,Acessórios!$A$129:$K$136,C108+1,FALSE)="Ruim","Não uniforme",IF(OR(VLOOKUP(A108,Acessórios!$A$129:$K$136,C108+1,FALSE)="CR",VLOOKUP(A108,Acessórios!$A$129:$K$136,C108+1,FALSE)="DR"),CONCATENATE("NA (",VLOOKUP(A108,Acessórios!$A$129:$K$136,C108+1,FALSE),")"),IF(VLOOKUP(A108,Acessórios!$A$129:$K$136,C108+1,FALSE)=0,"Não avaliado","Uniforme")))</f>
        <v>Não avaliado</v>
      </c>
      <c r="H108" s="3102"/>
      <c r="I108" s="2881" t="str">
        <f>IF(VLOOKUP(A108,Acessórios!$A$118:$K$125,C108+1,FALSE)=0,"Não avaliado",VLOOKUP(A108,Acessórios!$A$118:$K$125,C108+1,FALSE))</f>
        <v>Não avaliado</v>
      </c>
      <c r="J108" s="2881"/>
      <c r="K108" s="34" t="str">
        <f t="shared" si="1"/>
        <v>x</v>
      </c>
    </row>
    <row r="109" spans="1:11" ht="15" customHeight="1" x14ac:dyDescent="0.25">
      <c r="A109" s="2881" t="s">
        <v>771</v>
      </c>
      <c r="B109" s="2881"/>
      <c r="C109" s="2881">
        <v>8</v>
      </c>
      <c r="D109" s="2881"/>
      <c r="E109" s="3102" t="s">
        <v>240</v>
      </c>
      <c r="F109" s="3102"/>
      <c r="G109" s="3102" t="str">
        <f>IF(VLOOKUP(A109,Acessórios!$A$129:$K$136,C109+1,FALSE)="Ruim","Não uniforme",IF(OR(VLOOKUP(A109,Acessórios!$A$129:$K$136,C109+1,FALSE)="CR",VLOOKUP(A109,Acessórios!$A$129:$K$136,C109+1,FALSE)="DR"),CONCATENATE("NA (",VLOOKUP(A109,Acessórios!$A$129:$K$136,C109+1,FALSE),")"),IF(VLOOKUP(A109,Acessórios!$A$129:$K$136,C109+1,FALSE)=0,"Não avaliado","Uniforme")))</f>
        <v>Não avaliado</v>
      </c>
      <c r="H109" s="3102"/>
      <c r="I109" s="2881" t="str">
        <f>IF(VLOOKUP(A109,Acessórios!$A$118:$K$125,C109+1,FALSE)=0,"Não avaliado",VLOOKUP(A109,Acessórios!$A$118:$K$125,C109+1,FALSE))</f>
        <v>Não avaliado</v>
      </c>
      <c r="J109" s="2881"/>
      <c r="K109" s="34" t="str">
        <f t="shared" si="1"/>
        <v>x</v>
      </c>
    </row>
    <row r="110" spans="1:11" ht="15" customHeight="1" x14ac:dyDescent="0.25">
      <c r="A110" s="2881" t="s">
        <v>771</v>
      </c>
      <c r="B110" s="2881"/>
      <c r="C110" s="2881">
        <v>9</v>
      </c>
      <c r="D110" s="2881"/>
      <c r="E110" s="3102" t="s">
        <v>240</v>
      </c>
      <c r="F110" s="3102"/>
      <c r="G110" s="3102" t="str">
        <f>IF(VLOOKUP(A110,Acessórios!$A$129:$K$136,C110+1,FALSE)="Ruim","Não uniforme",IF(OR(VLOOKUP(A110,Acessórios!$A$129:$K$136,C110+1,FALSE)="CR",VLOOKUP(A110,Acessórios!$A$129:$K$136,C110+1,FALSE)="DR"),CONCATENATE("NA (",VLOOKUP(A110,Acessórios!$A$129:$K$136,C110+1,FALSE),")"),IF(VLOOKUP(A110,Acessórios!$A$129:$K$136,C110+1,FALSE)=0,"Não avaliado","Uniforme")))</f>
        <v>Não avaliado</v>
      </c>
      <c r="H110" s="3102"/>
      <c r="I110" s="2881" t="str">
        <f>IF(VLOOKUP(A110,Acessórios!$A$118:$K$125,C110+1,FALSE)=0,"Não avaliado",VLOOKUP(A110,Acessórios!$A$118:$K$125,C110+1,FALSE))</f>
        <v>Não avaliado</v>
      </c>
      <c r="J110" s="2881"/>
      <c r="K110" s="34" t="str">
        <f t="shared" si="1"/>
        <v>x</v>
      </c>
    </row>
    <row r="111" spans="1:11" ht="15" customHeight="1" x14ac:dyDescent="0.25">
      <c r="A111" s="2881" t="s">
        <v>771</v>
      </c>
      <c r="B111" s="2881"/>
      <c r="C111" s="2881">
        <v>10</v>
      </c>
      <c r="D111" s="2881"/>
      <c r="E111" s="3102" t="s">
        <v>240</v>
      </c>
      <c r="F111" s="3102"/>
      <c r="G111" s="3102" t="str">
        <f>IF(VLOOKUP(A111,Acessórios!$A$129:$K$136,C111+1,FALSE)="Ruim","Não uniforme",IF(OR(VLOOKUP(A111,Acessórios!$A$129:$K$136,C111+1,FALSE)="CR",VLOOKUP(A111,Acessórios!$A$129:$K$136,C111+1,FALSE)="DR"),CONCATENATE("NA (",VLOOKUP(A111,Acessórios!$A$129:$K$136,C111+1,FALSE),")"),IF(VLOOKUP(A111,Acessórios!$A$129:$K$136,C111+1,FALSE)=0,"Não avaliado","Uniforme")))</f>
        <v>Não avaliado</v>
      </c>
      <c r="H111" s="3102"/>
      <c r="I111" s="2881" t="str">
        <f>IF(VLOOKUP(A111,Acessórios!$A$118:$K$125,C111+1,FALSE)=0,"Não avaliado",VLOOKUP(A111,Acessórios!$A$118:$K$125,C111+1,FALSE))</f>
        <v>Não avaliado</v>
      </c>
      <c r="J111" s="2881"/>
      <c r="K111" s="34" t="str">
        <f t="shared" si="1"/>
        <v>x</v>
      </c>
    </row>
    <row r="112" spans="1:11" ht="15" customHeight="1" x14ac:dyDescent="0.25">
      <c r="A112" s="2881" t="s">
        <v>771</v>
      </c>
      <c r="B112" s="2881"/>
      <c r="C112" s="2881">
        <v>1</v>
      </c>
      <c r="D112" s="2881"/>
      <c r="E112" s="3102" t="s">
        <v>240</v>
      </c>
      <c r="F112" s="3102"/>
      <c r="G112" s="3102" t="str">
        <f>IF(VLOOKUP(A112,Acessórios!$A$129:$K$136,C112+1,FALSE)="Ruim","Não uniforme",IF(OR(VLOOKUP(A112,Acessórios!$A$129:$K$136,C112+1,FALSE)="CR",VLOOKUP(A112,Acessórios!$A$129:$K$136,C112+1,FALSE)="DR"),CONCATENATE("NA (",VLOOKUP(A112,Acessórios!$A$129:$K$136,C112+1,FALSE),")"),IF(VLOOKUP(A112,Acessórios!$A$129:$K$136,C112+1,FALSE)=0,"Não avaliado","Uniforme")))</f>
        <v>Não avaliado</v>
      </c>
      <c r="H112" s="3102"/>
      <c r="I112" s="2881" t="str">
        <f>IF(VLOOKUP(A112,Acessórios!$A$118:$K$125,C112+1,FALSE)=0,"Não avaliado",VLOOKUP(A112,Acessórios!$A$118:$K$125,C112+1,FALSE))</f>
        <v>Não avaliado</v>
      </c>
      <c r="J112" s="2881"/>
      <c r="K112" s="34" t="str">
        <f t="shared" si="1"/>
        <v>x</v>
      </c>
    </row>
    <row r="113" spans="1:11" ht="15" customHeight="1" x14ac:dyDescent="0.25">
      <c r="A113" s="2881" t="s">
        <v>771</v>
      </c>
      <c r="B113" s="2881"/>
      <c r="C113" s="2881">
        <v>2</v>
      </c>
      <c r="D113" s="2881"/>
      <c r="E113" s="3102" t="s">
        <v>240</v>
      </c>
      <c r="F113" s="3102"/>
      <c r="G113" s="3102" t="str">
        <f>IF(VLOOKUP(A113,Acessórios!$A$129:$K$136,C113+1,FALSE)="Ruim","Não uniforme",IF(OR(VLOOKUP(A113,Acessórios!$A$129:$K$136,C113+1,FALSE)="CR",VLOOKUP(A113,Acessórios!$A$129:$K$136,C113+1,FALSE)="DR"),CONCATENATE("NA (",VLOOKUP(A113,Acessórios!$A$129:$K$136,C113+1,FALSE),")"),IF(VLOOKUP(A113,Acessórios!$A$129:$K$136,C113+1,FALSE)=0,"Não avaliado","Uniforme")))</f>
        <v>Não avaliado</v>
      </c>
      <c r="H113" s="3102"/>
      <c r="I113" s="2881" t="str">
        <f>IF(VLOOKUP(A113,Acessórios!$A$118:$K$125,C113+1,FALSE)=0,"Não avaliado",VLOOKUP(A113,Acessórios!$A$118:$K$125,C113+1,FALSE))</f>
        <v>Não avaliado</v>
      </c>
      <c r="J113" s="2881"/>
      <c r="K113" s="34" t="str">
        <f t="shared" si="1"/>
        <v>x</v>
      </c>
    </row>
    <row r="114" spans="1:11" ht="15" customHeight="1" x14ac:dyDescent="0.25">
      <c r="A114" s="2881" t="s">
        <v>771</v>
      </c>
      <c r="B114" s="2881"/>
      <c r="C114" s="2881">
        <v>3</v>
      </c>
      <c r="D114" s="2881"/>
      <c r="E114" s="3102" t="s">
        <v>240</v>
      </c>
      <c r="F114" s="3102"/>
      <c r="G114" s="3102" t="str">
        <f>IF(VLOOKUP(A114,Acessórios!$A$129:$K$136,C114+1,FALSE)="Ruim","Não uniforme",IF(OR(VLOOKUP(A114,Acessórios!$A$129:$K$136,C114+1,FALSE)="CR",VLOOKUP(A114,Acessórios!$A$129:$K$136,C114+1,FALSE)="DR"),CONCATENATE("NA (",VLOOKUP(A114,Acessórios!$A$129:$K$136,C114+1,FALSE),")"),IF(VLOOKUP(A114,Acessórios!$A$129:$K$136,C114+1,FALSE)=0,"Não avaliado","Uniforme")))</f>
        <v>Não avaliado</v>
      </c>
      <c r="H114" s="3102"/>
      <c r="I114" s="2881" t="str">
        <f>IF(VLOOKUP(A114,Acessórios!$A$118:$K$125,C114+1,FALSE)=0,"Não avaliado",VLOOKUP(A114,Acessórios!$A$118:$K$125,C114+1,FALSE))</f>
        <v>Não avaliado</v>
      </c>
      <c r="J114" s="2881"/>
      <c r="K114" s="34" t="str">
        <f t="shared" si="1"/>
        <v>x</v>
      </c>
    </row>
    <row r="115" spans="1:11" ht="15" customHeight="1" x14ac:dyDescent="0.25">
      <c r="A115" s="2881" t="s">
        <v>771</v>
      </c>
      <c r="B115" s="2881"/>
      <c r="C115" s="2881">
        <v>4</v>
      </c>
      <c r="D115" s="2881"/>
      <c r="E115" s="3102" t="s">
        <v>240</v>
      </c>
      <c r="F115" s="3102"/>
      <c r="G115" s="3102" t="str">
        <f>IF(VLOOKUP(A115,Acessórios!$A$129:$K$136,C115+1,FALSE)="Ruim","Não uniforme",IF(OR(VLOOKUP(A115,Acessórios!$A$129:$K$136,C115+1,FALSE)="CR",VLOOKUP(A115,Acessórios!$A$129:$K$136,C115+1,FALSE)="DR"),CONCATENATE("NA (",VLOOKUP(A115,Acessórios!$A$129:$K$136,C115+1,FALSE),")"),IF(VLOOKUP(A115,Acessórios!$A$129:$K$136,C115+1,FALSE)=0,"Não avaliado","Uniforme")))</f>
        <v>Não avaliado</v>
      </c>
      <c r="H115" s="3102"/>
      <c r="I115" s="2881" t="str">
        <f>IF(VLOOKUP(A115,Acessórios!$A$118:$K$125,C115+1,FALSE)=0,"Não avaliado",VLOOKUP(A115,Acessórios!$A$118:$K$125,C115+1,FALSE))</f>
        <v>Não avaliado</v>
      </c>
      <c r="J115" s="2881"/>
      <c r="K115" s="34" t="str">
        <f t="shared" si="1"/>
        <v>x</v>
      </c>
    </row>
    <row r="116" spans="1:11" ht="15" customHeight="1" x14ac:dyDescent="0.25">
      <c r="A116" s="2881" t="s">
        <v>771</v>
      </c>
      <c r="B116" s="2881"/>
      <c r="C116" s="2881">
        <v>5</v>
      </c>
      <c r="D116" s="2881"/>
      <c r="E116" s="3102" t="s">
        <v>240</v>
      </c>
      <c r="F116" s="3102"/>
      <c r="G116" s="3102" t="str">
        <f>IF(VLOOKUP(A116,Acessórios!$A$129:$K$136,C116+1,FALSE)="Ruim","Não uniforme",IF(OR(VLOOKUP(A116,Acessórios!$A$129:$K$136,C116+1,FALSE)="CR",VLOOKUP(A116,Acessórios!$A$129:$K$136,C116+1,FALSE)="DR"),CONCATENATE("NA (",VLOOKUP(A116,Acessórios!$A$129:$K$136,C116+1,FALSE),")"),IF(VLOOKUP(A116,Acessórios!$A$129:$K$136,C116+1,FALSE)=0,"Não avaliado","Uniforme")))</f>
        <v>Não avaliado</v>
      </c>
      <c r="H116" s="3102"/>
      <c r="I116" s="2881" t="str">
        <f>IF(VLOOKUP(A116,Acessórios!$A$118:$K$125,C116+1,FALSE)=0,"Não avaliado",VLOOKUP(A116,Acessórios!$A$118:$K$125,C116+1,FALSE))</f>
        <v>Não avaliado</v>
      </c>
      <c r="J116" s="2881"/>
      <c r="K116" s="34" t="str">
        <f t="shared" si="1"/>
        <v>x</v>
      </c>
    </row>
    <row r="117" spans="1:11" ht="15" customHeight="1" x14ac:dyDescent="0.25">
      <c r="A117" s="2881" t="s">
        <v>771</v>
      </c>
      <c r="B117" s="2881"/>
      <c r="C117" s="2881">
        <v>6</v>
      </c>
      <c r="D117" s="2881"/>
      <c r="E117" s="3102" t="s">
        <v>240</v>
      </c>
      <c r="F117" s="3102"/>
      <c r="G117" s="3102" t="str">
        <f>IF(VLOOKUP(A117,Acessórios!$A$129:$K$136,C117+1,FALSE)="Ruim","Não uniforme",IF(OR(VLOOKUP(A117,Acessórios!$A$129:$K$136,C117+1,FALSE)="CR",VLOOKUP(A117,Acessórios!$A$129:$K$136,C117+1,FALSE)="DR"),CONCATENATE("NA (",VLOOKUP(A117,Acessórios!$A$129:$K$136,C117+1,FALSE),")"),IF(VLOOKUP(A117,Acessórios!$A$129:$K$136,C117+1,FALSE)=0,"Não avaliado","Uniforme")))</f>
        <v>Não avaliado</v>
      </c>
      <c r="H117" s="3102"/>
      <c r="I117" s="2881" t="str">
        <f>IF(VLOOKUP(A117,Acessórios!$A$118:$K$125,C117+1,FALSE)=0,"Não avaliado",VLOOKUP(A117,Acessórios!$A$118:$K$125,C117+1,FALSE))</f>
        <v>Não avaliado</v>
      </c>
      <c r="J117" s="2881"/>
      <c r="K117" s="34" t="str">
        <f t="shared" si="1"/>
        <v>x</v>
      </c>
    </row>
    <row r="118" spans="1:11" ht="15" customHeight="1" x14ac:dyDescent="0.25">
      <c r="A118" s="2881" t="s">
        <v>771</v>
      </c>
      <c r="B118" s="2881"/>
      <c r="C118" s="2881">
        <v>7</v>
      </c>
      <c r="D118" s="2881"/>
      <c r="E118" s="3102" t="s">
        <v>240</v>
      </c>
      <c r="F118" s="3102"/>
      <c r="G118" s="3102" t="str">
        <f>IF(VLOOKUP(A118,Acessórios!$A$129:$K$136,C118+1,FALSE)="Ruim","Não uniforme",IF(OR(VLOOKUP(A118,Acessórios!$A$129:$K$136,C118+1,FALSE)="CR",VLOOKUP(A118,Acessórios!$A$129:$K$136,C118+1,FALSE)="DR"),CONCATENATE("NA (",VLOOKUP(A118,Acessórios!$A$129:$K$136,C118+1,FALSE),")"),IF(VLOOKUP(A118,Acessórios!$A$129:$K$136,C118+1,FALSE)=0,"Não avaliado","Uniforme")))</f>
        <v>Não avaliado</v>
      </c>
      <c r="H118" s="3102"/>
      <c r="I118" s="2881" t="str">
        <f>IF(VLOOKUP(A118,Acessórios!$A$118:$K$125,C118+1,FALSE)=0,"Não avaliado",VLOOKUP(A118,Acessórios!$A$118:$K$125,C118+1,FALSE))</f>
        <v>Não avaliado</v>
      </c>
      <c r="J118" s="2881"/>
      <c r="K118" s="34" t="str">
        <f t="shared" si="1"/>
        <v>x</v>
      </c>
    </row>
    <row r="119" spans="1:11" ht="15" customHeight="1" x14ac:dyDescent="0.25">
      <c r="A119" s="2881" t="s">
        <v>771</v>
      </c>
      <c r="B119" s="2881"/>
      <c r="C119" s="2881">
        <v>8</v>
      </c>
      <c r="D119" s="2881"/>
      <c r="E119" s="3102" t="s">
        <v>240</v>
      </c>
      <c r="F119" s="3102"/>
      <c r="G119" s="3102" t="str">
        <f>IF(VLOOKUP(A119,Acessórios!$A$129:$K$136,C119+1,FALSE)="Ruim","Não uniforme",IF(OR(VLOOKUP(A119,Acessórios!$A$129:$K$136,C119+1,FALSE)="CR",VLOOKUP(A119,Acessórios!$A$129:$K$136,C119+1,FALSE)="DR"),CONCATENATE("NA (",VLOOKUP(A119,Acessórios!$A$129:$K$136,C119+1,FALSE),")"),IF(VLOOKUP(A119,Acessórios!$A$129:$K$136,C119+1,FALSE)=0,"Não avaliado","Uniforme")))</f>
        <v>Não avaliado</v>
      </c>
      <c r="H119" s="3102"/>
      <c r="I119" s="2881" t="str">
        <f>IF(VLOOKUP(A119,Acessórios!$A$118:$K$125,C119+1,FALSE)=0,"Não avaliado",VLOOKUP(A119,Acessórios!$A$118:$K$125,C119+1,FALSE))</f>
        <v>Não avaliado</v>
      </c>
      <c r="J119" s="2881"/>
      <c r="K119" s="34" t="str">
        <f t="shared" si="1"/>
        <v>x</v>
      </c>
    </row>
    <row r="120" spans="1:11" ht="15" customHeight="1" x14ac:dyDescent="0.25">
      <c r="A120" s="2881" t="s">
        <v>771</v>
      </c>
      <c r="B120" s="2881"/>
      <c r="C120" s="2881">
        <v>9</v>
      </c>
      <c r="D120" s="2881"/>
      <c r="E120" s="3102" t="s">
        <v>240</v>
      </c>
      <c r="F120" s="3102"/>
      <c r="G120" s="3102" t="str">
        <f>IF(VLOOKUP(A120,Acessórios!$A$129:$K$136,C120+1,FALSE)="Ruim","Não uniforme",IF(OR(VLOOKUP(A120,Acessórios!$A$129:$K$136,C120+1,FALSE)="CR",VLOOKUP(A120,Acessórios!$A$129:$K$136,C120+1,FALSE)="DR"),CONCATENATE("NA (",VLOOKUP(A120,Acessórios!$A$129:$K$136,C120+1,FALSE),")"),IF(VLOOKUP(A120,Acessórios!$A$129:$K$136,C120+1,FALSE)=0,"Não avaliado","Uniforme")))</f>
        <v>Não avaliado</v>
      </c>
      <c r="H120" s="3102"/>
      <c r="I120" s="2881" t="str">
        <f>IF(VLOOKUP(A120,Acessórios!$A$118:$K$125,C120+1,FALSE)=0,"Não avaliado",VLOOKUP(A120,Acessórios!$A$118:$K$125,C120+1,FALSE))</f>
        <v>Não avaliado</v>
      </c>
      <c r="J120" s="2881"/>
      <c r="K120" s="34" t="str">
        <f t="shared" si="1"/>
        <v>x</v>
      </c>
    </row>
    <row r="121" spans="1:11" ht="15" customHeight="1" x14ac:dyDescent="0.25">
      <c r="A121" s="2881" t="s">
        <v>771</v>
      </c>
      <c r="B121" s="2881"/>
      <c r="C121" s="2881">
        <v>10</v>
      </c>
      <c r="D121" s="2881"/>
      <c r="E121" s="3102" t="s">
        <v>240</v>
      </c>
      <c r="F121" s="3102"/>
      <c r="G121" s="3102" t="str">
        <f>IF(VLOOKUP(A121,Acessórios!$A$129:$K$136,C121+1,FALSE)="Ruim","Não uniforme",IF(OR(VLOOKUP(A121,Acessórios!$A$129:$K$136,C121+1,FALSE)="CR",VLOOKUP(A121,Acessórios!$A$129:$K$136,C121+1,FALSE)="DR"),CONCATENATE("NA (",VLOOKUP(A121,Acessórios!$A$129:$K$136,C121+1,FALSE),")"),IF(VLOOKUP(A121,Acessórios!$A$129:$K$136,C121+1,FALSE)=0,"Não avaliado","Uniforme")))</f>
        <v>Não avaliado</v>
      </c>
      <c r="H121" s="3102"/>
      <c r="I121" s="2881" t="str">
        <f>IF(VLOOKUP(A121,Acessórios!$A$118:$K$125,C121+1,FALSE)=0,"Não avaliado",VLOOKUP(A121,Acessórios!$A$118:$K$125,C121+1,FALSE))</f>
        <v>Não avaliado</v>
      </c>
      <c r="J121" s="2881"/>
      <c r="K121" s="34" t="str">
        <f t="shared" si="1"/>
        <v>x</v>
      </c>
    </row>
    <row r="122" spans="1:11" ht="15" customHeight="1" x14ac:dyDescent="0.25">
      <c r="A122" s="2881" t="s">
        <v>772</v>
      </c>
      <c r="B122" s="2881"/>
      <c r="C122" s="2881">
        <v>1</v>
      </c>
      <c r="D122" s="2881"/>
      <c r="E122" s="3102" t="s">
        <v>240</v>
      </c>
      <c r="F122" s="3102"/>
      <c r="G122" s="3102" t="str">
        <f>IF(VLOOKUP(A122,Acessórios!$A$129:$K$136,C122+1,FALSE)="Ruim","Não uniforme",IF(OR(VLOOKUP(A122,Acessórios!$A$129:$K$136,C122+1,FALSE)="CR",VLOOKUP(A122,Acessórios!$A$129:$K$136,C122+1,FALSE)="DR"),CONCATENATE("NA (",VLOOKUP(A122,Acessórios!$A$129:$K$136,C122+1,FALSE),")"),IF(VLOOKUP(A122,Acessórios!$A$129:$K$136,C122+1,FALSE)=0,"Não avaliado","Uniforme")))</f>
        <v>Não avaliado</v>
      </c>
      <c r="H122" s="3102"/>
      <c r="I122" s="2881" t="str">
        <f>IF(VLOOKUP(A122,Acessórios!$A$118:$K$125,C122+1,FALSE)=0,"Não avaliado",VLOOKUP(A122,Acessórios!$A$118:$K$125,C122+1,FALSE))</f>
        <v>Não avaliado</v>
      </c>
      <c r="J122" s="2881"/>
      <c r="K122" s="34" t="str">
        <f t="shared" si="1"/>
        <v>x</v>
      </c>
    </row>
    <row r="123" spans="1:11" ht="15" customHeight="1" x14ac:dyDescent="0.25">
      <c r="A123" s="2881" t="s">
        <v>772</v>
      </c>
      <c r="B123" s="2881"/>
      <c r="C123" s="2881">
        <v>2</v>
      </c>
      <c r="D123" s="2881"/>
      <c r="E123" s="3102" t="s">
        <v>240</v>
      </c>
      <c r="F123" s="3102"/>
      <c r="G123" s="3102" t="str">
        <f>IF(VLOOKUP(A123,Acessórios!$A$129:$K$136,C123+1,FALSE)="Ruim","Não uniforme",IF(OR(VLOOKUP(A123,Acessórios!$A$129:$K$136,C123+1,FALSE)="CR",VLOOKUP(A123,Acessórios!$A$129:$K$136,C123+1,FALSE)="DR"),CONCATENATE("NA (",VLOOKUP(A123,Acessórios!$A$129:$K$136,C123+1,FALSE),")"),IF(VLOOKUP(A123,Acessórios!$A$129:$K$136,C123+1,FALSE)=0,"Não avaliado","Uniforme")))</f>
        <v>Não avaliado</v>
      </c>
      <c r="H123" s="3102"/>
      <c r="I123" s="2881" t="str">
        <f>IF(VLOOKUP(A123,Acessórios!$A$118:$K$125,C123+1,FALSE)=0,"Não avaliado",VLOOKUP(A123,Acessórios!$A$118:$K$125,C123+1,FALSE))</f>
        <v>Não avaliado</v>
      </c>
      <c r="J123" s="2881"/>
      <c r="K123" s="34" t="str">
        <f t="shared" si="1"/>
        <v>x</v>
      </c>
    </row>
    <row r="124" spans="1:11" ht="15" customHeight="1" x14ac:dyDescent="0.25">
      <c r="A124" s="2881" t="s">
        <v>772</v>
      </c>
      <c r="B124" s="2881"/>
      <c r="C124" s="2881">
        <v>3</v>
      </c>
      <c r="D124" s="2881"/>
      <c r="E124" s="3102" t="s">
        <v>240</v>
      </c>
      <c r="F124" s="3102"/>
      <c r="G124" s="3102" t="str">
        <f>IF(VLOOKUP(A124,Acessórios!$A$129:$K$136,C124+1,FALSE)="Ruim","Não uniforme",IF(OR(VLOOKUP(A124,Acessórios!$A$129:$K$136,C124+1,FALSE)="CR",VLOOKUP(A124,Acessórios!$A$129:$K$136,C124+1,FALSE)="DR"),CONCATENATE("NA (",VLOOKUP(A124,Acessórios!$A$129:$K$136,C124+1,FALSE),")"),IF(VLOOKUP(A124,Acessórios!$A$129:$K$136,C124+1,FALSE)=0,"Não avaliado","Uniforme")))</f>
        <v>Não avaliado</v>
      </c>
      <c r="H124" s="3102"/>
      <c r="I124" s="2881" t="str">
        <f>IF(VLOOKUP(A124,Acessórios!$A$118:$K$125,C124+1,FALSE)=0,"Não avaliado",VLOOKUP(A124,Acessórios!$A$118:$K$125,C124+1,FALSE))</f>
        <v>Não avaliado</v>
      </c>
      <c r="J124" s="2881"/>
      <c r="K124" s="34" t="str">
        <f t="shared" si="1"/>
        <v>x</v>
      </c>
    </row>
    <row r="125" spans="1:11" ht="15" customHeight="1" x14ac:dyDescent="0.25">
      <c r="A125" s="2881" t="s">
        <v>772</v>
      </c>
      <c r="B125" s="2881"/>
      <c r="C125" s="2881">
        <v>4</v>
      </c>
      <c r="D125" s="2881"/>
      <c r="E125" s="3102" t="s">
        <v>240</v>
      </c>
      <c r="F125" s="3102"/>
      <c r="G125" s="3102" t="str">
        <f>IF(VLOOKUP(A125,Acessórios!$A$129:$K$136,C125+1,FALSE)="Ruim","Não uniforme",IF(OR(VLOOKUP(A125,Acessórios!$A$129:$K$136,C125+1,FALSE)="CR",VLOOKUP(A125,Acessórios!$A$129:$K$136,C125+1,FALSE)="DR"),CONCATENATE("NA (",VLOOKUP(A125,Acessórios!$A$129:$K$136,C125+1,FALSE),")"),IF(VLOOKUP(A125,Acessórios!$A$129:$K$136,C125+1,FALSE)=0,"Não avaliado","Uniforme")))</f>
        <v>Não avaliado</v>
      </c>
      <c r="H125" s="3102"/>
      <c r="I125" s="2881" t="str">
        <f>IF(VLOOKUP(A125,Acessórios!$A$118:$K$125,C125+1,FALSE)=0,"Não avaliado",VLOOKUP(A125,Acessórios!$A$118:$K$125,C125+1,FALSE))</f>
        <v>Não avaliado</v>
      </c>
      <c r="J125" s="2881"/>
      <c r="K125" s="34" t="str">
        <f t="shared" si="1"/>
        <v>x</v>
      </c>
    </row>
    <row r="126" spans="1:11" ht="15" customHeight="1" x14ac:dyDescent="0.25">
      <c r="A126" s="2881" t="s">
        <v>772</v>
      </c>
      <c r="B126" s="2881"/>
      <c r="C126" s="2881">
        <v>5</v>
      </c>
      <c r="D126" s="2881"/>
      <c r="E126" s="3102" t="s">
        <v>240</v>
      </c>
      <c r="F126" s="3102"/>
      <c r="G126" s="3102" t="str">
        <f>IF(VLOOKUP(A126,Acessórios!$A$129:$K$136,C126+1,FALSE)="Ruim","Não uniforme",IF(OR(VLOOKUP(A126,Acessórios!$A$129:$K$136,C126+1,FALSE)="CR",VLOOKUP(A126,Acessórios!$A$129:$K$136,C126+1,FALSE)="DR"),CONCATENATE("NA (",VLOOKUP(A126,Acessórios!$A$129:$K$136,C126+1,FALSE),")"),IF(VLOOKUP(A126,Acessórios!$A$129:$K$136,C126+1,FALSE)=0,"Não avaliado","Uniforme")))</f>
        <v>Não avaliado</v>
      </c>
      <c r="H126" s="3102"/>
      <c r="I126" s="2881" t="str">
        <f>IF(VLOOKUP(A126,Acessórios!$A$118:$K$125,C126+1,FALSE)=0,"Não avaliado",VLOOKUP(A126,Acessórios!$A$118:$K$125,C126+1,FALSE))</f>
        <v>Não avaliado</v>
      </c>
      <c r="J126" s="2881"/>
      <c r="K126" s="34" t="str">
        <f t="shared" si="1"/>
        <v>x</v>
      </c>
    </row>
    <row r="127" spans="1:11" ht="15" customHeight="1" x14ac:dyDescent="0.25">
      <c r="A127" s="2881" t="s">
        <v>772</v>
      </c>
      <c r="B127" s="2881"/>
      <c r="C127" s="2881">
        <v>6</v>
      </c>
      <c r="D127" s="2881"/>
      <c r="E127" s="3102" t="s">
        <v>240</v>
      </c>
      <c r="F127" s="3102"/>
      <c r="G127" s="3102" t="str">
        <f>IF(VLOOKUP(A127,Acessórios!$A$129:$K$136,C127+1,FALSE)="Ruim","Não uniforme",IF(OR(VLOOKUP(A127,Acessórios!$A$129:$K$136,C127+1,FALSE)="CR",VLOOKUP(A127,Acessórios!$A$129:$K$136,C127+1,FALSE)="DR"),CONCATENATE("NA (",VLOOKUP(A127,Acessórios!$A$129:$K$136,C127+1,FALSE),")"),IF(VLOOKUP(A127,Acessórios!$A$129:$K$136,C127+1,FALSE)=0,"Não avaliado","Uniforme")))</f>
        <v>Não avaliado</v>
      </c>
      <c r="H127" s="3102"/>
      <c r="I127" s="2881" t="str">
        <f>IF(VLOOKUP(A127,Acessórios!$A$118:$K$125,C127+1,FALSE)=0,"Não avaliado",VLOOKUP(A127,Acessórios!$A$118:$K$125,C127+1,FALSE))</f>
        <v>Não avaliado</v>
      </c>
      <c r="J127" s="2881"/>
      <c r="K127" s="34" t="str">
        <f t="shared" ref="K127:K151" si="2">IF(I127&lt;&gt;"Não avaliado","","x")</f>
        <v>x</v>
      </c>
    </row>
    <row r="128" spans="1:11" ht="15" customHeight="1" x14ac:dyDescent="0.25">
      <c r="A128" s="2881" t="s">
        <v>772</v>
      </c>
      <c r="B128" s="2881"/>
      <c r="C128" s="2881">
        <v>7</v>
      </c>
      <c r="D128" s="2881"/>
      <c r="E128" s="3102" t="s">
        <v>240</v>
      </c>
      <c r="F128" s="3102"/>
      <c r="G128" s="3102" t="str">
        <f>IF(VLOOKUP(A128,Acessórios!$A$129:$K$136,C128+1,FALSE)="Ruim","Não uniforme",IF(OR(VLOOKUP(A128,Acessórios!$A$129:$K$136,C128+1,FALSE)="CR",VLOOKUP(A128,Acessórios!$A$129:$K$136,C128+1,FALSE)="DR"),CONCATENATE("NA (",VLOOKUP(A128,Acessórios!$A$129:$K$136,C128+1,FALSE),")"),IF(VLOOKUP(A128,Acessórios!$A$129:$K$136,C128+1,FALSE)=0,"Não avaliado","Uniforme")))</f>
        <v>Não avaliado</v>
      </c>
      <c r="H128" s="3102"/>
      <c r="I128" s="2881" t="str">
        <f>IF(VLOOKUP(A128,Acessórios!$A$118:$K$125,C128+1,FALSE)=0,"Não avaliado",VLOOKUP(A128,Acessórios!$A$118:$K$125,C128+1,FALSE))</f>
        <v>Não avaliado</v>
      </c>
      <c r="J128" s="2881"/>
      <c r="K128" s="34" t="str">
        <f t="shared" si="2"/>
        <v>x</v>
      </c>
    </row>
    <row r="129" spans="1:11" ht="15" customHeight="1" x14ac:dyDescent="0.25">
      <c r="A129" s="2881" t="s">
        <v>772</v>
      </c>
      <c r="B129" s="2881"/>
      <c r="C129" s="2881">
        <v>8</v>
      </c>
      <c r="D129" s="2881"/>
      <c r="E129" s="3102" t="s">
        <v>240</v>
      </c>
      <c r="F129" s="3102"/>
      <c r="G129" s="3102" t="str">
        <f>IF(VLOOKUP(A129,Acessórios!$A$129:$K$136,C129+1,FALSE)="Ruim","Não uniforme",IF(OR(VLOOKUP(A129,Acessórios!$A$129:$K$136,C129+1,FALSE)="CR",VLOOKUP(A129,Acessórios!$A$129:$K$136,C129+1,FALSE)="DR"),CONCATENATE("NA (",VLOOKUP(A129,Acessórios!$A$129:$K$136,C129+1,FALSE),")"),IF(VLOOKUP(A129,Acessórios!$A$129:$K$136,C129+1,FALSE)=0,"Não avaliado","Uniforme")))</f>
        <v>Não avaliado</v>
      </c>
      <c r="H129" s="3102"/>
      <c r="I129" s="2881" t="str">
        <f>IF(VLOOKUP(A129,Acessórios!$A$118:$K$125,C129+1,FALSE)=0,"Não avaliado",VLOOKUP(A129,Acessórios!$A$118:$K$125,C129+1,FALSE))</f>
        <v>Não avaliado</v>
      </c>
      <c r="J129" s="2881"/>
      <c r="K129" s="34" t="str">
        <f t="shared" si="2"/>
        <v>x</v>
      </c>
    </row>
    <row r="130" spans="1:11" ht="15" customHeight="1" x14ac:dyDescent="0.25">
      <c r="A130" s="2881" t="s">
        <v>772</v>
      </c>
      <c r="B130" s="2881"/>
      <c r="C130" s="2881">
        <v>9</v>
      </c>
      <c r="D130" s="2881"/>
      <c r="E130" s="3102" t="s">
        <v>240</v>
      </c>
      <c r="F130" s="3102"/>
      <c r="G130" s="3102" t="str">
        <f>IF(VLOOKUP(A130,Acessórios!$A$129:$K$136,C130+1,FALSE)="Ruim","Não uniforme",IF(OR(VLOOKUP(A130,Acessórios!$A$129:$K$136,C130+1,FALSE)="CR",VLOOKUP(A130,Acessórios!$A$129:$K$136,C130+1,FALSE)="DR"),CONCATENATE("NA (",VLOOKUP(A130,Acessórios!$A$129:$K$136,C130+1,FALSE),")"),IF(VLOOKUP(A130,Acessórios!$A$129:$K$136,C130+1,FALSE)=0,"Não avaliado","Uniforme")))</f>
        <v>Não avaliado</v>
      </c>
      <c r="H130" s="3102"/>
      <c r="I130" s="2881" t="str">
        <f>IF(VLOOKUP(A130,Acessórios!$A$118:$K$125,C130+1,FALSE)=0,"Não avaliado",VLOOKUP(A130,Acessórios!$A$118:$K$125,C130+1,FALSE))</f>
        <v>Não avaliado</v>
      </c>
      <c r="J130" s="2881"/>
      <c r="K130" s="34" t="str">
        <f t="shared" si="2"/>
        <v>x</v>
      </c>
    </row>
    <row r="131" spans="1:11" ht="15" customHeight="1" x14ac:dyDescent="0.25">
      <c r="A131" s="2881" t="s">
        <v>772</v>
      </c>
      <c r="B131" s="2881"/>
      <c r="C131" s="2881">
        <v>10</v>
      </c>
      <c r="D131" s="2881"/>
      <c r="E131" s="3102" t="s">
        <v>240</v>
      </c>
      <c r="F131" s="3102"/>
      <c r="G131" s="3102" t="str">
        <f>IF(VLOOKUP(A131,Acessórios!$A$129:$K$136,C131+1,FALSE)="Ruim","Não uniforme",IF(OR(VLOOKUP(A131,Acessórios!$A$129:$K$136,C131+1,FALSE)="CR",VLOOKUP(A131,Acessórios!$A$129:$K$136,C131+1,FALSE)="DR"),CONCATENATE("NA (",VLOOKUP(A131,Acessórios!$A$129:$K$136,C131+1,FALSE),")"),IF(VLOOKUP(A131,Acessórios!$A$129:$K$136,C131+1,FALSE)=0,"Não avaliado","Uniforme")))</f>
        <v>Não avaliado</v>
      </c>
      <c r="H131" s="3102"/>
      <c r="I131" s="2881" t="str">
        <f>IF(VLOOKUP(A131,Acessórios!$A$118:$K$125,C131+1,FALSE)=0,"Não avaliado",VLOOKUP(A131,Acessórios!$A$118:$K$125,C131+1,FALSE))</f>
        <v>Não avaliado</v>
      </c>
      <c r="J131" s="2881"/>
      <c r="K131" s="34" t="str">
        <f t="shared" si="2"/>
        <v>x</v>
      </c>
    </row>
    <row r="132" spans="1:11" ht="15" customHeight="1" x14ac:dyDescent="0.25">
      <c r="A132" s="2881" t="s">
        <v>773</v>
      </c>
      <c r="B132" s="2881"/>
      <c r="C132" s="2881">
        <v>1</v>
      </c>
      <c r="D132" s="2881"/>
      <c r="E132" s="3102" t="s">
        <v>240</v>
      </c>
      <c r="F132" s="3102"/>
      <c r="G132" s="3102" t="str">
        <f>IF(VLOOKUP(A132,Acessórios!$A$129:$K$136,C132+1,FALSE)="Ruim","Não uniforme",IF(OR(VLOOKUP(A132,Acessórios!$A$129:$K$136,C132+1,FALSE)="CR",VLOOKUP(A132,Acessórios!$A$129:$K$136,C132+1,FALSE)="DR"),CONCATENATE("NA (",VLOOKUP(A132,Acessórios!$A$129:$K$136,C132+1,FALSE),")"),IF(VLOOKUP(A132,Acessórios!$A$129:$K$136,C132+1,FALSE)=0,"Não avaliado","Uniforme")))</f>
        <v>Não avaliado</v>
      </c>
      <c r="H132" s="3102"/>
      <c r="I132" s="2881" t="str">
        <f>IF(VLOOKUP(A132,Acessórios!$A$118:$K$125,C132+1,FALSE)=0,"Não avaliado",VLOOKUP(A132,Acessórios!$A$118:$K$125,C132+1,FALSE))</f>
        <v>Não avaliado</v>
      </c>
      <c r="J132" s="2881"/>
      <c r="K132" s="34" t="str">
        <f t="shared" si="2"/>
        <v>x</v>
      </c>
    </row>
    <row r="133" spans="1:11" ht="15" customHeight="1" x14ac:dyDescent="0.25">
      <c r="A133" s="2881" t="s">
        <v>773</v>
      </c>
      <c r="B133" s="2881"/>
      <c r="C133" s="2881">
        <v>2</v>
      </c>
      <c r="D133" s="2881"/>
      <c r="E133" s="3102" t="s">
        <v>240</v>
      </c>
      <c r="F133" s="3102"/>
      <c r="G133" s="3102" t="str">
        <f>IF(VLOOKUP(A133,Acessórios!$A$129:$K$136,C133+1,FALSE)="Ruim","Não uniforme",IF(OR(VLOOKUP(A133,Acessórios!$A$129:$K$136,C133+1,FALSE)="CR",VLOOKUP(A133,Acessórios!$A$129:$K$136,C133+1,FALSE)="DR"),CONCATENATE("NA (",VLOOKUP(A133,Acessórios!$A$129:$K$136,C133+1,FALSE),")"),IF(VLOOKUP(A133,Acessórios!$A$129:$K$136,C133+1,FALSE)=0,"Não avaliado","Uniforme")))</f>
        <v>Não avaliado</v>
      </c>
      <c r="H133" s="3102"/>
      <c r="I133" s="2881" t="str">
        <f>IF(VLOOKUP(A133,Acessórios!$A$118:$K$125,C133+1,FALSE)=0,"Não avaliado",VLOOKUP(A133,Acessórios!$A$118:$K$125,C133+1,FALSE))</f>
        <v>Não avaliado</v>
      </c>
      <c r="J133" s="2881"/>
      <c r="K133" s="34" t="str">
        <f t="shared" si="2"/>
        <v>x</v>
      </c>
    </row>
    <row r="134" spans="1:11" ht="15" customHeight="1" x14ac:dyDescent="0.25">
      <c r="A134" s="2881" t="s">
        <v>773</v>
      </c>
      <c r="B134" s="2881"/>
      <c r="C134" s="2881">
        <v>3</v>
      </c>
      <c r="D134" s="2881"/>
      <c r="E134" s="3102" t="s">
        <v>240</v>
      </c>
      <c r="F134" s="3102"/>
      <c r="G134" s="3102" t="str">
        <f>IF(VLOOKUP(A134,Acessórios!$A$129:$K$136,C134+1,FALSE)="Ruim","Não uniforme",IF(OR(VLOOKUP(A134,Acessórios!$A$129:$K$136,C134+1,FALSE)="CR",VLOOKUP(A134,Acessórios!$A$129:$K$136,C134+1,FALSE)="DR"),CONCATENATE("NA (",VLOOKUP(A134,Acessórios!$A$129:$K$136,C134+1,FALSE),")"),IF(VLOOKUP(A134,Acessórios!$A$129:$K$136,C134+1,FALSE)=0,"Não avaliado","Uniforme")))</f>
        <v>Não avaliado</v>
      </c>
      <c r="H134" s="3102"/>
      <c r="I134" s="2881" t="str">
        <f>IF(VLOOKUP(A134,Acessórios!$A$118:$K$125,C134+1,FALSE)=0,"Não avaliado",VLOOKUP(A134,Acessórios!$A$118:$K$125,C134+1,FALSE))</f>
        <v>Não avaliado</v>
      </c>
      <c r="J134" s="2881"/>
      <c r="K134" s="34" t="str">
        <f t="shared" si="2"/>
        <v>x</v>
      </c>
    </row>
    <row r="135" spans="1:11" ht="15" customHeight="1" x14ac:dyDescent="0.25">
      <c r="A135" s="2881" t="s">
        <v>773</v>
      </c>
      <c r="B135" s="2881"/>
      <c r="C135" s="2881">
        <v>4</v>
      </c>
      <c r="D135" s="2881"/>
      <c r="E135" s="3102" t="s">
        <v>240</v>
      </c>
      <c r="F135" s="3102"/>
      <c r="G135" s="3102" t="str">
        <f>IF(VLOOKUP(A135,Acessórios!$A$129:$K$136,C135+1,FALSE)="Ruim","Não uniforme",IF(OR(VLOOKUP(A135,Acessórios!$A$129:$K$136,C135+1,FALSE)="CR",VLOOKUP(A135,Acessórios!$A$129:$K$136,C135+1,FALSE)="DR"),CONCATENATE("NA (",VLOOKUP(A135,Acessórios!$A$129:$K$136,C135+1,FALSE),")"),IF(VLOOKUP(A135,Acessórios!$A$129:$K$136,C135+1,FALSE)=0,"Não avaliado","Uniforme")))</f>
        <v>Não avaliado</v>
      </c>
      <c r="H135" s="3102"/>
      <c r="I135" s="2881" t="str">
        <f>IF(VLOOKUP(A135,Acessórios!$A$118:$K$125,C135+1,FALSE)=0,"Não avaliado",VLOOKUP(A135,Acessórios!$A$118:$K$125,C135+1,FALSE))</f>
        <v>Não avaliado</v>
      </c>
      <c r="J135" s="2881"/>
      <c r="K135" s="34" t="str">
        <f t="shared" si="2"/>
        <v>x</v>
      </c>
    </row>
    <row r="136" spans="1:11" ht="15" customHeight="1" x14ac:dyDescent="0.25">
      <c r="A136" s="2881" t="s">
        <v>773</v>
      </c>
      <c r="B136" s="2881"/>
      <c r="C136" s="2881">
        <v>5</v>
      </c>
      <c r="D136" s="2881"/>
      <c r="E136" s="3102" t="s">
        <v>240</v>
      </c>
      <c r="F136" s="3102"/>
      <c r="G136" s="3102" t="str">
        <f>IF(VLOOKUP(A136,Acessórios!$A$129:$K$136,C136+1,FALSE)="Ruim","Não uniforme",IF(OR(VLOOKUP(A136,Acessórios!$A$129:$K$136,C136+1,FALSE)="CR",VLOOKUP(A136,Acessórios!$A$129:$K$136,C136+1,FALSE)="DR"),CONCATENATE("NA (",VLOOKUP(A136,Acessórios!$A$129:$K$136,C136+1,FALSE),")"),IF(VLOOKUP(A136,Acessórios!$A$129:$K$136,C136+1,FALSE)=0,"Não avaliado","Uniforme")))</f>
        <v>Não avaliado</v>
      </c>
      <c r="H136" s="3102"/>
      <c r="I136" s="2881" t="str">
        <f>IF(VLOOKUP(A136,Acessórios!$A$118:$K$125,C136+1,FALSE)=0,"Não avaliado",VLOOKUP(A136,Acessórios!$A$118:$K$125,C136+1,FALSE))</f>
        <v>Não avaliado</v>
      </c>
      <c r="J136" s="2881"/>
      <c r="K136" s="34" t="str">
        <f t="shared" si="2"/>
        <v>x</v>
      </c>
    </row>
    <row r="137" spans="1:11" ht="15" customHeight="1" x14ac:dyDescent="0.25">
      <c r="A137" s="2881" t="s">
        <v>773</v>
      </c>
      <c r="B137" s="2881"/>
      <c r="C137" s="2881">
        <v>6</v>
      </c>
      <c r="D137" s="2881"/>
      <c r="E137" s="3102" t="s">
        <v>240</v>
      </c>
      <c r="F137" s="3102"/>
      <c r="G137" s="3102" t="str">
        <f>IF(VLOOKUP(A137,Acessórios!$A$129:$K$136,C137+1,FALSE)="Ruim","Não uniforme",IF(OR(VLOOKUP(A137,Acessórios!$A$129:$K$136,C137+1,FALSE)="CR",VLOOKUP(A137,Acessórios!$A$129:$K$136,C137+1,FALSE)="DR"),CONCATENATE("NA (",VLOOKUP(A137,Acessórios!$A$129:$K$136,C137+1,FALSE),")"),IF(VLOOKUP(A137,Acessórios!$A$129:$K$136,C137+1,FALSE)=0,"Não avaliado","Uniforme")))</f>
        <v>Não avaliado</v>
      </c>
      <c r="H137" s="3102"/>
      <c r="I137" s="2881" t="str">
        <f>IF(VLOOKUP(A137,Acessórios!$A$118:$K$125,C137+1,FALSE)=0,"Não avaliado",VLOOKUP(A137,Acessórios!$A$118:$K$125,C137+1,FALSE))</f>
        <v>Não avaliado</v>
      </c>
      <c r="J137" s="2881"/>
      <c r="K137" s="34" t="str">
        <f t="shared" si="2"/>
        <v>x</v>
      </c>
    </row>
    <row r="138" spans="1:11" ht="15" customHeight="1" x14ac:dyDescent="0.25">
      <c r="A138" s="2881" t="s">
        <v>773</v>
      </c>
      <c r="B138" s="2881"/>
      <c r="C138" s="2881">
        <v>7</v>
      </c>
      <c r="D138" s="2881"/>
      <c r="E138" s="3102" t="s">
        <v>240</v>
      </c>
      <c r="F138" s="3102"/>
      <c r="G138" s="3102" t="str">
        <f>IF(VLOOKUP(A138,Acessórios!$A$129:$K$136,C138+1,FALSE)="Ruim","Não uniforme",IF(OR(VLOOKUP(A138,Acessórios!$A$129:$K$136,C138+1,FALSE)="CR",VLOOKUP(A138,Acessórios!$A$129:$K$136,C138+1,FALSE)="DR"),CONCATENATE("NA (",VLOOKUP(A138,Acessórios!$A$129:$K$136,C138+1,FALSE),")"),IF(VLOOKUP(A138,Acessórios!$A$129:$K$136,C138+1,FALSE)=0,"Não avaliado","Uniforme")))</f>
        <v>Não avaliado</v>
      </c>
      <c r="H138" s="3102"/>
      <c r="I138" s="2881" t="str">
        <f>IF(VLOOKUP(A138,Acessórios!$A$118:$K$125,C138+1,FALSE)=0,"Não avaliado",VLOOKUP(A138,Acessórios!$A$118:$K$125,C138+1,FALSE))</f>
        <v>Não avaliado</v>
      </c>
      <c r="J138" s="2881"/>
      <c r="K138" s="34" t="str">
        <f t="shared" si="2"/>
        <v>x</v>
      </c>
    </row>
    <row r="139" spans="1:11" ht="15" customHeight="1" x14ac:dyDescent="0.25">
      <c r="A139" s="2881" t="s">
        <v>773</v>
      </c>
      <c r="B139" s="2881"/>
      <c r="C139" s="2881">
        <v>8</v>
      </c>
      <c r="D139" s="2881"/>
      <c r="E139" s="3102" t="s">
        <v>240</v>
      </c>
      <c r="F139" s="3102"/>
      <c r="G139" s="3102" t="str">
        <f>IF(VLOOKUP(A139,Acessórios!$A$129:$K$136,C139+1,FALSE)="Ruim","Não uniforme",IF(OR(VLOOKUP(A139,Acessórios!$A$129:$K$136,C139+1,FALSE)="CR",VLOOKUP(A139,Acessórios!$A$129:$K$136,C139+1,FALSE)="DR"),CONCATENATE("NA (",VLOOKUP(A139,Acessórios!$A$129:$K$136,C139+1,FALSE),")"),IF(VLOOKUP(A139,Acessórios!$A$129:$K$136,C139+1,FALSE)=0,"Não avaliado","Uniforme")))</f>
        <v>Não avaliado</v>
      </c>
      <c r="H139" s="3102"/>
      <c r="I139" s="2881" t="str">
        <f>IF(VLOOKUP(A139,Acessórios!$A$118:$K$125,C139+1,FALSE)=0,"Não avaliado",VLOOKUP(A139,Acessórios!$A$118:$K$125,C139+1,FALSE))</f>
        <v>Não avaliado</v>
      </c>
      <c r="J139" s="2881"/>
      <c r="K139" s="34" t="str">
        <f t="shared" si="2"/>
        <v>x</v>
      </c>
    </row>
    <row r="140" spans="1:11" ht="15" customHeight="1" x14ac:dyDescent="0.25">
      <c r="A140" s="2881" t="s">
        <v>773</v>
      </c>
      <c r="B140" s="2881"/>
      <c r="C140" s="2881">
        <v>9</v>
      </c>
      <c r="D140" s="2881"/>
      <c r="E140" s="3102" t="s">
        <v>240</v>
      </c>
      <c r="F140" s="3102"/>
      <c r="G140" s="3102" t="str">
        <f>IF(VLOOKUP(A140,Acessórios!$A$129:$K$136,C140+1,FALSE)="Ruim","Não uniforme",IF(OR(VLOOKUP(A140,Acessórios!$A$129:$K$136,C140+1,FALSE)="CR",VLOOKUP(A140,Acessórios!$A$129:$K$136,C140+1,FALSE)="DR"),CONCATENATE("NA (",VLOOKUP(A140,Acessórios!$A$129:$K$136,C140+1,FALSE),")"),IF(VLOOKUP(A140,Acessórios!$A$129:$K$136,C140+1,FALSE)=0,"Não avaliado","Uniforme")))</f>
        <v>Não avaliado</v>
      </c>
      <c r="H140" s="3102"/>
      <c r="I140" s="2881" t="str">
        <f>IF(VLOOKUP(A140,Acessórios!$A$118:$K$125,C140+1,FALSE)=0,"Não avaliado",VLOOKUP(A140,Acessórios!$A$118:$K$125,C140+1,FALSE))</f>
        <v>Não avaliado</v>
      </c>
      <c r="J140" s="2881"/>
      <c r="K140" s="34" t="str">
        <f t="shared" si="2"/>
        <v>x</v>
      </c>
    </row>
    <row r="141" spans="1:11" ht="15" customHeight="1" x14ac:dyDescent="0.25">
      <c r="A141" s="2881" t="s">
        <v>773</v>
      </c>
      <c r="B141" s="2881"/>
      <c r="C141" s="2881">
        <v>10</v>
      </c>
      <c r="D141" s="2881"/>
      <c r="E141" s="3102" t="s">
        <v>240</v>
      </c>
      <c r="F141" s="3102"/>
      <c r="G141" s="3102" t="str">
        <f>IF(VLOOKUP(A141,Acessórios!$A$129:$K$136,C141+1,FALSE)="Ruim","Não uniforme",IF(OR(VLOOKUP(A141,Acessórios!$A$129:$K$136,C141+1,FALSE)="CR",VLOOKUP(A141,Acessórios!$A$129:$K$136,C141+1,FALSE)="DR"),CONCATENATE("NA (",VLOOKUP(A141,Acessórios!$A$129:$K$136,C141+1,FALSE),")"),IF(VLOOKUP(A141,Acessórios!$A$129:$K$136,C141+1,FALSE)=0,"Não avaliado","Uniforme")))</f>
        <v>Não avaliado</v>
      </c>
      <c r="H141" s="3102"/>
      <c r="I141" s="2881" t="str">
        <f>IF(VLOOKUP(A141,Acessórios!$A$118:$K$125,C141+1,FALSE)=0,"Não avaliado",VLOOKUP(A141,Acessórios!$A$118:$K$125,C141+1,FALSE))</f>
        <v>Não avaliado</v>
      </c>
      <c r="J141" s="2881"/>
      <c r="K141" s="34" t="str">
        <f t="shared" si="2"/>
        <v>x</v>
      </c>
    </row>
    <row r="142" spans="1:11" ht="15" customHeight="1" x14ac:dyDescent="0.25">
      <c r="A142" s="2881" t="s">
        <v>774</v>
      </c>
      <c r="B142" s="2881"/>
      <c r="C142" s="2881">
        <v>1</v>
      </c>
      <c r="D142" s="2881"/>
      <c r="E142" s="3102" t="s">
        <v>240</v>
      </c>
      <c r="F142" s="3102"/>
      <c r="G142" s="3102" t="str">
        <f>IF(VLOOKUP(A142,Acessórios!$A$129:$K$136,C142+1,FALSE)="Ruim","Não uniforme",IF(OR(VLOOKUP(A142,Acessórios!$A$129:$K$136,C142+1,FALSE)="CR",VLOOKUP(A142,Acessórios!$A$129:$K$136,C142+1,FALSE)="DR"),CONCATENATE("NA (",VLOOKUP(A142,Acessórios!$A$129:$K$136,C142+1,FALSE),")"),IF(VLOOKUP(A142,Acessórios!$A$129:$K$136,C142+1,FALSE)=0,"Não avaliado","Uniforme")))</f>
        <v>Não avaliado</v>
      </c>
      <c r="H142" s="3102"/>
      <c r="I142" s="2881" t="str">
        <f>IF(VLOOKUP(A142,Acessórios!$A$118:$K$125,C142+1,FALSE)=0,"Não avaliado",VLOOKUP(A142,Acessórios!$A$118:$K$125,C142+1,FALSE))</f>
        <v>Não avaliado</v>
      </c>
      <c r="J142" s="2881"/>
      <c r="K142" s="34" t="str">
        <f t="shared" si="2"/>
        <v>x</v>
      </c>
    </row>
    <row r="143" spans="1:11" ht="15" customHeight="1" x14ac:dyDescent="0.25">
      <c r="A143" s="2881" t="s">
        <v>774</v>
      </c>
      <c r="B143" s="2881"/>
      <c r="C143" s="2881">
        <v>2</v>
      </c>
      <c r="D143" s="2881"/>
      <c r="E143" s="3102" t="s">
        <v>240</v>
      </c>
      <c r="F143" s="3102"/>
      <c r="G143" s="3102" t="str">
        <f>IF(VLOOKUP(A143,Acessórios!$A$129:$K$136,C143+1,FALSE)="Ruim","Não uniforme",IF(OR(VLOOKUP(A143,Acessórios!$A$129:$K$136,C143+1,FALSE)="CR",VLOOKUP(A143,Acessórios!$A$129:$K$136,C143+1,FALSE)="DR"),CONCATENATE("NA (",VLOOKUP(A143,Acessórios!$A$129:$K$136,C143+1,FALSE),")"),IF(VLOOKUP(A143,Acessórios!$A$129:$K$136,C143+1,FALSE)=0,"Não avaliado","Uniforme")))</f>
        <v>Não avaliado</v>
      </c>
      <c r="H143" s="3102"/>
      <c r="I143" s="2881" t="str">
        <f>IF(VLOOKUP(A143,Acessórios!$A$118:$K$125,C143+1,FALSE)=0,"Não avaliado",VLOOKUP(A143,Acessórios!$A$118:$K$125,C143+1,FALSE))</f>
        <v>Não avaliado</v>
      </c>
      <c r="J143" s="2881"/>
      <c r="K143" s="34" t="str">
        <f t="shared" si="2"/>
        <v>x</v>
      </c>
    </row>
    <row r="144" spans="1:11" ht="15" customHeight="1" x14ac:dyDescent="0.25">
      <c r="A144" s="2881" t="s">
        <v>774</v>
      </c>
      <c r="B144" s="2881"/>
      <c r="C144" s="2881">
        <v>3</v>
      </c>
      <c r="D144" s="2881"/>
      <c r="E144" s="3102" t="s">
        <v>240</v>
      </c>
      <c r="F144" s="3102"/>
      <c r="G144" s="3102" t="str">
        <f>IF(VLOOKUP(A144,Acessórios!$A$129:$K$136,C144+1,FALSE)="Ruim","Não uniforme",IF(OR(VLOOKUP(A144,Acessórios!$A$129:$K$136,C144+1,FALSE)="CR",VLOOKUP(A144,Acessórios!$A$129:$K$136,C144+1,FALSE)="DR"),CONCATENATE("NA (",VLOOKUP(A144,Acessórios!$A$129:$K$136,C144+1,FALSE),")"),IF(VLOOKUP(A144,Acessórios!$A$129:$K$136,C144+1,FALSE)=0,"Não avaliado","Uniforme")))</f>
        <v>Não avaliado</v>
      </c>
      <c r="H144" s="3102"/>
      <c r="I144" s="2881" t="str">
        <f>IF(VLOOKUP(A144,Acessórios!$A$118:$K$125,C144+1,FALSE)=0,"Não avaliado",VLOOKUP(A144,Acessórios!$A$118:$K$125,C144+1,FALSE))</f>
        <v>Não avaliado</v>
      </c>
      <c r="J144" s="2881"/>
      <c r="K144" s="34" t="str">
        <f t="shared" si="2"/>
        <v>x</v>
      </c>
    </row>
    <row r="145" spans="1:12" ht="15" customHeight="1" x14ac:dyDescent="0.25">
      <c r="A145" s="2881" t="s">
        <v>774</v>
      </c>
      <c r="B145" s="2881"/>
      <c r="C145" s="2881">
        <v>4</v>
      </c>
      <c r="D145" s="2881"/>
      <c r="E145" s="3102" t="s">
        <v>240</v>
      </c>
      <c r="F145" s="3102"/>
      <c r="G145" s="3102" t="str">
        <f>IF(VLOOKUP(A145,Acessórios!$A$129:$K$136,C145+1,FALSE)="Ruim","Não uniforme",IF(OR(VLOOKUP(A145,Acessórios!$A$129:$K$136,C145+1,FALSE)="CR",VLOOKUP(A145,Acessórios!$A$129:$K$136,C145+1,FALSE)="DR"),CONCATENATE("NA (",VLOOKUP(A145,Acessórios!$A$129:$K$136,C145+1,FALSE),")"),IF(VLOOKUP(A145,Acessórios!$A$129:$K$136,C145+1,FALSE)=0,"Não avaliado","Uniforme")))</f>
        <v>Não avaliado</v>
      </c>
      <c r="H145" s="3102"/>
      <c r="I145" s="2881" t="str">
        <f>IF(VLOOKUP(A145,Acessórios!$A$118:$K$125,C145+1,FALSE)=0,"Não avaliado",VLOOKUP(A145,Acessórios!$A$118:$K$125,C145+1,FALSE))</f>
        <v>Não avaliado</v>
      </c>
      <c r="J145" s="2881"/>
      <c r="K145" s="34" t="str">
        <f t="shared" si="2"/>
        <v>x</v>
      </c>
    </row>
    <row r="146" spans="1:12" ht="15" customHeight="1" x14ac:dyDescent="0.25">
      <c r="A146" s="2881" t="s">
        <v>774</v>
      </c>
      <c r="B146" s="2881"/>
      <c r="C146" s="2881">
        <v>5</v>
      </c>
      <c r="D146" s="2881"/>
      <c r="E146" s="3102" t="s">
        <v>240</v>
      </c>
      <c r="F146" s="3102"/>
      <c r="G146" s="3102" t="str">
        <f>IF(VLOOKUP(A146,Acessórios!$A$129:$K$136,C146+1,FALSE)="Ruim","Não uniforme",IF(OR(VLOOKUP(A146,Acessórios!$A$129:$K$136,C146+1,FALSE)="CR",VLOOKUP(A146,Acessórios!$A$129:$K$136,C146+1,FALSE)="DR"),CONCATENATE("NA (",VLOOKUP(A146,Acessórios!$A$129:$K$136,C146+1,FALSE),")"),IF(VLOOKUP(A146,Acessórios!$A$129:$K$136,C146+1,FALSE)=0,"Não avaliado","Uniforme")))</f>
        <v>Não avaliado</v>
      </c>
      <c r="H146" s="3102"/>
      <c r="I146" s="2881" t="str">
        <f>IF(VLOOKUP(A146,Acessórios!$A$118:$K$125,C146+1,FALSE)=0,"Não avaliado",VLOOKUP(A146,Acessórios!$A$118:$K$125,C146+1,FALSE))</f>
        <v>Não avaliado</v>
      </c>
      <c r="J146" s="2881"/>
      <c r="K146" s="34" t="str">
        <f t="shared" si="2"/>
        <v>x</v>
      </c>
    </row>
    <row r="147" spans="1:12" ht="15" customHeight="1" x14ac:dyDescent="0.25">
      <c r="A147" s="2881" t="s">
        <v>774</v>
      </c>
      <c r="B147" s="2881"/>
      <c r="C147" s="2881">
        <v>6</v>
      </c>
      <c r="D147" s="2881"/>
      <c r="E147" s="3102" t="s">
        <v>240</v>
      </c>
      <c r="F147" s="3102"/>
      <c r="G147" s="3102" t="str">
        <f>IF(VLOOKUP(A147,Acessórios!$A$129:$K$136,C147+1,FALSE)="Ruim","Não uniforme",IF(OR(VLOOKUP(A147,Acessórios!$A$129:$K$136,C147+1,FALSE)="CR",VLOOKUP(A147,Acessórios!$A$129:$K$136,C147+1,FALSE)="DR"),CONCATENATE("NA (",VLOOKUP(A147,Acessórios!$A$129:$K$136,C147+1,FALSE),")"),IF(VLOOKUP(A147,Acessórios!$A$129:$K$136,C147+1,FALSE)=0,"Não avaliado","Uniforme")))</f>
        <v>Não avaliado</v>
      </c>
      <c r="H147" s="3102"/>
      <c r="I147" s="2881" t="str">
        <f>IF(VLOOKUP(A147,Acessórios!$A$118:$K$125,C147+1,FALSE)=0,"Não avaliado",VLOOKUP(A147,Acessórios!$A$118:$K$125,C147+1,FALSE))</f>
        <v>Não avaliado</v>
      </c>
      <c r="J147" s="2881"/>
      <c r="K147" s="34" t="str">
        <f t="shared" si="2"/>
        <v>x</v>
      </c>
    </row>
    <row r="148" spans="1:12" ht="15" customHeight="1" x14ac:dyDescent="0.25">
      <c r="A148" s="2881" t="s">
        <v>774</v>
      </c>
      <c r="B148" s="2881"/>
      <c r="C148" s="2881">
        <v>7</v>
      </c>
      <c r="D148" s="2881"/>
      <c r="E148" s="3102" t="s">
        <v>240</v>
      </c>
      <c r="F148" s="3102"/>
      <c r="G148" s="3102" t="str">
        <f>IF(VLOOKUP(A148,Acessórios!$A$129:$K$136,C148+1,FALSE)="Ruim","Não uniforme",IF(OR(VLOOKUP(A148,Acessórios!$A$129:$K$136,C148+1,FALSE)="CR",VLOOKUP(A148,Acessórios!$A$129:$K$136,C148+1,FALSE)="DR"),CONCATENATE("NA (",VLOOKUP(A148,Acessórios!$A$129:$K$136,C148+1,FALSE),")"),IF(VLOOKUP(A148,Acessórios!$A$129:$K$136,C148+1,FALSE)=0,"Não avaliado","Uniforme")))</f>
        <v>Não avaliado</v>
      </c>
      <c r="H148" s="3102"/>
      <c r="I148" s="2881" t="str">
        <f>IF(VLOOKUP(A148,Acessórios!$A$118:$K$125,C148+1,FALSE)=0,"Não avaliado",VLOOKUP(A148,Acessórios!$A$118:$K$125,C148+1,FALSE))</f>
        <v>Não avaliado</v>
      </c>
      <c r="J148" s="2881"/>
      <c r="K148" s="34" t="str">
        <f t="shared" si="2"/>
        <v>x</v>
      </c>
    </row>
    <row r="149" spans="1:12" ht="15" customHeight="1" x14ac:dyDescent="0.25">
      <c r="A149" s="2881" t="s">
        <v>774</v>
      </c>
      <c r="B149" s="2881"/>
      <c r="C149" s="2881">
        <v>8</v>
      </c>
      <c r="D149" s="2881"/>
      <c r="E149" s="3102" t="s">
        <v>240</v>
      </c>
      <c r="F149" s="3102"/>
      <c r="G149" s="3102" t="str">
        <f>IF(VLOOKUP(A149,Acessórios!$A$129:$K$136,C149+1,FALSE)="Ruim","Não uniforme",IF(OR(VLOOKUP(A149,Acessórios!$A$129:$K$136,C149+1,FALSE)="CR",VLOOKUP(A149,Acessórios!$A$129:$K$136,C149+1,FALSE)="DR"),CONCATENATE("NA (",VLOOKUP(A149,Acessórios!$A$129:$K$136,C149+1,FALSE),")"),IF(VLOOKUP(A149,Acessórios!$A$129:$K$136,C149+1,FALSE)=0,"Não avaliado","Uniforme")))</f>
        <v>Não avaliado</v>
      </c>
      <c r="H149" s="3102"/>
      <c r="I149" s="2881" t="str">
        <f>IF(VLOOKUP(A149,Acessórios!$A$118:$K$125,C149+1,FALSE)=0,"Não avaliado",VLOOKUP(A149,Acessórios!$A$118:$K$125,C149+1,FALSE))</f>
        <v>Não avaliado</v>
      </c>
      <c r="J149" s="2881"/>
      <c r="K149" s="34" t="str">
        <f t="shared" si="2"/>
        <v>x</v>
      </c>
    </row>
    <row r="150" spans="1:12" ht="15" customHeight="1" x14ac:dyDescent="0.25">
      <c r="A150" s="2881" t="s">
        <v>774</v>
      </c>
      <c r="B150" s="2881"/>
      <c r="C150" s="2881">
        <v>9</v>
      </c>
      <c r="D150" s="2881"/>
      <c r="E150" s="3102" t="s">
        <v>240</v>
      </c>
      <c r="F150" s="3102"/>
      <c r="G150" s="3102" t="str">
        <f>IF(VLOOKUP(A150,Acessórios!$A$129:$K$136,C150+1,FALSE)="Ruim","Não uniforme",IF(OR(VLOOKUP(A150,Acessórios!$A$129:$K$136,C150+1,FALSE)="CR",VLOOKUP(A150,Acessórios!$A$129:$K$136,C150+1,FALSE)="DR"),CONCATENATE("NA (",VLOOKUP(A150,Acessórios!$A$129:$K$136,C150+1,FALSE),")"),IF(VLOOKUP(A150,Acessórios!$A$129:$K$136,C150+1,FALSE)=0,"Não avaliado","Uniforme")))</f>
        <v>Não avaliado</v>
      </c>
      <c r="H150" s="3102"/>
      <c r="I150" s="2881" t="str">
        <f>IF(VLOOKUP(A150,Acessórios!$A$118:$K$125,C150+1,FALSE)=0,"Não avaliado",VLOOKUP(A150,Acessórios!$A$118:$K$125,C150+1,FALSE))</f>
        <v>Não avaliado</v>
      </c>
      <c r="J150" s="2881"/>
      <c r="K150" s="34" t="str">
        <f t="shared" si="2"/>
        <v>x</v>
      </c>
    </row>
    <row r="151" spans="1:12" ht="15" customHeight="1" x14ac:dyDescent="0.25">
      <c r="A151" s="2881" t="s">
        <v>774</v>
      </c>
      <c r="B151" s="2881"/>
      <c r="C151" s="2881">
        <v>10</v>
      </c>
      <c r="D151" s="2881"/>
      <c r="E151" s="3102" t="s">
        <v>240</v>
      </c>
      <c r="F151" s="3102"/>
      <c r="G151" s="3102" t="str">
        <f>IF(VLOOKUP(A151,Acessórios!$A$129:$K$136,C151+1,FALSE)="Ruim","Não uniforme",IF(OR(VLOOKUP(A151,Acessórios!$A$129:$K$136,C151+1,FALSE)="CR",VLOOKUP(A151,Acessórios!$A$129:$K$136,C151+1,FALSE)="DR"),CONCATENATE("NA (",VLOOKUP(A151,Acessórios!$A$129:$K$136,C151+1,FALSE),")"),IF(VLOOKUP(A151,Acessórios!$A$129:$K$136,C151+1,FALSE)=0,"Não avaliado","Uniforme")))</f>
        <v>Não avaliado</v>
      </c>
      <c r="H151" s="3102"/>
      <c r="I151" s="2881" t="str">
        <f>IF(VLOOKUP(A151,Acessórios!$A$118:$K$125,C151+1,FALSE)=0,"Não avaliado",VLOOKUP(A151,Acessórios!$A$118:$K$125,C151+1,FALSE))</f>
        <v>Não avaliado</v>
      </c>
      <c r="J151" s="2881"/>
      <c r="K151" s="34" t="str">
        <f t="shared" si="2"/>
        <v>x</v>
      </c>
    </row>
    <row r="152" spans="1:12" ht="15" customHeight="1" x14ac:dyDescent="0.25">
      <c r="A152" s="1610" t="s">
        <v>806</v>
      </c>
      <c r="K152" s="34" t="str">
        <f>K56</f>
        <v>x</v>
      </c>
    </row>
    <row r="153" spans="1:12" ht="15" customHeight="1" x14ac:dyDescent="0.25">
      <c r="A153" s="1611"/>
      <c r="B153" s="1611"/>
      <c r="C153" s="1611"/>
      <c r="D153" s="1611"/>
      <c r="E153" s="1611"/>
      <c r="F153" s="1611"/>
      <c r="G153" s="1612"/>
      <c r="H153" s="1612"/>
      <c r="I153" s="1611"/>
      <c r="J153" s="1611"/>
      <c r="K153" s="34" t="str">
        <f>K152</f>
        <v>x</v>
      </c>
    </row>
    <row r="154" spans="1:12" ht="15" customHeight="1" x14ac:dyDescent="0.25">
      <c r="A154" s="281" t="str">
        <f>CONCATENATE(L154,IF(Cabeçalho!B14="Intraoral",". CONDIÇÕES DA CÂMARA DE REVELAÇÃO MANUAL",". CONDIÇÕES DA CÂMARA ESCURA"))</f>
        <v>2. CONDIÇÕES DA CÂMARA ESCURA</v>
      </c>
      <c r="K154" s="34" t="str">
        <f>IF(COUNTIF(K160:K182,"")=0,"x","")</f>
        <v>x</v>
      </c>
      <c r="L154" s="34">
        <f>IF(K154="",L56+1,L56)</f>
        <v>2</v>
      </c>
    </row>
    <row r="155" spans="1:12" s="2118" customFormat="1" ht="15" customHeight="1" x14ac:dyDescent="0.25">
      <c r="A155" s="2118" t="s">
        <v>2344</v>
      </c>
      <c r="B155" s="3113" t="s">
        <v>2687</v>
      </c>
      <c r="C155" s="3113"/>
      <c r="D155" s="3113"/>
      <c r="E155" s="3113"/>
      <c r="F155" s="3113"/>
      <c r="G155" s="3113"/>
      <c r="H155" s="3113"/>
      <c r="I155" s="3113"/>
      <c r="J155" s="3113"/>
      <c r="K155" s="2118" t="str">
        <f t="shared" ref="K155:K158" si="3">K150</f>
        <v>x</v>
      </c>
    </row>
    <row r="156" spans="1:12" s="2118" customFormat="1" ht="15" customHeight="1" x14ac:dyDescent="0.25">
      <c r="B156" s="3113"/>
      <c r="C156" s="3113"/>
      <c r="D156" s="3113"/>
      <c r="E156" s="3113"/>
      <c r="F156" s="3113"/>
      <c r="G156" s="3113"/>
      <c r="H156" s="3113"/>
      <c r="I156" s="3113"/>
      <c r="J156" s="3113"/>
      <c r="K156" s="2118" t="str">
        <f t="shared" si="3"/>
        <v>x</v>
      </c>
    </row>
    <row r="157" spans="1:12" s="2118" customFormat="1" ht="15" customHeight="1" x14ac:dyDescent="0.25">
      <c r="A157" s="2118" t="s">
        <v>2688</v>
      </c>
      <c r="K157" s="2118" t="str">
        <f t="shared" si="3"/>
        <v>x</v>
      </c>
    </row>
    <row r="158" spans="1:12" s="2118" customFormat="1" ht="15" customHeight="1" x14ac:dyDescent="0.25">
      <c r="A158" s="2118" t="s">
        <v>2685</v>
      </c>
      <c r="K158" s="2118" t="str">
        <f t="shared" si="3"/>
        <v>x</v>
      </c>
    </row>
    <row r="159" spans="1:12" ht="15" customHeight="1" x14ac:dyDescent="0.25">
      <c r="A159" s="1612"/>
      <c r="B159" s="1612"/>
      <c r="C159" s="1612"/>
      <c r="D159" s="1612"/>
      <c r="E159" s="1612"/>
      <c r="F159" s="1612"/>
      <c r="G159" s="1612"/>
      <c r="H159" s="1612"/>
      <c r="I159" s="1612"/>
      <c r="J159" s="1612"/>
      <c r="K159" s="34" t="str">
        <f>K154</f>
        <v>x</v>
      </c>
    </row>
    <row r="160" spans="1:12" ht="15" customHeight="1" x14ac:dyDescent="0.25">
      <c r="A160" s="285" t="str">
        <f>"Identificação: "&amp;Acessórios!B8</f>
        <v xml:space="preserve">Identificação: </v>
      </c>
      <c r="B160" s="285"/>
      <c r="C160" s="1669"/>
      <c r="D160" s="285"/>
      <c r="E160" s="285"/>
      <c r="F160" s="285"/>
      <c r="G160" s="285"/>
      <c r="H160" s="285"/>
      <c r="I160" s="285"/>
      <c r="J160" s="285"/>
      <c r="K160" s="34" t="str">
        <f>IF(Acessórios!B8=0,"x","")</f>
        <v>x</v>
      </c>
    </row>
    <row r="161" spans="1:13" ht="15" customHeight="1" x14ac:dyDescent="0.25">
      <c r="A161" s="2606" t="s">
        <v>129</v>
      </c>
      <c r="B161" s="2606"/>
      <c r="C161" s="2606" t="s">
        <v>810</v>
      </c>
      <c r="D161" s="2606"/>
      <c r="E161" s="2606" t="str">
        <f>"IN "&amp;VLOOKUP("Raios X convencional",IN_ANVISA[],2)&amp;", "&amp;VLOOKUP("Mamografia",IN_ANVISA[],2)&amp;", "&amp;VLOOKUP("Extraoral",IN_ANVISA[],2)</f>
        <v>IN 90, 92, 94</v>
      </c>
      <c r="F161" s="2606"/>
      <c r="G161" s="2606"/>
      <c r="H161" s="2606" t="s">
        <v>416</v>
      </c>
      <c r="I161" s="2606"/>
      <c r="J161" s="285"/>
      <c r="K161" s="34" t="str">
        <f>K160</f>
        <v>x</v>
      </c>
    </row>
    <row r="162" spans="1:13" ht="15" customHeight="1" x14ac:dyDescent="0.25">
      <c r="A162" s="2472" t="s">
        <v>807</v>
      </c>
      <c r="B162" s="2472"/>
      <c r="C162" s="3091" t="str">
        <f>IF(Acessórios!B9="Sim","Adequada",IF(Acessórios!B9="Não","Inadequada","Velando filme"))</f>
        <v>Velando filme</v>
      </c>
      <c r="D162" s="2472"/>
      <c r="E162" s="2472" t="str">
        <f>IF(C162="Velando filme","Restrição",IF(C162="Adequada","Sim","Não"))</f>
        <v>Restrição</v>
      </c>
      <c r="F162" s="2472"/>
      <c r="G162" s="2472"/>
      <c r="H162" s="2472" t="s">
        <v>142</v>
      </c>
      <c r="I162" s="2472"/>
      <c r="J162" s="285"/>
      <c r="K162" s="34" t="str">
        <f>K161</f>
        <v>x</v>
      </c>
      <c r="L162" s="34" t="str">
        <f>E162</f>
        <v>Restrição</v>
      </c>
      <c r="M162" s="34" t="str">
        <f>IF(OR(L162="Não",L162="Restrição"),"Não conforme","Conforme")</f>
        <v>Não conforme</v>
      </c>
    </row>
    <row r="163" spans="1:13" ht="15" customHeight="1" x14ac:dyDescent="0.25">
      <c r="A163" s="2472" t="s">
        <v>809</v>
      </c>
      <c r="B163" s="2472"/>
      <c r="C163" s="3091" t="str">
        <f>IF(Acessórios!B10="s","Possui","Não possui")</f>
        <v>Não possui</v>
      </c>
      <c r="D163" s="2472"/>
      <c r="E163" s="2472" t="s">
        <v>142</v>
      </c>
      <c r="F163" s="2472"/>
      <c r="G163" s="2472"/>
      <c r="H163" s="2472" t="str">
        <f>IF(C163="Possui","Sim","Não")</f>
        <v>Não</v>
      </c>
      <c r="I163" s="2472"/>
      <c r="J163" s="285"/>
      <c r="K163" s="34" t="str">
        <f>K162</f>
        <v>x</v>
      </c>
      <c r="L163" s="34" t="str">
        <f>E168</f>
        <v>Restrição</v>
      </c>
      <c r="M163" s="2118" t="str">
        <f t="shared" ref="M163:M165" si="4">IF(OR(L163="Não",L163="Restrição"),"Não conforme","Conforme")</f>
        <v>Não conforme</v>
      </c>
    </row>
    <row r="164" spans="1:13" ht="15" customHeight="1" x14ac:dyDescent="0.25">
      <c r="A164" s="2472" t="s">
        <v>808</v>
      </c>
      <c r="B164" s="2472"/>
      <c r="C164" s="3091" t="str">
        <f>IF(Acessórios!B11="s","Possui","Não possui")</f>
        <v>Não possui</v>
      </c>
      <c r="D164" s="2472"/>
      <c r="E164" s="2472" t="s">
        <v>142</v>
      </c>
      <c r="F164" s="2472"/>
      <c r="G164" s="2472"/>
      <c r="H164" s="2472" t="str">
        <f>IF(C164="Possui","Sim","Não")</f>
        <v>Não</v>
      </c>
      <c r="I164" s="2472"/>
      <c r="J164" s="285"/>
      <c r="K164" s="34" t="str">
        <f>K163</f>
        <v>x</v>
      </c>
      <c r="L164" s="34" t="str">
        <f>E174</f>
        <v>Restrição</v>
      </c>
      <c r="M164" s="2118" t="str">
        <f t="shared" si="4"/>
        <v>Não conforme</v>
      </c>
    </row>
    <row r="165" spans="1:13" ht="15" customHeight="1" x14ac:dyDescent="0.25">
      <c r="A165" s="285"/>
      <c r="B165" s="285"/>
      <c r="C165" s="285"/>
      <c r="D165" s="285"/>
      <c r="E165" s="285"/>
      <c r="F165" s="285"/>
      <c r="G165" s="285"/>
      <c r="H165" s="285"/>
      <c r="I165" s="285"/>
      <c r="J165" s="285"/>
      <c r="K165" s="34" t="str">
        <f>K164</f>
        <v>x</v>
      </c>
      <c r="L165" s="34" t="str">
        <f>E180</f>
        <v>Sim</v>
      </c>
      <c r="M165" s="2118" t="str">
        <f t="shared" si="4"/>
        <v>Conforme</v>
      </c>
    </row>
    <row r="166" spans="1:13" ht="15" customHeight="1" x14ac:dyDescent="0.25">
      <c r="A166" s="285" t="str">
        <f>"Identificação: "&amp;Acessórios!C8</f>
        <v xml:space="preserve">Identificação: </v>
      </c>
      <c r="B166" s="285"/>
      <c r="C166" s="1669"/>
      <c r="D166" s="285"/>
      <c r="E166" s="285"/>
      <c r="F166" s="285"/>
      <c r="G166" s="285"/>
      <c r="H166" s="285"/>
      <c r="I166" s="285"/>
      <c r="J166" s="285"/>
      <c r="K166" s="34" t="str">
        <f>IF(Acessórios!C8=0,"x","")</f>
        <v>x</v>
      </c>
    </row>
    <row r="167" spans="1:13" ht="15" customHeight="1" x14ac:dyDescent="0.25">
      <c r="A167" s="2606" t="s">
        <v>129</v>
      </c>
      <c r="B167" s="2606"/>
      <c r="C167" s="2606" t="s">
        <v>810</v>
      </c>
      <c r="D167" s="2606"/>
      <c r="E167" s="2606" t="str">
        <f>"IN "&amp;VLOOKUP("Raios X convencional",IN_ANVISA[],2)&amp;", "&amp;VLOOKUP("Mamografia",IN_ANVISA[],2)&amp;", "&amp;VLOOKUP("Extraoral",IN_ANVISA[],2)</f>
        <v>IN 90, 92, 94</v>
      </c>
      <c r="F167" s="2606"/>
      <c r="G167" s="2606"/>
      <c r="H167" s="2606" t="s">
        <v>416</v>
      </c>
      <c r="I167" s="2606"/>
      <c r="J167" s="1612"/>
      <c r="K167" s="34" t="str">
        <f>K166</f>
        <v>x</v>
      </c>
    </row>
    <row r="168" spans="1:13" ht="15" customHeight="1" x14ac:dyDescent="0.25">
      <c r="A168" s="2472" t="s">
        <v>807</v>
      </c>
      <c r="B168" s="2472"/>
      <c r="C168" s="3091" t="str">
        <f>IF(Acessórios!C9="Sim","Adequada",IF(Acessórios!C9="Não","Inadequada","Velando filme"))</f>
        <v>Velando filme</v>
      </c>
      <c r="D168" s="2472"/>
      <c r="E168" s="2472" t="str">
        <f>IF(C168="Velando filme","Restrição",IF(C168="Adequada","Sim","Não"))</f>
        <v>Restrição</v>
      </c>
      <c r="F168" s="2472"/>
      <c r="G168" s="2472"/>
      <c r="H168" s="2472" t="s">
        <v>142</v>
      </c>
      <c r="I168" s="2472"/>
      <c r="J168" s="1612"/>
      <c r="K168" s="34" t="str">
        <f>K167</f>
        <v>x</v>
      </c>
    </row>
    <row r="169" spans="1:13" ht="15" customHeight="1" x14ac:dyDescent="0.25">
      <c r="A169" s="2472" t="s">
        <v>809</v>
      </c>
      <c r="B169" s="2472"/>
      <c r="C169" s="3091" t="str">
        <f>IF(Acessórios!C10="s","Possui","Não possui")</f>
        <v>Não possui</v>
      </c>
      <c r="D169" s="2472"/>
      <c r="E169" s="2472" t="s">
        <v>142</v>
      </c>
      <c r="F169" s="2472"/>
      <c r="G169" s="2472"/>
      <c r="H169" s="2472" t="str">
        <f>IF(C169="Possui","Sim","Não")</f>
        <v>Não</v>
      </c>
      <c r="I169" s="2472"/>
      <c r="J169" s="1612"/>
      <c r="K169" s="34" t="str">
        <f>K168</f>
        <v>x</v>
      </c>
    </row>
    <row r="170" spans="1:13" ht="15" customHeight="1" x14ac:dyDescent="0.25">
      <c r="A170" s="2472" t="s">
        <v>808</v>
      </c>
      <c r="B170" s="2472"/>
      <c r="C170" s="3091" t="str">
        <f>IF(Acessórios!C11="s","Possui","Não possui")</f>
        <v>Não possui</v>
      </c>
      <c r="D170" s="2472"/>
      <c r="E170" s="2472" t="s">
        <v>142</v>
      </c>
      <c r="F170" s="2472"/>
      <c r="G170" s="2472"/>
      <c r="H170" s="2472" t="str">
        <f>IF(C170="Possui","Sim","Não")</f>
        <v>Não</v>
      </c>
      <c r="I170" s="2472"/>
      <c r="J170" s="1612"/>
      <c r="K170" s="34" t="str">
        <f>K169</f>
        <v>x</v>
      </c>
    </row>
    <row r="171" spans="1:13" ht="15" customHeight="1" x14ac:dyDescent="0.25">
      <c r="A171" s="285"/>
      <c r="B171" s="285"/>
      <c r="C171" s="285"/>
      <c r="D171" s="285"/>
      <c r="E171" s="285"/>
      <c r="F171" s="285"/>
      <c r="G171" s="285"/>
      <c r="H171" s="285"/>
      <c r="I171" s="285"/>
      <c r="J171" s="1612"/>
      <c r="K171" s="34" t="str">
        <f>K170</f>
        <v>x</v>
      </c>
    </row>
    <row r="172" spans="1:13" ht="15" customHeight="1" x14ac:dyDescent="0.25">
      <c r="A172" s="285" t="str">
        <f>"Identificação: "&amp;Acessórios!D8</f>
        <v xml:space="preserve">Identificação: </v>
      </c>
      <c r="B172" s="285"/>
      <c r="C172" s="1669"/>
      <c r="D172" s="285"/>
      <c r="E172" s="285"/>
      <c r="F172" s="285"/>
      <c r="G172" s="285"/>
      <c r="H172" s="285"/>
      <c r="I172" s="285"/>
      <c r="J172" s="1612"/>
      <c r="K172" s="34" t="str">
        <f>IF(Acessórios!D8=0,"x","")</f>
        <v>x</v>
      </c>
    </row>
    <row r="173" spans="1:13" ht="15" customHeight="1" x14ac:dyDescent="0.25">
      <c r="A173" s="2606" t="s">
        <v>129</v>
      </c>
      <c r="B173" s="2606"/>
      <c r="C173" s="2606" t="s">
        <v>810</v>
      </c>
      <c r="D173" s="2606"/>
      <c r="E173" s="2606" t="str">
        <f>"IN "&amp;VLOOKUP("Raios X convencional",IN_ANVISA[],2)&amp;", "&amp;VLOOKUP("Mamografia",IN_ANVISA[],2)&amp;", "&amp;VLOOKUP("Extraoral",IN_ANVISA[],2)</f>
        <v>IN 90, 92, 94</v>
      </c>
      <c r="F173" s="2606"/>
      <c r="G173" s="2606"/>
      <c r="H173" s="2606" t="s">
        <v>416</v>
      </c>
      <c r="I173" s="2606"/>
      <c r="J173" s="1612"/>
      <c r="K173" s="34" t="str">
        <f>K172</f>
        <v>x</v>
      </c>
    </row>
    <row r="174" spans="1:13" ht="15" customHeight="1" x14ac:dyDescent="0.25">
      <c r="A174" s="2472" t="s">
        <v>807</v>
      </c>
      <c r="B174" s="2472"/>
      <c r="C174" s="3091" t="str">
        <f>IF(Acessórios!D9="Sim","Adequada",IF(Acessórios!D9="Não","Inadequada","Velando filme"))</f>
        <v>Velando filme</v>
      </c>
      <c r="D174" s="2472"/>
      <c r="E174" s="2472" t="str">
        <f>IF(C174="Velando filme","Restrição",IF(C174="Adequada","Sim","Não"))</f>
        <v>Restrição</v>
      </c>
      <c r="F174" s="2472"/>
      <c r="G174" s="2472"/>
      <c r="H174" s="2472" t="s">
        <v>142</v>
      </c>
      <c r="I174" s="2472"/>
      <c r="J174" s="1612"/>
      <c r="K174" s="34" t="str">
        <f>K173</f>
        <v>x</v>
      </c>
    </row>
    <row r="175" spans="1:13" ht="15" customHeight="1" x14ac:dyDescent="0.25">
      <c r="A175" s="2472" t="s">
        <v>809</v>
      </c>
      <c r="B175" s="2472"/>
      <c r="C175" s="3091" t="str">
        <f>IF(Acessórios!D10="s","Possui","Não possui")</f>
        <v>Não possui</v>
      </c>
      <c r="D175" s="2472"/>
      <c r="E175" s="2472" t="s">
        <v>142</v>
      </c>
      <c r="F175" s="2472"/>
      <c r="G175" s="2472"/>
      <c r="H175" s="2472" t="str">
        <f>IF(C175="Possui","Sim","Não")</f>
        <v>Não</v>
      </c>
      <c r="I175" s="2472"/>
      <c r="J175" s="1612"/>
      <c r="K175" s="34" t="str">
        <f>K174</f>
        <v>x</v>
      </c>
    </row>
    <row r="176" spans="1:13" ht="15" customHeight="1" x14ac:dyDescent="0.25">
      <c r="A176" s="2472" t="s">
        <v>808</v>
      </c>
      <c r="B176" s="2472"/>
      <c r="C176" s="3091" t="str">
        <f>IF(Acessórios!D11="s","Possui","Não possui")</f>
        <v>Não possui</v>
      </c>
      <c r="D176" s="2472"/>
      <c r="E176" s="2472" t="s">
        <v>142</v>
      </c>
      <c r="F176" s="2472"/>
      <c r="G176" s="2472"/>
      <c r="H176" s="2472" t="str">
        <f>IF(C176="Possui","Sim","Não")</f>
        <v>Não</v>
      </c>
      <c r="I176" s="2472"/>
      <c r="J176" s="1612"/>
      <c r="K176" s="34" t="str">
        <f>K175</f>
        <v>x</v>
      </c>
    </row>
    <row r="177" spans="1:11" ht="15" customHeight="1" x14ac:dyDescent="0.25">
      <c r="A177" s="285"/>
      <c r="B177" s="285"/>
      <c r="C177" s="285"/>
      <c r="D177" s="285"/>
      <c r="E177" s="285"/>
      <c r="F177" s="285"/>
      <c r="G177" s="285"/>
      <c r="H177" s="285"/>
      <c r="I177" s="285"/>
      <c r="J177" s="1612"/>
      <c r="K177" s="34" t="str">
        <f>K176</f>
        <v>x</v>
      </c>
    </row>
    <row r="178" spans="1:11" ht="15" customHeight="1" x14ac:dyDescent="0.25">
      <c r="A178" s="285" t="str">
        <f>"Identificação: "&amp;Acessórios!E8</f>
        <v xml:space="preserve">Identificação: </v>
      </c>
      <c r="B178" s="285"/>
      <c r="C178" s="1669"/>
      <c r="D178" s="285"/>
      <c r="E178" s="285"/>
      <c r="F178" s="285"/>
      <c r="G178" s="285"/>
      <c r="H178" s="285"/>
      <c r="I178" s="285"/>
      <c r="J178" s="1612"/>
      <c r="K178" s="34" t="str">
        <f>IF(Acessórios!E8=0,"x","")</f>
        <v>x</v>
      </c>
    </row>
    <row r="179" spans="1:11" ht="15" customHeight="1" x14ac:dyDescent="0.25">
      <c r="A179" s="2606" t="s">
        <v>129</v>
      </c>
      <c r="B179" s="2606"/>
      <c r="C179" s="2606" t="s">
        <v>810</v>
      </c>
      <c r="D179" s="2606"/>
      <c r="E179" s="2606" t="str">
        <f>"IN "&amp;VLOOKUP("Raios X convencional",IN_ANVISA[],2)&amp;", "&amp;VLOOKUP("Mamografia",IN_ANVISA[],2)&amp;", "&amp;VLOOKUP("Extraoral",IN_ANVISA[],2)</f>
        <v>IN 90, 92, 94</v>
      </c>
      <c r="F179" s="2606"/>
      <c r="G179" s="2606"/>
      <c r="H179" s="2606" t="s">
        <v>416</v>
      </c>
      <c r="I179" s="2606"/>
      <c r="J179" s="1612"/>
      <c r="K179" s="34" t="str">
        <f>K178</f>
        <v>x</v>
      </c>
    </row>
    <row r="180" spans="1:11" ht="15" customHeight="1" x14ac:dyDescent="0.25">
      <c r="A180" s="2472" t="s">
        <v>807</v>
      </c>
      <c r="B180" s="2472"/>
      <c r="C180" s="3091" t="str">
        <f>IF(Acessórios!E9="Sim","Adequada",IF(Acessórios!E9="Não","Inadequada","Velando filme"))</f>
        <v>Adequada</v>
      </c>
      <c r="D180" s="2472"/>
      <c r="E180" s="2472" t="str">
        <f>IF(C180="Velando filme","Restrição",IF(C180="Adequada","Sim","Não"))</f>
        <v>Sim</v>
      </c>
      <c r="F180" s="2472"/>
      <c r="G180" s="2472"/>
      <c r="H180" s="2472" t="s">
        <v>142</v>
      </c>
      <c r="I180" s="2472"/>
      <c r="J180" s="1612"/>
      <c r="K180" s="34" t="str">
        <f>K179</f>
        <v>x</v>
      </c>
    </row>
    <row r="181" spans="1:11" ht="15" customHeight="1" x14ac:dyDescent="0.25">
      <c r="A181" s="2472" t="s">
        <v>809</v>
      </c>
      <c r="B181" s="2472"/>
      <c r="C181" s="3091" t="str">
        <f>IF(Acessórios!E10="s","Possui","Não possui")</f>
        <v>Possui</v>
      </c>
      <c r="D181" s="2472"/>
      <c r="E181" s="2472" t="s">
        <v>142</v>
      </c>
      <c r="F181" s="2472"/>
      <c r="G181" s="2472"/>
      <c r="H181" s="2472" t="str">
        <f>IF(C181="Possui","Sim","Não")</f>
        <v>Sim</v>
      </c>
      <c r="I181" s="2472"/>
      <c r="J181" s="1612"/>
      <c r="K181" s="34" t="str">
        <f>K180</f>
        <v>x</v>
      </c>
    </row>
    <row r="182" spans="1:11" ht="15" customHeight="1" x14ac:dyDescent="0.25">
      <c r="A182" s="2472" t="s">
        <v>808</v>
      </c>
      <c r="B182" s="2472"/>
      <c r="C182" s="3091" t="str">
        <f>IF(Acessórios!E11="s","Possui","Não possui")</f>
        <v>Possui</v>
      </c>
      <c r="D182" s="2472"/>
      <c r="E182" s="2472" t="s">
        <v>142</v>
      </c>
      <c r="F182" s="2472"/>
      <c r="G182" s="2472"/>
      <c r="H182" s="2472" t="str">
        <f>IF(C182="Possui","Sim","Não")</f>
        <v>Sim</v>
      </c>
      <c r="I182" s="2472"/>
      <c r="J182" s="1612"/>
      <c r="K182" s="34" t="str">
        <f>K181</f>
        <v>x</v>
      </c>
    </row>
    <row r="183" spans="1:11" ht="15" customHeight="1" x14ac:dyDescent="0.25">
      <c r="A183" s="1600" t="s">
        <v>1778</v>
      </c>
      <c r="B183" s="285"/>
      <c r="C183" s="285"/>
      <c r="D183" s="285"/>
      <c r="E183" s="285"/>
      <c r="F183" s="285"/>
      <c r="G183" s="285"/>
      <c r="H183" s="285"/>
      <c r="I183" s="285"/>
      <c r="J183" s="1612"/>
      <c r="K183" s="34" t="str">
        <f>K154</f>
        <v>x</v>
      </c>
    </row>
    <row r="184" spans="1:11" ht="15" customHeight="1" x14ac:dyDescent="0.25">
      <c r="A184" s="1600"/>
      <c r="B184" s="285"/>
      <c r="C184" s="285"/>
      <c r="D184" s="285"/>
      <c r="E184" s="285"/>
      <c r="F184" s="285"/>
      <c r="G184" s="285"/>
      <c r="H184" s="285"/>
      <c r="I184" s="285"/>
      <c r="J184" s="1612"/>
      <c r="K184" s="34" t="str">
        <f>K185</f>
        <v>x</v>
      </c>
    </row>
    <row r="185" spans="1:11" ht="15" customHeight="1" x14ac:dyDescent="0.25">
      <c r="A185" s="285" t="str">
        <f>"Identificação: "&amp;Acessórios!B17&amp;" - Intraoral"</f>
        <v>Identificação:  - Intraoral</v>
      </c>
      <c r="B185" s="285"/>
      <c r="C185" s="1669"/>
      <c r="D185" s="285"/>
      <c r="E185" s="285"/>
      <c r="F185" s="285"/>
      <c r="G185" s="285"/>
      <c r="H185" s="285"/>
      <c r="I185" s="285"/>
      <c r="J185" s="1612"/>
      <c r="K185" s="34" t="str">
        <f>IF(Acessórios!B17&lt;&gt;0,"","x")</f>
        <v>x</v>
      </c>
    </row>
    <row r="186" spans="1:11" ht="15" customHeight="1" x14ac:dyDescent="0.25">
      <c r="A186" s="2606" t="s">
        <v>129</v>
      </c>
      <c r="B186" s="2606"/>
      <c r="C186" s="2606" t="s">
        <v>810</v>
      </c>
      <c r="D186" s="2606"/>
      <c r="E186" s="3045" t="str">
        <f>"IN "&amp;VLOOKUP("Intraoral",IN_ANVISA[],2)</f>
        <v>IN 95</v>
      </c>
      <c r="F186" s="3046"/>
      <c r="G186" s="3047"/>
      <c r="H186" s="3045" t="str">
        <f>"RDC "&amp;VLOOKUP("RDC",IN_ANVISA[],2)</f>
        <v>RDC 611</v>
      </c>
      <c r="I186" s="3047"/>
      <c r="J186" s="1612"/>
      <c r="K186" s="34" t="str">
        <f t="shared" ref="K186:K191" si="5">K185</f>
        <v>x</v>
      </c>
    </row>
    <row r="187" spans="1:11" ht="15" customHeight="1" x14ac:dyDescent="0.25">
      <c r="A187" s="2472" t="s">
        <v>807</v>
      </c>
      <c r="B187" s="2472"/>
      <c r="C187" s="3091" t="str">
        <f>IF(Acessórios!B18="s","Adequada",IF(Acessórios!E16="n","Inadequada","Velando filme"))</f>
        <v>Velando filme</v>
      </c>
      <c r="D187" s="2472"/>
      <c r="E187" s="2472" t="str">
        <f>IF(C187="Não","Não","Sim")</f>
        <v>Sim</v>
      </c>
      <c r="F187" s="2472"/>
      <c r="G187" s="2472"/>
      <c r="H187" s="2600" t="s">
        <v>142</v>
      </c>
      <c r="I187" s="2602"/>
      <c r="J187" s="1612"/>
      <c r="K187" s="34" t="str">
        <f t="shared" si="5"/>
        <v>x</v>
      </c>
    </row>
    <row r="188" spans="1:11" ht="15" customHeight="1" x14ac:dyDescent="0.25">
      <c r="A188" s="2472" t="s">
        <v>1813</v>
      </c>
      <c r="B188" s="2472"/>
      <c r="C188" s="3091" t="str">
        <f>IF(Acessórios!B18="s","Sim","Não")</f>
        <v>Não</v>
      </c>
      <c r="D188" s="2472"/>
      <c r="E188" s="2472" t="s">
        <v>142</v>
      </c>
      <c r="F188" s="2472"/>
      <c r="G188" s="2472"/>
      <c r="H188" s="2600" t="str">
        <f>IF(C188="Não","Não","Sim")</f>
        <v>Não</v>
      </c>
      <c r="I188" s="2602"/>
      <c r="J188" s="1612"/>
      <c r="K188" s="34" t="str">
        <f t="shared" si="5"/>
        <v>x</v>
      </c>
    </row>
    <row r="189" spans="1:11" ht="15" customHeight="1" x14ac:dyDescent="0.25">
      <c r="A189" s="2472" t="s">
        <v>1814</v>
      </c>
      <c r="B189" s="2472"/>
      <c r="C189" s="3091" t="str">
        <f>IF(Acessórios!B19="s","Possui","Não possui")</f>
        <v>Não possui</v>
      </c>
      <c r="D189" s="2472"/>
      <c r="E189" s="2472" t="s">
        <v>142</v>
      </c>
      <c r="F189" s="2472"/>
      <c r="G189" s="2472"/>
      <c r="H189" s="2600" t="str">
        <f>IF(C189="Não possui","Não","Sim")</f>
        <v>Não</v>
      </c>
      <c r="I189" s="2602"/>
      <c r="J189" s="1612"/>
      <c r="K189" s="34" t="str">
        <f t="shared" si="5"/>
        <v>x</v>
      </c>
    </row>
    <row r="190" spans="1:11" ht="15" customHeight="1" x14ac:dyDescent="0.25">
      <c r="A190" s="2472" t="s">
        <v>1815</v>
      </c>
      <c r="B190" s="2472"/>
      <c r="C190" s="3091" t="str">
        <f>IF(Acessórios!B20="s","Possui","Não possui")</f>
        <v>Não possui</v>
      </c>
      <c r="D190" s="2472"/>
      <c r="E190" s="2472" t="s">
        <v>142</v>
      </c>
      <c r="F190" s="2472"/>
      <c r="G190" s="2472"/>
      <c r="H190" s="2600" t="str">
        <f>IF(C190="Não possui","Não","Sim")</f>
        <v>Não</v>
      </c>
      <c r="I190" s="2602"/>
      <c r="J190" s="1612"/>
      <c r="K190" s="34" t="str">
        <f t="shared" si="5"/>
        <v>x</v>
      </c>
    </row>
    <row r="191" spans="1:11" ht="15" customHeight="1" x14ac:dyDescent="0.25">
      <c r="A191" s="2472" t="s">
        <v>1816</v>
      </c>
      <c r="B191" s="2472"/>
      <c r="C191" s="3091" t="str">
        <f>IF(Acessórios!B21="s","Possui","Não possui")</f>
        <v>Não possui</v>
      </c>
      <c r="D191" s="2472"/>
      <c r="E191" s="2472" t="s">
        <v>142</v>
      </c>
      <c r="F191" s="2472"/>
      <c r="G191" s="2472"/>
      <c r="H191" s="2600" t="str">
        <f>IF(C191="Não possui","Não","Sim")</f>
        <v>Não</v>
      </c>
      <c r="I191" s="2602"/>
      <c r="J191" s="1612"/>
      <c r="K191" s="34" t="str">
        <f t="shared" si="5"/>
        <v>x</v>
      </c>
    </row>
    <row r="192" spans="1:11" ht="15" customHeight="1" x14ac:dyDescent="0.25">
      <c r="A192" s="1600" t="s">
        <v>1817</v>
      </c>
      <c r="B192" s="285"/>
      <c r="C192" s="285"/>
      <c r="D192" s="285"/>
      <c r="E192" s="285"/>
      <c r="F192" s="285"/>
      <c r="G192" s="285"/>
      <c r="H192" s="285"/>
      <c r="I192" s="285"/>
      <c r="J192" s="1612"/>
      <c r="K192" s="34" t="str">
        <f>K191</f>
        <v>x</v>
      </c>
    </row>
    <row r="193" spans="1:12" ht="15" customHeight="1" x14ac:dyDescent="0.25">
      <c r="A193" s="1600"/>
      <c r="B193" s="285"/>
      <c r="C193" s="285"/>
      <c r="D193" s="285"/>
      <c r="E193" s="285"/>
      <c r="F193" s="285"/>
      <c r="G193" s="285"/>
      <c r="H193" s="285"/>
      <c r="I193" s="285"/>
      <c r="J193" s="1612"/>
      <c r="K193" s="34" t="str">
        <f>K183</f>
        <v>x</v>
      </c>
    </row>
    <row r="194" spans="1:12" ht="15" customHeight="1" x14ac:dyDescent="0.25">
      <c r="A194" s="1601" t="str">
        <f>L194&amp;". SENSITOMETRIA"</f>
        <v>2. SENSITOMETRIA</v>
      </c>
      <c r="B194" s="1601"/>
      <c r="C194" s="1601"/>
      <c r="D194" s="1601"/>
      <c r="E194" s="1601"/>
      <c r="F194" s="1601"/>
      <c r="G194" s="1601"/>
      <c r="H194" s="1601"/>
      <c r="I194" s="1601"/>
      <c r="J194" s="1601"/>
      <c r="K194" s="2118" t="str">
        <f>K190</f>
        <v>x</v>
      </c>
      <c r="L194" s="34">
        <f>IF(K194="",L154+1,L154)</f>
        <v>2</v>
      </c>
    </row>
    <row r="195" spans="1:12" s="2118" customFormat="1" ht="15" customHeight="1" x14ac:dyDescent="0.25">
      <c r="A195" s="1601"/>
      <c r="B195" s="1601"/>
      <c r="C195" s="1601"/>
      <c r="D195" s="1601"/>
      <c r="E195" s="1601"/>
      <c r="F195" s="1601"/>
      <c r="G195" s="1601"/>
      <c r="H195" s="1601"/>
      <c r="I195" s="1601"/>
      <c r="J195" s="1601"/>
      <c r="K195" s="2118" t="str">
        <f>K191</f>
        <v>x</v>
      </c>
    </row>
    <row r="196" spans="1:12" s="2118" customFormat="1" ht="15" customHeight="1" x14ac:dyDescent="0.25">
      <c r="A196" s="2127" t="s">
        <v>2344</v>
      </c>
      <c r="B196" s="2395" t="s">
        <v>2689</v>
      </c>
      <c r="C196" s="2395"/>
      <c r="D196" s="2395"/>
      <c r="E196" s="2395"/>
      <c r="F196" s="2395"/>
      <c r="G196" s="2395"/>
      <c r="H196" s="2395"/>
      <c r="I196" s="2395"/>
      <c r="J196" s="2395"/>
      <c r="K196" s="2118" t="str">
        <f t="shared" ref="K196:K197" si="6">K192</f>
        <v>x</v>
      </c>
    </row>
    <row r="197" spans="1:12" s="2118" customFormat="1" ht="20.25" customHeight="1" x14ac:dyDescent="0.25">
      <c r="A197" s="2127"/>
      <c r="B197" s="2395"/>
      <c r="C197" s="2395"/>
      <c r="D197" s="2395"/>
      <c r="E197" s="2395"/>
      <c r="F197" s="2395"/>
      <c r="G197" s="2395"/>
      <c r="H197" s="2395"/>
      <c r="I197" s="2395"/>
      <c r="J197" s="2395"/>
      <c r="K197" s="2118" t="str">
        <f t="shared" si="6"/>
        <v>x</v>
      </c>
    </row>
    <row r="198" spans="1:12" ht="15" customHeight="1" x14ac:dyDescent="0.25">
      <c r="A198" s="3103" t="str">
        <f>"               Para serviços de radiologia diagnóstica com sistemas de mamografia a IN "&amp;VLOOKUP("Mamografia",IN_ANVISA[],2)&amp;" da ANVISA determina que a sensitometria da processadora seja realizada como teste de aceitação e constância com periodicidade diária atendendo, respectivamente, aos seguintes níveis de tolerância e restrição:"&amp;" Base + véu: ≥ 0,21 DO; ≥ 0,25 DO e Linha de Base (LB) ± 0,02 DO; LB ± 0,03 DO; Densidade média (contraste): LB ± 0,1 DO; LB ± 0,15 DO; Diferença de densidades (para cada passo): LB ± 0,1 DO; LB ± 0,15 DO."</f>
        <v xml:space="preserve">               Para serviços de radiologia diagnóstica com sistemas de mamografia a IN 92 da ANVISA determina que a sensitometria da processadora seja realizada como teste de aceitação e constância com periodicidade diária atendendo, respectivamente, aos seguintes níveis de tolerância e restrição: Base + véu: ≥ 0,21 DO; ≥ 0,25 DO e Linha de Base (LB) ± 0,02 DO; LB ± 0,03 DO; Densidade média (contraste): LB ± 0,1 DO; LB ± 0,15 DO; Diferença de densidades (para cada passo): LB ± 0,1 DO; LB ± 0,15 DO.</v>
      </c>
      <c r="B198" s="3103"/>
      <c r="C198" s="3103"/>
      <c r="D198" s="3103"/>
      <c r="E198" s="3103"/>
      <c r="F198" s="3103"/>
      <c r="G198" s="3103"/>
      <c r="H198" s="3103"/>
      <c r="I198" s="3103"/>
      <c r="J198" s="3103"/>
      <c r="K198" s="34" t="str">
        <f>K194</f>
        <v>x</v>
      </c>
    </row>
    <row r="199" spans="1:12" ht="15" customHeight="1" x14ac:dyDescent="0.25">
      <c r="A199" s="3103"/>
      <c r="B199" s="3103"/>
      <c r="C199" s="3103"/>
      <c r="D199" s="3103"/>
      <c r="E199" s="3103"/>
      <c r="F199" s="3103"/>
      <c r="G199" s="3103"/>
      <c r="H199" s="3103"/>
      <c r="I199" s="3103"/>
      <c r="J199" s="3103"/>
      <c r="K199" s="34" t="str">
        <f>K198</f>
        <v>x</v>
      </c>
    </row>
    <row r="200" spans="1:12" ht="15" customHeight="1" x14ac:dyDescent="0.25">
      <c r="A200" s="3103"/>
      <c r="B200" s="3103"/>
      <c r="C200" s="3103"/>
      <c r="D200" s="3103"/>
      <c r="E200" s="3103"/>
      <c r="F200" s="3103"/>
      <c r="G200" s="3103"/>
      <c r="H200" s="3103"/>
      <c r="I200" s="3103"/>
      <c r="J200" s="3103"/>
      <c r="K200" s="34" t="str">
        <f>K199</f>
        <v>x</v>
      </c>
    </row>
    <row r="201" spans="1:12" ht="15" customHeight="1" x14ac:dyDescent="0.25">
      <c r="A201" s="3103"/>
      <c r="B201" s="3103"/>
      <c r="C201" s="3103"/>
      <c r="D201" s="3103"/>
      <c r="E201" s="3103"/>
      <c r="F201" s="3103"/>
      <c r="G201" s="3103"/>
      <c r="H201" s="3103"/>
      <c r="I201" s="3103"/>
      <c r="J201" s="3103"/>
      <c r="K201" s="34" t="str">
        <f t="shared" ref="K201:K204" si="7">K200</f>
        <v>x</v>
      </c>
    </row>
    <row r="202" spans="1:12" ht="15" customHeight="1" x14ac:dyDescent="0.25">
      <c r="A202" s="3103"/>
      <c r="B202" s="3103"/>
      <c r="C202" s="3103"/>
      <c r="D202" s="3103"/>
      <c r="E202" s="3103"/>
      <c r="F202" s="3103"/>
      <c r="G202" s="3103"/>
      <c r="H202" s="3103"/>
      <c r="I202" s="3103"/>
      <c r="J202" s="3103"/>
      <c r="K202" s="34" t="str">
        <f t="shared" si="7"/>
        <v>x</v>
      </c>
    </row>
    <row r="203" spans="1:12" ht="15" customHeight="1" x14ac:dyDescent="0.25">
      <c r="A203" s="3103"/>
      <c r="B203" s="3103"/>
      <c r="C203" s="3103"/>
      <c r="D203" s="3103"/>
      <c r="E203" s="3103"/>
      <c r="F203" s="3103"/>
      <c r="G203" s="3103"/>
      <c r="H203" s="3103"/>
      <c r="I203" s="3103"/>
      <c r="J203" s="3103"/>
      <c r="K203" s="34" t="str">
        <f t="shared" si="7"/>
        <v>x</v>
      </c>
    </row>
    <row r="204" spans="1:12" s="576" customFormat="1" ht="15" customHeight="1" x14ac:dyDescent="0.25">
      <c r="A204" s="3103"/>
      <c r="B204" s="3103"/>
      <c r="C204" s="3103"/>
      <c r="D204" s="3103"/>
      <c r="E204" s="3103"/>
      <c r="F204" s="3103"/>
      <c r="G204" s="3103"/>
      <c r="H204" s="3103"/>
      <c r="I204" s="3103"/>
      <c r="J204" s="3103"/>
      <c r="K204" s="34" t="str">
        <f t="shared" si="7"/>
        <v>x</v>
      </c>
    </row>
    <row r="205" spans="1:12" s="2119" customFormat="1" ht="15" customHeight="1" x14ac:dyDescent="0.25">
      <c r="A205" s="2127"/>
      <c r="B205" s="2127"/>
      <c r="C205" s="2127"/>
      <c r="D205" s="2127"/>
      <c r="E205" s="2127"/>
      <c r="F205" s="2127"/>
      <c r="G205" s="2127"/>
      <c r="H205" s="2127"/>
      <c r="I205" s="2127"/>
      <c r="J205" s="2127"/>
      <c r="K205" s="2118" t="str">
        <f>K201</f>
        <v>x</v>
      </c>
    </row>
    <row r="206" spans="1:12" s="576" customFormat="1" ht="15" customHeight="1" x14ac:dyDescent="0.25">
      <c r="A206" s="1602" t="str">
        <f>Acessórios!$B$34</f>
        <v>Processadora</v>
      </c>
      <c r="B206" s="1603"/>
      <c r="C206" s="1603"/>
      <c r="D206" s="1603"/>
      <c r="K206" s="576" t="str">
        <f>IF(Acessórios!$B$57="","x","")</f>
        <v>x</v>
      </c>
    </row>
    <row r="207" spans="1:12" s="576" customFormat="1" ht="15" customHeight="1" x14ac:dyDescent="0.25">
      <c r="A207" s="3093" t="str">
        <f>Acessórios!$A$35&amp;": "&amp;Acessórios!$B$35</f>
        <v>Marca: Informação não disponível</v>
      </c>
      <c r="B207" s="3093"/>
      <c r="C207" s="3093"/>
      <c r="D207" s="3093"/>
      <c r="K207" s="576" t="str">
        <f>K206</f>
        <v>x</v>
      </c>
    </row>
    <row r="208" spans="1:12" s="576" customFormat="1" ht="15" customHeight="1" x14ac:dyDescent="0.25">
      <c r="A208" s="3093" t="str">
        <f>Acessórios!$A$36&amp;": "&amp;Acessórios!$B$36</f>
        <v>Modelo: Informação não disponível</v>
      </c>
      <c r="B208" s="3093"/>
      <c r="C208" s="3093"/>
      <c r="D208" s="3093"/>
      <c r="K208" s="576" t="str">
        <f t="shared" ref="K208:K219" si="8">K207</f>
        <v>x</v>
      </c>
    </row>
    <row r="209" spans="1:11" s="576" customFormat="1" ht="15" customHeight="1" x14ac:dyDescent="0.25">
      <c r="A209" s="3093" t="str">
        <f>Acessórios!$A$37&amp;": "&amp;Acessórios!$B$37</f>
        <v>Série: Informação não disponível</v>
      </c>
      <c r="B209" s="3093"/>
      <c r="C209" s="3093"/>
      <c r="D209" s="3093"/>
      <c r="K209" s="576" t="str">
        <f t="shared" si="8"/>
        <v>x</v>
      </c>
    </row>
    <row r="210" spans="1:11" s="576" customFormat="1" ht="15" customHeight="1" x14ac:dyDescent="0.25">
      <c r="A210" s="3093" t="str">
        <f>Acessórios!$A$38&amp;": "&amp;Acessórios!$B$38</f>
        <v>N. ANVISA: Informação não disponível</v>
      </c>
      <c r="B210" s="3093"/>
      <c r="C210" s="3093"/>
      <c r="D210" s="3093"/>
      <c r="K210" s="576" t="str">
        <f t="shared" si="8"/>
        <v>x</v>
      </c>
    </row>
    <row r="211" spans="1:11" s="576" customFormat="1" ht="15" customHeight="1" x14ac:dyDescent="0.25">
      <c r="A211" s="1604"/>
      <c r="B211" s="1604"/>
      <c r="C211" s="1604"/>
      <c r="D211" s="1604"/>
      <c r="K211" s="576" t="str">
        <f t="shared" si="8"/>
        <v>x</v>
      </c>
    </row>
    <row r="212" spans="1:11" s="576" customFormat="1" ht="15" customHeight="1" x14ac:dyDescent="0.25">
      <c r="A212" s="3098" t="s">
        <v>825</v>
      </c>
      <c r="B212" s="3098"/>
      <c r="C212" s="1605" t="s">
        <v>826</v>
      </c>
      <c r="D212" s="1606" t="str">
        <f>"IN "&amp;VLOOKUP("Mamografia",IN_ANVISA[],2)</f>
        <v>IN 92</v>
      </c>
      <c r="K212" s="576" t="str">
        <f t="shared" si="8"/>
        <v>x</v>
      </c>
    </row>
    <row r="213" spans="1:11" ht="15" customHeight="1" x14ac:dyDescent="0.25">
      <c r="A213" s="3096" t="s">
        <v>1232</v>
      </c>
      <c r="B213" s="3096"/>
      <c r="C213" s="1607" t="str">
        <f>Acessórios!B103</f>
        <v>NPA</v>
      </c>
      <c r="D213" s="1608" t="str">
        <f>Acessórios!B107</f>
        <v>NPA</v>
      </c>
      <c r="K213" s="576" t="str">
        <f t="shared" si="8"/>
        <v>x</v>
      </c>
    </row>
    <row r="214" spans="1:11" ht="15" customHeight="1" x14ac:dyDescent="0.25">
      <c r="A214" s="3096" t="s">
        <v>1235</v>
      </c>
      <c r="B214" s="3096"/>
      <c r="C214" s="1607" t="str">
        <f>Acessórios!B104</f>
        <v>NPA</v>
      </c>
      <c r="D214" s="1608" t="str">
        <f>Acessórios!B108</f>
        <v>NPA</v>
      </c>
      <c r="K214" s="576" t="str">
        <f t="shared" si="8"/>
        <v>x</v>
      </c>
    </row>
    <row r="215" spans="1:11" ht="15" customHeight="1" x14ac:dyDescent="0.25">
      <c r="A215" s="3096" t="s">
        <v>1233</v>
      </c>
      <c r="B215" s="3096"/>
      <c r="C215" s="1607" t="str">
        <f ca="1">Acessórios!B105</f>
        <v>NPA</v>
      </c>
      <c r="D215" s="1608" t="str">
        <f ca="1">Acessórios!B109</f>
        <v>NPA</v>
      </c>
      <c r="K215" s="576" t="str">
        <f t="shared" si="8"/>
        <v>x</v>
      </c>
    </row>
    <row r="216" spans="1:11" ht="15" customHeight="1" x14ac:dyDescent="0.25">
      <c r="A216" s="3096" t="s">
        <v>1234</v>
      </c>
      <c r="B216" s="3096"/>
      <c r="C216" s="1607" t="str">
        <f>Acessórios!B106</f>
        <v>NPA</v>
      </c>
      <c r="D216" s="1608" t="str">
        <f>Acessórios!B110</f>
        <v>NPA</v>
      </c>
      <c r="K216" s="576" t="str">
        <f t="shared" si="8"/>
        <v>x</v>
      </c>
    </row>
    <row r="217" spans="1:11" ht="15" customHeight="1" x14ac:dyDescent="0.25">
      <c r="A217" s="576"/>
      <c r="B217" s="576"/>
      <c r="C217" s="576"/>
      <c r="D217" s="576"/>
      <c r="K217" s="576" t="str">
        <f t="shared" si="8"/>
        <v>x</v>
      </c>
    </row>
    <row r="218" spans="1:11" ht="15" customHeight="1" x14ac:dyDescent="0.25">
      <c r="A218" s="2606" t="s">
        <v>781</v>
      </c>
      <c r="B218" s="2606"/>
      <c r="C218" s="827" t="s">
        <v>1757</v>
      </c>
      <c r="D218" s="1606" t="str">
        <f>"IN "&amp;VLOOKUP("Mamografia",IN_ANVISA[],2)</f>
        <v>IN 92</v>
      </c>
      <c r="K218" s="576" t="str">
        <f t="shared" si="8"/>
        <v>x</v>
      </c>
    </row>
    <row r="219" spans="1:11" ht="15" customHeight="1" x14ac:dyDescent="0.25">
      <c r="A219" s="3094" t="str">
        <f>Acessórios!$B$41</f>
        <v>*</v>
      </c>
      <c r="B219" s="3095"/>
      <c r="C219" s="1609" t="str">
        <f>Acessórios!$B$49</f>
        <v>*</v>
      </c>
      <c r="D219" s="1645" t="str">
        <f>Acessórios!$B$53</f>
        <v>NPA</v>
      </c>
      <c r="K219" s="576" t="str">
        <f t="shared" si="8"/>
        <v>x</v>
      </c>
    </row>
    <row r="220" spans="1:11" ht="15" customHeight="1" x14ac:dyDescent="0.25">
      <c r="A220" s="1600" t="s">
        <v>1777</v>
      </c>
      <c r="B220" s="287"/>
      <c r="C220" s="287"/>
      <c r="D220" s="287"/>
      <c r="K220" s="576" t="str">
        <f>K219</f>
        <v>x</v>
      </c>
    </row>
    <row r="221" spans="1:11" ht="15" customHeight="1" x14ac:dyDescent="0.25">
      <c r="K221" s="34" t="str">
        <f>K220</f>
        <v>x</v>
      </c>
    </row>
    <row r="222" spans="1:11" ht="15" customHeight="1" x14ac:dyDescent="0.25">
      <c r="A222" s="1602" t="str">
        <f>Acessórios!$C$34</f>
        <v>Processadora</v>
      </c>
      <c r="B222" s="1603"/>
      <c r="C222" s="1603"/>
      <c r="D222" s="1603"/>
      <c r="E222" s="576"/>
      <c r="F222" s="576"/>
      <c r="G222" s="576"/>
      <c r="H222" s="576"/>
      <c r="I222" s="576"/>
      <c r="J222" s="576"/>
      <c r="K222" s="576" t="str">
        <f>IF(Acessórios!$C$57="","x","")</f>
        <v>x</v>
      </c>
    </row>
    <row r="223" spans="1:11" ht="15" customHeight="1" x14ac:dyDescent="0.25">
      <c r="A223" s="3093" t="str">
        <f>Acessórios!$A$35&amp;": "&amp;Acessórios!$C$35</f>
        <v>Marca: Informação não disponível</v>
      </c>
      <c r="B223" s="3093"/>
      <c r="C223" s="3093"/>
      <c r="D223" s="3093"/>
      <c r="E223" s="576"/>
      <c r="F223" s="576"/>
      <c r="G223" s="576"/>
      <c r="H223" s="576"/>
      <c r="I223" s="576"/>
      <c r="J223" s="576"/>
      <c r="K223" s="576" t="str">
        <f>K222</f>
        <v>x</v>
      </c>
    </row>
    <row r="224" spans="1:11" ht="15" customHeight="1" x14ac:dyDescent="0.25">
      <c r="A224" s="3093" t="str">
        <f>Acessórios!$A$36&amp;": "&amp;Acessórios!$C$36</f>
        <v>Modelo: Informação não disponível</v>
      </c>
      <c r="B224" s="3093"/>
      <c r="C224" s="3093"/>
      <c r="D224" s="3093"/>
      <c r="E224" s="576"/>
      <c r="F224" s="576"/>
      <c r="G224" s="576"/>
      <c r="H224" s="576"/>
      <c r="I224" s="576"/>
      <c r="J224" s="576"/>
      <c r="K224" s="576" t="str">
        <f t="shared" ref="K224:K235" si="9">K223</f>
        <v>x</v>
      </c>
    </row>
    <row r="225" spans="1:11" ht="15" customHeight="1" x14ac:dyDescent="0.25">
      <c r="A225" s="3093" t="str">
        <f>Acessórios!$A$37&amp;": "&amp;Acessórios!$C$37</f>
        <v>Série: Informação não disponível</v>
      </c>
      <c r="B225" s="3093"/>
      <c r="C225" s="3093"/>
      <c r="D225" s="3093"/>
      <c r="E225" s="576"/>
      <c r="F225" s="576"/>
      <c r="G225" s="576"/>
      <c r="H225" s="576"/>
      <c r="I225" s="576"/>
      <c r="J225" s="576"/>
      <c r="K225" s="576" t="str">
        <f t="shared" si="9"/>
        <v>x</v>
      </c>
    </row>
    <row r="226" spans="1:11" ht="15" customHeight="1" x14ac:dyDescent="0.25">
      <c r="A226" s="3093" t="str">
        <f>Acessórios!$A$38&amp;": "&amp;Acessórios!$C$38</f>
        <v>N. ANVISA: Informação não disponível</v>
      </c>
      <c r="B226" s="3093"/>
      <c r="C226" s="3093"/>
      <c r="D226" s="3093"/>
      <c r="E226" s="576"/>
      <c r="F226" s="576"/>
      <c r="G226" s="576"/>
      <c r="H226" s="576"/>
      <c r="I226" s="576"/>
      <c r="J226" s="576"/>
      <c r="K226" s="576" t="str">
        <f t="shared" si="9"/>
        <v>x</v>
      </c>
    </row>
    <row r="227" spans="1:11" ht="15" customHeight="1" x14ac:dyDescent="0.25">
      <c r="A227" s="1604"/>
      <c r="B227" s="1604"/>
      <c r="C227" s="1604"/>
      <c r="D227" s="1604"/>
      <c r="E227" s="576"/>
      <c r="F227" s="576"/>
      <c r="G227" s="576"/>
      <c r="H227" s="576"/>
      <c r="I227" s="576"/>
      <c r="J227" s="576"/>
      <c r="K227" s="576" t="str">
        <f t="shared" si="9"/>
        <v>x</v>
      </c>
    </row>
    <row r="228" spans="1:11" ht="15" customHeight="1" x14ac:dyDescent="0.25">
      <c r="A228" s="3098" t="s">
        <v>825</v>
      </c>
      <c r="B228" s="3098"/>
      <c r="C228" s="1605" t="s">
        <v>826</v>
      </c>
      <c r="D228" s="1606" t="str">
        <f>"IN "&amp;VLOOKUP("Mamografia",IN_ANVISA[],2)</f>
        <v>IN 92</v>
      </c>
      <c r="E228" s="576"/>
      <c r="F228" s="576"/>
      <c r="G228" s="576"/>
      <c r="H228" s="576"/>
      <c r="I228" s="576"/>
      <c r="J228" s="576"/>
      <c r="K228" s="576" t="str">
        <f t="shared" si="9"/>
        <v>x</v>
      </c>
    </row>
    <row r="229" spans="1:11" ht="15" customHeight="1" x14ac:dyDescent="0.25">
      <c r="A229" s="3096" t="s">
        <v>811</v>
      </c>
      <c r="B229" s="3096"/>
      <c r="C229" s="1607" t="str">
        <f>Acessórios!C103</f>
        <v>NPA</v>
      </c>
      <c r="D229" s="1608" t="str">
        <f>Acessórios!C107</f>
        <v>NPA</v>
      </c>
      <c r="K229" s="576" t="str">
        <f t="shared" si="9"/>
        <v>x</v>
      </c>
    </row>
    <row r="230" spans="1:11" ht="15" customHeight="1" x14ac:dyDescent="0.25">
      <c r="A230" s="3096" t="s">
        <v>812</v>
      </c>
      <c r="B230" s="3096"/>
      <c r="C230" s="1607" t="str">
        <f>Acessórios!C104</f>
        <v>NPA</v>
      </c>
      <c r="D230" s="1608" t="str">
        <f>Acessórios!C108</f>
        <v>NPA</v>
      </c>
      <c r="K230" s="576" t="str">
        <f t="shared" si="9"/>
        <v>x</v>
      </c>
    </row>
    <row r="231" spans="1:11" ht="15" customHeight="1" x14ac:dyDescent="0.25">
      <c r="A231" s="3096" t="s">
        <v>813</v>
      </c>
      <c r="B231" s="3096"/>
      <c r="C231" s="1607" t="str">
        <f ca="1">Acessórios!C105</f>
        <v>NPA</v>
      </c>
      <c r="D231" s="1608" t="str">
        <f ca="1">Acessórios!C109</f>
        <v>NPA</v>
      </c>
      <c r="K231" s="576" t="str">
        <f t="shared" si="9"/>
        <v>x</v>
      </c>
    </row>
    <row r="232" spans="1:11" ht="15" customHeight="1" x14ac:dyDescent="0.25">
      <c r="A232" s="3096" t="s">
        <v>822</v>
      </c>
      <c r="B232" s="3096"/>
      <c r="C232" s="1607" t="str">
        <f>Acessórios!C106</f>
        <v>NPA</v>
      </c>
      <c r="D232" s="1608" t="str">
        <f>Acessórios!C110</f>
        <v>NPA</v>
      </c>
      <c r="K232" s="576" t="str">
        <f t="shared" si="9"/>
        <v>x</v>
      </c>
    </row>
    <row r="233" spans="1:11" ht="15" customHeight="1" x14ac:dyDescent="0.25">
      <c r="A233" s="576"/>
      <c r="B233" s="576"/>
      <c r="C233" s="576"/>
      <c r="D233" s="576"/>
      <c r="K233" s="576" t="str">
        <f t="shared" si="9"/>
        <v>x</v>
      </c>
    </row>
    <row r="234" spans="1:11" ht="15" customHeight="1" x14ac:dyDescent="0.25">
      <c r="A234" s="2606" t="s">
        <v>781</v>
      </c>
      <c r="B234" s="2606"/>
      <c r="C234" s="827" t="s">
        <v>1757</v>
      </c>
      <c r="D234" s="1606" t="str">
        <f>"IN "&amp;VLOOKUP("Mamografia",IN_ANVISA[],2)</f>
        <v>IN 92</v>
      </c>
      <c r="K234" s="576" t="str">
        <f t="shared" si="9"/>
        <v>x</v>
      </c>
    </row>
    <row r="235" spans="1:11" ht="15" customHeight="1" x14ac:dyDescent="0.25">
      <c r="A235" s="2600" t="str">
        <f>Acessórios!$C$41</f>
        <v>*</v>
      </c>
      <c r="B235" s="2602"/>
      <c r="C235" s="1645" t="str">
        <f>Acessórios!$C$49</f>
        <v>*</v>
      </c>
      <c r="D235" s="1645" t="str">
        <f>Acessórios!$C$53</f>
        <v>NPA</v>
      </c>
      <c r="K235" s="576" t="str">
        <f t="shared" si="9"/>
        <v>x</v>
      </c>
    </row>
    <row r="236" spans="1:11" ht="15" customHeight="1" x14ac:dyDescent="0.25">
      <c r="A236" s="1600" t="s">
        <v>1777</v>
      </c>
      <c r="B236" s="287"/>
      <c r="C236" s="287"/>
      <c r="D236" s="287"/>
      <c r="K236" s="576" t="str">
        <f>K235</f>
        <v>x</v>
      </c>
    </row>
    <row r="237" spans="1:11" ht="15" customHeight="1" x14ac:dyDescent="0.25">
      <c r="K237" s="576" t="str">
        <f>K236</f>
        <v>x</v>
      </c>
    </row>
    <row r="238" spans="1:11" ht="15" customHeight="1" x14ac:dyDescent="0.25">
      <c r="A238" s="1602" t="str">
        <f>Acessórios!$D$34</f>
        <v>Processadora</v>
      </c>
      <c r="B238" s="1603"/>
      <c r="C238" s="1603"/>
      <c r="D238" s="1603"/>
      <c r="E238" s="576"/>
      <c r="F238" s="576"/>
      <c r="G238" s="576"/>
      <c r="H238" s="576"/>
      <c r="I238" s="576"/>
      <c r="J238" s="576"/>
      <c r="K238" s="576" t="str">
        <f>IF(Acessórios!$D$57="","x","")</f>
        <v>x</v>
      </c>
    </row>
    <row r="239" spans="1:11" ht="15" customHeight="1" x14ac:dyDescent="0.25">
      <c r="A239" s="3093" t="str">
        <f>Acessórios!$A$35&amp;": "&amp;Acessórios!$D$35</f>
        <v>Marca: Informação não disponível</v>
      </c>
      <c r="B239" s="3093"/>
      <c r="C239" s="3093"/>
      <c r="D239" s="3093"/>
      <c r="E239" s="576"/>
      <c r="F239" s="576"/>
      <c r="G239" s="576"/>
      <c r="H239" s="576"/>
      <c r="I239" s="576"/>
      <c r="J239" s="576"/>
      <c r="K239" s="576" t="str">
        <f>K238</f>
        <v>x</v>
      </c>
    </row>
    <row r="240" spans="1:11" ht="15" customHeight="1" x14ac:dyDescent="0.25">
      <c r="A240" s="3093" t="str">
        <f>Acessórios!$A$36&amp;": "&amp;Acessórios!$D$36</f>
        <v>Modelo: Informação não disponível</v>
      </c>
      <c r="B240" s="3093"/>
      <c r="C240" s="3093"/>
      <c r="D240" s="3093"/>
      <c r="E240" s="576"/>
      <c r="F240" s="576"/>
      <c r="G240" s="576"/>
      <c r="H240" s="576"/>
      <c r="I240" s="576"/>
      <c r="J240" s="576"/>
      <c r="K240" s="576" t="str">
        <f t="shared" ref="K240:K251" si="10">K239</f>
        <v>x</v>
      </c>
    </row>
    <row r="241" spans="1:11" ht="15" customHeight="1" x14ac:dyDescent="0.25">
      <c r="A241" s="3093" t="str">
        <f>Acessórios!$A$37&amp;": "&amp;Acessórios!$D$37</f>
        <v>Série: Informação não disponível</v>
      </c>
      <c r="B241" s="3093"/>
      <c r="C241" s="3093"/>
      <c r="D241" s="3093"/>
      <c r="E241" s="576"/>
      <c r="F241" s="576"/>
      <c r="G241" s="576"/>
      <c r="H241" s="576"/>
      <c r="I241" s="576"/>
      <c r="J241" s="576"/>
      <c r="K241" s="576" t="str">
        <f t="shared" si="10"/>
        <v>x</v>
      </c>
    </row>
    <row r="242" spans="1:11" ht="15" customHeight="1" x14ac:dyDescent="0.25">
      <c r="A242" s="3093" t="str">
        <f>Acessórios!$A$38&amp;": "&amp;Acessórios!$D$38</f>
        <v>N. ANVISA: Informação não disponível</v>
      </c>
      <c r="B242" s="3093"/>
      <c r="C242" s="3093"/>
      <c r="D242" s="3093"/>
      <c r="E242" s="576"/>
      <c r="F242" s="576"/>
      <c r="G242" s="576"/>
      <c r="H242" s="576"/>
      <c r="I242" s="576"/>
      <c r="J242" s="576"/>
      <c r="K242" s="576" t="str">
        <f t="shared" si="10"/>
        <v>x</v>
      </c>
    </row>
    <row r="243" spans="1:11" ht="15" customHeight="1" x14ac:dyDescent="0.25">
      <c r="A243" s="1604"/>
      <c r="B243" s="1604"/>
      <c r="C243" s="1604"/>
      <c r="D243" s="1604"/>
      <c r="E243" s="576"/>
      <c r="F243" s="576"/>
      <c r="G243" s="576"/>
      <c r="H243" s="576"/>
      <c r="I243" s="576"/>
      <c r="J243" s="576"/>
      <c r="K243" s="576" t="str">
        <f t="shared" si="10"/>
        <v>x</v>
      </c>
    </row>
    <row r="244" spans="1:11" ht="15" customHeight="1" x14ac:dyDescent="0.25">
      <c r="A244" s="3098" t="s">
        <v>825</v>
      </c>
      <c r="B244" s="3098"/>
      <c r="C244" s="1605" t="s">
        <v>826</v>
      </c>
      <c r="D244" s="1606" t="str">
        <f>"IN "&amp;VLOOKUP("Mamografia",IN_ANVISA[],2)</f>
        <v>IN 92</v>
      </c>
      <c r="E244" s="576"/>
      <c r="F244" s="576"/>
      <c r="G244" s="576"/>
      <c r="H244" s="576"/>
      <c r="I244" s="576"/>
      <c r="J244" s="576"/>
      <c r="K244" s="576" t="str">
        <f t="shared" si="10"/>
        <v>x</v>
      </c>
    </row>
    <row r="245" spans="1:11" ht="15" customHeight="1" x14ac:dyDescent="0.25">
      <c r="A245" s="3096" t="s">
        <v>811</v>
      </c>
      <c r="B245" s="3096"/>
      <c r="C245" s="1607" t="str">
        <f>Acessórios!D103</f>
        <v>NPA</v>
      </c>
      <c r="D245" s="1608" t="str">
        <f>Acessórios!D107</f>
        <v>NPA</v>
      </c>
      <c r="K245" s="576" t="str">
        <f t="shared" si="10"/>
        <v>x</v>
      </c>
    </row>
    <row r="246" spans="1:11" ht="15" customHeight="1" x14ac:dyDescent="0.25">
      <c r="A246" s="3096" t="s">
        <v>812</v>
      </c>
      <c r="B246" s="3096"/>
      <c r="C246" s="1607" t="str">
        <f>Acessórios!D104</f>
        <v>NPA</v>
      </c>
      <c r="D246" s="1608" t="str">
        <f>Acessórios!D108</f>
        <v>NPA</v>
      </c>
      <c r="K246" s="576" t="str">
        <f t="shared" si="10"/>
        <v>x</v>
      </c>
    </row>
    <row r="247" spans="1:11" ht="15" customHeight="1" x14ac:dyDescent="0.25">
      <c r="A247" s="3096" t="s">
        <v>813</v>
      </c>
      <c r="B247" s="3096"/>
      <c r="C247" s="1607" t="str">
        <f ca="1">Acessórios!D105</f>
        <v>NPA</v>
      </c>
      <c r="D247" s="1608" t="str">
        <f ca="1">Acessórios!D109</f>
        <v>NPA</v>
      </c>
      <c r="K247" s="576" t="str">
        <f t="shared" si="10"/>
        <v>x</v>
      </c>
    </row>
    <row r="248" spans="1:11" ht="15" customHeight="1" x14ac:dyDescent="0.25">
      <c r="A248" s="3096" t="s">
        <v>822</v>
      </c>
      <c r="B248" s="3096"/>
      <c r="C248" s="1607" t="str">
        <f>Acessórios!D106</f>
        <v>NPA</v>
      </c>
      <c r="D248" s="1608" t="str">
        <f>Acessórios!D110</f>
        <v>NPA</v>
      </c>
      <c r="K248" s="576" t="str">
        <f t="shared" si="10"/>
        <v>x</v>
      </c>
    </row>
    <row r="249" spans="1:11" ht="15" customHeight="1" x14ac:dyDescent="0.25">
      <c r="A249" s="576"/>
      <c r="B249" s="576"/>
      <c r="C249" s="576"/>
      <c r="D249" s="576"/>
      <c r="K249" s="576" t="str">
        <f t="shared" si="10"/>
        <v>x</v>
      </c>
    </row>
    <row r="250" spans="1:11" ht="15" customHeight="1" x14ac:dyDescent="0.25">
      <c r="A250" s="2606" t="s">
        <v>781</v>
      </c>
      <c r="B250" s="2606"/>
      <c r="C250" s="827" t="s">
        <v>1757</v>
      </c>
      <c r="D250" s="1606" t="str">
        <f>"IN "&amp;VLOOKUP("Mamografia",IN_ANVISA[],2)</f>
        <v>IN 92</v>
      </c>
      <c r="K250" s="576" t="str">
        <f t="shared" si="10"/>
        <v>x</v>
      </c>
    </row>
    <row r="251" spans="1:11" ht="15" customHeight="1" x14ac:dyDescent="0.25">
      <c r="A251" s="2600" t="str">
        <f>Acessórios!$D$41</f>
        <v>*</v>
      </c>
      <c r="B251" s="2602"/>
      <c r="C251" s="1645" t="str">
        <f>Acessórios!$D$49</f>
        <v>*</v>
      </c>
      <c r="D251" s="1645" t="str">
        <f>Acessórios!$D$53</f>
        <v>NPA</v>
      </c>
      <c r="K251" s="576" t="str">
        <f t="shared" si="10"/>
        <v>x</v>
      </c>
    </row>
    <row r="252" spans="1:11" ht="15" customHeight="1" x14ac:dyDescent="0.25">
      <c r="A252" s="1600" t="s">
        <v>1777</v>
      </c>
      <c r="B252" s="287"/>
      <c r="C252" s="287"/>
      <c r="D252" s="287"/>
      <c r="K252" s="576" t="str">
        <f>K251</f>
        <v>x</v>
      </c>
    </row>
    <row r="253" spans="1:11" ht="15" customHeight="1" x14ac:dyDescent="0.25">
      <c r="K253" s="576" t="str">
        <f>K252</f>
        <v>x</v>
      </c>
    </row>
    <row r="254" spans="1:11" ht="15" customHeight="1" x14ac:dyDescent="0.25">
      <c r="A254" s="1602" t="str">
        <f>Acessórios!$E$34</f>
        <v>Processadora</v>
      </c>
      <c r="B254" s="1603"/>
      <c r="C254" s="1603"/>
      <c r="D254" s="1603"/>
      <c r="E254" s="576"/>
      <c r="F254" s="576"/>
      <c r="G254" s="576"/>
      <c r="H254" s="576"/>
      <c r="I254" s="576"/>
      <c r="J254" s="576"/>
      <c r="K254" s="576" t="str">
        <f>IF(Acessórios!$E$57="","x","")</f>
        <v>x</v>
      </c>
    </row>
    <row r="255" spans="1:11" ht="15" customHeight="1" x14ac:dyDescent="0.25">
      <c r="A255" s="3093" t="str">
        <f>Acessórios!$A$35&amp;": "&amp;Acessórios!$E$35</f>
        <v>Marca: Informação não disponível</v>
      </c>
      <c r="B255" s="3093"/>
      <c r="C255" s="3093"/>
      <c r="D255" s="3093"/>
      <c r="E255" s="576"/>
      <c r="F255" s="576"/>
      <c r="G255" s="576"/>
      <c r="H255" s="576"/>
      <c r="I255" s="576"/>
      <c r="J255" s="576"/>
      <c r="K255" s="576" t="str">
        <f>K254</f>
        <v>x</v>
      </c>
    </row>
    <row r="256" spans="1:11" ht="15" customHeight="1" x14ac:dyDescent="0.25">
      <c r="A256" s="3093" t="str">
        <f>Acessórios!$A$36&amp;": "&amp;Acessórios!$E$36</f>
        <v>Modelo: Informação não disponível</v>
      </c>
      <c r="B256" s="3093"/>
      <c r="C256" s="3093"/>
      <c r="D256" s="3093"/>
      <c r="E256" s="576"/>
      <c r="F256" s="576"/>
      <c r="G256" s="576"/>
      <c r="H256" s="576"/>
      <c r="I256" s="576"/>
      <c r="J256" s="576"/>
      <c r="K256" s="576" t="str">
        <f t="shared" ref="K256:K267" si="11">K255</f>
        <v>x</v>
      </c>
    </row>
    <row r="257" spans="1:12" ht="15" customHeight="1" x14ac:dyDescent="0.25">
      <c r="A257" s="3093" t="str">
        <f>Acessórios!$A$37&amp;": "&amp;Acessórios!$E$37</f>
        <v>Série: Informação não disponível</v>
      </c>
      <c r="B257" s="3093"/>
      <c r="C257" s="3093"/>
      <c r="D257" s="3093"/>
      <c r="E257" s="576"/>
      <c r="F257" s="576"/>
      <c r="G257" s="576"/>
      <c r="H257" s="576"/>
      <c r="I257" s="576"/>
      <c r="J257" s="576"/>
      <c r="K257" s="576" t="str">
        <f t="shared" si="11"/>
        <v>x</v>
      </c>
    </row>
    <row r="258" spans="1:12" ht="15" customHeight="1" x14ac:dyDescent="0.25">
      <c r="A258" s="3093" t="str">
        <f>Acessórios!$A$38&amp;": "&amp;Acessórios!$E$38</f>
        <v>N. ANVISA: Informação não disponível</v>
      </c>
      <c r="B258" s="3093"/>
      <c r="C258" s="3093"/>
      <c r="D258" s="3093"/>
      <c r="E258" s="576"/>
      <c r="F258" s="576"/>
      <c r="G258" s="576"/>
      <c r="H258" s="576"/>
      <c r="I258" s="576"/>
      <c r="J258" s="576"/>
      <c r="K258" s="576" t="str">
        <f t="shared" si="11"/>
        <v>x</v>
      </c>
    </row>
    <row r="259" spans="1:12" ht="15" customHeight="1" x14ac:dyDescent="0.25">
      <c r="A259" s="1604"/>
      <c r="B259" s="1604"/>
      <c r="C259" s="1604"/>
      <c r="D259" s="1604"/>
      <c r="E259" s="576"/>
      <c r="F259" s="576"/>
      <c r="G259" s="576"/>
      <c r="H259" s="576"/>
      <c r="I259" s="576"/>
      <c r="J259" s="576"/>
      <c r="K259" s="576" t="str">
        <f t="shared" si="11"/>
        <v>x</v>
      </c>
    </row>
    <row r="260" spans="1:12" ht="15" customHeight="1" x14ac:dyDescent="0.25">
      <c r="A260" s="3098" t="s">
        <v>825</v>
      </c>
      <c r="B260" s="3098"/>
      <c r="C260" s="1605" t="s">
        <v>826</v>
      </c>
      <c r="D260" s="1606" t="str">
        <f>"IN "&amp;VLOOKUP("Mamografia",IN_ANVISA[],2)</f>
        <v>IN 92</v>
      </c>
      <c r="E260" s="576"/>
      <c r="F260" s="576"/>
      <c r="G260" s="576"/>
      <c r="H260" s="576"/>
      <c r="I260" s="576"/>
      <c r="J260" s="576"/>
      <c r="K260" s="576" t="str">
        <f t="shared" si="11"/>
        <v>x</v>
      </c>
    </row>
    <row r="261" spans="1:12" ht="15" customHeight="1" x14ac:dyDescent="0.25">
      <c r="A261" s="3096" t="s">
        <v>811</v>
      </c>
      <c r="B261" s="3096"/>
      <c r="C261" s="1607" t="str">
        <f>Acessórios!E103</f>
        <v>NPA</v>
      </c>
      <c r="D261" s="1608" t="str">
        <f>Acessórios!E107</f>
        <v>NPA</v>
      </c>
      <c r="K261" s="576" t="str">
        <f t="shared" si="11"/>
        <v>x</v>
      </c>
    </row>
    <row r="262" spans="1:12" ht="15" customHeight="1" x14ac:dyDescent="0.25">
      <c r="A262" s="3096" t="s">
        <v>812</v>
      </c>
      <c r="B262" s="3096"/>
      <c r="C262" s="1607" t="str">
        <f>Acessórios!E104</f>
        <v>NPA</v>
      </c>
      <c r="D262" s="1608" t="str">
        <f>Acessórios!E108</f>
        <v>NPA</v>
      </c>
      <c r="K262" s="576" t="str">
        <f t="shared" si="11"/>
        <v>x</v>
      </c>
    </row>
    <row r="263" spans="1:12" ht="15" customHeight="1" x14ac:dyDescent="0.25">
      <c r="A263" s="3096" t="s">
        <v>813</v>
      </c>
      <c r="B263" s="3096"/>
      <c r="C263" s="1607" t="str">
        <f ca="1">Acessórios!E105</f>
        <v>NPA</v>
      </c>
      <c r="D263" s="1608" t="str">
        <f ca="1">Acessórios!E109</f>
        <v>NPA</v>
      </c>
      <c r="K263" s="576" t="str">
        <f t="shared" si="11"/>
        <v>x</v>
      </c>
    </row>
    <row r="264" spans="1:12" ht="15" customHeight="1" x14ac:dyDescent="0.25">
      <c r="A264" s="3096" t="s">
        <v>822</v>
      </c>
      <c r="B264" s="3096"/>
      <c r="C264" s="1607" t="str">
        <f>Acessórios!E106</f>
        <v>NPA</v>
      </c>
      <c r="D264" s="1608" t="str">
        <f>Acessórios!E110</f>
        <v>NPA</v>
      </c>
      <c r="K264" s="576" t="str">
        <f t="shared" si="11"/>
        <v>x</v>
      </c>
    </row>
    <row r="265" spans="1:12" ht="15" customHeight="1" x14ac:dyDescent="0.25">
      <c r="A265" s="576"/>
      <c r="B265" s="576"/>
      <c r="C265" s="576"/>
      <c r="D265" s="576"/>
      <c r="K265" s="576" t="str">
        <f t="shared" si="11"/>
        <v>x</v>
      </c>
    </row>
    <row r="266" spans="1:12" ht="15" customHeight="1" x14ac:dyDescent="0.25">
      <c r="A266" s="2606" t="s">
        <v>781</v>
      </c>
      <c r="B266" s="2606"/>
      <c r="C266" s="827" t="s">
        <v>1757</v>
      </c>
      <c r="D266" s="1606" t="str">
        <f>"IN "&amp;VLOOKUP("Mamografia",IN_ANVISA[],2)</f>
        <v>IN 92</v>
      </c>
      <c r="K266" s="576" t="str">
        <f t="shared" si="11"/>
        <v>x</v>
      </c>
    </row>
    <row r="267" spans="1:12" ht="15" customHeight="1" x14ac:dyDescent="0.25">
      <c r="A267" s="2600" t="str">
        <f>Acessórios!$E$41</f>
        <v>*</v>
      </c>
      <c r="B267" s="2602"/>
      <c r="C267" s="1645" t="str">
        <f>Acessórios!$E$49</f>
        <v>*</v>
      </c>
      <c r="D267" s="1645" t="str">
        <f>Acessórios!$E$53</f>
        <v>NPA</v>
      </c>
      <c r="K267" s="576" t="str">
        <f t="shared" si="11"/>
        <v>x</v>
      </c>
    </row>
    <row r="268" spans="1:12" ht="15" customHeight="1" x14ac:dyDescent="0.25">
      <c r="A268" s="1600" t="s">
        <v>1777</v>
      </c>
      <c r="B268" s="287"/>
      <c r="C268" s="287"/>
      <c r="D268" s="287"/>
      <c r="K268" s="576" t="str">
        <f>K267</f>
        <v>x</v>
      </c>
    </row>
    <row r="269" spans="1:12" ht="15" customHeight="1" x14ac:dyDescent="0.25">
      <c r="K269" s="576" t="str">
        <f>K268</f>
        <v>x</v>
      </c>
    </row>
    <row r="270" spans="1:12" ht="15" customHeight="1" x14ac:dyDescent="0.25">
      <c r="A270" s="281" t="str">
        <f>L270&amp;". Testes realizados nos cassetes CR"</f>
        <v>2. Testes realizados nos cassetes CR</v>
      </c>
      <c r="K270" s="34" t="str">
        <f>IF(COUNTBLANK(K285:K355)&gt;0,"","x")</f>
        <v>x</v>
      </c>
      <c r="L270" s="34">
        <f>IF(K277="",L194+1,L194)</f>
        <v>2</v>
      </c>
    </row>
    <row r="271" spans="1:12" ht="15" customHeight="1" x14ac:dyDescent="0.25">
      <c r="K271" s="576" t="str">
        <f t="shared" ref="K271:K276" si="12">K270</f>
        <v>x</v>
      </c>
    </row>
    <row r="272" spans="1:12" ht="15" customHeight="1" x14ac:dyDescent="0.25">
      <c r="A272" s="3038" t="s">
        <v>146</v>
      </c>
      <c r="B272" s="3038"/>
      <c r="C272" s="3038"/>
      <c r="D272" s="3038"/>
      <c r="E272" s="3038"/>
      <c r="F272" s="3038" t="s">
        <v>369</v>
      </c>
      <c r="G272" s="3038"/>
      <c r="H272" s="3038"/>
      <c r="I272" s="3092" t="str">
        <f>Acessórios!P169</f>
        <v>IN 90 e IN 92</v>
      </c>
      <c r="J272" s="3092"/>
      <c r="K272" s="576" t="str">
        <f t="shared" si="12"/>
        <v>x</v>
      </c>
    </row>
    <row r="273" spans="1:14" ht="15" customHeight="1" x14ac:dyDescent="0.25">
      <c r="A273" s="2471" t="s">
        <v>1702</v>
      </c>
      <c r="B273" s="2471"/>
      <c r="C273" s="2471"/>
      <c r="D273" s="2471"/>
      <c r="E273" s="2471"/>
      <c r="F273" s="2472" t="s">
        <v>1782</v>
      </c>
      <c r="G273" s="2472"/>
      <c r="H273" s="2472"/>
      <c r="I273" s="3091" t="str">
        <f>Acessórios!B141</f>
        <v>Sim</v>
      </c>
      <c r="J273" s="2472"/>
      <c r="K273" s="576" t="str">
        <f t="shared" si="12"/>
        <v>x</v>
      </c>
    </row>
    <row r="274" spans="1:14" ht="15" customHeight="1" x14ac:dyDescent="0.25">
      <c r="A274" s="2471" t="s">
        <v>1773</v>
      </c>
      <c r="B274" s="2471"/>
      <c r="C274" s="2471"/>
      <c r="D274" s="2471"/>
      <c r="E274" s="2471"/>
      <c r="F274" s="2881" t="s">
        <v>1783</v>
      </c>
      <c r="G274" s="2881"/>
      <c r="H274" s="2881"/>
      <c r="I274" s="3091" t="str">
        <f>Acessórios!B142</f>
        <v>Sim</v>
      </c>
      <c r="J274" s="2472"/>
      <c r="K274" s="576" t="str">
        <f t="shared" si="12"/>
        <v>x</v>
      </c>
    </row>
    <row r="275" spans="1:14" ht="15" customHeight="1" x14ac:dyDescent="0.25">
      <c r="A275" s="1600" t="s">
        <v>1777</v>
      </c>
      <c r="K275" s="576" t="str">
        <f t="shared" si="12"/>
        <v>x</v>
      </c>
    </row>
    <row r="276" spans="1:14" ht="15" customHeight="1" x14ac:dyDescent="0.25">
      <c r="K276" s="576" t="str">
        <f t="shared" si="12"/>
        <v>x</v>
      </c>
    </row>
    <row r="277" spans="1:14" ht="15" customHeight="1" x14ac:dyDescent="0.25">
      <c r="A277" s="281" t="str">
        <f>L277&amp;". Integridade, Uniformidade e RSR dos cassetes CR"</f>
        <v>2. Integridade, Uniformidade e RSR dos cassetes CR</v>
      </c>
      <c r="K277" s="34" t="str">
        <f>IF(COUNTBLANK(K285:K364)&gt;0,"","x")</f>
        <v>x</v>
      </c>
      <c r="L277" s="34">
        <f>IF(K277="",L270+1,L270)</f>
        <v>2</v>
      </c>
    </row>
    <row r="278" spans="1:14" s="2118" customFormat="1" ht="15" customHeight="1" x14ac:dyDescent="0.25">
      <c r="A278" s="2118" t="s">
        <v>2344</v>
      </c>
      <c r="B278" s="3112" t="s">
        <v>2690</v>
      </c>
      <c r="C278" s="3112"/>
      <c r="D278" s="3112"/>
      <c r="E278" s="3112"/>
      <c r="F278" s="3112"/>
      <c r="G278" s="3112"/>
      <c r="H278" s="3112"/>
      <c r="I278" s="3112"/>
      <c r="J278" s="3112"/>
      <c r="K278" s="2128" t="str">
        <f t="shared" ref="K278:K282" si="13">IF(D278=0,"x","")</f>
        <v>x</v>
      </c>
    </row>
    <row r="279" spans="1:14" s="2118" customFormat="1" ht="15" customHeight="1" x14ac:dyDescent="0.25">
      <c r="B279" s="3112"/>
      <c r="C279" s="3112"/>
      <c r="D279" s="3112"/>
      <c r="E279" s="3112"/>
      <c r="F279" s="3112"/>
      <c r="G279" s="3112"/>
      <c r="H279" s="3112"/>
      <c r="I279" s="3112"/>
      <c r="J279" s="3112"/>
      <c r="K279" s="2128" t="str">
        <f t="shared" si="13"/>
        <v>x</v>
      </c>
    </row>
    <row r="280" spans="1:14" s="2118" customFormat="1" ht="15" customHeight="1" x14ac:dyDescent="0.25">
      <c r="A280" s="2118" t="s">
        <v>2691</v>
      </c>
      <c r="K280" s="2128" t="str">
        <f t="shared" si="13"/>
        <v>x</v>
      </c>
    </row>
    <row r="281" spans="1:14" s="2118" customFormat="1" ht="15" customHeight="1" x14ac:dyDescent="0.25">
      <c r="A281" s="2118" t="s">
        <v>2692</v>
      </c>
      <c r="K281" s="2128" t="str">
        <f t="shared" si="13"/>
        <v>x</v>
      </c>
    </row>
    <row r="282" spans="1:14" s="2118" customFormat="1" ht="15" customHeight="1" x14ac:dyDescent="0.25">
      <c r="A282" s="2118" t="s">
        <v>2685</v>
      </c>
      <c r="K282" s="2128" t="str">
        <f t="shared" si="13"/>
        <v>x</v>
      </c>
    </row>
    <row r="283" spans="1:14" ht="15" customHeight="1" x14ac:dyDescent="0.25">
      <c r="K283" s="576" t="str">
        <f>K277</f>
        <v>x</v>
      </c>
    </row>
    <row r="284" spans="1:14" s="1647" customFormat="1" ht="15" customHeight="1" x14ac:dyDescent="0.25">
      <c r="A284" s="1652" t="s">
        <v>776</v>
      </c>
      <c r="B284" s="1652" t="s">
        <v>1759</v>
      </c>
      <c r="C284" s="1654" t="s">
        <v>1775</v>
      </c>
      <c r="D284" s="3104" t="s">
        <v>328</v>
      </c>
      <c r="E284" s="3105"/>
      <c r="F284" s="3099" t="s">
        <v>62</v>
      </c>
      <c r="G284" s="3099"/>
      <c r="H284" s="3099" t="s">
        <v>1772</v>
      </c>
      <c r="I284" s="3099"/>
      <c r="J284" s="1652" t="str">
        <f>I272</f>
        <v>IN 90 e IN 92</v>
      </c>
      <c r="K284" s="1647" t="str">
        <f>K283</f>
        <v>x</v>
      </c>
      <c r="M284" s="34"/>
      <c r="N284" s="34"/>
    </row>
    <row r="285" spans="1:14" s="1664" customFormat="1" ht="15" customHeight="1" x14ac:dyDescent="0.25">
      <c r="A285" s="1653" t="str">
        <f>Acessórios!A170</f>
        <v>13 x 18</v>
      </c>
      <c r="B285" s="1658">
        <f>Acessórios!B170</f>
        <v>1</v>
      </c>
      <c r="C285" s="1653" t="str">
        <f>IF(Acessórios!C170="Convencional","C - "&amp;convencional!$B$1,"M - "&amp;mamo!$B$1)</f>
        <v>C - IN 90</v>
      </c>
      <c r="D285" s="3100">
        <f>Acessórios!D170</f>
        <v>0</v>
      </c>
      <c r="E285" s="3106"/>
      <c r="F285" s="1661" t="str">
        <f>Acessórios!O170*100&amp;" %"</f>
        <v>0 %</v>
      </c>
      <c r="G285" s="1662" t="str">
        <f>Acessórios!P170</f>
        <v>NPA</v>
      </c>
      <c r="H285" s="1596" t="str">
        <f>Acessórios!Q170</f>
        <v/>
      </c>
      <c r="I285" s="1663" t="str">
        <f>Acessórios!R170</f>
        <v>NPA</v>
      </c>
      <c r="J285" s="1662" t="str">
        <f>IF(OR(G285="Restrição",I285="Restrição"),"Restrição",IF(OR(D285="Não íntegro",G285="Não",I285="Não"),"Não","Sim"))</f>
        <v>Sim</v>
      </c>
      <c r="K285" s="1664" t="str">
        <f>IF(D285=0,"x","")</f>
        <v>x</v>
      </c>
      <c r="M285" s="1664" t="str">
        <f>IF(OR(G285="Não",G285="Restrição"),"Não conforme",IF(G285="Sim","Conforme","NPA"))</f>
        <v>NPA</v>
      </c>
    </row>
    <row r="286" spans="1:14" ht="15" customHeight="1" x14ac:dyDescent="0.25">
      <c r="A286" s="1653" t="str">
        <f>Acessórios!A171</f>
        <v>13 x 18</v>
      </c>
      <c r="B286" s="1658">
        <f>Acessórios!B171</f>
        <v>2</v>
      </c>
      <c r="C286" s="1653" t="str">
        <f>IF(Acessórios!C171="Convencional","C - "&amp;convencional!$B$1,"M - "&amp;mamo!$B$1)</f>
        <v>C - IN 90</v>
      </c>
      <c r="D286" s="3100">
        <f>Acessórios!D171</f>
        <v>0</v>
      </c>
      <c r="E286" s="3100"/>
      <c r="F286" s="1661" t="str">
        <f>Acessórios!O171*100&amp;" %"</f>
        <v>0 %</v>
      </c>
      <c r="G286" s="1662" t="str">
        <f>Acessórios!P171</f>
        <v>NPA</v>
      </c>
      <c r="H286" s="1596" t="str">
        <f>Acessórios!Q171</f>
        <v/>
      </c>
      <c r="I286" s="1663" t="str">
        <f>Acessórios!R171</f>
        <v>NPA</v>
      </c>
      <c r="J286" s="1660" t="str">
        <f t="shared" ref="J286:J334" si="14">IF(OR(G286="Restrição",I286="Restrição"),"Restrição",IF(OR(D286="Não íntegro",G286="Não",I286="Não"),"Não","Sim"))</f>
        <v>Sim</v>
      </c>
      <c r="K286" s="1664" t="str">
        <f t="shared" ref="K286:K349" si="15">IF(D286=0,"x","")</f>
        <v>x</v>
      </c>
      <c r="M286" s="2152" t="str">
        <f t="shared" ref="M286:M349" si="16">IF(OR(G286="Não",G286="Restrição"),"Não conforme",IF(G286="Sim","Conforme","NPA"))</f>
        <v>NPA</v>
      </c>
    </row>
    <row r="287" spans="1:14" ht="15" customHeight="1" x14ac:dyDescent="0.25">
      <c r="A287" s="1653" t="str">
        <f>Acessórios!A172</f>
        <v>13 x 18</v>
      </c>
      <c r="B287" s="1658">
        <f>Acessórios!B172</f>
        <v>3</v>
      </c>
      <c r="C287" s="1653" t="str">
        <f>IF(Acessórios!C172="Convencional","C - "&amp;convencional!$B$1,"M - "&amp;mamo!$B$1)</f>
        <v>C - IN 90</v>
      </c>
      <c r="D287" s="3100">
        <f>Acessórios!D172</f>
        <v>0</v>
      </c>
      <c r="E287" s="3100"/>
      <c r="F287" s="1661" t="str">
        <f>Acessórios!O172*100&amp;" %"</f>
        <v>0 %</v>
      </c>
      <c r="G287" s="1662" t="str">
        <f>Acessórios!P172</f>
        <v>NPA</v>
      </c>
      <c r="H287" s="1596" t="str">
        <f>Acessórios!Q172</f>
        <v/>
      </c>
      <c r="I287" s="1663" t="str">
        <f>Acessórios!R172</f>
        <v>NPA</v>
      </c>
      <c r="J287" s="1660" t="str">
        <f t="shared" si="14"/>
        <v>Sim</v>
      </c>
      <c r="K287" s="1664" t="str">
        <f t="shared" si="15"/>
        <v>x</v>
      </c>
      <c r="M287" s="2152" t="str">
        <f t="shared" si="16"/>
        <v>NPA</v>
      </c>
    </row>
    <row r="288" spans="1:14" ht="15" customHeight="1" x14ac:dyDescent="0.25">
      <c r="A288" s="1653" t="str">
        <f>Acessórios!A173</f>
        <v>13 x 18</v>
      </c>
      <c r="B288" s="1658">
        <f>Acessórios!B173</f>
        <v>4</v>
      </c>
      <c r="C288" s="1653" t="str">
        <f>IF(Acessórios!C173="Convencional","C - "&amp;convencional!$B$1,"M - "&amp;mamo!$B$1)</f>
        <v>C - IN 90</v>
      </c>
      <c r="D288" s="3100">
        <f>Acessórios!D173</f>
        <v>0</v>
      </c>
      <c r="E288" s="3100"/>
      <c r="F288" s="1661" t="str">
        <f>Acessórios!O173*100&amp;" %"</f>
        <v>0 %</v>
      </c>
      <c r="G288" s="1662" t="str">
        <f>Acessórios!P173</f>
        <v>NPA</v>
      </c>
      <c r="H288" s="1596" t="str">
        <f>Acessórios!Q173</f>
        <v/>
      </c>
      <c r="I288" s="1663" t="str">
        <f>Acessórios!R173</f>
        <v>NPA</v>
      </c>
      <c r="J288" s="1660" t="str">
        <f t="shared" si="14"/>
        <v>Sim</v>
      </c>
      <c r="K288" s="1664" t="str">
        <f t="shared" si="15"/>
        <v>x</v>
      </c>
      <c r="M288" s="2152" t="str">
        <f t="shared" si="16"/>
        <v>NPA</v>
      </c>
    </row>
    <row r="289" spans="1:13" ht="15" customHeight="1" x14ac:dyDescent="0.25">
      <c r="A289" s="1653" t="str">
        <f>Acessórios!A174</f>
        <v>13 x 18</v>
      </c>
      <c r="B289" s="1658">
        <f>Acessórios!B174</f>
        <v>5</v>
      </c>
      <c r="C289" s="1653" t="str">
        <f>IF(Acessórios!C174="Convencional","C - "&amp;convencional!$B$1,"M - "&amp;mamo!$B$1)</f>
        <v>C - IN 90</v>
      </c>
      <c r="D289" s="3100">
        <f>Acessórios!D174</f>
        <v>0</v>
      </c>
      <c r="E289" s="3100"/>
      <c r="F289" s="1661" t="str">
        <f>Acessórios!O174*100&amp;" %"</f>
        <v>0 %</v>
      </c>
      <c r="G289" s="1662" t="str">
        <f>Acessórios!P174</f>
        <v>NPA</v>
      </c>
      <c r="H289" s="1596" t="str">
        <f>Acessórios!Q174</f>
        <v/>
      </c>
      <c r="I289" s="1663" t="str">
        <f>Acessórios!R174</f>
        <v>NPA</v>
      </c>
      <c r="J289" s="1660" t="str">
        <f t="shared" si="14"/>
        <v>Sim</v>
      </c>
      <c r="K289" s="1664" t="str">
        <f t="shared" si="15"/>
        <v>x</v>
      </c>
      <c r="M289" s="2152" t="str">
        <f t="shared" si="16"/>
        <v>NPA</v>
      </c>
    </row>
    <row r="290" spans="1:13" ht="15" customHeight="1" x14ac:dyDescent="0.25">
      <c r="A290" s="1653" t="str">
        <f>Acessórios!A175</f>
        <v>13 x 18</v>
      </c>
      <c r="B290" s="1658">
        <f>Acessórios!B175</f>
        <v>6</v>
      </c>
      <c r="C290" s="1653" t="str">
        <f>IF(Acessórios!C175="Convencional","C - "&amp;convencional!$B$1,"M - "&amp;mamo!$B$1)</f>
        <v>C - IN 90</v>
      </c>
      <c r="D290" s="3100">
        <f>Acessórios!D175</f>
        <v>0</v>
      </c>
      <c r="E290" s="3100"/>
      <c r="F290" s="1661" t="str">
        <f>Acessórios!O175*100&amp;" %"</f>
        <v>0 %</v>
      </c>
      <c r="G290" s="1662" t="str">
        <f>Acessórios!P175</f>
        <v>NPA</v>
      </c>
      <c r="H290" s="1596" t="str">
        <f>Acessórios!Q175</f>
        <v/>
      </c>
      <c r="I290" s="1663" t="str">
        <f>Acessórios!R175</f>
        <v>NPA</v>
      </c>
      <c r="J290" s="1660" t="str">
        <f t="shared" si="14"/>
        <v>Sim</v>
      </c>
      <c r="K290" s="1664" t="str">
        <f t="shared" si="15"/>
        <v>x</v>
      </c>
      <c r="M290" s="2152" t="str">
        <f t="shared" si="16"/>
        <v>NPA</v>
      </c>
    </row>
    <row r="291" spans="1:13" ht="15" customHeight="1" x14ac:dyDescent="0.25">
      <c r="A291" s="1653" t="str">
        <f>Acessórios!A176</f>
        <v>13 x 18</v>
      </c>
      <c r="B291" s="1658">
        <f>Acessórios!B176</f>
        <v>7</v>
      </c>
      <c r="C291" s="1653" t="str">
        <f>IF(Acessórios!C176="Convencional","C - "&amp;convencional!$B$1,"M - "&amp;mamo!$B$1)</f>
        <v>C - IN 90</v>
      </c>
      <c r="D291" s="3100">
        <f>Acessórios!D176</f>
        <v>0</v>
      </c>
      <c r="E291" s="3100"/>
      <c r="F291" s="1661" t="str">
        <f>Acessórios!O176*100&amp;" %"</f>
        <v>0 %</v>
      </c>
      <c r="G291" s="1662" t="str">
        <f>Acessórios!P176</f>
        <v>NPA</v>
      </c>
      <c r="H291" s="1596" t="str">
        <f>Acessórios!Q176</f>
        <v/>
      </c>
      <c r="I291" s="1663" t="str">
        <f>Acessórios!R176</f>
        <v>NPA</v>
      </c>
      <c r="J291" s="1660" t="str">
        <f t="shared" si="14"/>
        <v>Sim</v>
      </c>
      <c r="K291" s="1664" t="str">
        <f t="shared" si="15"/>
        <v>x</v>
      </c>
      <c r="M291" s="2152" t="str">
        <f t="shared" si="16"/>
        <v>NPA</v>
      </c>
    </row>
    <row r="292" spans="1:13" ht="15" customHeight="1" x14ac:dyDescent="0.25">
      <c r="A292" s="1653" t="str">
        <f>Acessórios!A177</f>
        <v>13 x 18</v>
      </c>
      <c r="B292" s="1658">
        <f>Acessórios!B177</f>
        <v>8</v>
      </c>
      <c r="C292" s="1653" t="str">
        <f>IF(Acessórios!C177="Convencional","C - "&amp;convencional!$B$1,"M - "&amp;mamo!$B$1)</f>
        <v>C - IN 90</v>
      </c>
      <c r="D292" s="3100">
        <f>Acessórios!D177</f>
        <v>0</v>
      </c>
      <c r="E292" s="3100"/>
      <c r="F292" s="1661" t="str">
        <f>Acessórios!O177*100&amp;" %"</f>
        <v>0 %</v>
      </c>
      <c r="G292" s="1662" t="str">
        <f>Acessórios!P177</f>
        <v>NPA</v>
      </c>
      <c r="H292" s="1596" t="str">
        <f>Acessórios!Q177</f>
        <v/>
      </c>
      <c r="I292" s="1663" t="str">
        <f>Acessórios!R177</f>
        <v>NPA</v>
      </c>
      <c r="J292" s="1660" t="str">
        <f t="shared" si="14"/>
        <v>Sim</v>
      </c>
      <c r="K292" s="1664" t="str">
        <f t="shared" si="15"/>
        <v>x</v>
      </c>
      <c r="M292" s="2152" t="str">
        <f t="shared" si="16"/>
        <v>NPA</v>
      </c>
    </row>
    <row r="293" spans="1:13" ht="15" customHeight="1" x14ac:dyDescent="0.25">
      <c r="A293" s="1653" t="str">
        <f>Acessórios!A178</f>
        <v>13 x 18</v>
      </c>
      <c r="B293" s="1658">
        <f>Acessórios!B178</f>
        <v>9</v>
      </c>
      <c r="C293" s="1653" t="str">
        <f>IF(Acessórios!C178="Convencional","C - "&amp;convencional!$B$1,"M - "&amp;mamo!$B$1)</f>
        <v>C - IN 90</v>
      </c>
      <c r="D293" s="3100">
        <f>Acessórios!D178</f>
        <v>0</v>
      </c>
      <c r="E293" s="3100"/>
      <c r="F293" s="1661" t="str">
        <f>Acessórios!O178*100&amp;" %"</f>
        <v>0 %</v>
      </c>
      <c r="G293" s="1662" t="str">
        <f>Acessórios!P178</f>
        <v>NPA</v>
      </c>
      <c r="H293" s="1596" t="str">
        <f>Acessórios!Q178</f>
        <v/>
      </c>
      <c r="I293" s="1663" t="str">
        <f>Acessórios!R178</f>
        <v>NPA</v>
      </c>
      <c r="J293" s="1660" t="str">
        <f t="shared" si="14"/>
        <v>Sim</v>
      </c>
      <c r="K293" s="1664" t="str">
        <f t="shared" si="15"/>
        <v>x</v>
      </c>
      <c r="M293" s="2152" t="str">
        <f t="shared" si="16"/>
        <v>NPA</v>
      </c>
    </row>
    <row r="294" spans="1:13" ht="15" customHeight="1" x14ac:dyDescent="0.25">
      <c r="A294" s="1653" t="str">
        <f>Acessórios!A179</f>
        <v>13 x 18</v>
      </c>
      <c r="B294" s="1658">
        <f>Acessórios!B179</f>
        <v>10</v>
      </c>
      <c r="C294" s="1653" t="str">
        <f>IF(Acessórios!C179="Convencional","C - "&amp;convencional!$B$1,"M - "&amp;mamo!$B$1)</f>
        <v>C - IN 90</v>
      </c>
      <c r="D294" s="3100">
        <f>Acessórios!D179</f>
        <v>0</v>
      </c>
      <c r="E294" s="3100"/>
      <c r="F294" s="1661" t="str">
        <f>Acessórios!O179*100&amp;" %"</f>
        <v>0 %</v>
      </c>
      <c r="G294" s="1662" t="str">
        <f>Acessórios!P179</f>
        <v>NPA</v>
      </c>
      <c r="H294" s="1596" t="str">
        <f>Acessórios!Q179</f>
        <v/>
      </c>
      <c r="I294" s="1663" t="str">
        <f>Acessórios!R179</f>
        <v>NPA</v>
      </c>
      <c r="J294" s="1660" t="str">
        <f t="shared" si="14"/>
        <v>Sim</v>
      </c>
      <c r="K294" s="1664" t="str">
        <f t="shared" si="15"/>
        <v>x</v>
      </c>
      <c r="M294" s="2152" t="str">
        <f t="shared" si="16"/>
        <v>NPA</v>
      </c>
    </row>
    <row r="295" spans="1:13" ht="15" customHeight="1" x14ac:dyDescent="0.25">
      <c r="A295" s="1653" t="str">
        <f>Acessórios!A180</f>
        <v>13 x 18</v>
      </c>
      <c r="B295" s="1658">
        <f>Acessórios!B180</f>
        <v>11</v>
      </c>
      <c r="C295" s="1653" t="str">
        <f>IF(Acessórios!C180="Convencional","C - "&amp;convencional!$B$1,"M - "&amp;mamo!$B$1)</f>
        <v>C - IN 90</v>
      </c>
      <c r="D295" s="3100">
        <f>Acessórios!D180</f>
        <v>0</v>
      </c>
      <c r="E295" s="3100"/>
      <c r="F295" s="1661" t="str">
        <f>Acessórios!O180*100&amp;" %"</f>
        <v>0 %</v>
      </c>
      <c r="G295" s="1662" t="str">
        <f>Acessórios!P180</f>
        <v>NPA</v>
      </c>
      <c r="H295" s="1596" t="str">
        <f>Acessórios!Q180</f>
        <v/>
      </c>
      <c r="I295" s="1663" t="str">
        <f>Acessórios!R180</f>
        <v>NPA</v>
      </c>
      <c r="J295" s="1660" t="str">
        <f t="shared" si="14"/>
        <v>Sim</v>
      </c>
      <c r="K295" s="1664" t="str">
        <f t="shared" si="15"/>
        <v>x</v>
      </c>
      <c r="M295" s="2152" t="str">
        <f t="shared" si="16"/>
        <v>NPA</v>
      </c>
    </row>
    <row r="296" spans="1:13" ht="15" customHeight="1" x14ac:dyDescent="0.25">
      <c r="A296" s="1653" t="str">
        <f>Acessórios!A181</f>
        <v>13 x 18</v>
      </c>
      <c r="B296" s="1658">
        <f>Acessórios!B181</f>
        <v>12</v>
      </c>
      <c r="C296" s="1653" t="str">
        <f>IF(Acessórios!C181="Convencional","C - "&amp;convencional!$B$1,"M - "&amp;mamo!$B$1)</f>
        <v>C - IN 90</v>
      </c>
      <c r="D296" s="3100">
        <f>Acessórios!D181</f>
        <v>0</v>
      </c>
      <c r="E296" s="3100"/>
      <c r="F296" s="1661" t="str">
        <f>Acessórios!O181*100&amp;" %"</f>
        <v>0 %</v>
      </c>
      <c r="G296" s="1662" t="str">
        <f>Acessórios!P181</f>
        <v>NPA</v>
      </c>
      <c r="H296" s="1596" t="str">
        <f>Acessórios!Q181</f>
        <v/>
      </c>
      <c r="I296" s="1663" t="str">
        <f>Acessórios!R181</f>
        <v>NPA</v>
      </c>
      <c r="J296" s="1660" t="str">
        <f t="shared" si="14"/>
        <v>Sim</v>
      </c>
      <c r="K296" s="1664" t="str">
        <f t="shared" si="15"/>
        <v>x</v>
      </c>
      <c r="M296" s="2152" t="str">
        <f t="shared" si="16"/>
        <v>NPA</v>
      </c>
    </row>
    <row r="297" spans="1:13" ht="15" customHeight="1" x14ac:dyDescent="0.25">
      <c r="A297" s="1653" t="str">
        <f>Acessórios!A182</f>
        <v>13 x 18</v>
      </c>
      <c r="B297" s="1658">
        <f>Acessórios!B182</f>
        <v>13</v>
      </c>
      <c r="C297" s="1653" t="str">
        <f>IF(Acessórios!C182="Convencional","C - "&amp;convencional!$B$1,"M - "&amp;mamo!$B$1)</f>
        <v>C - IN 90</v>
      </c>
      <c r="D297" s="3100">
        <f>Acessórios!D182</f>
        <v>0</v>
      </c>
      <c r="E297" s="3100"/>
      <c r="F297" s="1661" t="str">
        <f>Acessórios!O182*100&amp;" %"</f>
        <v>0 %</v>
      </c>
      <c r="G297" s="1662" t="str">
        <f>Acessórios!P182</f>
        <v>NPA</v>
      </c>
      <c r="H297" s="1596" t="str">
        <f>Acessórios!Q182</f>
        <v/>
      </c>
      <c r="I297" s="1663" t="str">
        <f>Acessórios!R182</f>
        <v>NPA</v>
      </c>
      <c r="J297" s="1660" t="str">
        <f t="shared" si="14"/>
        <v>Sim</v>
      </c>
      <c r="K297" s="1664" t="str">
        <f t="shared" si="15"/>
        <v>x</v>
      </c>
      <c r="M297" s="2152" t="str">
        <f t="shared" si="16"/>
        <v>NPA</v>
      </c>
    </row>
    <row r="298" spans="1:13" ht="15" customHeight="1" x14ac:dyDescent="0.25">
      <c r="A298" s="1653" t="str">
        <f>Acessórios!A183</f>
        <v>13 x 18</v>
      </c>
      <c r="B298" s="1658">
        <f>Acessórios!B183</f>
        <v>14</v>
      </c>
      <c r="C298" s="1653" t="str">
        <f>IF(Acessórios!C183="Convencional","C - "&amp;convencional!$B$1,"M - "&amp;mamo!$B$1)</f>
        <v>C - IN 90</v>
      </c>
      <c r="D298" s="3100">
        <f>Acessórios!D183</f>
        <v>0</v>
      </c>
      <c r="E298" s="3100"/>
      <c r="F298" s="1661" t="str">
        <f>Acessórios!O183*100&amp;" %"</f>
        <v>0 %</v>
      </c>
      <c r="G298" s="1662" t="str">
        <f>Acessórios!P183</f>
        <v>NPA</v>
      </c>
      <c r="H298" s="1596" t="str">
        <f>Acessórios!Q183</f>
        <v/>
      </c>
      <c r="I298" s="1663" t="str">
        <f>Acessórios!R183</f>
        <v>NPA</v>
      </c>
      <c r="J298" s="1660" t="str">
        <f t="shared" si="14"/>
        <v>Sim</v>
      </c>
      <c r="K298" s="1664" t="str">
        <f t="shared" si="15"/>
        <v>x</v>
      </c>
      <c r="M298" s="2152" t="str">
        <f t="shared" si="16"/>
        <v>NPA</v>
      </c>
    </row>
    <row r="299" spans="1:13" ht="15" customHeight="1" x14ac:dyDescent="0.25">
      <c r="A299" s="1653" t="str">
        <f>Acessórios!A184</f>
        <v>13 x 18</v>
      </c>
      <c r="B299" s="1658">
        <f>Acessórios!B184</f>
        <v>15</v>
      </c>
      <c r="C299" s="1653" t="str">
        <f>IF(Acessórios!C184="Convencional","C - "&amp;convencional!$B$1,"M - "&amp;mamo!$B$1)</f>
        <v>C - IN 90</v>
      </c>
      <c r="D299" s="3100">
        <f>Acessórios!D184</f>
        <v>0</v>
      </c>
      <c r="E299" s="3100"/>
      <c r="F299" s="1661" t="str">
        <f>Acessórios!O184*100&amp;" %"</f>
        <v>0 %</v>
      </c>
      <c r="G299" s="1662" t="str">
        <f>Acessórios!P184</f>
        <v>NPA</v>
      </c>
      <c r="H299" s="1596" t="str">
        <f>Acessórios!Q184</f>
        <v/>
      </c>
      <c r="I299" s="1663" t="str">
        <f>Acessórios!R184</f>
        <v>NPA</v>
      </c>
      <c r="J299" s="1660" t="str">
        <f t="shared" si="14"/>
        <v>Sim</v>
      </c>
      <c r="K299" s="1664" t="str">
        <f t="shared" si="15"/>
        <v>x</v>
      </c>
      <c r="M299" s="2152" t="str">
        <f t="shared" si="16"/>
        <v>NPA</v>
      </c>
    </row>
    <row r="300" spans="1:13" ht="15" customHeight="1" x14ac:dyDescent="0.25">
      <c r="A300" s="1653" t="str">
        <f>Acessórios!A185</f>
        <v>13 x 18</v>
      </c>
      <c r="B300" s="1658">
        <f>Acessórios!B185</f>
        <v>16</v>
      </c>
      <c r="C300" s="1653" t="str">
        <f>IF(Acessórios!C185="Convencional","C - "&amp;convencional!$B$1,"M - "&amp;mamo!$B$1)</f>
        <v>C - IN 90</v>
      </c>
      <c r="D300" s="3100">
        <f>Acessórios!D185</f>
        <v>0</v>
      </c>
      <c r="E300" s="3100"/>
      <c r="F300" s="1661" t="str">
        <f>Acessórios!O185*100&amp;" %"</f>
        <v>0 %</v>
      </c>
      <c r="G300" s="1662" t="str">
        <f>Acessórios!P185</f>
        <v>NPA</v>
      </c>
      <c r="H300" s="1596" t="str">
        <f>Acessórios!Q185</f>
        <v/>
      </c>
      <c r="I300" s="1663" t="str">
        <f>Acessórios!R185</f>
        <v>NPA</v>
      </c>
      <c r="J300" s="1660" t="str">
        <f t="shared" si="14"/>
        <v>Sim</v>
      </c>
      <c r="K300" s="1664" t="str">
        <f t="shared" si="15"/>
        <v>x</v>
      </c>
      <c r="M300" s="2152" t="str">
        <f t="shared" si="16"/>
        <v>NPA</v>
      </c>
    </row>
    <row r="301" spans="1:13" ht="15" customHeight="1" x14ac:dyDescent="0.25">
      <c r="A301" s="1653" t="str">
        <f>Acessórios!A186</f>
        <v>13 x 18</v>
      </c>
      <c r="B301" s="1658">
        <f>Acessórios!B186</f>
        <v>17</v>
      </c>
      <c r="C301" s="1653" t="str">
        <f>IF(Acessórios!C186="Convencional","C - "&amp;convencional!$B$1,"M - "&amp;mamo!$B$1)</f>
        <v>C - IN 90</v>
      </c>
      <c r="D301" s="3100">
        <f>Acessórios!D186</f>
        <v>0</v>
      </c>
      <c r="E301" s="3100"/>
      <c r="F301" s="1661" t="str">
        <f>Acessórios!O186*100&amp;" %"</f>
        <v>0 %</v>
      </c>
      <c r="G301" s="1662" t="str">
        <f>Acessórios!P186</f>
        <v>NPA</v>
      </c>
      <c r="H301" s="1596" t="str">
        <f>Acessórios!Q186</f>
        <v/>
      </c>
      <c r="I301" s="1663" t="str">
        <f>Acessórios!R186</f>
        <v>NPA</v>
      </c>
      <c r="J301" s="1660" t="str">
        <f t="shared" si="14"/>
        <v>Sim</v>
      </c>
      <c r="K301" s="1664" t="str">
        <f t="shared" si="15"/>
        <v>x</v>
      </c>
      <c r="M301" s="2152" t="str">
        <f t="shared" si="16"/>
        <v>NPA</v>
      </c>
    </row>
    <row r="302" spans="1:13" ht="15" customHeight="1" x14ac:dyDescent="0.25">
      <c r="A302" s="1653" t="str">
        <f>Acessórios!A187</f>
        <v>13 x 18</v>
      </c>
      <c r="B302" s="1658">
        <f>Acessórios!B187</f>
        <v>18</v>
      </c>
      <c r="C302" s="1653" t="str">
        <f>IF(Acessórios!C187="Convencional","C - "&amp;convencional!$B$1,"M - "&amp;mamo!$B$1)</f>
        <v>C - IN 90</v>
      </c>
      <c r="D302" s="3100">
        <f>Acessórios!D187</f>
        <v>0</v>
      </c>
      <c r="E302" s="3100"/>
      <c r="F302" s="1661" t="str">
        <f>Acessórios!O187*100&amp;" %"</f>
        <v>0 %</v>
      </c>
      <c r="G302" s="1662" t="str">
        <f>Acessórios!P187</f>
        <v>NPA</v>
      </c>
      <c r="H302" s="1596" t="str">
        <f>Acessórios!Q187</f>
        <v/>
      </c>
      <c r="I302" s="1663" t="str">
        <f>Acessórios!R187</f>
        <v>NPA</v>
      </c>
      <c r="J302" s="1660" t="str">
        <f t="shared" si="14"/>
        <v>Sim</v>
      </c>
      <c r="K302" s="1664" t="str">
        <f t="shared" si="15"/>
        <v>x</v>
      </c>
      <c r="M302" s="2152" t="str">
        <f t="shared" si="16"/>
        <v>NPA</v>
      </c>
    </row>
    <row r="303" spans="1:13" ht="15" customHeight="1" x14ac:dyDescent="0.25">
      <c r="A303" s="1653" t="str">
        <f>Acessórios!A188</f>
        <v>13 x 18</v>
      </c>
      <c r="B303" s="1658">
        <f>Acessórios!B188</f>
        <v>19</v>
      </c>
      <c r="C303" s="1653" t="str">
        <f>IF(Acessórios!C188="Convencional","C - "&amp;convencional!$B$1,"M - "&amp;mamo!$B$1)</f>
        <v>C - IN 90</v>
      </c>
      <c r="D303" s="3100">
        <f>Acessórios!D188</f>
        <v>0</v>
      </c>
      <c r="E303" s="3100"/>
      <c r="F303" s="1661" t="str">
        <f>Acessórios!O188*100&amp;" %"</f>
        <v>0 %</v>
      </c>
      <c r="G303" s="1662" t="str">
        <f>Acessórios!P188</f>
        <v>NPA</v>
      </c>
      <c r="H303" s="1596" t="str">
        <f>Acessórios!Q188</f>
        <v/>
      </c>
      <c r="I303" s="1663" t="str">
        <f>Acessórios!R188</f>
        <v>NPA</v>
      </c>
      <c r="J303" s="1660" t="str">
        <f t="shared" si="14"/>
        <v>Sim</v>
      </c>
      <c r="K303" s="1664" t="str">
        <f t="shared" si="15"/>
        <v>x</v>
      </c>
      <c r="M303" s="2152" t="str">
        <f t="shared" si="16"/>
        <v>NPA</v>
      </c>
    </row>
    <row r="304" spans="1:13" ht="15" customHeight="1" x14ac:dyDescent="0.25">
      <c r="A304" s="1653" t="str">
        <f>Acessórios!A189</f>
        <v>13 x 18</v>
      </c>
      <c r="B304" s="1658">
        <f>Acessórios!B189</f>
        <v>20</v>
      </c>
      <c r="C304" s="1653" t="str">
        <f>IF(Acessórios!C189="Convencional","C - "&amp;convencional!$B$1,"M - "&amp;mamo!$B$1)</f>
        <v>C - IN 90</v>
      </c>
      <c r="D304" s="3100">
        <f>Acessórios!D189</f>
        <v>0</v>
      </c>
      <c r="E304" s="3100"/>
      <c r="F304" s="1661" t="str">
        <f>Acessórios!O189*100&amp;" %"</f>
        <v>0 %</v>
      </c>
      <c r="G304" s="1662" t="str">
        <f>Acessórios!P189</f>
        <v>NPA</v>
      </c>
      <c r="H304" s="1596" t="str">
        <f>Acessórios!Q189</f>
        <v/>
      </c>
      <c r="I304" s="1663" t="str">
        <f>Acessórios!R189</f>
        <v>NPA</v>
      </c>
      <c r="J304" s="1660" t="str">
        <f t="shared" si="14"/>
        <v>Sim</v>
      </c>
      <c r="K304" s="1664" t="str">
        <f t="shared" si="15"/>
        <v>x</v>
      </c>
      <c r="M304" s="2152" t="str">
        <f t="shared" si="16"/>
        <v>NPA</v>
      </c>
    </row>
    <row r="305" spans="1:13" ht="15" customHeight="1" x14ac:dyDescent="0.25">
      <c r="A305" s="1653" t="str">
        <f>Acessórios!A190</f>
        <v>13 x 18</v>
      </c>
      <c r="B305" s="1658">
        <f>Acessórios!B190</f>
        <v>21</v>
      </c>
      <c r="C305" s="1653" t="str">
        <f>IF(Acessórios!C190="Convencional","C - "&amp;convencional!$B$1,"M - "&amp;mamo!$B$1)</f>
        <v>C - IN 90</v>
      </c>
      <c r="D305" s="3100">
        <f>Acessórios!D190</f>
        <v>0</v>
      </c>
      <c r="E305" s="3100"/>
      <c r="F305" s="1661" t="str">
        <f>Acessórios!O190*100&amp;" %"</f>
        <v>0 %</v>
      </c>
      <c r="G305" s="1662" t="str">
        <f>Acessórios!P190</f>
        <v>NPA</v>
      </c>
      <c r="H305" s="1596" t="str">
        <f>Acessórios!Q190</f>
        <v/>
      </c>
      <c r="I305" s="1663" t="str">
        <f>Acessórios!R190</f>
        <v>NPA</v>
      </c>
      <c r="J305" s="1660" t="str">
        <f t="shared" si="14"/>
        <v>Sim</v>
      </c>
      <c r="K305" s="1664" t="str">
        <f t="shared" si="15"/>
        <v>x</v>
      </c>
      <c r="M305" s="2152" t="str">
        <f t="shared" si="16"/>
        <v>NPA</v>
      </c>
    </row>
    <row r="306" spans="1:13" ht="15" customHeight="1" x14ac:dyDescent="0.25">
      <c r="A306" s="1653" t="str">
        <f>Acessórios!A191</f>
        <v>13 x 18</v>
      </c>
      <c r="B306" s="1658">
        <f>Acessórios!B191</f>
        <v>22</v>
      </c>
      <c r="C306" s="1653" t="str">
        <f>IF(Acessórios!C191="Convencional","C - "&amp;convencional!$B$1,"M - "&amp;mamo!$B$1)</f>
        <v>C - IN 90</v>
      </c>
      <c r="D306" s="3100">
        <f>Acessórios!D191</f>
        <v>0</v>
      </c>
      <c r="E306" s="3100"/>
      <c r="F306" s="1661" t="str">
        <f>Acessórios!O191*100&amp;" %"</f>
        <v>0 %</v>
      </c>
      <c r="G306" s="1662" t="str">
        <f>Acessórios!P191</f>
        <v>NPA</v>
      </c>
      <c r="H306" s="1596" t="str">
        <f>Acessórios!Q191</f>
        <v/>
      </c>
      <c r="I306" s="1663" t="str">
        <f>Acessórios!R191</f>
        <v>NPA</v>
      </c>
      <c r="J306" s="1660" t="str">
        <f t="shared" si="14"/>
        <v>Sim</v>
      </c>
      <c r="K306" s="1664" t="str">
        <f t="shared" si="15"/>
        <v>x</v>
      </c>
      <c r="M306" s="2152" t="str">
        <f t="shared" si="16"/>
        <v>NPA</v>
      </c>
    </row>
    <row r="307" spans="1:13" ht="15" customHeight="1" x14ac:dyDescent="0.25">
      <c r="A307" s="1653" t="str">
        <f>Acessórios!A192</f>
        <v>13 x 18</v>
      </c>
      <c r="B307" s="1658">
        <f>Acessórios!B192</f>
        <v>23</v>
      </c>
      <c r="C307" s="1653" t="str">
        <f>IF(Acessórios!C192="Convencional","C - "&amp;convencional!$B$1,"M - "&amp;mamo!$B$1)</f>
        <v>C - IN 90</v>
      </c>
      <c r="D307" s="3100">
        <f>Acessórios!D192</f>
        <v>0</v>
      </c>
      <c r="E307" s="3100"/>
      <c r="F307" s="1661" t="str">
        <f>Acessórios!O192*100&amp;" %"</f>
        <v>0 %</v>
      </c>
      <c r="G307" s="1662" t="str">
        <f>Acessórios!P192</f>
        <v>NPA</v>
      </c>
      <c r="H307" s="1596" t="str">
        <f>Acessórios!Q192</f>
        <v/>
      </c>
      <c r="I307" s="1663" t="str">
        <f>Acessórios!R192</f>
        <v>NPA</v>
      </c>
      <c r="J307" s="1660" t="str">
        <f t="shared" si="14"/>
        <v>Sim</v>
      </c>
      <c r="K307" s="1664" t="str">
        <f t="shared" si="15"/>
        <v>x</v>
      </c>
      <c r="M307" s="2152" t="str">
        <f t="shared" si="16"/>
        <v>NPA</v>
      </c>
    </row>
    <row r="308" spans="1:13" ht="15" customHeight="1" x14ac:dyDescent="0.25">
      <c r="A308" s="1653" t="str">
        <f>Acessórios!A193</f>
        <v>13 x 18</v>
      </c>
      <c r="B308" s="1658">
        <f>Acessórios!B193</f>
        <v>24</v>
      </c>
      <c r="C308" s="1653" t="str">
        <f>IF(Acessórios!C193="Convencional","C - "&amp;convencional!$B$1,"M - "&amp;mamo!$B$1)</f>
        <v>C - IN 90</v>
      </c>
      <c r="D308" s="3100">
        <f>Acessórios!D193</f>
        <v>0</v>
      </c>
      <c r="E308" s="3100"/>
      <c r="F308" s="1661" t="str">
        <f>Acessórios!O193*100&amp;" %"</f>
        <v>0 %</v>
      </c>
      <c r="G308" s="1662" t="str">
        <f>Acessórios!P193</f>
        <v>NPA</v>
      </c>
      <c r="H308" s="1596" t="str">
        <f>Acessórios!Q193</f>
        <v/>
      </c>
      <c r="I308" s="1663" t="str">
        <f>Acessórios!R193</f>
        <v>NPA</v>
      </c>
      <c r="J308" s="1660" t="str">
        <f t="shared" si="14"/>
        <v>Sim</v>
      </c>
      <c r="K308" s="1664" t="str">
        <f t="shared" si="15"/>
        <v>x</v>
      </c>
      <c r="M308" s="2152" t="str">
        <f t="shared" si="16"/>
        <v>NPA</v>
      </c>
    </row>
    <row r="309" spans="1:13" ht="15" customHeight="1" x14ac:dyDescent="0.25">
      <c r="A309" s="1653" t="str">
        <f>Acessórios!A194</f>
        <v>13 x 18</v>
      </c>
      <c r="B309" s="1658">
        <f>Acessórios!B194</f>
        <v>25</v>
      </c>
      <c r="C309" s="1653" t="str">
        <f>IF(Acessórios!C194="Convencional","C - "&amp;convencional!$B$1,"M - "&amp;mamo!$B$1)</f>
        <v>C - IN 90</v>
      </c>
      <c r="D309" s="3100">
        <f>Acessórios!D194</f>
        <v>0</v>
      </c>
      <c r="E309" s="3100"/>
      <c r="F309" s="1661" t="str">
        <f>Acessórios!O194*100&amp;" %"</f>
        <v>0 %</v>
      </c>
      <c r="G309" s="1662" t="str">
        <f>Acessórios!P194</f>
        <v>NPA</v>
      </c>
      <c r="H309" s="1596" t="str">
        <f>Acessórios!Q194</f>
        <v/>
      </c>
      <c r="I309" s="1663" t="str">
        <f>Acessórios!R194</f>
        <v>NPA</v>
      </c>
      <c r="J309" s="1660" t="str">
        <f t="shared" si="14"/>
        <v>Sim</v>
      </c>
      <c r="K309" s="1664" t="str">
        <f t="shared" si="15"/>
        <v>x</v>
      </c>
      <c r="M309" s="2152" t="str">
        <f t="shared" si="16"/>
        <v>NPA</v>
      </c>
    </row>
    <row r="310" spans="1:13" ht="15" customHeight="1" x14ac:dyDescent="0.25">
      <c r="A310" s="1653" t="str">
        <f>Acessórios!A195</f>
        <v>13 x 18</v>
      </c>
      <c r="B310" s="1658">
        <f>Acessórios!B195</f>
        <v>26</v>
      </c>
      <c r="C310" s="1653" t="str">
        <f>IF(Acessórios!C195="Convencional","C - "&amp;convencional!$B$1,"M - "&amp;mamo!$B$1)</f>
        <v>C - IN 90</v>
      </c>
      <c r="D310" s="3100">
        <f>Acessórios!D195</f>
        <v>0</v>
      </c>
      <c r="E310" s="3100"/>
      <c r="F310" s="1661" t="str">
        <f>Acessórios!O195*100&amp;" %"</f>
        <v>0 %</v>
      </c>
      <c r="G310" s="1662" t="str">
        <f>Acessórios!P195</f>
        <v>NPA</v>
      </c>
      <c r="H310" s="1596" t="str">
        <f>Acessórios!Q195</f>
        <v/>
      </c>
      <c r="I310" s="1663" t="str">
        <f>Acessórios!R195</f>
        <v>NPA</v>
      </c>
      <c r="J310" s="1660" t="str">
        <f t="shared" si="14"/>
        <v>Sim</v>
      </c>
      <c r="K310" s="1664" t="str">
        <f t="shared" si="15"/>
        <v>x</v>
      </c>
      <c r="M310" s="2152" t="str">
        <f t="shared" si="16"/>
        <v>NPA</v>
      </c>
    </row>
    <row r="311" spans="1:13" ht="15" customHeight="1" x14ac:dyDescent="0.25">
      <c r="A311" s="1653" t="str">
        <f>Acessórios!A196</f>
        <v>13 x 18</v>
      </c>
      <c r="B311" s="1658">
        <f>Acessórios!B196</f>
        <v>27</v>
      </c>
      <c r="C311" s="1653" t="str">
        <f>IF(Acessórios!C196="Convencional","C - "&amp;convencional!$B$1,"M - "&amp;mamo!$B$1)</f>
        <v>C - IN 90</v>
      </c>
      <c r="D311" s="3100">
        <f>Acessórios!D196</f>
        <v>0</v>
      </c>
      <c r="E311" s="3100"/>
      <c r="F311" s="1661" t="str">
        <f>Acessórios!O196*100&amp;" %"</f>
        <v>0 %</v>
      </c>
      <c r="G311" s="1662" t="str">
        <f>Acessórios!P196</f>
        <v>NPA</v>
      </c>
      <c r="H311" s="1596" t="str">
        <f>Acessórios!Q196</f>
        <v/>
      </c>
      <c r="I311" s="1663" t="str">
        <f>Acessórios!R196</f>
        <v>NPA</v>
      </c>
      <c r="J311" s="1660" t="str">
        <f t="shared" si="14"/>
        <v>Sim</v>
      </c>
      <c r="K311" s="1664" t="str">
        <f t="shared" si="15"/>
        <v>x</v>
      </c>
      <c r="M311" s="2152" t="str">
        <f t="shared" si="16"/>
        <v>NPA</v>
      </c>
    </row>
    <row r="312" spans="1:13" ht="15" customHeight="1" x14ac:dyDescent="0.25">
      <c r="A312" s="1653" t="str">
        <f>Acessórios!A197</f>
        <v>13 x 18</v>
      </c>
      <c r="B312" s="1658">
        <f>Acessórios!B197</f>
        <v>28</v>
      </c>
      <c r="C312" s="1653" t="str">
        <f>IF(Acessórios!C197="Convencional","C - "&amp;convencional!$B$1,"M - "&amp;mamo!$B$1)</f>
        <v>C - IN 90</v>
      </c>
      <c r="D312" s="3100">
        <f>Acessórios!D197</f>
        <v>0</v>
      </c>
      <c r="E312" s="3100"/>
      <c r="F312" s="1661" t="str">
        <f>Acessórios!O197*100&amp;" %"</f>
        <v>0 %</v>
      </c>
      <c r="G312" s="1662" t="str">
        <f>Acessórios!P197</f>
        <v>NPA</v>
      </c>
      <c r="H312" s="1596" t="str">
        <f>Acessórios!Q197</f>
        <v/>
      </c>
      <c r="I312" s="1663" t="str">
        <f>Acessórios!R197</f>
        <v>NPA</v>
      </c>
      <c r="J312" s="1660" t="str">
        <f t="shared" si="14"/>
        <v>Sim</v>
      </c>
      <c r="K312" s="1664" t="str">
        <f t="shared" si="15"/>
        <v>x</v>
      </c>
      <c r="M312" s="2152" t="str">
        <f t="shared" si="16"/>
        <v>NPA</v>
      </c>
    </row>
    <row r="313" spans="1:13" ht="15" customHeight="1" x14ac:dyDescent="0.25">
      <c r="A313" s="1653" t="str">
        <f>Acessórios!A198</f>
        <v>13 x 18</v>
      </c>
      <c r="B313" s="1658">
        <f>Acessórios!B198</f>
        <v>29</v>
      </c>
      <c r="C313" s="1653" t="str">
        <f>IF(Acessórios!C198="Convencional","C - "&amp;convencional!$B$1,"M - "&amp;mamo!$B$1)</f>
        <v>C - IN 90</v>
      </c>
      <c r="D313" s="3100">
        <f>Acessórios!D198</f>
        <v>0</v>
      </c>
      <c r="E313" s="3100"/>
      <c r="F313" s="1661" t="str">
        <f>Acessórios!O198*100&amp;" %"</f>
        <v>0 %</v>
      </c>
      <c r="G313" s="1662" t="str">
        <f>Acessórios!P198</f>
        <v>NPA</v>
      </c>
      <c r="H313" s="1596" t="str">
        <f>Acessórios!Q198</f>
        <v/>
      </c>
      <c r="I313" s="1663" t="str">
        <f>Acessórios!R198</f>
        <v>NPA</v>
      </c>
      <c r="J313" s="1660" t="str">
        <f t="shared" si="14"/>
        <v>Sim</v>
      </c>
      <c r="K313" s="1664" t="str">
        <f t="shared" si="15"/>
        <v>x</v>
      </c>
      <c r="M313" s="2152" t="str">
        <f t="shared" si="16"/>
        <v>NPA</v>
      </c>
    </row>
    <row r="314" spans="1:13" ht="15" customHeight="1" x14ac:dyDescent="0.25">
      <c r="A314" s="1653" t="str">
        <f>Acessórios!A199</f>
        <v>13 x 18</v>
      </c>
      <c r="B314" s="1658">
        <f>Acessórios!B199</f>
        <v>30</v>
      </c>
      <c r="C314" s="1653" t="str">
        <f>IF(Acessórios!C199="Convencional","C - "&amp;convencional!$B$1,"M - "&amp;mamo!$B$1)</f>
        <v>C - IN 90</v>
      </c>
      <c r="D314" s="3100">
        <f>Acessórios!D199</f>
        <v>0</v>
      </c>
      <c r="E314" s="3100"/>
      <c r="F314" s="1661" t="str">
        <f>Acessórios!O199*100&amp;" %"</f>
        <v>0 %</v>
      </c>
      <c r="G314" s="1662" t="str">
        <f>Acessórios!P199</f>
        <v>NPA</v>
      </c>
      <c r="H314" s="1596" t="str">
        <f>Acessórios!Q199</f>
        <v/>
      </c>
      <c r="I314" s="1663" t="str">
        <f>Acessórios!R199</f>
        <v>NPA</v>
      </c>
      <c r="J314" s="1660" t="str">
        <f t="shared" si="14"/>
        <v>Sim</v>
      </c>
      <c r="K314" s="1664" t="str">
        <f t="shared" si="15"/>
        <v>x</v>
      </c>
      <c r="M314" s="2152" t="str">
        <f t="shared" si="16"/>
        <v>NPA</v>
      </c>
    </row>
    <row r="315" spans="1:13" ht="15" customHeight="1" x14ac:dyDescent="0.25">
      <c r="A315" s="1653" t="str">
        <f>Acessórios!A200</f>
        <v>13 x 18</v>
      </c>
      <c r="B315" s="1658">
        <f>Acessórios!B200</f>
        <v>31</v>
      </c>
      <c r="C315" s="1653" t="str">
        <f>IF(Acessórios!C200="Convencional","C - "&amp;convencional!$B$1,"M - "&amp;mamo!$B$1)</f>
        <v>C - IN 90</v>
      </c>
      <c r="D315" s="3100">
        <f>Acessórios!D200</f>
        <v>0</v>
      </c>
      <c r="E315" s="3100"/>
      <c r="F315" s="1661" t="str">
        <f>Acessórios!O200*100&amp;" %"</f>
        <v>0 %</v>
      </c>
      <c r="G315" s="1662" t="str">
        <f>Acessórios!P200</f>
        <v>NPA</v>
      </c>
      <c r="H315" s="1596" t="str">
        <f>Acessórios!Q200</f>
        <v/>
      </c>
      <c r="I315" s="1663" t="str">
        <f>Acessórios!R200</f>
        <v>NPA</v>
      </c>
      <c r="J315" s="1660" t="str">
        <f t="shared" si="14"/>
        <v>Sim</v>
      </c>
      <c r="K315" s="1664" t="str">
        <f t="shared" si="15"/>
        <v>x</v>
      </c>
      <c r="M315" s="2152" t="str">
        <f t="shared" si="16"/>
        <v>NPA</v>
      </c>
    </row>
    <row r="316" spans="1:13" ht="15" customHeight="1" x14ac:dyDescent="0.25">
      <c r="A316" s="1653" t="str">
        <f>Acessórios!A201</f>
        <v>13 x 18</v>
      </c>
      <c r="B316" s="1658">
        <f>Acessórios!B201</f>
        <v>32</v>
      </c>
      <c r="C316" s="1653" t="str">
        <f>IF(Acessórios!C201="Convencional","C - "&amp;convencional!$B$1,"M - "&amp;mamo!$B$1)</f>
        <v>C - IN 90</v>
      </c>
      <c r="D316" s="3100">
        <f>Acessórios!D201</f>
        <v>0</v>
      </c>
      <c r="E316" s="3100"/>
      <c r="F316" s="1661" t="str">
        <f>Acessórios!O201*100&amp;" %"</f>
        <v>0 %</v>
      </c>
      <c r="G316" s="1662" t="str">
        <f>Acessórios!P201</f>
        <v>NPA</v>
      </c>
      <c r="H316" s="1596" t="str">
        <f>Acessórios!Q201</f>
        <v/>
      </c>
      <c r="I316" s="1663" t="str">
        <f>Acessórios!R201</f>
        <v>NPA</v>
      </c>
      <c r="J316" s="1660" t="str">
        <f t="shared" si="14"/>
        <v>Sim</v>
      </c>
      <c r="K316" s="1664" t="str">
        <f t="shared" si="15"/>
        <v>x</v>
      </c>
      <c r="M316" s="2152" t="str">
        <f t="shared" si="16"/>
        <v>NPA</v>
      </c>
    </row>
    <row r="317" spans="1:13" ht="15" customHeight="1" x14ac:dyDescent="0.25">
      <c r="A317" s="1653" t="str">
        <f>Acessórios!A202</f>
        <v>13 x 18</v>
      </c>
      <c r="B317" s="1658">
        <f>Acessórios!B202</f>
        <v>33</v>
      </c>
      <c r="C317" s="1653" t="str">
        <f>IF(Acessórios!C202="Convencional","C - "&amp;convencional!$B$1,"M - "&amp;mamo!$B$1)</f>
        <v>C - IN 90</v>
      </c>
      <c r="D317" s="3100">
        <f>Acessórios!D202</f>
        <v>0</v>
      </c>
      <c r="E317" s="3100"/>
      <c r="F317" s="1661" t="str">
        <f>Acessórios!O202*100&amp;" %"</f>
        <v>0 %</v>
      </c>
      <c r="G317" s="1662" t="str">
        <f>Acessórios!P202</f>
        <v>NPA</v>
      </c>
      <c r="H317" s="1596" t="str">
        <f>Acessórios!Q202</f>
        <v/>
      </c>
      <c r="I317" s="1663" t="str">
        <f>Acessórios!R202</f>
        <v>NPA</v>
      </c>
      <c r="J317" s="1660" t="str">
        <f t="shared" si="14"/>
        <v>Sim</v>
      </c>
      <c r="K317" s="1664" t="str">
        <f t="shared" si="15"/>
        <v>x</v>
      </c>
      <c r="M317" s="2152" t="str">
        <f t="shared" si="16"/>
        <v>NPA</v>
      </c>
    </row>
    <row r="318" spans="1:13" ht="15" customHeight="1" x14ac:dyDescent="0.25">
      <c r="A318" s="1653" t="str">
        <f>Acessórios!A203</f>
        <v>13 x 18</v>
      </c>
      <c r="B318" s="1658">
        <f>Acessórios!B203</f>
        <v>34</v>
      </c>
      <c r="C318" s="1653" t="str">
        <f>IF(Acessórios!C203="Convencional","C - "&amp;convencional!$B$1,"M - "&amp;mamo!$B$1)</f>
        <v>C - IN 90</v>
      </c>
      <c r="D318" s="3100">
        <f>Acessórios!D203</f>
        <v>0</v>
      </c>
      <c r="E318" s="3100"/>
      <c r="F318" s="1661" t="str">
        <f>Acessórios!O203*100&amp;" %"</f>
        <v>0 %</v>
      </c>
      <c r="G318" s="1662" t="str">
        <f>Acessórios!P203</f>
        <v>NPA</v>
      </c>
      <c r="H318" s="1596" t="str">
        <f>Acessórios!Q203</f>
        <v/>
      </c>
      <c r="I318" s="1663" t="str">
        <f>Acessórios!R203</f>
        <v>NPA</v>
      </c>
      <c r="J318" s="1660" t="str">
        <f t="shared" si="14"/>
        <v>Sim</v>
      </c>
      <c r="K318" s="1664" t="str">
        <f t="shared" si="15"/>
        <v>x</v>
      </c>
      <c r="M318" s="2152" t="str">
        <f t="shared" si="16"/>
        <v>NPA</v>
      </c>
    </row>
    <row r="319" spans="1:13" ht="15" customHeight="1" x14ac:dyDescent="0.25">
      <c r="A319" s="1653" t="str">
        <f>Acessórios!A204</f>
        <v>13 x 18</v>
      </c>
      <c r="B319" s="1658">
        <f>Acessórios!B204</f>
        <v>35</v>
      </c>
      <c r="C319" s="1653" t="str">
        <f>IF(Acessórios!C204="Convencional","C - "&amp;convencional!$B$1,"M - "&amp;mamo!$B$1)</f>
        <v>C - IN 90</v>
      </c>
      <c r="D319" s="3100">
        <f>Acessórios!D204</f>
        <v>0</v>
      </c>
      <c r="E319" s="3100"/>
      <c r="F319" s="1661" t="str">
        <f>Acessórios!O204*100&amp;" %"</f>
        <v>0 %</v>
      </c>
      <c r="G319" s="1662" t="str">
        <f>Acessórios!P204</f>
        <v>NPA</v>
      </c>
      <c r="H319" s="1596" t="str">
        <f>Acessórios!Q204</f>
        <v/>
      </c>
      <c r="I319" s="1663" t="str">
        <f>Acessórios!R204</f>
        <v>NPA</v>
      </c>
      <c r="J319" s="1660" t="str">
        <f t="shared" si="14"/>
        <v>Sim</v>
      </c>
      <c r="K319" s="1664" t="str">
        <f t="shared" si="15"/>
        <v>x</v>
      </c>
      <c r="M319" s="2152" t="str">
        <f t="shared" si="16"/>
        <v>NPA</v>
      </c>
    </row>
    <row r="320" spans="1:13" ht="15" customHeight="1" x14ac:dyDescent="0.25">
      <c r="A320" s="1653" t="str">
        <f>Acessórios!A205</f>
        <v>13 x 18</v>
      </c>
      <c r="B320" s="1658">
        <f>Acessórios!B205</f>
        <v>36</v>
      </c>
      <c r="C320" s="1653" t="str">
        <f>IF(Acessórios!C205="Convencional","C - "&amp;convencional!$B$1,"M - "&amp;mamo!$B$1)</f>
        <v>C - IN 90</v>
      </c>
      <c r="D320" s="3100">
        <f>Acessórios!D205</f>
        <v>0</v>
      </c>
      <c r="E320" s="3100"/>
      <c r="F320" s="1661" t="str">
        <f>Acessórios!O205*100&amp;" %"</f>
        <v>0 %</v>
      </c>
      <c r="G320" s="1662" t="str">
        <f>Acessórios!P205</f>
        <v>NPA</v>
      </c>
      <c r="H320" s="1596" t="str">
        <f>Acessórios!Q205</f>
        <v/>
      </c>
      <c r="I320" s="1663" t="str">
        <f>Acessórios!R205</f>
        <v>NPA</v>
      </c>
      <c r="J320" s="1660" t="str">
        <f t="shared" si="14"/>
        <v>Sim</v>
      </c>
      <c r="K320" s="1664" t="str">
        <f t="shared" si="15"/>
        <v>x</v>
      </c>
      <c r="M320" s="2152" t="str">
        <f t="shared" si="16"/>
        <v>NPA</v>
      </c>
    </row>
    <row r="321" spans="1:13" ht="15" customHeight="1" x14ac:dyDescent="0.25">
      <c r="A321" s="1653" t="str">
        <f>Acessórios!A206</f>
        <v>13 x 18</v>
      </c>
      <c r="B321" s="1658">
        <f>Acessórios!B206</f>
        <v>37</v>
      </c>
      <c r="C321" s="1653" t="str">
        <f>IF(Acessórios!C206="Convencional","C - "&amp;convencional!$B$1,"M - "&amp;mamo!$B$1)</f>
        <v>C - IN 90</v>
      </c>
      <c r="D321" s="3100">
        <f>Acessórios!D206</f>
        <v>0</v>
      </c>
      <c r="E321" s="3100"/>
      <c r="F321" s="1661" t="str">
        <f>Acessórios!O206*100&amp;" %"</f>
        <v>0 %</v>
      </c>
      <c r="G321" s="1662" t="str">
        <f>Acessórios!P206</f>
        <v>NPA</v>
      </c>
      <c r="H321" s="1596" t="str">
        <f>Acessórios!Q206</f>
        <v/>
      </c>
      <c r="I321" s="1663" t="str">
        <f>Acessórios!R206</f>
        <v>NPA</v>
      </c>
      <c r="J321" s="1660" t="str">
        <f t="shared" si="14"/>
        <v>Sim</v>
      </c>
      <c r="K321" s="1664" t="str">
        <f t="shared" si="15"/>
        <v>x</v>
      </c>
      <c r="M321" s="2152" t="str">
        <f t="shared" si="16"/>
        <v>NPA</v>
      </c>
    </row>
    <row r="322" spans="1:13" ht="15" customHeight="1" x14ac:dyDescent="0.25">
      <c r="A322" s="1653" t="str">
        <f>Acessórios!A207</f>
        <v>13 x 18</v>
      </c>
      <c r="B322" s="1658">
        <f>Acessórios!B207</f>
        <v>38</v>
      </c>
      <c r="C322" s="1653" t="str">
        <f>IF(Acessórios!C207="Convencional","C - "&amp;convencional!$B$1,"M - "&amp;mamo!$B$1)</f>
        <v>C - IN 90</v>
      </c>
      <c r="D322" s="3100">
        <f>Acessórios!D207</f>
        <v>0</v>
      </c>
      <c r="E322" s="3100"/>
      <c r="F322" s="1661" t="str">
        <f>Acessórios!O207*100&amp;" %"</f>
        <v>0 %</v>
      </c>
      <c r="G322" s="1662" t="str">
        <f>Acessórios!P207</f>
        <v>NPA</v>
      </c>
      <c r="H322" s="1596" t="str">
        <f>Acessórios!Q207</f>
        <v/>
      </c>
      <c r="I322" s="1663" t="str">
        <f>Acessórios!R207</f>
        <v>NPA</v>
      </c>
      <c r="J322" s="1660" t="str">
        <f t="shared" si="14"/>
        <v>Sim</v>
      </c>
      <c r="K322" s="1664" t="str">
        <f t="shared" si="15"/>
        <v>x</v>
      </c>
      <c r="M322" s="2152" t="str">
        <f t="shared" si="16"/>
        <v>NPA</v>
      </c>
    </row>
    <row r="323" spans="1:13" ht="15" customHeight="1" x14ac:dyDescent="0.25">
      <c r="A323" s="1653" t="str">
        <f>Acessórios!A208</f>
        <v>13 x 18</v>
      </c>
      <c r="B323" s="1658">
        <f>Acessórios!B208</f>
        <v>39</v>
      </c>
      <c r="C323" s="1653" t="str">
        <f>IF(Acessórios!C208="Convencional","C - "&amp;convencional!$B$1,"M - "&amp;mamo!$B$1)</f>
        <v>C - IN 90</v>
      </c>
      <c r="D323" s="3100">
        <f>Acessórios!D208</f>
        <v>0</v>
      </c>
      <c r="E323" s="3100"/>
      <c r="F323" s="1661" t="str">
        <f>Acessórios!O208*100&amp;" %"</f>
        <v>0 %</v>
      </c>
      <c r="G323" s="1662" t="str">
        <f>Acessórios!P208</f>
        <v>NPA</v>
      </c>
      <c r="H323" s="1596" t="str">
        <f>Acessórios!Q208</f>
        <v/>
      </c>
      <c r="I323" s="1663" t="str">
        <f>Acessórios!R208</f>
        <v>NPA</v>
      </c>
      <c r="J323" s="1660" t="str">
        <f t="shared" si="14"/>
        <v>Sim</v>
      </c>
      <c r="K323" s="1664" t="str">
        <f t="shared" si="15"/>
        <v>x</v>
      </c>
      <c r="M323" s="2152" t="str">
        <f t="shared" si="16"/>
        <v>NPA</v>
      </c>
    </row>
    <row r="324" spans="1:13" ht="15" customHeight="1" x14ac:dyDescent="0.25">
      <c r="A324" s="1653" t="str">
        <f>Acessórios!A209</f>
        <v>13 x 18</v>
      </c>
      <c r="B324" s="1658">
        <f>Acessórios!B209</f>
        <v>40</v>
      </c>
      <c r="C324" s="1653" t="str">
        <f>IF(Acessórios!C209="Convencional","C - "&amp;convencional!$B$1,"M - "&amp;mamo!$B$1)</f>
        <v>C - IN 90</v>
      </c>
      <c r="D324" s="3100">
        <f>Acessórios!D209</f>
        <v>0</v>
      </c>
      <c r="E324" s="3100"/>
      <c r="F324" s="1661" t="str">
        <f>Acessórios!O209*100&amp;" %"</f>
        <v>0 %</v>
      </c>
      <c r="G324" s="1662" t="str">
        <f>Acessórios!P209</f>
        <v>NPA</v>
      </c>
      <c r="H324" s="1596" t="str">
        <f>Acessórios!Q209</f>
        <v/>
      </c>
      <c r="I324" s="1663" t="str">
        <f>Acessórios!R209</f>
        <v>NPA</v>
      </c>
      <c r="J324" s="1660" t="str">
        <f t="shared" si="14"/>
        <v>Sim</v>
      </c>
      <c r="K324" s="1664" t="str">
        <f t="shared" si="15"/>
        <v>x</v>
      </c>
      <c r="M324" s="2152" t="str">
        <f t="shared" si="16"/>
        <v>NPA</v>
      </c>
    </row>
    <row r="325" spans="1:13" ht="15" customHeight="1" x14ac:dyDescent="0.25">
      <c r="A325" s="1653" t="str">
        <f>Acessórios!A210</f>
        <v>13 x 18</v>
      </c>
      <c r="B325" s="1658">
        <f>Acessórios!B210</f>
        <v>41</v>
      </c>
      <c r="C325" s="1653" t="str">
        <f>IF(Acessórios!C210="Convencional","C - "&amp;convencional!$B$1,"M - "&amp;mamo!$B$1)</f>
        <v>C - IN 90</v>
      </c>
      <c r="D325" s="3100">
        <f>Acessórios!D210</f>
        <v>0</v>
      </c>
      <c r="E325" s="3100"/>
      <c r="F325" s="1661" t="str">
        <f>Acessórios!O210*100&amp;" %"</f>
        <v>0 %</v>
      </c>
      <c r="G325" s="1662" t="str">
        <f>Acessórios!P210</f>
        <v>NPA</v>
      </c>
      <c r="H325" s="1596" t="str">
        <f>Acessórios!Q210</f>
        <v/>
      </c>
      <c r="I325" s="1663" t="str">
        <f>Acessórios!R210</f>
        <v>NPA</v>
      </c>
      <c r="J325" s="1660" t="str">
        <f t="shared" si="14"/>
        <v>Sim</v>
      </c>
      <c r="K325" s="1664" t="str">
        <f t="shared" si="15"/>
        <v>x</v>
      </c>
      <c r="M325" s="2152" t="str">
        <f t="shared" si="16"/>
        <v>NPA</v>
      </c>
    </row>
    <row r="326" spans="1:13" ht="15" customHeight="1" x14ac:dyDescent="0.25">
      <c r="A326" s="1653" t="str">
        <f>Acessórios!A211</f>
        <v>13 x 18</v>
      </c>
      <c r="B326" s="1658">
        <f>Acessórios!B211</f>
        <v>42</v>
      </c>
      <c r="C326" s="1653" t="str">
        <f>IF(Acessórios!C211="Convencional","C - "&amp;convencional!$B$1,"M - "&amp;mamo!$B$1)</f>
        <v>C - IN 90</v>
      </c>
      <c r="D326" s="3100">
        <f>Acessórios!D211</f>
        <v>0</v>
      </c>
      <c r="E326" s="3100"/>
      <c r="F326" s="1661" t="str">
        <f>Acessórios!O211*100&amp;" %"</f>
        <v>0 %</v>
      </c>
      <c r="G326" s="1662" t="str">
        <f>Acessórios!P211</f>
        <v>NPA</v>
      </c>
      <c r="H326" s="1596" t="str">
        <f>Acessórios!Q211</f>
        <v/>
      </c>
      <c r="I326" s="1663" t="str">
        <f>Acessórios!R211</f>
        <v>NPA</v>
      </c>
      <c r="J326" s="1660" t="str">
        <f t="shared" si="14"/>
        <v>Sim</v>
      </c>
      <c r="K326" s="1664" t="str">
        <f t="shared" si="15"/>
        <v>x</v>
      </c>
      <c r="M326" s="2152" t="str">
        <f t="shared" si="16"/>
        <v>NPA</v>
      </c>
    </row>
    <row r="327" spans="1:13" ht="15" customHeight="1" x14ac:dyDescent="0.25">
      <c r="A327" s="1653" t="str">
        <f>Acessórios!A212</f>
        <v>13 x 18</v>
      </c>
      <c r="B327" s="1658">
        <f>Acessórios!B212</f>
        <v>43</v>
      </c>
      <c r="C327" s="1653" t="str">
        <f>IF(Acessórios!C212="Convencional","C - "&amp;convencional!$B$1,"M - "&amp;mamo!$B$1)</f>
        <v>C - IN 90</v>
      </c>
      <c r="D327" s="3100">
        <f>Acessórios!D212</f>
        <v>0</v>
      </c>
      <c r="E327" s="3100"/>
      <c r="F327" s="1661" t="str">
        <f>Acessórios!O212*100&amp;" %"</f>
        <v>0 %</v>
      </c>
      <c r="G327" s="1662" t="str">
        <f>Acessórios!P212</f>
        <v>NPA</v>
      </c>
      <c r="H327" s="1596" t="str">
        <f>Acessórios!Q212</f>
        <v/>
      </c>
      <c r="I327" s="1663" t="str">
        <f>Acessórios!R212</f>
        <v>NPA</v>
      </c>
      <c r="J327" s="1660" t="str">
        <f t="shared" si="14"/>
        <v>Sim</v>
      </c>
      <c r="K327" s="1664" t="str">
        <f t="shared" si="15"/>
        <v>x</v>
      </c>
      <c r="M327" s="2152" t="str">
        <f t="shared" si="16"/>
        <v>NPA</v>
      </c>
    </row>
    <row r="328" spans="1:13" ht="15" customHeight="1" x14ac:dyDescent="0.25">
      <c r="A328" s="1653" t="str">
        <f>Acessórios!A213</f>
        <v>13 x 18</v>
      </c>
      <c r="B328" s="1658">
        <f>Acessórios!B213</f>
        <v>44</v>
      </c>
      <c r="C328" s="1653" t="str">
        <f>IF(Acessórios!C213="Convencional","C - "&amp;convencional!$B$1,"M - "&amp;mamo!$B$1)</f>
        <v>C - IN 90</v>
      </c>
      <c r="D328" s="3100">
        <f>Acessórios!D213</f>
        <v>0</v>
      </c>
      <c r="E328" s="3100"/>
      <c r="F328" s="1661" t="str">
        <f>Acessórios!O213*100&amp;" %"</f>
        <v>0 %</v>
      </c>
      <c r="G328" s="1662" t="str">
        <f>Acessórios!P213</f>
        <v>NPA</v>
      </c>
      <c r="H328" s="1596" t="str">
        <f>Acessórios!Q213</f>
        <v/>
      </c>
      <c r="I328" s="1663" t="str">
        <f>Acessórios!R213</f>
        <v>NPA</v>
      </c>
      <c r="J328" s="1660" t="str">
        <f t="shared" si="14"/>
        <v>Sim</v>
      </c>
      <c r="K328" s="1664" t="str">
        <f t="shared" si="15"/>
        <v>x</v>
      </c>
      <c r="M328" s="2152" t="str">
        <f t="shared" si="16"/>
        <v>NPA</v>
      </c>
    </row>
    <row r="329" spans="1:13" ht="15" customHeight="1" x14ac:dyDescent="0.25">
      <c r="A329" s="1653" t="str">
        <f>Acessórios!A214</f>
        <v>13 x 18</v>
      </c>
      <c r="B329" s="1658">
        <f>Acessórios!B214</f>
        <v>45</v>
      </c>
      <c r="C329" s="1653" t="str">
        <f>IF(Acessórios!C214="Convencional","C - "&amp;convencional!$B$1,"M - "&amp;mamo!$B$1)</f>
        <v>C - IN 90</v>
      </c>
      <c r="D329" s="3100">
        <f>Acessórios!D214</f>
        <v>0</v>
      </c>
      <c r="E329" s="3100"/>
      <c r="F329" s="1661" t="str">
        <f>Acessórios!O214*100&amp;" %"</f>
        <v>0 %</v>
      </c>
      <c r="G329" s="1662" t="str">
        <f>Acessórios!P214</f>
        <v>NPA</v>
      </c>
      <c r="H329" s="1596" t="str">
        <f>Acessórios!Q214</f>
        <v/>
      </c>
      <c r="I329" s="1663" t="str">
        <f>Acessórios!R214</f>
        <v>NPA</v>
      </c>
      <c r="J329" s="1660" t="str">
        <f t="shared" si="14"/>
        <v>Sim</v>
      </c>
      <c r="K329" s="1664" t="str">
        <f t="shared" si="15"/>
        <v>x</v>
      </c>
      <c r="M329" s="2152" t="str">
        <f t="shared" si="16"/>
        <v>NPA</v>
      </c>
    </row>
    <row r="330" spans="1:13" ht="15" customHeight="1" x14ac:dyDescent="0.25">
      <c r="A330" s="1653" t="str">
        <f>Acessórios!A215</f>
        <v>13 x 18</v>
      </c>
      <c r="B330" s="1658">
        <f>Acessórios!B215</f>
        <v>46</v>
      </c>
      <c r="C330" s="1653" t="str">
        <f>IF(Acessórios!C215="Convencional","C - "&amp;convencional!$B$1,"M - "&amp;mamo!$B$1)</f>
        <v>C - IN 90</v>
      </c>
      <c r="D330" s="3100">
        <f>Acessórios!D215</f>
        <v>0</v>
      </c>
      <c r="E330" s="3100"/>
      <c r="F330" s="1661" t="str">
        <f>Acessórios!O215*100&amp;" %"</f>
        <v>0 %</v>
      </c>
      <c r="G330" s="1662" t="str">
        <f>Acessórios!P215</f>
        <v>NPA</v>
      </c>
      <c r="H330" s="1596" t="str">
        <f>Acessórios!Q215</f>
        <v/>
      </c>
      <c r="I330" s="1663" t="str">
        <f>Acessórios!R215</f>
        <v>NPA</v>
      </c>
      <c r="J330" s="1660" t="str">
        <f t="shared" si="14"/>
        <v>Sim</v>
      </c>
      <c r="K330" s="1664" t="str">
        <f t="shared" si="15"/>
        <v>x</v>
      </c>
      <c r="M330" s="2152" t="str">
        <f t="shared" si="16"/>
        <v>NPA</v>
      </c>
    </row>
    <row r="331" spans="1:13" ht="15" customHeight="1" x14ac:dyDescent="0.25">
      <c r="A331" s="1653" t="str">
        <f>Acessórios!A216</f>
        <v>13 x 18</v>
      </c>
      <c r="B331" s="1658">
        <f>Acessórios!B216</f>
        <v>47</v>
      </c>
      <c r="C331" s="1653" t="str">
        <f>IF(Acessórios!C216="Convencional","C - "&amp;convencional!$B$1,"M - "&amp;mamo!$B$1)</f>
        <v>C - IN 90</v>
      </c>
      <c r="D331" s="3100">
        <f>Acessórios!D216</f>
        <v>0</v>
      </c>
      <c r="E331" s="3100"/>
      <c r="F331" s="1661" t="str">
        <f>Acessórios!O216*100&amp;" %"</f>
        <v>0 %</v>
      </c>
      <c r="G331" s="1662" t="str">
        <f>Acessórios!P216</f>
        <v>NPA</v>
      </c>
      <c r="H331" s="1596" t="str">
        <f>Acessórios!Q216</f>
        <v/>
      </c>
      <c r="I331" s="1663" t="str">
        <f>Acessórios!R216</f>
        <v>NPA</v>
      </c>
      <c r="J331" s="1660" t="str">
        <f t="shared" si="14"/>
        <v>Sim</v>
      </c>
      <c r="K331" s="1664" t="str">
        <f t="shared" si="15"/>
        <v>x</v>
      </c>
      <c r="M331" s="2152" t="str">
        <f t="shared" si="16"/>
        <v>NPA</v>
      </c>
    </row>
    <row r="332" spans="1:13" ht="15" customHeight="1" x14ac:dyDescent="0.25">
      <c r="A332" s="1653" t="str">
        <f>Acessórios!A217</f>
        <v>13 x 18</v>
      </c>
      <c r="B332" s="1658">
        <f>Acessórios!B217</f>
        <v>48</v>
      </c>
      <c r="C332" s="1653" t="str">
        <f>IF(Acessórios!C217="Convencional","C - "&amp;convencional!$B$1,"M - "&amp;mamo!$B$1)</f>
        <v>C - IN 90</v>
      </c>
      <c r="D332" s="3100">
        <f>Acessórios!D217</f>
        <v>0</v>
      </c>
      <c r="E332" s="3100"/>
      <c r="F332" s="1661" t="str">
        <f>Acessórios!O217*100&amp;" %"</f>
        <v>0 %</v>
      </c>
      <c r="G332" s="1662" t="str">
        <f>Acessórios!P217</f>
        <v>NPA</v>
      </c>
      <c r="H332" s="1596" t="str">
        <f>Acessórios!Q217</f>
        <v/>
      </c>
      <c r="I332" s="1663" t="str">
        <f>Acessórios!R217</f>
        <v>NPA</v>
      </c>
      <c r="J332" s="1660" t="str">
        <f t="shared" si="14"/>
        <v>Sim</v>
      </c>
      <c r="K332" s="1664" t="str">
        <f t="shared" si="15"/>
        <v>x</v>
      </c>
      <c r="M332" s="2152" t="str">
        <f t="shared" si="16"/>
        <v>NPA</v>
      </c>
    </row>
    <row r="333" spans="1:13" ht="15" customHeight="1" x14ac:dyDescent="0.25">
      <c r="A333" s="1653" t="str">
        <f>Acessórios!A218</f>
        <v>13 x 18</v>
      </c>
      <c r="B333" s="1658">
        <f>Acessórios!B218</f>
        <v>49</v>
      </c>
      <c r="C333" s="1653" t="str">
        <f>IF(Acessórios!C218="Convencional","C - "&amp;convencional!$B$1,"M - "&amp;mamo!$B$1)</f>
        <v>C - IN 90</v>
      </c>
      <c r="D333" s="3100">
        <f>Acessórios!D218</f>
        <v>0</v>
      </c>
      <c r="E333" s="3100"/>
      <c r="F333" s="1661" t="str">
        <f>Acessórios!O218*100&amp;" %"</f>
        <v>0 %</v>
      </c>
      <c r="G333" s="1662" t="str">
        <f>Acessórios!P218</f>
        <v>NPA</v>
      </c>
      <c r="H333" s="1596" t="str">
        <f>Acessórios!Q218</f>
        <v/>
      </c>
      <c r="I333" s="1663" t="str">
        <f>Acessórios!R218</f>
        <v>NPA</v>
      </c>
      <c r="J333" s="1660" t="str">
        <f t="shared" si="14"/>
        <v>Sim</v>
      </c>
      <c r="K333" s="1664" t="str">
        <f t="shared" si="15"/>
        <v>x</v>
      </c>
      <c r="M333" s="2152" t="str">
        <f t="shared" si="16"/>
        <v>NPA</v>
      </c>
    </row>
    <row r="334" spans="1:13" ht="15" customHeight="1" x14ac:dyDescent="0.25">
      <c r="A334" s="1653" t="str">
        <f>Acessórios!A219</f>
        <v>13 x 18</v>
      </c>
      <c r="B334" s="1658">
        <f>Acessórios!B219</f>
        <v>50</v>
      </c>
      <c r="C334" s="1653" t="str">
        <f>IF(Acessórios!C219="Convencional","C - "&amp;convencional!$B$1,"M - "&amp;mamo!$B$1)</f>
        <v>C - IN 90</v>
      </c>
      <c r="D334" s="3100">
        <f>Acessórios!D219</f>
        <v>0</v>
      </c>
      <c r="E334" s="3100"/>
      <c r="F334" s="1661" t="str">
        <f>Acessórios!O219*100&amp;" %"</f>
        <v>0 %</v>
      </c>
      <c r="G334" s="1662" t="str">
        <f>Acessórios!P219</f>
        <v>NPA</v>
      </c>
      <c r="H334" s="1596" t="str">
        <f>Acessórios!Q219</f>
        <v/>
      </c>
      <c r="I334" s="1663" t="str">
        <f>Acessórios!R219</f>
        <v>NPA</v>
      </c>
      <c r="J334" s="1660" t="str">
        <f t="shared" si="14"/>
        <v>Sim</v>
      </c>
      <c r="K334" s="1664" t="str">
        <f t="shared" si="15"/>
        <v>x</v>
      </c>
      <c r="M334" s="2152" t="str">
        <f t="shared" si="16"/>
        <v>NPA</v>
      </c>
    </row>
    <row r="335" spans="1:13" ht="15" customHeight="1" x14ac:dyDescent="0.25">
      <c r="A335" s="1653" t="str">
        <f>Acessórios!A220</f>
        <v>13 x 18</v>
      </c>
      <c r="B335" s="1658">
        <f>Acessórios!B220</f>
        <v>51</v>
      </c>
      <c r="C335" s="1653" t="str">
        <f>IF(Acessórios!C220="Convencional","C - "&amp;convencional!$B$1,"M - "&amp;mamo!$B$1)</f>
        <v>C - IN 90</v>
      </c>
      <c r="D335" s="3100">
        <f>Acessórios!D220</f>
        <v>0</v>
      </c>
      <c r="E335" s="3100"/>
      <c r="F335" s="1661" t="str">
        <f>Acessórios!O220*100&amp;" %"</f>
        <v>0 %</v>
      </c>
      <c r="G335" s="1662" t="str">
        <f>Acessórios!P220</f>
        <v>NPA</v>
      </c>
      <c r="H335" s="1596" t="str">
        <f>Acessórios!Q220</f>
        <v/>
      </c>
      <c r="I335" s="1663" t="str">
        <f>Acessórios!R220</f>
        <v>NPA</v>
      </c>
      <c r="J335" s="1660" t="str">
        <f t="shared" ref="J335:J364" si="17">IF(OR(G335="Restrição",I335="Restrição"),"Restrição",IF(OR(D335="Não íntegro",G335="Não",I335="Não"),"Não","Sim"))</f>
        <v>Sim</v>
      </c>
      <c r="K335" s="1664" t="str">
        <f t="shared" si="15"/>
        <v>x</v>
      </c>
      <c r="M335" s="2152" t="str">
        <f t="shared" si="16"/>
        <v>NPA</v>
      </c>
    </row>
    <row r="336" spans="1:13" ht="15" customHeight="1" x14ac:dyDescent="0.25">
      <c r="A336" s="1653" t="str">
        <f>Acessórios!A221</f>
        <v>13 x 18</v>
      </c>
      <c r="B336" s="1658">
        <f>Acessórios!B221</f>
        <v>52</v>
      </c>
      <c r="C336" s="1653" t="str">
        <f>IF(Acessórios!C221="Convencional","C - "&amp;convencional!$B$1,"M - "&amp;mamo!$B$1)</f>
        <v>C - IN 90</v>
      </c>
      <c r="D336" s="3100">
        <f>Acessórios!D221</f>
        <v>0</v>
      </c>
      <c r="E336" s="3100"/>
      <c r="F336" s="1661" t="str">
        <f>Acessórios!O221*100&amp;" %"</f>
        <v>0 %</v>
      </c>
      <c r="G336" s="1662" t="str">
        <f>Acessórios!P221</f>
        <v>NPA</v>
      </c>
      <c r="H336" s="1596" t="str">
        <f>Acessórios!Q221</f>
        <v/>
      </c>
      <c r="I336" s="1663" t="str">
        <f>Acessórios!R221</f>
        <v>NPA</v>
      </c>
      <c r="J336" s="1660" t="str">
        <f t="shared" si="17"/>
        <v>Sim</v>
      </c>
      <c r="K336" s="1664" t="str">
        <f t="shared" si="15"/>
        <v>x</v>
      </c>
      <c r="M336" s="2152" t="str">
        <f t="shared" si="16"/>
        <v>NPA</v>
      </c>
    </row>
    <row r="337" spans="1:13" ht="15" customHeight="1" x14ac:dyDescent="0.25">
      <c r="A337" s="1653" t="str">
        <f>Acessórios!A222</f>
        <v>13 x 18</v>
      </c>
      <c r="B337" s="1658">
        <f>Acessórios!B222</f>
        <v>53</v>
      </c>
      <c r="C337" s="1653" t="str">
        <f>IF(Acessórios!C222="Convencional","C - "&amp;convencional!$B$1,"M - "&amp;mamo!$B$1)</f>
        <v>C - IN 90</v>
      </c>
      <c r="D337" s="3100">
        <f>Acessórios!D222</f>
        <v>0</v>
      </c>
      <c r="E337" s="3100"/>
      <c r="F337" s="1661" t="str">
        <f>Acessórios!O222*100&amp;" %"</f>
        <v>0 %</v>
      </c>
      <c r="G337" s="1662" t="str">
        <f>Acessórios!P222</f>
        <v>NPA</v>
      </c>
      <c r="H337" s="1596" t="str">
        <f>Acessórios!Q222</f>
        <v/>
      </c>
      <c r="I337" s="1663" t="str">
        <f>Acessórios!R222</f>
        <v>NPA</v>
      </c>
      <c r="J337" s="1660" t="str">
        <f t="shared" si="17"/>
        <v>Sim</v>
      </c>
      <c r="K337" s="1664" t="str">
        <f t="shared" si="15"/>
        <v>x</v>
      </c>
      <c r="M337" s="2152" t="str">
        <f t="shared" si="16"/>
        <v>NPA</v>
      </c>
    </row>
    <row r="338" spans="1:13" ht="15" customHeight="1" x14ac:dyDescent="0.25">
      <c r="A338" s="1653" t="str">
        <f>Acessórios!A223</f>
        <v>13 x 18</v>
      </c>
      <c r="B338" s="1658">
        <f>Acessórios!B223</f>
        <v>54</v>
      </c>
      <c r="C338" s="1653" t="str">
        <f>IF(Acessórios!C223="Convencional","C - "&amp;convencional!$B$1,"M - "&amp;mamo!$B$1)</f>
        <v>C - IN 90</v>
      </c>
      <c r="D338" s="3100">
        <f>Acessórios!D223</f>
        <v>0</v>
      </c>
      <c r="E338" s="3100"/>
      <c r="F338" s="1661" t="str">
        <f>Acessórios!O223*100&amp;" %"</f>
        <v>0 %</v>
      </c>
      <c r="G338" s="1662" t="str">
        <f>Acessórios!P223</f>
        <v>NPA</v>
      </c>
      <c r="H338" s="1596" t="str">
        <f>Acessórios!Q223</f>
        <v/>
      </c>
      <c r="I338" s="1663" t="str">
        <f>Acessórios!R223</f>
        <v>NPA</v>
      </c>
      <c r="J338" s="1660" t="str">
        <f t="shared" si="17"/>
        <v>Sim</v>
      </c>
      <c r="K338" s="1664" t="str">
        <f t="shared" si="15"/>
        <v>x</v>
      </c>
      <c r="M338" s="2152" t="str">
        <f t="shared" si="16"/>
        <v>NPA</v>
      </c>
    </row>
    <row r="339" spans="1:13" ht="15" customHeight="1" x14ac:dyDescent="0.25">
      <c r="A339" s="1653" t="str">
        <f>Acessórios!A224</f>
        <v>13 x 18</v>
      </c>
      <c r="B339" s="1658">
        <f>Acessórios!B224</f>
        <v>55</v>
      </c>
      <c r="C339" s="1653" t="str">
        <f>IF(Acessórios!C224="Convencional","C - "&amp;convencional!$B$1,"M - "&amp;mamo!$B$1)</f>
        <v>C - IN 90</v>
      </c>
      <c r="D339" s="3100">
        <f>Acessórios!D224</f>
        <v>0</v>
      </c>
      <c r="E339" s="3100"/>
      <c r="F339" s="1661" t="str">
        <f>Acessórios!O224*100&amp;" %"</f>
        <v>0 %</v>
      </c>
      <c r="G339" s="1662" t="str">
        <f>Acessórios!P224</f>
        <v>NPA</v>
      </c>
      <c r="H339" s="1596" t="str">
        <f>Acessórios!Q224</f>
        <v/>
      </c>
      <c r="I339" s="1663" t="str">
        <f>Acessórios!R224</f>
        <v>NPA</v>
      </c>
      <c r="J339" s="1660" t="str">
        <f t="shared" si="17"/>
        <v>Sim</v>
      </c>
      <c r="K339" s="1664" t="str">
        <f t="shared" si="15"/>
        <v>x</v>
      </c>
      <c r="M339" s="2152" t="str">
        <f t="shared" si="16"/>
        <v>NPA</v>
      </c>
    </row>
    <row r="340" spans="1:13" ht="15" customHeight="1" x14ac:dyDescent="0.25">
      <c r="A340" s="1653" t="str">
        <f>Acessórios!A225</f>
        <v>13 x 18</v>
      </c>
      <c r="B340" s="1658">
        <f>Acessórios!B225</f>
        <v>56</v>
      </c>
      <c r="C340" s="1653" t="str">
        <f>IF(Acessórios!C225="Convencional","C - "&amp;convencional!$B$1,"M - "&amp;mamo!$B$1)</f>
        <v>C - IN 90</v>
      </c>
      <c r="D340" s="3100">
        <f>Acessórios!D225</f>
        <v>0</v>
      </c>
      <c r="E340" s="3100"/>
      <c r="F340" s="1661" t="str">
        <f>Acessórios!O225*100&amp;" %"</f>
        <v>0 %</v>
      </c>
      <c r="G340" s="1662" t="str">
        <f>Acessórios!P225</f>
        <v>NPA</v>
      </c>
      <c r="H340" s="1596" t="str">
        <f>Acessórios!Q225</f>
        <v/>
      </c>
      <c r="I340" s="1663" t="str">
        <f>Acessórios!R225</f>
        <v>NPA</v>
      </c>
      <c r="J340" s="1660" t="str">
        <f t="shared" si="17"/>
        <v>Sim</v>
      </c>
      <c r="K340" s="1664" t="str">
        <f t="shared" si="15"/>
        <v>x</v>
      </c>
      <c r="M340" s="2152" t="str">
        <f t="shared" si="16"/>
        <v>NPA</v>
      </c>
    </row>
    <row r="341" spans="1:13" ht="15" customHeight="1" x14ac:dyDescent="0.25">
      <c r="A341" s="1653" t="str">
        <f>Acessórios!A226</f>
        <v>13 x 18</v>
      </c>
      <c r="B341" s="1658">
        <f>Acessórios!B226</f>
        <v>57</v>
      </c>
      <c r="C341" s="1653" t="str">
        <f>IF(Acessórios!C226="Convencional","C - "&amp;convencional!$B$1,"M - "&amp;mamo!$B$1)</f>
        <v>C - IN 90</v>
      </c>
      <c r="D341" s="3100">
        <f>Acessórios!D226</f>
        <v>0</v>
      </c>
      <c r="E341" s="3100"/>
      <c r="F341" s="1661" t="str">
        <f>Acessórios!O226*100&amp;" %"</f>
        <v>0 %</v>
      </c>
      <c r="G341" s="1662" t="str">
        <f>Acessórios!P226</f>
        <v>NPA</v>
      </c>
      <c r="H341" s="1596" t="str">
        <f>Acessórios!Q226</f>
        <v/>
      </c>
      <c r="I341" s="1663" t="str">
        <f>Acessórios!R226</f>
        <v>NPA</v>
      </c>
      <c r="J341" s="1660" t="str">
        <f t="shared" si="17"/>
        <v>Sim</v>
      </c>
      <c r="K341" s="1664" t="str">
        <f t="shared" si="15"/>
        <v>x</v>
      </c>
      <c r="M341" s="2152" t="str">
        <f t="shared" si="16"/>
        <v>NPA</v>
      </c>
    </row>
    <row r="342" spans="1:13" ht="15" customHeight="1" x14ac:dyDescent="0.25">
      <c r="A342" s="1653" t="str">
        <f>Acessórios!A227</f>
        <v>13 x 18</v>
      </c>
      <c r="B342" s="1658">
        <f>Acessórios!B227</f>
        <v>58</v>
      </c>
      <c r="C342" s="1653" t="str">
        <f>IF(Acessórios!C227="Convencional","C - "&amp;convencional!$B$1,"M - "&amp;mamo!$B$1)</f>
        <v>C - IN 90</v>
      </c>
      <c r="D342" s="3100">
        <f>Acessórios!D227</f>
        <v>0</v>
      </c>
      <c r="E342" s="3100"/>
      <c r="F342" s="1661" t="str">
        <f>Acessórios!O227*100&amp;" %"</f>
        <v>0 %</v>
      </c>
      <c r="G342" s="1662" t="str">
        <f>Acessórios!P227</f>
        <v>NPA</v>
      </c>
      <c r="H342" s="1596" t="str">
        <f>Acessórios!Q227</f>
        <v/>
      </c>
      <c r="I342" s="1663" t="str">
        <f>Acessórios!R227</f>
        <v>NPA</v>
      </c>
      <c r="J342" s="1660" t="str">
        <f t="shared" si="17"/>
        <v>Sim</v>
      </c>
      <c r="K342" s="1664" t="str">
        <f t="shared" si="15"/>
        <v>x</v>
      </c>
      <c r="M342" s="2152" t="str">
        <f t="shared" si="16"/>
        <v>NPA</v>
      </c>
    </row>
    <row r="343" spans="1:13" ht="15" customHeight="1" x14ac:dyDescent="0.25">
      <c r="A343" s="1653" t="str">
        <f>Acessórios!A228</f>
        <v>13 x 18</v>
      </c>
      <c r="B343" s="1658">
        <f>Acessórios!B228</f>
        <v>59</v>
      </c>
      <c r="C343" s="1653" t="str">
        <f>IF(Acessórios!C228="Convencional","C - "&amp;convencional!$B$1,"M - "&amp;mamo!$B$1)</f>
        <v>C - IN 90</v>
      </c>
      <c r="D343" s="3100">
        <f>Acessórios!D228</f>
        <v>0</v>
      </c>
      <c r="E343" s="3100"/>
      <c r="F343" s="1661" t="str">
        <f>Acessórios!O228*100&amp;" %"</f>
        <v>0 %</v>
      </c>
      <c r="G343" s="1662" t="str">
        <f>Acessórios!P228</f>
        <v>NPA</v>
      </c>
      <c r="H343" s="1596" t="str">
        <f>Acessórios!Q228</f>
        <v/>
      </c>
      <c r="I343" s="1663" t="str">
        <f>Acessórios!R228</f>
        <v>NPA</v>
      </c>
      <c r="J343" s="1660" t="str">
        <f t="shared" si="17"/>
        <v>Sim</v>
      </c>
      <c r="K343" s="1664" t="str">
        <f t="shared" si="15"/>
        <v>x</v>
      </c>
      <c r="M343" s="2152" t="str">
        <f t="shared" si="16"/>
        <v>NPA</v>
      </c>
    </row>
    <row r="344" spans="1:13" ht="15" customHeight="1" x14ac:dyDescent="0.25">
      <c r="A344" s="1653" t="str">
        <f>Acessórios!A229</f>
        <v>13 x 18</v>
      </c>
      <c r="B344" s="1658">
        <f>Acessórios!B229</f>
        <v>60</v>
      </c>
      <c r="C344" s="1653" t="str">
        <f>IF(Acessórios!C229="Convencional","C - "&amp;convencional!$B$1,"M - "&amp;mamo!$B$1)</f>
        <v>C - IN 90</v>
      </c>
      <c r="D344" s="3100">
        <f>Acessórios!D229</f>
        <v>0</v>
      </c>
      <c r="E344" s="3100"/>
      <c r="F344" s="1661" t="str">
        <f>Acessórios!O229*100&amp;" %"</f>
        <v>0 %</v>
      </c>
      <c r="G344" s="1662" t="str">
        <f>Acessórios!P229</f>
        <v>NPA</v>
      </c>
      <c r="H344" s="1596" t="str">
        <f>Acessórios!Q229</f>
        <v/>
      </c>
      <c r="I344" s="1663" t="str">
        <f>Acessórios!R229</f>
        <v>NPA</v>
      </c>
      <c r="J344" s="1660" t="str">
        <f t="shared" si="17"/>
        <v>Sim</v>
      </c>
      <c r="K344" s="1664" t="str">
        <f t="shared" si="15"/>
        <v>x</v>
      </c>
      <c r="M344" s="2152" t="str">
        <f t="shared" si="16"/>
        <v>NPA</v>
      </c>
    </row>
    <row r="345" spans="1:13" ht="15" customHeight="1" x14ac:dyDescent="0.25">
      <c r="A345" s="1653" t="str">
        <f>Acessórios!A230</f>
        <v>13 x 18</v>
      </c>
      <c r="B345" s="1658">
        <f>Acessórios!B230</f>
        <v>61</v>
      </c>
      <c r="C345" s="1653" t="str">
        <f>IF(Acessórios!C230="Convencional","C - "&amp;convencional!$B$1,"M - "&amp;mamo!$B$1)</f>
        <v>C - IN 90</v>
      </c>
      <c r="D345" s="3100">
        <f>Acessórios!D230</f>
        <v>0</v>
      </c>
      <c r="E345" s="3100"/>
      <c r="F345" s="1661" t="str">
        <f>Acessórios!O230*100&amp;" %"</f>
        <v>0 %</v>
      </c>
      <c r="G345" s="1662" t="str">
        <f>Acessórios!P230</f>
        <v>NPA</v>
      </c>
      <c r="H345" s="1596" t="str">
        <f>Acessórios!Q230</f>
        <v/>
      </c>
      <c r="I345" s="1663" t="str">
        <f>Acessórios!R230</f>
        <v>NPA</v>
      </c>
      <c r="J345" s="1660" t="str">
        <f t="shared" si="17"/>
        <v>Sim</v>
      </c>
      <c r="K345" s="1664" t="str">
        <f t="shared" si="15"/>
        <v>x</v>
      </c>
      <c r="M345" s="2152" t="str">
        <f t="shared" si="16"/>
        <v>NPA</v>
      </c>
    </row>
    <row r="346" spans="1:13" ht="15" customHeight="1" x14ac:dyDescent="0.25">
      <c r="A346" s="1653" t="str">
        <f>Acessórios!A231</f>
        <v>13 x 18</v>
      </c>
      <c r="B346" s="1658">
        <f>Acessórios!B231</f>
        <v>62</v>
      </c>
      <c r="C346" s="1653" t="str">
        <f>IF(Acessórios!C231="Convencional","C - "&amp;convencional!$B$1,"M - "&amp;mamo!$B$1)</f>
        <v>C - IN 90</v>
      </c>
      <c r="D346" s="3100">
        <f>Acessórios!D231</f>
        <v>0</v>
      </c>
      <c r="E346" s="3100"/>
      <c r="F346" s="1661" t="str">
        <f>Acessórios!O231*100&amp;" %"</f>
        <v>0 %</v>
      </c>
      <c r="G346" s="1662" t="str">
        <f>Acessórios!P231</f>
        <v>NPA</v>
      </c>
      <c r="H346" s="1596" t="str">
        <f>Acessórios!Q231</f>
        <v/>
      </c>
      <c r="I346" s="1663" t="str">
        <f>Acessórios!R231</f>
        <v>NPA</v>
      </c>
      <c r="J346" s="1660" t="str">
        <f t="shared" si="17"/>
        <v>Sim</v>
      </c>
      <c r="K346" s="1664" t="str">
        <f t="shared" si="15"/>
        <v>x</v>
      </c>
      <c r="M346" s="2152" t="str">
        <f t="shared" si="16"/>
        <v>NPA</v>
      </c>
    </row>
    <row r="347" spans="1:13" ht="15" customHeight="1" x14ac:dyDescent="0.25">
      <c r="A347" s="1653" t="str">
        <f>Acessórios!A232</f>
        <v>13 x 18</v>
      </c>
      <c r="B347" s="1658">
        <f>Acessórios!B232</f>
        <v>63</v>
      </c>
      <c r="C347" s="1653" t="str">
        <f>IF(Acessórios!C232="Convencional","C - "&amp;convencional!$B$1,"M - "&amp;mamo!$B$1)</f>
        <v>C - IN 90</v>
      </c>
      <c r="D347" s="3100">
        <f>Acessórios!D232</f>
        <v>0</v>
      </c>
      <c r="E347" s="3100"/>
      <c r="F347" s="1661" t="str">
        <f>Acessórios!O232*100&amp;" %"</f>
        <v>0 %</v>
      </c>
      <c r="G347" s="1662" t="str">
        <f>Acessórios!P232</f>
        <v>NPA</v>
      </c>
      <c r="H347" s="1596" t="str">
        <f>Acessórios!Q232</f>
        <v/>
      </c>
      <c r="I347" s="1663" t="str">
        <f>Acessórios!R232</f>
        <v>NPA</v>
      </c>
      <c r="J347" s="1660" t="str">
        <f t="shared" si="17"/>
        <v>Sim</v>
      </c>
      <c r="K347" s="1664" t="str">
        <f t="shared" si="15"/>
        <v>x</v>
      </c>
      <c r="M347" s="2152" t="str">
        <f t="shared" si="16"/>
        <v>NPA</v>
      </c>
    </row>
    <row r="348" spans="1:13" ht="15" customHeight="1" x14ac:dyDescent="0.25">
      <c r="A348" s="1653" t="str">
        <f>Acessórios!A233</f>
        <v>13 x 18</v>
      </c>
      <c r="B348" s="1658">
        <f>Acessórios!B233</f>
        <v>64</v>
      </c>
      <c r="C348" s="1653" t="str">
        <f>IF(Acessórios!C233="Convencional","C - "&amp;convencional!$B$1,"M - "&amp;mamo!$B$1)</f>
        <v>C - IN 90</v>
      </c>
      <c r="D348" s="3100">
        <f>Acessórios!D233</f>
        <v>0</v>
      </c>
      <c r="E348" s="3100"/>
      <c r="F348" s="1661" t="str">
        <f>Acessórios!O233*100&amp;" %"</f>
        <v>0 %</v>
      </c>
      <c r="G348" s="1662" t="str">
        <f>Acessórios!P233</f>
        <v>NPA</v>
      </c>
      <c r="H348" s="1596" t="str">
        <f>Acessórios!Q233</f>
        <v/>
      </c>
      <c r="I348" s="1663" t="str">
        <f>Acessórios!R233</f>
        <v>NPA</v>
      </c>
      <c r="J348" s="1660" t="str">
        <f t="shared" si="17"/>
        <v>Sim</v>
      </c>
      <c r="K348" s="1664" t="str">
        <f t="shared" si="15"/>
        <v>x</v>
      </c>
      <c r="M348" s="2152" t="str">
        <f t="shared" si="16"/>
        <v>NPA</v>
      </c>
    </row>
    <row r="349" spans="1:13" ht="15" customHeight="1" x14ac:dyDescent="0.25">
      <c r="A349" s="1653" t="str">
        <f>Acessórios!A234</f>
        <v>13 x 18</v>
      </c>
      <c r="B349" s="1658">
        <f>Acessórios!B234</f>
        <v>65</v>
      </c>
      <c r="C349" s="1653" t="str">
        <f>IF(Acessórios!C234="Convencional","C - "&amp;convencional!$B$1,"M - "&amp;mamo!$B$1)</f>
        <v>C - IN 90</v>
      </c>
      <c r="D349" s="3100">
        <f>Acessórios!D234</f>
        <v>0</v>
      </c>
      <c r="E349" s="3100"/>
      <c r="F349" s="1661" t="str">
        <f>Acessórios!O234*100&amp;" %"</f>
        <v>0 %</v>
      </c>
      <c r="G349" s="1662" t="str">
        <f>Acessórios!P234</f>
        <v>NPA</v>
      </c>
      <c r="H349" s="1596" t="str">
        <f>Acessórios!Q234</f>
        <v/>
      </c>
      <c r="I349" s="1663" t="str">
        <f>Acessórios!R234</f>
        <v>NPA</v>
      </c>
      <c r="J349" s="1660" t="str">
        <f t="shared" si="17"/>
        <v>Sim</v>
      </c>
      <c r="K349" s="1664" t="str">
        <f t="shared" si="15"/>
        <v>x</v>
      </c>
      <c r="M349" s="2152" t="str">
        <f t="shared" si="16"/>
        <v>NPA</v>
      </c>
    </row>
    <row r="350" spans="1:13" ht="15" customHeight="1" x14ac:dyDescent="0.25">
      <c r="A350" s="1653" t="str">
        <f>Acessórios!A235</f>
        <v>13 x 18</v>
      </c>
      <c r="B350" s="1658">
        <f>Acessórios!B235</f>
        <v>66</v>
      </c>
      <c r="C350" s="1653" t="str">
        <f>IF(Acessórios!C235="Convencional","C - "&amp;convencional!$B$1,"M - "&amp;mamo!$B$1)</f>
        <v>C - IN 90</v>
      </c>
      <c r="D350" s="3100">
        <f>Acessórios!D235</f>
        <v>0</v>
      </c>
      <c r="E350" s="3100"/>
      <c r="F350" s="1661" t="str">
        <f>Acessórios!O235*100&amp;" %"</f>
        <v>0 %</v>
      </c>
      <c r="G350" s="1662" t="str">
        <f>Acessórios!P235</f>
        <v>NPA</v>
      </c>
      <c r="H350" s="1596" t="str">
        <f>Acessórios!Q235</f>
        <v/>
      </c>
      <c r="I350" s="1663" t="str">
        <f>Acessórios!R235</f>
        <v>NPA</v>
      </c>
      <c r="J350" s="1660" t="str">
        <f t="shared" si="17"/>
        <v>Sim</v>
      </c>
      <c r="K350" s="1664" t="str">
        <f t="shared" ref="K350:K364" si="18">IF(D350=0,"x","")</f>
        <v>x</v>
      </c>
      <c r="M350" s="2152" t="str">
        <f t="shared" ref="M350:M364" si="19">IF(OR(G350="Não",G350="Restrição"),"Não conforme",IF(G350="Sim","Conforme","NPA"))</f>
        <v>NPA</v>
      </c>
    </row>
    <row r="351" spans="1:13" ht="15" customHeight="1" x14ac:dyDescent="0.25">
      <c r="A351" s="1653" t="str">
        <f>Acessórios!A236</f>
        <v>13 x 18</v>
      </c>
      <c r="B351" s="1658">
        <f>Acessórios!B236</f>
        <v>67</v>
      </c>
      <c r="C351" s="1653" t="str">
        <f>IF(Acessórios!C236="Convencional","C - "&amp;convencional!$B$1,"M - "&amp;mamo!$B$1)</f>
        <v>C - IN 90</v>
      </c>
      <c r="D351" s="3100">
        <f>Acessórios!D236</f>
        <v>0</v>
      </c>
      <c r="E351" s="3100"/>
      <c r="F351" s="1661" t="str">
        <f>Acessórios!O236*100&amp;" %"</f>
        <v>0 %</v>
      </c>
      <c r="G351" s="1662" t="str">
        <f>Acessórios!P236</f>
        <v>NPA</v>
      </c>
      <c r="H351" s="1596" t="str">
        <f>Acessórios!Q236</f>
        <v/>
      </c>
      <c r="I351" s="1663" t="str">
        <f>Acessórios!R236</f>
        <v>NPA</v>
      </c>
      <c r="J351" s="1660" t="str">
        <f t="shared" si="17"/>
        <v>Sim</v>
      </c>
      <c r="K351" s="1664" t="str">
        <f t="shared" si="18"/>
        <v>x</v>
      </c>
      <c r="M351" s="2152" t="str">
        <f t="shared" si="19"/>
        <v>NPA</v>
      </c>
    </row>
    <row r="352" spans="1:13" ht="15" customHeight="1" x14ac:dyDescent="0.25">
      <c r="A352" s="1653" t="str">
        <f>Acessórios!A237</f>
        <v>13 x 18</v>
      </c>
      <c r="B352" s="1658">
        <f>Acessórios!B237</f>
        <v>68</v>
      </c>
      <c r="C352" s="1653" t="str">
        <f>IF(Acessórios!C237="Convencional","C - "&amp;convencional!$B$1,"M - "&amp;mamo!$B$1)</f>
        <v>C - IN 90</v>
      </c>
      <c r="D352" s="3100">
        <f>Acessórios!D237</f>
        <v>0</v>
      </c>
      <c r="E352" s="3100"/>
      <c r="F352" s="1661" t="str">
        <f>Acessórios!O237*100&amp;" %"</f>
        <v>0 %</v>
      </c>
      <c r="G352" s="1662" t="str">
        <f>Acessórios!P237</f>
        <v>NPA</v>
      </c>
      <c r="H352" s="1596" t="str">
        <f>Acessórios!Q237</f>
        <v/>
      </c>
      <c r="I352" s="1663" t="str">
        <f>Acessórios!R237</f>
        <v>NPA</v>
      </c>
      <c r="J352" s="1660" t="str">
        <f t="shared" si="17"/>
        <v>Sim</v>
      </c>
      <c r="K352" s="1664" t="str">
        <f t="shared" si="18"/>
        <v>x</v>
      </c>
      <c r="M352" s="2152" t="str">
        <f t="shared" si="19"/>
        <v>NPA</v>
      </c>
    </row>
    <row r="353" spans="1:13" ht="15" customHeight="1" x14ac:dyDescent="0.25">
      <c r="A353" s="1653" t="str">
        <f>Acessórios!A238</f>
        <v>13 x 18</v>
      </c>
      <c r="B353" s="1658">
        <f>Acessórios!B238</f>
        <v>69</v>
      </c>
      <c r="C353" s="1653" t="str">
        <f>IF(Acessórios!C238="Convencional","C - "&amp;convencional!$B$1,"M - "&amp;mamo!$B$1)</f>
        <v>C - IN 90</v>
      </c>
      <c r="D353" s="3100">
        <f>Acessórios!D238</f>
        <v>0</v>
      </c>
      <c r="E353" s="3100"/>
      <c r="F353" s="1661" t="str">
        <f>Acessórios!O238*100&amp;" %"</f>
        <v>0 %</v>
      </c>
      <c r="G353" s="1662" t="str">
        <f>Acessórios!P238</f>
        <v>NPA</v>
      </c>
      <c r="H353" s="1596" t="str">
        <f>Acessórios!Q238</f>
        <v/>
      </c>
      <c r="I353" s="1663" t="str">
        <f>Acessórios!R238</f>
        <v>NPA</v>
      </c>
      <c r="J353" s="1660" t="str">
        <f t="shared" si="17"/>
        <v>Sim</v>
      </c>
      <c r="K353" s="1664" t="str">
        <f t="shared" si="18"/>
        <v>x</v>
      </c>
      <c r="M353" s="2152" t="str">
        <f t="shared" si="19"/>
        <v>NPA</v>
      </c>
    </row>
    <row r="354" spans="1:13" ht="15" customHeight="1" x14ac:dyDescent="0.25">
      <c r="A354" s="1653" t="str">
        <f>Acessórios!A239</f>
        <v>13 x 18</v>
      </c>
      <c r="B354" s="1658">
        <f>Acessórios!B239</f>
        <v>70</v>
      </c>
      <c r="C354" s="1653" t="str">
        <f>IF(Acessórios!C239="Convencional","C - "&amp;convencional!$B$1,"M - "&amp;mamo!$B$1)</f>
        <v>C - IN 90</v>
      </c>
      <c r="D354" s="3100">
        <f>Acessórios!D239</f>
        <v>0</v>
      </c>
      <c r="E354" s="3100"/>
      <c r="F354" s="1661" t="str">
        <f>Acessórios!O239*100&amp;" %"</f>
        <v>0 %</v>
      </c>
      <c r="G354" s="1662" t="str">
        <f>Acessórios!P239</f>
        <v>NPA</v>
      </c>
      <c r="H354" s="1596" t="str">
        <f>Acessórios!Q239</f>
        <v/>
      </c>
      <c r="I354" s="1663" t="str">
        <f>Acessórios!R239</f>
        <v>NPA</v>
      </c>
      <c r="J354" s="1660" t="str">
        <f t="shared" si="17"/>
        <v>Sim</v>
      </c>
      <c r="K354" s="1664" t="str">
        <f t="shared" si="18"/>
        <v>x</v>
      </c>
      <c r="M354" s="2152" t="str">
        <f t="shared" si="19"/>
        <v>NPA</v>
      </c>
    </row>
    <row r="355" spans="1:13" ht="15" customHeight="1" x14ac:dyDescent="0.25">
      <c r="A355" s="1653" t="str">
        <f>Acessórios!A240</f>
        <v>13 x 18</v>
      </c>
      <c r="B355" s="1658">
        <f>Acessórios!B240</f>
        <v>71</v>
      </c>
      <c r="C355" s="1653" t="str">
        <f>IF(Acessórios!C240="Convencional","C - "&amp;convencional!$B$1,"M - "&amp;mamo!$B$1)</f>
        <v>C - IN 90</v>
      </c>
      <c r="D355" s="3100">
        <f>Acessórios!D240</f>
        <v>0</v>
      </c>
      <c r="E355" s="3100"/>
      <c r="F355" s="1661" t="str">
        <f>Acessórios!O240*100&amp;" %"</f>
        <v>0 %</v>
      </c>
      <c r="G355" s="1662" t="str">
        <f>Acessórios!P240</f>
        <v>NPA</v>
      </c>
      <c r="H355" s="1596" t="str">
        <f>Acessórios!Q240</f>
        <v/>
      </c>
      <c r="I355" s="1663" t="str">
        <f>Acessórios!R240</f>
        <v>NPA</v>
      </c>
      <c r="J355" s="1660" t="str">
        <f t="shared" si="17"/>
        <v>Sim</v>
      </c>
      <c r="K355" s="1664" t="str">
        <f t="shared" si="18"/>
        <v>x</v>
      </c>
      <c r="M355" s="2152" t="str">
        <f t="shared" si="19"/>
        <v>NPA</v>
      </c>
    </row>
    <row r="356" spans="1:13" ht="15" customHeight="1" x14ac:dyDescent="0.25">
      <c r="A356" s="1653" t="str">
        <f>Acessórios!A241</f>
        <v>13 x 18</v>
      </c>
      <c r="B356" s="1658">
        <f>Acessórios!B241</f>
        <v>72</v>
      </c>
      <c r="C356" s="1653" t="str">
        <f>IF(Acessórios!C241="Convencional","C - "&amp;convencional!$B$1,"M - "&amp;mamo!$B$1)</f>
        <v>C - IN 90</v>
      </c>
      <c r="D356" s="3100">
        <f>Acessórios!D241</f>
        <v>0</v>
      </c>
      <c r="E356" s="3100"/>
      <c r="F356" s="1661" t="str">
        <f>Acessórios!O241*100&amp;" %"</f>
        <v>0 %</v>
      </c>
      <c r="G356" s="1662" t="str">
        <f>Acessórios!P241</f>
        <v>NPA</v>
      </c>
      <c r="H356" s="1596" t="str">
        <f>Acessórios!Q241</f>
        <v/>
      </c>
      <c r="I356" s="1663" t="str">
        <f>Acessórios!R241</f>
        <v>NPA</v>
      </c>
      <c r="J356" s="1660" t="str">
        <f t="shared" si="17"/>
        <v>Sim</v>
      </c>
      <c r="K356" s="1664" t="str">
        <f t="shared" si="18"/>
        <v>x</v>
      </c>
      <c r="M356" s="2152" t="str">
        <f t="shared" si="19"/>
        <v>NPA</v>
      </c>
    </row>
    <row r="357" spans="1:13" ht="15" customHeight="1" x14ac:dyDescent="0.25">
      <c r="A357" s="1653" t="str">
        <f>Acessórios!A242</f>
        <v>13 x 18</v>
      </c>
      <c r="B357" s="1658">
        <f>Acessórios!B242</f>
        <v>73</v>
      </c>
      <c r="C357" s="1653" t="str">
        <f>IF(Acessórios!C242="Convencional","C - "&amp;convencional!$B$1,"M - "&amp;mamo!$B$1)</f>
        <v>C - IN 90</v>
      </c>
      <c r="D357" s="3100">
        <f>Acessórios!D242</f>
        <v>0</v>
      </c>
      <c r="E357" s="3100"/>
      <c r="F357" s="1661" t="str">
        <f>Acessórios!O242*100&amp;" %"</f>
        <v>0 %</v>
      </c>
      <c r="G357" s="1662" t="str">
        <f>Acessórios!P242</f>
        <v>NPA</v>
      </c>
      <c r="H357" s="1596" t="str">
        <f>Acessórios!Q242</f>
        <v/>
      </c>
      <c r="I357" s="1663" t="str">
        <f>Acessórios!R242</f>
        <v>NPA</v>
      </c>
      <c r="J357" s="1660" t="str">
        <f t="shared" si="17"/>
        <v>Sim</v>
      </c>
      <c r="K357" s="1664" t="str">
        <f t="shared" si="18"/>
        <v>x</v>
      </c>
      <c r="M357" s="2152" t="str">
        <f t="shared" si="19"/>
        <v>NPA</v>
      </c>
    </row>
    <row r="358" spans="1:13" ht="15" customHeight="1" x14ac:dyDescent="0.25">
      <c r="A358" s="1653" t="str">
        <f>Acessórios!A243</f>
        <v>13 x 18</v>
      </c>
      <c r="B358" s="1658">
        <f>Acessórios!B243</f>
        <v>74</v>
      </c>
      <c r="C358" s="1653" t="str">
        <f>IF(Acessórios!C243="Convencional","C - "&amp;convencional!$B$1,"M - "&amp;mamo!$B$1)</f>
        <v>C - IN 90</v>
      </c>
      <c r="D358" s="3100">
        <f>Acessórios!D243</f>
        <v>0</v>
      </c>
      <c r="E358" s="3100"/>
      <c r="F358" s="1661" t="str">
        <f>Acessórios!O243*100&amp;" %"</f>
        <v>0 %</v>
      </c>
      <c r="G358" s="1662" t="str">
        <f>Acessórios!P243</f>
        <v>NPA</v>
      </c>
      <c r="H358" s="1596" t="str">
        <f>Acessórios!Q243</f>
        <v/>
      </c>
      <c r="I358" s="1663" t="str">
        <f>Acessórios!R243</f>
        <v>NPA</v>
      </c>
      <c r="J358" s="1660" t="str">
        <f t="shared" si="17"/>
        <v>Sim</v>
      </c>
      <c r="K358" s="1664" t="str">
        <f t="shared" si="18"/>
        <v>x</v>
      </c>
      <c r="M358" s="2152" t="str">
        <f t="shared" si="19"/>
        <v>NPA</v>
      </c>
    </row>
    <row r="359" spans="1:13" ht="15" customHeight="1" x14ac:dyDescent="0.25">
      <c r="A359" s="1653" t="str">
        <f>Acessórios!A244</f>
        <v>13 x 18</v>
      </c>
      <c r="B359" s="1658">
        <f>Acessórios!B244</f>
        <v>75</v>
      </c>
      <c r="C359" s="1653" t="str">
        <f>IF(Acessórios!C244="Convencional","C - "&amp;convencional!$B$1,"M - "&amp;mamo!$B$1)</f>
        <v>C - IN 90</v>
      </c>
      <c r="D359" s="3100">
        <f>Acessórios!D244</f>
        <v>0</v>
      </c>
      <c r="E359" s="3100"/>
      <c r="F359" s="1661" t="str">
        <f>Acessórios!O244*100&amp;" %"</f>
        <v>0 %</v>
      </c>
      <c r="G359" s="1662" t="str">
        <f>Acessórios!P244</f>
        <v>NPA</v>
      </c>
      <c r="H359" s="1596" t="str">
        <f>Acessórios!Q244</f>
        <v/>
      </c>
      <c r="I359" s="1663" t="str">
        <f>Acessórios!R244</f>
        <v>NPA</v>
      </c>
      <c r="J359" s="1660" t="str">
        <f t="shared" si="17"/>
        <v>Sim</v>
      </c>
      <c r="K359" s="1664" t="str">
        <f t="shared" si="18"/>
        <v>x</v>
      </c>
      <c r="M359" s="2152" t="str">
        <f t="shared" si="19"/>
        <v>NPA</v>
      </c>
    </row>
    <row r="360" spans="1:13" ht="15" customHeight="1" x14ac:dyDescent="0.25">
      <c r="A360" s="1653" t="str">
        <f>Acessórios!A245</f>
        <v>13 x 18</v>
      </c>
      <c r="B360" s="1658">
        <f>Acessórios!B245</f>
        <v>76</v>
      </c>
      <c r="C360" s="1653" t="str">
        <f>IF(Acessórios!C245="Convencional","C - "&amp;convencional!$B$1,"M - "&amp;mamo!$B$1)</f>
        <v>C - IN 90</v>
      </c>
      <c r="D360" s="3100">
        <f>Acessórios!D245</f>
        <v>0</v>
      </c>
      <c r="E360" s="3100"/>
      <c r="F360" s="1661" t="str">
        <f>Acessórios!O245*100&amp;" %"</f>
        <v>0 %</v>
      </c>
      <c r="G360" s="1662" t="str">
        <f>Acessórios!P245</f>
        <v>NPA</v>
      </c>
      <c r="H360" s="1596" t="str">
        <f>Acessórios!Q245</f>
        <v/>
      </c>
      <c r="I360" s="1663" t="str">
        <f>Acessórios!R245</f>
        <v>NPA</v>
      </c>
      <c r="J360" s="1660" t="str">
        <f t="shared" si="17"/>
        <v>Sim</v>
      </c>
      <c r="K360" s="1664" t="str">
        <f t="shared" si="18"/>
        <v>x</v>
      </c>
      <c r="M360" s="2152" t="str">
        <f t="shared" si="19"/>
        <v>NPA</v>
      </c>
    </row>
    <row r="361" spans="1:13" ht="15" customHeight="1" x14ac:dyDescent="0.25">
      <c r="A361" s="1653" t="str">
        <f>Acessórios!A246</f>
        <v>13 x 18</v>
      </c>
      <c r="B361" s="1658">
        <f>Acessórios!B246</f>
        <v>77</v>
      </c>
      <c r="C361" s="1653" t="str">
        <f>IF(Acessórios!C246="Convencional","C - "&amp;convencional!$B$1,"M - "&amp;mamo!$B$1)</f>
        <v>C - IN 90</v>
      </c>
      <c r="D361" s="3100">
        <f>Acessórios!D246</f>
        <v>0</v>
      </c>
      <c r="E361" s="3100"/>
      <c r="F361" s="1661" t="str">
        <f>Acessórios!O246*100&amp;" %"</f>
        <v>0 %</v>
      </c>
      <c r="G361" s="1662" t="str">
        <f>Acessórios!P246</f>
        <v>NPA</v>
      </c>
      <c r="H361" s="1596" t="str">
        <f>Acessórios!Q246</f>
        <v/>
      </c>
      <c r="I361" s="1663" t="str">
        <f>Acessórios!R246</f>
        <v>NPA</v>
      </c>
      <c r="J361" s="1660" t="str">
        <f t="shared" si="17"/>
        <v>Sim</v>
      </c>
      <c r="K361" s="1664" t="str">
        <f t="shared" si="18"/>
        <v>x</v>
      </c>
      <c r="M361" s="2152" t="str">
        <f t="shared" si="19"/>
        <v>NPA</v>
      </c>
    </row>
    <row r="362" spans="1:13" ht="15" customHeight="1" x14ac:dyDescent="0.25">
      <c r="A362" s="1653" t="str">
        <f>Acessórios!A247</f>
        <v>13 x 18</v>
      </c>
      <c r="B362" s="1658">
        <f>Acessórios!B247</f>
        <v>78</v>
      </c>
      <c r="C362" s="1653" t="str">
        <f>IF(Acessórios!C247="Convencional","C - "&amp;convencional!$B$1,"M - "&amp;mamo!$B$1)</f>
        <v>C - IN 90</v>
      </c>
      <c r="D362" s="3100">
        <f>Acessórios!D247</f>
        <v>0</v>
      </c>
      <c r="E362" s="3100"/>
      <c r="F362" s="1661" t="str">
        <f>Acessórios!O247*100&amp;" %"</f>
        <v>0 %</v>
      </c>
      <c r="G362" s="1662" t="str">
        <f>Acessórios!P247</f>
        <v>NPA</v>
      </c>
      <c r="H362" s="1596" t="str">
        <f>Acessórios!Q247</f>
        <v/>
      </c>
      <c r="I362" s="1663" t="str">
        <f>Acessórios!R247</f>
        <v>NPA</v>
      </c>
      <c r="J362" s="1660" t="str">
        <f t="shared" si="17"/>
        <v>Sim</v>
      </c>
      <c r="K362" s="1664" t="str">
        <f t="shared" si="18"/>
        <v>x</v>
      </c>
      <c r="M362" s="2152" t="str">
        <f t="shared" si="19"/>
        <v>NPA</v>
      </c>
    </row>
    <row r="363" spans="1:13" ht="15" customHeight="1" x14ac:dyDescent="0.25">
      <c r="A363" s="1653" t="str">
        <f>Acessórios!A248</f>
        <v>13 x 18</v>
      </c>
      <c r="B363" s="1658">
        <f>Acessórios!B248</f>
        <v>79</v>
      </c>
      <c r="C363" s="1653" t="str">
        <f>IF(Acessórios!C248="Convencional","C - "&amp;convencional!$B$1,"M - "&amp;mamo!$B$1)</f>
        <v>C - IN 90</v>
      </c>
      <c r="D363" s="3100">
        <f>Acessórios!D248</f>
        <v>0</v>
      </c>
      <c r="E363" s="3100"/>
      <c r="F363" s="1661" t="str">
        <f>Acessórios!O248*100&amp;" %"</f>
        <v>0 %</v>
      </c>
      <c r="G363" s="1662" t="str">
        <f>Acessórios!P248</f>
        <v>NPA</v>
      </c>
      <c r="H363" s="1596" t="str">
        <f>Acessórios!Q248</f>
        <v/>
      </c>
      <c r="I363" s="1663" t="str">
        <f>Acessórios!R248</f>
        <v>NPA</v>
      </c>
      <c r="J363" s="1660" t="str">
        <f t="shared" si="17"/>
        <v>Sim</v>
      </c>
      <c r="K363" s="1664" t="str">
        <f t="shared" si="18"/>
        <v>x</v>
      </c>
      <c r="M363" s="2152" t="str">
        <f t="shared" si="19"/>
        <v>NPA</v>
      </c>
    </row>
    <row r="364" spans="1:13" ht="15" customHeight="1" x14ac:dyDescent="0.25">
      <c r="A364" s="1653" t="str">
        <f>Acessórios!A249</f>
        <v>13 x 18</v>
      </c>
      <c r="B364" s="1658">
        <f>Acessórios!B249</f>
        <v>80</v>
      </c>
      <c r="C364" s="1653" t="str">
        <f>IF(Acessórios!C249="Convencional","C - "&amp;convencional!$B$1,"M - "&amp;mamo!$B$1)</f>
        <v>C - IN 90</v>
      </c>
      <c r="D364" s="3100">
        <f>Acessórios!D249</f>
        <v>0</v>
      </c>
      <c r="E364" s="3100"/>
      <c r="F364" s="1661" t="str">
        <f>Acessórios!O249*100&amp;" %"</f>
        <v>0 %</v>
      </c>
      <c r="G364" s="1662" t="str">
        <f>Acessórios!P249</f>
        <v>NPA</v>
      </c>
      <c r="H364" s="1596" t="str">
        <f>Acessórios!Q249</f>
        <v/>
      </c>
      <c r="I364" s="1663" t="str">
        <f>Acessórios!R249</f>
        <v>NPA</v>
      </c>
      <c r="J364" s="1660" t="str">
        <f t="shared" si="17"/>
        <v>Sim</v>
      </c>
      <c r="K364" s="1664" t="str">
        <f t="shared" si="18"/>
        <v>x</v>
      </c>
      <c r="M364" s="2152" t="str">
        <f t="shared" si="19"/>
        <v>NPA</v>
      </c>
    </row>
    <row r="365" spans="1:13" ht="15" customHeight="1" x14ac:dyDescent="0.25">
      <c r="A365" s="1600" t="s">
        <v>1776</v>
      </c>
      <c r="K365" s="576" t="str">
        <f>K277</f>
        <v>x</v>
      </c>
    </row>
    <row r="366" spans="1:13" ht="15" customHeight="1" x14ac:dyDescent="0.25">
      <c r="K366" s="576" t="str">
        <f>K365</f>
        <v>x</v>
      </c>
    </row>
    <row r="367" spans="1:13" ht="15" customHeight="1" x14ac:dyDescent="0.25">
      <c r="A367" s="281" t="str">
        <f>L367&amp;". Razão Contraste-Ruído para mamografia"</f>
        <v>2. Razão Contraste-Ruído para mamografia</v>
      </c>
      <c r="K367" s="34" t="s">
        <v>649</v>
      </c>
      <c r="L367" s="34">
        <f>IF(K367="",L277+1,L277)</f>
        <v>2</v>
      </c>
    </row>
    <row r="368" spans="1:13" s="2118" customFormat="1" ht="15" customHeight="1" x14ac:dyDescent="0.25">
      <c r="A368" s="2118" t="s">
        <v>2344</v>
      </c>
      <c r="B368" s="2468" t="s">
        <v>2693</v>
      </c>
      <c r="C368" s="2468"/>
      <c r="D368" s="2468"/>
      <c r="E368" s="2468"/>
      <c r="F368" s="2468"/>
      <c r="G368" s="2468"/>
      <c r="H368" s="2468"/>
      <c r="I368" s="2468"/>
      <c r="J368" s="2468"/>
      <c r="K368" s="2119" t="str">
        <f t="shared" ref="K368:K382" si="20">K366</f>
        <v>x</v>
      </c>
    </row>
    <row r="369" spans="1:11" s="2118" customFormat="1" ht="15" customHeight="1" x14ac:dyDescent="0.25">
      <c r="B369" s="2468"/>
      <c r="C369" s="2468"/>
      <c r="D369" s="2468"/>
      <c r="E369" s="2468"/>
      <c r="F369" s="2468"/>
      <c r="G369" s="2468"/>
      <c r="H369" s="2468"/>
      <c r="I369" s="2468"/>
      <c r="J369" s="2468"/>
      <c r="K369" s="2119" t="str">
        <f t="shared" si="20"/>
        <v>x</v>
      </c>
    </row>
    <row r="370" spans="1:11" s="2118" customFormat="1" ht="15" customHeight="1" x14ac:dyDescent="0.25">
      <c r="A370" s="2118" t="s">
        <v>2699</v>
      </c>
      <c r="K370" s="2119" t="str">
        <f t="shared" si="20"/>
        <v>x</v>
      </c>
    </row>
    <row r="371" spans="1:11" s="2118" customFormat="1" ht="15" customHeight="1" x14ac:dyDescent="0.25">
      <c r="K371" s="2119" t="str">
        <f t="shared" si="20"/>
        <v>x</v>
      </c>
    </row>
    <row r="372" spans="1:11" s="2118" customFormat="1" ht="15" customHeight="1" x14ac:dyDescent="0.25">
      <c r="A372" s="3090" t="s">
        <v>2438</v>
      </c>
      <c r="B372" s="3090"/>
      <c r="C372" s="3090"/>
      <c r="D372" s="3090" t="s">
        <v>2439</v>
      </c>
      <c r="E372" s="3090"/>
      <c r="F372" s="3090"/>
      <c r="G372" s="3090" t="s">
        <v>2440</v>
      </c>
      <c r="H372" s="3090"/>
      <c r="I372" s="3090"/>
      <c r="K372" s="2119" t="str">
        <f t="shared" si="20"/>
        <v>x</v>
      </c>
    </row>
    <row r="373" spans="1:11" s="2118" customFormat="1" ht="15" customHeight="1" x14ac:dyDescent="0.25">
      <c r="A373" s="3090">
        <v>2</v>
      </c>
      <c r="B373" s="3090"/>
      <c r="C373" s="3090"/>
      <c r="D373" s="3090" t="s">
        <v>2441</v>
      </c>
      <c r="E373" s="3090"/>
      <c r="F373" s="3090"/>
      <c r="G373" s="3090" t="s">
        <v>2448</v>
      </c>
      <c r="H373" s="3090"/>
      <c r="I373" s="3090"/>
      <c r="K373" s="2119" t="str">
        <f t="shared" si="20"/>
        <v>x</v>
      </c>
    </row>
    <row r="374" spans="1:11" s="2118" customFormat="1" ht="15" customHeight="1" x14ac:dyDescent="0.25">
      <c r="A374" s="3090">
        <v>3</v>
      </c>
      <c r="B374" s="3090"/>
      <c r="C374" s="3090"/>
      <c r="D374" s="3090" t="s">
        <v>2442</v>
      </c>
      <c r="E374" s="3090"/>
      <c r="F374" s="3090"/>
      <c r="G374" s="3090" t="s">
        <v>2449</v>
      </c>
      <c r="H374" s="3090"/>
      <c r="I374" s="3090"/>
      <c r="K374" s="2119" t="str">
        <f t="shared" si="20"/>
        <v>x</v>
      </c>
    </row>
    <row r="375" spans="1:11" s="2118" customFormat="1" ht="15" customHeight="1" x14ac:dyDescent="0.25">
      <c r="A375" s="3090">
        <v>4</v>
      </c>
      <c r="B375" s="3090"/>
      <c r="C375" s="3090"/>
      <c r="D375" s="3090" t="s">
        <v>2443</v>
      </c>
      <c r="E375" s="3090"/>
      <c r="F375" s="3090"/>
      <c r="G375" s="3090" t="s">
        <v>2450</v>
      </c>
      <c r="H375" s="3090"/>
      <c r="I375" s="3090"/>
      <c r="K375" s="2119" t="str">
        <f t="shared" si="20"/>
        <v>x</v>
      </c>
    </row>
    <row r="376" spans="1:11" s="2118" customFormat="1" ht="15" customHeight="1" x14ac:dyDescent="0.25">
      <c r="A376" s="3090">
        <v>4.5</v>
      </c>
      <c r="B376" s="3090"/>
      <c r="C376" s="3090"/>
      <c r="D376" s="3090" t="s">
        <v>2444</v>
      </c>
      <c r="E376" s="3090"/>
      <c r="F376" s="3090"/>
      <c r="G376" s="3090" t="s">
        <v>2451</v>
      </c>
      <c r="H376" s="3090"/>
      <c r="I376" s="3090"/>
      <c r="K376" s="2119" t="str">
        <f t="shared" si="20"/>
        <v>x</v>
      </c>
    </row>
    <row r="377" spans="1:11" s="2118" customFormat="1" ht="15" customHeight="1" x14ac:dyDescent="0.25">
      <c r="A377" s="3090">
        <v>5</v>
      </c>
      <c r="B377" s="3090"/>
      <c r="C377" s="3090"/>
      <c r="D377" s="3090" t="s">
        <v>2445</v>
      </c>
      <c r="E377" s="3090"/>
      <c r="F377" s="3090"/>
      <c r="G377" s="3090" t="s">
        <v>2453</v>
      </c>
      <c r="H377" s="3090"/>
      <c r="I377" s="3090"/>
      <c r="K377" s="2119" t="str">
        <f t="shared" si="20"/>
        <v>x</v>
      </c>
    </row>
    <row r="378" spans="1:11" s="2118" customFormat="1" ht="15" customHeight="1" x14ac:dyDescent="0.25">
      <c r="A378" s="3090">
        <v>6</v>
      </c>
      <c r="B378" s="3090"/>
      <c r="C378" s="3090"/>
      <c r="D378" s="3090" t="s">
        <v>2446</v>
      </c>
      <c r="E378" s="3090"/>
      <c r="F378" s="3090"/>
      <c r="G378" s="3090" t="s">
        <v>2454</v>
      </c>
      <c r="H378" s="3090"/>
      <c r="I378" s="3090"/>
      <c r="K378" s="2119" t="str">
        <f t="shared" si="20"/>
        <v>x</v>
      </c>
    </row>
    <row r="379" spans="1:11" s="2118" customFormat="1" ht="15" customHeight="1" x14ac:dyDescent="0.25">
      <c r="A379" s="3090">
        <v>7</v>
      </c>
      <c r="B379" s="3090"/>
      <c r="C379" s="3090"/>
      <c r="D379" s="3090" t="s">
        <v>2447</v>
      </c>
      <c r="E379" s="3090"/>
      <c r="F379" s="3090"/>
      <c r="G379" s="3090" t="s">
        <v>2452</v>
      </c>
      <c r="H379" s="3090"/>
      <c r="I379" s="3090"/>
      <c r="K379" s="2119" t="str">
        <f t="shared" si="20"/>
        <v>x</v>
      </c>
    </row>
    <row r="380" spans="1:11" s="2118" customFormat="1" ht="15" customHeight="1" x14ac:dyDescent="0.25">
      <c r="A380" s="2061"/>
      <c r="B380" s="2061"/>
      <c r="C380" s="2061"/>
      <c r="D380" s="2061"/>
      <c r="E380" s="2061"/>
      <c r="F380" s="2061"/>
      <c r="G380" s="2061"/>
      <c r="H380" s="2061"/>
      <c r="I380" s="2061"/>
      <c r="K380" s="2119" t="str">
        <f t="shared" si="20"/>
        <v>x</v>
      </c>
    </row>
    <row r="381" spans="1:11" s="2118" customFormat="1" ht="15" customHeight="1" x14ac:dyDescent="0.25">
      <c r="A381" s="2118" t="s">
        <v>2685</v>
      </c>
      <c r="B381" s="34"/>
      <c r="C381" s="2061"/>
      <c r="D381" s="2061"/>
      <c r="E381" s="2061"/>
      <c r="F381" s="2061"/>
      <c r="G381" s="2061"/>
      <c r="H381" s="2061"/>
      <c r="I381" s="2061"/>
      <c r="K381" s="2119" t="str">
        <f t="shared" si="20"/>
        <v>x</v>
      </c>
    </row>
    <row r="382" spans="1:11" s="2118" customFormat="1" ht="15" customHeight="1" x14ac:dyDescent="0.25">
      <c r="K382" s="2119" t="str">
        <f t="shared" si="20"/>
        <v>x</v>
      </c>
    </row>
    <row r="383" spans="1:11" s="2118" customFormat="1" ht="15" hidden="1" customHeight="1" x14ac:dyDescent="0.25">
      <c r="K383" s="2119"/>
    </row>
    <row r="384" spans="1:11" s="2118" customFormat="1" ht="15" hidden="1" customHeight="1" x14ac:dyDescent="0.25">
      <c r="K384" s="2119"/>
    </row>
    <row r="385" spans="1:12" s="2118" customFormat="1" ht="15" hidden="1" customHeight="1" x14ac:dyDescent="0.25">
      <c r="K385" s="2119"/>
    </row>
    <row r="386" spans="1:12" s="2118" customFormat="1" ht="15" hidden="1" customHeight="1" x14ac:dyDescent="0.25">
      <c r="K386" s="2119"/>
    </row>
    <row r="387" spans="1:12" s="2118" customFormat="1" ht="15" hidden="1" customHeight="1" x14ac:dyDescent="0.25">
      <c r="K387" s="2119"/>
    </row>
    <row r="388" spans="1:12" s="2118" customFormat="1" ht="15" hidden="1" customHeight="1" x14ac:dyDescent="0.25">
      <c r="K388" s="2119"/>
    </row>
    <row r="389" spans="1:12" s="2118" customFormat="1" ht="15" hidden="1" customHeight="1" x14ac:dyDescent="0.25">
      <c r="K389" s="2119"/>
    </row>
    <row r="390" spans="1:12" s="2118" customFormat="1" ht="15" hidden="1" customHeight="1" x14ac:dyDescent="0.25">
      <c r="K390" s="2119"/>
    </row>
    <row r="391" spans="1:12" s="2118" customFormat="1" ht="15" hidden="1" customHeight="1" x14ac:dyDescent="0.25">
      <c r="K391" s="2119"/>
    </row>
    <row r="392" spans="1:12" s="2118" customFormat="1" ht="15" hidden="1" customHeight="1" x14ac:dyDescent="0.25">
      <c r="K392" s="2119"/>
    </row>
    <row r="393" spans="1:12" s="2118" customFormat="1" ht="15" hidden="1" customHeight="1" x14ac:dyDescent="0.25">
      <c r="K393" s="2119" t="str">
        <f>K370</f>
        <v>x</v>
      </c>
    </row>
    <row r="394" spans="1:12" ht="15" customHeight="1" x14ac:dyDescent="0.25">
      <c r="A394" s="1652" t="s">
        <v>776</v>
      </c>
      <c r="B394" s="1652" t="s">
        <v>1759</v>
      </c>
      <c r="C394" s="1654" t="s">
        <v>77</v>
      </c>
      <c r="D394" s="1656" t="s">
        <v>2098</v>
      </c>
      <c r="E394" s="1654" t="s">
        <v>77</v>
      </c>
      <c r="F394" s="1656" t="s">
        <v>2098</v>
      </c>
      <c r="G394" s="1966" t="str">
        <f>mamo!$B$1</f>
        <v>IN 92</v>
      </c>
      <c r="K394" s="2119" t="str">
        <f>K382</f>
        <v>x</v>
      </c>
    </row>
    <row r="395" spans="1:12" ht="15" customHeight="1" x14ac:dyDescent="0.25">
      <c r="A395" s="1653" t="str">
        <f>Acessórios!A170</f>
        <v>13 x 18</v>
      </c>
      <c r="B395" s="1658">
        <f>Acessórios!B170</f>
        <v>1</v>
      </c>
      <c r="C395" s="1659">
        <f>Acessórios!W170</f>
        <v>2</v>
      </c>
      <c r="D395" s="1655" t="e">
        <f>Acessórios!AK170&amp;" %"</f>
        <v>#DIV/0!</v>
      </c>
      <c r="E395" s="1657">
        <f>Acessórios!AO170</f>
        <v>4.5</v>
      </c>
      <c r="F395" s="1661" t="e">
        <f>ROUND(Acessórios!BB170/P395,1)&amp;" %"</f>
        <v>#DIV/0!</v>
      </c>
      <c r="G395" s="1660" t="str">
        <f>IF(OR(Acessórios!AN170="Restrição",Acessórios!BF170="Restrição",Acessórios!BW170="Restrição"),"Restrição",IF(OR(Acessórios!AN170="Não",Acessórios!BF170="Não",Acessórios!BW170="Não"),"Não","Sim"))</f>
        <v>Sim</v>
      </c>
      <c r="K395" s="2054" t="s">
        <v>649</v>
      </c>
      <c r="L395" s="34" t="str">
        <f>IF(OR(G395="Não",G395="Restrição"),"Não Conforme",IF(G395="Sim","Conforme","NPA"))</f>
        <v>Conforme</v>
      </c>
    </row>
    <row r="396" spans="1:12" ht="15" customHeight="1" x14ac:dyDescent="0.25">
      <c r="A396" s="1653" t="str">
        <f>Acessórios!A171</f>
        <v>13 x 18</v>
      </c>
      <c r="B396" s="1658">
        <f>Acessórios!B171</f>
        <v>2</v>
      </c>
      <c r="C396" s="1659">
        <f>Acessórios!W171</f>
        <v>2</v>
      </c>
      <c r="D396" s="1957" t="e">
        <f>Acessórios!AK171&amp;" %"</f>
        <v>#DIV/0!</v>
      </c>
      <c r="E396" s="1657">
        <f>Acessórios!AO171</f>
        <v>4.5</v>
      </c>
      <c r="F396" s="1959" t="e">
        <f>ROUND(Acessórios!BB171/P396,1)&amp;" %"</f>
        <v>#DIV/0!</v>
      </c>
      <c r="G396" s="1660" t="str">
        <f>IF(OR(Acessórios!AN171="Restrição",Acessórios!BF171="Restrição",Acessórios!BW171="Restrição"),"Restrição",IF(OR(Acessórios!AN171="Não",Acessórios!BF171="Não",Acessórios!BW171="Não"),"Não","Sim"))</f>
        <v>Sim</v>
      </c>
      <c r="K396" s="2054" t="s">
        <v>649</v>
      </c>
      <c r="L396" s="2118" t="str">
        <f t="shared" ref="L396:L459" si="21">IF(OR(G396="Não",G396="Restrição"),"Não Conforme",IF(G396="Sim","Conforme","NPA"))</f>
        <v>Conforme</v>
      </c>
    </row>
    <row r="397" spans="1:12" ht="15" customHeight="1" x14ac:dyDescent="0.25">
      <c r="A397" s="1653" t="str">
        <f>Acessórios!A172</f>
        <v>13 x 18</v>
      </c>
      <c r="B397" s="1658">
        <f>Acessórios!B172</f>
        <v>3</v>
      </c>
      <c r="C397" s="1659">
        <f>Acessórios!W172</f>
        <v>2</v>
      </c>
      <c r="D397" s="1957" t="e">
        <f>Acessórios!AK172&amp;" %"</f>
        <v>#DIV/0!</v>
      </c>
      <c r="E397" s="1657">
        <f>Acessórios!AO172</f>
        <v>4.5</v>
      </c>
      <c r="F397" s="1959" t="e">
        <f>ROUND(Acessórios!BB172/P397,1)&amp;" %"</f>
        <v>#DIV/0!</v>
      </c>
      <c r="G397" s="1660" t="str">
        <f>IF(OR(Acessórios!AN172="Restrição",Acessórios!BF172="Restrição",Acessórios!BW172="Restrição"),"Restrição",IF(OR(Acessórios!AN172="Não",Acessórios!BF172="Não",Acessórios!BW172="Não"),"Não","Sim"))</f>
        <v>Sim</v>
      </c>
      <c r="K397" s="2054" t="s">
        <v>649</v>
      </c>
      <c r="L397" s="2118" t="str">
        <f t="shared" si="21"/>
        <v>Conforme</v>
      </c>
    </row>
    <row r="398" spans="1:12" ht="15" customHeight="1" x14ac:dyDescent="0.25">
      <c r="A398" s="1653" t="str">
        <f>Acessórios!A173</f>
        <v>13 x 18</v>
      </c>
      <c r="B398" s="1658">
        <f>Acessórios!B173</f>
        <v>4</v>
      </c>
      <c r="C398" s="1659">
        <f>Acessórios!W173</f>
        <v>2</v>
      </c>
      <c r="D398" s="1957" t="e">
        <f>Acessórios!AK173&amp;" %"</f>
        <v>#DIV/0!</v>
      </c>
      <c r="E398" s="1657">
        <f>Acessórios!AO173</f>
        <v>4.5</v>
      </c>
      <c r="F398" s="1959" t="e">
        <f>ROUND(Acessórios!BB173/P398,1)&amp;" %"</f>
        <v>#DIV/0!</v>
      </c>
      <c r="G398" s="1660" t="str">
        <f>IF(OR(Acessórios!AN173="Restrição",Acessórios!BF173="Restrição",Acessórios!BW173="Restrição"),"Restrição",IF(OR(Acessórios!AN173="Não",Acessórios!BF173="Não",Acessórios!BW173="Não"),"Não","Sim"))</f>
        <v>Sim</v>
      </c>
      <c r="K398" s="2054" t="s">
        <v>649</v>
      </c>
      <c r="L398" s="2118" t="str">
        <f t="shared" si="21"/>
        <v>Conforme</v>
      </c>
    </row>
    <row r="399" spans="1:12" ht="15" customHeight="1" x14ac:dyDescent="0.25">
      <c r="A399" s="1653" t="str">
        <f>Acessórios!A174</f>
        <v>13 x 18</v>
      </c>
      <c r="B399" s="1658">
        <f>Acessórios!B174</f>
        <v>5</v>
      </c>
      <c r="C399" s="1659">
        <f>Acessórios!W174</f>
        <v>2</v>
      </c>
      <c r="D399" s="1957" t="e">
        <f>Acessórios!AK174&amp;" %"</f>
        <v>#DIV/0!</v>
      </c>
      <c r="E399" s="1657">
        <f>Acessórios!AO174</f>
        <v>4.5</v>
      </c>
      <c r="F399" s="1959" t="e">
        <f>ROUND(Acessórios!BB174/P399,1)&amp;" %"</f>
        <v>#DIV/0!</v>
      </c>
      <c r="G399" s="1660" t="str">
        <f>IF(OR(Acessórios!AN174="Restrição",Acessórios!BF174="Restrição",Acessórios!BW174="Restrição"),"Restrição",IF(OR(Acessórios!AN174="Não",Acessórios!BF174="Não",Acessórios!BW174="Não"),"Não","Sim"))</f>
        <v>Sim</v>
      </c>
      <c r="K399" s="2054" t="s">
        <v>649</v>
      </c>
      <c r="L399" s="2118" t="str">
        <f t="shared" si="21"/>
        <v>Conforme</v>
      </c>
    </row>
    <row r="400" spans="1:12" ht="15" customHeight="1" x14ac:dyDescent="0.25">
      <c r="A400" s="1653" t="str">
        <f>Acessórios!A175</f>
        <v>13 x 18</v>
      </c>
      <c r="B400" s="1658">
        <f>Acessórios!B175</f>
        <v>6</v>
      </c>
      <c r="C400" s="1659">
        <f>Acessórios!W175</f>
        <v>2</v>
      </c>
      <c r="D400" s="1957" t="e">
        <f>Acessórios!AK175&amp;" %"</f>
        <v>#DIV/0!</v>
      </c>
      <c r="E400" s="1657">
        <f>Acessórios!AO175</f>
        <v>4.5</v>
      </c>
      <c r="F400" s="1959" t="e">
        <f>ROUND(Acessórios!BB175/P400,1)&amp;" %"</f>
        <v>#DIV/0!</v>
      </c>
      <c r="G400" s="1660" t="str">
        <f>IF(OR(Acessórios!AN175="Restrição",Acessórios!BF175="Restrição",Acessórios!BW175="Restrição"),"Restrição",IF(OR(Acessórios!AN175="Não",Acessórios!BF175="Não",Acessórios!BW175="Não"),"Não","Sim"))</f>
        <v>Sim</v>
      </c>
      <c r="K400" s="2054" t="s">
        <v>649</v>
      </c>
      <c r="L400" s="2118" t="str">
        <f t="shared" si="21"/>
        <v>Conforme</v>
      </c>
    </row>
    <row r="401" spans="1:12" ht="15" customHeight="1" x14ac:dyDescent="0.25">
      <c r="A401" s="1653" t="str">
        <f>Acessórios!A176</f>
        <v>13 x 18</v>
      </c>
      <c r="B401" s="1658">
        <f>Acessórios!B176</f>
        <v>7</v>
      </c>
      <c r="C401" s="1659">
        <f>Acessórios!W176</f>
        <v>2</v>
      </c>
      <c r="D401" s="1957" t="e">
        <f>Acessórios!AK176&amp;" %"</f>
        <v>#DIV/0!</v>
      </c>
      <c r="E401" s="1657">
        <f>Acessórios!AO176</f>
        <v>4.5</v>
      </c>
      <c r="F401" s="1959" t="e">
        <f>ROUND(Acessórios!BB176/P401,1)&amp;" %"</f>
        <v>#DIV/0!</v>
      </c>
      <c r="G401" s="1660" t="str">
        <f>IF(OR(Acessórios!AN176="Restrição",Acessórios!BF176="Restrição",Acessórios!BW176="Restrição"),"Restrição",IF(OR(Acessórios!AN176="Não",Acessórios!BF176="Não",Acessórios!BW176="Não"),"Não","Sim"))</f>
        <v>Sim</v>
      </c>
      <c r="K401" s="2054" t="s">
        <v>649</v>
      </c>
      <c r="L401" s="2118" t="str">
        <f t="shared" si="21"/>
        <v>Conforme</v>
      </c>
    </row>
    <row r="402" spans="1:12" ht="15" customHeight="1" x14ac:dyDescent="0.25">
      <c r="A402" s="1653" t="str">
        <f>Acessórios!A177</f>
        <v>13 x 18</v>
      </c>
      <c r="B402" s="1658">
        <f>Acessórios!B177</f>
        <v>8</v>
      </c>
      <c r="C402" s="1659">
        <f>Acessórios!W177</f>
        <v>2</v>
      </c>
      <c r="D402" s="1957" t="e">
        <f>Acessórios!AK177&amp;" %"</f>
        <v>#DIV/0!</v>
      </c>
      <c r="E402" s="1657">
        <f>Acessórios!AO177</f>
        <v>4.5</v>
      </c>
      <c r="F402" s="1959" t="e">
        <f>ROUND(Acessórios!BB177/P402,1)&amp;" %"</f>
        <v>#DIV/0!</v>
      </c>
      <c r="G402" s="1660" t="str">
        <f>IF(OR(Acessórios!AN177="Restrição",Acessórios!BF177="Restrição",Acessórios!BW177="Restrição"),"Restrição",IF(OR(Acessórios!AN177="Não",Acessórios!BF177="Não",Acessórios!BW177="Não"),"Não","Sim"))</f>
        <v>Sim</v>
      </c>
      <c r="K402" s="2054" t="s">
        <v>649</v>
      </c>
      <c r="L402" s="2118" t="str">
        <f t="shared" si="21"/>
        <v>Conforme</v>
      </c>
    </row>
    <row r="403" spans="1:12" ht="15" customHeight="1" x14ac:dyDescent="0.25">
      <c r="A403" s="1653" t="str">
        <f>Acessórios!A178</f>
        <v>13 x 18</v>
      </c>
      <c r="B403" s="1658">
        <f>Acessórios!B178</f>
        <v>9</v>
      </c>
      <c r="C403" s="1659">
        <f>Acessórios!W178</f>
        <v>2</v>
      </c>
      <c r="D403" s="1957" t="e">
        <f>Acessórios!AK178&amp;" %"</f>
        <v>#DIV/0!</v>
      </c>
      <c r="E403" s="1657">
        <f>Acessórios!AO178</f>
        <v>4.5</v>
      </c>
      <c r="F403" s="1959" t="e">
        <f>ROUND(Acessórios!BB178/P403,1)&amp;" %"</f>
        <v>#DIV/0!</v>
      </c>
      <c r="G403" s="1660" t="str">
        <f>IF(OR(Acessórios!AN178="Restrição",Acessórios!BF178="Restrição",Acessórios!BW178="Restrição"),"Restrição",IF(OR(Acessórios!AN178="Não",Acessórios!BF178="Não",Acessórios!BW178="Não"),"Não","Sim"))</f>
        <v>Sim</v>
      </c>
      <c r="K403" s="2054" t="s">
        <v>649</v>
      </c>
      <c r="L403" s="2118" t="str">
        <f t="shared" si="21"/>
        <v>Conforme</v>
      </c>
    </row>
    <row r="404" spans="1:12" ht="15" customHeight="1" x14ac:dyDescent="0.25">
      <c r="A404" s="1653" t="str">
        <f>Acessórios!A179</f>
        <v>13 x 18</v>
      </c>
      <c r="B404" s="1658">
        <f>Acessórios!B179</f>
        <v>10</v>
      </c>
      <c r="C404" s="1659">
        <f>Acessórios!W179</f>
        <v>2</v>
      </c>
      <c r="D404" s="1957" t="e">
        <f>Acessórios!AK179&amp;" %"</f>
        <v>#DIV/0!</v>
      </c>
      <c r="E404" s="1657">
        <f>Acessórios!AO179</f>
        <v>4.5</v>
      </c>
      <c r="F404" s="1959" t="e">
        <f>ROUND(Acessórios!BB179/P404,1)&amp;" %"</f>
        <v>#DIV/0!</v>
      </c>
      <c r="G404" s="1660" t="str">
        <f>IF(OR(Acessórios!AN179="Restrição",Acessórios!BF179="Restrição",Acessórios!BW179="Restrição"),"Restrição",IF(OR(Acessórios!AN179="Não",Acessórios!BF179="Não",Acessórios!BW179="Não"),"Não","Sim"))</f>
        <v>Sim</v>
      </c>
      <c r="K404" s="2054" t="s">
        <v>649</v>
      </c>
      <c r="L404" s="2118" t="str">
        <f t="shared" si="21"/>
        <v>Conforme</v>
      </c>
    </row>
    <row r="405" spans="1:12" ht="15" customHeight="1" x14ac:dyDescent="0.25">
      <c r="A405" s="1653" t="str">
        <f>Acessórios!A180</f>
        <v>13 x 18</v>
      </c>
      <c r="B405" s="1658">
        <f>Acessórios!B180</f>
        <v>11</v>
      </c>
      <c r="C405" s="1659">
        <f>Acessórios!W180</f>
        <v>2</v>
      </c>
      <c r="D405" s="1957" t="e">
        <f>Acessórios!AK180&amp;" %"</f>
        <v>#DIV/0!</v>
      </c>
      <c r="E405" s="1657">
        <f>Acessórios!AO180</f>
        <v>4.5</v>
      </c>
      <c r="F405" s="1959" t="e">
        <f>ROUND(Acessórios!BB180/P405,1)&amp;" %"</f>
        <v>#DIV/0!</v>
      </c>
      <c r="G405" s="1660" t="str">
        <f>IF(OR(Acessórios!AN180="Restrição",Acessórios!BF180="Restrição",Acessórios!BW180="Restrição"),"Restrição",IF(OR(Acessórios!AN180="Não",Acessórios!BF180="Não",Acessórios!BW180="Não"),"Não","Sim"))</f>
        <v>Sim</v>
      </c>
      <c r="K405" s="2054" t="s">
        <v>649</v>
      </c>
      <c r="L405" s="2118" t="str">
        <f t="shared" si="21"/>
        <v>Conforme</v>
      </c>
    </row>
    <row r="406" spans="1:12" ht="15" customHeight="1" x14ac:dyDescent="0.25">
      <c r="A406" s="1653" t="str">
        <f>Acessórios!A181</f>
        <v>13 x 18</v>
      </c>
      <c r="B406" s="1658">
        <f>Acessórios!B181</f>
        <v>12</v>
      </c>
      <c r="C406" s="1659">
        <f>Acessórios!W181</f>
        <v>2</v>
      </c>
      <c r="D406" s="1957" t="e">
        <f>Acessórios!AK181&amp;" %"</f>
        <v>#DIV/0!</v>
      </c>
      <c r="E406" s="1657">
        <f>Acessórios!AO181</f>
        <v>4.5</v>
      </c>
      <c r="F406" s="1959" t="e">
        <f>ROUND(Acessórios!BB181/P406,1)&amp;" %"</f>
        <v>#DIV/0!</v>
      </c>
      <c r="G406" s="1660" t="str">
        <f>IF(OR(Acessórios!AN181="Restrição",Acessórios!BF181="Restrição",Acessórios!BW181="Restrição"),"Restrição",IF(OR(Acessórios!AN181="Não",Acessórios!BF181="Não",Acessórios!BW181="Não"),"Não","Sim"))</f>
        <v>Sim</v>
      </c>
      <c r="K406" s="2054" t="s">
        <v>649</v>
      </c>
      <c r="L406" s="2118" t="str">
        <f t="shared" si="21"/>
        <v>Conforme</v>
      </c>
    </row>
    <row r="407" spans="1:12" ht="15" customHeight="1" x14ac:dyDescent="0.25">
      <c r="A407" s="1653" t="str">
        <f>Acessórios!A182</f>
        <v>13 x 18</v>
      </c>
      <c r="B407" s="1658">
        <f>Acessórios!B182</f>
        <v>13</v>
      </c>
      <c r="C407" s="1659">
        <f>Acessórios!W182</f>
        <v>2</v>
      </c>
      <c r="D407" s="1957" t="e">
        <f>Acessórios!AK182&amp;" %"</f>
        <v>#DIV/0!</v>
      </c>
      <c r="E407" s="1657">
        <f>Acessórios!AO182</f>
        <v>4.5</v>
      </c>
      <c r="F407" s="1959" t="e">
        <f>ROUND(Acessórios!BB182/P407,1)&amp;" %"</f>
        <v>#DIV/0!</v>
      </c>
      <c r="G407" s="1660" t="str">
        <f>IF(OR(Acessórios!AN182="Restrição",Acessórios!BF182="Restrição",Acessórios!BW182="Restrição"),"Restrição",IF(OR(Acessórios!AN182="Não",Acessórios!BF182="Não",Acessórios!BW182="Não"),"Não","Sim"))</f>
        <v>Sim</v>
      </c>
      <c r="K407" s="2054" t="s">
        <v>649</v>
      </c>
      <c r="L407" s="2118" t="str">
        <f t="shared" si="21"/>
        <v>Conforme</v>
      </c>
    </row>
    <row r="408" spans="1:12" ht="15" customHeight="1" x14ac:dyDescent="0.25">
      <c r="A408" s="1653" t="str">
        <f>Acessórios!A183</f>
        <v>13 x 18</v>
      </c>
      <c r="B408" s="1658">
        <f>Acessórios!B183</f>
        <v>14</v>
      </c>
      <c r="C408" s="1659">
        <f>Acessórios!W183</f>
        <v>2</v>
      </c>
      <c r="D408" s="1957" t="e">
        <f>Acessórios!AK183&amp;" %"</f>
        <v>#DIV/0!</v>
      </c>
      <c r="E408" s="1657">
        <f>Acessórios!AO183</f>
        <v>4.5</v>
      </c>
      <c r="F408" s="1959" t="e">
        <f>ROUND(Acessórios!BB183/P408,1)&amp;" %"</f>
        <v>#DIV/0!</v>
      </c>
      <c r="G408" s="1660" t="str">
        <f>IF(OR(Acessórios!AN183="Restrição",Acessórios!BF183="Restrição",Acessórios!BW183="Restrição"),"Restrição",IF(OR(Acessórios!AN183="Não",Acessórios!BF183="Não",Acessórios!BW183="Não"),"Não","Sim"))</f>
        <v>Sim</v>
      </c>
      <c r="K408" s="2054" t="s">
        <v>649</v>
      </c>
      <c r="L408" s="2118" t="str">
        <f t="shared" si="21"/>
        <v>Conforme</v>
      </c>
    </row>
    <row r="409" spans="1:12" ht="15" customHeight="1" x14ac:dyDescent="0.25">
      <c r="A409" s="1653" t="str">
        <f>Acessórios!A184</f>
        <v>13 x 18</v>
      </c>
      <c r="B409" s="1658">
        <f>Acessórios!B184</f>
        <v>15</v>
      </c>
      <c r="C409" s="1659">
        <f>Acessórios!W184</f>
        <v>2</v>
      </c>
      <c r="D409" s="1957" t="e">
        <f>Acessórios!AK184&amp;" %"</f>
        <v>#DIV/0!</v>
      </c>
      <c r="E409" s="1657">
        <f>Acessórios!AO184</f>
        <v>4.5</v>
      </c>
      <c r="F409" s="1959" t="e">
        <f>ROUND(Acessórios!BB184/P409,1)&amp;" %"</f>
        <v>#DIV/0!</v>
      </c>
      <c r="G409" s="1660" t="str">
        <f>IF(OR(Acessórios!AN184="Restrição",Acessórios!BF184="Restrição",Acessórios!BW184="Restrição"),"Restrição",IF(OR(Acessórios!AN184="Não",Acessórios!BF184="Não",Acessórios!BW184="Não"),"Não","Sim"))</f>
        <v>Sim</v>
      </c>
      <c r="K409" s="2054" t="s">
        <v>649</v>
      </c>
      <c r="L409" s="2118" t="str">
        <f t="shared" si="21"/>
        <v>Conforme</v>
      </c>
    </row>
    <row r="410" spans="1:12" ht="15" customHeight="1" x14ac:dyDescent="0.25">
      <c r="A410" s="1653" t="str">
        <f>Acessórios!A185</f>
        <v>13 x 18</v>
      </c>
      <c r="B410" s="1658">
        <f>Acessórios!B185</f>
        <v>16</v>
      </c>
      <c r="C410" s="1659">
        <f>Acessórios!W185</f>
        <v>2</v>
      </c>
      <c r="D410" s="1957" t="e">
        <f>Acessórios!AK185&amp;" %"</f>
        <v>#DIV/0!</v>
      </c>
      <c r="E410" s="1657">
        <f>Acessórios!AO185</f>
        <v>4.5</v>
      </c>
      <c r="F410" s="1959" t="e">
        <f>ROUND(Acessórios!BB185/P410,1)&amp;" %"</f>
        <v>#DIV/0!</v>
      </c>
      <c r="G410" s="1660" t="str">
        <f>IF(OR(Acessórios!AN185="Restrição",Acessórios!BF185="Restrição",Acessórios!BW185="Restrição"),"Restrição",IF(OR(Acessórios!AN185="Não",Acessórios!BF185="Não",Acessórios!BW185="Não"),"Não","Sim"))</f>
        <v>Sim</v>
      </c>
      <c r="K410" s="2054" t="s">
        <v>649</v>
      </c>
      <c r="L410" s="2118" t="str">
        <f t="shared" si="21"/>
        <v>Conforme</v>
      </c>
    </row>
    <row r="411" spans="1:12" ht="15" customHeight="1" x14ac:dyDescent="0.25">
      <c r="A411" s="1653" t="str">
        <f>Acessórios!A186</f>
        <v>13 x 18</v>
      </c>
      <c r="B411" s="1658">
        <f>Acessórios!B186</f>
        <v>17</v>
      </c>
      <c r="C411" s="1659">
        <f>Acessórios!W186</f>
        <v>2</v>
      </c>
      <c r="D411" s="1957" t="e">
        <f>Acessórios!AK186&amp;" %"</f>
        <v>#DIV/0!</v>
      </c>
      <c r="E411" s="1657">
        <f>Acessórios!AO186</f>
        <v>4.5</v>
      </c>
      <c r="F411" s="1959" t="e">
        <f>ROUND(Acessórios!BB186/P411,1)&amp;" %"</f>
        <v>#DIV/0!</v>
      </c>
      <c r="G411" s="1660" t="str">
        <f>IF(OR(Acessórios!AN186="Restrição",Acessórios!BF186="Restrição",Acessórios!BW186="Restrição"),"Restrição",IF(OR(Acessórios!AN186="Não",Acessórios!BF186="Não",Acessórios!BW186="Não"),"Não","Sim"))</f>
        <v>Sim</v>
      </c>
      <c r="K411" s="2054" t="s">
        <v>649</v>
      </c>
      <c r="L411" s="2118" t="str">
        <f t="shared" si="21"/>
        <v>Conforme</v>
      </c>
    </row>
    <row r="412" spans="1:12" ht="15" customHeight="1" x14ac:dyDescent="0.25">
      <c r="A412" s="1653" t="str">
        <f>Acessórios!A187</f>
        <v>13 x 18</v>
      </c>
      <c r="B412" s="1658">
        <f>Acessórios!B187</f>
        <v>18</v>
      </c>
      <c r="C412" s="1659">
        <f>Acessórios!W187</f>
        <v>2</v>
      </c>
      <c r="D412" s="1957" t="e">
        <f>Acessórios!AK187&amp;" %"</f>
        <v>#DIV/0!</v>
      </c>
      <c r="E412" s="1657">
        <f>Acessórios!AO187</f>
        <v>4.5</v>
      </c>
      <c r="F412" s="1959" t="e">
        <f>ROUND(Acessórios!BB187/P412,1)&amp;" %"</f>
        <v>#DIV/0!</v>
      </c>
      <c r="G412" s="1660" t="str">
        <f>IF(OR(Acessórios!AN187="Restrição",Acessórios!BF187="Restrição",Acessórios!BW187="Restrição"),"Restrição",IF(OR(Acessórios!AN187="Não",Acessórios!BF187="Não",Acessórios!BW187="Não"),"Não","Sim"))</f>
        <v>Sim</v>
      </c>
      <c r="K412" s="2054" t="s">
        <v>649</v>
      </c>
      <c r="L412" s="2118" t="str">
        <f t="shared" si="21"/>
        <v>Conforme</v>
      </c>
    </row>
    <row r="413" spans="1:12" ht="15" customHeight="1" x14ac:dyDescent="0.25">
      <c r="A413" s="1653" t="str">
        <f>Acessórios!A188</f>
        <v>13 x 18</v>
      </c>
      <c r="B413" s="1658">
        <f>Acessórios!B188</f>
        <v>19</v>
      </c>
      <c r="C413" s="1659">
        <f>Acessórios!W188</f>
        <v>2</v>
      </c>
      <c r="D413" s="1957" t="e">
        <f>Acessórios!AK188&amp;" %"</f>
        <v>#DIV/0!</v>
      </c>
      <c r="E413" s="1657">
        <f>Acessórios!AO188</f>
        <v>4.5</v>
      </c>
      <c r="F413" s="1959" t="e">
        <f>ROUND(Acessórios!BB188/P413,1)&amp;" %"</f>
        <v>#DIV/0!</v>
      </c>
      <c r="G413" s="1660" t="str">
        <f>IF(OR(Acessórios!AN188="Restrição",Acessórios!BF188="Restrição",Acessórios!BW188="Restrição"),"Restrição",IF(OR(Acessórios!AN188="Não",Acessórios!BF188="Não",Acessórios!BW188="Não"),"Não","Sim"))</f>
        <v>Sim</v>
      </c>
      <c r="K413" s="2054" t="s">
        <v>649</v>
      </c>
      <c r="L413" s="2118" t="str">
        <f t="shared" si="21"/>
        <v>Conforme</v>
      </c>
    </row>
    <row r="414" spans="1:12" ht="15" customHeight="1" x14ac:dyDescent="0.25">
      <c r="A414" s="1653" t="str">
        <f>Acessórios!A189</f>
        <v>13 x 18</v>
      </c>
      <c r="B414" s="1658">
        <f>Acessórios!B189</f>
        <v>20</v>
      </c>
      <c r="C414" s="1659">
        <f>Acessórios!W189</f>
        <v>2</v>
      </c>
      <c r="D414" s="1957" t="e">
        <f>Acessórios!AK189&amp;" %"</f>
        <v>#DIV/0!</v>
      </c>
      <c r="E414" s="1657">
        <f>Acessórios!AO189</f>
        <v>4.5</v>
      </c>
      <c r="F414" s="1959" t="e">
        <f>ROUND(Acessórios!BB189/P414,1)&amp;" %"</f>
        <v>#DIV/0!</v>
      </c>
      <c r="G414" s="1660" t="str">
        <f>IF(OR(Acessórios!AN189="Restrição",Acessórios!BF189="Restrição",Acessórios!BW189="Restrição"),"Restrição",IF(OR(Acessórios!AN189="Não",Acessórios!BF189="Não",Acessórios!BW189="Não"),"Não","Sim"))</f>
        <v>Sim</v>
      </c>
      <c r="K414" s="2054" t="s">
        <v>649</v>
      </c>
      <c r="L414" s="2118" t="str">
        <f t="shared" si="21"/>
        <v>Conforme</v>
      </c>
    </row>
    <row r="415" spans="1:12" ht="15" customHeight="1" x14ac:dyDescent="0.25">
      <c r="A415" s="1653" t="str">
        <f>Acessórios!A190</f>
        <v>13 x 18</v>
      </c>
      <c r="B415" s="1658">
        <f>Acessórios!B190</f>
        <v>21</v>
      </c>
      <c r="C415" s="1659">
        <f>Acessórios!W190</f>
        <v>2</v>
      </c>
      <c r="D415" s="1957" t="e">
        <f>Acessórios!AK190&amp;" %"</f>
        <v>#DIV/0!</v>
      </c>
      <c r="E415" s="1657">
        <f>Acessórios!AO190</f>
        <v>4.5</v>
      </c>
      <c r="F415" s="1959" t="e">
        <f>ROUND(Acessórios!BB190/P415,1)&amp;" %"</f>
        <v>#DIV/0!</v>
      </c>
      <c r="G415" s="1660" t="str">
        <f>IF(OR(Acessórios!AN190="Restrição",Acessórios!BF190="Restrição",Acessórios!BW190="Restrição"),"Restrição",IF(OR(Acessórios!AN190="Não",Acessórios!BF190="Não",Acessórios!BW190="Não"),"Não","Sim"))</f>
        <v>Sim</v>
      </c>
      <c r="K415" s="2054" t="s">
        <v>649</v>
      </c>
      <c r="L415" s="2118" t="str">
        <f t="shared" si="21"/>
        <v>Conforme</v>
      </c>
    </row>
    <row r="416" spans="1:12" ht="15" customHeight="1" x14ac:dyDescent="0.25">
      <c r="A416" s="1653" t="str">
        <f>Acessórios!A191</f>
        <v>13 x 18</v>
      </c>
      <c r="B416" s="1658">
        <f>Acessórios!B191</f>
        <v>22</v>
      </c>
      <c r="C416" s="1659">
        <f>Acessórios!W191</f>
        <v>2</v>
      </c>
      <c r="D416" s="1957" t="e">
        <f>Acessórios!AK191&amp;" %"</f>
        <v>#DIV/0!</v>
      </c>
      <c r="E416" s="1657">
        <f>Acessórios!AO191</f>
        <v>4.5</v>
      </c>
      <c r="F416" s="1959" t="e">
        <f>ROUND(Acessórios!BB191/P416,1)&amp;" %"</f>
        <v>#DIV/0!</v>
      </c>
      <c r="G416" s="1660" t="str">
        <f>IF(OR(Acessórios!AN191="Restrição",Acessórios!BF191="Restrição",Acessórios!BW191="Restrição"),"Restrição",IF(OR(Acessórios!AN191="Não",Acessórios!BF191="Não",Acessórios!BW191="Não"),"Não","Sim"))</f>
        <v>Sim</v>
      </c>
      <c r="K416" s="2054" t="s">
        <v>649</v>
      </c>
      <c r="L416" s="2118" t="str">
        <f t="shared" si="21"/>
        <v>Conforme</v>
      </c>
    </row>
    <row r="417" spans="1:12" ht="15" customHeight="1" x14ac:dyDescent="0.25">
      <c r="A417" s="1653" t="str">
        <f>Acessórios!A192</f>
        <v>13 x 18</v>
      </c>
      <c r="B417" s="1658">
        <f>Acessórios!B192</f>
        <v>23</v>
      </c>
      <c r="C417" s="1659">
        <f>Acessórios!W192</f>
        <v>2</v>
      </c>
      <c r="D417" s="1957" t="e">
        <f>Acessórios!AK192&amp;" %"</f>
        <v>#DIV/0!</v>
      </c>
      <c r="E417" s="1657">
        <f>Acessórios!AO192</f>
        <v>4.5</v>
      </c>
      <c r="F417" s="1959" t="e">
        <f>ROUND(Acessórios!BB192/P417,1)&amp;" %"</f>
        <v>#DIV/0!</v>
      </c>
      <c r="G417" s="1660" t="str">
        <f>IF(OR(Acessórios!AN192="Restrição",Acessórios!BF192="Restrição",Acessórios!BW192="Restrição"),"Restrição",IF(OR(Acessórios!AN192="Não",Acessórios!BF192="Não",Acessórios!BW192="Não"),"Não","Sim"))</f>
        <v>Sim</v>
      </c>
      <c r="K417" s="2054" t="s">
        <v>649</v>
      </c>
      <c r="L417" s="2118" t="str">
        <f t="shared" si="21"/>
        <v>Conforme</v>
      </c>
    </row>
    <row r="418" spans="1:12" ht="15" customHeight="1" x14ac:dyDescent="0.25">
      <c r="A418" s="1653" t="str">
        <f>Acessórios!A193</f>
        <v>13 x 18</v>
      </c>
      <c r="B418" s="1658">
        <f>Acessórios!B193</f>
        <v>24</v>
      </c>
      <c r="C418" s="1659">
        <f>Acessórios!W193</f>
        <v>2</v>
      </c>
      <c r="D418" s="1957" t="e">
        <f>Acessórios!AK193&amp;" %"</f>
        <v>#DIV/0!</v>
      </c>
      <c r="E418" s="1657">
        <f>Acessórios!AO193</f>
        <v>4.5</v>
      </c>
      <c r="F418" s="1959" t="e">
        <f>ROUND(Acessórios!BB193/P418,1)&amp;" %"</f>
        <v>#DIV/0!</v>
      </c>
      <c r="G418" s="1660" t="str">
        <f>IF(OR(Acessórios!AN193="Restrição",Acessórios!BF193="Restrição",Acessórios!BW193="Restrição"),"Restrição",IF(OR(Acessórios!AN193="Não",Acessórios!BF193="Não",Acessórios!BW193="Não"),"Não","Sim"))</f>
        <v>Sim</v>
      </c>
      <c r="K418" s="2054" t="s">
        <v>649</v>
      </c>
      <c r="L418" s="2118" t="str">
        <f t="shared" si="21"/>
        <v>Conforme</v>
      </c>
    </row>
    <row r="419" spans="1:12" ht="15" customHeight="1" x14ac:dyDescent="0.25">
      <c r="A419" s="1653" t="str">
        <f>Acessórios!A194</f>
        <v>13 x 18</v>
      </c>
      <c r="B419" s="1658">
        <f>Acessórios!B194</f>
        <v>25</v>
      </c>
      <c r="C419" s="1659">
        <f>Acessórios!W194</f>
        <v>2</v>
      </c>
      <c r="D419" s="1957" t="e">
        <f>Acessórios!AK194&amp;" %"</f>
        <v>#DIV/0!</v>
      </c>
      <c r="E419" s="1657">
        <f>Acessórios!AO194</f>
        <v>4.5</v>
      </c>
      <c r="F419" s="1959" t="e">
        <f>ROUND(Acessórios!BB194/P419,1)&amp;" %"</f>
        <v>#DIV/0!</v>
      </c>
      <c r="G419" s="1660" t="str">
        <f>IF(OR(Acessórios!AN194="Restrição",Acessórios!BF194="Restrição",Acessórios!BW194="Restrição"),"Restrição",IF(OR(Acessórios!AN194="Não",Acessórios!BF194="Não",Acessórios!BW194="Não"),"Não","Sim"))</f>
        <v>Sim</v>
      </c>
      <c r="K419" s="2054" t="s">
        <v>649</v>
      </c>
      <c r="L419" s="2118" t="str">
        <f t="shared" si="21"/>
        <v>Conforme</v>
      </c>
    </row>
    <row r="420" spans="1:12" ht="15" customHeight="1" x14ac:dyDescent="0.25">
      <c r="A420" s="1653" t="str">
        <f>Acessórios!A195</f>
        <v>13 x 18</v>
      </c>
      <c r="B420" s="1658">
        <f>Acessórios!B195</f>
        <v>26</v>
      </c>
      <c r="C420" s="1659">
        <f>Acessórios!W195</f>
        <v>2</v>
      </c>
      <c r="D420" s="1957" t="e">
        <f>Acessórios!AK195&amp;" %"</f>
        <v>#DIV/0!</v>
      </c>
      <c r="E420" s="1657">
        <f>Acessórios!AO195</f>
        <v>4.5</v>
      </c>
      <c r="F420" s="1959" t="e">
        <f>ROUND(Acessórios!BB195/P420,1)&amp;" %"</f>
        <v>#DIV/0!</v>
      </c>
      <c r="G420" s="1660" t="str">
        <f>IF(OR(Acessórios!AN195="Restrição",Acessórios!BF195="Restrição",Acessórios!BW195="Restrição"),"Restrição",IF(OR(Acessórios!AN195="Não",Acessórios!BF195="Não",Acessórios!BW195="Não"),"Não","Sim"))</f>
        <v>Sim</v>
      </c>
      <c r="K420" s="2054" t="s">
        <v>649</v>
      </c>
      <c r="L420" s="2118" t="str">
        <f t="shared" si="21"/>
        <v>Conforme</v>
      </c>
    </row>
    <row r="421" spans="1:12" ht="15" customHeight="1" x14ac:dyDescent="0.25">
      <c r="A421" s="1653" t="str">
        <f>Acessórios!A196</f>
        <v>13 x 18</v>
      </c>
      <c r="B421" s="1658">
        <f>Acessórios!B196</f>
        <v>27</v>
      </c>
      <c r="C421" s="1659">
        <f>Acessórios!W196</f>
        <v>2</v>
      </c>
      <c r="D421" s="1957" t="e">
        <f>Acessórios!AK196&amp;" %"</f>
        <v>#DIV/0!</v>
      </c>
      <c r="E421" s="1657">
        <f>Acessórios!AO196</f>
        <v>4.5</v>
      </c>
      <c r="F421" s="1959" t="e">
        <f>ROUND(Acessórios!BB196/P421,1)&amp;" %"</f>
        <v>#DIV/0!</v>
      </c>
      <c r="G421" s="1660" t="str">
        <f>IF(OR(Acessórios!AN196="Restrição",Acessórios!BF196="Restrição",Acessórios!BW196="Restrição"),"Restrição",IF(OR(Acessórios!AN196="Não",Acessórios!BF196="Não",Acessórios!BW196="Não"),"Não","Sim"))</f>
        <v>Sim</v>
      </c>
      <c r="K421" s="2054" t="s">
        <v>649</v>
      </c>
      <c r="L421" s="2118" t="str">
        <f t="shared" si="21"/>
        <v>Conforme</v>
      </c>
    </row>
    <row r="422" spans="1:12" ht="15" customHeight="1" x14ac:dyDescent="0.25">
      <c r="A422" s="1653" t="str">
        <f>Acessórios!A197</f>
        <v>13 x 18</v>
      </c>
      <c r="B422" s="1658">
        <f>Acessórios!B197</f>
        <v>28</v>
      </c>
      <c r="C422" s="1659">
        <f>Acessórios!W197</f>
        <v>2</v>
      </c>
      <c r="D422" s="1957" t="e">
        <f>Acessórios!AK197&amp;" %"</f>
        <v>#DIV/0!</v>
      </c>
      <c r="E422" s="1657">
        <f>Acessórios!AO197</f>
        <v>4.5</v>
      </c>
      <c r="F422" s="1959" t="e">
        <f>ROUND(Acessórios!BB197/P422,1)&amp;" %"</f>
        <v>#DIV/0!</v>
      </c>
      <c r="G422" s="1660" t="str">
        <f>IF(OR(Acessórios!AN197="Restrição",Acessórios!BF197="Restrição",Acessórios!BW197="Restrição"),"Restrição",IF(OR(Acessórios!AN197="Não",Acessórios!BF197="Não",Acessórios!BW197="Não"),"Não","Sim"))</f>
        <v>Sim</v>
      </c>
      <c r="K422" s="2054" t="s">
        <v>649</v>
      </c>
      <c r="L422" s="2118" t="str">
        <f t="shared" si="21"/>
        <v>Conforme</v>
      </c>
    </row>
    <row r="423" spans="1:12" ht="15" customHeight="1" x14ac:dyDescent="0.25">
      <c r="A423" s="1653" t="str">
        <f>Acessórios!A198</f>
        <v>13 x 18</v>
      </c>
      <c r="B423" s="1658">
        <f>Acessórios!B198</f>
        <v>29</v>
      </c>
      <c r="C423" s="1659">
        <f>Acessórios!W198</f>
        <v>2</v>
      </c>
      <c r="D423" s="1957" t="e">
        <f>Acessórios!AK198&amp;" %"</f>
        <v>#DIV/0!</v>
      </c>
      <c r="E423" s="1657">
        <f>Acessórios!AO198</f>
        <v>4.5</v>
      </c>
      <c r="F423" s="1959" t="e">
        <f>ROUND(Acessórios!BB198/P423,1)&amp;" %"</f>
        <v>#DIV/0!</v>
      </c>
      <c r="G423" s="1660" t="str">
        <f>IF(OR(Acessórios!AN198="Restrição",Acessórios!BF198="Restrição",Acessórios!BW198="Restrição"),"Restrição",IF(OR(Acessórios!AN198="Não",Acessórios!BF198="Não",Acessórios!BW198="Não"),"Não","Sim"))</f>
        <v>Sim</v>
      </c>
      <c r="K423" s="2054" t="s">
        <v>649</v>
      </c>
      <c r="L423" s="2118" t="str">
        <f t="shared" si="21"/>
        <v>Conforme</v>
      </c>
    </row>
    <row r="424" spans="1:12" ht="15" customHeight="1" x14ac:dyDescent="0.25">
      <c r="A424" s="1653" t="str">
        <f>Acessórios!A199</f>
        <v>13 x 18</v>
      </c>
      <c r="B424" s="1658">
        <f>Acessórios!B199</f>
        <v>30</v>
      </c>
      <c r="C424" s="1659">
        <f>Acessórios!W199</f>
        <v>2</v>
      </c>
      <c r="D424" s="1957" t="e">
        <f>Acessórios!AK199&amp;" %"</f>
        <v>#DIV/0!</v>
      </c>
      <c r="E424" s="1657">
        <f>Acessórios!AO199</f>
        <v>4.5</v>
      </c>
      <c r="F424" s="1959" t="e">
        <f>ROUND(Acessórios!BB199/P424,1)&amp;" %"</f>
        <v>#DIV/0!</v>
      </c>
      <c r="G424" s="1660" t="str">
        <f>IF(OR(Acessórios!AN199="Restrição",Acessórios!BF199="Restrição",Acessórios!BW199="Restrição"),"Restrição",IF(OR(Acessórios!AN199="Não",Acessórios!BF199="Não",Acessórios!BW199="Não"),"Não","Sim"))</f>
        <v>Sim</v>
      </c>
      <c r="K424" s="2054" t="s">
        <v>649</v>
      </c>
      <c r="L424" s="2118" t="str">
        <f t="shared" si="21"/>
        <v>Conforme</v>
      </c>
    </row>
    <row r="425" spans="1:12" ht="15" customHeight="1" x14ac:dyDescent="0.25">
      <c r="A425" s="1653" t="str">
        <f>Acessórios!A200</f>
        <v>13 x 18</v>
      </c>
      <c r="B425" s="1658">
        <f>Acessórios!B200</f>
        <v>31</v>
      </c>
      <c r="C425" s="1659">
        <f>Acessórios!W200</f>
        <v>2</v>
      </c>
      <c r="D425" s="1957" t="e">
        <f>Acessórios!AK200&amp;" %"</f>
        <v>#DIV/0!</v>
      </c>
      <c r="E425" s="1657">
        <f>Acessórios!AO200</f>
        <v>4.5</v>
      </c>
      <c r="F425" s="1959" t="e">
        <f>ROUND(Acessórios!BB200/P425,1)&amp;" %"</f>
        <v>#DIV/0!</v>
      </c>
      <c r="G425" s="1660" t="str">
        <f>IF(OR(Acessórios!AN200="Restrição",Acessórios!BF200="Restrição",Acessórios!BW200="Restrição"),"Restrição",IF(OR(Acessórios!AN200="Não",Acessórios!BF200="Não",Acessórios!BW200="Não"),"Não","Sim"))</f>
        <v>Sim</v>
      </c>
      <c r="K425" s="2054" t="s">
        <v>649</v>
      </c>
      <c r="L425" s="2118" t="str">
        <f t="shared" si="21"/>
        <v>Conforme</v>
      </c>
    </row>
    <row r="426" spans="1:12" ht="15" customHeight="1" x14ac:dyDescent="0.25">
      <c r="A426" s="1653" t="str">
        <f>Acessórios!A201</f>
        <v>13 x 18</v>
      </c>
      <c r="B426" s="1658">
        <f>Acessórios!B201</f>
        <v>32</v>
      </c>
      <c r="C426" s="1659">
        <f>Acessórios!W201</f>
        <v>2</v>
      </c>
      <c r="D426" s="1957" t="e">
        <f>Acessórios!AK201&amp;" %"</f>
        <v>#DIV/0!</v>
      </c>
      <c r="E426" s="1657">
        <f>Acessórios!AO201</f>
        <v>4.5</v>
      </c>
      <c r="F426" s="1959" t="e">
        <f>ROUND(Acessórios!BB201/P426,1)&amp;" %"</f>
        <v>#DIV/0!</v>
      </c>
      <c r="G426" s="1660" t="str">
        <f>IF(OR(Acessórios!AN201="Restrição",Acessórios!BF201="Restrição",Acessórios!BW201="Restrição"),"Restrição",IF(OR(Acessórios!AN201="Não",Acessórios!BF201="Não",Acessórios!BW201="Não"),"Não","Sim"))</f>
        <v>Sim</v>
      </c>
      <c r="K426" s="2054" t="s">
        <v>649</v>
      </c>
      <c r="L426" s="2118" t="str">
        <f t="shared" si="21"/>
        <v>Conforme</v>
      </c>
    </row>
    <row r="427" spans="1:12" ht="15" customHeight="1" x14ac:dyDescent="0.25">
      <c r="A427" s="1653" t="str">
        <f>Acessórios!A202</f>
        <v>13 x 18</v>
      </c>
      <c r="B427" s="1658">
        <f>Acessórios!B202</f>
        <v>33</v>
      </c>
      <c r="C427" s="1659">
        <f>Acessórios!W202</f>
        <v>2</v>
      </c>
      <c r="D427" s="1957" t="e">
        <f>Acessórios!AK202&amp;" %"</f>
        <v>#DIV/0!</v>
      </c>
      <c r="E427" s="1657">
        <f>Acessórios!AO202</f>
        <v>4.5</v>
      </c>
      <c r="F427" s="1959" t="e">
        <f>ROUND(Acessórios!BB202/P427,1)&amp;" %"</f>
        <v>#DIV/0!</v>
      </c>
      <c r="G427" s="1660" t="str">
        <f>IF(OR(Acessórios!AN202="Restrição",Acessórios!BF202="Restrição",Acessórios!BW202="Restrição"),"Restrição",IF(OR(Acessórios!AN202="Não",Acessórios!BF202="Não",Acessórios!BW202="Não"),"Não","Sim"))</f>
        <v>Sim</v>
      </c>
      <c r="K427" s="2054" t="s">
        <v>649</v>
      </c>
      <c r="L427" s="2118" t="str">
        <f t="shared" si="21"/>
        <v>Conforme</v>
      </c>
    </row>
    <row r="428" spans="1:12" ht="15" customHeight="1" x14ac:dyDescent="0.25">
      <c r="A428" s="1653" t="str">
        <f>Acessórios!A203</f>
        <v>13 x 18</v>
      </c>
      <c r="B428" s="1658">
        <f>Acessórios!B203</f>
        <v>34</v>
      </c>
      <c r="C428" s="1659">
        <f>Acessórios!W203</f>
        <v>2</v>
      </c>
      <c r="D428" s="1957" t="e">
        <f>Acessórios!AK203&amp;" %"</f>
        <v>#DIV/0!</v>
      </c>
      <c r="E428" s="1657">
        <f>Acessórios!AO203</f>
        <v>4.5</v>
      </c>
      <c r="F428" s="1959" t="e">
        <f>ROUND(Acessórios!BB203/P428,1)&amp;" %"</f>
        <v>#DIV/0!</v>
      </c>
      <c r="G428" s="1660" t="str">
        <f>IF(OR(Acessórios!AN203="Restrição",Acessórios!BF203="Restrição",Acessórios!BW203="Restrição"),"Restrição",IF(OR(Acessórios!AN203="Não",Acessórios!BF203="Não",Acessórios!BW203="Não"),"Não","Sim"))</f>
        <v>Sim</v>
      </c>
      <c r="K428" s="2054" t="s">
        <v>649</v>
      </c>
      <c r="L428" s="2118" t="str">
        <f t="shared" si="21"/>
        <v>Conforme</v>
      </c>
    </row>
    <row r="429" spans="1:12" ht="15" customHeight="1" x14ac:dyDescent="0.25">
      <c r="A429" s="1653" t="str">
        <f>Acessórios!A204</f>
        <v>13 x 18</v>
      </c>
      <c r="B429" s="1658">
        <f>Acessórios!B204</f>
        <v>35</v>
      </c>
      <c r="C429" s="1659">
        <f>Acessórios!W204</f>
        <v>2</v>
      </c>
      <c r="D429" s="1957" t="e">
        <f>Acessórios!AK204&amp;" %"</f>
        <v>#DIV/0!</v>
      </c>
      <c r="E429" s="1657">
        <f>Acessórios!AO204</f>
        <v>4.5</v>
      </c>
      <c r="F429" s="1959" t="e">
        <f>ROUND(Acessórios!BB204/P429,1)&amp;" %"</f>
        <v>#DIV/0!</v>
      </c>
      <c r="G429" s="1660" t="str">
        <f>IF(OR(Acessórios!AN204="Restrição",Acessórios!BF204="Restrição",Acessórios!BW204="Restrição"),"Restrição",IF(OR(Acessórios!AN204="Não",Acessórios!BF204="Não",Acessórios!BW204="Não"),"Não","Sim"))</f>
        <v>Sim</v>
      </c>
      <c r="K429" s="2054" t="s">
        <v>649</v>
      </c>
      <c r="L429" s="2118" t="str">
        <f t="shared" si="21"/>
        <v>Conforme</v>
      </c>
    </row>
    <row r="430" spans="1:12" ht="15" customHeight="1" x14ac:dyDescent="0.25">
      <c r="A430" s="1653" t="str">
        <f>Acessórios!A205</f>
        <v>13 x 18</v>
      </c>
      <c r="B430" s="1658">
        <f>Acessórios!B205</f>
        <v>36</v>
      </c>
      <c r="C430" s="1659">
        <f>Acessórios!W205</f>
        <v>2</v>
      </c>
      <c r="D430" s="1957" t="e">
        <f>Acessórios!AK205&amp;" %"</f>
        <v>#DIV/0!</v>
      </c>
      <c r="E430" s="1657">
        <f>Acessórios!AO205</f>
        <v>4.5</v>
      </c>
      <c r="F430" s="1959" t="e">
        <f>ROUND(Acessórios!BB205/P430,1)&amp;" %"</f>
        <v>#DIV/0!</v>
      </c>
      <c r="G430" s="1660" t="str">
        <f>IF(OR(Acessórios!AN205="Restrição",Acessórios!BF205="Restrição",Acessórios!BW205="Restrição"),"Restrição",IF(OR(Acessórios!AN205="Não",Acessórios!BF205="Não",Acessórios!BW205="Não"),"Não","Sim"))</f>
        <v>Sim</v>
      </c>
      <c r="K430" s="2054" t="s">
        <v>649</v>
      </c>
      <c r="L430" s="2118" t="str">
        <f t="shared" si="21"/>
        <v>Conforme</v>
      </c>
    </row>
    <row r="431" spans="1:12" ht="15" customHeight="1" x14ac:dyDescent="0.25">
      <c r="A431" s="1653" t="str">
        <f>Acessórios!A206</f>
        <v>13 x 18</v>
      </c>
      <c r="B431" s="1658">
        <f>Acessórios!B206</f>
        <v>37</v>
      </c>
      <c r="C431" s="1659">
        <f>Acessórios!W206</f>
        <v>2</v>
      </c>
      <c r="D431" s="1957" t="e">
        <f>Acessórios!AK206&amp;" %"</f>
        <v>#DIV/0!</v>
      </c>
      <c r="E431" s="1657">
        <f>Acessórios!AO206</f>
        <v>4.5</v>
      </c>
      <c r="F431" s="1959" t="e">
        <f>ROUND(Acessórios!BB206/P431,1)&amp;" %"</f>
        <v>#DIV/0!</v>
      </c>
      <c r="G431" s="1660" t="str">
        <f>IF(OR(Acessórios!AN206="Restrição",Acessórios!BF206="Restrição",Acessórios!BW206="Restrição"),"Restrição",IF(OR(Acessórios!AN206="Não",Acessórios!BF206="Não",Acessórios!BW206="Não"),"Não","Sim"))</f>
        <v>Sim</v>
      </c>
      <c r="K431" s="2054" t="s">
        <v>649</v>
      </c>
      <c r="L431" s="2118" t="str">
        <f t="shared" si="21"/>
        <v>Conforme</v>
      </c>
    </row>
    <row r="432" spans="1:12" ht="15" customHeight="1" x14ac:dyDescent="0.25">
      <c r="A432" s="1653" t="str">
        <f>Acessórios!A207</f>
        <v>13 x 18</v>
      </c>
      <c r="B432" s="1658">
        <f>Acessórios!B207</f>
        <v>38</v>
      </c>
      <c r="C432" s="1659">
        <f>Acessórios!W207</f>
        <v>2</v>
      </c>
      <c r="D432" s="1957" t="e">
        <f>Acessórios!AK207&amp;" %"</f>
        <v>#DIV/0!</v>
      </c>
      <c r="E432" s="1657">
        <f>Acessórios!AO207</f>
        <v>4.5</v>
      </c>
      <c r="F432" s="1959" t="e">
        <f>ROUND(Acessórios!BB207/P432,1)&amp;" %"</f>
        <v>#DIV/0!</v>
      </c>
      <c r="G432" s="1660" t="str">
        <f>IF(OR(Acessórios!AN207="Restrição",Acessórios!BF207="Restrição",Acessórios!BW207="Restrição"),"Restrição",IF(OR(Acessórios!AN207="Não",Acessórios!BF207="Não",Acessórios!BW207="Não"),"Não","Sim"))</f>
        <v>Sim</v>
      </c>
      <c r="K432" s="2054" t="s">
        <v>649</v>
      </c>
      <c r="L432" s="2118" t="str">
        <f t="shared" si="21"/>
        <v>Conforme</v>
      </c>
    </row>
    <row r="433" spans="1:12" ht="15" customHeight="1" x14ac:dyDescent="0.25">
      <c r="A433" s="1653" t="str">
        <f>Acessórios!A208</f>
        <v>13 x 18</v>
      </c>
      <c r="B433" s="1658">
        <f>Acessórios!B208</f>
        <v>39</v>
      </c>
      <c r="C433" s="1659">
        <f>Acessórios!W208</f>
        <v>2</v>
      </c>
      <c r="D433" s="1957" t="e">
        <f>Acessórios!AK208&amp;" %"</f>
        <v>#DIV/0!</v>
      </c>
      <c r="E433" s="1657">
        <f>Acessórios!AO208</f>
        <v>4.5</v>
      </c>
      <c r="F433" s="1959" t="e">
        <f>ROUND(Acessórios!BB208/P433,1)&amp;" %"</f>
        <v>#DIV/0!</v>
      </c>
      <c r="G433" s="1660" t="str">
        <f>IF(OR(Acessórios!AN208="Restrição",Acessórios!BF208="Restrição",Acessórios!BW208="Restrição"),"Restrição",IF(OR(Acessórios!AN208="Não",Acessórios!BF208="Não",Acessórios!BW208="Não"),"Não","Sim"))</f>
        <v>Sim</v>
      </c>
      <c r="K433" s="2054" t="s">
        <v>649</v>
      </c>
      <c r="L433" s="2118" t="str">
        <f t="shared" si="21"/>
        <v>Conforme</v>
      </c>
    </row>
    <row r="434" spans="1:12" ht="15" customHeight="1" x14ac:dyDescent="0.25">
      <c r="A434" s="1653" t="str">
        <f>Acessórios!A209</f>
        <v>13 x 18</v>
      </c>
      <c r="B434" s="1658">
        <f>Acessórios!B209</f>
        <v>40</v>
      </c>
      <c r="C434" s="1659">
        <f>Acessórios!W209</f>
        <v>2</v>
      </c>
      <c r="D434" s="1957" t="e">
        <f>Acessórios!AK209&amp;" %"</f>
        <v>#DIV/0!</v>
      </c>
      <c r="E434" s="1657">
        <f>Acessórios!AO209</f>
        <v>4.5</v>
      </c>
      <c r="F434" s="1959" t="e">
        <f>ROUND(Acessórios!BB209/P434,1)&amp;" %"</f>
        <v>#DIV/0!</v>
      </c>
      <c r="G434" s="1660" t="str">
        <f>IF(OR(Acessórios!AN209="Restrição",Acessórios!BF209="Restrição",Acessórios!BW209="Restrição"),"Restrição",IF(OR(Acessórios!AN209="Não",Acessórios!BF209="Não",Acessórios!BW209="Não"),"Não","Sim"))</f>
        <v>Sim</v>
      </c>
      <c r="K434" s="2054" t="s">
        <v>649</v>
      </c>
      <c r="L434" s="2118" t="str">
        <f t="shared" si="21"/>
        <v>Conforme</v>
      </c>
    </row>
    <row r="435" spans="1:12" ht="15" customHeight="1" x14ac:dyDescent="0.25">
      <c r="A435" s="1653" t="str">
        <f>Acessórios!A210</f>
        <v>13 x 18</v>
      </c>
      <c r="B435" s="1658">
        <f>Acessórios!B210</f>
        <v>41</v>
      </c>
      <c r="C435" s="1659">
        <f>Acessórios!W210</f>
        <v>2</v>
      </c>
      <c r="D435" s="1957" t="e">
        <f>Acessórios!AK210&amp;" %"</f>
        <v>#DIV/0!</v>
      </c>
      <c r="E435" s="1657">
        <f>Acessórios!AO210</f>
        <v>4.5</v>
      </c>
      <c r="F435" s="1959" t="e">
        <f>ROUND(Acessórios!BB210/P435,1)&amp;" %"</f>
        <v>#DIV/0!</v>
      </c>
      <c r="G435" s="1660" t="str">
        <f>IF(OR(Acessórios!AN210="Restrição",Acessórios!BF210="Restrição",Acessórios!BW210="Restrição"),"Restrição",IF(OR(Acessórios!AN210="Não",Acessórios!BF210="Não",Acessórios!BW210="Não"),"Não","Sim"))</f>
        <v>Sim</v>
      </c>
      <c r="K435" s="2054" t="s">
        <v>649</v>
      </c>
      <c r="L435" s="2118" t="str">
        <f t="shared" si="21"/>
        <v>Conforme</v>
      </c>
    </row>
    <row r="436" spans="1:12" ht="15" customHeight="1" x14ac:dyDescent="0.25">
      <c r="A436" s="1653" t="str">
        <f>Acessórios!A211</f>
        <v>13 x 18</v>
      </c>
      <c r="B436" s="1658">
        <f>Acessórios!B211</f>
        <v>42</v>
      </c>
      <c r="C436" s="1659">
        <f>Acessórios!W211</f>
        <v>2</v>
      </c>
      <c r="D436" s="1957" t="e">
        <f>Acessórios!AK211&amp;" %"</f>
        <v>#DIV/0!</v>
      </c>
      <c r="E436" s="1657">
        <f>Acessórios!AO211</f>
        <v>4.5</v>
      </c>
      <c r="F436" s="1959" t="e">
        <f>ROUND(Acessórios!BB211/P436,1)&amp;" %"</f>
        <v>#DIV/0!</v>
      </c>
      <c r="G436" s="1660" t="str">
        <f>IF(OR(Acessórios!AN211="Restrição",Acessórios!BF211="Restrição",Acessórios!BW211="Restrição"),"Restrição",IF(OR(Acessórios!AN211="Não",Acessórios!BF211="Não",Acessórios!BW211="Não"),"Não","Sim"))</f>
        <v>Sim</v>
      </c>
      <c r="K436" s="2054" t="s">
        <v>649</v>
      </c>
      <c r="L436" s="2118" t="str">
        <f t="shared" si="21"/>
        <v>Conforme</v>
      </c>
    </row>
    <row r="437" spans="1:12" ht="15" customHeight="1" x14ac:dyDescent="0.25">
      <c r="A437" s="1653" t="str">
        <f>Acessórios!A212</f>
        <v>13 x 18</v>
      </c>
      <c r="B437" s="1658">
        <f>Acessórios!B212</f>
        <v>43</v>
      </c>
      <c r="C437" s="1659">
        <f>Acessórios!W212</f>
        <v>2</v>
      </c>
      <c r="D437" s="1957" t="e">
        <f>Acessórios!AK212&amp;" %"</f>
        <v>#DIV/0!</v>
      </c>
      <c r="E437" s="1657">
        <f>Acessórios!AO212</f>
        <v>4.5</v>
      </c>
      <c r="F437" s="1959" t="e">
        <f>ROUND(Acessórios!BB212/P437,1)&amp;" %"</f>
        <v>#DIV/0!</v>
      </c>
      <c r="G437" s="1660" t="str">
        <f>IF(OR(Acessórios!AN212="Restrição",Acessórios!BF212="Restrição",Acessórios!BW212="Restrição"),"Restrição",IF(OR(Acessórios!AN212="Não",Acessórios!BF212="Não",Acessórios!BW212="Não"),"Não","Sim"))</f>
        <v>Sim</v>
      </c>
      <c r="K437" s="2054" t="s">
        <v>649</v>
      </c>
      <c r="L437" s="2118" t="str">
        <f t="shared" si="21"/>
        <v>Conforme</v>
      </c>
    </row>
    <row r="438" spans="1:12" ht="15" customHeight="1" x14ac:dyDescent="0.25">
      <c r="A438" s="1653" t="str">
        <f>Acessórios!A213</f>
        <v>13 x 18</v>
      </c>
      <c r="B438" s="1658">
        <f>Acessórios!B213</f>
        <v>44</v>
      </c>
      <c r="C438" s="1659">
        <f>Acessórios!W213</f>
        <v>2</v>
      </c>
      <c r="D438" s="1957" t="e">
        <f>Acessórios!AK213&amp;" %"</f>
        <v>#DIV/0!</v>
      </c>
      <c r="E438" s="1657">
        <f>Acessórios!AO213</f>
        <v>4.5</v>
      </c>
      <c r="F438" s="1959" t="e">
        <f>ROUND(Acessórios!BB213/P438,1)&amp;" %"</f>
        <v>#DIV/0!</v>
      </c>
      <c r="G438" s="1660" t="str">
        <f>IF(OR(Acessórios!AN213="Restrição",Acessórios!BF213="Restrição",Acessórios!BW213="Restrição"),"Restrição",IF(OR(Acessórios!AN213="Não",Acessórios!BF213="Não",Acessórios!BW213="Não"),"Não","Sim"))</f>
        <v>Sim</v>
      </c>
      <c r="K438" s="2054" t="s">
        <v>649</v>
      </c>
      <c r="L438" s="2118" t="str">
        <f t="shared" si="21"/>
        <v>Conforme</v>
      </c>
    </row>
    <row r="439" spans="1:12" ht="15" customHeight="1" x14ac:dyDescent="0.25">
      <c r="A439" s="1653" t="str">
        <f>Acessórios!A214</f>
        <v>13 x 18</v>
      </c>
      <c r="B439" s="1658">
        <f>Acessórios!B214</f>
        <v>45</v>
      </c>
      <c r="C439" s="1659">
        <f>Acessórios!W214</f>
        <v>2</v>
      </c>
      <c r="D439" s="1957" t="e">
        <f>Acessórios!AK214&amp;" %"</f>
        <v>#DIV/0!</v>
      </c>
      <c r="E439" s="1657">
        <f>Acessórios!AO214</f>
        <v>4.5</v>
      </c>
      <c r="F439" s="1959" t="e">
        <f>ROUND(Acessórios!BB214/P439,1)&amp;" %"</f>
        <v>#DIV/0!</v>
      </c>
      <c r="G439" s="1660" t="str">
        <f>IF(OR(Acessórios!AN214="Restrição",Acessórios!BF214="Restrição",Acessórios!BW214="Restrição"),"Restrição",IF(OR(Acessórios!AN214="Não",Acessórios!BF214="Não",Acessórios!BW214="Não"),"Não","Sim"))</f>
        <v>Sim</v>
      </c>
      <c r="K439" s="2054" t="s">
        <v>649</v>
      </c>
      <c r="L439" s="2118" t="str">
        <f t="shared" si="21"/>
        <v>Conforme</v>
      </c>
    </row>
    <row r="440" spans="1:12" ht="15" customHeight="1" x14ac:dyDescent="0.25">
      <c r="A440" s="1653" t="str">
        <f>Acessórios!A215</f>
        <v>13 x 18</v>
      </c>
      <c r="B440" s="1658">
        <f>Acessórios!B215</f>
        <v>46</v>
      </c>
      <c r="C440" s="1659">
        <f>Acessórios!W215</f>
        <v>2</v>
      </c>
      <c r="D440" s="1957" t="e">
        <f>Acessórios!AK215&amp;" %"</f>
        <v>#DIV/0!</v>
      </c>
      <c r="E440" s="1657">
        <f>Acessórios!AO215</f>
        <v>4.5</v>
      </c>
      <c r="F440" s="1959" t="e">
        <f>ROUND(Acessórios!BB215/P440,1)&amp;" %"</f>
        <v>#DIV/0!</v>
      </c>
      <c r="G440" s="1660" t="str">
        <f>IF(OR(Acessórios!AN215="Restrição",Acessórios!BF215="Restrição",Acessórios!BW215="Restrição"),"Restrição",IF(OR(Acessórios!AN215="Não",Acessórios!BF215="Não",Acessórios!BW215="Não"),"Não","Sim"))</f>
        <v>Sim</v>
      </c>
      <c r="K440" s="2054" t="s">
        <v>649</v>
      </c>
      <c r="L440" s="2118" t="str">
        <f t="shared" si="21"/>
        <v>Conforme</v>
      </c>
    </row>
    <row r="441" spans="1:12" ht="15" customHeight="1" x14ac:dyDescent="0.25">
      <c r="A441" s="1653" t="str">
        <f>Acessórios!A216</f>
        <v>13 x 18</v>
      </c>
      <c r="B441" s="1658">
        <f>Acessórios!B216</f>
        <v>47</v>
      </c>
      <c r="C441" s="1659">
        <f>Acessórios!W216</f>
        <v>2</v>
      </c>
      <c r="D441" s="1957" t="e">
        <f>Acessórios!AK216&amp;" %"</f>
        <v>#DIV/0!</v>
      </c>
      <c r="E441" s="1657">
        <f>Acessórios!AO216</f>
        <v>4.5</v>
      </c>
      <c r="F441" s="1959" t="e">
        <f>ROUND(Acessórios!BB216/P441,1)&amp;" %"</f>
        <v>#DIV/0!</v>
      </c>
      <c r="G441" s="1660" t="str">
        <f>IF(OR(Acessórios!AN216="Restrição",Acessórios!BF216="Restrição",Acessórios!BW216="Restrição"),"Restrição",IF(OR(Acessórios!AN216="Não",Acessórios!BF216="Não",Acessórios!BW216="Não"),"Não","Sim"))</f>
        <v>Sim</v>
      </c>
      <c r="K441" s="2054" t="s">
        <v>649</v>
      </c>
      <c r="L441" s="2118" t="str">
        <f t="shared" si="21"/>
        <v>Conforme</v>
      </c>
    </row>
    <row r="442" spans="1:12" ht="15" customHeight="1" x14ac:dyDescent="0.25">
      <c r="A442" s="1653" t="str">
        <f>Acessórios!A217</f>
        <v>13 x 18</v>
      </c>
      <c r="B442" s="1658">
        <f>Acessórios!B217</f>
        <v>48</v>
      </c>
      <c r="C442" s="1659">
        <f>Acessórios!W217</f>
        <v>2</v>
      </c>
      <c r="D442" s="1957" t="e">
        <f>Acessórios!AK217&amp;" %"</f>
        <v>#DIV/0!</v>
      </c>
      <c r="E442" s="1657">
        <f>Acessórios!AO217</f>
        <v>4.5</v>
      </c>
      <c r="F442" s="1959" t="e">
        <f>ROUND(Acessórios!BB217/P442,1)&amp;" %"</f>
        <v>#DIV/0!</v>
      </c>
      <c r="G442" s="1660" t="str">
        <f>IF(OR(Acessórios!AN217="Restrição",Acessórios!BF217="Restrição",Acessórios!BW217="Restrição"),"Restrição",IF(OR(Acessórios!AN217="Não",Acessórios!BF217="Não",Acessórios!BW217="Não"),"Não","Sim"))</f>
        <v>Sim</v>
      </c>
      <c r="K442" s="2054" t="s">
        <v>649</v>
      </c>
      <c r="L442" s="2118" t="str">
        <f t="shared" si="21"/>
        <v>Conforme</v>
      </c>
    </row>
    <row r="443" spans="1:12" ht="15" customHeight="1" x14ac:dyDescent="0.25">
      <c r="A443" s="1653" t="str">
        <f>Acessórios!A218</f>
        <v>13 x 18</v>
      </c>
      <c r="B443" s="1658">
        <f>Acessórios!B218</f>
        <v>49</v>
      </c>
      <c r="C443" s="1659">
        <f>Acessórios!W218</f>
        <v>2</v>
      </c>
      <c r="D443" s="1957" t="e">
        <f>Acessórios!AK218&amp;" %"</f>
        <v>#DIV/0!</v>
      </c>
      <c r="E443" s="1657">
        <f>Acessórios!AO218</f>
        <v>4.5</v>
      </c>
      <c r="F443" s="1959" t="e">
        <f>ROUND(Acessórios!BB218/P443,1)&amp;" %"</f>
        <v>#DIV/0!</v>
      </c>
      <c r="G443" s="1660" t="str">
        <f>IF(OR(Acessórios!AN218="Restrição",Acessórios!BF218="Restrição",Acessórios!BW218="Restrição"),"Restrição",IF(OR(Acessórios!AN218="Não",Acessórios!BF218="Não",Acessórios!BW218="Não"),"Não","Sim"))</f>
        <v>Sim</v>
      </c>
      <c r="K443" s="2054" t="s">
        <v>649</v>
      </c>
      <c r="L443" s="2118" t="str">
        <f t="shared" si="21"/>
        <v>Conforme</v>
      </c>
    </row>
    <row r="444" spans="1:12" ht="15" customHeight="1" x14ac:dyDescent="0.25">
      <c r="A444" s="1653" t="str">
        <f>Acessórios!A219</f>
        <v>13 x 18</v>
      </c>
      <c r="B444" s="1658">
        <f>Acessórios!B219</f>
        <v>50</v>
      </c>
      <c r="C444" s="1659">
        <f>Acessórios!W219</f>
        <v>2</v>
      </c>
      <c r="D444" s="1957" t="e">
        <f>Acessórios!AK219&amp;" %"</f>
        <v>#DIV/0!</v>
      </c>
      <c r="E444" s="1657">
        <f>Acessórios!AO219</f>
        <v>4.5</v>
      </c>
      <c r="F444" s="1959" t="e">
        <f>ROUND(Acessórios!BB219/P444,1)&amp;" %"</f>
        <v>#DIV/0!</v>
      </c>
      <c r="G444" s="1660" t="str">
        <f>IF(OR(Acessórios!AN219="Restrição",Acessórios!BF219="Restrição",Acessórios!BW219="Restrição"),"Restrição",IF(OR(Acessórios!AN219="Não",Acessórios!BF219="Não",Acessórios!BW219="Não"),"Não","Sim"))</f>
        <v>Sim</v>
      </c>
      <c r="K444" s="2054" t="s">
        <v>649</v>
      </c>
      <c r="L444" s="2118" t="str">
        <f t="shared" si="21"/>
        <v>Conforme</v>
      </c>
    </row>
    <row r="445" spans="1:12" ht="15" customHeight="1" x14ac:dyDescent="0.25">
      <c r="A445" s="1653" t="str">
        <f>Acessórios!A220</f>
        <v>13 x 18</v>
      </c>
      <c r="B445" s="1658">
        <f>Acessórios!B220</f>
        <v>51</v>
      </c>
      <c r="C445" s="1659">
        <f>Acessórios!W220</f>
        <v>2</v>
      </c>
      <c r="D445" s="1957" t="e">
        <f>Acessórios!AK220&amp;" %"</f>
        <v>#DIV/0!</v>
      </c>
      <c r="E445" s="1657">
        <f>Acessórios!AO220</f>
        <v>4.5</v>
      </c>
      <c r="F445" s="1959" t="e">
        <f>ROUND(Acessórios!BB220/P445,1)&amp;" %"</f>
        <v>#DIV/0!</v>
      </c>
      <c r="G445" s="1660" t="str">
        <f>IF(OR(Acessórios!AN220="Restrição",Acessórios!BF220="Restrição",Acessórios!BW220="Restrição"),"Restrição",IF(OR(Acessórios!AN220="Não",Acessórios!BF220="Não",Acessórios!BW220="Não"),"Não","Sim"))</f>
        <v>Sim</v>
      </c>
      <c r="K445" s="2054" t="s">
        <v>649</v>
      </c>
      <c r="L445" s="2118" t="str">
        <f t="shared" si="21"/>
        <v>Conforme</v>
      </c>
    </row>
    <row r="446" spans="1:12" ht="15" customHeight="1" x14ac:dyDescent="0.25">
      <c r="A446" s="1653" t="str">
        <f>Acessórios!A221</f>
        <v>13 x 18</v>
      </c>
      <c r="B446" s="1658">
        <f>Acessórios!B221</f>
        <v>52</v>
      </c>
      <c r="C446" s="1659">
        <f>Acessórios!W221</f>
        <v>2</v>
      </c>
      <c r="D446" s="1957" t="e">
        <f>Acessórios!AK221&amp;" %"</f>
        <v>#DIV/0!</v>
      </c>
      <c r="E446" s="1657">
        <f>Acessórios!AO221</f>
        <v>4.5</v>
      </c>
      <c r="F446" s="1959" t="e">
        <f>ROUND(Acessórios!BB221/P446,1)&amp;" %"</f>
        <v>#DIV/0!</v>
      </c>
      <c r="G446" s="1660" t="str">
        <f>IF(OR(Acessórios!AN221="Restrição",Acessórios!BF221="Restrição",Acessórios!BW221="Restrição"),"Restrição",IF(OR(Acessórios!AN221="Não",Acessórios!BF221="Não",Acessórios!BW221="Não"),"Não","Sim"))</f>
        <v>Sim</v>
      </c>
      <c r="K446" s="2054" t="s">
        <v>649</v>
      </c>
      <c r="L446" s="2118" t="str">
        <f t="shared" si="21"/>
        <v>Conforme</v>
      </c>
    </row>
    <row r="447" spans="1:12" ht="15" customHeight="1" x14ac:dyDescent="0.25">
      <c r="A447" s="1653" t="str">
        <f>Acessórios!A222</f>
        <v>13 x 18</v>
      </c>
      <c r="B447" s="1658">
        <f>Acessórios!B222</f>
        <v>53</v>
      </c>
      <c r="C447" s="1659">
        <f>Acessórios!W222</f>
        <v>2</v>
      </c>
      <c r="D447" s="1957" t="e">
        <f>Acessórios!AK222&amp;" %"</f>
        <v>#DIV/0!</v>
      </c>
      <c r="E447" s="1657">
        <f>Acessórios!AO222</f>
        <v>4.5</v>
      </c>
      <c r="F447" s="1959" t="e">
        <f>ROUND(Acessórios!BB222/P447,1)&amp;" %"</f>
        <v>#DIV/0!</v>
      </c>
      <c r="G447" s="1660" t="str">
        <f>IF(OR(Acessórios!AN222="Restrição",Acessórios!BF222="Restrição",Acessórios!BW222="Restrição"),"Restrição",IF(OR(Acessórios!AN222="Não",Acessórios!BF222="Não",Acessórios!BW222="Não"),"Não","Sim"))</f>
        <v>Sim</v>
      </c>
      <c r="K447" s="2054" t="s">
        <v>649</v>
      </c>
      <c r="L447" s="2118" t="str">
        <f t="shared" si="21"/>
        <v>Conforme</v>
      </c>
    </row>
    <row r="448" spans="1:12" ht="15" customHeight="1" x14ac:dyDescent="0.25">
      <c r="A448" s="1653" t="str">
        <f>Acessórios!A223</f>
        <v>13 x 18</v>
      </c>
      <c r="B448" s="1658">
        <f>Acessórios!B223</f>
        <v>54</v>
      </c>
      <c r="C448" s="1659">
        <f>Acessórios!W223</f>
        <v>2</v>
      </c>
      <c r="D448" s="1957" t="e">
        <f>Acessórios!AK223&amp;" %"</f>
        <v>#DIV/0!</v>
      </c>
      <c r="E448" s="1657">
        <f>Acessórios!AO223</f>
        <v>4.5</v>
      </c>
      <c r="F448" s="1959" t="e">
        <f>ROUND(Acessórios!BB223/P448,1)&amp;" %"</f>
        <v>#DIV/0!</v>
      </c>
      <c r="G448" s="1660" t="str">
        <f>IF(OR(Acessórios!AN223="Restrição",Acessórios!BF223="Restrição",Acessórios!BW223="Restrição"),"Restrição",IF(OR(Acessórios!AN223="Não",Acessórios!BF223="Não",Acessórios!BW223="Não"),"Não","Sim"))</f>
        <v>Sim</v>
      </c>
      <c r="K448" s="2054" t="s">
        <v>649</v>
      </c>
      <c r="L448" s="2118" t="str">
        <f t="shared" si="21"/>
        <v>Conforme</v>
      </c>
    </row>
    <row r="449" spans="1:12" ht="15" customHeight="1" x14ac:dyDescent="0.25">
      <c r="A449" s="1653" t="str">
        <f>Acessórios!A224</f>
        <v>13 x 18</v>
      </c>
      <c r="B449" s="1658">
        <f>Acessórios!B224</f>
        <v>55</v>
      </c>
      <c r="C449" s="1659">
        <f>Acessórios!W224</f>
        <v>2</v>
      </c>
      <c r="D449" s="1957" t="e">
        <f>Acessórios!AK224&amp;" %"</f>
        <v>#DIV/0!</v>
      </c>
      <c r="E449" s="1657">
        <f>Acessórios!AO224</f>
        <v>4.5</v>
      </c>
      <c r="F449" s="1959" t="e">
        <f>ROUND(Acessórios!BB224/P449,1)&amp;" %"</f>
        <v>#DIV/0!</v>
      </c>
      <c r="G449" s="1660" t="str">
        <f>IF(OR(Acessórios!AN224="Restrição",Acessórios!BF224="Restrição",Acessórios!BW224="Restrição"),"Restrição",IF(OR(Acessórios!AN224="Não",Acessórios!BF224="Não",Acessórios!BW224="Não"),"Não","Sim"))</f>
        <v>Sim</v>
      </c>
      <c r="K449" s="2054" t="s">
        <v>649</v>
      </c>
      <c r="L449" s="2118" t="str">
        <f t="shared" si="21"/>
        <v>Conforme</v>
      </c>
    </row>
    <row r="450" spans="1:12" ht="15" customHeight="1" x14ac:dyDescent="0.25">
      <c r="A450" s="1653" t="str">
        <f>Acessórios!A225</f>
        <v>13 x 18</v>
      </c>
      <c r="B450" s="1658">
        <f>Acessórios!B225</f>
        <v>56</v>
      </c>
      <c r="C450" s="1659">
        <f>Acessórios!W225</f>
        <v>2</v>
      </c>
      <c r="D450" s="1957" t="e">
        <f>Acessórios!AK225&amp;" %"</f>
        <v>#DIV/0!</v>
      </c>
      <c r="E450" s="1657">
        <f>Acessórios!AO225</f>
        <v>4.5</v>
      </c>
      <c r="F450" s="1959" t="e">
        <f>ROUND(Acessórios!BB225/P450,1)&amp;" %"</f>
        <v>#DIV/0!</v>
      </c>
      <c r="G450" s="1660" t="str">
        <f>IF(OR(Acessórios!AN225="Restrição",Acessórios!BF225="Restrição",Acessórios!BW225="Restrição"),"Restrição",IF(OR(Acessórios!AN225="Não",Acessórios!BF225="Não",Acessórios!BW225="Não"),"Não","Sim"))</f>
        <v>Sim</v>
      </c>
      <c r="K450" s="2054" t="s">
        <v>649</v>
      </c>
      <c r="L450" s="2118" t="str">
        <f t="shared" si="21"/>
        <v>Conforme</v>
      </c>
    </row>
    <row r="451" spans="1:12" ht="15" customHeight="1" x14ac:dyDescent="0.25">
      <c r="A451" s="1653" t="str">
        <f>Acessórios!A226</f>
        <v>13 x 18</v>
      </c>
      <c r="B451" s="1658">
        <f>Acessórios!B226</f>
        <v>57</v>
      </c>
      <c r="C451" s="1659">
        <f>Acessórios!W226</f>
        <v>2</v>
      </c>
      <c r="D451" s="1957" t="e">
        <f>Acessórios!AK226&amp;" %"</f>
        <v>#DIV/0!</v>
      </c>
      <c r="E451" s="1657">
        <f>Acessórios!AO226</f>
        <v>4.5</v>
      </c>
      <c r="F451" s="1959" t="e">
        <f>ROUND(Acessórios!BB226/P451,1)&amp;" %"</f>
        <v>#DIV/0!</v>
      </c>
      <c r="G451" s="1660" t="str">
        <f>IF(OR(Acessórios!AN226="Restrição",Acessórios!BF226="Restrição",Acessórios!BW226="Restrição"),"Restrição",IF(OR(Acessórios!AN226="Não",Acessórios!BF226="Não",Acessórios!BW226="Não"),"Não","Sim"))</f>
        <v>Sim</v>
      </c>
      <c r="K451" s="2054" t="s">
        <v>649</v>
      </c>
      <c r="L451" s="2118" t="str">
        <f t="shared" si="21"/>
        <v>Conforme</v>
      </c>
    </row>
    <row r="452" spans="1:12" ht="15" customHeight="1" x14ac:dyDescent="0.25">
      <c r="A452" s="1653" t="str">
        <f>Acessórios!A227</f>
        <v>13 x 18</v>
      </c>
      <c r="B452" s="1658">
        <f>Acessórios!B227</f>
        <v>58</v>
      </c>
      <c r="C452" s="1659">
        <f>Acessórios!W227</f>
        <v>2</v>
      </c>
      <c r="D452" s="1957" t="e">
        <f>Acessórios!AK227&amp;" %"</f>
        <v>#DIV/0!</v>
      </c>
      <c r="E452" s="1657">
        <f>Acessórios!AO227</f>
        <v>4.5</v>
      </c>
      <c r="F452" s="1959" t="e">
        <f>ROUND(Acessórios!BB227/P452,1)&amp;" %"</f>
        <v>#DIV/0!</v>
      </c>
      <c r="G452" s="1660" t="str">
        <f>IF(OR(Acessórios!AN227="Restrição",Acessórios!BF227="Restrição",Acessórios!BW227="Restrição"),"Restrição",IF(OR(Acessórios!AN227="Não",Acessórios!BF227="Não",Acessórios!BW227="Não"),"Não","Sim"))</f>
        <v>Sim</v>
      </c>
      <c r="K452" s="2054" t="s">
        <v>649</v>
      </c>
      <c r="L452" s="2118" t="str">
        <f t="shared" si="21"/>
        <v>Conforme</v>
      </c>
    </row>
    <row r="453" spans="1:12" ht="15" customHeight="1" x14ac:dyDescent="0.25">
      <c r="A453" s="1653" t="str">
        <f>Acessórios!A228</f>
        <v>13 x 18</v>
      </c>
      <c r="B453" s="1658">
        <f>Acessórios!B228</f>
        <v>59</v>
      </c>
      <c r="C453" s="1659">
        <f>Acessórios!W228</f>
        <v>2</v>
      </c>
      <c r="D453" s="1957" t="e">
        <f>Acessórios!AK228&amp;" %"</f>
        <v>#DIV/0!</v>
      </c>
      <c r="E453" s="1657">
        <f>Acessórios!AO228</f>
        <v>4.5</v>
      </c>
      <c r="F453" s="1959" t="e">
        <f>ROUND(Acessórios!BB228/P453,1)&amp;" %"</f>
        <v>#DIV/0!</v>
      </c>
      <c r="G453" s="1660" t="str">
        <f>IF(OR(Acessórios!AN228="Restrição",Acessórios!BF228="Restrição",Acessórios!BW228="Restrição"),"Restrição",IF(OR(Acessórios!AN228="Não",Acessórios!BF228="Não",Acessórios!BW228="Não"),"Não","Sim"))</f>
        <v>Sim</v>
      </c>
      <c r="K453" s="2054" t="s">
        <v>649</v>
      </c>
      <c r="L453" s="2118" t="str">
        <f t="shared" si="21"/>
        <v>Conforme</v>
      </c>
    </row>
    <row r="454" spans="1:12" ht="15" customHeight="1" x14ac:dyDescent="0.25">
      <c r="A454" s="1653" t="str">
        <f>Acessórios!A229</f>
        <v>13 x 18</v>
      </c>
      <c r="B454" s="1658">
        <f>Acessórios!B229</f>
        <v>60</v>
      </c>
      <c r="C454" s="1659">
        <f>Acessórios!W229</f>
        <v>2</v>
      </c>
      <c r="D454" s="1957" t="e">
        <f>Acessórios!AK229&amp;" %"</f>
        <v>#DIV/0!</v>
      </c>
      <c r="E454" s="1657">
        <f>Acessórios!AO229</f>
        <v>4.5</v>
      </c>
      <c r="F454" s="1959" t="e">
        <f>ROUND(Acessórios!BB229/P454,1)&amp;" %"</f>
        <v>#DIV/0!</v>
      </c>
      <c r="G454" s="1660" t="str">
        <f>IF(OR(Acessórios!AN229="Restrição",Acessórios!BF229="Restrição",Acessórios!BW229="Restrição"),"Restrição",IF(OR(Acessórios!AN229="Não",Acessórios!BF229="Não",Acessórios!BW229="Não"),"Não","Sim"))</f>
        <v>Sim</v>
      </c>
      <c r="K454" s="2054" t="s">
        <v>649</v>
      </c>
      <c r="L454" s="2118" t="str">
        <f t="shared" si="21"/>
        <v>Conforme</v>
      </c>
    </row>
    <row r="455" spans="1:12" ht="15" customHeight="1" x14ac:dyDescent="0.25">
      <c r="A455" s="1653" t="str">
        <f>Acessórios!A230</f>
        <v>13 x 18</v>
      </c>
      <c r="B455" s="1658">
        <f>Acessórios!B230</f>
        <v>61</v>
      </c>
      <c r="C455" s="1659">
        <f>Acessórios!W230</f>
        <v>2</v>
      </c>
      <c r="D455" s="1957" t="e">
        <f>Acessórios!AK230&amp;" %"</f>
        <v>#DIV/0!</v>
      </c>
      <c r="E455" s="1657">
        <f>Acessórios!AO230</f>
        <v>4.5</v>
      </c>
      <c r="F455" s="1959" t="e">
        <f>ROUND(Acessórios!BB230/P455,1)&amp;" %"</f>
        <v>#DIV/0!</v>
      </c>
      <c r="G455" s="1660" t="str">
        <f>IF(OR(Acessórios!AN230="Restrição",Acessórios!BF230="Restrição",Acessórios!BW230="Restrição"),"Restrição",IF(OR(Acessórios!AN230="Não",Acessórios!BF230="Não",Acessórios!BW230="Não"),"Não","Sim"))</f>
        <v>Sim</v>
      </c>
      <c r="K455" s="2054" t="s">
        <v>649</v>
      </c>
      <c r="L455" s="2118" t="str">
        <f t="shared" si="21"/>
        <v>Conforme</v>
      </c>
    </row>
    <row r="456" spans="1:12" ht="15" customHeight="1" x14ac:dyDescent="0.25">
      <c r="A456" s="1653" t="str">
        <f>Acessórios!A231</f>
        <v>13 x 18</v>
      </c>
      <c r="B456" s="1658">
        <f>Acessórios!B231</f>
        <v>62</v>
      </c>
      <c r="C456" s="1659">
        <f>Acessórios!W231</f>
        <v>2</v>
      </c>
      <c r="D456" s="1957" t="e">
        <f>Acessórios!AK231&amp;" %"</f>
        <v>#DIV/0!</v>
      </c>
      <c r="E456" s="1657">
        <f>Acessórios!AO231</f>
        <v>4.5</v>
      </c>
      <c r="F456" s="1959" t="e">
        <f>ROUND(Acessórios!BB231/P456,1)&amp;" %"</f>
        <v>#DIV/0!</v>
      </c>
      <c r="G456" s="1660" t="str">
        <f>IF(OR(Acessórios!AN231="Restrição",Acessórios!BF231="Restrição",Acessórios!BW231="Restrição"),"Restrição",IF(OR(Acessórios!AN231="Não",Acessórios!BF231="Não",Acessórios!BW231="Não"),"Não","Sim"))</f>
        <v>Sim</v>
      </c>
      <c r="K456" s="2054" t="s">
        <v>649</v>
      </c>
      <c r="L456" s="2118" t="str">
        <f t="shared" si="21"/>
        <v>Conforme</v>
      </c>
    </row>
    <row r="457" spans="1:12" ht="15" customHeight="1" x14ac:dyDescent="0.25">
      <c r="A457" s="1653" t="str">
        <f>Acessórios!A232</f>
        <v>13 x 18</v>
      </c>
      <c r="B457" s="1658">
        <f>Acessórios!B232</f>
        <v>63</v>
      </c>
      <c r="C457" s="1659">
        <f>Acessórios!W232</f>
        <v>2</v>
      </c>
      <c r="D457" s="1957" t="e">
        <f>Acessórios!AK232&amp;" %"</f>
        <v>#DIV/0!</v>
      </c>
      <c r="E457" s="1657">
        <f>Acessórios!AO232</f>
        <v>4.5</v>
      </c>
      <c r="F457" s="1959" t="e">
        <f>ROUND(Acessórios!BB232/P457,1)&amp;" %"</f>
        <v>#DIV/0!</v>
      </c>
      <c r="G457" s="1660" t="str">
        <f>IF(OR(Acessórios!AN232="Restrição",Acessórios!BF232="Restrição",Acessórios!BW232="Restrição"),"Restrição",IF(OR(Acessórios!AN232="Não",Acessórios!BF232="Não",Acessórios!BW232="Não"),"Não","Sim"))</f>
        <v>Sim</v>
      </c>
      <c r="K457" s="2054" t="s">
        <v>649</v>
      </c>
      <c r="L457" s="2118" t="str">
        <f t="shared" si="21"/>
        <v>Conforme</v>
      </c>
    </row>
    <row r="458" spans="1:12" ht="15" customHeight="1" x14ac:dyDescent="0.25">
      <c r="A458" s="1653" t="str">
        <f>Acessórios!A233</f>
        <v>13 x 18</v>
      </c>
      <c r="B458" s="1658">
        <f>Acessórios!B233</f>
        <v>64</v>
      </c>
      <c r="C458" s="1659">
        <f>Acessórios!W233</f>
        <v>2</v>
      </c>
      <c r="D458" s="1957" t="e">
        <f>Acessórios!AK233&amp;" %"</f>
        <v>#DIV/0!</v>
      </c>
      <c r="E458" s="1657">
        <f>Acessórios!AO233</f>
        <v>4.5</v>
      </c>
      <c r="F458" s="1959" t="e">
        <f>ROUND(Acessórios!BB233/P458,1)&amp;" %"</f>
        <v>#DIV/0!</v>
      </c>
      <c r="G458" s="1660" t="str">
        <f>IF(OR(Acessórios!AN233="Restrição",Acessórios!BF233="Restrição",Acessórios!BW233="Restrição"),"Restrição",IF(OR(Acessórios!AN233="Não",Acessórios!BF233="Não",Acessórios!BW233="Não"),"Não","Sim"))</f>
        <v>Sim</v>
      </c>
      <c r="K458" s="2054" t="s">
        <v>649</v>
      </c>
      <c r="L458" s="2118" t="str">
        <f t="shared" si="21"/>
        <v>Conforme</v>
      </c>
    </row>
    <row r="459" spans="1:12" ht="15" customHeight="1" x14ac:dyDescent="0.25">
      <c r="A459" s="1653" t="str">
        <f>Acessórios!A234</f>
        <v>13 x 18</v>
      </c>
      <c r="B459" s="1658">
        <f>Acessórios!B234</f>
        <v>65</v>
      </c>
      <c r="C459" s="1659">
        <f>Acessórios!W234</f>
        <v>2</v>
      </c>
      <c r="D459" s="1957" t="e">
        <f>Acessórios!AK234&amp;" %"</f>
        <v>#DIV/0!</v>
      </c>
      <c r="E459" s="1657">
        <f>Acessórios!AO234</f>
        <v>4.5</v>
      </c>
      <c r="F459" s="1959" t="e">
        <f>ROUND(Acessórios!BB234/P459,1)&amp;" %"</f>
        <v>#DIV/0!</v>
      </c>
      <c r="G459" s="1660" t="str">
        <f>IF(OR(Acessórios!AN234="Restrição",Acessórios!BF234="Restrição",Acessórios!BW234="Restrição"),"Restrição",IF(OR(Acessórios!AN234="Não",Acessórios!BF234="Não",Acessórios!BW234="Não"),"Não","Sim"))</f>
        <v>Sim</v>
      </c>
      <c r="K459" s="2054" t="s">
        <v>649</v>
      </c>
      <c r="L459" s="2118" t="str">
        <f t="shared" si="21"/>
        <v>Conforme</v>
      </c>
    </row>
    <row r="460" spans="1:12" ht="15" customHeight="1" x14ac:dyDescent="0.25">
      <c r="A460" s="1653" t="str">
        <f>Acessórios!A235</f>
        <v>13 x 18</v>
      </c>
      <c r="B460" s="1658">
        <f>Acessórios!B235</f>
        <v>66</v>
      </c>
      <c r="C460" s="1659">
        <f>Acessórios!W235</f>
        <v>2</v>
      </c>
      <c r="D460" s="1957" t="e">
        <f>Acessórios!AK235&amp;" %"</f>
        <v>#DIV/0!</v>
      </c>
      <c r="E460" s="1657">
        <f>Acessórios!AO235</f>
        <v>4.5</v>
      </c>
      <c r="F460" s="1959" t="e">
        <f>ROUND(Acessórios!BB235/P460,1)&amp;" %"</f>
        <v>#DIV/0!</v>
      </c>
      <c r="G460" s="1660" t="str">
        <f>IF(OR(Acessórios!AN235="Restrição",Acessórios!BF235="Restrição",Acessórios!BW235="Restrição"),"Restrição",IF(OR(Acessórios!AN235="Não",Acessórios!BF235="Não",Acessórios!BW235="Não"),"Não","Sim"))</f>
        <v>Sim</v>
      </c>
      <c r="K460" s="2054" t="s">
        <v>649</v>
      </c>
      <c r="L460" s="2118" t="str">
        <f t="shared" ref="L460:L474" si="22">IF(OR(G460="Não",G460="Restrição"),"Não Conforme",IF(G460="Sim","Conforme","NPA"))</f>
        <v>Conforme</v>
      </c>
    </row>
    <row r="461" spans="1:12" ht="15" customHeight="1" x14ac:dyDescent="0.25">
      <c r="A461" s="1653" t="str">
        <f>Acessórios!A236</f>
        <v>13 x 18</v>
      </c>
      <c r="B461" s="1658">
        <f>Acessórios!B236</f>
        <v>67</v>
      </c>
      <c r="C461" s="1659">
        <f>Acessórios!W236</f>
        <v>2</v>
      </c>
      <c r="D461" s="1957" t="e">
        <f>Acessórios!AK236&amp;" %"</f>
        <v>#DIV/0!</v>
      </c>
      <c r="E461" s="1657">
        <f>Acessórios!AO236</f>
        <v>4.5</v>
      </c>
      <c r="F461" s="1959" t="e">
        <f>ROUND(Acessórios!BB236/P461,1)&amp;" %"</f>
        <v>#DIV/0!</v>
      </c>
      <c r="G461" s="1660" t="str">
        <f>IF(OR(Acessórios!AN236="Restrição",Acessórios!BF236="Restrição",Acessórios!BW236="Restrição"),"Restrição",IF(OR(Acessórios!AN236="Não",Acessórios!BF236="Não",Acessórios!BW236="Não"),"Não","Sim"))</f>
        <v>Sim</v>
      </c>
      <c r="K461" s="2054" t="s">
        <v>649</v>
      </c>
      <c r="L461" s="2118" t="str">
        <f t="shared" si="22"/>
        <v>Conforme</v>
      </c>
    </row>
    <row r="462" spans="1:12" ht="15" customHeight="1" x14ac:dyDescent="0.25">
      <c r="A462" s="1653" t="str">
        <f>Acessórios!A237</f>
        <v>13 x 18</v>
      </c>
      <c r="B462" s="1658">
        <f>Acessórios!B237</f>
        <v>68</v>
      </c>
      <c r="C462" s="1659">
        <f>Acessórios!W237</f>
        <v>2</v>
      </c>
      <c r="D462" s="1957" t="e">
        <f>Acessórios!AK237&amp;" %"</f>
        <v>#DIV/0!</v>
      </c>
      <c r="E462" s="1657">
        <f>Acessórios!AO237</f>
        <v>4.5</v>
      </c>
      <c r="F462" s="1959" t="e">
        <f>ROUND(Acessórios!BB237/P462,1)&amp;" %"</f>
        <v>#DIV/0!</v>
      </c>
      <c r="G462" s="1660" t="str">
        <f>IF(OR(Acessórios!AN237="Restrição",Acessórios!BF237="Restrição",Acessórios!BW237="Restrição"),"Restrição",IF(OR(Acessórios!AN237="Não",Acessórios!BF237="Não",Acessórios!BW237="Não"),"Não","Sim"))</f>
        <v>Sim</v>
      </c>
      <c r="K462" s="2054" t="s">
        <v>649</v>
      </c>
      <c r="L462" s="2118" t="str">
        <f t="shared" si="22"/>
        <v>Conforme</v>
      </c>
    </row>
    <row r="463" spans="1:12" ht="15" customHeight="1" x14ac:dyDescent="0.25">
      <c r="A463" s="1653" t="str">
        <f>Acessórios!A238</f>
        <v>13 x 18</v>
      </c>
      <c r="B463" s="1658">
        <f>Acessórios!B238</f>
        <v>69</v>
      </c>
      <c r="C463" s="1659">
        <f>Acessórios!W238</f>
        <v>2</v>
      </c>
      <c r="D463" s="1957" t="e">
        <f>Acessórios!AK238&amp;" %"</f>
        <v>#DIV/0!</v>
      </c>
      <c r="E463" s="1657">
        <f>Acessórios!AO238</f>
        <v>4.5</v>
      </c>
      <c r="F463" s="1959" t="e">
        <f>ROUND(Acessórios!BB238/P463,1)&amp;" %"</f>
        <v>#DIV/0!</v>
      </c>
      <c r="G463" s="1660" t="str">
        <f>IF(OR(Acessórios!AN238="Restrição",Acessórios!BF238="Restrição",Acessórios!BW238="Restrição"),"Restrição",IF(OR(Acessórios!AN238="Não",Acessórios!BF238="Não",Acessórios!BW238="Não"),"Não","Sim"))</f>
        <v>Sim</v>
      </c>
      <c r="K463" s="2054" t="s">
        <v>649</v>
      </c>
      <c r="L463" s="2118" t="str">
        <f t="shared" si="22"/>
        <v>Conforme</v>
      </c>
    </row>
    <row r="464" spans="1:12" ht="15" customHeight="1" x14ac:dyDescent="0.25">
      <c r="A464" s="1653" t="str">
        <f>Acessórios!A239</f>
        <v>13 x 18</v>
      </c>
      <c r="B464" s="1658">
        <f>Acessórios!B239</f>
        <v>70</v>
      </c>
      <c r="C464" s="1659">
        <f>Acessórios!W239</f>
        <v>2</v>
      </c>
      <c r="D464" s="1957" t="e">
        <f>Acessórios!AK239&amp;" %"</f>
        <v>#DIV/0!</v>
      </c>
      <c r="E464" s="1657">
        <f>Acessórios!AO239</f>
        <v>4.5</v>
      </c>
      <c r="F464" s="1959" t="e">
        <f>ROUND(Acessórios!BB239/P464,1)&amp;" %"</f>
        <v>#DIV/0!</v>
      </c>
      <c r="G464" s="1660" t="str">
        <f>IF(OR(Acessórios!AN239="Restrição",Acessórios!BF239="Restrição",Acessórios!BW239="Restrição"),"Restrição",IF(OR(Acessórios!AN239="Não",Acessórios!BF239="Não",Acessórios!BW239="Não"),"Não","Sim"))</f>
        <v>Sim</v>
      </c>
      <c r="K464" s="2054" t="s">
        <v>649</v>
      </c>
      <c r="L464" s="2118" t="str">
        <f t="shared" si="22"/>
        <v>Conforme</v>
      </c>
    </row>
    <row r="465" spans="1:12" ht="15" customHeight="1" x14ac:dyDescent="0.25">
      <c r="A465" s="1653" t="str">
        <f>Acessórios!A240</f>
        <v>13 x 18</v>
      </c>
      <c r="B465" s="1658">
        <f>Acessórios!B240</f>
        <v>71</v>
      </c>
      <c r="C465" s="1659">
        <f>Acessórios!W240</f>
        <v>2</v>
      </c>
      <c r="D465" s="1957" t="e">
        <f>Acessórios!AK240&amp;" %"</f>
        <v>#DIV/0!</v>
      </c>
      <c r="E465" s="1657">
        <f>Acessórios!AO240</f>
        <v>4.5</v>
      </c>
      <c r="F465" s="1959" t="e">
        <f>ROUND(Acessórios!BB240/P465,1)&amp;" %"</f>
        <v>#DIV/0!</v>
      </c>
      <c r="G465" s="1660" t="str">
        <f>IF(OR(Acessórios!AN240="Restrição",Acessórios!BF240="Restrição",Acessórios!BW240="Restrição"),"Restrição",IF(OR(Acessórios!AN240="Não",Acessórios!BF240="Não",Acessórios!BW240="Não"),"Não","Sim"))</f>
        <v>Sim</v>
      </c>
      <c r="K465" s="2054" t="s">
        <v>649</v>
      </c>
      <c r="L465" s="2118" t="str">
        <f t="shared" si="22"/>
        <v>Conforme</v>
      </c>
    </row>
    <row r="466" spans="1:12" ht="15" customHeight="1" x14ac:dyDescent="0.25">
      <c r="A466" s="1653" t="str">
        <f>Acessórios!A241</f>
        <v>13 x 18</v>
      </c>
      <c r="B466" s="1658">
        <f>Acessórios!B241</f>
        <v>72</v>
      </c>
      <c r="C466" s="1659">
        <f>Acessórios!W241</f>
        <v>2</v>
      </c>
      <c r="D466" s="1957" t="e">
        <f>Acessórios!AK241&amp;" %"</f>
        <v>#DIV/0!</v>
      </c>
      <c r="E466" s="1657">
        <f>Acessórios!AO241</f>
        <v>4.5</v>
      </c>
      <c r="F466" s="1959" t="e">
        <f>ROUND(Acessórios!BB241/P466,1)&amp;" %"</f>
        <v>#DIV/0!</v>
      </c>
      <c r="G466" s="1660" t="str">
        <f>IF(OR(Acessórios!AN241="Restrição",Acessórios!BF241="Restrição",Acessórios!BW241="Restrição"),"Restrição",IF(OR(Acessórios!AN241="Não",Acessórios!BF241="Não",Acessórios!BW241="Não"),"Não","Sim"))</f>
        <v>Sim</v>
      </c>
      <c r="K466" s="2054" t="s">
        <v>649</v>
      </c>
      <c r="L466" s="2118" t="str">
        <f t="shared" si="22"/>
        <v>Conforme</v>
      </c>
    </row>
    <row r="467" spans="1:12" ht="15" customHeight="1" x14ac:dyDescent="0.25">
      <c r="A467" s="1653" t="str">
        <f>Acessórios!A242</f>
        <v>13 x 18</v>
      </c>
      <c r="B467" s="1658">
        <f>Acessórios!B242</f>
        <v>73</v>
      </c>
      <c r="C467" s="1659">
        <f>Acessórios!W242</f>
        <v>2</v>
      </c>
      <c r="D467" s="1957" t="e">
        <f>Acessórios!AK242&amp;" %"</f>
        <v>#DIV/0!</v>
      </c>
      <c r="E467" s="1657">
        <f>Acessórios!AO242</f>
        <v>4.5</v>
      </c>
      <c r="F467" s="1959" t="e">
        <f>ROUND(Acessórios!BB242/P467,1)&amp;" %"</f>
        <v>#DIV/0!</v>
      </c>
      <c r="G467" s="1660" t="str">
        <f>IF(OR(Acessórios!AN242="Restrição",Acessórios!BF242="Restrição",Acessórios!BW242="Restrição"),"Restrição",IF(OR(Acessórios!AN242="Não",Acessórios!BF242="Não",Acessórios!BW242="Não"),"Não","Sim"))</f>
        <v>Sim</v>
      </c>
      <c r="K467" s="2054" t="s">
        <v>649</v>
      </c>
      <c r="L467" s="2118" t="str">
        <f t="shared" si="22"/>
        <v>Conforme</v>
      </c>
    </row>
    <row r="468" spans="1:12" ht="15" customHeight="1" x14ac:dyDescent="0.25">
      <c r="A468" s="1653" t="str">
        <f>Acessórios!A243</f>
        <v>13 x 18</v>
      </c>
      <c r="B468" s="1658">
        <f>Acessórios!B243</f>
        <v>74</v>
      </c>
      <c r="C468" s="1659">
        <f>Acessórios!W243</f>
        <v>2</v>
      </c>
      <c r="D468" s="1957" t="e">
        <f>Acessórios!AK243&amp;" %"</f>
        <v>#DIV/0!</v>
      </c>
      <c r="E468" s="1657">
        <f>Acessórios!AO243</f>
        <v>4.5</v>
      </c>
      <c r="F468" s="1959" t="e">
        <f>ROUND(Acessórios!BB243/P468,1)&amp;" %"</f>
        <v>#DIV/0!</v>
      </c>
      <c r="G468" s="1660" t="str">
        <f>IF(OR(Acessórios!AN243="Restrição",Acessórios!BF243="Restrição",Acessórios!BW243="Restrição"),"Restrição",IF(OR(Acessórios!AN243="Não",Acessórios!BF243="Não",Acessórios!BW243="Não"),"Não","Sim"))</f>
        <v>Sim</v>
      </c>
      <c r="K468" s="2054" t="s">
        <v>649</v>
      </c>
      <c r="L468" s="2118" t="str">
        <f t="shared" si="22"/>
        <v>Conforme</v>
      </c>
    </row>
    <row r="469" spans="1:12" ht="15" customHeight="1" x14ac:dyDescent="0.25">
      <c r="A469" s="1653" t="str">
        <f>Acessórios!A244</f>
        <v>13 x 18</v>
      </c>
      <c r="B469" s="1658">
        <f>Acessórios!B244</f>
        <v>75</v>
      </c>
      <c r="C469" s="1659">
        <f>Acessórios!W244</f>
        <v>2</v>
      </c>
      <c r="D469" s="1957" t="e">
        <f>Acessórios!AK244&amp;" %"</f>
        <v>#DIV/0!</v>
      </c>
      <c r="E469" s="1657">
        <f>Acessórios!AO244</f>
        <v>4.5</v>
      </c>
      <c r="F469" s="1959" t="e">
        <f>ROUND(Acessórios!BB244/P469,1)&amp;" %"</f>
        <v>#DIV/0!</v>
      </c>
      <c r="G469" s="1660" t="str">
        <f>IF(OR(Acessórios!AN244="Restrição",Acessórios!BF244="Restrição",Acessórios!BW244="Restrição"),"Restrição",IF(OR(Acessórios!AN244="Não",Acessórios!BF244="Não",Acessórios!BW244="Não"),"Não","Sim"))</f>
        <v>Sim</v>
      </c>
      <c r="K469" s="2054" t="s">
        <v>649</v>
      </c>
      <c r="L469" s="2118" t="str">
        <f t="shared" si="22"/>
        <v>Conforme</v>
      </c>
    </row>
    <row r="470" spans="1:12" ht="15" customHeight="1" x14ac:dyDescent="0.25">
      <c r="A470" s="1653" t="str">
        <f>Acessórios!A245</f>
        <v>13 x 18</v>
      </c>
      <c r="B470" s="1658">
        <f>Acessórios!B245</f>
        <v>76</v>
      </c>
      <c r="C470" s="1659">
        <f>Acessórios!W245</f>
        <v>2</v>
      </c>
      <c r="D470" s="1957" t="e">
        <f>Acessórios!AK245&amp;" %"</f>
        <v>#DIV/0!</v>
      </c>
      <c r="E470" s="1657">
        <f>Acessórios!AO245</f>
        <v>4.5</v>
      </c>
      <c r="F470" s="1959" t="e">
        <f>ROUND(Acessórios!BB245/P470,1)&amp;" %"</f>
        <v>#DIV/0!</v>
      </c>
      <c r="G470" s="1660" t="str">
        <f>IF(OR(Acessórios!AN245="Restrição",Acessórios!BF245="Restrição",Acessórios!BW245="Restrição"),"Restrição",IF(OR(Acessórios!AN245="Não",Acessórios!BF245="Não",Acessórios!BW245="Não"),"Não","Sim"))</f>
        <v>Sim</v>
      </c>
      <c r="K470" s="2054" t="s">
        <v>649</v>
      </c>
      <c r="L470" s="2118" t="str">
        <f t="shared" si="22"/>
        <v>Conforme</v>
      </c>
    </row>
    <row r="471" spans="1:12" ht="15" customHeight="1" x14ac:dyDescent="0.25">
      <c r="A471" s="1653" t="str">
        <f>Acessórios!A246</f>
        <v>13 x 18</v>
      </c>
      <c r="B471" s="1658">
        <f>Acessórios!B246</f>
        <v>77</v>
      </c>
      <c r="C471" s="1659">
        <f>Acessórios!W246</f>
        <v>2</v>
      </c>
      <c r="D471" s="1957" t="e">
        <f>Acessórios!AK246&amp;" %"</f>
        <v>#DIV/0!</v>
      </c>
      <c r="E471" s="1657">
        <f>Acessórios!AO246</f>
        <v>4.5</v>
      </c>
      <c r="F471" s="1959" t="e">
        <f>ROUND(Acessórios!BB246/P471,1)&amp;" %"</f>
        <v>#DIV/0!</v>
      </c>
      <c r="G471" s="1660" t="str">
        <f>IF(OR(Acessórios!AN246="Restrição",Acessórios!BF246="Restrição",Acessórios!BW246="Restrição"),"Restrição",IF(OR(Acessórios!AN246="Não",Acessórios!BF246="Não",Acessórios!BW246="Não"),"Não","Sim"))</f>
        <v>Sim</v>
      </c>
      <c r="K471" s="2054" t="s">
        <v>649</v>
      </c>
      <c r="L471" s="2118" t="str">
        <f t="shared" si="22"/>
        <v>Conforme</v>
      </c>
    </row>
    <row r="472" spans="1:12" ht="15" customHeight="1" x14ac:dyDescent="0.25">
      <c r="A472" s="1653" t="str">
        <f>Acessórios!A247</f>
        <v>13 x 18</v>
      </c>
      <c r="B472" s="1658">
        <f>Acessórios!B247</f>
        <v>78</v>
      </c>
      <c r="C472" s="1659">
        <f>Acessórios!W247</f>
        <v>2</v>
      </c>
      <c r="D472" s="1957" t="e">
        <f>Acessórios!AK247&amp;" %"</f>
        <v>#DIV/0!</v>
      </c>
      <c r="E472" s="1657">
        <f>Acessórios!AO247</f>
        <v>4.5</v>
      </c>
      <c r="F472" s="1959" t="e">
        <f>ROUND(Acessórios!BB247/P472,1)&amp;" %"</f>
        <v>#DIV/0!</v>
      </c>
      <c r="G472" s="1660" t="str">
        <f>IF(OR(Acessórios!AN247="Restrição",Acessórios!BF247="Restrição",Acessórios!BW247="Restrição"),"Restrição",IF(OR(Acessórios!AN247="Não",Acessórios!BF247="Não",Acessórios!BW247="Não"),"Não","Sim"))</f>
        <v>Sim</v>
      </c>
      <c r="K472" s="2054" t="s">
        <v>649</v>
      </c>
      <c r="L472" s="2118" t="str">
        <f t="shared" si="22"/>
        <v>Conforme</v>
      </c>
    </row>
    <row r="473" spans="1:12" ht="15" customHeight="1" x14ac:dyDescent="0.25">
      <c r="A473" s="1653" t="str">
        <f>Acessórios!A248</f>
        <v>13 x 18</v>
      </c>
      <c r="B473" s="1658">
        <f>Acessórios!B248</f>
        <v>79</v>
      </c>
      <c r="C473" s="1659">
        <f>Acessórios!W248</f>
        <v>2</v>
      </c>
      <c r="D473" s="1957" t="e">
        <f>Acessórios!AK248&amp;" %"</f>
        <v>#DIV/0!</v>
      </c>
      <c r="E473" s="1657">
        <f>Acessórios!AO248</f>
        <v>4.5</v>
      </c>
      <c r="F473" s="1959" t="e">
        <f>ROUND(Acessórios!BB248/P473,1)&amp;" %"</f>
        <v>#DIV/0!</v>
      </c>
      <c r="G473" s="1660" t="str">
        <f>IF(OR(Acessórios!AN248="Restrição",Acessórios!BF248="Restrição",Acessórios!BW248="Restrição"),"Restrição",IF(OR(Acessórios!AN248="Não",Acessórios!BF248="Não",Acessórios!BW248="Não"),"Não","Sim"))</f>
        <v>Sim</v>
      </c>
      <c r="K473" s="2054" t="s">
        <v>649</v>
      </c>
      <c r="L473" s="2118" t="str">
        <f t="shared" si="22"/>
        <v>Conforme</v>
      </c>
    </row>
    <row r="474" spans="1:12" ht="15" customHeight="1" x14ac:dyDescent="0.25">
      <c r="A474" s="1653" t="str">
        <f>Acessórios!A249</f>
        <v>13 x 18</v>
      </c>
      <c r="B474" s="1658">
        <f>Acessórios!B249</f>
        <v>80</v>
      </c>
      <c r="C474" s="1659">
        <f>Acessórios!W249</f>
        <v>2</v>
      </c>
      <c r="D474" s="1957" t="e">
        <f>Acessórios!AK249&amp;" %"</f>
        <v>#DIV/0!</v>
      </c>
      <c r="E474" s="1657">
        <f>Acessórios!AO249</f>
        <v>4.5</v>
      </c>
      <c r="F474" s="1959" t="e">
        <f>ROUND(Acessórios!BB249/P474,1)&amp;" %"</f>
        <v>#DIV/0!</v>
      </c>
      <c r="G474" s="1660" t="str">
        <f>IF(OR(Acessórios!AN249="Restrição",Acessórios!BF249="Restrição",Acessórios!BW249="Restrição"),"Restrição",IF(OR(Acessórios!AN249="Não",Acessórios!BF249="Não",Acessórios!BW249="Não"),"Não","Sim"))</f>
        <v>Sim</v>
      </c>
      <c r="K474" s="2054" t="s">
        <v>649</v>
      </c>
      <c r="L474" s="2118" t="str">
        <f t="shared" si="22"/>
        <v>Conforme</v>
      </c>
    </row>
    <row r="475" spans="1:12" ht="15" customHeight="1" x14ac:dyDescent="0.25">
      <c r="A475" s="1600" t="s">
        <v>1776</v>
      </c>
      <c r="B475" s="1597"/>
      <c r="C475" s="1136"/>
      <c r="D475" s="1594"/>
      <c r="E475" s="1598"/>
      <c r="F475" s="1595"/>
      <c r="G475" s="1136"/>
      <c r="H475" s="1595"/>
      <c r="I475" s="1595"/>
      <c r="K475" s="576" t="str">
        <f>K367</f>
        <v>x</v>
      </c>
    </row>
    <row r="476" spans="1:12" ht="15" customHeight="1" x14ac:dyDescent="0.25">
      <c r="A476" s="1593"/>
      <c r="B476" s="1597"/>
      <c r="C476" s="1136"/>
      <c r="D476" s="1594"/>
      <c r="E476" s="1598"/>
      <c r="F476" s="1595"/>
      <c r="G476" s="1136"/>
      <c r="H476" s="1595"/>
      <c r="I476" s="1595"/>
      <c r="K476" s="576" t="str">
        <f>K475</f>
        <v>x</v>
      </c>
    </row>
    <row r="477" spans="1:12" ht="15" customHeight="1" x14ac:dyDescent="0.25">
      <c r="A477" s="281" t="str">
        <f>L477&amp;". Distorção geométrica da imagem do CR para raios X Convencional"</f>
        <v>2. Distorção geométrica da imagem do CR para raios X Convencional</v>
      </c>
      <c r="K477" s="34" t="str">
        <f>IF(COUNTBLANK(K484:K561)&gt;0,"","x")</f>
        <v>x</v>
      </c>
      <c r="L477" s="34">
        <f>IF(K477="",L367+1,L367)</f>
        <v>2</v>
      </c>
    </row>
    <row r="478" spans="1:12" s="2118" customFormat="1" ht="15" customHeight="1" x14ac:dyDescent="0.25">
      <c r="A478" s="2118" t="s">
        <v>2344</v>
      </c>
      <c r="B478" s="2468" t="s">
        <v>2694</v>
      </c>
      <c r="C478" s="2468"/>
      <c r="D478" s="2468"/>
      <c r="E478" s="2468"/>
      <c r="F478" s="2468"/>
      <c r="G478" s="2468"/>
      <c r="H478" s="2468"/>
      <c r="I478" s="2468"/>
      <c r="J478" s="2468"/>
      <c r="K478" s="2119" t="str">
        <f t="shared" ref="K478:K481" si="23">K473</f>
        <v>x</v>
      </c>
    </row>
    <row r="479" spans="1:12" s="2118" customFormat="1" ht="15" customHeight="1" x14ac:dyDescent="0.25">
      <c r="B479" s="2468"/>
      <c r="C479" s="2468"/>
      <c r="D479" s="2468"/>
      <c r="E479" s="2468"/>
      <c r="F479" s="2468"/>
      <c r="G479" s="2468"/>
      <c r="H479" s="2468"/>
      <c r="I479" s="2468"/>
      <c r="J479" s="2468"/>
      <c r="K479" s="2119" t="str">
        <f t="shared" si="23"/>
        <v>x</v>
      </c>
    </row>
    <row r="480" spans="1:12" s="2118" customFormat="1" ht="15" customHeight="1" x14ac:dyDescent="0.25">
      <c r="A480" s="2118" t="s">
        <v>2695</v>
      </c>
      <c r="K480" s="2119" t="str">
        <f t="shared" si="23"/>
        <v>x</v>
      </c>
    </row>
    <row r="481" spans="1:12" s="2118" customFormat="1" ht="15" customHeight="1" x14ac:dyDescent="0.25">
      <c r="A481" s="2118" t="s">
        <v>2685</v>
      </c>
      <c r="K481" s="2119" t="str">
        <f t="shared" si="23"/>
        <v>x</v>
      </c>
    </row>
    <row r="482" spans="1:12" ht="15" customHeight="1" x14ac:dyDescent="0.25">
      <c r="K482" s="576" t="str">
        <f>K477</f>
        <v>x</v>
      </c>
    </row>
    <row r="483" spans="1:12" ht="15" customHeight="1" x14ac:dyDescent="0.25">
      <c r="A483" s="1652" t="s">
        <v>776</v>
      </c>
      <c r="B483" s="1652" t="s">
        <v>1759</v>
      </c>
      <c r="C483" s="3107" t="s">
        <v>1747</v>
      </c>
      <c r="D483" s="3108"/>
      <c r="E483" s="1652" t="str">
        <f>convencional!$B$1</f>
        <v>IN 90</v>
      </c>
      <c r="K483" s="576" t="s">
        <v>649</v>
      </c>
    </row>
    <row r="484" spans="1:12" ht="15" customHeight="1" x14ac:dyDescent="0.25">
      <c r="A484" s="1653" t="str">
        <f>Acessórios!A172</f>
        <v>13 x 18</v>
      </c>
      <c r="B484" s="1658">
        <f>Acessórios!B172</f>
        <v>3</v>
      </c>
      <c r="C484" s="3088" t="str">
        <f>IF(Acessórios!U172="NPA","NPA",Acessórios!U172*100&amp;" %")</f>
        <v>NPA</v>
      </c>
      <c r="D484" s="3089"/>
      <c r="E484" s="1660" t="str">
        <f>Acessórios!V172</f>
        <v>NPA</v>
      </c>
      <c r="K484" s="576" t="str">
        <f t="shared" ref="K484:K546" si="24">IF(E484="NPA","x","")</f>
        <v>x</v>
      </c>
      <c r="L484" s="34" t="str">
        <f>IF(OR(E484="Não",E484="Restrição"),"Não conforme",IF(E484="Sim","Conforme",IF(E484="NPA","",NPA)))</f>
        <v/>
      </c>
    </row>
    <row r="485" spans="1:12" ht="15" customHeight="1" x14ac:dyDescent="0.25">
      <c r="A485" s="1653" t="str">
        <f>Acessórios!A173</f>
        <v>13 x 18</v>
      </c>
      <c r="B485" s="1658">
        <f>Acessórios!B173</f>
        <v>4</v>
      </c>
      <c r="C485" s="3088" t="str">
        <f>IF(Acessórios!U173="NPA","NPA",Acessórios!U173*100&amp;" %")</f>
        <v>NPA</v>
      </c>
      <c r="D485" s="3089"/>
      <c r="E485" s="1660" t="str">
        <f>Acessórios!V173</f>
        <v>NPA</v>
      </c>
      <c r="K485" s="576" t="str">
        <f t="shared" si="24"/>
        <v>x</v>
      </c>
      <c r="L485" s="2137" t="str">
        <f>IF(OR(E485="Não",E485="Restrição"),"Não conforme",IF(E485="Sim","Conforme",IF(E485="NPA","",NPA)))</f>
        <v/>
      </c>
    </row>
    <row r="486" spans="1:12" ht="15" customHeight="1" x14ac:dyDescent="0.25">
      <c r="A486" s="1653" t="str">
        <f>Acessórios!A174</f>
        <v>13 x 18</v>
      </c>
      <c r="B486" s="1658">
        <f>Acessórios!B174</f>
        <v>5</v>
      </c>
      <c r="C486" s="3088" t="str">
        <f>IF(Acessórios!U174="NPA","NPA",Acessórios!U174*100&amp;" %")</f>
        <v>NPA</v>
      </c>
      <c r="D486" s="3089"/>
      <c r="E486" s="1660" t="str">
        <f>Acessórios!V174</f>
        <v>NPA</v>
      </c>
      <c r="K486" s="576" t="str">
        <f t="shared" si="24"/>
        <v>x</v>
      </c>
      <c r="L486" s="2137" t="str">
        <f>IF(OR(E486="Não",E486="Restrição"),"Não conforme",IF(E486="Sim","Conforme",IF(E486="NPA","",NPA)))</f>
        <v/>
      </c>
    </row>
    <row r="487" spans="1:12" ht="15" customHeight="1" x14ac:dyDescent="0.25">
      <c r="A487" s="1653" t="str">
        <f>Acessórios!A175</f>
        <v>13 x 18</v>
      </c>
      <c r="B487" s="1658">
        <f>Acessórios!B175</f>
        <v>6</v>
      </c>
      <c r="C487" s="3088" t="str">
        <f>IF(Acessórios!U175="NPA","NPA",Acessórios!U175*100&amp;" %")</f>
        <v>NPA</v>
      </c>
      <c r="D487" s="3089"/>
      <c r="E487" s="1660" t="str">
        <f>Acessórios!V175</f>
        <v>NPA</v>
      </c>
      <c r="K487" s="576" t="str">
        <f t="shared" si="24"/>
        <v>x</v>
      </c>
      <c r="L487" s="2137" t="str">
        <f>IF(OR(E487="Não",E487="Restrição"),"Não conforme",IF(E487="Sim","Conforme",IF(E487="NPA","",NPA)))</f>
        <v/>
      </c>
    </row>
    <row r="488" spans="1:12" ht="15" customHeight="1" x14ac:dyDescent="0.25">
      <c r="A488" s="1653" t="str">
        <f>Acessórios!A176</f>
        <v>13 x 18</v>
      </c>
      <c r="B488" s="1658">
        <f>Acessórios!B176</f>
        <v>7</v>
      </c>
      <c r="C488" s="3088" t="str">
        <f>IF(Acessórios!U176="NPA","NPA",Acessórios!U176*100&amp;" %")</f>
        <v>NPA</v>
      </c>
      <c r="D488" s="3089"/>
      <c r="E488" s="1660" t="str">
        <f>Acessórios!V176</f>
        <v>NPA</v>
      </c>
      <c r="K488" s="576" t="str">
        <f t="shared" si="24"/>
        <v>x</v>
      </c>
      <c r="L488" s="2137" t="str">
        <f>IF(OR(E488="Não",E488="Restrição"),"Não conforme",IF(E488="Sim","Conforme",IF(E488="NPA","",NPA)))</f>
        <v/>
      </c>
    </row>
    <row r="489" spans="1:12" ht="15" customHeight="1" x14ac:dyDescent="0.25">
      <c r="A489" s="1653" t="str">
        <f>Acessórios!A177</f>
        <v>13 x 18</v>
      </c>
      <c r="B489" s="1658">
        <f>Acessórios!B177</f>
        <v>8</v>
      </c>
      <c r="C489" s="3088" t="str">
        <f>IF(Acessórios!U177="NPA","NPA",Acessórios!U177*100&amp;" %")</f>
        <v>NPA</v>
      </c>
      <c r="D489" s="3089"/>
      <c r="E489" s="1660" t="str">
        <f>Acessórios!V177</f>
        <v>NPA</v>
      </c>
      <c r="K489" s="576" t="str">
        <f t="shared" si="24"/>
        <v>x</v>
      </c>
      <c r="L489" s="2137" t="str">
        <f>IF(OR(E489="Não",E489="Restrição"),"Não conforme",IF(E489="Sim","Conforme",IF(E489="NPA","",NPA)))</f>
        <v/>
      </c>
    </row>
    <row r="490" spans="1:12" ht="15" customHeight="1" x14ac:dyDescent="0.25">
      <c r="A490" s="1653" t="str">
        <f>Acessórios!A178</f>
        <v>13 x 18</v>
      </c>
      <c r="B490" s="1658">
        <f>Acessórios!B178</f>
        <v>9</v>
      </c>
      <c r="C490" s="3088" t="str">
        <f>IF(Acessórios!U178="NPA","NPA",Acessórios!U178*100&amp;" %")</f>
        <v>NPA</v>
      </c>
      <c r="D490" s="3089"/>
      <c r="E490" s="1660" t="str">
        <f>Acessórios!V178</f>
        <v>NPA</v>
      </c>
      <c r="K490" s="576" t="str">
        <f t="shared" si="24"/>
        <v>x</v>
      </c>
      <c r="L490" s="2137" t="str">
        <f>IF(OR(E490="Não",E490="Restrição"),"Não conforme",IF(E490="Sim","Conforme",IF(E490="NPA","",NPA)))</f>
        <v/>
      </c>
    </row>
    <row r="491" spans="1:12" ht="15" customHeight="1" x14ac:dyDescent="0.25">
      <c r="A491" s="1653" t="str">
        <f>Acessórios!A179</f>
        <v>13 x 18</v>
      </c>
      <c r="B491" s="1658">
        <f>Acessórios!B179</f>
        <v>10</v>
      </c>
      <c r="C491" s="3088" t="str">
        <f>IF(Acessórios!U179="NPA","NPA",Acessórios!U179*100&amp;" %")</f>
        <v>NPA</v>
      </c>
      <c r="D491" s="3089"/>
      <c r="E491" s="1660" t="str">
        <f>Acessórios!V179</f>
        <v>NPA</v>
      </c>
      <c r="K491" s="576" t="str">
        <f t="shared" si="24"/>
        <v>x</v>
      </c>
      <c r="L491" s="2137" t="str">
        <f>IF(OR(E491="Não",E491="Restrição"),"Não conforme",IF(E491="Sim","Conforme",IF(E491="NPA","",NPA)))</f>
        <v/>
      </c>
    </row>
    <row r="492" spans="1:12" ht="15" customHeight="1" x14ac:dyDescent="0.25">
      <c r="A492" s="1653" t="str">
        <f>Acessórios!A180</f>
        <v>13 x 18</v>
      </c>
      <c r="B492" s="1658">
        <f>Acessórios!B180</f>
        <v>11</v>
      </c>
      <c r="C492" s="3088" t="str">
        <f>IF(Acessórios!U180="NPA","NPA",Acessórios!U180*100&amp;" %")</f>
        <v>NPA</v>
      </c>
      <c r="D492" s="3089"/>
      <c r="E492" s="1660" t="str">
        <f>Acessórios!V180</f>
        <v>NPA</v>
      </c>
      <c r="K492" s="576" t="str">
        <f t="shared" si="24"/>
        <v>x</v>
      </c>
      <c r="L492" s="2137" t="str">
        <f>IF(OR(E492="Não",E492="Restrição"),"Não conforme",IF(E492="Sim","Conforme",IF(E492="NPA","",NPA)))</f>
        <v/>
      </c>
    </row>
    <row r="493" spans="1:12" ht="15" customHeight="1" x14ac:dyDescent="0.25">
      <c r="A493" s="1653" t="str">
        <f>Acessórios!A181</f>
        <v>13 x 18</v>
      </c>
      <c r="B493" s="1658">
        <f>Acessórios!B181</f>
        <v>12</v>
      </c>
      <c r="C493" s="3088" t="str">
        <f>IF(Acessórios!U181="NPA","NPA",Acessórios!U181*100&amp;" %")</f>
        <v>NPA</v>
      </c>
      <c r="D493" s="3089"/>
      <c r="E493" s="1660" t="str">
        <f>Acessórios!V181</f>
        <v>NPA</v>
      </c>
      <c r="K493" s="576" t="str">
        <f t="shared" si="24"/>
        <v>x</v>
      </c>
      <c r="L493" s="2137" t="str">
        <f>IF(OR(E493="Não",E493="Restrição"),"Não conforme",IF(E493="Sim","Conforme",IF(E493="NPA","",NPA)))</f>
        <v/>
      </c>
    </row>
    <row r="494" spans="1:12" ht="15" customHeight="1" x14ac:dyDescent="0.25">
      <c r="A494" s="1653" t="str">
        <f>Acessórios!A182</f>
        <v>13 x 18</v>
      </c>
      <c r="B494" s="1658">
        <f>Acessórios!B182</f>
        <v>13</v>
      </c>
      <c r="C494" s="3088" t="str">
        <f>IF(Acessórios!U182="NPA","NPA",Acessórios!U182*100&amp;" %")</f>
        <v>NPA</v>
      </c>
      <c r="D494" s="3089"/>
      <c r="E494" s="1660" t="str">
        <f>Acessórios!V182</f>
        <v>NPA</v>
      </c>
      <c r="K494" s="576" t="str">
        <f t="shared" si="24"/>
        <v>x</v>
      </c>
      <c r="L494" s="2137" t="str">
        <f>IF(OR(E494="Não",E494="Restrição"),"Não conforme",IF(E494="Sim","Conforme",IF(E494="NPA","",NPA)))</f>
        <v/>
      </c>
    </row>
    <row r="495" spans="1:12" ht="15" customHeight="1" x14ac:dyDescent="0.25">
      <c r="A495" s="1653" t="str">
        <f>Acessórios!A183</f>
        <v>13 x 18</v>
      </c>
      <c r="B495" s="1658">
        <f>Acessórios!B183</f>
        <v>14</v>
      </c>
      <c r="C495" s="3088" t="str">
        <f>IF(Acessórios!U183="NPA","NPA",Acessórios!U183*100&amp;" %")</f>
        <v>NPA</v>
      </c>
      <c r="D495" s="3089"/>
      <c r="E495" s="1660" t="str">
        <f>Acessórios!V183</f>
        <v>NPA</v>
      </c>
      <c r="K495" s="576" t="str">
        <f t="shared" si="24"/>
        <v>x</v>
      </c>
      <c r="L495" s="2137" t="str">
        <f>IF(OR(E495="Não",E495="Restrição"),"Não conforme",IF(E495="Sim","Conforme",IF(E495="NPA","",NPA)))</f>
        <v/>
      </c>
    </row>
    <row r="496" spans="1:12" ht="15" customHeight="1" x14ac:dyDescent="0.25">
      <c r="A496" s="1653" t="str">
        <f>Acessórios!A184</f>
        <v>13 x 18</v>
      </c>
      <c r="B496" s="1658">
        <f>Acessórios!B184</f>
        <v>15</v>
      </c>
      <c r="C496" s="3088" t="str">
        <f>IF(Acessórios!U184="NPA","NPA",Acessórios!U184*100&amp;" %")</f>
        <v>NPA</v>
      </c>
      <c r="D496" s="3089"/>
      <c r="E496" s="1660" t="str">
        <f>Acessórios!V184</f>
        <v>NPA</v>
      </c>
      <c r="K496" s="576" t="str">
        <f t="shared" si="24"/>
        <v>x</v>
      </c>
      <c r="L496" s="2137" t="str">
        <f>IF(OR(E496="Não",E496="Restrição"),"Não conforme",IF(E496="Sim","Conforme",IF(E496="NPA","",NPA)))</f>
        <v/>
      </c>
    </row>
    <row r="497" spans="1:12" ht="15" customHeight="1" x14ac:dyDescent="0.25">
      <c r="A497" s="1653" t="str">
        <f>Acessórios!A185</f>
        <v>13 x 18</v>
      </c>
      <c r="B497" s="1658">
        <f>Acessórios!B185</f>
        <v>16</v>
      </c>
      <c r="C497" s="3088" t="str">
        <f>IF(Acessórios!U185="NPA","NPA",Acessórios!U185*100&amp;" %")</f>
        <v>NPA</v>
      </c>
      <c r="D497" s="3089"/>
      <c r="E497" s="1660" t="str">
        <f>Acessórios!V185</f>
        <v>NPA</v>
      </c>
      <c r="K497" s="576" t="str">
        <f t="shared" si="24"/>
        <v>x</v>
      </c>
      <c r="L497" s="2137" t="str">
        <f>IF(OR(E497="Não",E497="Restrição"),"Não conforme",IF(E497="Sim","Conforme",IF(E497="NPA","",NPA)))</f>
        <v/>
      </c>
    </row>
    <row r="498" spans="1:12" ht="15" customHeight="1" x14ac:dyDescent="0.25">
      <c r="A498" s="1653" t="str">
        <f>Acessórios!A186</f>
        <v>13 x 18</v>
      </c>
      <c r="B498" s="1658">
        <f>Acessórios!B186</f>
        <v>17</v>
      </c>
      <c r="C498" s="3088" t="str">
        <f>IF(Acessórios!U186="NPA","NPA",Acessórios!U186*100&amp;" %")</f>
        <v>NPA</v>
      </c>
      <c r="D498" s="3089"/>
      <c r="E498" s="1660" t="str">
        <f>Acessórios!V186</f>
        <v>NPA</v>
      </c>
      <c r="K498" s="576" t="str">
        <f t="shared" si="24"/>
        <v>x</v>
      </c>
      <c r="L498" s="2137" t="str">
        <f>IF(OR(E498="Não",E498="Restrição"),"Não conforme",IF(E498="Sim","Conforme",IF(E498="NPA","",NPA)))</f>
        <v/>
      </c>
    </row>
    <row r="499" spans="1:12" ht="15" customHeight="1" x14ac:dyDescent="0.25">
      <c r="A499" s="1653" t="str">
        <f>Acessórios!A187</f>
        <v>13 x 18</v>
      </c>
      <c r="B499" s="1658">
        <f>Acessórios!B187</f>
        <v>18</v>
      </c>
      <c r="C499" s="3088" t="str">
        <f>IF(Acessórios!U187="NPA","NPA",Acessórios!U187*100&amp;" %")</f>
        <v>NPA</v>
      </c>
      <c r="D499" s="3089"/>
      <c r="E499" s="1660" t="str">
        <f>Acessórios!V187</f>
        <v>NPA</v>
      </c>
      <c r="K499" s="576" t="str">
        <f t="shared" si="24"/>
        <v>x</v>
      </c>
      <c r="L499" s="2137" t="str">
        <f>IF(OR(E499="Não",E499="Restrição"),"Não conforme",IF(E499="Sim","Conforme",IF(E499="NPA","",NPA)))</f>
        <v/>
      </c>
    </row>
    <row r="500" spans="1:12" ht="15" customHeight="1" x14ac:dyDescent="0.25">
      <c r="A500" s="1653" t="str">
        <f>Acessórios!A188</f>
        <v>13 x 18</v>
      </c>
      <c r="B500" s="1658">
        <f>Acessórios!B188</f>
        <v>19</v>
      </c>
      <c r="C500" s="3088" t="str">
        <f>IF(Acessórios!U188="NPA","NPA",Acessórios!U188*100&amp;" %")</f>
        <v>NPA</v>
      </c>
      <c r="D500" s="3089"/>
      <c r="E500" s="1660" t="str">
        <f>Acessórios!V188</f>
        <v>NPA</v>
      </c>
      <c r="K500" s="576" t="str">
        <f t="shared" si="24"/>
        <v>x</v>
      </c>
      <c r="L500" s="2137" t="str">
        <f>IF(OR(E500="Não",E500="Restrição"),"Não conforme",IF(E500="Sim","Conforme",IF(E500="NPA","",NPA)))</f>
        <v/>
      </c>
    </row>
    <row r="501" spans="1:12" ht="15" customHeight="1" x14ac:dyDescent="0.25">
      <c r="A501" s="1653" t="str">
        <f>Acessórios!A189</f>
        <v>13 x 18</v>
      </c>
      <c r="B501" s="1658">
        <f>Acessórios!B189</f>
        <v>20</v>
      </c>
      <c r="C501" s="3088" t="str">
        <f>IF(Acessórios!U189="NPA","NPA",Acessórios!U189*100&amp;" %")</f>
        <v>NPA</v>
      </c>
      <c r="D501" s="3089"/>
      <c r="E501" s="1660" t="str">
        <f>Acessórios!V189</f>
        <v>NPA</v>
      </c>
      <c r="K501" s="576" t="str">
        <f t="shared" si="24"/>
        <v>x</v>
      </c>
      <c r="L501" s="2137" t="str">
        <f>IF(OR(E501="Não",E501="Restrição"),"Não conforme",IF(E501="Sim","Conforme",IF(E501="NPA","",NPA)))</f>
        <v/>
      </c>
    </row>
    <row r="502" spans="1:12" ht="15" customHeight="1" x14ac:dyDescent="0.25">
      <c r="A502" s="1653" t="str">
        <f>Acessórios!A190</f>
        <v>13 x 18</v>
      </c>
      <c r="B502" s="1658">
        <f>Acessórios!B190</f>
        <v>21</v>
      </c>
      <c r="C502" s="3088" t="str">
        <f>IF(Acessórios!U190="NPA","NPA",Acessórios!U190*100&amp;" %")</f>
        <v>NPA</v>
      </c>
      <c r="D502" s="3089"/>
      <c r="E502" s="1660" t="str">
        <f>Acessórios!V190</f>
        <v>NPA</v>
      </c>
      <c r="K502" s="576" t="str">
        <f t="shared" si="24"/>
        <v>x</v>
      </c>
      <c r="L502" s="2137" t="str">
        <f>IF(OR(E502="Não",E502="Restrição"),"Não conforme",IF(E502="Sim","Conforme",IF(E502="NPA","",NPA)))</f>
        <v/>
      </c>
    </row>
    <row r="503" spans="1:12" ht="15" customHeight="1" x14ac:dyDescent="0.25">
      <c r="A503" s="1653" t="str">
        <f>Acessórios!A191</f>
        <v>13 x 18</v>
      </c>
      <c r="B503" s="1658">
        <f>Acessórios!B191</f>
        <v>22</v>
      </c>
      <c r="C503" s="3088" t="str">
        <f>IF(Acessórios!U191="NPA","NPA",Acessórios!U191*100&amp;" %")</f>
        <v>NPA</v>
      </c>
      <c r="D503" s="3089"/>
      <c r="E503" s="1660" t="str">
        <f>Acessórios!V191</f>
        <v>NPA</v>
      </c>
      <c r="K503" s="576" t="str">
        <f>IF(E503="NPA","x","")</f>
        <v>x</v>
      </c>
      <c r="L503" s="2137" t="str">
        <f>IF(OR(E503="Não",E503="Restrição"),"Não conforme",IF(E503="Sim","Conforme",IF(E503="NPA","",NPA)))</f>
        <v/>
      </c>
    </row>
    <row r="504" spans="1:12" ht="15" customHeight="1" x14ac:dyDescent="0.25">
      <c r="A504" s="1653" t="str">
        <f>Acessórios!A192</f>
        <v>13 x 18</v>
      </c>
      <c r="B504" s="1658">
        <f>Acessórios!B192</f>
        <v>23</v>
      </c>
      <c r="C504" s="3088" t="str">
        <f>IF(Acessórios!U192="NPA","NPA",Acessórios!U192*100&amp;" %")</f>
        <v>NPA</v>
      </c>
      <c r="D504" s="3089"/>
      <c r="E504" s="1660" t="str">
        <f>Acessórios!V192</f>
        <v>NPA</v>
      </c>
      <c r="K504" s="576" t="str">
        <f t="shared" si="24"/>
        <v>x</v>
      </c>
      <c r="L504" s="2137" t="str">
        <f>IF(OR(E504="Não",E504="Restrição"),"Não conforme",IF(E504="Sim","Conforme",IF(E504="NPA","",NPA)))</f>
        <v/>
      </c>
    </row>
    <row r="505" spans="1:12" ht="15" customHeight="1" x14ac:dyDescent="0.25">
      <c r="A505" s="1653" t="str">
        <f>Acessórios!A193</f>
        <v>13 x 18</v>
      </c>
      <c r="B505" s="1658">
        <f>Acessórios!B193</f>
        <v>24</v>
      </c>
      <c r="C505" s="3088" t="str">
        <f>IF(Acessórios!U193="NPA","NPA",Acessórios!U193*100&amp;" %")</f>
        <v>NPA</v>
      </c>
      <c r="D505" s="3089"/>
      <c r="E505" s="1660" t="str">
        <f>Acessórios!V193</f>
        <v>NPA</v>
      </c>
      <c r="K505" s="576" t="str">
        <f t="shared" si="24"/>
        <v>x</v>
      </c>
      <c r="L505" s="2137" t="str">
        <f>IF(OR(E505="Não",E505="Restrição"),"Não conforme",IF(E505="Sim","Conforme",IF(E505="NPA","",NPA)))</f>
        <v/>
      </c>
    </row>
    <row r="506" spans="1:12" ht="15" customHeight="1" x14ac:dyDescent="0.25">
      <c r="A506" s="1653" t="str">
        <f>Acessórios!A194</f>
        <v>13 x 18</v>
      </c>
      <c r="B506" s="1658">
        <f>Acessórios!B194</f>
        <v>25</v>
      </c>
      <c r="C506" s="3088" t="str">
        <f>IF(Acessórios!U194="NPA","NPA",Acessórios!U194*100&amp;" %")</f>
        <v>NPA</v>
      </c>
      <c r="D506" s="3089"/>
      <c r="E506" s="1660" t="str">
        <f>Acessórios!V194</f>
        <v>NPA</v>
      </c>
      <c r="K506" s="576" t="str">
        <f t="shared" si="24"/>
        <v>x</v>
      </c>
      <c r="L506" s="2137" t="str">
        <f>IF(OR(E506="Não",E506="Restrição"),"Não conforme",IF(E506="Sim","Conforme",IF(E506="NPA","",NPA)))</f>
        <v/>
      </c>
    </row>
    <row r="507" spans="1:12" ht="15" customHeight="1" x14ac:dyDescent="0.25">
      <c r="A507" s="1653" t="str">
        <f>Acessórios!A195</f>
        <v>13 x 18</v>
      </c>
      <c r="B507" s="1658">
        <f>Acessórios!B195</f>
        <v>26</v>
      </c>
      <c r="C507" s="3088" t="str">
        <f>IF(Acessórios!U195="NPA","NPA",Acessórios!U195*100&amp;" %")</f>
        <v>NPA</v>
      </c>
      <c r="D507" s="3089"/>
      <c r="E507" s="1660" t="str">
        <f>Acessórios!V195</f>
        <v>NPA</v>
      </c>
      <c r="K507" s="576" t="str">
        <f t="shared" si="24"/>
        <v>x</v>
      </c>
      <c r="L507" s="2137" t="str">
        <f>IF(OR(E507="Não",E507="Restrição"),"Não conforme",IF(E507="Sim","Conforme",IF(E507="NPA","",NPA)))</f>
        <v/>
      </c>
    </row>
    <row r="508" spans="1:12" ht="15" customHeight="1" x14ac:dyDescent="0.25">
      <c r="A508" s="1653" t="str">
        <f>Acessórios!A196</f>
        <v>13 x 18</v>
      </c>
      <c r="B508" s="1658">
        <f>Acessórios!B196</f>
        <v>27</v>
      </c>
      <c r="C508" s="3088" t="str">
        <f>IF(Acessórios!U196="NPA","NPA",Acessórios!U196*100&amp;" %")</f>
        <v>NPA</v>
      </c>
      <c r="D508" s="3089"/>
      <c r="E508" s="1660" t="str">
        <f>Acessórios!V196</f>
        <v>NPA</v>
      </c>
      <c r="K508" s="576" t="str">
        <f t="shared" si="24"/>
        <v>x</v>
      </c>
      <c r="L508" s="2137" t="str">
        <f>IF(OR(E508="Não",E508="Restrição"),"Não conforme",IF(E508="Sim","Conforme",IF(E508="NPA","",NPA)))</f>
        <v/>
      </c>
    </row>
    <row r="509" spans="1:12" ht="15" customHeight="1" x14ac:dyDescent="0.25">
      <c r="A509" s="1653" t="str">
        <f>Acessórios!A197</f>
        <v>13 x 18</v>
      </c>
      <c r="B509" s="1658">
        <f>Acessórios!B197</f>
        <v>28</v>
      </c>
      <c r="C509" s="3088" t="str">
        <f>IF(Acessórios!U197="NPA","NPA",Acessórios!U197*100&amp;" %")</f>
        <v>NPA</v>
      </c>
      <c r="D509" s="3089"/>
      <c r="E509" s="1660" t="str">
        <f>Acessórios!V197</f>
        <v>NPA</v>
      </c>
      <c r="K509" s="576" t="str">
        <f t="shared" si="24"/>
        <v>x</v>
      </c>
      <c r="L509" s="2137" t="str">
        <f>IF(OR(E509="Não",E509="Restrição"),"Não conforme",IF(E509="Sim","Conforme",IF(E509="NPA","",NPA)))</f>
        <v/>
      </c>
    </row>
    <row r="510" spans="1:12" ht="15" customHeight="1" x14ac:dyDescent="0.25">
      <c r="A510" s="1653" t="str">
        <f>Acessórios!A198</f>
        <v>13 x 18</v>
      </c>
      <c r="B510" s="1658">
        <f>Acessórios!B198</f>
        <v>29</v>
      </c>
      <c r="C510" s="3088" t="str">
        <f>IF(Acessórios!U198="NPA","NPA",Acessórios!U198*100&amp;" %")</f>
        <v>NPA</v>
      </c>
      <c r="D510" s="3089"/>
      <c r="E510" s="1660" t="str">
        <f>Acessórios!V198</f>
        <v>NPA</v>
      </c>
      <c r="K510" s="576" t="str">
        <f t="shared" si="24"/>
        <v>x</v>
      </c>
      <c r="L510" s="2137" t="str">
        <f>IF(OR(E510="Não",E510="Restrição"),"Não conforme",IF(E510="Sim","Conforme",IF(E510="NPA","",NPA)))</f>
        <v/>
      </c>
    </row>
    <row r="511" spans="1:12" ht="15" customHeight="1" x14ac:dyDescent="0.25">
      <c r="A511" s="1653" t="str">
        <f>Acessórios!A199</f>
        <v>13 x 18</v>
      </c>
      <c r="B511" s="1658">
        <f>Acessórios!B199</f>
        <v>30</v>
      </c>
      <c r="C511" s="3088" t="str">
        <f>IF(Acessórios!U199="NPA","NPA",Acessórios!U199*100&amp;" %")</f>
        <v>NPA</v>
      </c>
      <c r="D511" s="3089"/>
      <c r="E511" s="1660" t="str">
        <f>Acessórios!V199</f>
        <v>NPA</v>
      </c>
      <c r="K511" s="576" t="str">
        <f t="shared" si="24"/>
        <v>x</v>
      </c>
      <c r="L511" s="2137" t="str">
        <f>IF(OR(E511="Não",E511="Restrição"),"Não conforme",IF(E511="Sim","Conforme",IF(E511="NPA","",NPA)))</f>
        <v/>
      </c>
    </row>
    <row r="512" spans="1:12" ht="15" customHeight="1" x14ac:dyDescent="0.25">
      <c r="A512" s="1653" t="str">
        <f>Acessórios!A200</f>
        <v>13 x 18</v>
      </c>
      <c r="B512" s="1658">
        <f>Acessórios!B200</f>
        <v>31</v>
      </c>
      <c r="C512" s="3088" t="str">
        <f>IF(Acessórios!U200="NPA","NPA",Acessórios!U200*100&amp;" %")</f>
        <v>NPA</v>
      </c>
      <c r="D512" s="3089"/>
      <c r="E512" s="1660" t="str">
        <f>Acessórios!V200</f>
        <v>NPA</v>
      </c>
      <c r="K512" s="576" t="str">
        <f t="shared" si="24"/>
        <v>x</v>
      </c>
      <c r="L512" s="2137" t="str">
        <f>IF(OR(E512="Não",E512="Restrição"),"Não conforme",IF(E512="Sim","Conforme",IF(E512="NPA","",NPA)))</f>
        <v/>
      </c>
    </row>
    <row r="513" spans="1:12" ht="15" customHeight="1" x14ac:dyDescent="0.25">
      <c r="A513" s="1653" t="str">
        <f>Acessórios!A201</f>
        <v>13 x 18</v>
      </c>
      <c r="B513" s="1658">
        <f>Acessórios!B201</f>
        <v>32</v>
      </c>
      <c r="C513" s="3088" t="str">
        <f>IF(Acessórios!U201="NPA","NPA",Acessórios!U201*100&amp;" %")</f>
        <v>NPA</v>
      </c>
      <c r="D513" s="3089"/>
      <c r="E513" s="1660" t="str">
        <f>Acessórios!V201</f>
        <v>NPA</v>
      </c>
      <c r="K513" s="576" t="str">
        <f t="shared" si="24"/>
        <v>x</v>
      </c>
      <c r="L513" s="2137" t="str">
        <f>IF(OR(E513="Não",E513="Restrição"),"Não conforme",IF(E513="Sim","Conforme",IF(E513="NPA","",NPA)))</f>
        <v/>
      </c>
    </row>
    <row r="514" spans="1:12" ht="15" customHeight="1" x14ac:dyDescent="0.25">
      <c r="A514" s="1653" t="str">
        <f>Acessórios!A202</f>
        <v>13 x 18</v>
      </c>
      <c r="B514" s="1658">
        <f>Acessórios!B202</f>
        <v>33</v>
      </c>
      <c r="C514" s="3088" t="str">
        <f>IF(Acessórios!U202="NPA","NPA",Acessórios!U202*100&amp;" %")</f>
        <v>NPA</v>
      </c>
      <c r="D514" s="3089"/>
      <c r="E514" s="1660" t="str">
        <f>Acessórios!V202</f>
        <v>NPA</v>
      </c>
      <c r="K514" s="576" t="str">
        <f t="shared" si="24"/>
        <v>x</v>
      </c>
      <c r="L514" s="2137" t="str">
        <f>IF(OR(E514="Não",E514="Restrição"),"Não conforme",IF(E514="Sim","Conforme",IF(E514="NPA","",NPA)))</f>
        <v/>
      </c>
    </row>
    <row r="515" spans="1:12" ht="15" customHeight="1" x14ac:dyDescent="0.25">
      <c r="A515" s="1653" t="str">
        <f>Acessórios!A203</f>
        <v>13 x 18</v>
      </c>
      <c r="B515" s="1658">
        <f>Acessórios!B203</f>
        <v>34</v>
      </c>
      <c r="C515" s="3088" t="str">
        <f>IF(Acessórios!U203="NPA","NPA",Acessórios!U203*100&amp;" %")</f>
        <v>NPA</v>
      </c>
      <c r="D515" s="3089"/>
      <c r="E515" s="1660" t="str">
        <f>Acessórios!V203</f>
        <v>NPA</v>
      </c>
      <c r="K515" s="576" t="str">
        <f t="shared" si="24"/>
        <v>x</v>
      </c>
      <c r="L515" s="2137" t="str">
        <f>IF(OR(E515="Não",E515="Restrição"),"Não conforme",IF(E515="Sim","Conforme",IF(E515="NPA","",NPA)))</f>
        <v/>
      </c>
    </row>
    <row r="516" spans="1:12" ht="15" customHeight="1" x14ac:dyDescent="0.25">
      <c r="A516" s="1653" t="str">
        <f>Acessórios!A204</f>
        <v>13 x 18</v>
      </c>
      <c r="B516" s="1658">
        <f>Acessórios!B204</f>
        <v>35</v>
      </c>
      <c r="C516" s="3088" t="str">
        <f>IF(Acessórios!U204="NPA","NPA",Acessórios!U204*100&amp;" %")</f>
        <v>NPA</v>
      </c>
      <c r="D516" s="3089"/>
      <c r="E516" s="1660" t="str">
        <f>Acessórios!V204</f>
        <v>NPA</v>
      </c>
      <c r="K516" s="576" t="str">
        <f t="shared" si="24"/>
        <v>x</v>
      </c>
      <c r="L516" s="2137" t="str">
        <f>IF(OR(E516="Não",E516="Restrição"),"Não conforme",IF(E516="Sim","Conforme",IF(E516="NPA","",NPA)))</f>
        <v/>
      </c>
    </row>
    <row r="517" spans="1:12" ht="15" customHeight="1" x14ac:dyDescent="0.25">
      <c r="A517" s="1653" t="str">
        <f>Acessórios!A205</f>
        <v>13 x 18</v>
      </c>
      <c r="B517" s="1658">
        <f>Acessórios!B205</f>
        <v>36</v>
      </c>
      <c r="C517" s="3088" t="str">
        <f>IF(Acessórios!U205="NPA","NPA",Acessórios!U205*100&amp;" %")</f>
        <v>NPA</v>
      </c>
      <c r="D517" s="3089"/>
      <c r="E517" s="1660" t="str">
        <f>Acessórios!V205</f>
        <v>NPA</v>
      </c>
      <c r="K517" s="576" t="str">
        <f t="shared" si="24"/>
        <v>x</v>
      </c>
      <c r="L517" s="2137" t="str">
        <f>IF(OR(E517="Não",E517="Restrição"),"Não conforme",IF(E517="Sim","Conforme",IF(E517="NPA","",NPA)))</f>
        <v/>
      </c>
    </row>
    <row r="518" spans="1:12" ht="15" customHeight="1" x14ac:dyDescent="0.25">
      <c r="A518" s="1653" t="str">
        <f>Acessórios!A206</f>
        <v>13 x 18</v>
      </c>
      <c r="B518" s="1658">
        <f>Acessórios!B206</f>
        <v>37</v>
      </c>
      <c r="C518" s="3088" t="str">
        <f>IF(Acessórios!U206="NPA","NPA",Acessórios!U206*100&amp;" %")</f>
        <v>NPA</v>
      </c>
      <c r="D518" s="3089"/>
      <c r="E518" s="1660" t="str">
        <f>Acessórios!V206</f>
        <v>NPA</v>
      </c>
      <c r="K518" s="576" t="str">
        <f t="shared" si="24"/>
        <v>x</v>
      </c>
      <c r="L518" s="2137" t="str">
        <f>IF(OR(E518="Não",E518="Restrição"),"Não conforme",IF(E518="Sim","Conforme",IF(E518="NPA","",NPA)))</f>
        <v/>
      </c>
    </row>
    <row r="519" spans="1:12" ht="15" customHeight="1" x14ac:dyDescent="0.25">
      <c r="A519" s="1653" t="str">
        <f>Acessórios!A207</f>
        <v>13 x 18</v>
      </c>
      <c r="B519" s="1658">
        <f>Acessórios!B207</f>
        <v>38</v>
      </c>
      <c r="C519" s="3088" t="str">
        <f>IF(Acessórios!U207="NPA","NPA",Acessórios!U207*100&amp;" %")</f>
        <v>NPA</v>
      </c>
      <c r="D519" s="3089"/>
      <c r="E519" s="1660" t="str">
        <f>Acessórios!V207</f>
        <v>NPA</v>
      </c>
      <c r="K519" s="576" t="str">
        <f t="shared" si="24"/>
        <v>x</v>
      </c>
      <c r="L519" s="2137" t="str">
        <f>IF(OR(E519="Não",E519="Restrição"),"Não conforme",IF(E519="Sim","Conforme",IF(E519="NPA","",NPA)))</f>
        <v/>
      </c>
    </row>
    <row r="520" spans="1:12" ht="15" customHeight="1" x14ac:dyDescent="0.25">
      <c r="A520" s="1653" t="str">
        <f>Acessórios!A208</f>
        <v>13 x 18</v>
      </c>
      <c r="B520" s="1658">
        <f>Acessórios!B208</f>
        <v>39</v>
      </c>
      <c r="C520" s="3088" t="str">
        <f>IF(Acessórios!U208="NPA","NPA",Acessórios!U208*100&amp;" %")</f>
        <v>NPA</v>
      </c>
      <c r="D520" s="3089"/>
      <c r="E520" s="1660" t="str">
        <f>Acessórios!V208</f>
        <v>NPA</v>
      </c>
      <c r="K520" s="576" t="str">
        <f t="shared" si="24"/>
        <v>x</v>
      </c>
      <c r="L520" s="2137" t="str">
        <f>IF(OR(E520="Não",E520="Restrição"),"Não conforme",IF(E520="Sim","Conforme",IF(E520="NPA","",NPA)))</f>
        <v/>
      </c>
    </row>
    <row r="521" spans="1:12" ht="15" customHeight="1" x14ac:dyDescent="0.25">
      <c r="A521" s="1653" t="str">
        <f>Acessórios!A209</f>
        <v>13 x 18</v>
      </c>
      <c r="B521" s="1658">
        <f>Acessórios!B209</f>
        <v>40</v>
      </c>
      <c r="C521" s="3088" t="str">
        <f>IF(Acessórios!U209="NPA","NPA",Acessórios!U209*100&amp;" %")</f>
        <v>NPA</v>
      </c>
      <c r="D521" s="3089"/>
      <c r="E521" s="1660" t="str">
        <f>Acessórios!V209</f>
        <v>NPA</v>
      </c>
      <c r="K521" s="576" t="str">
        <f t="shared" si="24"/>
        <v>x</v>
      </c>
      <c r="L521" s="2137" t="str">
        <f>IF(OR(E521="Não",E521="Restrição"),"Não conforme",IF(E521="Sim","Conforme",IF(E521="NPA","",NPA)))</f>
        <v/>
      </c>
    </row>
    <row r="522" spans="1:12" ht="15" customHeight="1" x14ac:dyDescent="0.25">
      <c r="A522" s="1653" t="str">
        <f>Acessórios!A210</f>
        <v>13 x 18</v>
      </c>
      <c r="B522" s="1658">
        <f>Acessórios!B210</f>
        <v>41</v>
      </c>
      <c r="C522" s="3088" t="str">
        <f>IF(Acessórios!U210="NPA","NPA",Acessórios!U210*100&amp;" %")</f>
        <v>NPA</v>
      </c>
      <c r="D522" s="3089"/>
      <c r="E522" s="1660" t="str">
        <f>Acessórios!V210</f>
        <v>NPA</v>
      </c>
      <c r="K522" s="576" t="str">
        <f t="shared" si="24"/>
        <v>x</v>
      </c>
      <c r="L522" s="2137" t="str">
        <f>IF(OR(E522="Não",E522="Restrição"),"Não conforme",IF(E522="Sim","Conforme",IF(E522="NPA","",NPA)))</f>
        <v/>
      </c>
    </row>
    <row r="523" spans="1:12" ht="15" customHeight="1" x14ac:dyDescent="0.25">
      <c r="A523" s="1653" t="str">
        <f>Acessórios!A211</f>
        <v>13 x 18</v>
      </c>
      <c r="B523" s="1658">
        <f>Acessórios!B211</f>
        <v>42</v>
      </c>
      <c r="C523" s="3088" t="str">
        <f>IF(Acessórios!U211="NPA","NPA",Acessórios!U211*100&amp;" %")</f>
        <v>NPA</v>
      </c>
      <c r="D523" s="3089"/>
      <c r="E523" s="1660" t="str">
        <f>Acessórios!V211</f>
        <v>NPA</v>
      </c>
      <c r="K523" s="576" t="str">
        <f t="shared" si="24"/>
        <v>x</v>
      </c>
      <c r="L523" s="2137" t="str">
        <f>IF(OR(E523="Não",E523="Restrição"),"Não conforme",IF(E523="Sim","Conforme",IF(E523="NPA","",NPA)))</f>
        <v/>
      </c>
    </row>
    <row r="524" spans="1:12" ht="15" customHeight="1" x14ac:dyDescent="0.25">
      <c r="A524" s="1653" t="str">
        <f>Acessórios!A212</f>
        <v>13 x 18</v>
      </c>
      <c r="B524" s="1658">
        <f>Acessórios!B212</f>
        <v>43</v>
      </c>
      <c r="C524" s="3088" t="str">
        <f>IF(Acessórios!U212="NPA","NPA",Acessórios!U212*100&amp;" %")</f>
        <v>NPA</v>
      </c>
      <c r="D524" s="3089"/>
      <c r="E524" s="1660" t="str">
        <f>Acessórios!V212</f>
        <v>NPA</v>
      </c>
      <c r="K524" s="576" t="str">
        <f t="shared" si="24"/>
        <v>x</v>
      </c>
      <c r="L524" s="2137" t="str">
        <f>IF(OR(E524="Não",E524="Restrição"),"Não conforme",IF(E524="Sim","Conforme",IF(E524="NPA","",NPA)))</f>
        <v/>
      </c>
    </row>
    <row r="525" spans="1:12" ht="15" customHeight="1" x14ac:dyDescent="0.25">
      <c r="A525" s="1653" t="str">
        <f>Acessórios!A213</f>
        <v>13 x 18</v>
      </c>
      <c r="B525" s="1658">
        <f>Acessórios!B213</f>
        <v>44</v>
      </c>
      <c r="C525" s="3088" t="str">
        <f>IF(Acessórios!U213="NPA","NPA",Acessórios!U213*100&amp;" %")</f>
        <v>NPA</v>
      </c>
      <c r="D525" s="3089"/>
      <c r="E525" s="1660" t="str">
        <f>Acessórios!V213</f>
        <v>NPA</v>
      </c>
      <c r="K525" s="576" t="str">
        <f t="shared" si="24"/>
        <v>x</v>
      </c>
      <c r="L525" s="2137" t="str">
        <f>IF(OR(E525="Não",E525="Restrição"),"Não conforme",IF(E525="Sim","Conforme",IF(E525="NPA","",NPA)))</f>
        <v/>
      </c>
    </row>
    <row r="526" spans="1:12" ht="15" customHeight="1" x14ac:dyDescent="0.25">
      <c r="A526" s="1653" t="str">
        <f>Acessórios!A214</f>
        <v>13 x 18</v>
      </c>
      <c r="B526" s="1658">
        <f>Acessórios!B214</f>
        <v>45</v>
      </c>
      <c r="C526" s="3088" t="str">
        <f>IF(Acessórios!U214="NPA","NPA",Acessórios!U214*100&amp;" %")</f>
        <v>NPA</v>
      </c>
      <c r="D526" s="3089"/>
      <c r="E526" s="1660" t="str">
        <f>Acessórios!V214</f>
        <v>NPA</v>
      </c>
      <c r="K526" s="576" t="str">
        <f t="shared" si="24"/>
        <v>x</v>
      </c>
      <c r="L526" s="2137" t="str">
        <f>IF(OR(E526="Não",E526="Restrição"),"Não conforme",IF(E526="Sim","Conforme",IF(E526="NPA","",NPA)))</f>
        <v/>
      </c>
    </row>
    <row r="527" spans="1:12" ht="15" customHeight="1" x14ac:dyDescent="0.25">
      <c r="A527" s="1653" t="str">
        <f>Acessórios!A215</f>
        <v>13 x 18</v>
      </c>
      <c r="B527" s="1658">
        <f>Acessórios!B215</f>
        <v>46</v>
      </c>
      <c r="C527" s="3088" t="str">
        <f>IF(Acessórios!U215="NPA","NPA",Acessórios!U215*100&amp;" %")</f>
        <v>NPA</v>
      </c>
      <c r="D527" s="3089"/>
      <c r="E527" s="1660" t="str">
        <f>Acessórios!V215</f>
        <v>NPA</v>
      </c>
      <c r="K527" s="576" t="str">
        <f t="shared" si="24"/>
        <v>x</v>
      </c>
      <c r="L527" s="2137" t="str">
        <f>IF(OR(E527="Não",E527="Restrição"),"Não conforme",IF(E527="Sim","Conforme",IF(E527="NPA","",NPA)))</f>
        <v/>
      </c>
    </row>
    <row r="528" spans="1:12" ht="15" customHeight="1" x14ac:dyDescent="0.25">
      <c r="A528" s="1653" t="str">
        <f>Acessórios!A216</f>
        <v>13 x 18</v>
      </c>
      <c r="B528" s="1658">
        <f>Acessórios!B216</f>
        <v>47</v>
      </c>
      <c r="C528" s="3088" t="str">
        <f>IF(Acessórios!U216="NPA","NPA",Acessórios!U216*100&amp;" %")</f>
        <v>NPA</v>
      </c>
      <c r="D528" s="3089"/>
      <c r="E528" s="1660" t="str">
        <f>Acessórios!V216</f>
        <v>NPA</v>
      </c>
      <c r="K528" s="576" t="str">
        <f t="shared" si="24"/>
        <v>x</v>
      </c>
      <c r="L528" s="2137" t="str">
        <f>IF(OR(E528="Não",E528="Restrição"),"Não conforme",IF(E528="Sim","Conforme",IF(E528="NPA","",NPA)))</f>
        <v/>
      </c>
    </row>
    <row r="529" spans="1:12" ht="15" customHeight="1" x14ac:dyDescent="0.25">
      <c r="A529" s="1653" t="str">
        <f>Acessórios!A217</f>
        <v>13 x 18</v>
      </c>
      <c r="B529" s="1658">
        <f>Acessórios!B217</f>
        <v>48</v>
      </c>
      <c r="C529" s="3088" t="str">
        <f>IF(Acessórios!U217="NPA","NPA",Acessórios!U217*100&amp;" %")</f>
        <v>NPA</v>
      </c>
      <c r="D529" s="3089"/>
      <c r="E529" s="1660" t="str">
        <f>Acessórios!V217</f>
        <v>NPA</v>
      </c>
      <c r="K529" s="576" t="str">
        <f t="shared" si="24"/>
        <v>x</v>
      </c>
      <c r="L529" s="2137" t="str">
        <f>IF(OR(E529="Não",E529="Restrição"),"Não conforme",IF(E529="Sim","Conforme",IF(E529="NPA","",NPA)))</f>
        <v/>
      </c>
    </row>
    <row r="530" spans="1:12" ht="15" customHeight="1" x14ac:dyDescent="0.25">
      <c r="A530" s="1653" t="str">
        <f>Acessórios!A218</f>
        <v>13 x 18</v>
      </c>
      <c r="B530" s="1658">
        <f>Acessórios!B218</f>
        <v>49</v>
      </c>
      <c r="C530" s="3088" t="str">
        <f>IF(Acessórios!U218="NPA","NPA",Acessórios!U218*100&amp;" %")</f>
        <v>NPA</v>
      </c>
      <c r="D530" s="3089"/>
      <c r="E530" s="1660" t="str">
        <f>Acessórios!V218</f>
        <v>NPA</v>
      </c>
      <c r="K530" s="576" t="str">
        <f t="shared" si="24"/>
        <v>x</v>
      </c>
      <c r="L530" s="2137" t="str">
        <f>IF(OR(E530="Não",E530="Restrição"),"Não conforme",IF(E530="Sim","Conforme",IF(E530="NPA","",NPA)))</f>
        <v/>
      </c>
    </row>
    <row r="531" spans="1:12" ht="15" customHeight="1" x14ac:dyDescent="0.25">
      <c r="A531" s="1653" t="str">
        <f>Acessórios!A219</f>
        <v>13 x 18</v>
      </c>
      <c r="B531" s="1658">
        <f>Acessórios!B219</f>
        <v>50</v>
      </c>
      <c r="C531" s="3088" t="str">
        <f>IF(Acessórios!U219="NPA","NPA",Acessórios!U219*100&amp;" %")</f>
        <v>NPA</v>
      </c>
      <c r="D531" s="3089"/>
      <c r="E531" s="1660" t="str">
        <f>Acessórios!V219</f>
        <v>NPA</v>
      </c>
      <c r="K531" s="576" t="str">
        <f t="shared" si="24"/>
        <v>x</v>
      </c>
      <c r="L531" s="2137" t="str">
        <f>IF(OR(E531="Não",E531="Restrição"),"Não conforme",IF(E531="Sim","Conforme",IF(E531="NPA","",NPA)))</f>
        <v/>
      </c>
    </row>
    <row r="532" spans="1:12" ht="15" customHeight="1" x14ac:dyDescent="0.25">
      <c r="A532" s="1653" t="str">
        <f>Acessórios!A220</f>
        <v>13 x 18</v>
      </c>
      <c r="B532" s="1658">
        <f>Acessórios!B220</f>
        <v>51</v>
      </c>
      <c r="C532" s="3088" t="str">
        <f>IF(Acessórios!U220="NPA","NPA",Acessórios!U220*100&amp;" %")</f>
        <v>NPA</v>
      </c>
      <c r="D532" s="3089"/>
      <c r="E532" s="1660" t="str">
        <f>Acessórios!V220</f>
        <v>NPA</v>
      </c>
      <c r="K532" s="576" t="str">
        <f t="shared" si="24"/>
        <v>x</v>
      </c>
      <c r="L532" s="2137" t="str">
        <f>IF(OR(E532="Não",E532="Restrição"),"Não conforme",IF(E532="Sim","Conforme",IF(E532="NPA","",NPA)))</f>
        <v/>
      </c>
    </row>
    <row r="533" spans="1:12" ht="15" customHeight="1" x14ac:dyDescent="0.25">
      <c r="A533" s="1653" t="str">
        <f>Acessórios!A221</f>
        <v>13 x 18</v>
      </c>
      <c r="B533" s="1658">
        <f>Acessórios!B221</f>
        <v>52</v>
      </c>
      <c r="C533" s="3088" t="str">
        <f>IF(Acessórios!U221="NPA","NPA",Acessórios!U221*100&amp;" %")</f>
        <v>NPA</v>
      </c>
      <c r="D533" s="3089"/>
      <c r="E533" s="1660" t="str">
        <f>Acessórios!V221</f>
        <v>NPA</v>
      </c>
      <c r="K533" s="576" t="str">
        <f t="shared" si="24"/>
        <v>x</v>
      </c>
      <c r="L533" s="2137" t="str">
        <f>IF(OR(E533="Não",E533="Restrição"),"Não conforme",IF(E533="Sim","Conforme",IF(E533="NPA","",NPA)))</f>
        <v/>
      </c>
    </row>
    <row r="534" spans="1:12" ht="15" customHeight="1" x14ac:dyDescent="0.25">
      <c r="A534" s="1653" t="str">
        <f>Acessórios!A222</f>
        <v>13 x 18</v>
      </c>
      <c r="B534" s="1658">
        <f>Acessórios!B222</f>
        <v>53</v>
      </c>
      <c r="C534" s="3088" t="str">
        <f>IF(Acessórios!U222="NPA","NPA",Acessórios!U222*100&amp;" %")</f>
        <v>NPA</v>
      </c>
      <c r="D534" s="3089"/>
      <c r="E534" s="1660" t="str">
        <f>Acessórios!V222</f>
        <v>NPA</v>
      </c>
      <c r="K534" s="576" t="str">
        <f t="shared" si="24"/>
        <v>x</v>
      </c>
      <c r="L534" s="2137" t="str">
        <f>IF(OR(E534="Não",E534="Restrição"),"Não conforme",IF(E534="Sim","Conforme",IF(E534="NPA","",NPA)))</f>
        <v/>
      </c>
    </row>
    <row r="535" spans="1:12" ht="15" customHeight="1" x14ac:dyDescent="0.25">
      <c r="A535" s="1653" t="str">
        <f>Acessórios!A223</f>
        <v>13 x 18</v>
      </c>
      <c r="B535" s="1658">
        <f>Acessórios!B223</f>
        <v>54</v>
      </c>
      <c r="C535" s="3088" t="str">
        <f>IF(Acessórios!U223="NPA","NPA",Acessórios!U223*100&amp;" %")</f>
        <v>NPA</v>
      </c>
      <c r="D535" s="3089"/>
      <c r="E535" s="1660" t="str">
        <f>Acessórios!V223</f>
        <v>NPA</v>
      </c>
      <c r="K535" s="576" t="str">
        <f t="shared" si="24"/>
        <v>x</v>
      </c>
      <c r="L535" s="2137" t="str">
        <f>IF(OR(E535="Não",E535="Restrição"),"Não conforme",IF(E535="Sim","Conforme",IF(E535="NPA","",NPA)))</f>
        <v/>
      </c>
    </row>
    <row r="536" spans="1:12" ht="15" customHeight="1" x14ac:dyDescent="0.25">
      <c r="A536" s="1653" t="str">
        <f>Acessórios!A224</f>
        <v>13 x 18</v>
      </c>
      <c r="B536" s="1658">
        <f>Acessórios!B224</f>
        <v>55</v>
      </c>
      <c r="C536" s="3088" t="str">
        <f>IF(Acessórios!U224="NPA","NPA",Acessórios!U224*100&amp;" %")</f>
        <v>NPA</v>
      </c>
      <c r="D536" s="3089"/>
      <c r="E536" s="1660" t="str">
        <f>Acessórios!V224</f>
        <v>NPA</v>
      </c>
      <c r="K536" s="576" t="str">
        <f t="shared" si="24"/>
        <v>x</v>
      </c>
      <c r="L536" s="2137" t="str">
        <f>IF(OR(E536="Não",E536="Restrição"),"Não conforme",IF(E536="Sim","Conforme",IF(E536="NPA","",NPA)))</f>
        <v/>
      </c>
    </row>
    <row r="537" spans="1:12" ht="15" customHeight="1" x14ac:dyDescent="0.25">
      <c r="A537" s="1653" t="str">
        <f>Acessórios!A225</f>
        <v>13 x 18</v>
      </c>
      <c r="B537" s="1658">
        <f>Acessórios!B225</f>
        <v>56</v>
      </c>
      <c r="C537" s="3088" t="str">
        <f>IF(Acessórios!U225="NPA","NPA",Acessórios!U225*100&amp;" %")</f>
        <v>NPA</v>
      </c>
      <c r="D537" s="3089"/>
      <c r="E537" s="1660" t="str">
        <f>Acessórios!V225</f>
        <v>NPA</v>
      </c>
      <c r="K537" s="576" t="str">
        <f t="shared" si="24"/>
        <v>x</v>
      </c>
      <c r="L537" s="2137" t="str">
        <f>IF(OR(E537="Não",E537="Restrição"),"Não conforme",IF(E537="Sim","Conforme",IF(E537="NPA","",NPA)))</f>
        <v/>
      </c>
    </row>
    <row r="538" spans="1:12" ht="15" customHeight="1" x14ac:dyDescent="0.25">
      <c r="A538" s="1653" t="str">
        <f>Acessórios!A226</f>
        <v>13 x 18</v>
      </c>
      <c r="B538" s="1658">
        <f>Acessórios!B226</f>
        <v>57</v>
      </c>
      <c r="C538" s="3088" t="str">
        <f>IF(Acessórios!U226="NPA","NPA",Acessórios!U226*100&amp;" %")</f>
        <v>NPA</v>
      </c>
      <c r="D538" s="3089"/>
      <c r="E538" s="1660" t="str">
        <f>Acessórios!V226</f>
        <v>NPA</v>
      </c>
      <c r="K538" s="576" t="str">
        <f t="shared" si="24"/>
        <v>x</v>
      </c>
      <c r="L538" s="2137" t="str">
        <f>IF(OR(E538="Não",E538="Restrição"),"Não conforme",IF(E538="Sim","Conforme",IF(E538="NPA","",NPA)))</f>
        <v/>
      </c>
    </row>
    <row r="539" spans="1:12" ht="15" customHeight="1" x14ac:dyDescent="0.25">
      <c r="A539" s="1653" t="str">
        <f>Acessórios!A227</f>
        <v>13 x 18</v>
      </c>
      <c r="B539" s="1658">
        <f>Acessórios!B227</f>
        <v>58</v>
      </c>
      <c r="C539" s="3088" t="str">
        <f>IF(Acessórios!U227="NPA","NPA",Acessórios!U227*100&amp;" %")</f>
        <v>NPA</v>
      </c>
      <c r="D539" s="3089"/>
      <c r="E539" s="1660" t="str">
        <f>Acessórios!V227</f>
        <v>NPA</v>
      </c>
      <c r="K539" s="576" t="str">
        <f t="shared" si="24"/>
        <v>x</v>
      </c>
      <c r="L539" s="2137" t="str">
        <f>IF(OR(E539="Não",E539="Restrição"),"Não conforme",IF(E539="Sim","Conforme",IF(E539="NPA","",NPA)))</f>
        <v/>
      </c>
    </row>
    <row r="540" spans="1:12" ht="15" customHeight="1" x14ac:dyDescent="0.25">
      <c r="A540" s="1653" t="str">
        <f>Acessórios!A228</f>
        <v>13 x 18</v>
      </c>
      <c r="B540" s="1658">
        <f>Acessórios!B228</f>
        <v>59</v>
      </c>
      <c r="C540" s="3088" t="str">
        <f>IF(Acessórios!U228="NPA","NPA",Acessórios!U228*100&amp;" %")</f>
        <v>NPA</v>
      </c>
      <c r="D540" s="3089"/>
      <c r="E540" s="1660" t="str">
        <f>Acessórios!V228</f>
        <v>NPA</v>
      </c>
      <c r="K540" s="576" t="str">
        <f t="shared" si="24"/>
        <v>x</v>
      </c>
      <c r="L540" s="2137" t="str">
        <f>IF(OR(E540="Não",E540="Restrição"),"Não conforme",IF(E540="Sim","Conforme",IF(E540="NPA","",NPA)))</f>
        <v/>
      </c>
    </row>
    <row r="541" spans="1:12" ht="15" customHeight="1" x14ac:dyDescent="0.25">
      <c r="A541" s="1653" t="str">
        <f>Acessórios!A229</f>
        <v>13 x 18</v>
      </c>
      <c r="B541" s="1658">
        <f>Acessórios!B229</f>
        <v>60</v>
      </c>
      <c r="C541" s="3088" t="str">
        <f>IF(Acessórios!U229="NPA","NPA",Acessórios!U229*100&amp;" %")</f>
        <v>NPA</v>
      </c>
      <c r="D541" s="3089"/>
      <c r="E541" s="1660" t="str">
        <f>Acessórios!V229</f>
        <v>NPA</v>
      </c>
      <c r="K541" s="576" t="str">
        <f t="shared" si="24"/>
        <v>x</v>
      </c>
      <c r="L541" s="2137" t="str">
        <f>IF(OR(E541="Não",E541="Restrição"),"Não conforme",IF(E541="Sim","Conforme",IF(E541="NPA","",NPA)))</f>
        <v/>
      </c>
    </row>
    <row r="542" spans="1:12" ht="15" customHeight="1" x14ac:dyDescent="0.25">
      <c r="A542" s="1653" t="str">
        <f>Acessórios!A230</f>
        <v>13 x 18</v>
      </c>
      <c r="B542" s="1658">
        <f>Acessórios!B230</f>
        <v>61</v>
      </c>
      <c r="C542" s="3088" t="str">
        <f>IF(Acessórios!U230="NPA","NPA",Acessórios!U230*100&amp;" %")</f>
        <v>NPA</v>
      </c>
      <c r="D542" s="3089"/>
      <c r="E542" s="1660" t="str">
        <f>Acessórios!V230</f>
        <v>NPA</v>
      </c>
      <c r="K542" s="576" t="str">
        <f t="shared" si="24"/>
        <v>x</v>
      </c>
      <c r="L542" s="2137" t="str">
        <f>IF(OR(E542="Não",E542="Restrição"),"Não conforme",IF(E542="Sim","Conforme",IF(E542="NPA","",NPA)))</f>
        <v/>
      </c>
    </row>
    <row r="543" spans="1:12" ht="15" customHeight="1" x14ac:dyDescent="0.25">
      <c r="A543" s="1653" t="str">
        <f>Acessórios!A231</f>
        <v>13 x 18</v>
      </c>
      <c r="B543" s="1658">
        <f>Acessórios!B231</f>
        <v>62</v>
      </c>
      <c r="C543" s="3088" t="str">
        <f>IF(Acessórios!U231="NPA","NPA",Acessórios!U231*100&amp;" %")</f>
        <v>NPA</v>
      </c>
      <c r="D543" s="3089"/>
      <c r="E543" s="1660" t="str">
        <f>Acessórios!V231</f>
        <v>NPA</v>
      </c>
      <c r="K543" s="576" t="str">
        <f t="shared" si="24"/>
        <v>x</v>
      </c>
      <c r="L543" s="2137" t="str">
        <f>IF(OR(E543="Não",E543="Restrição"),"Não conforme",IF(E543="Sim","Conforme",IF(E543="NPA","",NPA)))</f>
        <v/>
      </c>
    </row>
    <row r="544" spans="1:12" ht="15" customHeight="1" x14ac:dyDescent="0.25">
      <c r="A544" s="1653" t="str">
        <f>Acessórios!A232</f>
        <v>13 x 18</v>
      </c>
      <c r="B544" s="1658">
        <f>Acessórios!B232</f>
        <v>63</v>
      </c>
      <c r="C544" s="3088" t="str">
        <f>IF(Acessórios!U232="NPA","NPA",Acessórios!U232*100&amp;" %")</f>
        <v>NPA</v>
      </c>
      <c r="D544" s="3089"/>
      <c r="E544" s="1660" t="str">
        <f>Acessórios!V232</f>
        <v>NPA</v>
      </c>
      <c r="K544" s="576" t="str">
        <f t="shared" si="24"/>
        <v>x</v>
      </c>
      <c r="L544" s="2137" t="str">
        <f>IF(OR(E544="Não",E544="Restrição"),"Não conforme",IF(E544="Sim","Conforme",IF(E544="NPA","",NPA)))</f>
        <v/>
      </c>
    </row>
    <row r="545" spans="1:12" ht="15" customHeight="1" x14ac:dyDescent="0.25">
      <c r="A545" s="1653" t="str">
        <f>Acessórios!A233</f>
        <v>13 x 18</v>
      </c>
      <c r="B545" s="1658">
        <f>Acessórios!B233</f>
        <v>64</v>
      </c>
      <c r="C545" s="3088" t="str">
        <f>IF(Acessórios!U233="NPA","NPA",Acessórios!U233*100&amp;" %")</f>
        <v>NPA</v>
      </c>
      <c r="D545" s="3089"/>
      <c r="E545" s="1660" t="str">
        <f>Acessórios!V233</f>
        <v>NPA</v>
      </c>
      <c r="K545" s="576" t="str">
        <f t="shared" si="24"/>
        <v>x</v>
      </c>
      <c r="L545" s="2137" t="str">
        <f>IF(OR(E545="Não",E545="Restrição"),"Não conforme",IF(E545="Sim","Conforme",IF(E545="NPA","",NPA)))</f>
        <v/>
      </c>
    </row>
    <row r="546" spans="1:12" ht="15" customHeight="1" x14ac:dyDescent="0.25">
      <c r="A546" s="1653" t="str">
        <f>Acessórios!A234</f>
        <v>13 x 18</v>
      </c>
      <c r="B546" s="1658">
        <f>Acessórios!B234</f>
        <v>65</v>
      </c>
      <c r="C546" s="3088" t="str">
        <f>IF(Acessórios!U234="NPA","NPA",Acessórios!U234*100&amp;" %")</f>
        <v>NPA</v>
      </c>
      <c r="D546" s="3089"/>
      <c r="E546" s="1660" t="str">
        <f>Acessórios!V234</f>
        <v>NPA</v>
      </c>
      <c r="K546" s="576" t="str">
        <f t="shared" si="24"/>
        <v>x</v>
      </c>
      <c r="L546" s="2137" t="str">
        <f>IF(OR(E546="Não",E546="Restrição"),"Não conforme",IF(E546="Sim","Conforme",IF(E546="NPA","",NPA)))</f>
        <v/>
      </c>
    </row>
    <row r="547" spans="1:12" ht="15" customHeight="1" x14ac:dyDescent="0.25">
      <c r="A547" s="1653" t="str">
        <f>Acessórios!A235</f>
        <v>13 x 18</v>
      </c>
      <c r="B547" s="1658">
        <f>Acessórios!B235</f>
        <v>66</v>
      </c>
      <c r="C547" s="3088" t="str">
        <f>IF(Acessórios!U235="NPA","NPA",Acessórios!U235*100&amp;" %")</f>
        <v>NPA</v>
      </c>
      <c r="D547" s="3089"/>
      <c r="E547" s="1660" t="str">
        <f>Acessórios!V235</f>
        <v>NPA</v>
      </c>
      <c r="K547" s="576" t="str">
        <f t="shared" ref="K547:K561" si="25">IF(E547="NPA","x","")</f>
        <v>x</v>
      </c>
      <c r="L547" s="2137" t="str">
        <f>IF(OR(E547="Não",E547="Restrição"),"Não conforme",IF(E547="Sim","Conforme",IF(E547="NPA","",NPA)))</f>
        <v/>
      </c>
    </row>
    <row r="548" spans="1:12" ht="15" customHeight="1" x14ac:dyDescent="0.25">
      <c r="A548" s="1653" t="str">
        <f>Acessórios!A236</f>
        <v>13 x 18</v>
      </c>
      <c r="B548" s="1658">
        <f>Acessórios!B236</f>
        <v>67</v>
      </c>
      <c r="C548" s="3088" t="str">
        <f>IF(Acessórios!U236="NPA","NPA",Acessórios!U236*100&amp;" %")</f>
        <v>NPA</v>
      </c>
      <c r="D548" s="3089"/>
      <c r="E548" s="1660" t="str">
        <f>Acessórios!V236</f>
        <v>NPA</v>
      </c>
      <c r="K548" s="576" t="str">
        <f t="shared" si="25"/>
        <v>x</v>
      </c>
      <c r="L548" s="2137" t="str">
        <f>IF(OR(E548="Não",E548="Restrição"),"Não conforme",IF(E548="Sim","Conforme",IF(E548="NPA","",NPA)))</f>
        <v/>
      </c>
    </row>
    <row r="549" spans="1:12" ht="15" customHeight="1" x14ac:dyDescent="0.25">
      <c r="A549" s="1653" t="str">
        <f>Acessórios!A237</f>
        <v>13 x 18</v>
      </c>
      <c r="B549" s="1658">
        <f>Acessórios!B237</f>
        <v>68</v>
      </c>
      <c r="C549" s="3088" t="str">
        <f>IF(Acessórios!U237="NPA","NPA",Acessórios!U237*100&amp;" %")</f>
        <v>NPA</v>
      </c>
      <c r="D549" s="3089"/>
      <c r="E549" s="1660" t="str">
        <f>Acessórios!V237</f>
        <v>NPA</v>
      </c>
      <c r="K549" s="576" t="str">
        <f t="shared" si="25"/>
        <v>x</v>
      </c>
      <c r="L549" s="2137" t="str">
        <f>IF(OR(E549="Não",E549="Restrição"),"Não conforme",IF(E549="Sim","Conforme",IF(E549="NPA","",NPA)))</f>
        <v/>
      </c>
    </row>
    <row r="550" spans="1:12" ht="15" customHeight="1" x14ac:dyDescent="0.25">
      <c r="A550" s="1653" t="str">
        <f>Acessórios!A238</f>
        <v>13 x 18</v>
      </c>
      <c r="B550" s="1658">
        <f>Acessórios!B238</f>
        <v>69</v>
      </c>
      <c r="C550" s="3088" t="str">
        <f>IF(Acessórios!U238="NPA","NPA",Acessórios!U238*100&amp;" %")</f>
        <v>NPA</v>
      </c>
      <c r="D550" s="3089"/>
      <c r="E550" s="1660" t="str">
        <f>Acessórios!V238</f>
        <v>NPA</v>
      </c>
      <c r="K550" s="576" t="str">
        <f t="shared" si="25"/>
        <v>x</v>
      </c>
      <c r="L550" s="2137" t="str">
        <f>IF(OR(E550="Não",E550="Restrição"),"Não conforme",IF(E550="Sim","Conforme",IF(E550="NPA","",NPA)))</f>
        <v/>
      </c>
    </row>
    <row r="551" spans="1:12" ht="15" customHeight="1" x14ac:dyDescent="0.25">
      <c r="A551" s="1653" t="str">
        <f>Acessórios!A239</f>
        <v>13 x 18</v>
      </c>
      <c r="B551" s="1658">
        <f>Acessórios!B239</f>
        <v>70</v>
      </c>
      <c r="C551" s="3088" t="str">
        <f>IF(Acessórios!U239="NPA","NPA",Acessórios!U239*100&amp;" %")</f>
        <v>NPA</v>
      </c>
      <c r="D551" s="3089"/>
      <c r="E551" s="1660" t="str">
        <f>Acessórios!V239</f>
        <v>NPA</v>
      </c>
      <c r="K551" s="576" t="str">
        <f t="shared" si="25"/>
        <v>x</v>
      </c>
      <c r="L551" s="2137" t="str">
        <f>IF(OR(E551="Não",E551="Restrição"),"Não conforme",IF(E551="Sim","Conforme",IF(E551="NPA","",NPA)))</f>
        <v/>
      </c>
    </row>
    <row r="552" spans="1:12" ht="15" customHeight="1" x14ac:dyDescent="0.25">
      <c r="A552" s="1653" t="str">
        <f>Acessórios!A240</f>
        <v>13 x 18</v>
      </c>
      <c r="B552" s="1658">
        <f>Acessórios!B240</f>
        <v>71</v>
      </c>
      <c r="C552" s="3088" t="str">
        <f>IF(Acessórios!U240="NPA","NPA",Acessórios!U240*100&amp;" %")</f>
        <v>NPA</v>
      </c>
      <c r="D552" s="3089"/>
      <c r="E552" s="1660" t="str">
        <f>Acessórios!V240</f>
        <v>NPA</v>
      </c>
      <c r="K552" s="576" t="str">
        <f t="shared" si="25"/>
        <v>x</v>
      </c>
      <c r="L552" s="2137" t="str">
        <f>IF(OR(E552="Não",E552="Restrição"),"Não conforme",IF(E552="Sim","Conforme",IF(E552="NPA","",NPA)))</f>
        <v/>
      </c>
    </row>
    <row r="553" spans="1:12" ht="15" customHeight="1" x14ac:dyDescent="0.25">
      <c r="A553" s="1653" t="str">
        <f>Acessórios!A241</f>
        <v>13 x 18</v>
      </c>
      <c r="B553" s="1658">
        <f>Acessórios!B241</f>
        <v>72</v>
      </c>
      <c r="C553" s="3088" t="str">
        <f>IF(Acessórios!U241="NPA","NPA",Acessórios!U241*100&amp;" %")</f>
        <v>NPA</v>
      </c>
      <c r="D553" s="3089"/>
      <c r="E553" s="1660" t="str">
        <f>Acessórios!V241</f>
        <v>NPA</v>
      </c>
      <c r="K553" s="576" t="str">
        <f t="shared" si="25"/>
        <v>x</v>
      </c>
      <c r="L553" s="2137" t="str">
        <f>IF(OR(E553="Não",E553="Restrição"),"Não conforme",IF(E553="Sim","Conforme",IF(E553="NPA","",NPA)))</f>
        <v/>
      </c>
    </row>
    <row r="554" spans="1:12" ht="15" customHeight="1" x14ac:dyDescent="0.25">
      <c r="A554" s="1653" t="str">
        <f>Acessórios!A242</f>
        <v>13 x 18</v>
      </c>
      <c r="B554" s="1658">
        <f>Acessórios!B242</f>
        <v>73</v>
      </c>
      <c r="C554" s="3088" t="str">
        <f>IF(Acessórios!U242="NPA","NPA",Acessórios!U242*100&amp;" %")</f>
        <v>NPA</v>
      </c>
      <c r="D554" s="3089"/>
      <c r="E554" s="1660" t="str">
        <f>Acessórios!V242</f>
        <v>NPA</v>
      </c>
      <c r="K554" s="576" t="str">
        <f t="shared" si="25"/>
        <v>x</v>
      </c>
      <c r="L554" s="2137" t="str">
        <f>IF(OR(E554="Não",E554="Restrição"),"Não conforme",IF(E554="Sim","Conforme",IF(E554="NPA","",NPA)))</f>
        <v/>
      </c>
    </row>
    <row r="555" spans="1:12" ht="15" customHeight="1" x14ac:dyDescent="0.25">
      <c r="A555" s="1653" t="str">
        <f>Acessórios!A243</f>
        <v>13 x 18</v>
      </c>
      <c r="B555" s="1658">
        <f>Acessórios!B243</f>
        <v>74</v>
      </c>
      <c r="C555" s="3088" t="str">
        <f>IF(Acessórios!U243="NPA","NPA",Acessórios!U243*100&amp;" %")</f>
        <v>NPA</v>
      </c>
      <c r="D555" s="3089"/>
      <c r="E555" s="1660" t="str">
        <f>Acessórios!V243</f>
        <v>NPA</v>
      </c>
      <c r="K555" s="576" t="str">
        <f t="shared" si="25"/>
        <v>x</v>
      </c>
      <c r="L555" s="2137" t="str">
        <f>IF(OR(E555="Não",E555="Restrição"),"Não conforme",IF(E555="Sim","Conforme",IF(E555="NPA","",NPA)))</f>
        <v/>
      </c>
    </row>
    <row r="556" spans="1:12" ht="15" customHeight="1" x14ac:dyDescent="0.25">
      <c r="A556" s="1653" t="str">
        <f>Acessórios!A244</f>
        <v>13 x 18</v>
      </c>
      <c r="B556" s="1658">
        <f>Acessórios!B244</f>
        <v>75</v>
      </c>
      <c r="C556" s="3088" t="str">
        <f>IF(Acessórios!U244="NPA","NPA",Acessórios!U244*100&amp;" %")</f>
        <v>NPA</v>
      </c>
      <c r="D556" s="3089"/>
      <c r="E556" s="1660" t="str">
        <f>Acessórios!V244</f>
        <v>NPA</v>
      </c>
      <c r="K556" s="576" t="str">
        <f t="shared" si="25"/>
        <v>x</v>
      </c>
      <c r="L556" s="2137" t="str">
        <f>IF(OR(E556="Não",E556="Restrição"),"Não conforme",IF(E556="Sim","Conforme",IF(E556="NPA","",NPA)))</f>
        <v/>
      </c>
    </row>
    <row r="557" spans="1:12" ht="15" customHeight="1" x14ac:dyDescent="0.25">
      <c r="A557" s="1653" t="str">
        <f>Acessórios!A245</f>
        <v>13 x 18</v>
      </c>
      <c r="B557" s="1658">
        <f>Acessórios!B245</f>
        <v>76</v>
      </c>
      <c r="C557" s="3088" t="str">
        <f>IF(Acessórios!U245="NPA","NPA",Acessórios!U245*100&amp;" %")</f>
        <v>NPA</v>
      </c>
      <c r="D557" s="3089"/>
      <c r="E557" s="1660" t="str">
        <f>Acessórios!V245</f>
        <v>NPA</v>
      </c>
      <c r="K557" s="576" t="str">
        <f t="shared" si="25"/>
        <v>x</v>
      </c>
      <c r="L557" s="2137" t="str">
        <f>IF(OR(E557="Não",E557="Restrição"),"Não conforme",IF(E557="Sim","Conforme",IF(E557="NPA","",NPA)))</f>
        <v/>
      </c>
    </row>
    <row r="558" spans="1:12" ht="15" customHeight="1" x14ac:dyDescent="0.25">
      <c r="A558" s="1653" t="str">
        <f>Acessórios!A246</f>
        <v>13 x 18</v>
      </c>
      <c r="B558" s="1658">
        <f>Acessórios!B246</f>
        <v>77</v>
      </c>
      <c r="C558" s="3088" t="str">
        <f>IF(Acessórios!U246="NPA","NPA",Acessórios!U246*100&amp;" %")</f>
        <v>NPA</v>
      </c>
      <c r="D558" s="3089"/>
      <c r="E558" s="1660" t="str">
        <f>Acessórios!V246</f>
        <v>NPA</v>
      </c>
      <c r="K558" s="576" t="str">
        <f t="shared" si="25"/>
        <v>x</v>
      </c>
      <c r="L558" s="2137" t="str">
        <f>IF(OR(E558="Não",E558="Restrição"),"Não conforme",IF(E558="Sim","Conforme",IF(E558="NPA","",NPA)))</f>
        <v/>
      </c>
    </row>
    <row r="559" spans="1:12" ht="15" customHeight="1" x14ac:dyDescent="0.25">
      <c r="A559" s="1653" t="str">
        <f>Acessórios!A247</f>
        <v>13 x 18</v>
      </c>
      <c r="B559" s="1658">
        <f>Acessórios!B247</f>
        <v>78</v>
      </c>
      <c r="C559" s="3088" t="str">
        <f>IF(Acessórios!U247="NPA","NPA",Acessórios!U247*100&amp;" %")</f>
        <v>NPA</v>
      </c>
      <c r="D559" s="3089"/>
      <c r="E559" s="1660" t="str">
        <f>Acessórios!V247</f>
        <v>NPA</v>
      </c>
      <c r="K559" s="576" t="str">
        <f t="shared" si="25"/>
        <v>x</v>
      </c>
      <c r="L559" s="2137" t="str">
        <f>IF(OR(E559="Não",E559="Restrição"),"Não conforme",IF(E559="Sim","Conforme",IF(E559="NPA","",NPA)))</f>
        <v/>
      </c>
    </row>
    <row r="560" spans="1:12" ht="15" customHeight="1" x14ac:dyDescent="0.25">
      <c r="A560" s="1653" t="str">
        <f>Acessórios!A248</f>
        <v>13 x 18</v>
      </c>
      <c r="B560" s="1658">
        <f>Acessórios!B248</f>
        <v>79</v>
      </c>
      <c r="C560" s="3088" t="str">
        <f>IF(Acessórios!U248="NPA","NPA",Acessórios!U248*100&amp;" %")</f>
        <v>NPA</v>
      </c>
      <c r="D560" s="3089"/>
      <c r="E560" s="1660" t="str">
        <f>Acessórios!V248</f>
        <v>NPA</v>
      </c>
      <c r="K560" s="576" t="str">
        <f t="shared" si="25"/>
        <v>x</v>
      </c>
      <c r="L560" s="2137" t="str">
        <f>IF(OR(E560="Não",E560="Restrição"),"Não conforme",IF(E560="Sim","Conforme",IF(E560="NPA","",NPA)))</f>
        <v/>
      </c>
    </row>
    <row r="561" spans="1:12" ht="15" customHeight="1" x14ac:dyDescent="0.25">
      <c r="A561" s="1599" t="str">
        <f>Acessórios!A249</f>
        <v>13 x 18</v>
      </c>
      <c r="B561" s="1613">
        <f>Acessórios!B249</f>
        <v>80</v>
      </c>
      <c r="C561" s="3088" t="str">
        <f>IF(Acessórios!U249="NPA","NPA",Acessórios!U249*100&amp;" %")</f>
        <v>NPA</v>
      </c>
      <c r="D561" s="3089"/>
      <c r="E561" s="1660" t="str">
        <f>Acessórios!V249</f>
        <v>NPA</v>
      </c>
      <c r="K561" s="576" t="str">
        <f t="shared" si="25"/>
        <v>x</v>
      </c>
      <c r="L561" s="2137" t="str">
        <f>IF(OR(E561="Não",E561="Restrição"),"Não conforme",IF(E561="Sim","Conforme",IF(E561="NPA","",NPA)))</f>
        <v/>
      </c>
    </row>
    <row r="562" spans="1:12" ht="15" customHeight="1" x14ac:dyDescent="0.25">
      <c r="A562" s="1600" t="s">
        <v>1776</v>
      </c>
      <c r="B562" s="1597"/>
      <c r="C562" s="1136"/>
      <c r="D562" s="1594"/>
      <c r="E562" s="1598"/>
      <c r="F562" s="1595"/>
      <c r="G562" s="1136"/>
      <c r="H562" s="1595"/>
      <c r="I562" s="1595"/>
      <c r="J562" s="285"/>
      <c r="K562" s="576" t="str">
        <f>K477</f>
        <v>x</v>
      </c>
    </row>
    <row r="563" spans="1:12" ht="15" customHeight="1" x14ac:dyDescent="0.25">
      <c r="A563" s="1593"/>
      <c r="B563" s="1597"/>
      <c r="C563" s="1136"/>
      <c r="D563" s="1594"/>
      <c r="E563" s="1598"/>
      <c r="F563" s="1595"/>
      <c r="G563" s="1136"/>
      <c r="H563" s="1595"/>
      <c r="I563" s="1595"/>
      <c r="K563" s="576" t="str">
        <f>K562</f>
        <v>x</v>
      </c>
    </row>
    <row r="564" spans="1:12" ht="15" customHeight="1" x14ac:dyDescent="0.25">
      <c r="A564" s="281" t="str">
        <f>L564&amp;". Diferença de sensibilidade entre placas de fósforo de mesmo tamanho"</f>
        <v>2. Diferença de sensibilidade entre placas de fósforo de mesmo tamanho</v>
      </c>
      <c r="K564" s="34" t="str">
        <f>IF(COUNTBLANK(K571:K578)&gt;0,"","x")</f>
        <v>x</v>
      </c>
      <c r="L564" s="34">
        <f>IF(K564="",L477+1,L477)</f>
        <v>2</v>
      </c>
    </row>
    <row r="565" spans="1:12" s="2118" customFormat="1" ht="15" customHeight="1" x14ac:dyDescent="0.25">
      <c r="A565" s="2118" t="s">
        <v>2344</v>
      </c>
      <c r="B565" s="2468" t="s">
        <v>2696</v>
      </c>
      <c r="C565" s="2468"/>
      <c r="D565" s="2468"/>
      <c r="E565" s="2468"/>
      <c r="F565" s="2468"/>
      <c r="G565" s="2468"/>
      <c r="H565" s="2468"/>
      <c r="I565" s="2468"/>
      <c r="J565" s="2468"/>
      <c r="K565" s="2119" t="str">
        <f t="shared" ref="K565:K569" si="26">K563</f>
        <v>x</v>
      </c>
    </row>
    <row r="566" spans="1:12" s="2118" customFormat="1" ht="15" customHeight="1" x14ac:dyDescent="0.25">
      <c r="B566" s="2468"/>
      <c r="C566" s="2468"/>
      <c r="D566" s="2468"/>
      <c r="E566" s="2468"/>
      <c r="F566" s="2468"/>
      <c r="G566" s="2468"/>
      <c r="H566" s="2468"/>
      <c r="I566" s="2468"/>
      <c r="J566" s="2468"/>
      <c r="K566" s="2119" t="str">
        <f t="shared" si="26"/>
        <v>x</v>
      </c>
    </row>
    <row r="567" spans="1:12" s="2118" customFormat="1" ht="15" customHeight="1" x14ac:dyDescent="0.25">
      <c r="A567" s="2118" t="s">
        <v>2697</v>
      </c>
      <c r="K567" s="2119" t="str">
        <f t="shared" si="26"/>
        <v>x</v>
      </c>
    </row>
    <row r="568" spans="1:12" ht="15" customHeight="1" x14ac:dyDescent="0.25">
      <c r="A568" s="2118" t="s">
        <v>2685</v>
      </c>
      <c r="K568" s="2119" t="str">
        <f t="shared" si="26"/>
        <v>x</v>
      </c>
    </row>
    <row r="569" spans="1:12" s="2118" customFormat="1" ht="15" customHeight="1" x14ac:dyDescent="0.25">
      <c r="K569" s="2119" t="str">
        <f t="shared" si="26"/>
        <v>x</v>
      </c>
    </row>
    <row r="570" spans="1:12" ht="15" customHeight="1" x14ac:dyDescent="0.25">
      <c r="A570" s="3092" t="s">
        <v>776</v>
      </c>
      <c r="B570" s="3092"/>
      <c r="C570" s="3092" t="s">
        <v>1774</v>
      </c>
      <c r="D570" s="3092"/>
      <c r="E570" s="3092" t="s">
        <v>1779</v>
      </c>
      <c r="F570" s="3092"/>
      <c r="G570" s="1651" t="str">
        <f>mamo!$B$1</f>
        <v>IN 92</v>
      </c>
      <c r="K570" s="576" t="str">
        <f>K568</f>
        <v>x</v>
      </c>
    </row>
    <row r="571" spans="1:12" ht="15" customHeight="1" x14ac:dyDescent="0.25">
      <c r="A571" s="3110" t="s">
        <v>767</v>
      </c>
      <c r="B571" s="3110"/>
      <c r="C571" s="3110" t="s">
        <v>92</v>
      </c>
      <c r="D571" s="3110"/>
      <c r="E571" s="3109" t="e">
        <f>Acessórios!BX167*100&amp;" %"</f>
        <v>#VALUE!</v>
      </c>
      <c r="F571" s="3109"/>
      <c r="G571" s="1660" t="str">
        <f>IF(ISERR(E571),"ERRO",IF(Acessórios!BX167&lt;=0.15,"Sim","Não"))</f>
        <v>ERRO</v>
      </c>
      <c r="K571" s="576" t="str">
        <f>IF(ISERR(E571),"x","")</f>
        <v>x</v>
      </c>
      <c r="L571" s="34" t="str">
        <f>IF(OR(G571="Não",G571="Restrição"),"Não conforme",IF(G571="Sim","Conforme","NPA"))</f>
        <v>NPA</v>
      </c>
    </row>
    <row r="572" spans="1:12" ht="15" customHeight="1" x14ac:dyDescent="0.25">
      <c r="A572" s="3110" t="s">
        <v>768</v>
      </c>
      <c r="B572" s="3110"/>
      <c r="C572" s="3110" t="s">
        <v>92</v>
      </c>
      <c r="D572" s="3110"/>
      <c r="E572" s="3109" t="e">
        <f>Acessórios!BY167*100&amp;" %"</f>
        <v>#VALUE!</v>
      </c>
      <c r="F572" s="3109"/>
      <c r="G572" s="1660" t="str">
        <f>IF(ISERR(E572),"ERRO",IF(Acessórios!BY167&lt;=0.15,"Sim","Não"))</f>
        <v>ERRO</v>
      </c>
      <c r="H572" s="1595"/>
      <c r="I572" s="1595"/>
      <c r="K572" s="576" t="str">
        <f t="shared" ref="K572:K578" si="27">IF(ISERR(E572),"x","")</f>
        <v>x</v>
      </c>
      <c r="L572" s="2118" t="str">
        <f t="shared" ref="L572:L578" si="28">IF(OR(G572="Não",G572="Restrição"),"Não conforme",IF(G572="Sim","Conforme","NPA"))</f>
        <v>NPA</v>
      </c>
    </row>
    <row r="573" spans="1:12" ht="15" customHeight="1" x14ac:dyDescent="0.25">
      <c r="A573" s="3110" t="s">
        <v>769</v>
      </c>
      <c r="B573" s="3110"/>
      <c r="C573" s="3110" t="s">
        <v>92</v>
      </c>
      <c r="D573" s="3110"/>
      <c r="E573" s="3109" t="e">
        <f>Acessórios!BZ167*100&amp;" %"</f>
        <v>#VALUE!</v>
      </c>
      <c r="F573" s="3109"/>
      <c r="G573" s="1660" t="str">
        <f>IF(ISERR(E573),"ERRO",IF(Acessórios!BZ167&lt;=0.15,"Sim","Não"))</f>
        <v>ERRO</v>
      </c>
      <c r="H573" s="1595"/>
      <c r="I573" s="1595"/>
      <c r="K573" s="576" t="str">
        <f t="shared" si="27"/>
        <v>x</v>
      </c>
      <c r="L573" s="2118" t="str">
        <f t="shared" si="28"/>
        <v>NPA</v>
      </c>
    </row>
    <row r="574" spans="1:12" ht="15" customHeight="1" x14ac:dyDescent="0.25">
      <c r="A574" s="3110" t="s">
        <v>770</v>
      </c>
      <c r="B574" s="3110"/>
      <c r="C574" s="3110" t="s">
        <v>92</v>
      </c>
      <c r="D574" s="3110"/>
      <c r="E574" s="3109" t="e">
        <f>Acessórios!CA167*100&amp;" %"</f>
        <v>#VALUE!</v>
      </c>
      <c r="F574" s="3109"/>
      <c r="G574" s="1660" t="str">
        <f>IF(ISERR(E574),"ERRO",IF(Acessórios!CA167&lt;=0.15,"Sim","Não"))</f>
        <v>ERRO</v>
      </c>
      <c r="H574" s="1595"/>
      <c r="I574" s="1595"/>
      <c r="K574" s="576" t="str">
        <f t="shared" si="27"/>
        <v>x</v>
      </c>
      <c r="L574" s="2118" t="str">
        <f t="shared" si="28"/>
        <v>NPA</v>
      </c>
    </row>
    <row r="575" spans="1:12" ht="15" customHeight="1" x14ac:dyDescent="0.25">
      <c r="A575" s="3110" t="s">
        <v>771</v>
      </c>
      <c r="B575" s="3110"/>
      <c r="C575" s="3110" t="s">
        <v>92</v>
      </c>
      <c r="D575" s="3110"/>
      <c r="E575" s="3109" t="e">
        <f>Acessórios!CB167*100&amp;" %"</f>
        <v>#VALUE!</v>
      </c>
      <c r="F575" s="3109"/>
      <c r="G575" s="1660" t="str">
        <f>IF(ISERR(E575),"ERRO",IF(Acessórios!CB167&lt;=0.15,"Sim","Não"))</f>
        <v>ERRO</v>
      </c>
      <c r="H575" s="1595"/>
      <c r="I575" s="1595"/>
      <c r="K575" s="576" t="str">
        <f t="shared" si="27"/>
        <v>x</v>
      </c>
      <c r="L575" s="2118" t="str">
        <f t="shared" si="28"/>
        <v>NPA</v>
      </c>
    </row>
    <row r="576" spans="1:12" ht="15" customHeight="1" x14ac:dyDescent="0.25">
      <c r="A576" s="3110" t="s">
        <v>772</v>
      </c>
      <c r="B576" s="3110"/>
      <c r="C576" s="3110" t="s">
        <v>92</v>
      </c>
      <c r="D576" s="3110"/>
      <c r="E576" s="3109" t="e">
        <f>Acessórios!CC167*100&amp;" %"</f>
        <v>#VALUE!</v>
      </c>
      <c r="F576" s="3109"/>
      <c r="G576" s="1660" t="str">
        <f>IF(ISERR(E576),"ERRO",IF(Acessórios!CC167&lt;=0.15,"Sim","Não"))</f>
        <v>ERRO</v>
      </c>
      <c r="H576" s="1595"/>
      <c r="I576" s="1595"/>
      <c r="K576" s="576" t="str">
        <f t="shared" si="27"/>
        <v>x</v>
      </c>
      <c r="L576" s="2118" t="str">
        <f t="shared" si="28"/>
        <v>NPA</v>
      </c>
    </row>
    <row r="577" spans="1:12" ht="15" customHeight="1" x14ac:dyDescent="0.25">
      <c r="A577" s="3110" t="s">
        <v>773</v>
      </c>
      <c r="B577" s="3110"/>
      <c r="C577" s="3110" t="s">
        <v>92</v>
      </c>
      <c r="D577" s="3110"/>
      <c r="E577" s="3109" t="e">
        <f>Acessórios!CD167*100&amp;" %"</f>
        <v>#VALUE!</v>
      </c>
      <c r="F577" s="3109"/>
      <c r="G577" s="1660" t="str">
        <f>IF(ISERR(E577),"ERRO",IF(Acessórios!CD167&lt;=0.15,"Sim","Não"))</f>
        <v>ERRO</v>
      </c>
      <c r="H577" s="1595"/>
      <c r="I577" s="1595"/>
      <c r="K577" s="576" t="str">
        <f t="shared" si="27"/>
        <v>x</v>
      </c>
      <c r="L577" s="2118" t="str">
        <f t="shared" si="28"/>
        <v>NPA</v>
      </c>
    </row>
    <row r="578" spans="1:12" ht="15" customHeight="1" x14ac:dyDescent="0.25">
      <c r="A578" s="3110" t="s">
        <v>774</v>
      </c>
      <c r="B578" s="3110"/>
      <c r="C578" s="3110" t="s">
        <v>92</v>
      </c>
      <c r="D578" s="3110"/>
      <c r="E578" s="3109" t="e">
        <f>Acessórios!CE167*100&amp;" %"</f>
        <v>#VALUE!</v>
      </c>
      <c r="F578" s="3109"/>
      <c r="G578" s="1660" t="str">
        <f>IF(ISERR(E578),"ERRO",IF(Acessórios!CE167&lt;=0.15,"Sim","Não"))</f>
        <v>ERRO</v>
      </c>
      <c r="H578" s="1595"/>
      <c r="I578" s="1595"/>
      <c r="K578" s="576" t="str">
        <f t="shared" si="27"/>
        <v>x</v>
      </c>
      <c r="L578" s="2118" t="str">
        <f t="shared" si="28"/>
        <v>NPA</v>
      </c>
    </row>
    <row r="579" spans="1:12" ht="15" customHeight="1" x14ac:dyDescent="0.25">
      <c r="A579" s="1600" t="s">
        <v>1776</v>
      </c>
      <c r="B579" s="1597"/>
      <c r="C579" s="1136"/>
      <c r="D579" s="1594"/>
      <c r="E579" s="1598"/>
      <c r="F579" s="1595"/>
      <c r="G579" s="1136"/>
      <c r="H579" s="1595"/>
      <c r="I579" s="1595"/>
      <c r="K579" s="576" t="str">
        <f>K564</f>
        <v>x</v>
      </c>
    </row>
    <row r="580" spans="1:12" ht="15" customHeight="1" x14ac:dyDescent="0.25">
      <c r="A580" s="1593"/>
      <c r="B580" s="1597"/>
      <c r="C580" s="1136"/>
      <c r="D580" s="1594"/>
      <c r="E580" s="1598"/>
      <c r="F580" s="1595"/>
      <c r="G580" s="1136"/>
      <c r="H580" s="1595"/>
      <c r="I580" s="1595"/>
      <c r="K580" s="576" t="str">
        <f>K579</f>
        <v>x</v>
      </c>
    </row>
    <row r="581" spans="1:12" ht="15" customHeight="1" x14ac:dyDescent="0.25">
      <c r="A581" s="3111" t="str">
        <f>L581&amp;". Diferença de sensibilidade entre placas de fósforo para receptores de imagem de mesmo tamanho"</f>
        <v>2. Diferença de sensibilidade entre placas de fósforo para receptores de imagem de mesmo tamanho</v>
      </c>
      <c r="B581" s="3111"/>
      <c r="C581" s="3111"/>
      <c r="D581" s="3111"/>
      <c r="E581" s="3111"/>
      <c r="F581" s="3111"/>
      <c r="G581" s="3111"/>
      <c r="H581" s="3111"/>
      <c r="I581" s="3111"/>
      <c r="J581" s="3111"/>
      <c r="K581" s="34" t="str">
        <f>IF(COUNTBLANK(K589:K596)&gt;0,"","x")</f>
        <v>x</v>
      </c>
      <c r="L581" s="34">
        <f>IF(K581="",L564+1,L564)</f>
        <v>2</v>
      </c>
    </row>
    <row r="582" spans="1:12" ht="15" customHeight="1" x14ac:dyDescent="0.25">
      <c r="A582" s="3111"/>
      <c r="B582" s="3111"/>
      <c r="C582" s="3111"/>
      <c r="D582" s="3111"/>
      <c r="E582" s="3111"/>
      <c r="F582" s="3111"/>
      <c r="G582" s="3111"/>
      <c r="H582" s="3111"/>
      <c r="I582" s="3111"/>
      <c r="J582" s="3111"/>
      <c r="K582" s="576" t="str">
        <f>K581</f>
        <v>x</v>
      </c>
    </row>
    <row r="583" spans="1:12" s="2118" customFormat="1" ht="15" customHeight="1" x14ac:dyDescent="0.25">
      <c r="A583" s="2118" t="s">
        <v>2344</v>
      </c>
      <c r="B583" s="2468" t="s">
        <v>2696</v>
      </c>
      <c r="C583" s="2468"/>
      <c r="D583" s="2468"/>
      <c r="E583" s="2468"/>
      <c r="F583" s="2468"/>
      <c r="G583" s="2468"/>
      <c r="H583" s="2468"/>
      <c r="I583" s="2468"/>
      <c r="J583" s="2468"/>
      <c r="K583" s="2119" t="str">
        <f t="shared" ref="K583:K586" si="29">K578</f>
        <v>x</v>
      </c>
    </row>
    <row r="584" spans="1:12" s="2118" customFormat="1" ht="15" customHeight="1" x14ac:dyDescent="0.25">
      <c r="B584" s="2468"/>
      <c r="C584" s="2468"/>
      <c r="D584" s="2468"/>
      <c r="E584" s="2468"/>
      <c r="F584" s="2468"/>
      <c r="G584" s="2468"/>
      <c r="H584" s="2468"/>
      <c r="I584" s="2468"/>
      <c r="J584" s="2468"/>
      <c r="K584" s="2119" t="str">
        <f t="shared" si="29"/>
        <v>x</v>
      </c>
    </row>
    <row r="585" spans="1:12" s="2118" customFormat="1" ht="15" customHeight="1" x14ac:dyDescent="0.25">
      <c r="A585" s="2118" t="s">
        <v>2698</v>
      </c>
      <c r="B585" s="2126"/>
      <c r="C585" s="2126"/>
      <c r="D585" s="2126"/>
      <c r="E585" s="2126"/>
      <c r="F585" s="2126"/>
      <c r="G585" s="2126"/>
      <c r="H585" s="2126"/>
      <c r="I585" s="2126"/>
      <c r="J585" s="2126"/>
      <c r="K585" s="2119" t="str">
        <f t="shared" si="29"/>
        <v>x</v>
      </c>
    </row>
    <row r="586" spans="1:12" s="2118" customFormat="1" ht="15" customHeight="1" x14ac:dyDescent="0.25">
      <c r="A586" s="2118" t="s">
        <v>2685</v>
      </c>
      <c r="B586" s="2126"/>
      <c r="C586" s="2126"/>
      <c r="D586" s="2126"/>
      <c r="E586" s="2126"/>
      <c r="F586" s="2126"/>
      <c r="G586" s="2126"/>
      <c r="H586" s="2126"/>
      <c r="I586" s="2126"/>
      <c r="J586" s="2126"/>
      <c r="K586" s="2119" t="str">
        <f t="shared" si="29"/>
        <v>x</v>
      </c>
    </row>
    <row r="587" spans="1:12" ht="15" customHeight="1" x14ac:dyDescent="0.25">
      <c r="A587" s="1136"/>
      <c r="B587" s="1136"/>
      <c r="C587" s="1136"/>
      <c r="D587" s="1594"/>
      <c r="F587" s="1595"/>
      <c r="G587" s="1136"/>
      <c r="H587" s="1595"/>
      <c r="K587" s="576" t="str">
        <f>K582</f>
        <v>x</v>
      </c>
    </row>
    <row r="588" spans="1:12" ht="15" customHeight="1" x14ac:dyDescent="0.25">
      <c r="A588" s="3092" t="s">
        <v>776</v>
      </c>
      <c r="B588" s="3092"/>
      <c r="C588" s="3092" t="s">
        <v>1774</v>
      </c>
      <c r="D588" s="3092"/>
      <c r="E588" s="3092" t="s">
        <v>1779</v>
      </c>
      <c r="F588" s="3092"/>
      <c r="G588" s="1652" t="str">
        <f>convencional!$B$1</f>
        <v>IN 90</v>
      </c>
      <c r="H588" s="1595"/>
      <c r="I588" s="1595"/>
      <c r="K588" s="576" t="str">
        <f>K587</f>
        <v>x</v>
      </c>
    </row>
    <row r="589" spans="1:12" ht="15" customHeight="1" x14ac:dyDescent="0.25">
      <c r="A589" s="3110" t="s">
        <v>767</v>
      </c>
      <c r="B589" s="3110"/>
      <c r="C589" s="3110" t="s">
        <v>94</v>
      </c>
      <c r="D589" s="3110"/>
      <c r="E589" s="3109" t="e">
        <f>Acessórios!CF167*100&amp;" %"</f>
        <v>#VALUE!</v>
      </c>
      <c r="F589" s="3109"/>
      <c r="G589" s="1660" t="str">
        <f>IF(ISERR(E589),"ERRO",IF(Acessórios!CF167&gt;0.4,"Restrição",IF(Acessórios!CF167&gt;0.2,"Não","Sim")))</f>
        <v>ERRO</v>
      </c>
      <c r="H589" s="1595"/>
      <c r="I589" s="1595"/>
      <c r="K589" s="576" t="str">
        <f t="shared" ref="K589:K596" si="30">IF(ISERR(E589),"x","")</f>
        <v>x</v>
      </c>
      <c r="L589" s="2118" t="str">
        <f>IF(OR(G589="Não",G589="Restrição"),"Não conforme",IF(G589="Sim","Conforme","NPA"))</f>
        <v>NPA</v>
      </c>
    </row>
    <row r="590" spans="1:12" ht="15" customHeight="1" x14ac:dyDescent="0.25">
      <c r="A590" s="3110" t="s">
        <v>768</v>
      </c>
      <c r="B590" s="3110"/>
      <c r="C590" s="3110" t="s">
        <v>94</v>
      </c>
      <c r="D590" s="3110"/>
      <c r="E590" s="3109" t="e">
        <f>Acessórios!CG167*100&amp;" %"</f>
        <v>#VALUE!</v>
      </c>
      <c r="F590" s="3109"/>
      <c r="G590" s="1660" t="str">
        <f>IF(ISERR(E590),"ERRO",IF(Acessórios!CG167&gt;0.4,"Restrição",IF(Acessórios!CG167&gt;0.2,"Não","Sim")))</f>
        <v>ERRO</v>
      </c>
      <c r="H590" s="1595"/>
      <c r="I590" s="1595"/>
      <c r="K590" s="576" t="str">
        <f t="shared" si="30"/>
        <v>x</v>
      </c>
      <c r="L590" s="2118" t="str">
        <f t="shared" ref="L590:L596" si="31">IF(OR(G590="Não",G590="Restrição"),"Não conforme",IF(G590="Sim","Conforme","NPA"))</f>
        <v>NPA</v>
      </c>
    </row>
    <row r="591" spans="1:12" ht="15" customHeight="1" x14ac:dyDescent="0.25">
      <c r="A591" s="3110" t="s">
        <v>769</v>
      </c>
      <c r="B591" s="3110"/>
      <c r="C591" s="3110" t="s">
        <v>94</v>
      </c>
      <c r="D591" s="3110"/>
      <c r="E591" s="3109" t="e">
        <f>Acessórios!CH167*100&amp;" %"</f>
        <v>#VALUE!</v>
      </c>
      <c r="F591" s="3109"/>
      <c r="G591" s="1660" t="str">
        <f>IF(ISERR(E591),"ERRO",IF(Acessórios!CH167&gt;0.4,"Restrição",IF(Acessórios!CH167&gt;0.2,"Não","Sim")))</f>
        <v>ERRO</v>
      </c>
      <c r="H591" s="1595"/>
      <c r="I591" s="1595"/>
      <c r="K591" s="576" t="str">
        <f t="shared" si="30"/>
        <v>x</v>
      </c>
      <c r="L591" s="2118" t="str">
        <f t="shared" si="31"/>
        <v>NPA</v>
      </c>
    </row>
    <row r="592" spans="1:12" ht="15" customHeight="1" x14ac:dyDescent="0.25">
      <c r="A592" s="3110" t="s">
        <v>770</v>
      </c>
      <c r="B592" s="3110"/>
      <c r="C592" s="3110" t="s">
        <v>94</v>
      </c>
      <c r="D592" s="3110"/>
      <c r="E592" s="3109" t="e">
        <f>Acessórios!CI167*100&amp;" %"</f>
        <v>#VALUE!</v>
      </c>
      <c r="F592" s="3109"/>
      <c r="G592" s="1660" t="str">
        <f>IF(ISERR(E592),"ERRO",IF(Acessórios!CI167&gt;0.4,"Restrição",IF(Acessórios!CI167&gt;0.2,"Não","Sim")))</f>
        <v>ERRO</v>
      </c>
      <c r="H592" s="1595"/>
      <c r="I592" s="1595"/>
      <c r="K592" s="576" t="str">
        <f t="shared" si="30"/>
        <v>x</v>
      </c>
      <c r="L592" s="2118" t="str">
        <f t="shared" si="31"/>
        <v>NPA</v>
      </c>
    </row>
    <row r="593" spans="1:12" ht="15" customHeight="1" x14ac:dyDescent="0.25">
      <c r="A593" s="3110" t="s">
        <v>771</v>
      </c>
      <c r="B593" s="3110"/>
      <c r="C593" s="3110" t="s">
        <v>94</v>
      </c>
      <c r="D593" s="3110"/>
      <c r="E593" s="3109" t="e">
        <f>Acessórios!CJ167*100&amp;" %"</f>
        <v>#VALUE!</v>
      </c>
      <c r="F593" s="3109"/>
      <c r="G593" s="1660" t="str">
        <f>IF(ISERR(E593),"ERRO",IF(Acessórios!CJ167&gt;0.4,"Restrição",IF(Acessórios!CJ167&gt;0.2,"Não","Sim")))</f>
        <v>ERRO</v>
      </c>
      <c r="H593" s="1595"/>
      <c r="I593" s="1595"/>
      <c r="K593" s="576" t="str">
        <f t="shared" si="30"/>
        <v>x</v>
      </c>
      <c r="L593" s="2118" t="str">
        <f t="shared" si="31"/>
        <v>NPA</v>
      </c>
    </row>
    <row r="594" spans="1:12" ht="15" customHeight="1" x14ac:dyDescent="0.25">
      <c r="A594" s="3110" t="s">
        <v>772</v>
      </c>
      <c r="B594" s="3110"/>
      <c r="C594" s="3110" t="s">
        <v>94</v>
      </c>
      <c r="D594" s="3110"/>
      <c r="E594" s="3109" t="e">
        <f>Acessórios!CK167*100&amp;" %"</f>
        <v>#VALUE!</v>
      </c>
      <c r="F594" s="3109"/>
      <c r="G594" s="1660" t="str">
        <f>IF(ISERR(E594),"ERRO",IF(Acessórios!CK167&gt;0.4,"Restrição",IF(Acessórios!CK167&gt;0.2,"Não","Sim")))</f>
        <v>ERRO</v>
      </c>
      <c r="H594" s="1595"/>
      <c r="I594" s="1595"/>
      <c r="K594" s="576" t="str">
        <f t="shared" si="30"/>
        <v>x</v>
      </c>
      <c r="L594" s="2118" t="str">
        <f t="shared" si="31"/>
        <v>NPA</v>
      </c>
    </row>
    <row r="595" spans="1:12" ht="15" customHeight="1" x14ac:dyDescent="0.25">
      <c r="A595" s="3110" t="s">
        <v>773</v>
      </c>
      <c r="B595" s="3110"/>
      <c r="C595" s="3110" t="s">
        <v>94</v>
      </c>
      <c r="D595" s="3110"/>
      <c r="E595" s="3109" t="e">
        <f>Acessórios!CL167*100&amp;" %"</f>
        <v>#VALUE!</v>
      </c>
      <c r="F595" s="3109"/>
      <c r="G595" s="1660" t="str">
        <f>IF(ISERR(E595),"ERRO",IF(Acessórios!CL167&gt;0.4,"Restrição",IF(Acessórios!CL167&gt;0.2,"Não","Sim")))</f>
        <v>ERRO</v>
      </c>
      <c r="H595" s="1595"/>
      <c r="I595" s="1595"/>
      <c r="K595" s="576" t="str">
        <f t="shared" si="30"/>
        <v>x</v>
      </c>
      <c r="L595" s="2118" t="str">
        <f t="shared" si="31"/>
        <v>NPA</v>
      </c>
    </row>
    <row r="596" spans="1:12" ht="15" customHeight="1" x14ac:dyDescent="0.25">
      <c r="A596" s="3110" t="s">
        <v>774</v>
      </c>
      <c r="B596" s="3110"/>
      <c r="C596" s="3110" t="s">
        <v>94</v>
      </c>
      <c r="D596" s="3110"/>
      <c r="E596" s="3109" t="e">
        <f>Acessórios!CM167*100&amp;" %"</f>
        <v>#VALUE!</v>
      </c>
      <c r="F596" s="3109"/>
      <c r="G596" s="1660" t="str">
        <f>IF(ISERR(E596),"ERRO",IF(Acessórios!CM167&gt;0.4,"Restrição",IF(Acessórios!CM167&gt;0.2,"Não","Sim")))</f>
        <v>ERRO</v>
      </c>
      <c r="H596" s="1595"/>
      <c r="I596" s="1595"/>
      <c r="K596" s="576" t="str">
        <f t="shared" si="30"/>
        <v>x</v>
      </c>
      <c r="L596" s="2118" t="str">
        <f t="shared" si="31"/>
        <v>NPA</v>
      </c>
    </row>
    <row r="597" spans="1:12" ht="15" customHeight="1" x14ac:dyDescent="0.25">
      <c r="A597" s="1600" t="s">
        <v>1776</v>
      </c>
      <c r="B597" s="1597"/>
      <c r="C597" s="1136"/>
      <c r="D597" s="1594"/>
      <c r="E597" s="1598"/>
      <c r="F597" s="1595"/>
      <c r="G597" s="1136"/>
      <c r="H597" s="1595"/>
      <c r="I597" s="1595"/>
      <c r="K597" s="576" t="str">
        <f>K581</f>
        <v>x</v>
      </c>
    </row>
    <row r="598" spans="1:12" ht="15" customHeight="1" x14ac:dyDescent="0.25">
      <c r="A598" s="1593"/>
      <c r="B598" s="1597"/>
      <c r="C598" s="1136"/>
      <c r="D598" s="1594"/>
      <c r="E598" s="1598"/>
      <c r="F598" s="1595"/>
      <c r="G598" s="1136"/>
      <c r="H598" s="1595"/>
      <c r="I598" s="1595"/>
      <c r="K598" s="576" t="str">
        <f>K597</f>
        <v>x</v>
      </c>
    </row>
    <row r="599" spans="1:12" s="2054" customFormat="1" ht="15" customHeight="1" x14ac:dyDescent="0.25">
      <c r="A599" s="2061"/>
      <c r="B599" s="2061"/>
      <c r="C599" s="2061"/>
      <c r="D599" s="2061"/>
      <c r="E599" s="2061"/>
      <c r="F599" s="2061"/>
      <c r="G599" s="2062"/>
      <c r="H599" s="2062"/>
      <c r="I599" s="2063"/>
      <c r="J599" s="2063"/>
      <c r="K599" s="2054" t="s">
        <v>649</v>
      </c>
    </row>
    <row r="600" spans="1:12" ht="15" customHeight="1" x14ac:dyDescent="0.25">
      <c r="A600" s="281" t="str">
        <f>L600&amp;". COMENTÁRIOS E RECOMENDAÇÕES:"</f>
        <v>3. COMENTÁRIOS E RECOMENDAÇÕES:</v>
      </c>
      <c r="L600" s="34">
        <f>L581+1</f>
        <v>3</v>
      </c>
    </row>
    <row r="601" spans="1:12" ht="15" customHeight="1" x14ac:dyDescent="0.25">
      <c r="A601" s="2469" t="str">
        <f>IntroPrazoArmazenamento</f>
        <v xml:space="preserve">               Este documento deve ser arquivado e mantido à disposição da autoridade sanitária local, garantindo sua rastreabilidade pelo prazo mínimo de 5 anos. </v>
      </c>
      <c r="B601" s="2469"/>
      <c r="C601" s="2469"/>
      <c r="D601" s="2469"/>
      <c r="E601" s="2469"/>
      <c r="F601" s="2469"/>
      <c r="G601" s="2469"/>
      <c r="H601" s="2469"/>
      <c r="I601" s="2469"/>
      <c r="J601" s="2469"/>
    </row>
    <row r="602" spans="1:12" ht="15" customHeight="1" x14ac:dyDescent="0.25">
      <c r="A602" s="2469"/>
      <c r="B602" s="2469"/>
      <c r="C602" s="2469"/>
      <c r="D602" s="2469"/>
      <c r="E602" s="2469"/>
      <c r="F602" s="2469"/>
      <c r="G602" s="2469"/>
      <c r="H602" s="2469"/>
      <c r="I602" s="2469"/>
      <c r="J602" s="2469"/>
    </row>
    <row r="603" spans="1:12" ht="15" customHeight="1" x14ac:dyDescent="0.25">
      <c r="A603" s="2469" t="str">
        <f>"               Conforme Instruções Normativas "&amp;VLOOKUP("Raios X Convencional",IN_ANVISA[],2)&amp;"/"&amp;VLOOKUP("Raios X Convencional",IN_ANVISA[],3)&amp;" e "&amp;VLOOKUP("Mamografia",IN_ANVISA[],2)&amp;"/"&amp;VLOOKUP("Mamografia",IN_ANVISA[],3)&amp;", os chassis e cassetes não íntegros estão fora de tolerância."</f>
        <v xml:space="preserve">               Conforme Instruções Normativas 90/2021 e 92/2021, os chassis e cassetes não íntegros estão fora de tolerância.</v>
      </c>
      <c r="B603" s="2469"/>
      <c r="C603" s="2469"/>
      <c r="D603" s="2469"/>
      <c r="E603" s="2469"/>
      <c r="F603" s="2469"/>
      <c r="G603" s="2469"/>
      <c r="H603" s="2469"/>
      <c r="I603" s="2469"/>
      <c r="J603" s="2469"/>
      <c r="K603" s="34" t="str">
        <f>K56</f>
        <v>x</v>
      </c>
    </row>
    <row r="604" spans="1:12" ht="15" customHeight="1" x14ac:dyDescent="0.25">
      <c r="A604" s="2469"/>
      <c r="B604" s="2469"/>
      <c r="C604" s="2469"/>
      <c r="D604" s="2469"/>
      <c r="E604" s="2469"/>
      <c r="F604" s="2469"/>
      <c r="G604" s="2469"/>
      <c r="H604" s="2469"/>
      <c r="I604" s="2469"/>
      <c r="J604" s="2469"/>
      <c r="K604" s="34" t="str">
        <f>K603</f>
        <v>x</v>
      </c>
    </row>
    <row r="605" spans="1:12" ht="15" customHeight="1" x14ac:dyDescent="0.25">
      <c r="A605" s="2469" t="str">
        <f>"               Conforme Instrução Normativa "&amp;VLOOKUP("Mamografia",IN_ANVISA[],2)&amp;"/"&amp;VLOOKUP("Mamografia",IN_ANVISA[],3)&amp;", são testes diários: a sensitometria da processadora e a temperatura do sistema de processamento da imagem."</f>
        <v xml:space="preserve">               Conforme Instrução Normativa 92/2021, são testes diários: a sensitometria da processadora e a temperatura do sistema de processamento da imagem.</v>
      </c>
      <c r="B605" s="2469"/>
      <c r="C605" s="2469"/>
      <c r="D605" s="2469"/>
      <c r="E605" s="2469"/>
      <c r="F605" s="2469"/>
      <c r="G605" s="2469"/>
      <c r="H605" s="2469"/>
      <c r="I605" s="2469"/>
      <c r="J605" s="2469"/>
      <c r="K605" s="34" t="str">
        <f>K194</f>
        <v>x</v>
      </c>
    </row>
    <row r="606" spans="1:12" ht="15" customHeight="1" x14ac:dyDescent="0.25">
      <c r="A606" s="2469"/>
      <c r="B606" s="2469"/>
      <c r="C606" s="2469"/>
      <c r="D606" s="2469"/>
      <c r="E606" s="2469"/>
      <c r="F606" s="2469"/>
      <c r="G606" s="2469"/>
      <c r="H606" s="2469"/>
      <c r="I606" s="2469"/>
      <c r="J606" s="2469"/>
      <c r="K606" s="34" t="str">
        <f>K605</f>
        <v>x</v>
      </c>
    </row>
    <row r="607" spans="1:12" ht="15" customHeight="1" x14ac:dyDescent="0.25">
      <c r="A607" s="2469" t="str">
        <f>"               Conforme Instruções Normativas "&amp;VLOOKUP("Raios X convencional",IN_ANVISA[],2)&amp;"/"&amp;VLOOKUP("Raios X convencional",IN_ANVISA[],3)&amp;", "&amp;VLOOKUP("Mamografia",IN_ANVISA[],2)&amp;"/"&amp;VLOOKUP("Mamografia",IN_ANVISA[],3)&amp;" e "&amp;VLOOKUP("Extraoral",IN_ANVISA[],2)&amp;"/"&amp;VLOOKUP("Extraoral",IN_ANVISA[],3)&amp;" da ANVISA, a câmara escura não deve possuir entrada de luz externa."</f>
        <v xml:space="preserve">               Conforme Instruções Normativas 90/2021, 92/2021 e 94/2021 da ANVISA, a câmara escura não deve possuir entrada de luz externa.</v>
      </c>
      <c r="B607" s="2469"/>
      <c r="C607" s="2469"/>
      <c r="D607" s="2469"/>
      <c r="E607" s="2469"/>
      <c r="F607" s="2469"/>
      <c r="G607" s="2469"/>
      <c r="H607" s="2469"/>
      <c r="I607" s="2469"/>
      <c r="J607" s="2469"/>
      <c r="K607" s="34" t="str">
        <f>K34</f>
        <v>x</v>
      </c>
    </row>
    <row r="608" spans="1:12" ht="15" customHeight="1" x14ac:dyDescent="0.25">
      <c r="A608" s="2469"/>
      <c r="B608" s="2469"/>
      <c r="C608" s="2469"/>
      <c r="D608" s="2469"/>
      <c r="E608" s="2469"/>
      <c r="F608" s="2469"/>
      <c r="G608" s="2469"/>
      <c r="H608" s="2469"/>
      <c r="I608" s="2469"/>
      <c r="J608" s="2469"/>
      <c r="K608" s="34" t="str">
        <f>K607</f>
        <v>x</v>
      </c>
    </row>
    <row r="609" spans="1:12" ht="15" customHeight="1" x14ac:dyDescent="0.25">
      <c r="A609" s="2469" t="str">
        <f>"               Conforme RDC "&amp;VLOOKUP("RDC",IN_ANVISA[],2)&amp;"/"&amp;VLOOKUP("RDC",IN_ANVISA[],3)&amp;" da ANVISA: podem ser utilizadas câmaras portáteis de revelação manual confeccionadas em material opaco"&amp;" e o serviço deve dispor de cronômetro, termômetro, tabela de revelação e demais recursos para garantir o processamento conforme as instruções de uso dos fabricantes."</f>
        <v xml:space="preserve">               Conforme RDC 611/2022 da ANVISA: podem ser utilizadas câmaras portáteis de revelação manual confeccionadas em material opaco e o serviço deve dispor de cronômetro, termômetro, tabela de revelação e demais recursos para garantir o processamento conforme as instruções de uso dos fabricantes.</v>
      </c>
      <c r="B609" s="2469"/>
      <c r="C609" s="2469"/>
      <c r="D609" s="2469"/>
      <c r="E609" s="2469"/>
      <c r="F609" s="2469"/>
      <c r="G609" s="2469"/>
      <c r="H609" s="2469"/>
      <c r="I609" s="2469"/>
      <c r="J609" s="2469"/>
      <c r="K609" s="34" t="str">
        <f>K653</f>
        <v>x</v>
      </c>
    </row>
    <row r="610" spans="1:12" ht="15" customHeight="1" x14ac:dyDescent="0.25">
      <c r="A610" s="2469"/>
      <c r="B610" s="2469"/>
      <c r="C610" s="2469"/>
      <c r="D610" s="2469"/>
      <c r="E610" s="2469"/>
      <c r="F610" s="2469"/>
      <c r="G610" s="2469"/>
      <c r="H610" s="2469"/>
      <c r="I610" s="2469"/>
      <c r="J610" s="2469"/>
      <c r="K610" s="34" t="str">
        <f>K609</f>
        <v>x</v>
      </c>
    </row>
    <row r="611" spans="1:12" ht="15" customHeight="1" x14ac:dyDescent="0.25">
      <c r="A611" s="2469"/>
      <c r="B611" s="2469"/>
      <c r="C611" s="2469"/>
      <c r="D611" s="2469"/>
      <c r="E611" s="2469"/>
      <c r="F611" s="2469"/>
      <c r="G611" s="2469"/>
      <c r="H611" s="2469"/>
      <c r="I611" s="2469"/>
      <c r="J611" s="2469"/>
      <c r="K611" s="34" t="str">
        <f>K610</f>
        <v>x</v>
      </c>
    </row>
    <row r="612" spans="1:12" ht="15" customHeight="1" x14ac:dyDescent="0.25">
      <c r="A612" s="2469"/>
      <c r="B612" s="2469"/>
      <c r="C612" s="2469"/>
      <c r="D612" s="2469"/>
      <c r="E612" s="2469"/>
      <c r="F612" s="2469"/>
      <c r="G612" s="2469"/>
      <c r="H612" s="2469"/>
      <c r="I612" s="2469"/>
      <c r="J612" s="2469"/>
      <c r="K612" s="34" t="str">
        <f>K611</f>
        <v>x</v>
      </c>
    </row>
    <row r="613" spans="1:12" ht="15" customHeight="1" x14ac:dyDescent="0.25">
      <c r="A613" s="2469" t="str">
        <f>"               "&amp;Acessórios!B3</f>
        <v xml:space="preserve">               </v>
      </c>
      <c r="B613" s="2469"/>
      <c r="C613" s="2469"/>
      <c r="D613" s="2469"/>
      <c r="E613" s="2469"/>
      <c r="F613" s="2469"/>
      <c r="G613" s="2469"/>
      <c r="H613" s="2469"/>
      <c r="I613" s="2469"/>
      <c r="J613" s="2469"/>
      <c r="K613" s="34" t="str">
        <f>IF(Acessórios!B3="","x","")</f>
        <v>x</v>
      </c>
    </row>
    <row r="614" spans="1:12" ht="15" customHeight="1" x14ac:dyDescent="0.25">
      <c r="A614" s="2469"/>
      <c r="B614" s="2469"/>
      <c r="C614" s="2469"/>
      <c r="D614" s="2469"/>
      <c r="E614" s="2469"/>
      <c r="F614" s="2469"/>
      <c r="G614" s="2469"/>
      <c r="H614" s="2469"/>
      <c r="I614" s="2469"/>
      <c r="J614" s="2469"/>
      <c r="K614" s="34" t="str">
        <f>K613</f>
        <v>x</v>
      </c>
    </row>
    <row r="615" spans="1:12" ht="15" customHeight="1" x14ac:dyDescent="0.25">
      <c r="A615" s="2469"/>
      <c r="B615" s="2469"/>
      <c r="C615" s="2469"/>
      <c r="D615" s="2469"/>
      <c r="E615" s="2469"/>
      <c r="F615" s="2469"/>
      <c r="G615" s="2469"/>
      <c r="H615" s="2469"/>
      <c r="I615" s="2469"/>
      <c r="J615" s="2469"/>
      <c r="K615" s="34" t="str">
        <f>K614</f>
        <v>x</v>
      </c>
    </row>
    <row r="616" spans="1:12" ht="15" customHeight="1" x14ac:dyDescent="0.25">
      <c r="A616" s="1650"/>
      <c r="B616" s="1650"/>
      <c r="C616" s="1650"/>
      <c r="D616" s="1650"/>
      <c r="E616" s="1650"/>
      <c r="F616" s="1650"/>
      <c r="G616" s="1650"/>
      <c r="H616" s="1650"/>
      <c r="I616" s="1650"/>
      <c r="J616" s="1650"/>
    </row>
    <row r="617" spans="1:12" ht="15" customHeight="1" x14ac:dyDescent="0.25">
      <c r="A617" s="281" t="str">
        <f>L617&amp;". VALIDADE:"</f>
        <v>4. VALIDADE:</v>
      </c>
      <c r="B617" s="1938"/>
      <c r="C617" s="1938"/>
      <c r="D617" s="1938"/>
      <c r="E617" s="1938"/>
      <c r="F617" s="1938"/>
      <c r="G617" s="1938"/>
      <c r="H617" s="1938"/>
      <c r="I617" s="1938"/>
      <c r="J617" s="1938"/>
      <c r="L617" s="34">
        <f>L600+1</f>
        <v>4</v>
      </c>
    </row>
    <row r="618" spans="1:12" ht="15" customHeight="1" x14ac:dyDescent="0.25">
      <c r="A618" s="2469" t="str">
        <f>VALIDADE</f>
        <v xml:space="preserve">               Os testes devem ser realizados na periodicidade determinada na legislação e, de acordo com o Art. 31 da RDC 611/2022 da ANVISA,  sempre que for realizado qualquer ajuste ou alteração das condições físicas originais do equipamento o serviço de radiologia diagnóstica ou intervencionista deve realizar os testes correspondentes aos parâmetros modificados e aos demais parâmetros que podem ser afetados por essas modificações.</v>
      </c>
      <c r="B618" s="2469"/>
      <c r="C618" s="2469"/>
      <c r="D618" s="2469"/>
      <c r="E618" s="2469"/>
      <c r="F618" s="2469"/>
      <c r="G618" s="2469"/>
      <c r="H618" s="2469"/>
      <c r="I618" s="2469"/>
      <c r="J618" s="2469"/>
    </row>
    <row r="619" spans="1:12" ht="15" customHeight="1" x14ac:dyDescent="0.25">
      <c r="A619" s="2469"/>
      <c r="B619" s="2469"/>
      <c r="C619" s="2469"/>
      <c r="D619" s="2469"/>
      <c r="E619" s="2469"/>
      <c r="F619" s="2469"/>
      <c r="G619" s="2469"/>
      <c r="H619" s="2469"/>
      <c r="I619" s="2469"/>
      <c r="J619" s="2469"/>
    </row>
    <row r="620" spans="1:12" ht="15" customHeight="1" x14ac:dyDescent="0.25">
      <c r="A620" s="2469"/>
      <c r="B620" s="2469"/>
      <c r="C620" s="2469"/>
      <c r="D620" s="2469"/>
      <c r="E620" s="2469"/>
      <c r="F620" s="2469"/>
      <c r="G620" s="2469"/>
      <c r="H620" s="2469"/>
      <c r="I620" s="2469"/>
      <c r="J620" s="2469"/>
    </row>
    <row r="621" spans="1:12" ht="15" customHeight="1" x14ac:dyDescent="0.25">
      <c r="A621" s="2469"/>
      <c r="B621" s="2469"/>
      <c r="C621" s="2469"/>
      <c r="D621" s="2469"/>
      <c r="E621" s="2469"/>
      <c r="F621" s="2469"/>
      <c r="G621" s="2469"/>
      <c r="H621" s="2469"/>
      <c r="I621" s="2469"/>
      <c r="J621" s="2469"/>
    </row>
    <row r="622" spans="1:12" ht="15" customHeight="1" x14ac:dyDescent="0.25">
      <c r="A622" s="2469"/>
      <c r="B622" s="2469"/>
      <c r="C622" s="2469"/>
      <c r="D622" s="2469"/>
      <c r="E622" s="2469"/>
      <c r="F622" s="2469"/>
      <c r="G622" s="2469"/>
      <c r="H622" s="2469"/>
      <c r="I622" s="2469"/>
      <c r="J622" s="2469"/>
    </row>
    <row r="623" spans="1:12" s="2054" customFormat="1" ht="15" customHeight="1" x14ac:dyDescent="0.25">
      <c r="A623" s="2053"/>
      <c r="B623" s="2053"/>
      <c r="C623" s="2053"/>
      <c r="D623" s="2053"/>
      <c r="E623" s="2053"/>
      <c r="F623" s="2053"/>
      <c r="G623" s="2053"/>
      <c r="H623" s="2053"/>
      <c r="I623" s="2053"/>
      <c r="J623" s="2053"/>
    </row>
    <row r="624" spans="1:12" ht="15" customHeight="1" x14ac:dyDescent="0.25">
      <c r="A624" s="281" t="str">
        <f>L624&amp;". TABELA RESUMO:"</f>
        <v>5. TABELA RESUMO:</v>
      </c>
      <c r="B624" s="1938"/>
      <c r="C624" s="1938"/>
      <c r="D624" s="1938"/>
      <c r="E624" s="1938"/>
      <c r="F624" s="1938"/>
      <c r="G624" s="1938"/>
      <c r="H624" s="1938"/>
      <c r="I624" s="1938"/>
      <c r="J624" s="1938"/>
      <c r="L624" s="34">
        <f>L617+1</f>
        <v>5</v>
      </c>
    </row>
    <row r="625" spans="1:12" s="2105" customFormat="1" ht="15" customHeight="1" x14ac:dyDescent="0.25">
      <c r="A625" s="2104"/>
      <c r="B625" s="2104"/>
      <c r="C625" s="2104"/>
      <c r="D625" s="2104"/>
      <c r="E625" s="2104"/>
      <c r="F625" s="2104"/>
      <c r="G625" s="2104"/>
      <c r="H625" s="2104"/>
      <c r="I625" s="2104"/>
      <c r="J625" s="2104"/>
    </row>
    <row r="626" spans="1:12" s="2105" customFormat="1" ht="15" customHeight="1" x14ac:dyDescent="0.25">
      <c r="A626" s="2487" t="s">
        <v>146</v>
      </c>
      <c r="B626" s="2487"/>
      <c r="C626" s="2487"/>
      <c r="D626" s="2487"/>
      <c r="E626" s="2487"/>
      <c r="F626" s="2487" t="s">
        <v>2457</v>
      </c>
      <c r="G626" s="2487"/>
      <c r="H626" s="2163" t="s">
        <v>2458</v>
      </c>
      <c r="I626" s="2487" t="s">
        <v>2423</v>
      </c>
      <c r="J626" s="2487"/>
    </row>
    <row r="627" spans="1:12" s="2118" customFormat="1" ht="15" customHeight="1" x14ac:dyDescent="0.25">
      <c r="A627" s="3085" t="s">
        <v>2700</v>
      </c>
      <c r="B627" s="3086"/>
      <c r="C627" s="3086"/>
      <c r="D627" s="3086"/>
      <c r="E627" s="3087"/>
      <c r="F627" s="2460" t="s">
        <v>2359</v>
      </c>
      <c r="G627" s="2460"/>
      <c r="H627" s="2098" t="e">
        <f t="shared" ref="H627:H628" si="32">IF(F627="-","NA",IF(F627="Quadrienal",$J$1+1461,IF(F627="Bienal",$J$1+730,IF(F627="Anual",$J$1+365,IF(F627="Semestral",$J$1+182,IF(F627="Mensal",$J$1+30,IF(F627="Semanal",$J$1+7)))))))</f>
        <v>#N/A</v>
      </c>
      <c r="I627" s="2454" t="str">
        <f>IF(COUNTIF(I62:J151,"Não íntegro")&lt;&gt;0,"Não conforme", "Conforme")</f>
        <v>Conforme</v>
      </c>
      <c r="J627" s="2454"/>
      <c r="K627" s="2118" t="str">
        <f>IF(K56="x","x","")</f>
        <v>x</v>
      </c>
    </row>
    <row r="628" spans="1:12" s="2105" customFormat="1" ht="15" customHeight="1" x14ac:dyDescent="0.25">
      <c r="A628" s="3085" t="s">
        <v>2700</v>
      </c>
      <c r="B628" s="3086"/>
      <c r="C628" s="3086"/>
      <c r="D628" s="3086"/>
      <c r="E628" s="3087"/>
      <c r="F628" s="2460" t="s">
        <v>2359</v>
      </c>
      <c r="G628" s="2460"/>
      <c r="H628" s="2098" t="e">
        <f t="shared" si="32"/>
        <v>#N/A</v>
      </c>
      <c r="I628" s="2454" t="str">
        <f>IF(COUNTIF(D285:E364,"Não íntegro")&lt;&gt;0,"Não conforme", "Conforme")</f>
        <v>Conforme</v>
      </c>
      <c r="J628" s="2454"/>
      <c r="K628" s="2106" t="str">
        <f>IF(K277="x","x","")</f>
        <v>x</v>
      </c>
    </row>
    <row r="629" spans="1:12" s="2105" customFormat="1" ht="15" customHeight="1" x14ac:dyDescent="0.25">
      <c r="A629" s="3085" t="s">
        <v>777</v>
      </c>
      <c r="B629" s="3086"/>
      <c r="C629" s="3086"/>
      <c r="D629" s="3086"/>
      <c r="E629" s="3087"/>
      <c r="F629" s="2460" t="s">
        <v>2359</v>
      </c>
      <c r="G629" s="2460"/>
      <c r="H629" s="2098" t="e">
        <f>IF(F629="-","NA",IF(F629="Quadrienal",$J$1+1461,IF(F629="Bienal",$J$1+730,IF(F629="Anual",$J$1+365,IF(F629="Semestral",$J$1+182,IF(F629="Mensal",$J$1+30,IF(F629="Semanal",$J$1+7)))))))</f>
        <v>#N/A</v>
      </c>
      <c r="I629" s="2454" t="str">
        <f>IF(COUNTIF(G62:H151,OR("Não uniforme","Ruim"))&lt;&gt;0,"Não conforme","Confome")</f>
        <v>Confome</v>
      </c>
      <c r="J629" s="2454" t="s">
        <v>857</v>
      </c>
      <c r="K629" s="2106" t="str">
        <f>IF(K56="x","x","")</f>
        <v>x</v>
      </c>
    </row>
    <row r="630" spans="1:12" s="2105" customFormat="1" ht="15" customHeight="1" x14ac:dyDescent="0.25">
      <c r="A630" s="3085" t="s">
        <v>1702</v>
      </c>
      <c r="B630" s="3086"/>
      <c r="C630" s="3086"/>
      <c r="D630" s="3086"/>
      <c r="E630" s="3087"/>
      <c r="F630" s="2460" t="s">
        <v>2359</v>
      </c>
      <c r="G630" s="2460"/>
      <c r="H630" s="2098" t="e">
        <f t="shared" ref="H630:H637" si="33">IF(F630="-","NA",IF(F630="Quadrienal",$J$1+1461,IF(F630="Bienal",$J$1+730,IF(F630="Anual",$J$1+365,IF(F630="Semestral",$J$1+182,IF(F630="Mensal",$J$1+30,IF(F630="Semanal",$J$1+7)))))))</f>
        <v>#N/A</v>
      </c>
      <c r="I630" s="2454" t="str">
        <f>IF(Acessórios!B141="Não","Não conforme","Conforme")</f>
        <v>Conforme</v>
      </c>
      <c r="J630" s="2454" t="s">
        <v>857</v>
      </c>
      <c r="K630" s="2106"/>
    </row>
    <row r="631" spans="1:12" s="2105" customFormat="1" ht="15" customHeight="1" x14ac:dyDescent="0.25">
      <c r="A631" s="3085" t="s">
        <v>2409</v>
      </c>
      <c r="B631" s="3086"/>
      <c r="C631" s="3086"/>
      <c r="D631" s="3086"/>
      <c r="E631" s="3087"/>
      <c r="F631" s="2460" t="s">
        <v>2359</v>
      </c>
      <c r="G631" s="2460"/>
      <c r="H631" s="2098" t="e">
        <f t="shared" si="33"/>
        <v>#N/A</v>
      </c>
      <c r="I631" s="2454" t="str">
        <f>IF(COUNTIF(M162:M165,"Não conforme")&lt;&gt;0,"Não conforme","Conforme)")</f>
        <v>Não conforme</v>
      </c>
      <c r="J631" s="2454" t="s">
        <v>857</v>
      </c>
      <c r="K631" s="2105" t="str">
        <f>IF(K154="x","x","")</f>
        <v>x</v>
      </c>
    </row>
    <row r="632" spans="1:12" s="2105" customFormat="1" ht="15" customHeight="1" x14ac:dyDescent="0.25">
      <c r="A632" s="3085" t="s">
        <v>1538</v>
      </c>
      <c r="B632" s="3086"/>
      <c r="C632" s="3086"/>
      <c r="D632" s="3086"/>
      <c r="E632" s="3087"/>
      <c r="F632" s="2460" t="s">
        <v>2359</v>
      </c>
      <c r="G632" s="2460"/>
      <c r="H632" s="2098" t="e">
        <f t="shared" si="33"/>
        <v>#N/A</v>
      </c>
      <c r="I632" s="2454" t="str">
        <f>IF(COUNTIF(M285:M364,"Não conforme")&lt;&gt;0,"Não conforme",IF(COUNTIF(M285:M364,"Conforme")&lt;&gt;0,"Conforme","NPA"))</f>
        <v>NPA</v>
      </c>
      <c r="J632" s="2454" t="s">
        <v>857</v>
      </c>
    </row>
    <row r="633" spans="1:12" s="2105" customFormat="1" ht="45" customHeight="1" x14ac:dyDescent="0.25">
      <c r="A633" s="3085" t="s">
        <v>2410</v>
      </c>
      <c r="B633" s="3086"/>
      <c r="C633" s="3086"/>
      <c r="D633" s="3086"/>
      <c r="E633" s="3087"/>
      <c r="F633" s="2460" t="s">
        <v>2359</v>
      </c>
      <c r="G633" s="2460"/>
      <c r="H633" s="2098" t="e">
        <f t="shared" si="33"/>
        <v>#N/A</v>
      </c>
      <c r="I633" s="2454" t="str">
        <f>IF(COUNTIF(L589:L596,"Não conforme")&lt;&gt;0,"Não conforme",IF(COUNTIF(L589:L596,"Conforme")&lt;&gt;0,"Conforme","NPA"))</f>
        <v>NPA</v>
      </c>
      <c r="J633" s="2454" t="s">
        <v>857</v>
      </c>
      <c r="K633" s="2105" t="str">
        <f>IF(K581="x","x","")</f>
        <v>x</v>
      </c>
    </row>
    <row r="634" spans="1:12" s="2118" customFormat="1" ht="45" customHeight="1" x14ac:dyDescent="0.25">
      <c r="A634" s="3085" t="s">
        <v>2410</v>
      </c>
      <c r="B634" s="3086"/>
      <c r="C634" s="3086"/>
      <c r="D634" s="3086"/>
      <c r="E634" s="3087"/>
      <c r="F634" s="2460" t="s">
        <v>2359</v>
      </c>
      <c r="G634" s="2460"/>
      <c r="H634" s="2098" t="e">
        <f t="shared" si="33"/>
        <v>#N/A</v>
      </c>
      <c r="I634" s="2491" t="str">
        <f>IF(COUNTIF(L571:L578,"Não conforme")&lt;&gt;0,"Não conforme",IF(COUNTIF(L571:L578,"Conforme")&lt;&gt;0,"Conforme","NPA"))</f>
        <v>NPA</v>
      </c>
      <c r="J634" s="2461"/>
      <c r="K634" s="2118" t="str">
        <f>IF(K564="x","x","")</f>
        <v>x</v>
      </c>
    </row>
    <row r="635" spans="1:12" s="2105" customFormat="1" ht="15" customHeight="1" x14ac:dyDescent="0.25">
      <c r="A635" s="3085" t="s">
        <v>422</v>
      </c>
      <c r="B635" s="3086"/>
      <c r="C635" s="3086"/>
      <c r="D635" s="3086"/>
      <c r="E635" s="3087"/>
      <c r="F635" s="2460" t="s">
        <v>2359</v>
      </c>
      <c r="G635" s="2460"/>
      <c r="H635" s="2098" t="e">
        <f t="shared" si="33"/>
        <v>#N/A</v>
      </c>
      <c r="I635" s="2454" t="str">
        <f>IF(COUNTIF(L484:L561,"Não conforme")&lt;&gt;0,"Não conforme",IF(COUNTIF(L484:L561,"Conforme")&lt;&gt;0,"Conforme","NPA"))</f>
        <v>NPA</v>
      </c>
      <c r="J635" s="2454" t="s">
        <v>857</v>
      </c>
      <c r="K635" s="2095" t="str">
        <f>IF(Cabeçalho!$B$14="Raios X convencional","","x")</f>
        <v>x</v>
      </c>
    </row>
    <row r="636" spans="1:12" s="2105" customFormat="1" ht="15" customHeight="1" x14ac:dyDescent="0.25">
      <c r="A636" s="3085" t="s">
        <v>1773</v>
      </c>
      <c r="B636" s="3086"/>
      <c r="C636" s="3086"/>
      <c r="D636" s="3086"/>
      <c r="E636" s="3087"/>
      <c r="F636" s="2460" t="s">
        <v>2359</v>
      </c>
      <c r="G636" s="2460"/>
      <c r="H636" s="2098" t="e">
        <f t="shared" si="33"/>
        <v>#N/A</v>
      </c>
      <c r="I636" s="2454" t="str">
        <f>IF(Acessórios!B142="Sim","Conforme","Não conforme")</f>
        <v>Conforme</v>
      </c>
      <c r="J636" s="2454" t="s">
        <v>857</v>
      </c>
    </row>
    <row r="637" spans="1:12" s="2105" customFormat="1" ht="15" customHeight="1" x14ac:dyDescent="0.25">
      <c r="A637" s="3085" t="s">
        <v>1007</v>
      </c>
      <c r="B637" s="3086"/>
      <c r="C637" s="3086"/>
      <c r="D637" s="3086"/>
      <c r="E637" s="3087"/>
      <c r="F637" s="2460" t="s">
        <v>2359</v>
      </c>
      <c r="G637" s="2460"/>
      <c r="H637" s="2098" t="e">
        <f t="shared" si="33"/>
        <v>#N/A</v>
      </c>
      <c r="I637" s="2454" t="str">
        <f>IF(COUNTIF(L484:L561,"Não conforme")&lt;&gt;0,"Não conforme",IF(COUNTIF(L484:L561,"Conforme")&lt;&gt;0,"Conforme","NPA"))</f>
        <v>NPA</v>
      </c>
      <c r="J637" s="2454" t="s">
        <v>857</v>
      </c>
      <c r="K637" s="2105" t="str">
        <f>IF(K367="x","x","")</f>
        <v>x</v>
      </c>
    </row>
    <row r="638" spans="1:12" s="2105" customFormat="1" ht="15" customHeight="1" x14ac:dyDescent="0.25">
      <c r="A638" s="284" t="s">
        <v>2772</v>
      </c>
      <c r="B638" s="2104"/>
      <c r="C638" s="2104"/>
      <c r="D638" s="2104"/>
      <c r="E638" s="2104"/>
      <c r="F638" s="2104"/>
      <c r="G638" s="2104"/>
      <c r="H638" s="2104"/>
      <c r="I638" s="2104"/>
      <c r="J638" s="2104"/>
    </row>
    <row r="639" spans="1:12" s="2105" customFormat="1" ht="15" customHeight="1" x14ac:dyDescent="0.25">
      <c r="A639" s="2104"/>
      <c r="B639" s="2104"/>
      <c r="C639" s="2104"/>
      <c r="D639" s="2104"/>
      <c r="E639" s="2104"/>
      <c r="F639" s="2104"/>
      <c r="G639" s="2104"/>
      <c r="H639" s="2104"/>
      <c r="I639" s="2104"/>
      <c r="J639" s="2104"/>
    </row>
    <row r="640" spans="1:12" ht="15" customHeight="1" x14ac:dyDescent="0.25">
      <c r="A640" s="281" t="str">
        <f>L640&amp;". CONCLUSÕES:"</f>
        <v>6. CONCLUSÕES:</v>
      </c>
      <c r="L640" s="34">
        <f>L624+1</f>
        <v>6</v>
      </c>
    </row>
    <row r="641" spans="1:11" ht="15" customHeight="1" x14ac:dyDescent="0.25">
      <c r="A641" s="281" t="s">
        <v>237</v>
      </c>
      <c r="K641" s="34" t="str">
        <f>IF(Cabeçalho!B14="Intraoral","x",K607)</f>
        <v>x</v>
      </c>
    </row>
    <row r="642" spans="1:11" ht="15" customHeight="1" x14ac:dyDescent="0.25">
      <c r="A642" s="2476" t="str">
        <f>"                 "&amp;IF(COUNTIF(Acessórios!B10:E10,"n")&gt;0,IF(COUNTIF(Acessórios!B11:E11,"n")&gt;0,"A câmara escura deve possuir pia com torneira e exaustor.","A câmara escura deve possuir exaustor."),"A câmara escura deve possuir pia com torneira.")</f>
        <v xml:space="preserve">                 A câmara escura deve possuir pia com torneira.</v>
      </c>
      <c r="B642" s="2476"/>
      <c r="C642" s="2476"/>
      <c r="D642" s="2476"/>
      <c r="E642" s="2476"/>
      <c r="F642" s="2476"/>
      <c r="G642" s="2476"/>
      <c r="H642" s="2476"/>
      <c r="I642" s="2476"/>
      <c r="J642" s="2476"/>
      <c r="K642" s="34" t="str">
        <f>IF(AND(K607="",COUNTIF(Acessórios!B13:E13,"Não")&gt;0),"","x")</f>
        <v>x</v>
      </c>
    </row>
    <row r="643" spans="1:11" ht="15" customHeight="1" x14ac:dyDescent="0.25">
      <c r="A643" s="2468" t="s">
        <v>2083</v>
      </c>
      <c r="B643" s="2468"/>
      <c r="C643" s="2468"/>
      <c r="D643" s="2468"/>
      <c r="E643" s="2468"/>
      <c r="F643" s="2468"/>
      <c r="G643" s="2468"/>
      <c r="H643" s="2468"/>
      <c r="I643" s="2468"/>
      <c r="J643" s="2468"/>
      <c r="K643" s="34" t="str">
        <f>IF(AND(K641="",K642="x"),"","x")</f>
        <v>x</v>
      </c>
    </row>
    <row r="644" spans="1:11" ht="15" customHeight="1" x14ac:dyDescent="0.25">
      <c r="A644" s="281"/>
      <c r="K644" s="34" t="str">
        <f>K643</f>
        <v>x</v>
      </c>
    </row>
    <row r="645" spans="1:11" ht="15" customHeight="1" x14ac:dyDescent="0.25">
      <c r="A645" s="281" t="s">
        <v>238</v>
      </c>
    </row>
    <row r="646" spans="1:11" ht="15" customHeight="1" x14ac:dyDescent="0.25">
      <c r="A646" s="2469" t="str">
        <f>IF(COUNTIF(I61:J598,"Não íntegro")&gt;0,"               Há chassis e cassetes fora de tolerância (não íntegros), os quais devem ser consertados ou substituídos. Os demais chassis e cassetes estão íntegros.","               Todos os chassis e cassetes avaliados estão íntegros.")</f>
        <v xml:space="preserve">               Todos os chassis e cassetes avaliados estão íntegros.</v>
      </c>
      <c r="B646" s="2469"/>
      <c r="C646" s="2469"/>
      <c r="D646" s="2469"/>
      <c r="E646" s="2469"/>
      <c r="F646" s="2469"/>
      <c r="G646" s="2469"/>
      <c r="H646" s="2469"/>
      <c r="I646" s="2469"/>
      <c r="J646" s="2469"/>
      <c r="K646" s="34" t="str">
        <f>IF(COUNTA(Acessórios!B118:K125)&gt;0,"","x")</f>
        <v>x</v>
      </c>
    </row>
    <row r="647" spans="1:11" ht="15" customHeight="1" x14ac:dyDescent="0.25">
      <c r="A647" s="2469"/>
      <c r="B647" s="2469"/>
      <c r="C647" s="2469"/>
      <c r="D647" s="2469"/>
      <c r="E647" s="2469"/>
      <c r="F647" s="2469"/>
      <c r="G647" s="2469"/>
      <c r="H647" s="2469"/>
      <c r="I647" s="2469"/>
      <c r="J647" s="2469"/>
      <c r="K647" s="34" t="str">
        <f>K646</f>
        <v>x</v>
      </c>
    </row>
    <row r="648" spans="1:11" x14ac:dyDescent="0.25">
      <c r="A648" s="2469" t="str">
        <f>IF(COUNTIF(Acessórios!B129:K136,"ruim")&gt;0,"               Há chassis e cassetes com o contato tela-filme fora de tolerância (com perda de uniformidade na imagem), os quais devem ser consertados ou substituídos. Os demais chassis e cassetes apresentam imagem uniforme.","               Todos os chassis e cassetes apresentam imagem uniforme.")</f>
        <v xml:space="preserve">               Todos os chassis e cassetes apresentam imagem uniforme.</v>
      </c>
      <c r="B648" s="2469"/>
      <c r="C648" s="2469"/>
      <c r="D648" s="2469"/>
      <c r="E648" s="2469"/>
      <c r="F648" s="2469"/>
      <c r="G648" s="2469"/>
      <c r="H648" s="2469"/>
      <c r="I648" s="2469"/>
      <c r="J648" s="2469"/>
      <c r="K648" s="34" t="str">
        <f>IF(OR(COUNTIF(Acessórios!B129:K136,"ruim")&gt;0,COUNTIF(Acessórios!B129:K136,"ok")&gt;0),"","x")</f>
        <v>x</v>
      </c>
    </row>
    <row r="649" spans="1:11" ht="14.45" customHeight="1" x14ac:dyDescent="0.25">
      <c r="A649" s="2469"/>
      <c r="B649" s="2469"/>
      <c r="C649" s="2469"/>
      <c r="D649" s="2469"/>
      <c r="E649" s="2469"/>
      <c r="F649" s="2469"/>
      <c r="G649" s="2469"/>
      <c r="H649" s="2469"/>
      <c r="I649" s="2469"/>
      <c r="J649" s="2469"/>
      <c r="K649" s="34" t="str">
        <f>K648</f>
        <v>x</v>
      </c>
    </row>
    <row r="650" spans="1:11" x14ac:dyDescent="0.25">
      <c r="A650" s="2469"/>
      <c r="B650" s="2469"/>
      <c r="C650" s="2469"/>
      <c r="D650" s="2469"/>
      <c r="E650" s="2469"/>
      <c r="F650" s="2469"/>
      <c r="G650" s="2469"/>
      <c r="H650" s="2469"/>
      <c r="I650" s="2469"/>
      <c r="J650" s="2469"/>
      <c r="K650" s="34" t="str">
        <f>K649</f>
        <v>x</v>
      </c>
    </row>
    <row r="651" spans="1:11" x14ac:dyDescent="0.25">
      <c r="A651" s="2469" t="str">
        <f>IF(COUNTIF(Acessórios!B14:E14,"Velando filme")&gt;0,"               A vedação da câmara escura está fora de tolerância (não deve haver entrada de luz) e deve ser consertada. Esta entrada de luz está velando filmes.",IF(COUNTIF(Acessórios!B14:E14,"Não")&gt;0,"               A vedação da câmara escura está fora de tolerância (não deve haver entrada de luz). As entradas de luz devem ser identificadas e vedadas.","               A vedação da câmara escura está adequada."))</f>
        <v xml:space="preserve">               A vedação da câmara escura está adequada.</v>
      </c>
      <c r="B651" s="2469"/>
      <c r="C651" s="2469"/>
      <c r="D651" s="2469"/>
      <c r="E651" s="2469"/>
      <c r="F651" s="2469"/>
      <c r="G651" s="2469"/>
      <c r="H651" s="2469"/>
      <c r="I651" s="2469"/>
      <c r="J651" s="2469"/>
      <c r="K651" s="34" t="str">
        <f>K607</f>
        <v>x</v>
      </c>
    </row>
    <row r="652" spans="1:11" x14ac:dyDescent="0.25">
      <c r="A652" s="2469"/>
      <c r="B652" s="2469"/>
      <c r="C652" s="2469"/>
      <c r="D652" s="2469"/>
      <c r="E652" s="2469"/>
      <c r="F652" s="2469"/>
      <c r="G652" s="2469"/>
      <c r="H652" s="2469"/>
      <c r="I652" s="2469"/>
      <c r="J652" s="2469"/>
      <c r="K652" s="34" t="str">
        <f>K651</f>
        <v>x</v>
      </c>
    </row>
    <row r="653" spans="1:11" x14ac:dyDescent="0.25">
      <c r="A653" s="3097" t="str">
        <f>IF(Acessórios!B18="Velando filme","               A vedação da câmara de revelação está fora de tolerância (deve ser opaca e não deve haver entrada de luz) e deve ser consertada. Esta entrada de luz está velando filmes.",IF(Acessórios!B18="n","               A vedação da câmara de revelação está fora de tolerância (deve ser opaca e não deve haver entrada de luz). As entradas de luz devem ser identificadas e vedadas.","               A câmara de revelação é opaca e sua vedação está adequada.")&amp;IF(COUNTIF(Acessórios!$B$19:$B$21,"n")&gt;0," O serviço de radiologia odontológica deve se adequar às exigências de uso de termômetro, cronômetro e tabela tempo x temperatura de revelação."," O serviço de radiologia odontológica atende as exigências de processamento dos filmes."))</f>
        <v xml:space="preserve">               A câmara de revelação é opaca e sua vedação está adequada. O serviço de radiologia odontológica atende as exigências de processamento dos filmes.</v>
      </c>
      <c r="B653" s="3097"/>
      <c r="C653" s="3097"/>
      <c r="D653" s="3097"/>
      <c r="E653" s="3097"/>
      <c r="F653" s="3097"/>
      <c r="G653" s="3097"/>
      <c r="H653" s="3097"/>
      <c r="I653" s="3097"/>
      <c r="J653" s="3097"/>
      <c r="K653" s="34" t="str">
        <f>IF(AND(Cabeçalho!B14="intraoral",K185=""),"","x")</f>
        <v>x</v>
      </c>
    </row>
    <row r="654" spans="1:11" x14ac:dyDescent="0.25">
      <c r="A654" s="3097"/>
      <c r="B654" s="3097"/>
      <c r="C654" s="3097"/>
      <c r="D654" s="3097"/>
      <c r="E654" s="3097"/>
      <c r="F654" s="3097"/>
      <c r="G654" s="3097"/>
      <c r="H654" s="3097"/>
      <c r="I654" s="3097"/>
      <c r="J654" s="3097"/>
      <c r="K654" s="34" t="str">
        <f>K653</f>
        <v>x</v>
      </c>
    </row>
    <row r="655" spans="1:11" x14ac:dyDescent="0.25">
      <c r="A655" s="3097"/>
      <c r="B655" s="3097"/>
      <c r="C655" s="3097"/>
      <c r="D655" s="3097"/>
      <c r="E655" s="3097"/>
      <c r="F655" s="3097"/>
      <c r="G655" s="3097"/>
      <c r="H655" s="3097"/>
      <c r="I655" s="3097"/>
      <c r="J655" s="3097"/>
      <c r="K655" s="34" t="str">
        <f>K654</f>
        <v>x</v>
      </c>
    </row>
    <row r="656" spans="1:11" x14ac:dyDescent="0.25">
      <c r="A656" s="3097"/>
      <c r="B656" s="3097"/>
      <c r="C656" s="3097"/>
      <c r="D656" s="3097"/>
      <c r="E656" s="3097"/>
      <c r="F656" s="3097"/>
      <c r="G656" s="3097"/>
      <c r="H656" s="3097"/>
      <c r="I656" s="3097"/>
      <c r="J656" s="3097"/>
      <c r="K656" s="34" t="str">
        <f>K655</f>
        <v>x</v>
      </c>
    </row>
    <row r="657" spans="1:11" x14ac:dyDescent="0.25">
      <c r="A657" s="2469" t="str">
        <f ca="1">IF(OR(COUNTIFS(D229:D232,"Não",K229:K232,"")&gt;0,COUNTIFS(D261:D264,"Não",K261:K264,"")&gt;0,COUNTIFS(D213:D216,"Não",K213:K216,"")&gt;0,COUNTIFS(D245:D248,"Não",K245:K248,"")&gt;0),"               A sensitometria da processadora está fora de tolerância. Recomenda-se o controle diário de tempo e temperatura de revelação, assim como a limpeza periódica da processadora.","               A sensitometria da processadora atende aos requisitos da IN "&amp;VLOOKUP("Mamografia",IN_ANVISA[],2)&amp;"/"&amp;VLOOKUP("Mamografia",IN_ANVISA[],3)&amp;" da ANVISA.")</f>
        <v xml:space="preserve">               A sensitometria da processadora atende aos requisitos da IN 92/2021 da ANVISA.</v>
      </c>
      <c r="B657" s="2469"/>
      <c r="C657" s="2469"/>
      <c r="D657" s="2469"/>
      <c r="E657" s="2469"/>
      <c r="F657" s="2469"/>
      <c r="G657" s="2469"/>
      <c r="H657" s="2469"/>
      <c r="I657" s="2469"/>
      <c r="J657" s="2469"/>
      <c r="K657" s="34" t="str">
        <f>K605</f>
        <v>x</v>
      </c>
    </row>
    <row r="658" spans="1:11" x14ac:dyDescent="0.25">
      <c r="A658" s="2469"/>
      <c r="B658" s="2469"/>
      <c r="C658" s="2469"/>
      <c r="D658" s="2469"/>
      <c r="E658" s="2469"/>
      <c r="F658" s="2469"/>
      <c r="G658" s="2469"/>
      <c r="H658" s="2469"/>
      <c r="I658" s="2469"/>
      <c r="J658" s="2469"/>
      <c r="K658" s="34" t="str">
        <f>K657</f>
        <v>x</v>
      </c>
    </row>
    <row r="659" spans="1:11" x14ac:dyDescent="0.25">
      <c r="A659" s="2469"/>
      <c r="B659" s="2469"/>
      <c r="C659" s="2469"/>
      <c r="D659" s="2469"/>
      <c r="E659" s="2469"/>
      <c r="F659" s="2469"/>
      <c r="G659" s="2469"/>
      <c r="H659" s="2469"/>
      <c r="I659" s="2469"/>
      <c r="J659" s="2469"/>
      <c r="K659" s="34" t="str">
        <f>K658</f>
        <v>x</v>
      </c>
    </row>
    <row r="660" spans="1:11" x14ac:dyDescent="0.25">
      <c r="A660" s="2469" t="s">
        <v>1240</v>
      </c>
      <c r="B660" s="2469"/>
      <c r="C660" s="2469"/>
      <c r="D660" s="2469"/>
      <c r="E660" s="2469"/>
      <c r="F660" s="2469"/>
      <c r="G660" s="2469"/>
      <c r="H660" s="2469"/>
      <c r="I660" s="2469"/>
      <c r="J660" s="2469"/>
      <c r="K660" s="34" t="str">
        <f>IF(AND(COUNTA(Acessórios!B57:E57)&gt;0,Acessórios!F77&gt;0),"","x")</f>
        <v>x</v>
      </c>
    </row>
    <row r="661" spans="1:11" x14ac:dyDescent="0.25">
      <c r="A661" s="2469"/>
      <c r="B661" s="2469"/>
      <c r="C661" s="2469"/>
      <c r="D661" s="2469"/>
      <c r="E661" s="2469"/>
      <c r="F661" s="2469"/>
      <c r="G661" s="2469"/>
      <c r="H661" s="2469"/>
      <c r="I661" s="2469"/>
      <c r="J661" s="2469"/>
      <c r="K661" s="34" t="str">
        <f>K660</f>
        <v>x</v>
      </c>
    </row>
    <row r="662" spans="1:11" x14ac:dyDescent="0.25">
      <c r="A662" s="2469"/>
      <c r="B662" s="2469"/>
      <c r="C662" s="2469"/>
      <c r="D662" s="2469"/>
      <c r="E662" s="2469"/>
      <c r="F662" s="2469"/>
      <c r="G662" s="2469"/>
      <c r="H662" s="2469"/>
      <c r="I662" s="2469"/>
      <c r="J662" s="2469"/>
      <c r="K662" s="34" t="str">
        <f>K661</f>
        <v>x</v>
      </c>
    </row>
    <row r="663" spans="1:11" x14ac:dyDescent="0.25">
      <c r="A663" s="2469"/>
      <c r="B663" s="2469"/>
      <c r="C663" s="2469"/>
      <c r="D663" s="2469"/>
      <c r="E663" s="2469"/>
      <c r="F663" s="2469"/>
      <c r="G663" s="2469"/>
      <c r="H663" s="2469"/>
      <c r="I663" s="2469"/>
      <c r="J663" s="2469"/>
      <c r="K663" s="34" t="str">
        <f>K662</f>
        <v>x</v>
      </c>
    </row>
    <row r="664" spans="1:11" x14ac:dyDescent="0.25">
      <c r="A664" s="2469"/>
      <c r="B664" s="2469"/>
      <c r="C664" s="2469"/>
      <c r="D664" s="2469"/>
      <c r="E664" s="2469"/>
      <c r="F664" s="2469"/>
      <c r="G664" s="2469"/>
      <c r="H664" s="2469"/>
      <c r="I664" s="2469"/>
      <c r="J664" s="2469"/>
      <c r="K664" s="34" t="str">
        <f>K663</f>
        <v>x</v>
      </c>
    </row>
    <row r="665" spans="1:11" x14ac:dyDescent="0.25">
      <c r="A665" s="2469" t="str">
        <f>IF(COUNTIF(Acessórios!B53:E53,"Não")&gt;0,"               A temperatura do sistema de processamento está fora de tolerância (não atende aos parâmetros do fabricante) e deve ser controlada diariamente.","               A temperatura do sistema de processamento atende aos parâmetros do fabricante.")</f>
        <v xml:space="preserve">               A temperatura do sistema de processamento atende aos parâmetros do fabricante.</v>
      </c>
      <c r="B665" s="2469"/>
      <c r="C665" s="2469"/>
      <c r="D665" s="2469"/>
      <c r="E665" s="2469"/>
      <c r="F665" s="2469"/>
      <c r="G665" s="2469"/>
      <c r="H665" s="2469"/>
      <c r="I665" s="2469"/>
      <c r="J665" s="2469"/>
      <c r="K665" s="34" t="str">
        <f>K657</f>
        <v>x</v>
      </c>
    </row>
    <row r="666" spans="1:11" x14ac:dyDescent="0.25">
      <c r="A666" s="2469"/>
      <c r="B666" s="2469"/>
      <c r="C666" s="2469"/>
      <c r="D666" s="2469"/>
      <c r="E666" s="2469"/>
      <c r="F666" s="2469"/>
      <c r="G666" s="2469"/>
      <c r="H666" s="2469"/>
      <c r="I666" s="2469"/>
      <c r="J666" s="2469"/>
      <c r="K666" s="34" t="str">
        <f>K665</f>
        <v>x</v>
      </c>
    </row>
    <row r="667" spans="1:11" x14ac:dyDescent="0.25">
      <c r="A667" s="2469" t="str">
        <f>"               "&amp;Acessórios!B4</f>
        <v xml:space="preserve">               </v>
      </c>
      <c r="B667" s="2469"/>
      <c r="C667" s="2469"/>
      <c r="D667" s="2469"/>
      <c r="E667" s="2469"/>
      <c r="F667" s="2469"/>
      <c r="G667" s="2469"/>
      <c r="H667" s="2469"/>
      <c r="I667" s="2469"/>
      <c r="J667" s="2469"/>
      <c r="K667" s="34" t="str">
        <f>IF(Acessórios!B4="","x","")</f>
        <v>x</v>
      </c>
    </row>
    <row r="668" spans="1:11" x14ac:dyDescent="0.25">
      <c r="A668" s="2469"/>
      <c r="B668" s="2469"/>
      <c r="C668" s="2469"/>
      <c r="D668" s="2469"/>
      <c r="E668" s="2469"/>
      <c r="F668" s="2469"/>
      <c r="G668" s="2469"/>
      <c r="H668" s="2469"/>
      <c r="I668" s="2469"/>
      <c r="J668" s="2469"/>
      <c r="K668" s="34" t="str">
        <f>K667</f>
        <v>x</v>
      </c>
    </row>
    <row r="669" spans="1:11" x14ac:dyDescent="0.25">
      <c r="A669" s="2469"/>
      <c r="B669" s="2469"/>
      <c r="C669" s="2469"/>
      <c r="D669" s="2469"/>
      <c r="E669" s="2469"/>
      <c r="F669" s="2469"/>
      <c r="G669" s="2469"/>
      <c r="H669" s="2469"/>
      <c r="I669" s="2469"/>
      <c r="J669" s="2469"/>
      <c r="K669" s="34" t="str">
        <f>K668</f>
        <v>x</v>
      </c>
    </row>
    <row r="670" spans="1:11" x14ac:dyDescent="0.25">
      <c r="A670" s="3097" t="str">
        <f>IF((COUNTIF($G$285:$G$364,"Não")+COUNTIF($G$285:$G$364,"Restrição"))&gt;0,"               Há cassetes CR com com perda de uniformidade na imagem acima do nível de tolerância (10%) estabelecido nas IN "&amp;VLOOKUP("Raios X convencional",IN_ANVISA[],2)&amp;"/"&amp;VLOOKUP("Raios X convencional",IN_ANVISA[],3)&amp;" e "&amp;VLOOKUP("Mamografia",IN_ANVISA[],2)&amp;"/"&amp;VLOOKUP("Mamografia",IN_ANVISA[],3)&amp;" da ANVISA, os quais devem ser consertados ou substituídos. "&amp;"A falta de uniformidade pode ocorrer devido a diversos fatores, como uniformidade dos raios X, defeito no elemento detector do CR ou mesmo no sistema de registro de imagem. Recomenda-se verificar a origem.","               Os cassetes CR avaliados atendem ao critério de uniformidade na imagem estabelecido nas IN "&amp;VLOOKUP("Raios X convencional",IN_ANVISA[],2)&amp;"/"&amp;VLOOKUP("Raios X convencional",IN_ANVISA[],3)&amp;" e "&amp;VLOOKUP("Mamografia",IN_ANVISA[],2)&amp;"/"&amp;VLOOKUP("Mamografia",IN_ANVISA[],3)&amp;" da ANVISA.")</f>
        <v xml:space="preserve">               Os cassetes CR avaliados atendem ao critério de uniformidade na imagem estabelecido nas IN 90/2021 e 92/2021 da ANVISA.</v>
      </c>
      <c r="B670" s="3097"/>
      <c r="C670" s="3097"/>
      <c r="D670" s="3097"/>
      <c r="E670" s="3097"/>
      <c r="F670" s="3097"/>
      <c r="G670" s="3097"/>
      <c r="H670" s="3097"/>
      <c r="I670" s="3097"/>
      <c r="J670" s="3097"/>
      <c r="K670" s="34" t="str">
        <f>K277</f>
        <v>x</v>
      </c>
    </row>
    <row r="671" spans="1:11" x14ac:dyDescent="0.25">
      <c r="A671" s="3097"/>
      <c r="B671" s="3097"/>
      <c r="C671" s="3097"/>
      <c r="D671" s="3097"/>
      <c r="E671" s="3097"/>
      <c r="F671" s="3097"/>
      <c r="G671" s="3097"/>
      <c r="H671" s="3097"/>
      <c r="I671" s="3097"/>
      <c r="J671" s="3097"/>
      <c r="K671" s="34" t="str">
        <f>K670</f>
        <v>x</v>
      </c>
    </row>
    <row r="672" spans="1:11" ht="12.75" customHeight="1" x14ac:dyDescent="0.25">
      <c r="A672" s="3097"/>
      <c r="B672" s="3097"/>
      <c r="C672" s="3097"/>
      <c r="D672" s="3097"/>
      <c r="E672" s="3097"/>
      <c r="F672" s="3097"/>
      <c r="G672" s="3097"/>
      <c r="H672" s="3097"/>
      <c r="I672" s="3097"/>
      <c r="J672" s="3097"/>
      <c r="K672" s="34" t="str">
        <f>K670</f>
        <v>x</v>
      </c>
    </row>
    <row r="673" spans="1:11" ht="1.5" customHeight="1" x14ac:dyDescent="0.25">
      <c r="A673" s="3097"/>
      <c r="B673" s="3097"/>
      <c r="C673" s="3097"/>
      <c r="D673" s="3097"/>
      <c r="E673" s="3097"/>
      <c r="F673" s="3097"/>
      <c r="G673" s="3097"/>
      <c r="H673" s="3097"/>
      <c r="I673" s="3097"/>
      <c r="J673" s="3097"/>
      <c r="K673" s="34" t="str">
        <f>K670</f>
        <v>x</v>
      </c>
    </row>
    <row r="674" spans="1:11" x14ac:dyDescent="0.25">
      <c r="A674" s="3097"/>
      <c r="B674" s="3097"/>
      <c r="C674" s="3097"/>
      <c r="D674" s="3097"/>
      <c r="E674" s="3097"/>
      <c r="F674" s="3097"/>
      <c r="G674" s="3097"/>
      <c r="H674" s="3097"/>
      <c r="I674" s="3097"/>
      <c r="J674" s="3097"/>
      <c r="K674" s="34" t="str">
        <f>K673</f>
        <v>x</v>
      </c>
    </row>
    <row r="675" spans="1:11" x14ac:dyDescent="0.25">
      <c r="A675" s="3097" t="str">
        <f>IF((COUNTIF($G$571:$G$578,"Não")+COUNTIF($G$571:$G$578,"Restrição"))&gt;0,"               A diferença de sensibilidade entre placas de fósforo de mesmo tamanho para os CR de tamanhos indicados está fora do nível de tolerância (10%) da IN "&amp;VLOOKUP("Mamografia",IN_ANVISA[],2)&amp;"/"&amp;VLOOKUP("Mamografia",IN_ANVISA[],3)&amp;" para mamografia. Recomenda-se que responsável técnico e o supervisor de proteção radiológica definam quais cassetes CR devem ser trocados ou substituídos.","               A diferença de sensibilidade entre placas de fósforo de mesmo tamanho para os CR de tamanhos indicados atendem a IN "&amp;VLOOKUP("Mamografia",IN_ANVISA[],2)&amp;"/"&amp;VLOOKUP("Mamografia",IN_ANVISA[],3)&amp;" para mamografia.")</f>
        <v xml:space="preserve">               A diferença de sensibilidade entre placas de fósforo de mesmo tamanho para os CR de tamanhos indicados atendem a IN 92/2021 para mamografia.</v>
      </c>
      <c r="B675" s="3097"/>
      <c r="C675" s="3097"/>
      <c r="D675" s="3097"/>
      <c r="E675" s="3097"/>
      <c r="F675" s="3097"/>
      <c r="G675" s="3097"/>
      <c r="H675" s="3097"/>
      <c r="I675" s="3097"/>
      <c r="J675" s="3097"/>
      <c r="K675" s="34" t="str">
        <f>K564</f>
        <v>x</v>
      </c>
    </row>
    <row r="676" spans="1:11" x14ac:dyDescent="0.25">
      <c r="A676" s="3097"/>
      <c r="B676" s="3097"/>
      <c r="C676" s="3097"/>
      <c r="D676" s="3097"/>
      <c r="E676" s="3097"/>
      <c r="F676" s="3097"/>
      <c r="G676" s="3097"/>
      <c r="H676" s="3097"/>
      <c r="I676" s="3097"/>
      <c r="J676" s="3097"/>
      <c r="K676" s="34" t="str">
        <f>K675</f>
        <v>x</v>
      </c>
    </row>
    <row r="677" spans="1:11" x14ac:dyDescent="0.25">
      <c r="A677" s="3097"/>
      <c r="B677" s="3097"/>
      <c r="C677" s="3097"/>
      <c r="D677" s="3097"/>
      <c r="E677" s="3097"/>
      <c r="F677" s="3097"/>
      <c r="G677" s="3097"/>
      <c r="H677" s="3097"/>
      <c r="I677" s="3097"/>
      <c r="J677" s="3097"/>
      <c r="K677" s="34" t="str">
        <f>K676</f>
        <v>x</v>
      </c>
    </row>
    <row r="678" spans="1:11" x14ac:dyDescent="0.25">
      <c r="A678" s="3097"/>
      <c r="B678" s="3097"/>
      <c r="C678" s="3097"/>
      <c r="D678" s="3097"/>
      <c r="E678" s="3097"/>
      <c r="F678" s="3097"/>
      <c r="G678" s="3097"/>
      <c r="H678" s="3097"/>
      <c r="I678" s="3097"/>
      <c r="J678" s="3097"/>
      <c r="K678" s="34" t="str">
        <f>K677</f>
        <v>x</v>
      </c>
    </row>
    <row r="679" spans="1:11" x14ac:dyDescent="0.25">
      <c r="A679" s="3097" t="str">
        <f>IF((COUNTIF($G$589:$G$596,"Não")+COUNTIF($G$589:$G$596,"Restrição"))&gt;0,"               A diferença de sensibilidade entre placas de fósforo de mesmo tamanho para os CR de tamanhos indicados está fora do nível de tolerância (20%) estabelecido na IN "&amp;VLOOKUP("Raios X convencional",IN_ANVISA[],2)&amp;"/"&amp;VLOOKUP("Raios X convencional",IN_ANVISA[],3)&amp;" para radiologia convencional. Recomenda-se que RT e o SPR do serviço definam quais cassetes CR devem ser trocados ou substituídos.","               A diferença de sensibilidade entre placas de fósforo de mesmo tamanho para os CR de tamanhos indicados atendem a IN "&amp;VLOOKUP("Raios X convencional",IN_ANVISA[],2)&amp;"/"&amp;VLOOKUP("Raios X convencional",IN_ANVISA[],3)&amp;" para radiologia convencional.")</f>
        <v xml:space="preserve">               A diferença de sensibilidade entre placas de fósforo de mesmo tamanho para os CR de tamanhos indicados atendem a IN 90/2021 para radiologia convencional.</v>
      </c>
      <c r="B679" s="3097"/>
      <c r="C679" s="3097"/>
      <c r="D679" s="3097"/>
      <c r="E679" s="3097"/>
      <c r="F679" s="3097"/>
      <c r="G679" s="3097"/>
      <c r="H679" s="3097"/>
      <c r="I679" s="3097"/>
      <c r="J679" s="3097"/>
      <c r="K679" s="34" t="str">
        <f>K581</f>
        <v>x</v>
      </c>
    </row>
    <row r="680" spans="1:11" x14ac:dyDescent="0.25">
      <c r="A680" s="3097"/>
      <c r="B680" s="3097"/>
      <c r="C680" s="3097"/>
      <c r="D680" s="3097"/>
      <c r="E680" s="3097"/>
      <c r="F680" s="3097"/>
      <c r="G680" s="3097"/>
      <c r="H680" s="3097"/>
      <c r="I680" s="3097"/>
      <c r="J680" s="3097"/>
      <c r="K680" s="34" t="str">
        <f>K679</f>
        <v>x</v>
      </c>
    </row>
    <row r="681" spans="1:11" x14ac:dyDescent="0.25">
      <c r="A681" s="3097"/>
      <c r="B681" s="3097"/>
      <c r="C681" s="3097"/>
      <c r="D681" s="3097"/>
      <c r="E681" s="3097"/>
      <c r="F681" s="3097"/>
      <c r="G681" s="3097"/>
      <c r="H681" s="3097"/>
      <c r="I681" s="3097"/>
      <c r="J681" s="3097"/>
      <c r="K681" s="34" t="str">
        <f>K680</f>
        <v>x</v>
      </c>
    </row>
    <row r="682" spans="1:11" x14ac:dyDescent="0.25">
      <c r="A682" s="3097"/>
      <c r="B682" s="3097"/>
      <c r="C682" s="3097"/>
      <c r="D682" s="3097"/>
      <c r="E682" s="3097"/>
      <c r="F682" s="3097"/>
      <c r="G682" s="3097"/>
      <c r="H682" s="3097"/>
      <c r="I682" s="3097"/>
      <c r="J682" s="3097"/>
      <c r="K682" s="34" t="str">
        <f>K681</f>
        <v>x</v>
      </c>
    </row>
    <row r="683" spans="1:11" x14ac:dyDescent="0.25">
      <c r="A683" s="3097" t="str">
        <f>IF((COUNTIF(E484:$E$561,"Não")+COUNTIF(E484:$E$561,"Restrição"))&gt;0,"               A distorção geométrica está acima do nível de tolerância (2%) estabelecido na IN "&amp;VLOOKUP("Raios X convencional",IN_ANVISA[],2)&amp;"/"&amp;VLOOKUP("Raios X convencional",IN_ANVISA[],3)&amp;" para radiologia convencional. Recomenda-se o conserto.","               A distorção geométrica atende ao estabelecido na IN "&amp;VLOOKUP("Raios X convencional",IN_ANVISA[],2)&amp;"/"&amp;VLOOKUP("Raios X convencional",IN_ANVISA[],3)&amp;" para radiologia convencional.")</f>
        <v xml:space="preserve">               A distorção geométrica atende ao estabelecido na IN 90/2021 para radiologia convencional.</v>
      </c>
      <c r="B683" s="3097"/>
      <c r="C683" s="3097"/>
      <c r="D683" s="3097"/>
      <c r="E683" s="3097"/>
      <c r="F683" s="3097"/>
      <c r="G683" s="3097"/>
      <c r="H683" s="3097"/>
      <c r="I683" s="3097"/>
      <c r="J683" s="3097"/>
      <c r="K683" s="34" t="str">
        <f>K477</f>
        <v>x</v>
      </c>
    </row>
    <row r="684" spans="1:11" x14ac:dyDescent="0.25">
      <c r="A684" s="3097"/>
      <c r="B684" s="3097"/>
      <c r="C684" s="3097"/>
      <c r="D684" s="3097"/>
      <c r="E684" s="3097"/>
      <c r="F684" s="3097"/>
      <c r="G684" s="3097"/>
      <c r="H684" s="3097"/>
      <c r="I684" s="3097"/>
      <c r="J684" s="3097"/>
      <c r="K684" s="34" t="str">
        <f>K683</f>
        <v>x</v>
      </c>
    </row>
    <row r="685" spans="1:11" x14ac:dyDescent="0.25">
      <c r="A685" s="3097" t="str">
        <f>IF((COUNTIF($G$395:$G$474,"Não")+COUNTIF($G$395:$G$474,"Restrição"))&gt;0,"               Os valores referentes à razão contraste-ruído para a mamografia estão fora do nível de tolerância previstos pela IN "&amp;VLOOKUP("Mamografia",IN_ANVISA[],2)&amp;"/"&amp;VLOOKUP("Mamografia",IN_ANVISA[],3)&amp;" da ANVISA.","               Os valores referentes à razão contraste-ruído para a mamografia atendem a IN "&amp;VLOOKUP("Mamografia",IN_ANVISA[],2)&amp;"/"&amp;VLOOKUP("Mamografia",IN_ANVISA[],3)&amp;" da ANVISA.")</f>
        <v xml:space="preserve">               Os valores referentes à razão contraste-ruído para a mamografia atendem a IN 92/2021 da ANVISA.</v>
      </c>
      <c r="B685" s="3097"/>
      <c r="C685" s="3097"/>
      <c r="D685" s="3097"/>
      <c r="E685" s="3097"/>
      <c r="F685" s="3097"/>
      <c r="G685" s="3097"/>
      <c r="H685" s="3097"/>
      <c r="I685" s="3097"/>
      <c r="J685" s="3097"/>
      <c r="K685" s="34" t="str">
        <f>IF((COUNTIF($G$395:$G$474,"Não")+COUNTIF($G$395:$G$474,"Restrição"))&gt;0,"","x")</f>
        <v>x</v>
      </c>
    </row>
    <row r="686" spans="1:11" x14ac:dyDescent="0.25">
      <c r="A686" s="3097"/>
      <c r="B686" s="3097"/>
      <c r="C686" s="3097"/>
      <c r="D686" s="3097"/>
      <c r="E686" s="3097"/>
      <c r="F686" s="3097"/>
      <c r="G686" s="3097"/>
      <c r="H686" s="3097"/>
      <c r="I686" s="3097"/>
      <c r="J686" s="3097"/>
      <c r="K686" s="34" t="str">
        <f>K685</f>
        <v>x</v>
      </c>
    </row>
    <row r="687" spans="1:11" x14ac:dyDescent="0.25">
      <c r="A687" s="3097" t="str">
        <f>IF(AND(I273="sim",I274="Sim"),"              Não existem artefatos nem imagem residual relacionada ao ciclo de apagamento nos cassetes CR avaliados, estando em conformidade com esta exigência e seus níveis de tolerância estabelecidos pelas IN "&amp;VLOOKUP("Raios X convencional",IN_ANVISA[],2)&amp;"/"&amp;VLOOKUP("Raios X convencional",IN_ANVISA[],3)&amp;" e "&amp;VLOOKUP("Mamografia",IN_ANVISA[],2)&amp;"/"&amp;VLOOKUP("Mamografia",IN_ANVISA[],3)&amp;" da ANVISA.",IF(AND(I273="Não",I274="Sim"),"              Observam-se artefatos nas imagens. Os cassetes CR estão fora do nível de tolerância (sem artefatos e sem imagem residual) estabelecidos pelas IN "&amp;VLOOKUP("Raios X convencional",IN_ANVISA[],2)&amp;"/"&amp;VLOOKUP("Raios X convencional",IN_ANVISA[],3)&amp;" e "&amp;VLOOKUP("Mamografia",IN_ANVISA[],2)&amp;"/"&amp;VLOOKUP("Mamografia",IN_ANVISA[],3)&amp;" da ANVISA.",IF(AND(I273="Sim",I274="Não"),"              Observam-se imagens residuais do ciclo de apagamento. Os cassetes CR estão fora do nível de tolerância (sem artefatos e sem imagem residual) estabelecidos pelas IN "&amp;VLOOKUP("Raios X convencional",IN_ANVISA[],2)&amp;"/"&amp;VLOOKUP("Raios X convencional",IN_ANVISA[],3)&amp;" e "&amp;VLOOKUP("Mamografia",IN_ANVISA[],2)&amp;"/"&amp;VLOOKUP("Mamografia",IN_ANVISA[],3)&amp;" da ANVISA.","              Observam-se artefatos e imagem residual do ciclo de apagamento. Os cassetes CR estão fora do nível de tolerância (sem artefatos e sem imagem residual) estabelecidos pelas IN "&amp;VLOOKUP("Raios X convencional",IN_ANVISA[],2)&amp;"/"&amp;VLOOKUP("Raios X convencional",IN_ANVISA[],3)&amp;" e "&amp;VLOOKUP("Mamografia",IN_ANVISA[],2)&amp;"/"&amp;VLOOKUP("Mamografia",IN_ANVISA[],3)&amp;" da ANVISA.")))</f>
        <v xml:space="preserve">              Não existem artefatos nem imagem residual relacionada ao ciclo de apagamento nos cassetes CR avaliados, estando em conformidade com esta exigência e seus níveis de tolerância estabelecidos pelas IN 90/2021 e 92/2021 da ANVISA.</v>
      </c>
      <c r="B687" s="3097"/>
      <c r="C687" s="3097"/>
      <c r="D687" s="3097"/>
      <c r="E687" s="3097"/>
      <c r="F687" s="3097"/>
      <c r="G687" s="3097"/>
      <c r="H687" s="3097"/>
      <c r="I687" s="3097"/>
      <c r="J687" s="3097"/>
      <c r="K687" s="34" t="str">
        <f>K272</f>
        <v>x</v>
      </c>
    </row>
    <row r="688" spans="1:11" x14ac:dyDescent="0.25">
      <c r="A688" s="3097"/>
      <c r="B688" s="3097"/>
      <c r="C688" s="3097"/>
      <c r="D688" s="3097"/>
      <c r="E688" s="3097"/>
      <c r="F688" s="3097"/>
      <c r="G688" s="3097"/>
      <c r="H688" s="3097"/>
      <c r="I688" s="3097"/>
      <c r="J688" s="3097"/>
      <c r="K688" s="34" t="str">
        <f>K687</f>
        <v>x</v>
      </c>
    </row>
    <row r="689" spans="1:11" x14ac:dyDescent="0.25">
      <c r="A689" s="3097"/>
      <c r="B689" s="3097"/>
      <c r="C689" s="3097"/>
      <c r="D689" s="3097"/>
      <c r="E689" s="3097"/>
      <c r="F689" s="3097"/>
      <c r="G689" s="3097"/>
      <c r="H689" s="3097"/>
      <c r="I689" s="3097"/>
      <c r="J689" s="3097"/>
      <c r="K689" s="34" t="str">
        <f>K688</f>
        <v>x</v>
      </c>
    </row>
    <row r="690" spans="1:11" x14ac:dyDescent="0.25">
      <c r="K690" s="34" t="str">
        <f>K691</f>
        <v>x</v>
      </c>
    </row>
    <row r="691" spans="1:11" x14ac:dyDescent="0.25">
      <c r="A691" s="2469"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691" s="2469"/>
      <c r="C691" s="2469"/>
      <c r="D691" s="2469"/>
      <c r="E691" s="2469"/>
      <c r="F691" s="2469"/>
      <c r="G691" s="2469"/>
      <c r="H691" s="2469"/>
      <c r="I691" s="2469"/>
      <c r="J691" s="2469"/>
      <c r="K691" s="34" t="str">
        <f>IF((COUNTIF($G$395:$G$474,"Restrição")+COUNTIF($G$589:$G$596,"Restrição")+COUNTIF(E484:$E$561,"Restrição")+COUNTIF($G$571:$G$578,"Restrição")+COUNTIF($G$285:$G$364,"Restrição")+COUNTIF(Acessórios!B14:E14,"Velando filme"))&gt;0,"","x")</f>
        <v>x</v>
      </c>
    </row>
    <row r="692" spans="1:11" x14ac:dyDescent="0.25">
      <c r="A692" s="2469"/>
      <c r="B692" s="2469"/>
      <c r="C692" s="2469"/>
      <c r="D692" s="2469"/>
      <c r="E692" s="2469"/>
      <c r="F692" s="2469"/>
      <c r="G692" s="2469"/>
      <c r="H692" s="2469"/>
      <c r="I692" s="2469"/>
      <c r="J692" s="2469"/>
      <c r="K692" s="34" t="str">
        <f>K691</f>
        <v>x</v>
      </c>
    </row>
    <row r="693" spans="1:11" x14ac:dyDescent="0.25">
      <c r="A693" s="2469"/>
      <c r="B693" s="2469"/>
      <c r="C693" s="2469"/>
      <c r="D693" s="2469"/>
      <c r="E693" s="2469"/>
      <c r="F693" s="2469"/>
      <c r="G693" s="2469"/>
      <c r="H693" s="2469"/>
      <c r="I693" s="2469"/>
      <c r="J693" s="2469"/>
      <c r="K693" s="34" t="str">
        <f>K692</f>
        <v>x</v>
      </c>
    </row>
    <row r="694" spans="1:11" x14ac:dyDescent="0.25">
      <c r="A694" s="2469"/>
      <c r="B694" s="2469"/>
      <c r="C694" s="2469"/>
      <c r="D694" s="2469"/>
      <c r="E694" s="2469"/>
      <c r="F694" s="2469"/>
      <c r="G694" s="2469"/>
      <c r="H694" s="2469"/>
      <c r="I694" s="2469"/>
      <c r="J694" s="2469"/>
      <c r="K694" s="34" t="str">
        <f>K693</f>
        <v>x</v>
      </c>
    </row>
    <row r="695" spans="1:11" x14ac:dyDescent="0.25">
      <c r="A695" s="2469"/>
      <c r="B695" s="2469"/>
      <c r="C695" s="2469"/>
      <c r="D695" s="2469"/>
      <c r="E695" s="2469"/>
      <c r="F695" s="2469"/>
      <c r="G695" s="2469"/>
      <c r="H695" s="2469"/>
      <c r="I695" s="2469"/>
      <c r="J695" s="2469"/>
      <c r="K695" s="34" t="str">
        <f>K694</f>
        <v>x</v>
      </c>
    </row>
  </sheetData>
  <sheetProtection selectLockedCells="1" autoFilter="0"/>
  <autoFilter ref="K1:K695"/>
  <mergeCells count="928">
    <mergeCell ref="G375:I375"/>
    <mergeCell ref="A54:C54"/>
    <mergeCell ref="C577:D577"/>
    <mergeCell ref="C578:D578"/>
    <mergeCell ref="E589:F589"/>
    <mergeCell ref="A590:B590"/>
    <mergeCell ref="C590:D590"/>
    <mergeCell ref="B57:J58"/>
    <mergeCell ref="B155:J156"/>
    <mergeCell ref="B196:J197"/>
    <mergeCell ref="B278:J279"/>
    <mergeCell ref="B368:J369"/>
    <mergeCell ref="B478:J479"/>
    <mergeCell ref="A570:B570"/>
    <mergeCell ref="A571:B571"/>
    <mergeCell ref="C556:D556"/>
    <mergeCell ref="C557:D557"/>
    <mergeCell ref="C558:D558"/>
    <mergeCell ref="C559:D559"/>
    <mergeCell ref="C560:D560"/>
    <mergeCell ref="C561:D561"/>
    <mergeCell ref="C570:D570"/>
    <mergeCell ref="C571:D571"/>
    <mergeCell ref="E570:F570"/>
    <mergeCell ref="A601:J602"/>
    <mergeCell ref="A618:J622"/>
    <mergeCell ref="A24:J25"/>
    <mergeCell ref="E592:F592"/>
    <mergeCell ref="E593:F593"/>
    <mergeCell ref="E594:F594"/>
    <mergeCell ref="E595:F595"/>
    <mergeCell ref="E596:F596"/>
    <mergeCell ref="A592:B592"/>
    <mergeCell ref="C592:D592"/>
    <mergeCell ref="A593:B593"/>
    <mergeCell ref="C593:D593"/>
    <mergeCell ref="A594:B594"/>
    <mergeCell ref="C594:D594"/>
    <mergeCell ref="A595:B595"/>
    <mergeCell ref="C595:D595"/>
    <mergeCell ref="A596:B596"/>
    <mergeCell ref="C596:D596"/>
    <mergeCell ref="A588:B588"/>
    <mergeCell ref="C588:D588"/>
    <mergeCell ref="E588:F588"/>
    <mergeCell ref="A589:B589"/>
    <mergeCell ref="C589:D589"/>
    <mergeCell ref="A591:B591"/>
    <mergeCell ref="C591:D591"/>
    <mergeCell ref="E590:F590"/>
    <mergeCell ref="E591:F591"/>
    <mergeCell ref="A577:B577"/>
    <mergeCell ref="A578:B578"/>
    <mergeCell ref="A581:J582"/>
    <mergeCell ref="E572:F572"/>
    <mergeCell ref="E573:F573"/>
    <mergeCell ref="E574:F574"/>
    <mergeCell ref="E575:F575"/>
    <mergeCell ref="E576:F576"/>
    <mergeCell ref="E577:F577"/>
    <mergeCell ref="E578:F578"/>
    <mergeCell ref="B583:J584"/>
    <mergeCell ref="A572:B572"/>
    <mergeCell ref="A573:B573"/>
    <mergeCell ref="A574:B574"/>
    <mergeCell ref="A575:B575"/>
    <mergeCell ref="A576:B576"/>
    <mergeCell ref="C572:D572"/>
    <mergeCell ref="C573:D573"/>
    <mergeCell ref="C574:D574"/>
    <mergeCell ref="C575:D575"/>
    <mergeCell ref="C576:D576"/>
    <mergeCell ref="C546:D546"/>
    <mergeCell ref="E571:F571"/>
    <mergeCell ref="B565:J566"/>
    <mergeCell ref="C547:D547"/>
    <mergeCell ref="C548:D548"/>
    <mergeCell ref="C549:D549"/>
    <mergeCell ref="C550:D550"/>
    <mergeCell ref="C551:D551"/>
    <mergeCell ref="C552:D552"/>
    <mergeCell ref="C553:D553"/>
    <mergeCell ref="C554:D554"/>
    <mergeCell ref="C555:D555"/>
    <mergeCell ref="C537:D537"/>
    <mergeCell ref="C538:D538"/>
    <mergeCell ref="C539:D539"/>
    <mergeCell ref="C540:D540"/>
    <mergeCell ref="C541:D541"/>
    <mergeCell ref="C542:D542"/>
    <mergeCell ref="C543:D543"/>
    <mergeCell ref="C544:D544"/>
    <mergeCell ref="C545:D545"/>
    <mergeCell ref="C528:D528"/>
    <mergeCell ref="C529:D529"/>
    <mergeCell ref="C530:D530"/>
    <mergeCell ref="C531:D531"/>
    <mergeCell ref="C532:D532"/>
    <mergeCell ref="C533:D533"/>
    <mergeCell ref="C534:D534"/>
    <mergeCell ref="C535:D535"/>
    <mergeCell ref="C536:D536"/>
    <mergeCell ref="C519:D519"/>
    <mergeCell ref="C520:D520"/>
    <mergeCell ref="C521:D521"/>
    <mergeCell ref="C522:D522"/>
    <mergeCell ref="C523:D523"/>
    <mergeCell ref="C524:D524"/>
    <mergeCell ref="C525:D525"/>
    <mergeCell ref="C526:D526"/>
    <mergeCell ref="C527:D527"/>
    <mergeCell ref="C510:D510"/>
    <mergeCell ref="C511:D511"/>
    <mergeCell ref="C512:D512"/>
    <mergeCell ref="C513:D513"/>
    <mergeCell ref="C514:D514"/>
    <mergeCell ref="C515:D515"/>
    <mergeCell ref="C516:D516"/>
    <mergeCell ref="C517:D517"/>
    <mergeCell ref="C518:D518"/>
    <mergeCell ref="C501:D501"/>
    <mergeCell ref="C502:D502"/>
    <mergeCell ref="C503:D503"/>
    <mergeCell ref="C504:D504"/>
    <mergeCell ref="C505:D505"/>
    <mergeCell ref="C506:D506"/>
    <mergeCell ref="C507:D507"/>
    <mergeCell ref="C508:D508"/>
    <mergeCell ref="C509:D509"/>
    <mergeCell ref="D362:E362"/>
    <mergeCell ref="D363:E363"/>
    <mergeCell ref="D364:E364"/>
    <mergeCell ref="C483:D483"/>
    <mergeCell ref="D353:E353"/>
    <mergeCell ref="D354:E354"/>
    <mergeCell ref="D355:E355"/>
    <mergeCell ref="D356:E356"/>
    <mergeCell ref="D357:E357"/>
    <mergeCell ref="D358:E358"/>
    <mergeCell ref="D359:E359"/>
    <mergeCell ref="D360:E360"/>
    <mergeCell ref="D361:E361"/>
    <mergeCell ref="D375:F375"/>
    <mergeCell ref="A372:C372"/>
    <mergeCell ref="D372:F372"/>
    <mergeCell ref="D344:E344"/>
    <mergeCell ref="D345:E345"/>
    <mergeCell ref="D346:E346"/>
    <mergeCell ref="D347:E347"/>
    <mergeCell ref="D348:E348"/>
    <mergeCell ref="D349:E349"/>
    <mergeCell ref="D350:E350"/>
    <mergeCell ref="D351:E351"/>
    <mergeCell ref="D352:E352"/>
    <mergeCell ref="D335:E335"/>
    <mergeCell ref="D336:E336"/>
    <mergeCell ref="D337:E337"/>
    <mergeCell ref="D338:E338"/>
    <mergeCell ref="D339:E339"/>
    <mergeCell ref="D340:E340"/>
    <mergeCell ref="D341:E341"/>
    <mergeCell ref="D342:E342"/>
    <mergeCell ref="D343:E343"/>
    <mergeCell ref="D326:E326"/>
    <mergeCell ref="D327:E327"/>
    <mergeCell ref="D328:E328"/>
    <mergeCell ref="D329:E329"/>
    <mergeCell ref="D330:E330"/>
    <mergeCell ref="D331:E331"/>
    <mergeCell ref="D332:E332"/>
    <mergeCell ref="D333:E333"/>
    <mergeCell ref="D334:E334"/>
    <mergeCell ref="D317:E317"/>
    <mergeCell ref="D318:E318"/>
    <mergeCell ref="D319:E319"/>
    <mergeCell ref="D320:E320"/>
    <mergeCell ref="D321:E321"/>
    <mergeCell ref="D322:E322"/>
    <mergeCell ref="D323:E323"/>
    <mergeCell ref="D324:E324"/>
    <mergeCell ref="D325:E325"/>
    <mergeCell ref="D308:E308"/>
    <mergeCell ref="D309:E309"/>
    <mergeCell ref="D310:E310"/>
    <mergeCell ref="D311:E311"/>
    <mergeCell ref="D312:E312"/>
    <mergeCell ref="D313:E313"/>
    <mergeCell ref="D314:E314"/>
    <mergeCell ref="D315:E315"/>
    <mergeCell ref="D316:E316"/>
    <mergeCell ref="D299:E299"/>
    <mergeCell ref="D300:E300"/>
    <mergeCell ref="D301:E301"/>
    <mergeCell ref="D302:E302"/>
    <mergeCell ref="D303:E303"/>
    <mergeCell ref="D304:E304"/>
    <mergeCell ref="D305:E305"/>
    <mergeCell ref="D306:E306"/>
    <mergeCell ref="D307:E307"/>
    <mergeCell ref="D290:E290"/>
    <mergeCell ref="D291:E291"/>
    <mergeCell ref="D292:E292"/>
    <mergeCell ref="D293:E293"/>
    <mergeCell ref="D294:E294"/>
    <mergeCell ref="D295:E295"/>
    <mergeCell ref="D296:E296"/>
    <mergeCell ref="D297:E297"/>
    <mergeCell ref="D298:E298"/>
    <mergeCell ref="A670:J674"/>
    <mergeCell ref="A675:J678"/>
    <mergeCell ref="A683:J684"/>
    <mergeCell ref="A685:J686"/>
    <mergeCell ref="A687:J689"/>
    <mergeCell ref="A40:J41"/>
    <mergeCell ref="A42:J44"/>
    <mergeCell ref="A47:J48"/>
    <mergeCell ref="A49:J50"/>
    <mergeCell ref="A45:J46"/>
    <mergeCell ref="D284:E284"/>
    <mergeCell ref="F284:G284"/>
    <mergeCell ref="D285:E285"/>
    <mergeCell ref="A215:B215"/>
    <mergeCell ref="A210:D210"/>
    <mergeCell ref="C175:D175"/>
    <mergeCell ref="A170:B170"/>
    <mergeCell ref="C170:D170"/>
    <mergeCell ref="A173:B173"/>
    <mergeCell ref="C173:D173"/>
    <mergeCell ref="A176:B176"/>
    <mergeCell ref="C176:D176"/>
    <mergeCell ref="A208:D208"/>
    <mergeCell ref="A209:D209"/>
    <mergeCell ref="A214:B214"/>
    <mergeCell ref="H179:I179"/>
    <mergeCell ref="E180:G180"/>
    <mergeCell ref="H180:I180"/>
    <mergeCell ref="E181:G181"/>
    <mergeCell ref="H181:I181"/>
    <mergeCell ref="E182:G182"/>
    <mergeCell ref="H182:I182"/>
    <mergeCell ref="E179:G179"/>
    <mergeCell ref="A198:J204"/>
    <mergeCell ref="A182:B182"/>
    <mergeCell ref="C182:D182"/>
    <mergeCell ref="A180:B180"/>
    <mergeCell ref="C180:D180"/>
    <mergeCell ref="A181:B181"/>
    <mergeCell ref="C181:D181"/>
    <mergeCell ref="A179:B179"/>
    <mergeCell ref="A191:B191"/>
    <mergeCell ref="C191:D191"/>
    <mergeCell ref="E191:G191"/>
    <mergeCell ref="A187:B187"/>
    <mergeCell ref="C187:D187"/>
    <mergeCell ref="H191:I191"/>
    <mergeCell ref="A190:B190"/>
    <mergeCell ref="E173:G173"/>
    <mergeCell ref="H173:I173"/>
    <mergeCell ref="H169:I169"/>
    <mergeCell ref="H170:I170"/>
    <mergeCell ref="E168:G168"/>
    <mergeCell ref="H168:I168"/>
    <mergeCell ref="E170:G170"/>
    <mergeCell ref="A212:B212"/>
    <mergeCell ref="A213:B213"/>
    <mergeCell ref="E174:G174"/>
    <mergeCell ref="H174:I174"/>
    <mergeCell ref="E175:G175"/>
    <mergeCell ref="H175:I175"/>
    <mergeCell ref="C179:D179"/>
    <mergeCell ref="A186:B186"/>
    <mergeCell ref="C186:D186"/>
    <mergeCell ref="E186:G186"/>
    <mergeCell ref="H186:I186"/>
    <mergeCell ref="A189:B189"/>
    <mergeCell ref="C189:D189"/>
    <mergeCell ref="E189:G189"/>
    <mergeCell ref="H189:I189"/>
    <mergeCell ref="E187:G187"/>
    <mergeCell ref="H187:I187"/>
    <mergeCell ref="I124:J124"/>
    <mergeCell ref="A125:B125"/>
    <mergeCell ref="C125:D125"/>
    <mergeCell ref="I125:J125"/>
    <mergeCell ref="I151:J151"/>
    <mergeCell ref="E164:G164"/>
    <mergeCell ref="E169:G169"/>
    <mergeCell ref="H164:I164"/>
    <mergeCell ref="E150:F150"/>
    <mergeCell ref="H163:I163"/>
    <mergeCell ref="I150:J150"/>
    <mergeCell ref="E161:G161"/>
    <mergeCell ref="H161:I161"/>
    <mergeCell ref="A168:B168"/>
    <mergeCell ref="C168:D168"/>
    <mergeCell ref="A169:B169"/>
    <mergeCell ref="C169:D169"/>
    <mergeCell ref="A167:B167"/>
    <mergeCell ref="C167:D167"/>
    <mergeCell ref="A164:B164"/>
    <mergeCell ref="C164:D164"/>
    <mergeCell ref="A162:B162"/>
    <mergeCell ref="E125:F125"/>
    <mergeCell ref="G125:H125"/>
    <mergeCell ref="A174:B174"/>
    <mergeCell ref="C174:D174"/>
    <mergeCell ref="A175:B175"/>
    <mergeCell ref="E176:G176"/>
    <mergeCell ref="H176:I176"/>
    <mergeCell ref="E162:G162"/>
    <mergeCell ref="H162:I162"/>
    <mergeCell ref="E63:F63"/>
    <mergeCell ref="E64:F64"/>
    <mergeCell ref="E65:F65"/>
    <mergeCell ref="E66:F66"/>
    <mergeCell ref="E67:F67"/>
    <mergeCell ref="E68:F68"/>
    <mergeCell ref="E124:F124"/>
    <mergeCell ref="G112:H112"/>
    <mergeCell ref="G113:H113"/>
    <mergeCell ref="G114:H114"/>
    <mergeCell ref="G115:H115"/>
    <mergeCell ref="G117:H117"/>
    <mergeCell ref="G124:H124"/>
    <mergeCell ref="G116:H116"/>
    <mergeCell ref="E167:G167"/>
    <mergeCell ref="H167:I167"/>
    <mergeCell ref="E163:G163"/>
    <mergeCell ref="I122:J122"/>
    <mergeCell ref="A161:B161"/>
    <mergeCell ref="C161:D161"/>
    <mergeCell ref="A150:B150"/>
    <mergeCell ref="C150:D150"/>
    <mergeCell ref="A151:B151"/>
    <mergeCell ref="C151:D151"/>
    <mergeCell ref="E146:F146"/>
    <mergeCell ref="E147:F147"/>
    <mergeCell ref="E148:F148"/>
    <mergeCell ref="E149:F149"/>
    <mergeCell ref="G151:H151"/>
    <mergeCell ref="A144:B144"/>
    <mergeCell ref="C144:D144"/>
    <mergeCell ref="I144:J144"/>
    <mergeCell ref="A145:B145"/>
    <mergeCell ref="C145:D145"/>
    <mergeCell ref="I145:J145"/>
    <mergeCell ref="G144:H144"/>
    <mergeCell ref="G145:H145"/>
    <mergeCell ref="A124:B124"/>
    <mergeCell ref="C124:D124"/>
    <mergeCell ref="A146:B146"/>
    <mergeCell ref="C146:D146"/>
    <mergeCell ref="C162:D162"/>
    <mergeCell ref="A163:B163"/>
    <mergeCell ref="C163:D163"/>
    <mergeCell ref="A148:B148"/>
    <mergeCell ref="C148:D148"/>
    <mergeCell ref="I148:J148"/>
    <mergeCell ref="C123:D123"/>
    <mergeCell ref="I123:J123"/>
    <mergeCell ref="G122:H122"/>
    <mergeCell ref="G123:H123"/>
    <mergeCell ref="E123:F123"/>
    <mergeCell ref="E122:F122"/>
    <mergeCell ref="E143:F143"/>
    <mergeCell ref="E144:F144"/>
    <mergeCell ref="E145:F145"/>
    <mergeCell ref="A122:B122"/>
    <mergeCell ref="C122:D122"/>
    <mergeCell ref="A123:B123"/>
    <mergeCell ref="A149:B149"/>
    <mergeCell ref="C149:D149"/>
    <mergeCell ref="I149:J149"/>
    <mergeCell ref="G149:H149"/>
    <mergeCell ref="E151:F151"/>
    <mergeCell ref="G150:H150"/>
    <mergeCell ref="I146:J146"/>
    <mergeCell ref="A147:B147"/>
    <mergeCell ref="C147:D147"/>
    <mergeCell ref="I147:J147"/>
    <mergeCell ref="G146:H146"/>
    <mergeCell ref="G147:H147"/>
    <mergeCell ref="G148:H148"/>
    <mergeCell ref="A142:B142"/>
    <mergeCell ref="C142:D142"/>
    <mergeCell ref="I142:J142"/>
    <mergeCell ref="A143:B143"/>
    <mergeCell ref="C143:D143"/>
    <mergeCell ref="I143:J143"/>
    <mergeCell ref="G142:H142"/>
    <mergeCell ref="E142:F142"/>
    <mergeCell ref="G143:H143"/>
    <mergeCell ref="A140:B140"/>
    <mergeCell ref="C140:D140"/>
    <mergeCell ref="I140:J140"/>
    <mergeCell ref="A141:B141"/>
    <mergeCell ref="C141:D141"/>
    <mergeCell ref="I141:J141"/>
    <mergeCell ref="A138:B138"/>
    <mergeCell ref="C138:D138"/>
    <mergeCell ref="I138:J138"/>
    <mergeCell ref="A139:B139"/>
    <mergeCell ref="C139:D139"/>
    <mergeCell ref="I139:J139"/>
    <mergeCell ref="G141:H141"/>
    <mergeCell ref="G138:H138"/>
    <mergeCell ref="G139:H139"/>
    <mergeCell ref="G140:H140"/>
    <mergeCell ref="E138:F138"/>
    <mergeCell ref="E139:F139"/>
    <mergeCell ref="E140:F140"/>
    <mergeCell ref="E141:F141"/>
    <mergeCell ref="A136:B136"/>
    <mergeCell ref="C136:D136"/>
    <mergeCell ref="I136:J136"/>
    <mergeCell ref="A137:B137"/>
    <mergeCell ref="C137:D137"/>
    <mergeCell ref="I137:J137"/>
    <mergeCell ref="A134:B134"/>
    <mergeCell ref="C134:D134"/>
    <mergeCell ref="I134:J134"/>
    <mergeCell ref="A135:B135"/>
    <mergeCell ref="C135:D135"/>
    <mergeCell ref="I135:J135"/>
    <mergeCell ref="G134:H134"/>
    <mergeCell ref="G135:H135"/>
    <mergeCell ref="G136:H136"/>
    <mergeCell ref="G137:H137"/>
    <mergeCell ref="E137:F137"/>
    <mergeCell ref="E134:F134"/>
    <mergeCell ref="E135:F135"/>
    <mergeCell ref="E136:F136"/>
    <mergeCell ref="A132:B132"/>
    <mergeCell ref="C132:D132"/>
    <mergeCell ref="I132:J132"/>
    <mergeCell ref="A133:B133"/>
    <mergeCell ref="C133:D133"/>
    <mergeCell ref="I133:J133"/>
    <mergeCell ref="A130:B130"/>
    <mergeCell ref="C130:D130"/>
    <mergeCell ref="I130:J130"/>
    <mergeCell ref="A131:B131"/>
    <mergeCell ref="C131:D131"/>
    <mergeCell ref="I131:J131"/>
    <mergeCell ref="G132:H132"/>
    <mergeCell ref="G133:H133"/>
    <mergeCell ref="E130:F130"/>
    <mergeCell ref="G130:H130"/>
    <mergeCell ref="G131:H131"/>
    <mergeCell ref="E131:F131"/>
    <mergeCell ref="E132:F132"/>
    <mergeCell ref="E133:F133"/>
    <mergeCell ref="A128:B128"/>
    <mergeCell ref="C128:D128"/>
    <mergeCell ref="I128:J128"/>
    <mergeCell ref="A129:B129"/>
    <mergeCell ref="C129:D129"/>
    <mergeCell ref="I129:J129"/>
    <mergeCell ref="A126:B126"/>
    <mergeCell ref="C126:D126"/>
    <mergeCell ref="I126:J126"/>
    <mergeCell ref="A127:B127"/>
    <mergeCell ref="C127:D127"/>
    <mergeCell ref="I127:J127"/>
    <mergeCell ref="E129:F129"/>
    <mergeCell ref="G129:H129"/>
    <mergeCell ref="E126:F126"/>
    <mergeCell ref="E127:F127"/>
    <mergeCell ref="E128:F128"/>
    <mergeCell ref="G126:H126"/>
    <mergeCell ref="G127:H127"/>
    <mergeCell ref="G128:H128"/>
    <mergeCell ref="A120:B120"/>
    <mergeCell ref="C120:D120"/>
    <mergeCell ref="I120:J120"/>
    <mergeCell ref="A121:B121"/>
    <mergeCell ref="C121:D121"/>
    <mergeCell ref="I121:J121"/>
    <mergeCell ref="A118:B118"/>
    <mergeCell ref="C118:D118"/>
    <mergeCell ref="I118:J118"/>
    <mergeCell ref="A119:B119"/>
    <mergeCell ref="C119:D119"/>
    <mergeCell ref="I119:J119"/>
    <mergeCell ref="G120:H120"/>
    <mergeCell ref="G121:H121"/>
    <mergeCell ref="E118:F118"/>
    <mergeCell ref="E119:F119"/>
    <mergeCell ref="E120:F120"/>
    <mergeCell ref="E121:F121"/>
    <mergeCell ref="G118:H118"/>
    <mergeCell ref="G119:H119"/>
    <mergeCell ref="A116:B116"/>
    <mergeCell ref="C116:D116"/>
    <mergeCell ref="I116:J116"/>
    <mergeCell ref="A117:B117"/>
    <mergeCell ref="C117:D117"/>
    <mergeCell ref="I117:J117"/>
    <mergeCell ref="A112:B112"/>
    <mergeCell ref="C112:D112"/>
    <mergeCell ref="I112:J112"/>
    <mergeCell ref="A115:B115"/>
    <mergeCell ref="C115:D115"/>
    <mergeCell ref="I115:J115"/>
    <mergeCell ref="I113:J113"/>
    <mergeCell ref="A114:B114"/>
    <mergeCell ref="C114:D114"/>
    <mergeCell ref="I114:J114"/>
    <mergeCell ref="A113:B113"/>
    <mergeCell ref="C113:D113"/>
    <mergeCell ref="E112:F112"/>
    <mergeCell ref="E113:F113"/>
    <mergeCell ref="E114:F114"/>
    <mergeCell ref="E115:F115"/>
    <mergeCell ref="E116:F116"/>
    <mergeCell ref="E117:F117"/>
    <mergeCell ref="A110:B110"/>
    <mergeCell ref="C110:D110"/>
    <mergeCell ref="I110:J110"/>
    <mergeCell ref="A111:B111"/>
    <mergeCell ref="C111:D111"/>
    <mergeCell ref="I111:J111"/>
    <mergeCell ref="A108:B108"/>
    <mergeCell ref="C108:D108"/>
    <mergeCell ref="I108:J108"/>
    <mergeCell ref="A109:B109"/>
    <mergeCell ref="C109:D109"/>
    <mergeCell ref="I109:J109"/>
    <mergeCell ref="E111:F111"/>
    <mergeCell ref="E108:F108"/>
    <mergeCell ref="E109:F109"/>
    <mergeCell ref="E110:F110"/>
    <mergeCell ref="G109:H109"/>
    <mergeCell ref="G110:H110"/>
    <mergeCell ref="G111:H111"/>
    <mergeCell ref="G108:H108"/>
    <mergeCell ref="A106:B106"/>
    <mergeCell ref="C106:D106"/>
    <mergeCell ref="I106:J106"/>
    <mergeCell ref="A107:B107"/>
    <mergeCell ref="C107:D107"/>
    <mergeCell ref="I107:J107"/>
    <mergeCell ref="A104:B104"/>
    <mergeCell ref="C104:D104"/>
    <mergeCell ref="I104:J104"/>
    <mergeCell ref="A105:B105"/>
    <mergeCell ref="C105:D105"/>
    <mergeCell ref="I105:J105"/>
    <mergeCell ref="G106:H106"/>
    <mergeCell ref="E105:F105"/>
    <mergeCell ref="E106:F106"/>
    <mergeCell ref="E107:F107"/>
    <mergeCell ref="G107:H107"/>
    <mergeCell ref="E104:F104"/>
    <mergeCell ref="G104:H104"/>
    <mergeCell ref="G105:H105"/>
    <mergeCell ref="A102:B102"/>
    <mergeCell ref="C102:D102"/>
    <mergeCell ref="I102:J102"/>
    <mergeCell ref="A103:B103"/>
    <mergeCell ref="C103:D103"/>
    <mergeCell ref="I103:J103"/>
    <mergeCell ref="A100:B100"/>
    <mergeCell ref="C100:D100"/>
    <mergeCell ref="I100:J100"/>
    <mergeCell ref="A101:B101"/>
    <mergeCell ref="C101:D101"/>
    <mergeCell ref="I101:J101"/>
    <mergeCell ref="E100:F100"/>
    <mergeCell ref="E101:F101"/>
    <mergeCell ref="E102:F102"/>
    <mergeCell ref="E103:F103"/>
    <mergeCell ref="G100:H100"/>
    <mergeCell ref="G101:H101"/>
    <mergeCell ref="G102:H102"/>
    <mergeCell ref="G103:H103"/>
    <mergeCell ref="A98:B98"/>
    <mergeCell ref="C98:D98"/>
    <mergeCell ref="I98:J98"/>
    <mergeCell ref="A99:B99"/>
    <mergeCell ref="C99:D99"/>
    <mergeCell ref="I99:J99"/>
    <mergeCell ref="A96:B96"/>
    <mergeCell ref="C96:D96"/>
    <mergeCell ref="I96:J96"/>
    <mergeCell ref="A97:B97"/>
    <mergeCell ref="C97:D97"/>
    <mergeCell ref="I97:J97"/>
    <mergeCell ref="E97:F97"/>
    <mergeCell ref="E98:F98"/>
    <mergeCell ref="E99:F99"/>
    <mergeCell ref="G96:H96"/>
    <mergeCell ref="E96:F96"/>
    <mergeCell ref="G97:H97"/>
    <mergeCell ref="G98:H98"/>
    <mergeCell ref="G99:H99"/>
    <mergeCell ref="A94:B94"/>
    <mergeCell ref="C94:D94"/>
    <mergeCell ref="I94:J94"/>
    <mergeCell ref="A95:B95"/>
    <mergeCell ref="C95:D95"/>
    <mergeCell ref="I95:J95"/>
    <mergeCell ref="A92:B92"/>
    <mergeCell ref="C92:D92"/>
    <mergeCell ref="I92:J92"/>
    <mergeCell ref="A93:B93"/>
    <mergeCell ref="C93:D93"/>
    <mergeCell ref="I93:J93"/>
    <mergeCell ref="G92:H92"/>
    <mergeCell ref="G93:H93"/>
    <mergeCell ref="G94:H94"/>
    <mergeCell ref="E92:F92"/>
    <mergeCell ref="E93:F93"/>
    <mergeCell ref="E94:F94"/>
    <mergeCell ref="G95:H95"/>
    <mergeCell ref="E95:F95"/>
    <mergeCell ref="A90:B90"/>
    <mergeCell ref="C90:D90"/>
    <mergeCell ref="I90:J90"/>
    <mergeCell ref="A91:B91"/>
    <mergeCell ref="C91:D91"/>
    <mergeCell ref="I91:J91"/>
    <mergeCell ref="A88:B88"/>
    <mergeCell ref="C88:D88"/>
    <mergeCell ref="I88:J88"/>
    <mergeCell ref="A89:B89"/>
    <mergeCell ref="C89:D89"/>
    <mergeCell ref="I89:J89"/>
    <mergeCell ref="G88:H88"/>
    <mergeCell ref="G89:H89"/>
    <mergeCell ref="G90:H90"/>
    <mergeCell ref="G91:H91"/>
    <mergeCell ref="E88:F88"/>
    <mergeCell ref="E89:F89"/>
    <mergeCell ref="E90:F90"/>
    <mergeCell ref="E91:F91"/>
    <mergeCell ref="A86:B86"/>
    <mergeCell ref="C86:D86"/>
    <mergeCell ref="I86:J86"/>
    <mergeCell ref="A87:B87"/>
    <mergeCell ref="C87:D87"/>
    <mergeCell ref="I87:J87"/>
    <mergeCell ref="A84:B84"/>
    <mergeCell ref="C84:D84"/>
    <mergeCell ref="I84:J84"/>
    <mergeCell ref="A85:B85"/>
    <mergeCell ref="C85:D85"/>
    <mergeCell ref="I85:J85"/>
    <mergeCell ref="G85:H85"/>
    <mergeCell ref="G86:H86"/>
    <mergeCell ref="G87:H87"/>
    <mergeCell ref="G84:H84"/>
    <mergeCell ref="E84:F84"/>
    <mergeCell ref="E85:F85"/>
    <mergeCell ref="E86:F86"/>
    <mergeCell ref="E87:F87"/>
    <mergeCell ref="A82:B82"/>
    <mergeCell ref="C82:D82"/>
    <mergeCell ref="I82:J82"/>
    <mergeCell ref="A83:B83"/>
    <mergeCell ref="C83:D83"/>
    <mergeCell ref="I83:J83"/>
    <mergeCell ref="A80:B80"/>
    <mergeCell ref="C80:D80"/>
    <mergeCell ref="I80:J80"/>
    <mergeCell ref="A81:B81"/>
    <mergeCell ref="C81:D81"/>
    <mergeCell ref="I81:J81"/>
    <mergeCell ref="G83:H83"/>
    <mergeCell ref="G80:H80"/>
    <mergeCell ref="G81:H81"/>
    <mergeCell ref="G82:H82"/>
    <mergeCell ref="E83:F83"/>
    <mergeCell ref="E80:F80"/>
    <mergeCell ref="E81:F81"/>
    <mergeCell ref="E82:F82"/>
    <mergeCell ref="A78:B78"/>
    <mergeCell ref="C78:D78"/>
    <mergeCell ref="I78:J78"/>
    <mergeCell ref="A79:B79"/>
    <mergeCell ref="C79:D79"/>
    <mergeCell ref="I79:J79"/>
    <mergeCell ref="A76:B76"/>
    <mergeCell ref="C76:D76"/>
    <mergeCell ref="I76:J76"/>
    <mergeCell ref="A77:B77"/>
    <mergeCell ref="C77:D77"/>
    <mergeCell ref="I77:J77"/>
    <mergeCell ref="G76:H76"/>
    <mergeCell ref="G77:H77"/>
    <mergeCell ref="G78:H78"/>
    <mergeCell ref="G79:H79"/>
    <mergeCell ref="E76:F76"/>
    <mergeCell ref="E77:F77"/>
    <mergeCell ref="E78:F78"/>
    <mergeCell ref="E79:F79"/>
    <mergeCell ref="A74:B74"/>
    <mergeCell ref="C74:D74"/>
    <mergeCell ref="I74:J74"/>
    <mergeCell ref="A75:B75"/>
    <mergeCell ref="C75:D75"/>
    <mergeCell ref="I75:J75"/>
    <mergeCell ref="A72:B72"/>
    <mergeCell ref="C72:D72"/>
    <mergeCell ref="I72:J72"/>
    <mergeCell ref="A73:B73"/>
    <mergeCell ref="C73:D73"/>
    <mergeCell ref="I73:J73"/>
    <mergeCell ref="G73:H73"/>
    <mergeCell ref="G74:H74"/>
    <mergeCell ref="G75:H75"/>
    <mergeCell ref="G72:H72"/>
    <mergeCell ref="E73:F73"/>
    <mergeCell ref="E74:F74"/>
    <mergeCell ref="E75:F75"/>
    <mergeCell ref="E72:F72"/>
    <mergeCell ref="A70:B70"/>
    <mergeCell ref="C70:D70"/>
    <mergeCell ref="I70:J70"/>
    <mergeCell ref="A71:B71"/>
    <mergeCell ref="C71:D71"/>
    <mergeCell ref="I71:J71"/>
    <mergeCell ref="A68:B68"/>
    <mergeCell ref="C68:D68"/>
    <mergeCell ref="I68:J68"/>
    <mergeCell ref="A69:B69"/>
    <mergeCell ref="C69:D69"/>
    <mergeCell ref="I69:J69"/>
    <mergeCell ref="G69:H69"/>
    <mergeCell ref="G70:H70"/>
    <mergeCell ref="G71:H71"/>
    <mergeCell ref="E70:F70"/>
    <mergeCell ref="E71:F71"/>
    <mergeCell ref="E69:F69"/>
    <mergeCell ref="G68:H68"/>
    <mergeCell ref="A32:J33"/>
    <mergeCell ref="E61:F61"/>
    <mergeCell ref="G61:H61"/>
    <mergeCell ref="E62:F62"/>
    <mergeCell ref="G62:H62"/>
    <mergeCell ref="A34:J35"/>
    <mergeCell ref="A38:J39"/>
    <mergeCell ref="G63:H63"/>
    <mergeCell ref="G64:H64"/>
    <mergeCell ref="A51:J52"/>
    <mergeCell ref="A36:J37"/>
    <mergeCell ref="C66:D66"/>
    <mergeCell ref="I66:J66"/>
    <mergeCell ref="A67:B67"/>
    <mergeCell ref="C67:D67"/>
    <mergeCell ref="I67:J67"/>
    <mergeCell ref="A64:B64"/>
    <mergeCell ref="C64:D64"/>
    <mergeCell ref="I64:J64"/>
    <mergeCell ref="A65:B65"/>
    <mergeCell ref="C65:D65"/>
    <mergeCell ref="I65:J65"/>
    <mergeCell ref="G65:H65"/>
    <mergeCell ref="G66:H66"/>
    <mergeCell ref="G67:H67"/>
    <mergeCell ref="D286:E286"/>
    <mergeCell ref="D287:E287"/>
    <mergeCell ref="D288:E288"/>
    <mergeCell ref="D289:E289"/>
    <mergeCell ref="A1:D1"/>
    <mergeCell ref="E1:G1"/>
    <mergeCell ref="A3:J3"/>
    <mergeCell ref="A5:J5"/>
    <mergeCell ref="C12:J13"/>
    <mergeCell ref="A207:D207"/>
    <mergeCell ref="A62:B62"/>
    <mergeCell ref="C62:D62"/>
    <mergeCell ref="I62:J62"/>
    <mergeCell ref="A63:B63"/>
    <mergeCell ref="C63:D63"/>
    <mergeCell ref="I63:J63"/>
    <mergeCell ref="C17:J17"/>
    <mergeCell ref="A22:J23"/>
    <mergeCell ref="A30:J31"/>
    <mergeCell ref="A61:B61"/>
    <mergeCell ref="C61:D61"/>
    <mergeCell ref="I61:J61"/>
    <mergeCell ref="A26:J27"/>
    <mergeCell ref="A66:B66"/>
    <mergeCell ref="A234:B234"/>
    <mergeCell ref="A235:B235"/>
    <mergeCell ref="A226:D226"/>
    <mergeCell ref="A228:B228"/>
    <mergeCell ref="A239:D239"/>
    <mergeCell ref="A603:J604"/>
    <mergeCell ref="A240:D240"/>
    <mergeCell ref="A241:D241"/>
    <mergeCell ref="A242:D242"/>
    <mergeCell ref="A244:B244"/>
    <mergeCell ref="A245:B245"/>
    <mergeCell ref="A246:B246"/>
    <mergeCell ref="A247:B247"/>
    <mergeCell ref="A248:B248"/>
    <mergeCell ref="A250:B250"/>
    <mergeCell ref="A251:B251"/>
    <mergeCell ref="A255:D255"/>
    <mergeCell ref="A256:D256"/>
    <mergeCell ref="A257:D257"/>
    <mergeCell ref="A258:D258"/>
    <mergeCell ref="A260:B260"/>
    <mergeCell ref="A261:B261"/>
    <mergeCell ref="A262:B262"/>
    <mergeCell ref="H284:I284"/>
    <mergeCell ref="A679:J682"/>
    <mergeCell ref="A660:J664"/>
    <mergeCell ref="C9:J10"/>
    <mergeCell ref="A263:B263"/>
    <mergeCell ref="A691:J695"/>
    <mergeCell ref="A657:J659"/>
    <mergeCell ref="A665:J666"/>
    <mergeCell ref="A264:B264"/>
    <mergeCell ref="A266:B266"/>
    <mergeCell ref="A267:B267"/>
    <mergeCell ref="A642:J642"/>
    <mergeCell ref="A643:J643"/>
    <mergeCell ref="A607:J608"/>
    <mergeCell ref="A613:J615"/>
    <mergeCell ref="A667:J669"/>
    <mergeCell ref="A648:J650"/>
    <mergeCell ref="A651:J652"/>
    <mergeCell ref="A605:J606"/>
    <mergeCell ref="A609:J612"/>
    <mergeCell ref="A646:J647"/>
    <mergeCell ref="A216:B216"/>
    <mergeCell ref="G373:I373"/>
    <mergeCell ref="A218:B218"/>
    <mergeCell ref="A653:J656"/>
    <mergeCell ref="C190:D190"/>
    <mergeCell ref="E190:G190"/>
    <mergeCell ref="H190:I190"/>
    <mergeCell ref="A188:B188"/>
    <mergeCell ref="C188:D188"/>
    <mergeCell ref="E188:G188"/>
    <mergeCell ref="H188:I188"/>
    <mergeCell ref="F274:H274"/>
    <mergeCell ref="A274:E274"/>
    <mergeCell ref="I274:J274"/>
    <mergeCell ref="F272:H272"/>
    <mergeCell ref="I272:J272"/>
    <mergeCell ref="A272:E272"/>
    <mergeCell ref="A273:E273"/>
    <mergeCell ref="F273:H273"/>
    <mergeCell ref="I273:J273"/>
    <mergeCell ref="A224:D224"/>
    <mergeCell ref="A225:D225"/>
    <mergeCell ref="A219:B219"/>
    <mergeCell ref="A223:D223"/>
    <mergeCell ref="A229:B229"/>
    <mergeCell ref="A230:B230"/>
    <mergeCell ref="A231:B231"/>
    <mergeCell ref="A232:B232"/>
    <mergeCell ref="G377:I377"/>
    <mergeCell ref="G376:I376"/>
    <mergeCell ref="G372:I372"/>
    <mergeCell ref="A373:C373"/>
    <mergeCell ref="A374:C374"/>
    <mergeCell ref="A375:C375"/>
    <mergeCell ref="D374:F374"/>
    <mergeCell ref="D373:F373"/>
    <mergeCell ref="A626:E626"/>
    <mergeCell ref="F626:G626"/>
    <mergeCell ref="I626:J626"/>
    <mergeCell ref="G378:I378"/>
    <mergeCell ref="G379:I379"/>
    <mergeCell ref="A376:C376"/>
    <mergeCell ref="A377:C377"/>
    <mergeCell ref="A378:C378"/>
    <mergeCell ref="A379:C379"/>
    <mergeCell ref="D379:F379"/>
    <mergeCell ref="D378:F378"/>
    <mergeCell ref="D377:F377"/>
    <mergeCell ref="D376:F376"/>
    <mergeCell ref="G374:I374"/>
    <mergeCell ref="C484:D484"/>
    <mergeCell ref="C485:D485"/>
    <mergeCell ref="C486:D486"/>
    <mergeCell ref="C487:D487"/>
    <mergeCell ref="A628:E628"/>
    <mergeCell ref="F628:G628"/>
    <mergeCell ref="I628:J628"/>
    <mergeCell ref="A629:E629"/>
    <mergeCell ref="F629:G629"/>
    <mergeCell ref="I629:J629"/>
    <mergeCell ref="A627:E627"/>
    <mergeCell ref="F627:G627"/>
    <mergeCell ref="I627:J62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A630:E630"/>
    <mergeCell ref="F630:G630"/>
    <mergeCell ref="I630:J630"/>
    <mergeCell ref="A631:E631"/>
    <mergeCell ref="F631:G631"/>
    <mergeCell ref="I631:J631"/>
    <mergeCell ref="A632:E632"/>
    <mergeCell ref="F632:G632"/>
    <mergeCell ref="I632:J632"/>
    <mergeCell ref="A636:E636"/>
    <mergeCell ref="F636:G636"/>
    <mergeCell ref="I636:J636"/>
    <mergeCell ref="A637:E637"/>
    <mergeCell ref="F637:G637"/>
    <mergeCell ref="I637:J637"/>
    <mergeCell ref="F633:G633"/>
    <mergeCell ref="A633:E633"/>
    <mergeCell ref="I633:J633"/>
    <mergeCell ref="A635:E635"/>
    <mergeCell ref="F635:G635"/>
    <mergeCell ref="I635:J635"/>
    <mergeCell ref="A634:E634"/>
    <mergeCell ref="F634:G634"/>
    <mergeCell ref="I634:J634"/>
  </mergeCells>
  <conditionalFormatting sqref="C72:D81 A629:A633 A635:A637">
    <cfRule type="cellIs" dxfId="99" priority="113" operator="equal">
      <formula>"Inadequada"</formula>
    </cfRule>
    <cfRule type="notContainsBlanks" dxfId="98" priority="114">
      <formula>LEN(TRIM(A72))&gt;0</formula>
    </cfRule>
  </conditionalFormatting>
  <conditionalFormatting sqref="C82:D91">
    <cfRule type="cellIs" dxfId="97" priority="111" operator="equal">
      <formula>"Inadequada"</formula>
    </cfRule>
    <cfRule type="notContainsBlanks" dxfId="96" priority="112">
      <formula>LEN(TRIM(C82))&gt;0</formula>
    </cfRule>
  </conditionalFormatting>
  <conditionalFormatting sqref="C92:D101">
    <cfRule type="cellIs" dxfId="95" priority="109" operator="equal">
      <formula>"Inadequada"</formula>
    </cfRule>
    <cfRule type="notContainsBlanks" dxfId="94" priority="110">
      <formula>LEN(TRIM(C92))&gt;0</formula>
    </cfRule>
  </conditionalFormatting>
  <conditionalFormatting sqref="C102:D111">
    <cfRule type="cellIs" dxfId="93" priority="107" operator="equal">
      <formula>"Inadequada"</formula>
    </cfRule>
    <cfRule type="notContainsBlanks" dxfId="92" priority="108">
      <formula>LEN(TRIM(C102))&gt;0</formula>
    </cfRule>
  </conditionalFormatting>
  <conditionalFormatting sqref="C112:D121">
    <cfRule type="cellIs" dxfId="91" priority="105" operator="equal">
      <formula>"Inadequada"</formula>
    </cfRule>
    <cfRule type="notContainsBlanks" dxfId="90" priority="106">
      <formula>LEN(TRIM(C112))&gt;0</formula>
    </cfRule>
  </conditionalFormatting>
  <conditionalFormatting sqref="C122:D131">
    <cfRule type="cellIs" dxfId="89" priority="103" operator="equal">
      <formula>"Inadequada"</formula>
    </cfRule>
    <cfRule type="notContainsBlanks" dxfId="88" priority="104">
      <formula>LEN(TRIM(C122))&gt;0</formula>
    </cfRule>
  </conditionalFormatting>
  <conditionalFormatting sqref="C132:D141">
    <cfRule type="cellIs" dxfId="87" priority="101" operator="equal">
      <formula>"Inadequada"</formula>
    </cfRule>
    <cfRule type="notContainsBlanks" dxfId="86" priority="102">
      <formula>LEN(TRIM(C132))&gt;0</formula>
    </cfRule>
  </conditionalFormatting>
  <conditionalFormatting sqref="E62:H141">
    <cfRule type="cellIs" dxfId="85" priority="99" operator="equal">
      <formula>"Inadequada"</formula>
    </cfRule>
    <cfRule type="notContainsBlanks" dxfId="84" priority="100">
      <formula>LEN(TRIM(E62))&gt;0</formula>
    </cfRule>
  </conditionalFormatting>
  <conditionalFormatting sqref="E142:H151">
    <cfRule type="cellIs" dxfId="83" priority="83" operator="equal">
      <formula>"Inadequada"</formula>
    </cfRule>
    <cfRule type="notContainsBlanks" dxfId="82" priority="84">
      <formula>LEN(TRIM(E142))&gt;0</formula>
    </cfRule>
  </conditionalFormatting>
  <conditionalFormatting sqref="A143:B151">
    <cfRule type="cellIs" dxfId="81" priority="81" operator="equal">
      <formula>"Inadequada"</formula>
    </cfRule>
    <cfRule type="notContainsBlanks" dxfId="80" priority="82">
      <formula>LEN(TRIM(A143))&gt;0</formula>
    </cfRule>
  </conditionalFormatting>
  <conditionalFormatting sqref="A142:B142">
    <cfRule type="cellIs" dxfId="79" priority="93" operator="equal">
      <formula>"Inadequada"</formula>
    </cfRule>
    <cfRule type="notContainsBlanks" dxfId="78" priority="94">
      <formula>LEN(TRIM(A142))&gt;0</formula>
    </cfRule>
  </conditionalFormatting>
  <conditionalFormatting sqref="I142:J151">
    <cfRule type="cellIs" dxfId="77" priority="87" operator="equal">
      <formula>"Inadequada"</formula>
    </cfRule>
    <cfRule type="notContainsBlanks" dxfId="76" priority="88">
      <formula>LEN(TRIM(I142))&gt;0</formula>
    </cfRule>
  </conditionalFormatting>
  <conditionalFormatting sqref="C142:D151">
    <cfRule type="cellIs" dxfId="75" priority="85" operator="equal">
      <formula>"Inadequada"</formula>
    </cfRule>
    <cfRule type="notContainsBlanks" dxfId="74" priority="86">
      <formula>LEN(TRIM(C142))&gt;0</formula>
    </cfRule>
  </conditionalFormatting>
  <conditionalFormatting sqref="E162:I166 E168:I172 H167:I167 E174:I178 H173:I173 E180:I182 H179:I179 I475:I476 G395:G474">
    <cfRule type="cellIs" dxfId="73" priority="79" operator="equal">
      <formula>"Restrição"</formula>
    </cfRule>
    <cfRule type="cellIs" dxfId="72" priority="80" operator="equal">
      <formula>"Não"</formula>
    </cfRule>
  </conditionalFormatting>
  <conditionalFormatting sqref="A212:D213 A214:B214 C213:C216 A215:C216 D214:D216 A217:D267">
    <cfRule type="cellIs" dxfId="71" priority="78" operator="equal">
      <formula>"Não"</formula>
    </cfRule>
  </conditionalFormatting>
  <conditionalFormatting sqref="A268">
    <cfRule type="cellIs" dxfId="70" priority="77" operator="equal">
      <formula>"Não"</formula>
    </cfRule>
  </conditionalFormatting>
  <conditionalFormatting sqref="A285:C364">
    <cfRule type="cellIs" dxfId="69" priority="75" operator="equal">
      <formula>"Inadequada"</formula>
    </cfRule>
    <cfRule type="notContainsBlanks" dxfId="68" priority="76">
      <formula>LEN(TRIM(A285))&gt;0</formula>
    </cfRule>
  </conditionalFormatting>
  <conditionalFormatting sqref="A365">
    <cfRule type="cellIs" dxfId="67" priority="72" operator="equal">
      <formula>"Não"</formula>
    </cfRule>
  </conditionalFormatting>
  <conditionalFormatting sqref="J285:J364">
    <cfRule type="cellIs" dxfId="66" priority="70" operator="equal">
      <formula>"Restrição"</formula>
    </cfRule>
    <cfRule type="cellIs" dxfId="65" priority="71" operator="equal">
      <formula>"Não"</formula>
    </cfRule>
  </conditionalFormatting>
  <conditionalFormatting sqref="A395:C474 A476:C476 B475:C475 A563:C563 B562:C562 A580:C580 A587:C587 A598:C598 B579:C579 B597:C597">
    <cfRule type="cellIs" dxfId="64" priority="68" operator="equal">
      <formula>"Inadequada"</formula>
    </cfRule>
    <cfRule type="notContainsBlanks" dxfId="63" priority="69">
      <formula>LEN(TRIM(A395))&gt;0</formula>
    </cfRule>
  </conditionalFormatting>
  <conditionalFormatting sqref="I562:I563 I572:I580 I588:I598">
    <cfRule type="cellIs" dxfId="62" priority="66" operator="equal">
      <formula>"Restrição"</formula>
    </cfRule>
    <cfRule type="cellIs" dxfId="61" priority="67" operator="equal">
      <formula>"Não"</formula>
    </cfRule>
  </conditionalFormatting>
  <conditionalFormatting sqref="A475">
    <cfRule type="cellIs" dxfId="60" priority="65" operator="equal">
      <formula>"Não"</formula>
    </cfRule>
  </conditionalFormatting>
  <conditionalFormatting sqref="A484:C561">
    <cfRule type="cellIs" dxfId="59" priority="63" operator="equal">
      <formula>"Inadequada"</formula>
    </cfRule>
    <cfRule type="notContainsBlanks" dxfId="58" priority="64">
      <formula>LEN(TRIM(A484))&gt;0</formula>
    </cfRule>
  </conditionalFormatting>
  <conditionalFormatting sqref="E484:E561">
    <cfRule type="cellIs" dxfId="57" priority="59" operator="equal">
      <formula>"Restrição"</formula>
    </cfRule>
    <cfRule type="cellIs" dxfId="56" priority="60" operator="equal">
      <formula>"Não"</formula>
    </cfRule>
  </conditionalFormatting>
  <conditionalFormatting sqref="A562">
    <cfRule type="cellIs" dxfId="55" priority="58" operator="equal">
      <formula>"Não"</formula>
    </cfRule>
  </conditionalFormatting>
  <conditionalFormatting sqref="E571:E578">
    <cfRule type="cellIs" dxfId="54" priority="56" operator="equal">
      <formula>"Inadequada"</formula>
    </cfRule>
    <cfRule type="notContainsBlanks" dxfId="53" priority="57">
      <formula>LEN(TRIM(E571))&gt;0</formula>
    </cfRule>
  </conditionalFormatting>
  <conditionalFormatting sqref="G571:G578">
    <cfRule type="cellIs" dxfId="52" priority="54" operator="equal">
      <formula>"Restrição"</formula>
    </cfRule>
    <cfRule type="cellIs" dxfId="51" priority="55" operator="equal">
      <formula>"Não"</formula>
    </cfRule>
  </conditionalFormatting>
  <conditionalFormatting sqref="E589:E596">
    <cfRule type="cellIs" dxfId="50" priority="52" operator="equal">
      <formula>"Inadequada"</formula>
    </cfRule>
    <cfRule type="notContainsBlanks" dxfId="49" priority="53">
      <formula>LEN(TRIM(E589))&gt;0</formula>
    </cfRule>
  </conditionalFormatting>
  <conditionalFormatting sqref="A579">
    <cfRule type="cellIs" dxfId="48" priority="49" operator="equal">
      <formula>"Não"</formula>
    </cfRule>
  </conditionalFormatting>
  <conditionalFormatting sqref="A597">
    <cfRule type="cellIs" dxfId="47" priority="48" operator="equal">
      <formula>"Não"</formula>
    </cfRule>
  </conditionalFormatting>
  <conditionalFormatting sqref="G589:G596">
    <cfRule type="cellIs" dxfId="46" priority="44" operator="equal">
      <formula>"Restrição"</formula>
    </cfRule>
    <cfRule type="cellIs" dxfId="45" priority="45" operator="equal">
      <formula>"Não"</formula>
    </cfRule>
  </conditionalFormatting>
  <conditionalFormatting sqref="A275">
    <cfRule type="cellIs" dxfId="44" priority="43" operator="equal">
      <formula>"Não"</formula>
    </cfRule>
  </conditionalFormatting>
  <conditionalFormatting sqref="E185:I185 E187:I187 H186:I186 H189:I191">
    <cfRule type="cellIs" dxfId="43" priority="41" operator="equal">
      <formula>"Restrição"</formula>
    </cfRule>
    <cfRule type="cellIs" dxfId="42" priority="42" operator="equal">
      <formula>"Não"</formula>
    </cfRule>
  </conditionalFormatting>
  <conditionalFormatting sqref="E188:G188">
    <cfRule type="cellIs" dxfId="41" priority="35" operator="equal">
      <formula>"Restrição"</formula>
    </cfRule>
    <cfRule type="cellIs" dxfId="40" priority="36" operator="equal">
      <formula>"Não"</formula>
    </cfRule>
  </conditionalFormatting>
  <conditionalFormatting sqref="E189:G191">
    <cfRule type="cellIs" dxfId="39" priority="37" operator="equal">
      <formula>"Restrição"</formula>
    </cfRule>
    <cfRule type="cellIs" dxfId="38" priority="38" operator="equal">
      <formula>"Não"</formula>
    </cfRule>
  </conditionalFormatting>
  <conditionalFormatting sqref="H188:I188">
    <cfRule type="cellIs" dxfId="37" priority="33" operator="equal">
      <formula>"Restrição"</formula>
    </cfRule>
    <cfRule type="cellIs" dxfId="36" priority="34" operator="equal">
      <formula>"Não"</formula>
    </cfRule>
  </conditionalFormatting>
  <conditionalFormatting sqref="A628">
    <cfRule type="cellIs" dxfId="35" priority="13" operator="equal">
      <formula>"Inadequada"</formula>
    </cfRule>
    <cfRule type="notContainsBlanks" dxfId="34" priority="14">
      <formula>LEN(TRIM(A628))&gt;0</formula>
    </cfRule>
  </conditionalFormatting>
  <conditionalFormatting sqref="I628:J633 I634 I635:J637">
    <cfRule type="cellIs" dxfId="33" priority="15" operator="equal">
      <formula>"RESTRIÇÃO"</formula>
    </cfRule>
    <cfRule type="cellIs" dxfId="32" priority="16" operator="equal">
      <formula>"Não Conforme"</formula>
    </cfRule>
  </conditionalFormatting>
  <conditionalFormatting sqref="A627">
    <cfRule type="cellIs" dxfId="31" priority="5" operator="equal">
      <formula>"Inadequada"</formula>
    </cfRule>
    <cfRule type="notContainsBlanks" dxfId="30" priority="6">
      <formula>LEN(TRIM(A627))&gt;0</formula>
    </cfRule>
  </conditionalFormatting>
  <conditionalFormatting sqref="I627:J627">
    <cfRule type="cellIs" dxfId="29" priority="3" operator="equal">
      <formula>"RESTRIÇÃO"</formula>
    </cfRule>
    <cfRule type="cellIs" dxfId="28" priority="4" operator="equal">
      <formula>"Não Conforme"</formula>
    </cfRule>
  </conditionalFormatting>
  <conditionalFormatting sqref="A634">
    <cfRule type="cellIs" dxfId="27" priority="1" operator="equal">
      <formula>"Inadequada"</formula>
    </cfRule>
    <cfRule type="notContainsBlanks" dxfId="26" priority="2">
      <formula>LEN(TRIM(A634))&gt;0</formula>
    </cfRule>
  </conditionalFormatting>
  <dataValidations count="1">
    <dataValidation type="list" allowBlank="1" showInputMessage="1" showErrorMessage="1" sqref="I61:J61">
      <formula1>"Adequada,Inadequada"</formula1>
    </dataValidation>
  </dataValidations>
  <pageMargins left="0.78740157480314965" right="0.19685039370078741" top="1.3779527559055118" bottom="1.1811023622047245" header="0.31496062992125984" footer="0.51181102362204722"/>
  <pageSetup paperSize="9" orientation="portrait" r:id="rId1"/>
  <rowBreaks count="1" manualBreakCount="1">
    <brk id="54" max="9"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Tabelas2!$N$22:$N$29</xm:f>
          </x14:formula1>
          <xm:sqref>A62:B151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R138"/>
  <sheetViews>
    <sheetView zoomScale="85" zoomScaleNormal="85" workbookViewId="0">
      <selection activeCell="H12" sqref="H12"/>
    </sheetView>
  </sheetViews>
  <sheetFormatPr defaultColWidth="8.5703125" defaultRowHeight="15" x14ac:dyDescent="0.25"/>
  <cols>
    <col min="1" max="1" width="21.5703125" style="620" customWidth="1"/>
    <col min="2" max="2" width="14.85546875" style="620" bestFit="1" customWidth="1"/>
    <col min="3" max="3" width="16.140625" style="620" bestFit="1" customWidth="1"/>
    <col min="4" max="4" width="20.28515625" style="620" bestFit="1" customWidth="1"/>
    <col min="5" max="5" width="16.140625" style="620" bestFit="1" customWidth="1"/>
    <col min="6" max="6" width="8.85546875" style="620" bestFit="1" customWidth="1"/>
    <col min="7" max="7" width="18.5703125" style="620" customWidth="1"/>
    <col min="8" max="8" width="27.42578125" style="620" bestFit="1" customWidth="1"/>
    <col min="9" max="9" width="22" style="620" bestFit="1" customWidth="1"/>
    <col min="10" max="10" width="19.140625" style="620" bestFit="1" customWidth="1"/>
    <col min="11" max="11" width="26.140625" style="152" customWidth="1"/>
    <col min="12" max="12" width="25.85546875" style="620" bestFit="1" customWidth="1"/>
    <col min="13" max="18" width="14.85546875" style="620" customWidth="1"/>
    <col min="19" max="16384" width="8.5703125" style="620"/>
  </cols>
  <sheetData>
    <row r="1" spans="1:18" x14ac:dyDescent="0.25">
      <c r="A1" s="1350" t="s">
        <v>1343</v>
      </c>
      <c r="B1" s="13"/>
      <c r="C1" s="13"/>
      <c r="D1" s="13"/>
      <c r="E1" s="13"/>
      <c r="F1" s="13"/>
      <c r="G1" s="13" t="s">
        <v>351</v>
      </c>
      <c r="H1" s="13"/>
      <c r="I1" s="13"/>
      <c r="J1" s="13"/>
      <c r="L1" s="13"/>
      <c r="M1" s="13"/>
    </row>
    <row r="2" spans="1:18" x14ac:dyDescent="0.25">
      <c r="A2" s="620" t="s">
        <v>946</v>
      </c>
      <c r="E2" s="216" t="s">
        <v>273</v>
      </c>
      <c r="G2" s="620" t="s">
        <v>1026</v>
      </c>
    </row>
    <row r="3" spans="1:18" x14ac:dyDescent="0.25">
      <c r="A3" s="620" t="s">
        <v>1487</v>
      </c>
      <c r="C3" s="216"/>
      <c r="G3" s="48" t="s">
        <v>2334</v>
      </c>
      <c r="H3" s="2045" t="e">
        <f>VLOOKUP(Cabeçalho!B14,IN_ANVISA[],2)</f>
        <v>#N/A</v>
      </c>
    </row>
    <row r="4" spans="1:18" x14ac:dyDescent="0.25">
      <c r="A4" s="620" t="s">
        <v>1025</v>
      </c>
      <c r="C4" s="216"/>
      <c r="G4" s="620" t="s">
        <v>2347</v>
      </c>
      <c r="H4" s="2050" t="e">
        <f>IF(H3=95, 0.25,1)</f>
        <v>#N/A</v>
      </c>
    </row>
    <row r="5" spans="1:18" x14ac:dyDescent="0.25">
      <c r="A5" s="620" t="s">
        <v>1341</v>
      </c>
      <c r="C5" s="216"/>
      <c r="D5" s="620" t="s">
        <v>151</v>
      </c>
      <c r="G5" s="620" t="s">
        <v>2348</v>
      </c>
      <c r="H5" s="2050" t="e">
        <f>IF(H3=95,0.5,2)</f>
        <v>#N/A</v>
      </c>
      <c r="K5" s="2984" t="s">
        <v>1342</v>
      </c>
      <c r="L5" s="2984" t="s">
        <v>1345</v>
      </c>
      <c r="M5" s="2848" t="s">
        <v>1376</v>
      </c>
      <c r="N5" s="2849"/>
      <c r="O5" s="2849"/>
      <c r="P5" s="2849"/>
      <c r="Q5" s="2849"/>
      <c r="R5" s="3014"/>
    </row>
    <row r="6" spans="1:18" x14ac:dyDescent="0.25">
      <c r="A6" s="620" t="s">
        <v>16</v>
      </c>
      <c r="C6" s="216"/>
      <c r="D6" s="620" t="s">
        <v>16</v>
      </c>
      <c r="E6" s="216" t="s">
        <v>186</v>
      </c>
      <c r="G6" s="2805" t="s">
        <v>1027</v>
      </c>
      <c r="H6" s="2805"/>
      <c r="K6" s="2984"/>
      <c r="L6" s="2984"/>
      <c r="M6" s="763">
        <v>0.5</v>
      </c>
      <c r="N6" s="763">
        <v>1</v>
      </c>
      <c r="O6" s="763">
        <v>1.5</v>
      </c>
      <c r="P6" s="763">
        <v>2</v>
      </c>
      <c r="Q6" s="1104">
        <v>2.5</v>
      </c>
      <c r="R6" s="1104">
        <v>3</v>
      </c>
    </row>
    <row r="7" spans="1:18" x14ac:dyDescent="0.25">
      <c r="A7" s="620" t="s">
        <v>14</v>
      </c>
      <c r="C7" s="216"/>
      <c r="D7" s="620" t="s">
        <v>13</v>
      </c>
      <c r="G7" s="1070" t="s">
        <v>1032</v>
      </c>
      <c r="H7" s="1070" t="s">
        <v>758</v>
      </c>
      <c r="K7" s="1096">
        <v>50</v>
      </c>
      <c r="L7" s="1087">
        <v>0.06</v>
      </c>
      <c r="M7" s="653">
        <f t="shared" ref="M7:R7" si="0">1.677*EXP(-0.03084*LN(2)/$L7*M$6)+(1-1.677)*EXP(-0.30941*LN(2)/$L7*M$6)</f>
        <v>1.2900111620898094</v>
      </c>
      <c r="N7" s="653">
        <f t="shared" si="0"/>
        <v>1.1553894927557355</v>
      </c>
      <c r="O7" s="653">
        <f t="shared" si="0"/>
        <v>0.9795634713938246</v>
      </c>
      <c r="P7" s="653">
        <f t="shared" si="0"/>
        <v>0.82185125118483582</v>
      </c>
      <c r="Q7" s="653">
        <f t="shared" si="0"/>
        <v>0.68810277853892132</v>
      </c>
      <c r="R7" s="653">
        <f t="shared" si="0"/>
        <v>0.57588207995633445</v>
      </c>
    </row>
    <row r="8" spans="1:18" x14ac:dyDescent="0.25">
      <c r="A8" s="620" t="s">
        <v>359</v>
      </c>
      <c r="C8" s="216"/>
      <c r="D8" s="620" t="s">
        <v>360</v>
      </c>
      <c r="E8" s="216" t="s">
        <v>50</v>
      </c>
      <c r="G8" s="1072" t="s">
        <v>1028</v>
      </c>
      <c r="H8" s="727" t="e">
        <f>VLOOKUP(Cabeçalho!B14,H67:J82,2)</f>
        <v>#N/A</v>
      </c>
      <c r="K8" s="1096">
        <v>60</v>
      </c>
      <c r="L8" s="1087">
        <f>ROUND(L7+(L9-L7)/(K9-K7)*(K8-K7),3)</f>
        <v>0.115</v>
      </c>
      <c r="M8" s="653">
        <f t="shared" ref="M8:R13" si="1">1.677*EXP(-0.03084*LN(2)/$L8*M$6)+(1-1.677)*EXP(-0.30941*LN(2)/$L8*M$6)</f>
        <v>1.2617045720863429</v>
      </c>
      <c r="N8" s="653">
        <f t="shared" si="1"/>
        <v>1.2876580234495953</v>
      </c>
      <c r="O8" s="653">
        <f t="shared" si="1"/>
        <v>1.2276622623492826</v>
      </c>
      <c r="P8" s="653">
        <f t="shared" si="1"/>
        <v>1.1400698144674364</v>
      </c>
      <c r="Q8" s="653">
        <f t="shared" si="1"/>
        <v>1.0472941674984182</v>
      </c>
      <c r="R8" s="653">
        <f t="shared" si="1"/>
        <v>0.95765290784641521</v>
      </c>
    </row>
    <row r="9" spans="1:18" x14ac:dyDescent="0.25">
      <c r="A9" s="620" t="s">
        <v>361</v>
      </c>
      <c r="C9" s="216" t="e">
        <f>LOOKUP(C6,FCrxCI[kVp],FCrxCI[Fator Calibração])</f>
        <v>#N/A</v>
      </c>
      <c r="G9" s="1072" t="s">
        <v>1031</v>
      </c>
      <c r="H9" s="727" t="e">
        <f>ROUNDUP(C3*H8/VLOOKUP(Cabeçalho!B14,H67:J82,3),0)</f>
        <v>#N/A</v>
      </c>
      <c r="K9" s="1096">
        <v>70</v>
      </c>
      <c r="L9" s="1087">
        <v>0.17</v>
      </c>
      <c r="M9" s="653">
        <f t="shared" si="1"/>
        <v>1.2145269770795148</v>
      </c>
      <c r="N9" s="653">
        <f t="shared" si="1"/>
        <v>1.2871122969435413</v>
      </c>
      <c r="O9" s="653">
        <f t="shared" si="1"/>
        <v>1.286693701392716</v>
      </c>
      <c r="P9" s="653">
        <f t="shared" si="1"/>
        <v>1.2498036804850423</v>
      </c>
      <c r="Q9" s="653">
        <f t="shared" si="1"/>
        <v>1.1957388926723236</v>
      </c>
      <c r="R9" s="653">
        <f t="shared" si="1"/>
        <v>1.1346323661259374</v>
      </c>
    </row>
    <row r="10" spans="1:18" x14ac:dyDescent="0.25">
      <c r="A10" s="620" t="s">
        <v>298</v>
      </c>
      <c r="C10" s="1067" t="e">
        <f>VLOOKUP(Cabeçalho!B14,L66:M73,2,FALSE)</f>
        <v>#N/A</v>
      </c>
      <c r="D10" s="1067"/>
      <c r="G10" s="140" t="s">
        <v>1030</v>
      </c>
      <c r="H10" s="728">
        <f>ROUNDUP(C3*C4/60,0)</f>
        <v>0</v>
      </c>
      <c r="K10" s="1096">
        <v>80</v>
      </c>
      <c r="L10" s="1087">
        <f>ROUND(L9+(L12-L9)/(K12-K9)*(K10-K9),3)</f>
        <v>0.20300000000000001</v>
      </c>
      <c r="M10" s="653">
        <f t="shared" si="1"/>
        <v>1.1918007474386521</v>
      </c>
      <c r="N10" s="653">
        <f t="shared" si="1"/>
        <v>1.2740094639414614</v>
      </c>
      <c r="O10" s="653">
        <f t="shared" si="1"/>
        <v>1.293182399127037</v>
      </c>
      <c r="P10" s="653">
        <f t="shared" si="1"/>
        <v>1.2766897354507361</v>
      </c>
      <c r="Q10" s="653">
        <f t="shared" si="1"/>
        <v>1.2405929490440573</v>
      </c>
      <c r="R10" s="653">
        <f t="shared" si="1"/>
        <v>1.1942894033565026</v>
      </c>
    </row>
    <row r="11" spans="1:18" x14ac:dyDescent="0.25">
      <c r="A11" s="620" t="s">
        <v>634</v>
      </c>
      <c r="C11" s="216"/>
      <c r="G11" s="140" t="s">
        <v>1029</v>
      </c>
      <c r="H11" s="728">
        <f>ROUNDUP(C3*C7*C8/60,0)</f>
        <v>0</v>
      </c>
      <c r="K11" s="1096">
        <v>90</v>
      </c>
      <c r="L11" s="1087">
        <f>ROUND(L9+(L12-L9)/(K12-K9)*(K11-K9),3)</f>
        <v>0.23699999999999999</v>
      </c>
      <c r="M11" s="653">
        <f t="shared" si="1"/>
        <v>1.1724368966291201</v>
      </c>
      <c r="N11" s="653">
        <f t="shared" si="1"/>
        <v>1.2584648465651311</v>
      </c>
      <c r="O11" s="653">
        <f t="shared" si="1"/>
        <v>1.2905744538839095</v>
      </c>
      <c r="P11" s="653">
        <f t="shared" si="1"/>
        <v>1.2893857216507414</v>
      </c>
      <c r="Q11" s="653">
        <f t="shared" si="1"/>
        <v>1.2679702586063657</v>
      </c>
      <c r="R11" s="653">
        <f t="shared" si="1"/>
        <v>1.2346003754144461</v>
      </c>
    </row>
    <row r="12" spans="1:18" x14ac:dyDescent="0.25">
      <c r="A12" s="620" t="s">
        <v>947</v>
      </c>
      <c r="C12" s="216"/>
      <c r="D12" s="620" t="s">
        <v>355</v>
      </c>
      <c r="E12" s="685" t="s">
        <v>33</v>
      </c>
      <c r="G12" s="729" t="s">
        <v>1075</v>
      </c>
      <c r="H12" s="1058" t="e">
        <f>IF(Cabeçalho!B14="Densitometria óssea",2000,IF(OR(Cabeçalho!B14="Raios X com fluoroscopia",Cabeçalho!B14="Fluoroscopia"),H9,IF(C3=0,H8,IF(MAX(H10:H11)&lt;3,3,ROUND(H10,0)))))</f>
        <v>#N/A</v>
      </c>
      <c r="K12" s="1096">
        <v>100</v>
      </c>
      <c r="L12" s="1087">
        <v>0.27</v>
      </c>
      <c r="M12" s="653">
        <f t="shared" si="1"/>
        <v>1.1568133415278883</v>
      </c>
      <c r="N12" s="653">
        <f t="shared" si="1"/>
        <v>1.2434190337436977</v>
      </c>
      <c r="O12" s="653">
        <f t="shared" si="1"/>
        <v>1.2835593195964572</v>
      </c>
      <c r="P12" s="653">
        <f t="shared" si="1"/>
        <v>1.2931660211386358</v>
      </c>
      <c r="Q12" s="653">
        <f t="shared" si="1"/>
        <v>1.2829216911710584</v>
      </c>
      <c r="R12" s="653">
        <f t="shared" si="1"/>
        <v>1.2599812436067739</v>
      </c>
    </row>
    <row r="13" spans="1:18" ht="15.75" thickBot="1" x14ac:dyDescent="0.3">
      <c r="A13" s="1073"/>
      <c r="B13" s="1073"/>
      <c r="K13" s="1096">
        <v>125</v>
      </c>
      <c r="L13" s="1087">
        <v>0.28000000000000003</v>
      </c>
      <c r="M13" s="653">
        <f t="shared" si="1"/>
        <v>1.1525926385951046</v>
      </c>
      <c r="N13" s="653">
        <f t="shared" si="1"/>
        <v>1.2390031380794306</v>
      </c>
      <c r="O13" s="653">
        <f t="shared" si="1"/>
        <v>1.2809490875628471</v>
      </c>
      <c r="P13" s="653">
        <f t="shared" si="1"/>
        <v>1.2932134393190355</v>
      </c>
      <c r="Q13" s="653">
        <f t="shared" si="1"/>
        <v>1.2858518345360301</v>
      </c>
      <c r="R13" s="653">
        <f t="shared" si="1"/>
        <v>1.2656975876190706</v>
      </c>
    </row>
    <row r="14" spans="1:18" ht="15.75" thickBot="1" x14ac:dyDescent="0.3">
      <c r="A14" s="2505" t="s">
        <v>148</v>
      </c>
      <c r="B14" s="2506"/>
      <c r="C14" s="2506"/>
      <c r="D14" s="2507"/>
      <c r="G14" s="2805" t="s">
        <v>1167</v>
      </c>
      <c r="H14" s="2805"/>
      <c r="I14" s="2805"/>
      <c r="K14" s="223"/>
      <c r="L14" s="1071"/>
      <c r="M14" s="1097"/>
      <c r="N14" s="1071"/>
      <c r="O14" s="1071"/>
      <c r="P14" s="1071"/>
    </row>
    <row r="15" spans="1:18" ht="15.75" thickBot="1" x14ac:dyDescent="0.3">
      <c r="A15" s="3124" t="s">
        <v>521</v>
      </c>
      <c r="B15" s="3125"/>
      <c r="C15" s="74"/>
      <c r="D15" s="80"/>
      <c r="G15" s="835" t="s">
        <v>1164</v>
      </c>
      <c r="H15" s="348" t="s">
        <v>1165</v>
      </c>
      <c r="I15" s="348" t="s">
        <v>1166</v>
      </c>
      <c r="N15" s="1071"/>
      <c r="O15" s="1071"/>
      <c r="P15" s="1071"/>
    </row>
    <row r="16" spans="1:18" x14ac:dyDescent="0.25">
      <c r="A16" s="3126" t="s">
        <v>13</v>
      </c>
      <c r="B16" s="3127"/>
      <c r="C16" s="221"/>
      <c r="D16" s="83" t="str">
        <f>A16</f>
        <v>mA</v>
      </c>
      <c r="G16" s="834"/>
      <c r="H16" s="346">
        <f>G16*100</f>
        <v>0</v>
      </c>
      <c r="I16" s="346">
        <f>G16*1000</f>
        <v>0</v>
      </c>
      <c r="N16" s="1071"/>
      <c r="O16" s="1071"/>
      <c r="P16" s="1071"/>
    </row>
    <row r="17" spans="1:16" x14ac:dyDescent="0.25">
      <c r="A17" s="3118" t="s">
        <v>149</v>
      </c>
      <c r="B17" s="3119"/>
      <c r="C17" s="75"/>
      <c r="D17" s="83" t="s">
        <v>151</v>
      </c>
      <c r="G17" s="346">
        <f>H17/100</f>
        <v>0</v>
      </c>
      <c r="H17" s="834"/>
      <c r="I17" s="346">
        <f>H17*10</f>
        <v>0</v>
      </c>
      <c r="N17" s="1071"/>
      <c r="O17" s="1071"/>
      <c r="P17" s="1071"/>
    </row>
    <row r="18" spans="1:16" x14ac:dyDescent="0.25">
      <c r="A18" s="1069" t="s">
        <v>150</v>
      </c>
      <c r="B18" s="1065" t="s">
        <v>33</v>
      </c>
      <c r="C18" s="75"/>
      <c r="D18" s="83" t="s">
        <v>3</v>
      </c>
      <c r="G18" s="346">
        <f>I18/1000</f>
        <v>0</v>
      </c>
      <c r="H18" s="346">
        <f>I18/10</f>
        <v>0</v>
      </c>
      <c r="I18" s="834"/>
      <c r="N18" s="1071"/>
      <c r="O18" s="1071"/>
      <c r="P18" s="1071"/>
    </row>
    <row r="19" spans="1:16" ht="15.75" thickBot="1" x14ac:dyDescent="0.3">
      <c r="A19" s="3120" t="s">
        <v>152</v>
      </c>
      <c r="B19" s="3121"/>
      <c r="C19" s="70"/>
      <c r="D19" s="10"/>
      <c r="G19" s="836">
        <v>1</v>
      </c>
      <c r="H19" s="836">
        <v>100</v>
      </c>
      <c r="I19" s="836">
        <v>1000</v>
      </c>
      <c r="N19" s="1071"/>
      <c r="O19" s="1071"/>
      <c r="P19" s="1071"/>
    </row>
    <row r="20" spans="1:16" ht="15.75" thickBot="1" x14ac:dyDescent="0.3">
      <c r="A20" s="747" t="s">
        <v>3</v>
      </c>
      <c r="B20" s="1065">
        <f>IF(C17&lt;5,2.28,IF(C17&lt;50,0.91,0.82))</f>
        <v>2.2799999999999998</v>
      </c>
      <c r="C20" s="1064"/>
      <c r="D20" s="10"/>
      <c r="G20" s="1071"/>
      <c r="N20" s="1071"/>
      <c r="O20" s="1071"/>
      <c r="P20" s="1071"/>
    </row>
    <row r="21" spans="1:16" x14ac:dyDescent="0.25">
      <c r="A21" s="3122" t="s">
        <v>148</v>
      </c>
      <c r="B21" s="3123"/>
      <c r="C21" s="748" t="e">
        <f>((C17*C19/((1-EXP(-C18/B20))*1.14))/1000)*4/G57</f>
        <v>#DIV/0!</v>
      </c>
      <c r="D21" s="749" t="s">
        <v>153</v>
      </c>
      <c r="G21" s="1071"/>
      <c r="N21" s="1071"/>
      <c r="O21" s="1071"/>
      <c r="P21" s="1071"/>
    </row>
    <row r="22" spans="1:16" ht="15.75" thickBot="1" x14ac:dyDescent="0.3">
      <c r="A22" s="1062" t="e">
        <f>IF(FugaCabecote&gt;=H4,"Tolerância",IF(FugaCabecote&gt;H5,"Restrição","Conforme"))</f>
        <v>#DIV/0!</v>
      </c>
      <c r="B22" s="1063"/>
      <c r="C22" s="53"/>
      <c r="D22" s="135" t="e">
        <f>IF(C21&lt;IF(Cabeçalho!B14="Intraoral",0.25,1),"Ok","Acima do limite de tolerância")</f>
        <v>#DIV/0!</v>
      </c>
      <c r="G22" s="1071"/>
      <c r="N22" s="1071"/>
      <c r="O22" s="1071"/>
      <c r="P22" s="1071"/>
    </row>
    <row r="23" spans="1:16" x14ac:dyDescent="0.25">
      <c r="F23" s="620" t="s">
        <v>1347</v>
      </c>
      <c r="G23" s="620" t="s">
        <v>1348</v>
      </c>
    </row>
    <row r="24" spans="1:16" x14ac:dyDescent="0.25">
      <c r="A24" s="1071" t="s">
        <v>356</v>
      </c>
      <c r="B24" s="1071" t="s">
        <v>357</v>
      </c>
      <c r="C24" s="1071" t="s">
        <v>358</v>
      </c>
      <c r="D24" s="1071" t="s">
        <v>1859</v>
      </c>
      <c r="E24" s="1071" t="s">
        <v>1860</v>
      </c>
      <c r="F24" s="1071" t="s">
        <v>352</v>
      </c>
      <c r="G24" s="1071" t="s">
        <v>685</v>
      </c>
      <c r="H24" s="1071" t="s">
        <v>686</v>
      </c>
      <c r="I24" s="1071" t="s">
        <v>1344</v>
      </c>
      <c r="J24" s="1071" t="s">
        <v>687</v>
      </c>
      <c r="K24" s="223" t="s">
        <v>1346</v>
      </c>
      <c r="L24" s="1106" t="s">
        <v>1384</v>
      </c>
      <c r="N24" s="1071"/>
      <c r="O24" s="1071"/>
    </row>
    <row r="25" spans="1:16" x14ac:dyDescent="0.25">
      <c r="A25" s="1073">
        <v>1</v>
      </c>
      <c r="B25" s="216"/>
      <c r="C25" s="216"/>
      <c r="D25" s="216"/>
      <c r="E25" s="1128" t="e">
        <f>(D25-$C$5)*$C$9/(1-EXP(-$C$8/IF(D25&lt;=5,2.28,IF(D25&lt;=50,0.91,0.82))))</f>
        <v>#N/A</v>
      </c>
      <c r="F25" s="1068" t="e">
        <f>($C$12*C25*E25/1000)*(52/60)*(1/$C$7)*IF(B25=0,1,B25)</f>
        <v>#N/A</v>
      </c>
      <c r="G25" s="216" t="s">
        <v>363</v>
      </c>
      <c r="H25" s="216"/>
      <c r="I25" s="265" t="e">
        <f>IF(Cabeçalho!$B$14="Densitometria óssea","Sim",IF(G25="L",IF(F25&lt;0.5,"Sim",IF(F25&lt;1,"Não","Restrição")),IF(F25&lt;5,"Sim",IF(F25&lt;10,"Não","Restrição"))))</f>
        <v>#N/A</v>
      </c>
      <c r="J25" s="265" t="e">
        <f>IF(G25="L",IF(F25&lt;1,"Ok","Insalubre"),IF(F25&lt;20,"Ok","Insalubre"))</f>
        <v>#N/A</v>
      </c>
      <c r="K25" s="1107" t="str">
        <f>IF(ISERROR(L25),IF(IFERROR(I25="Sim",TRUE),"",0.5),IFERROR(ROUNDUP(L25-MOD(L25,0.5)+IF(MOD(L25,0.5)&gt;0,0.5,0),1),""))</f>
        <v/>
      </c>
      <c r="L25" s="152" t="e">
        <f t="shared" ref="L25:L50" si="2">IF(AND(I25="Sim",J25="ok"),"NA",ROUNDUP(LN(F25/IF(G25="L",0.5,5))/LN(2)*VLOOKUP($C$6,$K$7:$L$13,2,TRUE)*VLOOKUP($C$6,$K$7:$R$13,MATCH(LN(F25/IF(G25="L",0.5,5))/LN(2)*VLOOKUP($C$6,$K$7:$L$13,2,TRUE),$M$6:$R$6,1)+2),3))</f>
        <v>#N/A</v>
      </c>
    </row>
    <row r="26" spans="1:16" x14ac:dyDescent="0.25">
      <c r="A26" s="1073">
        <v>2</v>
      </c>
      <c r="B26" s="216"/>
      <c r="C26" s="216"/>
      <c r="D26" s="216"/>
      <c r="E26" s="1068" t="e">
        <f>(D26-$C$5)*$C$9/(1-EXP(-$C$8/IF(D26&lt;=5,2.28,IF(D26&lt;=50,0.91,0.82))))</f>
        <v>#N/A</v>
      </c>
      <c r="F26" s="1068" t="e">
        <f t="shared" ref="F26:F50" si="3">($C$12*C26*E26/1000)*(52/60)*(1/$C$7)*IF(B26=0,1,B26)</f>
        <v>#N/A</v>
      </c>
      <c r="G26" s="216" t="s">
        <v>857</v>
      </c>
      <c r="H26" s="216"/>
      <c r="I26" s="265" t="e">
        <f>IF(Cabeçalho!$B$14="Densitometria óssea","Sim",IF(G26="L",IF(F26&lt;0.5,"Sim",IF(F26&lt;1,"Não","Restrição")),IF(F26&lt;5,"Sim",IF(F26&lt;10,"Não","Restrição"))))</f>
        <v>#N/A</v>
      </c>
      <c r="J26" s="265" t="e">
        <f t="shared" ref="J26:J50" si="4">IF(G26="L",IF(F26&lt;1,"Ok","Insalubre"),IF(F26&lt;20,"Ok","Insalubre"))</f>
        <v>#N/A</v>
      </c>
      <c r="K26" s="1107" t="str">
        <f t="shared" ref="K26:K50" si="5">IF(ISERROR(L26),IF(IFERROR(I26="Sim",TRUE),"",0.5),IFERROR(ROUNDUP(L26-MOD(L26,0.5)+IF(MOD(L26,0.5)&gt;0,0.5,0),1),""))</f>
        <v/>
      </c>
      <c r="L26" s="152" t="e">
        <f t="shared" si="2"/>
        <v>#N/A</v>
      </c>
    </row>
    <row r="27" spans="1:16" x14ac:dyDescent="0.25">
      <c r="A27" s="1073">
        <v>3</v>
      </c>
      <c r="B27" s="216"/>
      <c r="C27" s="216"/>
      <c r="D27" s="216"/>
      <c r="E27" s="1068" t="e">
        <f t="shared" ref="E27:E50" si="6">(D27-$C$5)*$C$9/(1-EXP(-$C$8/IF(D27&lt;=5,2.28,IF(D27&lt;=50,0.91,0.82))))</f>
        <v>#N/A</v>
      </c>
      <c r="F27" s="1068" t="e">
        <f t="shared" si="3"/>
        <v>#N/A</v>
      </c>
      <c r="G27" s="216" t="s">
        <v>363</v>
      </c>
      <c r="H27" s="216"/>
      <c r="I27" s="265" t="e">
        <f>IF(Cabeçalho!$B$14="Densitometria óssea","Sim",IF(G27="L",IF(F27&lt;0.5,"Sim",IF(F27&lt;1,"Não","Restrição")),IF(F27&lt;5,"Sim",IF(F27&lt;10,"Não","Restrição"))))</f>
        <v>#N/A</v>
      </c>
      <c r="J27" s="265" t="e">
        <f t="shared" si="4"/>
        <v>#N/A</v>
      </c>
      <c r="K27" s="1107" t="str">
        <f t="shared" si="5"/>
        <v/>
      </c>
      <c r="L27" s="152" t="e">
        <f t="shared" si="2"/>
        <v>#N/A</v>
      </c>
    </row>
    <row r="28" spans="1:16" x14ac:dyDescent="0.25">
      <c r="A28" s="1073">
        <v>4</v>
      </c>
      <c r="B28" s="216"/>
      <c r="C28" s="216"/>
      <c r="D28" s="216"/>
      <c r="E28" s="1068" t="e">
        <f t="shared" si="6"/>
        <v>#N/A</v>
      </c>
      <c r="F28" s="1068" t="e">
        <f t="shared" si="3"/>
        <v>#N/A</v>
      </c>
      <c r="G28" s="216" t="s">
        <v>363</v>
      </c>
      <c r="H28" s="216"/>
      <c r="I28" s="265" t="e">
        <f>IF(Cabeçalho!$B$14="Densitometria óssea","Sim",IF(G28="L",IF(F28&lt;0.5,"Sim",IF(F28&lt;1,"Não","Restrição")),IF(F28&lt;5,"Sim",IF(F28&lt;10,"Não","Restrição"))))</f>
        <v>#N/A</v>
      </c>
      <c r="J28" s="265" t="e">
        <f t="shared" si="4"/>
        <v>#N/A</v>
      </c>
      <c r="K28" s="1107" t="str">
        <f t="shared" si="5"/>
        <v/>
      </c>
      <c r="L28" s="152" t="e">
        <f t="shared" si="2"/>
        <v>#N/A</v>
      </c>
    </row>
    <row r="29" spans="1:16" x14ac:dyDescent="0.25">
      <c r="A29" s="1073">
        <v>5</v>
      </c>
      <c r="B29" s="216"/>
      <c r="C29" s="216"/>
      <c r="D29" s="216"/>
      <c r="E29" s="1068" t="e">
        <f t="shared" si="6"/>
        <v>#N/A</v>
      </c>
      <c r="F29" s="1068" t="e">
        <f t="shared" si="3"/>
        <v>#N/A</v>
      </c>
      <c r="G29" s="216" t="s">
        <v>363</v>
      </c>
      <c r="H29" s="216"/>
      <c r="I29" s="265" t="e">
        <f>IF(Cabeçalho!$B$14="Densitometria óssea","Sim",IF(G29="L",IF(F29&lt;0.5,"Sim",IF(F29&lt;1,"Não","Restrição")),IF(F29&lt;5,"Sim",IF(F29&lt;10,"Não","Restrição"))))</f>
        <v>#N/A</v>
      </c>
      <c r="J29" s="265" t="e">
        <f t="shared" si="4"/>
        <v>#N/A</v>
      </c>
      <c r="K29" s="1107" t="str">
        <f t="shared" si="5"/>
        <v/>
      </c>
      <c r="L29" s="152" t="e">
        <f t="shared" si="2"/>
        <v>#N/A</v>
      </c>
    </row>
    <row r="30" spans="1:16" x14ac:dyDescent="0.25">
      <c r="A30" s="1073">
        <v>6</v>
      </c>
      <c r="B30" s="216"/>
      <c r="C30" s="216"/>
      <c r="D30" s="216"/>
      <c r="E30" s="1068" t="e">
        <f t="shared" si="6"/>
        <v>#N/A</v>
      </c>
      <c r="F30" s="1068" t="e">
        <f t="shared" si="3"/>
        <v>#N/A</v>
      </c>
      <c r="G30" s="216" t="s">
        <v>363</v>
      </c>
      <c r="H30" s="216"/>
      <c r="I30" s="265" t="e">
        <f>IF(Cabeçalho!$B$14="Densitometria óssea","Sim",IF(G30="L",IF(F30&lt;0.5,"Sim",IF(F30&lt;1,"Não","Restrição")),IF(F30&lt;5,"Sim",IF(F30&lt;10,"Não","Restrição"))))</f>
        <v>#N/A</v>
      </c>
      <c r="J30" s="265" t="e">
        <f t="shared" si="4"/>
        <v>#N/A</v>
      </c>
      <c r="K30" s="1107" t="str">
        <f t="shared" si="5"/>
        <v/>
      </c>
      <c r="L30" s="152" t="e">
        <f t="shared" si="2"/>
        <v>#N/A</v>
      </c>
    </row>
    <row r="31" spans="1:16" x14ac:dyDescent="0.25">
      <c r="A31" s="1073">
        <v>7</v>
      </c>
      <c r="B31" s="216"/>
      <c r="C31" s="216"/>
      <c r="D31" s="216"/>
      <c r="E31" s="1068" t="e">
        <f t="shared" si="6"/>
        <v>#N/A</v>
      </c>
      <c r="F31" s="1068" t="e">
        <f t="shared" si="3"/>
        <v>#N/A</v>
      </c>
      <c r="G31" s="216" t="s">
        <v>363</v>
      </c>
      <c r="H31" s="216"/>
      <c r="I31" s="265" t="e">
        <f>IF(Cabeçalho!$B$14="Densitometria óssea","Sim",IF(G31="L",IF(F31&lt;0.5,"Sim",IF(F31&lt;1,"Não","Restrição")),IF(F31&lt;5,"Sim",IF(F31&lt;10,"Não","Restrição"))))</f>
        <v>#N/A</v>
      </c>
      <c r="J31" s="265" t="e">
        <f t="shared" si="4"/>
        <v>#N/A</v>
      </c>
      <c r="K31" s="1107" t="str">
        <f t="shared" si="5"/>
        <v/>
      </c>
      <c r="L31" s="152" t="e">
        <f t="shared" si="2"/>
        <v>#N/A</v>
      </c>
    </row>
    <row r="32" spans="1:16" x14ac:dyDescent="0.25">
      <c r="A32" s="1073">
        <v>8</v>
      </c>
      <c r="B32" s="216"/>
      <c r="C32" s="216"/>
      <c r="D32" s="216"/>
      <c r="E32" s="1068" t="e">
        <f t="shared" si="6"/>
        <v>#N/A</v>
      </c>
      <c r="F32" s="1068" t="e">
        <f t="shared" si="3"/>
        <v>#N/A</v>
      </c>
      <c r="G32" s="216" t="s">
        <v>363</v>
      </c>
      <c r="H32" s="216"/>
      <c r="I32" s="265" t="e">
        <f>IF(Cabeçalho!$B$14="Densitometria óssea","Sim",IF(G32="L",IF(F32&lt;0.5,"Sim",IF(F32&lt;1,"Não","Restrição")),IF(F32&lt;5,"Sim",IF(F32&lt;10,"Não","Restrição"))))</f>
        <v>#N/A</v>
      </c>
      <c r="J32" s="265" t="e">
        <f t="shared" si="4"/>
        <v>#N/A</v>
      </c>
      <c r="K32" s="1107" t="str">
        <f t="shared" si="5"/>
        <v/>
      </c>
      <c r="L32" s="152" t="e">
        <f t="shared" si="2"/>
        <v>#N/A</v>
      </c>
    </row>
    <row r="33" spans="1:12" x14ac:dyDescent="0.25">
      <c r="A33" s="1073">
        <v>9</v>
      </c>
      <c r="B33" s="216"/>
      <c r="C33" s="216"/>
      <c r="D33" s="216"/>
      <c r="E33" s="1068" t="e">
        <f t="shared" si="6"/>
        <v>#N/A</v>
      </c>
      <c r="F33" s="1068" t="e">
        <f t="shared" si="3"/>
        <v>#N/A</v>
      </c>
      <c r="G33" s="216" t="s">
        <v>363</v>
      </c>
      <c r="H33" s="216"/>
      <c r="I33" s="265" t="e">
        <f>IF(Cabeçalho!$B$14="Densitometria óssea","Sim",IF(G33="L",IF(F33&lt;0.5,"Sim",IF(F33&lt;1,"Não","Restrição")),IF(F33&lt;5,"Sim",IF(F33&lt;10,"Não","Restrição"))))</f>
        <v>#N/A</v>
      </c>
      <c r="J33" s="265" t="e">
        <f t="shared" si="4"/>
        <v>#N/A</v>
      </c>
      <c r="K33" s="1107" t="str">
        <f t="shared" si="5"/>
        <v/>
      </c>
      <c r="L33" s="152" t="e">
        <f t="shared" si="2"/>
        <v>#N/A</v>
      </c>
    </row>
    <row r="34" spans="1:12" x14ac:dyDescent="0.25">
      <c r="A34" s="1073">
        <v>10</v>
      </c>
      <c r="B34" s="216"/>
      <c r="C34" s="216"/>
      <c r="D34" s="216"/>
      <c r="E34" s="1068" t="e">
        <f t="shared" si="6"/>
        <v>#N/A</v>
      </c>
      <c r="F34" s="1068" t="e">
        <f t="shared" si="3"/>
        <v>#N/A</v>
      </c>
      <c r="G34" s="216" t="s">
        <v>363</v>
      </c>
      <c r="H34" s="216"/>
      <c r="I34" s="265" t="e">
        <f>IF(Cabeçalho!$B$14="Densitometria óssea","Sim",IF(G34="L",IF(F34&lt;0.5,"Sim",IF(F34&lt;1,"Não","Restrição")),IF(F34&lt;5,"Sim",IF(F34&lt;10,"Não","Restrição"))))</f>
        <v>#N/A</v>
      </c>
      <c r="J34" s="265" t="e">
        <f t="shared" si="4"/>
        <v>#N/A</v>
      </c>
      <c r="K34" s="1107" t="str">
        <f t="shared" si="5"/>
        <v/>
      </c>
      <c r="L34" s="152" t="e">
        <f t="shared" si="2"/>
        <v>#N/A</v>
      </c>
    </row>
    <row r="35" spans="1:12" x14ac:dyDescent="0.25">
      <c r="A35" s="1073">
        <v>11</v>
      </c>
      <c r="B35" s="216"/>
      <c r="C35" s="216"/>
      <c r="D35" s="216"/>
      <c r="E35" s="1068" t="e">
        <f t="shared" si="6"/>
        <v>#N/A</v>
      </c>
      <c r="F35" s="1068" t="e">
        <f t="shared" si="3"/>
        <v>#N/A</v>
      </c>
      <c r="G35" s="216" t="s">
        <v>363</v>
      </c>
      <c r="H35" s="216"/>
      <c r="I35" s="265" t="e">
        <f>IF(Cabeçalho!$B$14="Densitometria óssea","Sim",IF(G35="L",IF(F35&lt;0.5,"Sim",IF(F35&lt;1,"Não","Restrição")),IF(F35&lt;5,"Sim",IF(F35&lt;10,"Não","Restrição"))))</f>
        <v>#N/A</v>
      </c>
      <c r="J35" s="265" t="e">
        <f t="shared" si="4"/>
        <v>#N/A</v>
      </c>
      <c r="K35" s="1107" t="str">
        <f t="shared" si="5"/>
        <v/>
      </c>
      <c r="L35" s="152" t="e">
        <f t="shared" si="2"/>
        <v>#N/A</v>
      </c>
    </row>
    <row r="36" spans="1:12" x14ac:dyDescent="0.25">
      <c r="A36" s="1073">
        <v>12</v>
      </c>
      <c r="B36" s="216"/>
      <c r="C36" s="216"/>
      <c r="D36" s="216"/>
      <c r="E36" s="1068" t="e">
        <f t="shared" si="6"/>
        <v>#N/A</v>
      </c>
      <c r="F36" s="1068" t="e">
        <f t="shared" si="3"/>
        <v>#N/A</v>
      </c>
      <c r="G36" s="216" t="s">
        <v>363</v>
      </c>
      <c r="H36" s="216"/>
      <c r="I36" s="265" t="e">
        <f>IF(Cabeçalho!$B$14="Densitometria óssea","Sim",IF(G36="L",IF(F36&lt;0.5,"Sim",IF(F36&lt;1,"Não","Restrição")),IF(F36&lt;5,"Sim",IF(F36&lt;10,"Não","Restrição"))))</f>
        <v>#N/A</v>
      </c>
      <c r="J36" s="265" t="e">
        <f t="shared" si="4"/>
        <v>#N/A</v>
      </c>
      <c r="K36" s="1107" t="str">
        <f t="shared" si="5"/>
        <v/>
      </c>
      <c r="L36" s="152" t="e">
        <f t="shared" si="2"/>
        <v>#N/A</v>
      </c>
    </row>
    <row r="37" spans="1:12" x14ac:dyDescent="0.25">
      <c r="A37" s="1073">
        <v>13</v>
      </c>
      <c r="B37" s="216"/>
      <c r="C37" s="216"/>
      <c r="D37" s="216"/>
      <c r="E37" s="1068" t="e">
        <f t="shared" si="6"/>
        <v>#N/A</v>
      </c>
      <c r="F37" s="1068" t="e">
        <f t="shared" si="3"/>
        <v>#N/A</v>
      </c>
      <c r="G37" s="216" t="s">
        <v>363</v>
      </c>
      <c r="H37" s="216"/>
      <c r="I37" s="265" t="e">
        <f>IF(Cabeçalho!$B$14="Densitometria óssea","Sim",IF(G37="L",IF(F37&lt;0.5,"Sim",IF(F37&lt;1,"Não","Restrição")),IF(F37&lt;5,"Sim",IF(F37&lt;10,"Não","Restrição"))))</f>
        <v>#N/A</v>
      </c>
      <c r="J37" s="265" t="e">
        <f t="shared" si="4"/>
        <v>#N/A</v>
      </c>
      <c r="K37" s="1107" t="str">
        <f t="shared" si="5"/>
        <v/>
      </c>
      <c r="L37" s="152" t="e">
        <f t="shared" si="2"/>
        <v>#N/A</v>
      </c>
    </row>
    <row r="38" spans="1:12" x14ac:dyDescent="0.25">
      <c r="A38" s="1073">
        <v>14</v>
      </c>
      <c r="B38" s="216"/>
      <c r="C38" s="216"/>
      <c r="D38" s="216"/>
      <c r="E38" s="1068" t="e">
        <f t="shared" si="6"/>
        <v>#N/A</v>
      </c>
      <c r="F38" s="1068" t="e">
        <f t="shared" si="3"/>
        <v>#N/A</v>
      </c>
      <c r="G38" s="216" t="s">
        <v>363</v>
      </c>
      <c r="H38" s="216"/>
      <c r="I38" s="265" t="e">
        <f>IF(Cabeçalho!$B$14="Densitometria óssea","Sim",IF(G38="L",IF(F38&lt;0.5,"Sim",IF(F38&lt;1,"Não","Restrição")),IF(F38&lt;5,"Sim",IF(F38&lt;10,"Não","Restrição"))))</f>
        <v>#N/A</v>
      </c>
      <c r="J38" s="265" t="e">
        <f t="shared" si="4"/>
        <v>#N/A</v>
      </c>
      <c r="K38" s="1107" t="str">
        <f t="shared" si="5"/>
        <v/>
      </c>
      <c r="L38" s="152" t="e">
        <f t="shared" si="2"/>
        <v>#N/A</v>
      </c>
    </row>
    <row r="39" spans="1:12" x14ac:dyDescent="0.25">
      <c r="A39" s="1073">
        <v>15</v>
      </c>
      <c r="B39" s="216"/>
      <c r="C39" s="216"/>
      <c r="D39" s="216"/>
      <c r="E39" s="1068" t="e">
        <f t="shared" si="6"/>
        <v>#N/A</v>
      </c>
      <c r="F39" s="1068" t="e">
        <f t="shared" si="3"/>
        <v>#N/A</v>
      </c>
      <c r="G39" s="216" t="s">
        <v>363</v>
      </c>
      <c r="H39" s="216"/>
      <c r="I39" s="265" t="e">
        <f>IF(Cabeçalho!$B$14="Densitometria óssea","Sim",IF(G39="L",IF(F39&lt;0.5,"Sim",IF(F39&lt;1,"Não","Restrição")),IF(F39&lt;5,"Sim",IF(F39&lt;10,"Não","Restrição"))))</f>
        <v>#N/A</v>
      </c>
      <c r="J39" s="265" t="e">
        <f t="shared" si="4"/>
        <v>#N/A</v>
      </c>
      <c r="K39" s="1107" t="str">
        <f t="shared" si="5"/>
        <v/>
      </c>
      <c r="L39" s="152" t="e">
        <f t="shared" si="2"/>
        <v>#N/A</v>
      </c>
    </row>
    <row r="40" spans="1:12" x14ac:dyDescent="0.25">
      <c r="A40" s="1073">
        <v>16</v>
      </c>
      <c r="B40" s="216"/>
      <c r="C40" s="216"/>
      <c r="D40" s="216"/>
      <c r="E40" s="1068" t="e">
        <f t="shared" si="6"/>
        <v>#N/A</v>
      </c>
      <c r="F40" s="1068" t="e">
        <f t="shared" si="3"/>
        <v>#N/A</v>
      </c>
      <c r="G40" s="216" t="s">
        <v>363</v>
      </c>
      <c r="H40" s="216"/>
      <c r="I40" s="265" t="e">
        <f>IF(Cabeçalho!$B$14="Densitometria óssea","Sim",IF(G40="L",IF(F40&lt;0.5,"Sim",IF(F40&lt;1,"Não","Restrição")),IF(F40&lt;5,"Sim",IF(F40&lt;10,"Não","Restrição"))))</f>
        <v>#N/A</v>
      </c>
      <c r="J40" s="265" t="e">
        <f t="shared" si="4"/>
        <v>#N/A</v>
      </c>
      <c r="K40" s="1107" t="str">
        <f t="shared" si="5"/>
        <v/>
      </c>
      <c r="L40" s="152" t="e">
        <f t="shared" si="2"/>
        <v>#N/A</v>
      </c>
    </row>
    <row r="41" spans="1:12" x14ac:dyDescent="0.25">
      <c r="A41" s="1073">
        <v>17</v>
      </c>
      <c r="B41" s="216"/>
      <c r="C41" s="216"/>
      <c r="D41" s="216"/>
      <c r="E41" s="1068" t="e">
        <f t="shared" si="6"/>
        <v>#N/A</v>
      </c>
      <c r="F41" s="1068" t="e">
        <f t="shared" si="3"/>
        <v>#N/A</v>
      </c>
      <c r="G41" s="216" t="s">
        <v>363</v>
      </c>
      <c r="H41" s="216"/>
      <c r="I41" s="265" t="e">
        <f>IF(Cabeçalho!$B$14="Densitometria óssea","Sim",IF(G41="L",IF(F41&lt;0.5,"Sim",IF(F41&lt;1,"Não","Restrição")),IF(F41&lt;5,"Sim",IF(F41&lt;10,"Não","Restrição"))))</f>
        <v>#N/A</v>
      </c>
      <c r="J41" s="265" t="e">
        <f t="shared" si="4"/>
        <v>#N/A</v>
      </c>
      <c r="K41" s="1107" t="str">
        <f t="shared" si="5"/>
        <v/>
      </c>
      <c r="L41" s="152" t="e">
        <f t="shared" si="2"/>
        <v>#N/A</v>
      </c>
    </row>
    <row r="42" spans="1:12" x14ac:dyDescent="0.25">
      <c r="A42" s="1073">
        <v>18</v>
      </c>
      <c r="B42" s="216"/>
      <c r="C42" s="216"/>
      <c r="D42" s="216"/>
      <c r="E42" s="1068" t="e">
        <f t="shared" si="6"/>
        <v>#N/A</v>
      </c>
      <c r="F42" s="1068" t="e">
        <f t="shared" si="3"/>
        <v>#N/A</v>
      </c>
      <c r="G42" s="216" t="s">
        <v>363</v>
      </c>
      <c r="H42" s="216"/>
      <c r="I42" s="265" t="e">
        <f>IF(Cabeçalho!$B$14="Densitometria óssea","Sim",IF(G42="L",IF(F42&lt;0.5,"Sim",IF(F42&lt;1,"Não","Restrição")),IF(F42&lt;5,"Sim",IF(F42&lt;10,"Não","Restrição"))))</f>
        <v>#N/A</v>
      </c>
      <c r="J42" s="265" t="e">
        <f t="shared" si="4"/>
        <v>#N/A</v>
      </c>
      <c r="K42" s="1107" t="str">
        <f t="shared" si="5"/>
        <v/>
      </c>
      <c r="L42" s="152" t="e">
        <f t="shared" si="2"/>
        <v>#N/A</v>
      </c>
    </row>
    <row r="43" spans="1:12" x14ac:dyDescent="0.25">
      <c r="A43" s="1073">
        <v>19</v>
      </c>
      <c r="B43" s="216"/>
      <c r="C43" s="216"/>
      <c r="D43" s="216"/>
      <c r="E43" s="1068" t="e">
        <f t="shared" si="6"/>
        <v>#N/A</v>
      </c>
      <c r="F43" s="1068" t="e">
        <f t="shared" si="3"/>
        <v>#N/A</v>
      </c>
      <c r="G43" s="216" t="s">
        <v>363</v>
      </c>
      <c r="H43" s="216"/>
      <c r="I43" s="265" t="e">
        <f>IF(Cabeçalho!$B$14="Densitometria óssea","Sim",IF(G43="L",IF(F43&lt;0.5,"Sim",IF(F43&lt;1,"Não","Restrição")),IF(F43&lt;5,"Sim",IF(F43&lt;10,"Não","Restrição"))))</f>
        <v>#N/A</v>
      </c>
      <c r="J43" s="265" t="e">
        <f t="shared" si="4"/>
        <v>#N/A</v>
      </c>
      <c r="K43" s="1107" t="str">
        <f t="shared" si="5"/>
        <v/>
      </c>
      <c r="L43" s="152" t="e">
        <f t="shared" si="2"/>
        <v>#N/A</v>
      </c>
    </row>
    <row r="44" spans="1:12" x14ac:dyDescent="0.25">
      <c r="A44" s="1073">
        <v>20</v>
      </c>
      <c r="B44" s="216"/>
      <c r="C44" s="216"/>
      <c r="D44" s="216"/>
      <c r="E44" s="1068" t="e">
        <f t="shared" si="6"/>
        <v>#N/A</v>
      </c>
      <c r="F44" s="1068" t="e">
        <f t="shared" si="3"/>
        <v>#N/A</v>
      </c>
      <c r="G44" s="216" t="s">
        <v>363</v>
      </c>
      <c r="H44" s="216"/>
      <c r="I44" s="265" t="e">
        <f>IF(Cabeçalho!$B$14="Densitometria óssea","Sim",IF(G44="L",IF(F44&lt;0.5,"Sim",IF(F44&lt;1,"Não","Restrição")),IF(F44&lt;5,"Sim",IF(F44&lt;10,"Não","Restrição"))))</f>
        <v>#N/A</v>
      </c>
      <c r="J44" s="265" t="e">
        <f t="shared" si="4"/>
        <v>#N/A</v>
      </c>
      <c r="K44" s="1107" t="str">
        <f t="shared" si="5"/>
        <v/>
      </c>
      <c r="L44" s="152" t="e">
        <f t="shared" si="2"/>
        <v>#N/A</v>
      </c>
    </row>
    <row r="45" spans="1:12" x14ac:dyDescent="0.25">
      <c r="A45" s="1073">
        <v>21</v>
      </c>
      <c r="B45" s="216"/>
      <c r="C45" s="216"/>
      <c r="D45" s="216"/>
      <c r="E45" s="1068" t="e">
        <f t="shared" si="6"/>
        <v>#N/A</v>
      </c>
      <c r="F45" s="1068" t="e">
        <f t="shared" si="3"/>
        <v>#N/A</v>
      </c>
      <c r="G45" s="216" t="s">
        <v>363</v>
      </c>
      <c r="H45" s="216"/>
      <c r="I45" s="265" t="e">
        <f>IF(Cabeçalho!$B$14="Densitometria óssea","Sim",IF(G45="L",IF(F45&lt;0.5,"Sim",IF(F45&lt;1,"Não","Restrição")),IF(F45&lt;5,"Sim",IF(F45&lt;10,"Não","Restrição"))))</f>
        <v>#N/A</v>
      </c>
      <c r="J45" s="265" t="e">
        <f t="shared" si="4"/>
        <v>#N/A</v>
      </c>
      <c r="K45" s="1107" t="str">
        <f t="shared" si="5"/>
        <v/>
      </c>
      <c r="L45" s="152" t="e">
        <f t="shared" si="2"/>
        <v>#N/A</v>
      </c>
    </row>
    <row r="46" spans="1:12" x14ac:dyDescent="0.25">
      <c r="A46" s="1073">
        <v>22</v>
      </c>
      <c r="B46" s="216"/>
      <c r="C46" s="216"/>
      <c r="D46" s="216"/>
      <c r="E46" s="1068" t="e">
        <f t="shared" si="6"/>
        <v>#N/A</v>
      </c>
      <c r="F46" s="1068" t="e">
        <f t="shared" si="3"/>
        <v>#N/A</v>
      </c>
      <c r="G46" s="216" t="s">
        <v>363</v>
      </c>
      <c r="H46" s="216"/>
      <c r="I46" s="265" t="e">
        <f>IF(Cabeçalho!$B$14="Densitometria óssea","Sim",IF(G46="L",IF(F46&lt;0.5,"Sim",IF(F46&lt;1,"Não","Restrição")),IF(F46&lt;5,"Sim",IF(F46&lt;10,"Não","Restrição"))))</f>
        <v>#N/A</v>
      </c>
      <c r="J46" s="265" t="e">
        <f t="shared" si="4"/>
        <v>#N/A</v>
      </c>
      <c r="K46" s="1107" t="str">
        <f t="shared" si="5"/>
        <v/>
      </c>
      <c r="L46" s="152" t="e">
        <f t="shared" si="2"/>
        <v>#N/A</v>
      </c>
    </row>
    <row r="47" spans="1:12" x14ac:dyDescent="0.25">
      <c r="A47" s="1073">
        <v>23</v>
      </c>
      <c r="B47" s="216"/>
      <c r="C47" s="216"/>
      <c r="D47" s="216"/>
      <c r="E47" s="1068" t="e">
        <f t="shared" si="6"/>
        <v>#N/A</v>
      </c>
      <c r="F47" s="1068" t="e">
        <f t="shared" si="3"/>
        <v>#N/A</v>
      </c>
      <c r="G47" s="216" t="s">
        <v>363</v>
      </c>
      <c r="H47" s="216"/>
      <c r="I47" s="265" t="e">
        <f>IF(Cabeçalho!$B$14="Densitometria óssea","Sim",IF(G47="L",IF(F47&lt;0.5,"Sim",IF(F47&lt;1,"Não","Restrição")),IF(F47&lt;5,"Sim",IF(F47&lt;10,"Não","Restrição"))))</f>
        <v>#N/A</v>
      </c>
      <c r="J47" s="265" t="e">
        <f t="shared" si="4"/>
        <v>#N/A</v>
      </c>
      <c r="K47" s="1107" t="str">
        <f t="shared" si="5"/>
        <v/>
      </c>
      <c r="L47" s="152" t="e">
        <f t="shared" si="2"/>
        <v>#N/A</v>
      </c>
    </row>
    <row r="48" spans="1:12" x14ac:dyDescent="0.25">
      <c r="A48" s="1073">
        <v>24</v>
      </c>
      <c r="B48" s="216"/>
      <c r="C48" s="216"/>
      <c r="D48" s="216"/>
      <c r="E48" s="1068" t="e">
        <f t="shared" si="6"/>
        <v>#N/A</v>
      </c>
      <c r="F48" s="1068" t="e">
        <f t="shared" si="3"/>
        <v>#N/A</v>
      </c>
      <c r="G48" s="216" t="s">
        <v>363</v>
      </c>
      <c r="H48" s="216"/>
      <c r="I48" s="265" t="e">
        <f>IF(Cabeçalho!$B$14="Densitometria óssea","Sim",IF(G48="L",IF(F48&lt;0.5,"Sim",IF(F48&lt;1,"Não","Restrição")),IF(F48&lt;5,"Sim",IF(F48&lt;10,"Não","Restrição"))))</f>
        <v>#N/A</v>
      </c>
      <c r="J48" s="265" t="e">
        <f t="shared" si="4"/>
        <v>#N/A</v>
      </c>
      <c r="K48" s="1107" t="str">
        <f t="shared" si="5"/>
        <v/>
      </c>
      <c r="L48" s="152" t="e">
        <f t="shared" si="2"/>
        <v>#N/A</v>
      </c>
    </row>
    <row r="49" spans="1:12" x14ac:dyDescent="0.25">
      <c r="A49" s="1073" t="s">
        <v>643</v>
      </c>
      <c r="B49" s="216"/>
      <c r="C49" s="216"/>
      <c r="D49" s="216"/>
      <c r="E49" s="1068" t="e">
        <f t="shared" si="6"/>
        <v>#N/A</v>
      </c>
      <c r="F49" s="1068" t="e">
        <f t="shared" si="3"/>
        <v>#N/A</v>
      </c>
      <c r="G49" s="216" t="s">
        <v>363</v>
      </c>
      <c r="H49" s="216"/>
      <c r="I49" s="265" t="e">
        <f>IF(Cabeçalho!$B$14="Densitometria óssea","Sim",IF(G49="L",IF(F49&lt;0.5,"Sim",IF(F49&lt;1,"Não","Restrição")),IF(F49&lt;5,"Sim",IF(F49&lt;10,"Não","Restrição"))))</f>
        <v>#N/A</v>
      </c>
      <c r="J49" s="265" t="e">
        <f t="shared" si="4"/>
        <v>#N/A</v>
      </c>
      <c r="K49" s="1107" t="str">
        <f t="shared" si="5"/>
        <v/>
      </c>
      <c r="L49" s="152" t="e">
        <f t="shared" si="2"/>
        <v>#N/A</v>
      </c>
    </row>
    <row r="50" spans="1:12" x14ac:dyDescent="0.25">
      <c r="A50" s="1073" t="s">
        <v>644</v>
      </c>
      <c r="B50" s="216"/>
      <c r="C50" s="216"/>
      <c r="D50" s="216"/>
      <c r="E50" s="1068" t="e">
        <f t="shared" si="6"/>
        <v>#N/A</v>
      </c>
      <c r="F50" s="1068" t="e">
        <f t="shared" si="3"/>
        <v>#N/A</v>
      </c>
      <c r="G50" s="216" t="s">
        <v>363</v>
      </c>
      <c r="H50" s="216"/>
      <c r="I50" s="265" t="e">
        <f>IF(Cabeçalho!$B$14="Densitometria óssea","Sim",IF(G50="L",IF(F50&lt;0.5,"Sim",IF(F50&lt;1,"Não","Restrição")),IF(F50&lt;5,"Sim",IF(F50&lt;10,"Não","Restrição"))))</f>
        <v>#N/A</v>
      </c>
      <c r="J50" s="265" t="e">
        <f t="shared" si="4"/>
        <v>#N/A</v>
      </c>
      <c r="K50" s="1107" t="str">
        <f t="shared" si="5"/>
        <v/>
      </c>
      <c r="L50" s="152" t="e">
        <f t="shared" si="2"/>
        <v>#N/A</v>
      </c>
    </row>
    <row r="51" spans="1:12" x14ac:dyDescent="0.25">
      <c r="A51" s="1073"/>
      <c r="B51" s="1073"/>
    </row>
    <row r="52" spans="1:12" x14ac:dyDescent="0.25">
      <c r="A52" s="1073"/>
      <c r="B52" s="1073"/>
    </row>
    <row r="53" spans="1:12" x14ac:dyDescent="0.25">
      <c r="A53" s="1073"/>
      <c r="B53" s="1073"/>
    </row>
    <row r="54" spans="1:12" x14ac:dyDescent="0.25">
      <c r="A54" s="1073"/>
      <c r="B54" s="1073"/>
    </row>
    <row r="56" spans="1:12" x14ac:dyDescent="0.25">
      <c r="E56" s="85"/>
      <c r="F56" s="1066"/>
      <c r="G56" s="85" t="s">
        <v>33</v>
      </c>
      <c r="H56" s="171" t="s">
        <v>0</v>
      </c>
      <c r="I56" s="171"/>
      <c r="J56" s="87"/>
      <c r="K56" s="226"/>
      <c r="L56" s="85"/>
    </row>
    <row r="57" spans="1:12" ht="15.75" thickBot="1" x14ac:dyDescent="0.3">
      <c r="E57" s="85"/>
      <c r="F57" s="1066"/>
      <c r="G57" s="85">
        <f>IF(D16="mAs",C16/C18,C16)</f>
        <v>0</v>
      </c>
      <c r="H57" s="171" t="s">
        <v>13</v>
      </c>
      <c r="I57" s="171"/>
      <c r="J57" s="87"/>
      <c r="K57" s="226"/>
      <c r="L57" s="85"/>
    </row>
    <row r="58" spans="1:12" x14ac:dyDescent="0.25">
      <c r="E58" s="85"/>
      <c r="F58" s="171"/>
      <c r="G58" s="222" t="s">
        <v>703</v>
      </c>
      <c r="H58" s="92" t="s">
        <v>3</v>
      </c>
      <c r="I58" s="1066"/>
      <c r="J58" s="220"/>
      <c r="K58" s="3114"/>
      <c r="L58" s="3114"/>
    </row>
    <row r="59" spans="1:12" x14ac:dyDescent="0.25">
      <c r="E59" s="85"/>
      <c r="F59" s="1066"/>
      <c r="G59" s="199" t="s">
        <v>166</v>
      </c>
      <c r="H59" s="89">
        <v>2.2799999999999998</v>
      </c>
      <c r="I59" s="1066"/>
      <c r="J59" s="87"/>
      <c r="K59" s="226"/>
      <c r="L59" s="85"/>
    </row>
    <row r="60" spans="1:12" x14ac:dyDescent="0.25">
      <c r="E60" s="85"/>
      <c r="F60" s="1066"/>
      <c r="G60" s="199" t="s">
        <v>167</v>
      </c>
      <c r="H60" s="89">
        <v>0.91</v>
      </c>
      <c r="I60" s="1066"/>
      <c r="J60" s="87"/>
      <c r="K60" s="226"/>
      <c r="L60" s="85"/>
    </row>
    <row r="61" spans="1:12" ht="15.75" thickBot="1" x14ac:dyDescent="0.3">
      <c r="E61" s="85"/>
      <c r="F61" s="1066"/>
      <c r="G61" s="200" t="s">
        <v>165</v>
      </c>
      <c r="H61" s="90">
        <v>0.82</v>
      </c>
      <c r="I61" s="1066"/>
      <c r="J61" s="87"/>
      <c r="K61" s="226"/>
      <c r="L61" s="85"/>
    </row>
    <row r="62" spans="1:12" x14ac:dyDescent="0.25">
      <c r="E62" s="85"/>
      <c r="F62" s="1066"/>
      <c r="G62" s="1066"/>
      <c r="H62" s="171"/>
      <c r="I62" s="1066"/>
      <c r="J62" s="87"/>
      <c r="K62" s="226"/>
      <c r="L62" s="85"/>
    </row>
    <row r="63" spans="1:12" x14ac:dyDescent="0.25">
      <c r="E63" s="88"/>
      <c r="F63" s="1066"/>
      <c r="I63" s="1066"/>
      <c r="J63" s="87"/>
      <c r="K63" s="226"/>
      <c r="L63" s="85"/>
    </row>
    <row r="65" spans="1:16" x14ac:dyDescent="0.25">
      <c r="A65" s="1073"/>
      <c r="B65" s="1073"/>
      <c r="H65" s="3115" t="s">
        <v>760</v>
      </c>
      <c r="I65" s="3116"/>
      <c r="J65" s="3117"/>
      <c r="M65" s="1073" t="s">
        <v>298</v>
      </c>
    </row>
    <row r="66" spans="1:16" x14ac:dyDescent="0.25">
      <c r="A66" s="1073"/>
      <c r="H66" s="720" t="s">
        <v>406</v>
      </c>
      <c r="I66" s="1074" t="s">
        <v>758</v>
      </c>
      <c r="J66" s="721" t="s">
        <v>759</v>
      </c>
      <c r="L66" s="620" t="s">
        <v>169</v>
      </c>
      <c r="M66" s="620" t="s">
        <v>639</v>
      </c>
      <c r="N66" s="1302" t="str">
        <f>"na Instrução Normativa IN "&amp;VLOOKUP(L66,IN_ANVISA[],2)&amp;"/"&amp;VLOOKUP(L66,IN_ANVISA[],3)&amp;" da ANVISA"</f>
        <v>na Instrução Normativa IN 95/2021 da ANVISA</v>
      </c>
    </row>
    <row r="67" spans="1:16" x14ac:dyDescent="0.25">
      <c r="A67" s="1073"/>
      <c r="H67" s="722" t="s">
        <v>233</v>
      </c>
      <c r="I67" s="264">
        <v>750</v>
      </c>
      <c r="J67" s="723">
        <v>168</v>
      </c>
      <c r="L67" s="620" t="s">
        <v>170</v>
      </c>
      <c r="M67" s="620" t="s">
        <v>640</v>
      </c>
      <c r="N67" s="1302" t="str">
        <f>"na Instrução Normativa IN "&amp;VLOOKUP(L67,IN_ANVISA[],2)&amp;"/"&amp;VLOOKUP(L67,IN_ANVISA[],3)&amp;" da ANVISA"</f>
        <v>na Instrução Normativa IN 94/2021 da ANVISA</v>
      </c>
    </row>
    <row r="68" spans="1:16" x14ac:dyDescent="0.25">
      <c r="A68" s="1073"/>
      <c r="H68" s="722" t="s">
        <v>752</v>
      </c>
      <c r="I68" s="264">
        <v>750</v>
      </c>
      <c r="J68" s="723">
        <v>168</v>
      </c>
      <c r="L68" s="620" t="s">
        <v>171</v>
      </c>
      <c r="M68" s="620" t="s">
        <v>641</v>
      </c>
      <c r="N68" s="1302" t="str">
        <f>"na Instrução Normativa IN "&amp;VLOOKUP(L68,IN_ANVISA[],2)&amp;"/"&amp;VLOOKUP(L68,IN_ANVISA[],3)&amp;" da ANVISA"</f>
        <v>na Instrução Normativa IN 90/2021 da ANVISA</v>
      </c>
    </row>
    <row r="69" spans="1:16" x14ac:dyDescent="0.25">
      <c r="A69" s="1073"/>
      <c r="H69" s="722" t="s">
        <v>642</v>
      </c>
      <c r="I69" s="264">
        <v>2000</v>
      </c>
      <c r="J69" s="723">
        <v>168</v>
      </c>
      <c r="L69" s="620" t="s">
        <v>172</v>
      </c>
      <c r="M69" s="620" t="s">
        <v>641</v>
      </c>
      <c r="N69" s="1302" t="str">
        <f>"nas Instruções Normativas IN "&amp;VLOOKUP(L69,IN_ANVISA[],2)&amp;"/"&amp;VLOOKUP(L69,IN_ANVISA[],3)&amp;" e IN "&amp;VLOOKUP(L69,IN_ANVISA[],2)&amp;"/"&amp;VLOOKUP(L69,IN_ANVISA[],3)&amp;" da ANVISA"</f>
        <v>nas Instruções Normativas IN 92/2021 e IN 92/2021 da ANVISA</v>
      </c>
    </row>
    <row r="70" spans="1:16" x14ac:dyDescent="0.25">
      <c r="A70" s="1073"/>
      <c r="H70" s="722" t="s">
        <v>170</v>
      </c>
      <c r="I70" s="264">
        <v>200</v>
      </c>
      <c r="J70" s="723">
        <v>168</v>
      </c>
      <c r="L70" s="620" t="s">
        <v>173</v>
      </c>
      <c r="M70" s="620" t="s">
        <v>641</v>
      </c>
      <c r="N70" s="1302" t="str">
        <f>"na Instrução Normativa IN "&amp;VLOOKUP(L70,IN_ANVISA[],2)&amp;"/"&amp;VLOOKUP(L70,IN_ANVISA[],3)&amp;" da ANVISA"</f>
        <v>na Instrução Normativa IN 91/2021 da ANVISA</v>
      </c>
    </row>
    <row r="71" spans="1:16" x14ac:dyDescent="0.25">
      <c r="A71" s="1073"/>
      <c r="H71" s="722" t="s">
        <v>173</v>
      </c>
      <c r="I71" s="264">
        <v>750</v>
      </c>
      <c r="J71" s="723">
        <v>168</v>
      </c>
      <c r="L71" s="620" t="s">
        <v>92</v>
      </c>
      <c r="M71" s="620" t="s">
        <v>639</v>
      </c>
      <c r="N71" s="1302" t="str">
        <f>"na Instrução Normativa IN "&amp;VLOOKUP(L71,IN_ANVISA[],2)&amp;"/"&amp;VLOOKUP(L71,IN_ANVISA[],3)&amp;" da ANVISA"</f>
        <v>na Instrução Normativa IN 92/2021 da ANVISA</v>
      </c>
    </row>
    <row r="72" spans="1:16" x14ac:dyDescent="0.25">
      <c r="A72" s="1073"/>
      <c r="H72" s="722" t="s">
        <v>234</v>
      </c>
      <c r="I72" s="264">
        <v>750</v>
      </c>
      <c r="J72" s="723">
        <v>168</v>
      </c>
      <c r="L72" s="620" t="s">
        <v>174</v>
      </c>
      <c r="M72" s="620" t="s">
        <v>641</v>
      </c>
      <c r="N72" s="1302" t="str">
        <f>"na Instrução Normativa IN "&amp;VLOOKUP(L72,IN_ANVISA[],2)&amp;"/"&amp;VLOOKUP(L72,IN_ANVISA[],3)&amp;" da ANVISA"</f>
        <v>na Instrução Normativa IN 93/2021 da ANVISA</v>
      </c>
    </row>
    <row r="73" spans="1:16" x14ac:dyDescent="0.25">
      <c r="A73" s="1073"/>
      <c r="H73" s="722" t="s">
        <v>169</v>
      </c>
      <c r="I73" s="264">
        <v>30</v>
      </c>
      <c r="J73" s="723">
        <v>168</v>
      </c>
      <c r="L73" s="620" t="s">
        <v>642</v>
      </c>
      <c r="M73" s="620" t="s">
        <v>641</v>
      </c>
      <c r="N73" s="620" t="s">
        <v>334</v>
      </c>
      <c r="O73" s="1071"/>
      <c r="P73" s="1071"/>
    </row>
    <row r="74" spans="1:16" x14ac:dyDescent="0.25">
      <c r="A74" s="1073"/>
      <c r="H74" s="722" t="s">
        <v>235</v>
      </c>
      <c r="I74" s="264">
        <v>750</v>
      </c>
      <c r="J74" s="723">
        <v>168</v>
      </c>
    </row>
    <row r="75" spans="1:16" x14ac:dyDescent="0.25">
      <c r="A75" s="1073"/>
      <c r="H75" s="722" t="s">
        <v>92</v>
      </c>
      <c r="I75" s="264">
        <v>2000</v>
      </c>
      <c r="J75" s="723">
        <v>168</v>
      </c>
      <c r="L75" s="620" t="s">
        <v>353</v>
      </c>
      <c r="M75" s="620" t="s">
        <v>354</v>
      </c>
    </row>
    <row r="76" spans="1:16" x14ac:dyDescent="0.25">
      <c r="A76" s="1073"/>
      <c r="H76" s="722" t="s">
        <v>172</v>
      </c>
      <c r="I76" s="264">
        <v>750</v>
      </c>
      <c r="J76" s="723">
        <v>168</v>
      </c>
      <c r="L76" s="620">
        <v>9</v>
      </c>
      <c r="M76" s="620">
        <v>150</v>
      </c>
    </row>
    <row r="77" spans="1:16" ht="30" x14ac:dyDescent="0.25">
      <c r="A77" s="1073"/>
      <c r="H77" s="722" t="s">
        <v>754</v>
      </c>
      <c r="I77" s="264">
        <v>1500</v>
      </c>
      <c r="J77" s="723">
        <v>168</v>
      </c>
      <c r="L77" s="620">
        <v>18</v>
      </c>
      <c r="M77" s="620">
        <v>300</v>
      </c>
    </row>
    <row r="78" spans="1:16" x14ac:dyDescent="0.25">
      <c r="A78" s="1073"/>
      <c r="H78" s="722" t="s">
        <v>755</v>
      </c>
      <c r="I78" s="264">
        <v>160</v>
      </c>
      <c r="J78" s="723">
        <v>168</v>
      </c>
    </row>
    <row r="79" spans="1:16" x14ac:dyDescent="0.25">
      <c r="A79" s="1073"/>
      <c r="H79" s="722" t="s">
        <v>753</v>
      </c>
      <c r="I79" s="264">
        <v>160</v>
      </c>
      <c r="J79" s="723">
        <v>168</v>
      </c>
      <c r="L79" s="620">
        <v>67.3</v>
      </c>
      <c r="M79" s="620">
        <v>1100</v>
      </c>
    </row>
    <row r="80" spans="1:16" ht="30" x14ac:dyDescent="0.25">
      <c r="A80" s="1073"/>
      <c r="H80" s="722" t="s">
        <v>756</v>
      </c>
      <c r="I80" s="264">
        <v>5000</v>
      </c>
      <c r="J80" s="723">
        <v>168</v>
      </c>
      <c r="L80" s="620">
        <v>120</v>
      </c>
      <c r="M80" s="620">
        <v>2000</v>
      </c>
    </row>
    <row r="81" spans="1:13" x14ac:dyDescent="0.25">
      <c r="A81" s="1073"/>
      <c r="H81" s="722" t="s">
        <v>757</v>
      </c>
      <c r="I81" s="264">
        <v>200</v>
      </c>
      <c r="J81" s="723">
        <v>168</v>
      </c>
      <c r="L81" s="620">
        <v>300</v>
      </c>
      <c r="M81" s="620">
        <v>5000</v>
      </c>
    </row>
    <row r="82" spans="1:13" x14ac:dyDescent="0.25">
      <c r="A82" s="1073"/>
      <c r="H82" s="724" t="s">
        <v>257</v>
      </c>
      <c r="I82" s="725">
        <v>160</v>
      </c>
      <c r="J82" s="726">
        <v>168</v>
      </c>
    </row>
    <row r="83" spans="1:13" x14ac:dyDescent="0.25">
      <c r="A83" s="1073"/>
      <c r="B83" s="1073"/>
      <c r="C83" s="1073"/>
      <c r="D83" s="1073"/>
    </row>
    <row r="84" spans="1:13" x14ac:dyDescent="0.25">
      <c r="A84" s="1073"/>
      <c r="B84" s="1073"/>
      <c r="C84" s="1073"/>
      <c r="D84" s="1073"/>
    </row>
    <row r="85" spans="1:13" x14ac:dyDescent="0.25">
      <c r="A85" s="1073"/>
      <c r="B85" s="1073"/>
      <c r="C85" s="1073"/>
      <c r="D85" s="1073"/>
    </row>
    <row r="86" spans="1:13" x14ac:dyDescent="0.25">
      <c r="A86" s="1073"/>
      <c r="B86" s="1073"/>
      <c r="C86" s="1073"/>
      <c r="D86" s="1073"/>
    </row>
    <row r="87" spans="1:13" x14ac:dyDescent="0.25">
      <c r="A87" s="1073"/>
      <c r="B87" s="1073"/>
      <c r="C87" s="1073"/>
      <c r="D87" s="1073"/>
    </row>
    <row r="88" spans="1:13" x14ac:dyDescent="0.25">
      <c r="A88" s="1073"/>
      <c r="B88" s="1073"/>
      <c r="C88" s="1073"/>
      <c r="D88" s="1073"/>
    </row>
    <row r="89" spans="1:13" x14ac:dyDescent="0.25">
      <c r="A89" s="1073"/>
      <c r="B89" s="1073"/>
      <c r="C89" s="1073"/>
      <c r="D89" s="1073"/>
    </row>
    <row r="90" spans="1:13" x14ac:dyDescent="0.25">
      <c r="A90" s="1073"/>
      <c r="B90" s="1073"/>
      <c r="C90" s="1073"/>
      <c r="D90" s="1073"/>
    </row>
    <row r="91" spans="1:13" x14ac:dyDescent="0.25">
      <c r="A91" s="1073"/>
      <c r="B91" s="1073"/>
    </row>
    <row r="92" spans="1:13" x14ac:dyDescent="0.25">
      <c r="A92" s="1073"/>
      <c r="B92" s="1073"/>
    </row>
    <row r="93" spans="1:13" x14ac:dyDescent="0.25">
      <c r="A93" s="1073"/>
      <c r="B93" s="1073"/>
    </row>
    <row r="94" spans="1:13" x14ac:dyDescent="0.25">
      <c r="A94" s="1073"/>
      <c r="B94" s="1073"/>
    </row>
    <row r="95" spans="1:13" x14ac:dyDescent="0.25">
      <c r="A95" s="1073"/>
      <c r="B95" s="1073"/>
    </row>
    <row r="96" spans="1:13" x14ac:dyDescent="0.25">
      <c r="A96" s="1073"/>
      <c r="B96" s="1073"/>
    </row>
    <row r="97" spans="1:2" x14ac:dyDescent="0.25">
      <c r="A97" s="1073"/>
      <c r="B97" s="1073"/>
    </row>
    <row r="98" spans="1:2" x14ac:dyDescent="0.25">
      <c r="A98" s="1073"/>
      <c r="B98" s="1073"/>
    </row>
    <row r="99" spans="1:2" x14ac:dyDescent="0.25">
      <c r="A99" s="1073"/>
      <c r="B99" s="1073"/>
    </row>
    <row r="100" spans="1:2" x14ac:dyDescent="0.25">
      <c r="A100" s="1073"/>
      <c r="B100" s="1073"/>
    </row>
    <row r="101" spans="1:2" x14ac:dyDescent="0.25">
      <c r="A101" s="1073"/>
      <c r="B101" s="1073"/>
    </row>
    <row r="102" spans="1:2" x14ac:dyDescent="0.25">
      <c r="A102" s="1073"/>
      <c r="B102" s="1073"/>
    </row>
    <row r="103" spans="1:2" x14ac:dyDescent="0.25">
      <c r="A103" s="1073"/>
      <c r="B103" s="1073"/>
    </row>
    <row r="104" spans="1:2" x14ac:dyDescent="0.25">
      <c r="A104" s="1073"/>
      <c r="B104" s="1073"/>
    </row>
    <row r="105" spans="1:2" x14ac:dyDescent="0.25">
      <c r="A105" s="1073"/>
      <c r="B105" s="1073"/>
    </row>
    <row r="106" spans="1:2" x14ac:dyDescent="0.25">
      <c r="A106" s="1073"/>
      <c r="B106" s="1073"/>
    </row>
    <row r="107" spans="1:2" x14ac:dyDescent="0.25">
      <c r="A107" s="1073"/>
      <c r="B107" s="1073"/>
    </row>
    <row r="108" spans="1:2" x14ac:dyDescent="0.25">
      <c r="A108" s="1073"/>
      <c r="B108" s="1073"/>
    </row>
    <row r="109" spans="1:2" x14ac:dyDescent="0.25">
      <c r="A109" s="1073"/>
      <c r="B109" s="1073"/>
    </row>
    <row r="110" spans="1:2" x14ac:dyDescent="0.25">
      <c r="A110" s="1073"/>
      <c r="B110" s="1073"/>
    </row>
    <row r="111" spans="1:2" x14ac:dyDescent="0.25">
      <c r="A111" s="1073"/>
      <c r="B111" s="1073"/>
    </row>
    <row r="112" spans="1:2" x14ac:dyDescent="0.25">
      <c r="A112" s="1073"/>
      <c r="B112" s="1073"/>
    </row>
    <row r="113" spans="1:2" x14ac:dyDescent="0.25">
      <c r="A113" s="1073"/>
      <c r="B113" s="1073"/>
    </row>
    <row r="114" spans="1:2" x14ac:dyDescent="0.25">
      <c r="A114" s="1073"/>
      <c r="B114" s="1073"/>
    </row>
    <row r="115" spans="1:2" x14ac:dyDescent="0.25">
      <c r="A115" s="1073"/>
      <c r="B115" s="1073"/>
    </row>
    <row r="116" spans="1:2" x14ac:dyDescent="0.25">
      <c r="A116" s="1073"/>
      <c r="B116" s="1073"/>
    </row>
    <row r="117" spans="1:2" x14ac:dyDescent="0.25">
      <c r="A117" s="1073"/>
      <c r="B117" s="1073"/>
    </row>
    <row r="118" spans="1:2" x14ac:dyDescent="0.25">
      <c r="A118" s="1073"/>
      <c r="B118" s="1073"/>
    </row>
    <row r="119" spans="1:2" x14ac:dyDescent="0.25">
      <c r="A119" s="1073"/>
      <c r="B119" s="1073"/>
    </row>
    <row r="120" spans="1:2" x14ac:dyDescent="0.25">
      <c r="A120" s="1073"/>
      <c r="B120" s="1073"/>
    </row>
    <row r="121" spans="1:2" x14ac:dyDescent="0.25">
      <c r="A121" s="1073"/>
      <c r="B121" s="1073"/>
    </row>
    <row r="122" spans="1:2" x14ac:dyDescent="0.25">
      <c r="A122" s="1073"/>
      <c r="B122" s="1073"/>
    </row>
    <row r="123" spans="1:2" x14ac:dyDescent="0.25">
      <c r="A123" s="1073"/>
      <c r="B123" s="1073"/>
    </row>
    <row r="124" spans="1:2" x14ac:dyDescent="0.25">
      <c r="A124" s="1073"/>
      <c r="B124" s="1073"/>
    </row>
    <row r="125" spans="1:2" x14ac:dyDescent="0.25">
      <c r="A125" s="1073"/>
      <c r="B125" s="1073"/>
    </row>
    <row r="126" spans="1:2" x14ac:dyDescent="0.25">
      <c r="A126" s="1073"/>
      <c r="B126" s="1073"/>
    </row>
    <row r="127" spans="1:2" x14ac:dyDescent="0.25">
      <c r="A127" s="1073"/>
      <c r="B127" s="1073"/>
    </row>
    <row r="128" spans="1:2" x14ac:dyDescent="0.25">
      <c r="A128" s="1073"/>
      <c r="B128" s="1073"/>
    </row>
    <row r="129" spans="1:2" x14ac:dyDescent="0.25">
      <c r="A129" s="1073"/>
      <c r="B129" s="1073"/>
    </row>
    <row r="130" spans="1:2" x14ac:dyDescent="0.25">
      <c r="A130" s="1073"/>
      <c r="B130" s="1073"/>
    </row>
    <row r="131" spans="1:2" x14ac:dyDescent="0.25">
      <c r="A131" s="1073"/>
      <c r="B131" s="1073"/>
    </row>
    <row r="132" spans="1:2" x14ac:dyDescent="0.25">
      <c r="A132" s="1073"/>
      <c r="B132" s="1073"/>
    </row>
    <row r="133" spans="1:2" x14ac:dyDescent="0.25">
      <c r="A133" s="1073"/>
      <c r="B133" s="1073"/>
    </row>
    <row r="134" spans="1:2" x14ac:dyDescent="0.25">
      <c r="A134" s="1073"/>
      <c r="B134" s="1073"/>
    </row>
    <row r="135" spans="1:2" x14ac:dyDescent="0.25">
      <c r="A135" s="1073"/>
      <c r="B135" s="1073"/>
    </row>
    <row r="136" spans="1:2" x14ac:dyDescent="0.25">
      <c r="A136" s="1073"/>
      <c r="B136" s="1073"/>
    </row>
    <row r="137" spans="1:2" x14ac:dyDescent="0.25">
      <c r="A137" s="1073"/>
      <c r="B137" s="1073"/>
    </row>
    <row r="138" spans="1:2" x14ac:dyDescent="0.25">
      <c r="A138" s="1073"/>
      <c r="B138" s="1073"/>
    </row>
  </sheetData>
  <sheetProtection selectLockedCells="1" autoFilter="0"/>
  <mergeCells count="13">
    <mergeCell ref="M5:R5"/>
    <mergeCell ref="K58:L58"/>
    <mergeCell ref="G6:H6"/>
    <mergeCell ref="H65:J65"/>
    <mergeCell ref="A17:B17"/>
    <mergeCell ref="A19:B19"/>
    <mergeCell ref="A21:B21"/>
    <mergeCell ref="A14:D14"/>
    <mergeCell ref="A15:B15"/>
    <mergeCell ref="A16:B16"/>
    <mergeCell ref="G14:I14"/>
    <mergeCell ref="K5:K6"/>
    <mergeCell ref="L5:L6"/>
  </mergeCells>
  <dataValidations count="6">
    <dataValidation type="list" allowBlank="1" showInputMessage="1" showErrorMessage="1" sqref="G25:G50">
      <formula1>"L,C"</formula1>
    </dataValidation>
    <dataValidation type="list" allowBlank="1" showInputMessage="1" showErrorMessage="1" sqref="E6">
      <formula1>"Nominal,Medida"</formula1>
    </dataValidation>
    <dataValidation type="list" allowBlank="1" showInputMessage="1" showErrorMessage="1" sqref="E8">
      <formula1>"Nominal,Medido"</formula1>
    </dataValidation>
    <dataValidation type="list" allowBlank="1" showInputMessage="1" showErrorMessage="1" sqref="A16">
      <formula1>"mA,mAs"</formula1>
    </dataValidation>
    <dataValidation type="list" allowBlank="1" showInputMessage="1" showErrorMessage="1" sqref="C12">
      <formula1>$H$8:$H$12</formula1>
    </dataValidation>
    <dataValidation type="list" allowBlank="1" showInputMessage="1" showErrorMessage="1" sqref="E2 C11">
      <formula1>"Sim,Não"</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W239"/>
  <sheetViews>
    <sheetView view="pageBreakPreview" zoomScaleNormal="100" zoomScaleSheetLayoutView="100" workbookViewId="0">
      <pane ySplit="1" topLeftCell="A187" activePane="bottomLeft" state="frozen"/>
      <selection activeCell="C12" sqref="C12:J13"/>
      <selection pane="bottomLeft" activeCell="C12" sqref="C12:J13"/>
    </sheetView>
  </sheetViews>
  <sheetFormatPr defaultColWidth="9.140625" defaultRowHeight="15" customHeight="1" x14ac:dyDescent="0.25"/>
  <cols>
    <col min="1" max="3" width="9.140625" style="2118" customWidth="1"/>
    <col min="4" max="8" width="9.140625" style="2118"/>
    <col min="9" max="10" width="9.140625" style="2118" customWidth="1"/>
    <col min="11" max="11" width="10.42578125" style="2118" bestFit="1" customWidth="1"/>
    <col min="12" max="12" width="12" style="2118" bestFit="1" customWidth="1"/>
    <col min="13" max="13" width="26.42578125" style="2118" bestFit="1" customWidth="1"/>
    <col min="14" max="14" width="23" style="2118" bestFit="1" customWidth="1"/>
    <col min="15" max="15" width="22.140625" style="2118" bestFit="1" customWidth="1"/>
    <col min="16" max="16" width="12.140625" style="2118" bestFit="1" customWidth="1"/>
    <col min="17" max="16384" width="9.140625" style="2118"/>
  </cols>
  <sheetData>
    <row r="1" spans="1:11" s="2120" customFormat="1" ht="15" customHeight="1" x14ac:dyDescent="0.25">
      <c r="A1" s="2580" t="e">
        <f>Cabeçalho!B6</f>
        <v>#N/A</v>
      </c>
      <c r="B1" s="2580"/>
      <c r="C1" s="2580"/>
      <c r="D1" s="2580"/>
      <c r="E1" s="2745" t="e">
        <f>IF(Cabeçalho!$B$15="",CONCATENATE(LOOKUP(Cabeçalho!$B$14,Tabelas2!$A$23:$A$32,Tabelas2!$B$23:$B$32),IF(Cabeçalho!$B$16&lt;&gt;0," - ",""),UPPER(Cabeçalho!$B$16)),CONCATENATE(LOOKUP(Cabeçalho!$B$14,Tabelas2!$A$23:$A$32,Tabelas2!$B$23:$B$32)," - ",Cabeçalho!$B$15," - ",UPPER(Cabeçalho!$B$16)))</f>
        <v>#N/A</v>
      </c>
      <c r="F1" s="2745"/>
      <c r="G1" s="2745"/>
      <c r="H1" s="2745"/>
      <c r="I1" s="2123" t="s">
        <v>635</v>
      </c>
      <c r="J1" s="278" t="e">
        <f>IF(Cabeçalho!B12="","",Cabeçalho!B12)</f>
        <v>#N/A</v>
      </c>
      <c r="K1" s="279" t="s">
        <v>648</v>
      </c>
    </row>
    <row r="3" spans="1:11" ht="15" customHeight="1" x14ac:dyDescent="0.25">
      <c r="A3" s="2483" t="s">
        <v>636</v>
      </c>
      <c r="B3" s="2483"/>
      <c r="C3" s="2483"/>
      <c r="D3" s="2483"/>
      <c r="E3" s="2483"/>
      <c r="F3" s="2483"/>
      <c r="G3" s="2483"/>
      <c r="H3" s="2483"/>
      <c r="I3" s="2483"/>
      <c r="J3" s="2483"/>
    </row>
    <row r="5" spans="1:11" ht="15" customHeight="1" x14ac:dyDescent="0.25">
      <c r="A5" s="2483" t="str">
        <f>IF(Profissional="Físico","","LAUDO TÉCNICO DE INSALUBRIDADE POR RADIAÇÃO IONIZANTE")</f>
        <v/>
      </c>
      <c r="B5" s="2483"/>
      <c r="C5" s="2483"/>
      <c r="D5" s="2483"/>
      <c r="E5" s="2483"/>
      <c r="F5" s="2483"/>
      <c r="G5" s="2483"/>
      <c r="H5" s="2483"/>
      <c r="I5" s="2483"/>
      <c r="J5" s="2483"/>
    </row>
    <row r="7" spans="1:11" ht="15" customHeight="1" x14ac:dyDescent="0.25">
      <c r="A7" s="2483" t="s">
        <v>647</v>
      </c>
      <c r="B7" s="2483"/>
      <c r="C7" s="2483"/>
      <c r="D7" s="2483"/>
      <c r="E7" s="2483"/>
      <c r="F7" s="2483"/>
      <c r="G7" s="2483"/>
      <c r="H7" s="2483"/>
      <c r="I7" s="2483"/>
      <c r="J7" s="2483"/>
    </row>
    <row r="9" spans="1:11" ht="15" customHeight="1" x14ac:dyDescent="0.25">
      <c r="C9" s="2484" t="e">
        <f>Cabeçalho!B6</f>
        <v>#N/A</v>
      </c>
      <c r="D9" s="2484"/>
      <c r="E9" s="2484"/>
      <c r="F9" s="2484"/>
      <c r="G9" s="2484"/>
      <c r="H9" s="2484"/>
      <c r="I9" s="2484"/>
      <c r="J9" s="2484"/>
    </row>
    <row r="10" spans="1:11" ht="15" customHeight="1" x14ac:dyDescent="0.25">
      <c r="C10" s="2484"/>
      <c r="D10" s="2484"/>
      <c r="E10" s="2484"/>
      <c r="F10" s="2484"/>
      <c r="G10" s="2484"/>
      <c r="H10" s="2484"/>
      <c r="I10" s="2484"/>
      <c r="J10" s="2484"/>
    </row>
    <row r="11" spans="1:11" ht="15" customHeight="1" x14ac:dyDescent="0.25">
      <c r="B11" s="281"/>
      <c r="C11" s="281"/>
      <c r="D11" s="281"/>
      <c r="E11" s="281"/>
      <c r="F11" s="281"/>
      <c r="G11" s="281"/>
    </row>
    <row r="12" spans="1:11" ht="15" customHeight="1" x14ac:dyDescent="0.25">
      <c r="C12" s="2478" t="e">
        <f>Cabeçalho!B7</f>
        <v>#N/A</v>
      </c>
      <c r="D12" s="2478"/>
      <c r="E12" s="2478"/>
      <c r="F12" s="2478"/>
      <c r="G12" s="2478"/>
      <c r="H12" s="2478"/>
      <c r="I12" s="2478"/>
      <c r="J12" s="2478"/>
    </row>
    <row r="13" spans="1:11" ht="15" customHeight="1" x14ac:dyDescent="0.25">
      <c r="B13" s="281"/>
      <c r="C13" s="2478"/>
      <c r="D13" s="2478"/>
      <c r="E13" s="2478"/>
      <c r="F13" s="2478"/>
      <c r="G13" s="2478"/>
      <c r="H13" s="2478"/>
      <c r="I13" s="2478"/>
      <c r="J13" s="2478"/>
    </row>
    <row r="14" spans="1:11" ht="15" customHeight="1" x14ac:dyDescent="0.25">
      <c r="B14" s="281"/>
      <c r="C14" s="281"/>
      <c r="D14" s="281"/>
      <c r="E14" s="281"/>
      <c r="F14" s="281"/>
      <c r="G14" s="281"/>
    </row>
    <row r="15" spans="1:11" ht="15" customHeight="1" x14ac:dyDescent="0.25">
      <c r="C15" s="280" t="e">
        <f>Cabeçalho!B8</f>
        <v>#N/A</v>
      </c>
      <c r="E15" s="281" t="e">
        <f>CONCATENATE(Cabeçalho!B9,", ",Cabeçalho!B10)</f>
        <v>#N/A</v>
      </c>
      <c r="F15" s="281"/>
      <c r="G15" s="281"/>
    </row>
    <row r="17" spans="1:11" ht="15" customHeight="1" x14ac:dyDescent="0.25">
      <c r="A17" s="2118" t="s">
        <v>115</v>
      </c>
      <c r="C17" s="2486" t="e">
        <f>Cabeçalho!B4</f>
        <v>#N/A</v>
      </c>
      <c r="D17" s="2486"/>
      <c r="E17" s="2486"/>
      <c r="F17" s="2486"/>
      <c r="G17" s="2486"/>
      <c r="H17" s="2486"/>
      <c r="I17" s="2486"/>
      <c r="J17" s="2486"/>
    </row>
    <row r="18" spans="1:11" ht="15" customHeight="1" x14ac:dyDescent="0.25">
      <c r="C18" s="280" t="e">
        <f>Cabeçalho!B5</f>
        <v>#N/A</v>
      </c>
      <c r="F18" s="281" t="e">
        <f>Cabeçalho!B21</f>
        <v>#N/A</v>
      </c>
    </row>
    <row r="19" spans="1:11" ht="15" customHeight="1" x14ac:dyDescent="0.25">
      <c r="C19" s="280"/>
      <c r="F19" s="281"/>
    </row>
    <row r="20" spans="1:11" ht="15" customHeight="1" x14ac:dyDescent="0.25">
      <c r="A20" s="2118" t="s">
        <v>2337</v>
      </c>
      <c r="C20" s="280"/>
      <c r="F20" s="281"/>
    </row>
    <row r="21" spans="1:11" ht="15" customHeight="1" x14ac:dyDescent="0.25">
      <c r="C21" s="280"/>
      <c r="F21" s="281"/>
    </row>
    <row r="22" spans="1:11" ht="15" customHeight="1" x14ac:dyDescent="0.25">
      <c r="C22" s="280"/>
      <c r="F22" s="281"/>
    </row>
    <row r="23" spans="1:11" ht="15" customHeight="1" x14ac:dyDescent="0.25">
      <c r="C23" s="280"/>
      <c r="F23" s="281"/>
    </row>
    <row r="24" spans="1:11" ht="15" customHeight="1" x14ac:dyDescent="0.25">
      <c r="A24" s="2467" t="s">
        <v>2338</v>
      </c>
      <c r="B24" s="2467"/>
      <c r="C24" s="2467"/>
      <c r="D24" s="2467" t="s">
        <v>2339</v>
      </c>
      <c r="E24" s="2467"/>
      <c r="F24" s="2467"/>
      <c r="G24" s="2467" t="s">
        <v>2340</v>
      </c>
      <c r="H24" s="2467"/>
      <c r="I24" s="2467"/>
      <c r="J24" s="2467"/>
    </row>
    <row r="25" spans="1:11" ht="15" customHeight="1" x14ac:dyDescent="0.25">
      <c r="C25" s="282"/>
    </row>
    <row r="26" spans="1:11" ht="15" customHeight="1" x14ac:dyDescent="0.25">
      <c r="A26" s="281" t="s">
        <v>116</v>
      </c>
    </row>
    <row r="27" spans="1:11" ht="15" customHeight="1" x14ac:dyDescent="0.25">
      <c r="A27" s="2476" t="s">
        <v>2001</v>
      </c>
      <c r="B27" s="2476"/>
      <c r="C27" s="2476"/>
      <c r="D27" s="2476"/>
      <c r="E27" s="2476"/>
      <c r="F27" s="2476"/>
      <c r="G27" s="2476"/>
      <c r="H27" s="2476"/>
      <c r="I27" s="2476"/>
      <c r="J27" s="2476"/>
    </row>
    <row r="28" spans="1:11" ht="15" customHeight="1" x14ac:dyDescent="0.25">
      <c r="A28" s="2476"/>
      <c r="B28" s="2476"/>
      <c r="C28" s="2476"/>
      <c r="D28" s="2476"/>
      <c r="E28" s="2476"/>
      <c r="F28" s="2476"/>
      <c r="G28" s="2476"/>
      <c r="H28" s="2476"/>
      <c r="I28" s="2476"/>
      <c r="J28" s="2476"/>
    </row>
    <row r="29" spans="1:11" ht="15" customHeight="1" x14ac:dyDescent="0.25">
      <c r="A29" s="2476"/>
      <c r="B29" s="2476"/>
      <c r="C29" s="2476"/>
      <c r="D29" s="2476"/>
      <c r="E29" s="2476"/>
      <c r="F29" s="2476"/>
      <c r="G29" s="2476"/>
      <c r="H29" s="2476"/>
      <c r="I29" s="2476"/>
      <c r="J29" s="2476"/>
    </row>
    <row r="30" spans="1:11" ht="15" customHeight="1" x14ac:dyDescent="0.25">
      <c r="A30" s="2476"/>
      <c r="B30" s="2476"/>
      <c r="C30" s="2476"/>
      <c r="D30" s="2476"/>
      <c r="E30" s="2476"/>
      <c r="F30" s="2476"/>
      <c r="G30" s="2476"/>
      <c r="H30" s="2476"/>
      <c r="I30" s="2476"/>
      <c r="J30" s="2476"/>
    </row>
    <row r="31" spans="1:11" ht="15" customHeight="1" x14ac:dyDescent="0.25">
      <c r="A31" s="2476" t="e">
        <f>"                 Este Laudo Técnico é parte da Avaliação e Controle das Exposições Ocupacionais à radiação ionizante e atende os requisitos da Resolução RDC "&amp;VLOOKUP("rdc",IN_ANVISA[],2)&amp;"/"&amp;VLOOKUP("rdc",IN_ANVISA[],3)&amp;" e da Instrução Normativa "&amp;'LR e FUGA'!H3&amp;" da ANVISA e das Normas Regulamentadoras NR-09 e NR-32 da Portaria 3214/78 do MTb quanto à Monitoração de Área."</f>
        <v>#N/A</v>
      </c>
      <c r="B31" s="2476"/>
      <c r="C31" s="2476"/>
      <c r="D31" s="2476"/>
      <c r="E31" s="2476"/>
      <c r="F31" s="2476"/>
      <c r="G31" s="2476"/>
      <c r="H31" s="2476"/>
      <c r="I31" s="2476"/>
      <c r="J31" s="2476"/>
      <c r="K31" s="2118" t="str">
        <f>IF(ISNA(A31),"x"," ")</f>
        <v>x</v>
      </c>
    </row>
    <row r="32" spans="1:11" ht="15" customHeight="1" x14ac:dyDescent="0.25">
      <c r="A32" s="2476"/>
      <c r="B32" s="2476"/>
      <c r="C32" s="2476"/>
      <c r="D32" s="2476"/>
      <c r="E32" s="2476"/>
      <c r="F32" s="2476"/>
      <c r="G32" s="2476"/>
      <c r="H32" s="2476"/>
      <c r="I32" s="2476"/>
      <c r="J32" s="2476"/>
      <c r="K32" s="2118" t="str">
        <f>K31</f>
        <v>x</v>
      </c>
    </row>
    <row r="33" spans="1:11" ht="15" customHeight="1" x14ac:dyDescent="0.25">
      <c r="A33" s="2476"/>
      <c r="B33" s="2476"/>
      <c r="C33" s="2476"/>
      <c r="D33" s="2476"/>
      <c r="E33" s="2476"/>
      <c r="F33" s="2476"/>
      <c r="G33" s="2476"/>
      <c r="H33" s="2476"/>
      <c r="I33" s="2476"/>
      <c r="J33" s="2476"/>
      <c r="K33" s="2118" t="str">
        <f>K32</f>
        <v>x</v>
      </c>
    </row>
    <row r="34" spans="1:11" ht="15" customHeight="1" x14ac:dyDescent="0.25">
      <c r="A34" s="2476"/>
      <c r="B34" s="2476"/>
      <c r="C34" s="2476"/>
      <c r="D34" s="2476"/>
      <c r="E34" s="2476"/>
      <c r="F34" s="2476"/>
      <c r="G34" s="2476"/>
      <c r="H34" s="2476"/>
      <c r="I34" s="2476"/>
      <c r="J34" s="2476"/>
      <c r="K34" s="2313" t="str">
        <f>K33</f>
        <v>x</v>
      </c>
    </row>
    <row r="35" spans="1:11" ht="15" customHeight="1" x14ac:dyDescent="0.25">
      <c r="A35" s="2477" t="str">
        <f>"                Este Laudo Técnico atende a Norma de Higiene Ocupacional NHO 05 da FUNDACENTRO."&amp;IF(Profissional="Físico",""," Poderá ser utilizado como subsídio para a elaboração do LTCAT para fins de Aposentadoria Especial, conforme Decreto Federal 3.048/99.")</f>
        <v xml:space="preserve">                Este Laudo Técnico atende a Norma de Higiene Ocupacional NHO 05 da FUNDACENTRO.</v>
      </c>
      <c r="B35" s="2477"/>
      <c r="C35" s="2477"/>
      <c r="D35" s="2477"/>
      <c r="E35" s="2477"/>
      <c r="F35" s="2477"/>
      <c r="G35" s="2477"/>
      <c r="H35" s="2477"/>
      <c r="I35" s="2477"/>
      <c r="J35" s="2477"/>
    </row>
    <row r="36" spans="1:11" ht="15" customHeight="1" x14ac:dyDescent="0.25">
      <c r="A36" s="2477"/>
      <c r="B36" s="2477"/>
      <c r="C36" s="2477"/>
      <c r="D36" s="2477"/>
      <c r="E36" s="2477"/>
      <c r="F36" s="2477"/>
      <c r="G36" s="2477"/>
      <c r="H36" s="2477"/>
      <c r="I36" s="2477"/>
      <c r="J36" s="2477"/>
    </row>
    <row r="37" spans="1:11" ht="15" customHeight="1" x14ac:dyDescent="0.25">
      <c r="A37" s="2477"/>
      <c r="B37" s="2477"/>
      <c r="C37" s="2477"/>
      <c r="D37" s="2477"/>
      <c r="E37" s="2477"/>
      <c r="F37" s="2477"/>
      <c r="G37" s="2477"/>
      <c r="H37" s="2477"/>
      <c r="I37" s="2477"/>
      <c r="J37" s="2477"/>
    </row>
    <row r="38" spans="1:11" ht="15" customHeight="1" x14ac:dyDescent="0.25">
      <c r="A38" s="2476" t="str">
        <f>IntroProtocolo</f>
        <v xml:space="preserve">               A metodologia utilizada atende aos "Protocolos para Execução de Testes em Sistemas de Radiologia Diagnóstica e Intervencionista" do CONFEA.</v>
      </c>
      <c r="B38" s="2476"/>
      <c r="C38" s="2476"/>
      <c r="D38" s="2476"/>
      <c r="E38" s="2476"/>
      <c r="F38" s="2476"/>
      <c r="G38" s="2476"/>
      <c r="H38" s="2476"/>
      <c r="I38" s="2476"/>
      <c r="J38" s="2476"/>
    </row>
    <row r="39" spans="1:11" ht="15" customHeight="1" x14ac:dyDescent="0.25">
      <c r="A39" s="2476"/>
      <c r="B39" s="2476"/>
      <c r="C39" s="2476"/>
      <c r="D39" s="2476"/>
      <c r="E39" s="2476"/>
      <c r="F39" s="2476"/>
      <c r="G39" s="2476"/>
      <c r="H39" s="2476"/>
      <c r="I39" s="2476"/>
      <c r="J39" s="2476"/>
    </row>
    <row r="41" spans="1:11" ht="15" customHeight="1" x14ac:dyDescent="0.25">
      <c r="A41" s="281" t="s">
        <v>2707</v>
      </c>
    </row>
    <row r="42" spans="1:11" ht="15" customHeight="1" x14ac:dyDescent="0.25">
      <c r="A42" s="2476" t="s">
        <v>348</v>
      </c>
      <c r="B42" s="2476"/>
      <c r="C42" s="2476"/>
      <c r="D42" s="2476"/>
      <c r="E42" s="2476"/>
      <c r="F42" s="2476"/>
      <c r="G42" s="2476"/>
      <c r="H42" s="2476"/>
      <c r="I42" s="2476"/>
      <c r="J42" s="2476"/>
      <c r="K42" s="2118" t="str">
        <f>IF(Profissional="Físico","x","")</f>
        <v>x</v>
      </c>
    </row>
    <row r="43" spans="1:11" ht="15" customHeight="1" x14ac:dyDescent="0.25">
      <c r="A43" s="2476"/>
      <c r="B43" s="2476"/>
      <c r="C43" s="2476"/>
      <c r="D43" s="2476"/>
      <c r="E43" s="2476"/>
      <c r="F43" s="2476"/>
      <c r="G43" s="2476"/>
      <c r="H43" s="2476"/>
      <c r="I43" s="2476"/>
      <c r="J43" s="2476"/>
      <c r="K43" s="2118" t="str">
        <f>K42</f>
        <v>x</v>
      </c>
    </row>
    <row r="44" spans="1:11" ht="15" customHeight="1" x14ac:dyDescent="0.25">
      <c r="A44" s="2476"/>
      <c r="B44" s="2476"/>
      <c r="C44" s="2476"/>
      <c r="D44" s="2476"/>
      <c r="E44" s="2476"/>
      <c r="F44" s="2476"/>
      <c r="G44" s="2476"/>
      <c r="H44" s="2476"/>
      <c r="I44" s="2476"/>
      <c r="J44" s="2476"/>
      <c r="K44" s="2118" t="str">
        <f>K43</f>
        <v>x</v>
      </c>
    </row>
    <row r="45" spans="1:11" ht="15" customHeight="1" x14ac:dyDescent="0.25">
      <c r="A45" s="2476" t="s">
        <v>2333</v>
      </c>
      <c r="B45" s="2476"/>
      <c r="C45" s="2476"/>
      <c r="D45" s="2476"/>
      <c r="E45" s="2476"/>
      <c r="F45" s="2476"/>
      <c r="G45" s="2476"/>
      <c r="H45" s="2476"/>
      <c r="I45" s="2476"/>
      <c r="J45" s="2476"/>
      <c r="K45" s="2118" t="str">
        <f>IF(Profissional="Físico","","x")</f>
        <v/>
      </c>
    </row>
    <row r="46" spans="1:11" ht="15" customHeight="1" x14ac:dyDescent="0.25">
      <c r="A46" s="2476"/>
      <c r="B46" s="2476"/>
      <c r="C46" s="2476"/>
      <c r="D46" s="2476"/>
      <c r="E46" s="2476"/>
      <c r="F46" s="2476"/>
      <c r="G46" s="2476"/>
      <c r="H46" s="2476"/>
      <c r="I46" s="2476"/>
      <c r="J46" s="2476"/>
      <c r="K46" s="2118" t="str">
        <f>K45</f>
        <v/>
      </c>
    </row>
    <row r="47" spans="1:11" ht="15" customHeight="1" x14ac:dyDescent="0.25">
      <c r="A47" s="2476"/>
      <c r="B47" s="2476"/>
      <c r="C47" s="2476"/>
      <c r="D47" s="2476"/>
      <c r="E47" s="2476"/>
      <c r="F47" s="2476"/>
      <c r="G47" s="2476"/>
      <c r="H47" s="2476"/>
      <c r="I47" s="2476"/>
      <c r="J47" s="2476"/>
      <c r="K47" s="2118" t="str">
        <f>K46</f>
        <v/>
      </c>
    </row>
    <row r="48" spans="1:11" ht="15" customHeight="1" x14ac:dyDescent="0.25">
      <c r="A48" s="2476"/>
      <c r="B48" s="2476"/>
      <c r="C48" s="2476"/>
      <c r="D48" s="2476"/>
      <c r="E48" s="2476"/>
      <c r="F48" s="2476"/>
      <c r="G48" s="2476"/>
      <c r="H48" s="2476"/>
      <c r="I48" s="2476"/>
      <c r="J48" s="2476"/>
      <c r="K48" s="2118" t="str">
        <f>K47</f>
        <v/>
      </c>
    </row>
    <row r="49" spans="1:11" ht="15" customHeight="1" x14ac:dyDescent="0.25">
      <c r="A49" s="2476"/>
      <c r="B49" s="2476"/>
      <c r="C49" s="2476"/>
      <c r="D49" s="2476"/>
      <c r="E49" s="2476"/>
      <c r="F49" s="2476"/>
      <c r="G49" s="2476"/>
      <c r="H49" s="2476"/>
      <c r="I49" s="2476"/>
      <c r="J49" s="2476"/>
      <c r="K49" s="2118" t="str">
        <f>K48</f>
        <v/>
      </c>
    </row>
    <row r="50" spans="1:11" ht="15" customHeight="1" x14ac:dyDescent="0.25">
      <c r="A50" s="2476" t="str">
        <f>ObjetivoCorreções</f>
        <v xml:space="preserve">               Verificar possíveis correções realizadas após o laudo de 00/01/00 deste mesmo equipamento.</v>
      </c>
      <c r="B50" s="2476"/>
      <c r="C50" s="2476"/>
      <c r="D50" s="2476"/>
      <c r="E50" s="2476"/>
      <c r="F50" s="2476"/>
      <c r="G50" s="2476"/>
      <c r="H50" s="2476"/>
      <c r="I50" s="2476"/>
      <c r="J50" s="2476"/>
      <c r="K50" s="2118" t="str">
        <f>IF(Cabeçalho!$B$17="","x","")</f>
        <v>x</v>
      </c>
    </row>
    <row r="51" spans="1:11" ht="15" customHeight="1" x14ac:dyDescent="0.25">
      <c r="A51" s="2476"/>
      <c r="B51" s="2476"/>
      <c r="C51" s="2476"/>
      <c r="D51" s="2476"/>
      <c r="E51" s="2476"/>
      <c r="F51" s="2476"/>
      <c r="G51" s="2476"/>
      <c r="H51" s="2476"/>
      <c r="I51" s="2476"/>
      <c r="J51" s="2476"/>
      <c r="K51" s="2118" t="str">
        <f>K50</f>
        <v>x</v>
      </c>
    </row>
    <row r="52" spans="1:11" ht="15" customHeight="1" x14ac:dyDescent="0.25">
      <c r="A52" s="2468" t="s">
        <v>2708</v>
      </c>
      <c r="B52" s="2468"/>
      <c r="C52" s="2468"/>
      <c r="D52" s="2468"/>
      <c r="E52" s="2468"/>
      <c r="F52" s="2468"/>
      <c r="G52" s="2468"/>
      <c r="H52" s="2468"/>
      <c r="I52" s="2468"/>
      <c r="J52" s="2468"/>
    </row>
    <row r="53" spans="1:11" ht="15" customHeight="1" x14ac:dyDescent="0.25">
      <c r="A53" s="281" t="s">
        <v>176</v>
      </c>
    </row>
    <row r="54" spans="1:11" ht="15" customHeight="1" x14ac:dyDescent="0.25">
      <c r="A54" s="2465" t="s">
        <v>119</v>
      </c>
      <c r="B54" s="2465"/>
      <c r="C54" s="2465"/>
      <c r="D54" s="2465" t="s">
        <v>120</v>
      </c>
      <c r="E54" s="2465"/>
      <c r="F54" s="2465"/>
      <c r="G54" s="2465" t="s">
        <v>121</v>
      </c>
      <c r="H54" s="2465"/>
      <c r="I54" s="2465" t="s">
        <v>475</v>
      </c>
      <c r="J54" s="2465"/>
    </row>
    <row r="55" spans="1:11" ht="15" customHeight="1" x14ac:dyDescent="0.25">
      <c r="A55" s="3130" t="str">
        <f>IF(Cabeçalho!G3="","*",Cabeçalho!G3)</f>
        <v>*</v>
      </c>
      <c r="B55" s="3131"/>
      <c r="C55" s="3132"/>
      <c r="D55" s="2858" t="str">
        <f>IF(Cabeçalho!G4="","*",Cabeçalho!G4)</f>
        <v>*</v>
      </c>
      <c r="E55" s="2859"/>
      <c r="F55" s="2860"/>
      <c r="G55" s="2858" t="str">
        <f>IF(Cabeçalho!G5="","*",Cabeçalho!G5)</f>
        <v>*</v>
      </c>
      <c r="H55" s="2860"/>
      <c r="I55" s="2858" t="str">
        <f>IF(Cabeçalho!G6="","*",Cabeçalho!G6)</f>
        <v>*</v>
      </c>
      <c r="J55" s="2860"/>
    </row>
    <row r="56" spans="1:11" ht="15" customHeight="1" x14ac:dyDescent="0.25">
      <c r="A56" s="3133"/>
      <c r="B56" s="3134"/>
      <c r="C56" s="3135"/>
      <c r="D56" s="2861"/>
      <c r="E56" s="2862"/>
      <c r="F56" s="2863"/>
      <c r="G56" s="2861"/>
      <c r="H56" s="2863"/>
      <c r="I56" s="2861"/>
      <c r="J56" s="2863"/>
    </row>
    <row r="57" spans="1:11" ht="15" customHeight="1" x14ac:dyDescent="0.25">
      <c r="A57" s="284" t="s">
        <v>835</v>
      </c>
    </row>
    <row r="58" spans="1:11" ht="15" customHeight="1" x14ac:dyDescent="0.25">
      <c r="A58" s="3128" t="s">
        <v>637</v>
      </c>
      <c r="B58" s="3128"/>
      <c r="C58" s="3128"/>
      <c r="D58" s="3129" t="str">
        <f>CONCATENATE("marca ",IF(Cabeçalho!G11="","não encontrada",Cabeçalho!G11),", modelo ",IF(Cabeçalho!G12="","não encontrado",Cabeçalho!G12),", série ",IF(Cabeçalho!G13="","não encontrada",Cabeçalho!G13))</f>
        <v>marca não encontrada, modelo não encontrado, série não encontrada</v>
      </c>
      <c r="E58" s="3129"/>
      <c r="F58" s="3129"/>
      <c r="G58" s="3129"/>
      <c r="H58" s="3129"/>
      <c r="I58" s="3129"/>
      <c r="J58" s="3129"/>
    </row>
    <row r="59" spans="1:11" ht="15" customHeight="1" x14ac:dyDescent="0.25">
      <c r="A59" s="2164"/>
      <c r="B59" s="2164"/>
      <c r="C59" s="2164"/>
      <c r="D59" s="2164"/>
      <c r="E59" s="2164"/>
      <c r="F59" s="2164"/>
      <c r="G59" s="2164"/>
      <c r="H59" s="2164"/>
      <c r="I59" s="2164"/>
      <c r="J59" s="2164"/>
    </row>
    <row r="60" spans="1:11" ht="15" customHeight="1" x14ac:dyDescent="0.25">
      <c r="A60" s="2473" t="s">
        <v>124</v>
      </c>
      <c r="B60" s="2473"/>
      <c r="C60" s="2473"/>
      <c r="D60" s="2473"/>
      <c r="E60" s="163"/>
      <c r="F60" s="2473">
        <f>Cabeçalho!B14</f>
        <v>0</v>
      </c>
      <c r="G60" s="2473"/>
      <c r="H60" s="2473"/>
      <c r="I60" s="2473"/>
      <c r="J60" s="2473"/>
    </row>
    <row r="61" spans="1:11" ht="15" customHeight="1" x14ac:dyDescent="0.25">
      <c r="A61" s="2473" t="s">
        <v>638</v>
      </c>
      <c r="B61" s="2473"/>
      <c r="C61" s="2473"/>
      <c r="D61" s="2473"/>
      <c r="F61" s="2473" t="str">
        <f>IF(Cabeçalho!G22="","Informação não encontrada",CONCATENATE(Cabeçalho!G22," kVp"))</f>
        <v>Informação não encontrada</v>
      </c>
      <c r="G61" s="2473"/>
      <c r="H61" s="2473"/>
      <c r="I61" s="2473"/>
      <c r="J61" s="2473"/>
    </row>
    <row r="62" spans="1:11" ht="15" customHeight="1" x14ac:dyDescent="0.25">
      <c r="A62" s="2473" t="s">
        <v>349</v>
      </c>
      <c r="B62" s="2473"/>
      <c r="C62" s="2473"/>
      <c r="D62" s="2473"/>
      <c r="F62" s="2473" t="str">
        <f>IF(Cabeçalho!G23="","Informação não encontrada",CONCATENATE(Cabeçalho!G23," mA"))</f>
        <v>Informação não encontrada</v>
      </c>
      <c r="G62" s="2473"/>
      <c r="H62" s="2473"/>
      <c r="I62" s="2473"/>
      <c r="J62" s="2473"/>
    </row>
    <row r="63" spans="1:11" ht="15" customHeight="1" x14ac:dyDescent="0.25">
      <c r="A63" s="2473" t="s">
        <v>350</v>
      </c>
      <c r="B63" s="2473"/>
      <c r="C63" s="2473"/>
      <c r="D63" s="2473"/>
      <c r="F63" s="2473" t="str">
        <f>CONCATENATE('LR e FUGA'!C12," mA.min/semana")</f>
        <v xml:space="preserve"> mA.min/semana</v>
      </c>
      <c r="G63" s="2473"/>
      <c r="H63" s="2473"/>
      <c r="I63" s="2473"/>
      <c r="J63" s="2473"/>
    </row>
    <row r="64" spans="1:11" ht="15" customHeight="1" x14ac:dyDescent="0.25">
      <c r="E64" s="2119"/>
      <c r="F64" s="2119"/>
      <c r="G64" s="2119"/>
      <c r="H64" s="2119"/>
      <c r="I64" s="2119"/>
    </row>
    <row r="65" spans="1:17" ht="15" customHeight="1" x14ac:dyDescent="0.25">
      <c r="A65" s="281" t="s">
        <v>362</v>
      </c>
    </row>
    <row r="66" spans="1:17" ht="15" customHeight="1" x14ac:dyDescent="0.25">
      <c r="A66" s="2476" t="e">
        <f>CONCATENATE("                Condições utilizadas: alta tensão ",'LR e FUGA'!E6," de ",'LR e FUGA'!C6," kVp, corrente anódica nominal de ",('LR e FUGA'!C7)," mA, tempo de exposição ",'LR e FUGA'!E8," de ",'LR e FUGA'!C8," s, maior tamanho de campo possível, fantoma ",'LR e FUGA'!C10,", exceto na direção do feixe primário. Considerou-se a maior medida observada em cada ponto.")&amp;" O fator de uso (U) é aplicável aos pontos para os quais foi direcionado o feixe primário."</f>
        <v>#N/A</v>
      </c>
      <c r="B66" s="2476"/>
      <c r="C66" s="2476"/>
      <c r="D66" s="2476"/>
      <c r="E66" s="2476"/>
      <c r="F66" s="2476"/>
      <c r="G66" s="2476"/>
      <c r="H66" s="2476"/>
      <c r="I66" s="2476"/>
      <c r="J66" s="2476"/>
    </row>
    <row r="67" spans="1:17" ht="15" customHeight="1" x14ac:dyDescent="0.25">
      <c r="A67" s="2476"/>
      <c r="B67" s="2476"/>
      <c r="C67" s="2476"/>
      <c r="D67" s="2476"/>
      <c r="E67" s="2476"/>
      <c r="F67" s="2476"/>
      <c r="G67" s="2476"/>
      <c r="H67" s="2476"/>
      <c r="I67" s="2476"/>
      <c r="J67" s="2476"/>
    </row>
    <row r="68" spans="1:17" ht="15" customHeight="1" x14ac:dyDescent="0.25">
      <c r="A68" s="2476"/>
      <c r="B68" s="2476"/>
      <c r="C68" s="2476"/>
      <c r="D68" s="2476"/>
      <c r="E68" s="2476"/>
      <c r="F68" s="2476"/>
      <c r="G68" s="2476"/>
      <c r="H68" s="2476"/>
      <c r="I68" s="2476"/>
      <c r="J68" s="2476"/>
    </row>
    <row r="69" spans="1:17" ht="15" customHeight="1" x14ac:dyDescent="0.25">
      <c r="A69" s="2476"/>
      <c r="B69" s="2476"/>
      <c r="C69" s="2476"/>
      <c r="D69" s="2476"/>
      <c r="E69" s="2476"/>
      <c r="F69" s="2476"/>
      <c r="G69" s="2476"/>
      <c r="H69" s="2476"/>
      <c r="I69" s="2476"/>
      <c r="J69" s="2476"/>
    </row>
    <row r="70" spans="1:17" ht="15" customHeight="1" x14ac:dyDescent="0.25">
      <c r="A70" s="2476"/>
      <c r="B70" s="2476"/>
      <c r="C70" s="2476"/>
      <c r="D70" s="2476"/>
      <c r="E70" s="2476"/>
      <c r="F70" s="2476"/>
      <c r="G70" s="2476"/>
      <c r="H70" s="2476"/>
      <c r="I70" s="2476"/>
      <c r="J70" s="2476"/>
    </row>
    <row r="71" spans="1:17" ht="15" customHeight="1" x14ac:dyDescent="0.25">
      <c r="E71" s="2119"/>
      <c r="F71" s="2119"/>
      <c r="G71" s="2119"/>
      <c r="H71" s="2119"/>
      <c r="I71" s="2119"/>
    </row>
    <row r="72" spans="1:17" ht="15" customHeight="1" x14ac:dyDescent="0.25">
      <c r="A72" s="2114" t="s">
        <v>356</v>
      </c>
      <c r="B72" s="2114" t="s">
        <v>357</v>
      </c>
      <c r="C72" s="2114" t="s">
        <v>358</v>
      </c>
      <c r="D72" s="2114" t="s">
        <v>363</v>
      </c>
      <c r="E72" s="2114" t="s">
        <v>364</v>
      </c>
      <c r="F72" s="3045" t="s">
        <v>365</v>
      </c>
      <c r="G72" s="3046"/>
      <c r="H72" s="3047"/>
      <c r="I72" s="2114" t="s">
        <v>2332</v>
      </c>
      <c r="J72" s="2114" t="s">
        <v>690</v>
      </c>
      <c r="L72" s="2121" t="str">
        <f>'LR e FUGA'!G24</f>
        <v>Área (L/C)</v>
      </c>
      <c r="M72" s="2121" t="str">
        <f>'LR e FUGA'!I24</f>
        <v>RDC / IN (0,5/1 ou 5/10)</v>
      </c>
      <c r="N72" s="2121" t="str">
        <f>'LR e FUGA'!J24</f>
        <v>Insalubridade (1/50)</v>
      </c>
      <c r="P72" s="2118" t="s">
        <v>1009</v>
      </c>
    </row>
    <row r="73" spans="1:17" ht="15" customHeight="1" x14ac:dyDescent="0.25">
      <c r="A73" s="2113">
        <f>'LR e FUGA'!A25</f>
        <v>1</v>
      </c>
      <c r="B73" s="2113">
        <f>'LR e FUGA'!B25</f>
        <v>0</v>
      </c>
      <c r="C73" s="2113">
        <f>'LR e FUGA'!C25</f>
        <v>0</v>
      </c>
      <c r="D73" s="2165" t="e">
        <f>IF('LR e FUGA'!E25&lt;=0,"BG",ROUND('LR e FUGA'!E25,1))</f>
        <v>#N/A</v>
      </c>
      <c r="E73" s="2166" t="str">
        <f>IF(OR(F73=0,ISERR(F73)),"ERRO",IF(D73="BG","BG",IF('LR e FUGA'!F25&lt;0.05,"&lt; 0,05",ROUND('LR e FUGA'!F25,2))))</f>
        <v>ERRO</v>
      </c>
      <c r="F73" s="2594">
        <f>'LR e FUGA'!H25</f>
        <v>0</v>
      </c>
      <c r="G73" s="2595"/>
      <c r="H73" s="2596"/>
      <c r="I73" s="2281" t="e">
        <f>IF(OR(J73="Sim",J73="Bom"),"C","NC")</f>
        <v>#N/A</v>
      </c>
      <c r="J73" s="2129" t="e">
        <f t="shared" ref="J73:J98" si="0">IF(N73="Insalubre","Insalubre",IF(M73="Sim","Bom",IF(M73="Não","Tolerância","Restrição")))</f>
        <v>#N/A</v>
      </c>
      <c r="K73" s="2118" t="str">
        <f>IF(OR(C73=0,E73="ERRO"),"x","")</f>
        <v>x</v>
      </c>
      <c r="L73" s="2120" t="str">
        <f>'LR e FUGA'!G25</f>
        <v>L</v>
      </c>
      <c r="M73" s="2120" t="e">
        <f>'LR e FUGA'!I25</f>
        <v>#N/A</v>
      </c>
      <c r="N73" s="2120" t="str">
        <f>IF(Profissional="Físico","",'LR e FUGA'!J25)</f>
        <v/>
      </c>
      <c r="P73" s="2118" t="s">
        <v>272</v>
      </c>
      <c r="Q73" s="2118" t="s">
        <v>1010</v>
      </c>
    </row>
    <row r="74" spans="1:17" ht="15" customHeight="1" x14ac:dyDescent="0.25">
      <c r="A74" s="2113">
        <f>'LR e FUGA'!A26</f>
        <v>2</v>
      </c>
      <c r="B74" s="2113">
        <f>'LR e FUGA'!B26</f>
        <v>0</v>
      </c>
      <c r="C74" s="2113">
        <f>'LR e FUGA'!C26</f>
        <v>0</v>
      </c>
      <c r="D74" s="2165" t="e">
        <f>IF('LR e FUGA'!E26&lt;=0,"BG",ROUND('LR e FUGA'!E26,1))</f>
        <v>#N/A</v>
      </c>
      <c r="E74" s="2166" t="str">
        <f>IF(OR(F74=0,ISERR(F74)),"ERRO",IF(D74="BG","BG",IF('LR e FUGA'!F26&lt;0.05,"&lt; 0,05",ROUND('LR e FUGA'!F26,2))))</f>
        <v>ERRO</v>
      </c>
      <c r="F74" s="2594">
        <f>'LR e FUGA'!H26</f>
        <v>0</v>
      </c>
      <c r="G74" s="2595"/>
      <c r="H74" s="2596"/>
      <c r="I74" s="2281" t="e">
        <f t="shared" ref="I74:I98" si="1">IF(OR(J74="Sim",J74="Bom"),"C","NC")</f>
        <v>#N/A</v>
      </c>
      <c r="J74" s="2129" t="e">
        <f t="shared" si="0"/>
        <v>#N/A</v>
      </c>
      <c r="K74" s="2118" t="str">
        <f t="shared" ref="K74:K98" si="2">IF(OR(C74=0,E74="ERRO"),"x","")</f>
        <v>x</v>
      </c>
      <c r="L74" s="2120" t="str">
        <f>'LR e FUGA'!G26</f>
        <v>C</v>
      </c>
      <c r="M74" s="2120" t="e">
        <f>'LR e FUGA'!I26</f>
        <v>#N/A</v>
      </c>
      <c r="N74" s="2120" t="str">
        <f>IF(Profissional="Físico","",'LR e FUGA'!J26)</f>
        <v/>
      </c>
      <c r="P74" s="2118" t="s">
        <v>273</v>
      </c>
      <c r="Q74" s="2118" t="s">
        <v>660</v>
      </c>
    </row>
    <row r="75" spans="1:17" ht="15" customHeight="1" x14ac:dyDescent="0.25">
      <c r="A75" s="2113">
        <f>'LR e FUGA'!A27</f>
        <v>3</v>
      </c>
      <c r="B75" s="2113">
        <f>'LR e FUGA'!B27</f>
        <v>0</v>
      </c>
      <c r="C75" s="2113">
        <f>'LR e FUGA'!C27</f>
        <v>0</v>
      </c>
      <c r="D75" s="2165" t="e">
        <f>IF('LR e FUGA'!E27&lt;=0,"BG",ROUND('LR e FUGA'!E27,1))</f>
        <v>#N/A</v>
      </c>
      <c r="E75" s="2166" t="str">
        <f>IF(OR(F75=0,ISERR(F75)),"ERRO",IF(D75="BG","BG",IF('LR e FUGA'!F27&lt;0.05,"&lt; 0,05",ROUND('LR e FUGA'!F27,2))))</f>
        <v>ERRO</v>
      </c>
      <c r="F75" s="2594">
        <f>'LR e FUGA'!H27</f>
        <v>0</v>
      </c>
      <c r="G75" s="2595"/>
      <c r="H75" s="2596"/>
      <c r="I75" s="2281" t="e">
        <f t="shared" si="1"/>
        <v>#N/A</v>
      </c>
      <c r="J75" s="2129" t="e">
        <f t="shared" si="0"/>
        <v>#N/A</v>
      </c>
      <c r="K75" s="2118" t="str">
        <f t="shared" si="2"/>
        <v>x</v>
      </c>
      <c r="L75" s="2120" t="str">
        <f>'LR e FUGA'!G27</f>
        <v>L</v>
      </c>
      <c r="M75" s="2120" t="e">
        <f>'LR e FUGA'!I27</f>
        <v>#N/A</v>
      </c>
      <c r="N75" s="2120" t="str">
        <f>IF(Profissional="Físico","",'LR e FUGA'!J27)</f>
        <v/>
      </c>
      <c r="Q75" s="2118" t="s">
        <v>658</v>
      </c>
    </row>
    <row r="76" spans="1:17" ht="15" customHeight="1" x14ac:dyDescent="0.25">
      <c r="A76" s="2113">
        <f>'LR e FUGA'!A28</f>
        <v>4</v>
      </c>
      <c r="B76" s="2113">
        <f>'LR e FUGA'!B28</f>
        <v>0</v>
      </c>
      <c r="C76" s="2113">
        <f>'LR e FUGA'!C28</f>
        <v>0</v>
      </c>
      <c r="D76" s="2165" t="e">
        <f>IF('LR e FUGA'!E28&lt;=0,"BG",ROUND('LR e FUGA'!E28,1))</f>
        <v>#N/A</v>
      </c>
      <c r="E76" s="2166" t="str">
        <f>IF(OR(F76=0,ISERR(F76)),"ERRO",IF(D76="BG","BG",IF('LR e FUGA'!F28&lt;0.05,"&lt; 0,05",ROUND('LR e FUGA'!F28,2))))</f>
        <v>ERRO</v>
      </c>
      <c r="F76" s="2594">
        <f>'LR e FUGA'!H28</f>
        <v>0</v>
      </c>
      <c r="G76" s="2595"/>
      <c r="H76" s="2596"/>
      <c r="I76" s="2281" t="e">
        <f t="shared" si="1"/>
        <v>#N/A</v>
      </c>
      <c r="J76" s="2129" t="e">
        <f t="shared" si="0"/>
        <v>#N/A</v>
      </c>
      <c r="K76" s="2118" t="str">
        <f t="shared" si="2"/>
        <v>x</v>
      </c>
      <c r="L76" s="2120" t="str">
        <f>'LR e FUGA'!G28</f>
        <v>L</v>
      </c>
      <c r="M76" s="2120" t="e">
        <f>'LR e FUGA'!I28</f>
        <v>#N/A</v>
      </c>
      <c r="N76" s="2120" t="str">
        <f>IF(Profissional="Físico","",'LR e FUGA'!J28)</f>
        <v/>
      </c>
      <c r="Q76" s="2118" t="s">
        <v>691</v>
      </c>
    </row>
    <row r="77" spans="1:17" ht="15" customHeight="1" x14ac:dyDescent="0.25">
      <c r="A77" s="2113">
        <f>'LR e FUGA'!A29</f>
        <v>5</v>
      </c>
      <c r="B77" s="2113">
        <f>'LR e FUGA'!B29</f>
        <v>0</v>
      </c>
      <c r="C77" s="2113">
        <f>'LR e FUGA'!C29</f>
        <v>0</v>
      </c>
      <c r="D77" s="2165" t="e">
        <f>IF('LR e FUGA'!E29&lt;=0,"BG",ROUND('LR e FUGA'!E29,1))</f>
        <v>#N/A</v>
      </c>
      <c r="E77" s="2166" t="str">
        <f>IF(OR(F77=0,ISERR(F77)),"ERRO",IF(D77="BG","BG",IF('LR e FUGA'!F29&lt;0.05,"&lt; 0,05",ROUND('LR e FUGA'!F29,2))))</f>
        <v>ERRO</v>
      </c>
      <c r="F77" s="2594">
        <f>'LR e FUGA'!H29</f>
        <v>0</v>
      </c>
      <c r="G77" s="2595"/>
      <c r="H77" s="2596"/>
      <c r="I77" s="2281" t="e">
        <f t="shared" si="1"/>
        <v>#N/A</v>
      </c>
      <c r="J77" s="2129" t="e">
        <f t="shared" si="0"/>
        <v>#N/A</v>
      </c>
      <c r="K77" s="2118" t="str">
        <f t="shared" si="2"/>
        <v>x</v>
      </c>
      <c r="L77" s="2120" t="str">
        <f>'LR e FUGA'!G29</f>
        <v>L</v>
      </c>
      <c r="M77" s="2120" t="e">
        <f>'LR e FUGA'!I29</f>
        <v>#N/A</v>
      </c>
      <c r="N77" s="2120" t="str">
        <f>IF(Profissional="Físico","",'LR e FUGA'!J29)</f>
        <v/>
      </c>
    </row>
    <row r="78" spans="1:17" ht="15" customHeight="1" x14ac:dyDescent="0.25">
      <c r="A78" s="2113">
        <f>'LR e FUGA'!A30</f>
        <v>6</v>
      </c>
      <c r="B78" s="2113">
        <f>'LR e FUGA'!B30</f>
        <v>0</v>
      </c>
      <c r="C78" s="2113">
        <f>'LR e FUGA'!C30</f>
        <v>0</v>
      </c>
      <c r="D78" s="2165" t="e">
        <f>IF('LR e FUGA'!E30&lt;=0,"BG",ROUND('LR e FUGA'!E30,1))</f>
        <v>#N/A</v>
      </c>
      <c r="E78" s="2166" t="str">
        <f>IF(OR(F78=0,ISERR(F78)),"ERRO",IF(D78="BG","BG",IF('LR e FUGA'!F30&lt;0.05,"&lt; 0,05",ROUND('LR e FUGA'!F30,2))))</f>
        <v>ERRO</v>
      </c>
      <c r="F78" s="2594">
        <f>'LR e FUGA'!H30</f>
        <v>0</v>
      </c>
      <c r="G78" s="2595"/>
      <c r="H78" s="2596"/>
      <c r="I78" s="2281" t="e">
        <f t="shared" si="1"/>
        <v>#N/A</v>
      </c>
      <c r="J78" s="2129" t="e">
        <f t="shared" si="0"/>
        <v>#N/A</v>
      </c>
      <c r="K78" s="2118" t="str">
        <f t="shared" si="2"/>
        <v>x</v>
      </c>
      <c r="L78" s="2120" t="str">
        <f>'LR e FUGA'!G30</f>
        <v>L</v>
      </c>
      <c r="M78" s="2120" t="e">
        <f>'LR e FUGA'!I30</f>
        <v>#N/A</v>
      </c>
      <c r="N78" s="2120" t="str">
        <f>IF(Profissional="Físico","",'LR e FUGA'!J30)</f>
        <v/>
      </c>
    </row>
    <row r="79" spans="1:17" ht="15" customHeight="1" x14ac:dyDescent="0.25">
      <c r="A79" s="2113">
        <f>'LR e FUGA'!A31</f>
        <v>7</v>
      </c>
      <c r="B79" s="2113">
        <f>'LR e FUGA'!B31</f>
        <v>0</v>
      </c>
      <c r="C79" s="2113">
        <f>'LR e FUGA'!C31</f>
        <v>0</v>
      </c>
      <c r="D79" s="2165" t="e">
        <f>IF('LR e FUGA'!E31&lt;=0,"BG",ROUND('LR e FUGA'!E31,1))</f>
        <v>#N/A</v>
      </c>
      <c r="E79" s="2166" t="str">
        <f>IF(OR(F79=0,ISERR(F79)),"ERRO",IF(D79="BG","BG",IF('LR e FUGA'!F31&lt;0.05,"&lt; 0,05",ROUND('LR e FUGA'!F31,2))))</f>
        <v>ERRO</v>
      </c>
      <c r="F79" s="2594">
        <f>'LR e FUGA'!H31</f>
        <v>0</v>
      </c>
      <c r="G79" s="2595"/>
      <c r="H79" s="2596"/>
      <c r="I79" s="2281" t="e">
        <f t="shared" si="1"/>
        <v>#N/A</v>
      </c>
      <c r="J79" s="2129" t="e">
        <f t="shared" si="0"/>
        <v>#N/A</v>
      </c>
      <c r="K79" s="2118" t="str">
        <f t="shared" si="2"/>
        <v>x</v>
      </c>
      <c r="L79" s="2120" t="str">
        <f>'LR e FUGA'!G31</f>
        <v>L</v>
      </c>
      <c r="M79" s="2120" t="e">
        <f>'LR e FUGA'!I31</f>
        <v>#N/A</v>
      </c>
      <c r="N79" s="2120" t="str">
        <f>IF(Profissional="Físico","",'LR e FUGA'!J31)</f>
        <v/>
      </c>
    </row>
    <row r="80" spans="1:17" ht="15" customHeight="1" x14ac:dyDescent="0.25">
      <c r="A80" s="2113">
        <f>'LR e FUGA'!A32</f>
        <v>8</v>
      </c>
      <c r="B80" s="2113">
        <f>'LR e FUGA'!B32</f>
        <v>0</v>
      </c>
      <c r="C80" s="2113">
        <f>'LR e FUGA'!C32</f>
        <v>0</v>
      </c>
      <c r="D80" s="2165" t="e">
        <f>IF('LR e FUGA'!E32&lt;=0,"BG",ROUND('LR e FUGA'!E32,1))</f>
        <v>#N/A</v>
      </c>
      <c r="E80" s="2166" t="str">
        <f>IF(OR(F80=0,ISERR(F80)),"ERRO",IF(D80="BG","BG",IF('LR e FUGA'!F32&lt;0.05,"&lt; 0,05",ROUND('LR e FUGA'!F32,2))))</f>
        <v>ERRO</v>
      </c>
      <c r="F80" s="2594">
        <f>'LR e FUGA'!H32</f>
        <v>0</v>
      </c>
      <c r="G80" s="2595"/>
      <c r="H80" s="2596"/>
      <c r="I80" s="2281" t="e">
        <f t="shared" si="1"/>
        <v>#N/A</v>
      </c>
      <c r="J80" s="2129" t="e">
        <f t="shared" si="0"/>
        <v>#N/A</v>
      </c>
      <c r="K80" s="2118" t="str">
        <f t="shared" si="2"/>
        <v>x</v>
      </c>
      <c r="L80" s="2120" t="str">
        <f>'LR e FUGA'!G32</f>
        <v>L</v>
      </c>
      <c r="M80" s="2120" t="e">
        <f>'LR e FUGA'!I32</f>
        <v>#N/A</v>
      </c>
      <c r="N80" s="2120" t="str">
        <f>IF(Profissional="Físico","",'LR e FUGA'!J32)</f>
        <v/>
      </c>
    </row>
    <row r="81" spans="1:14" ht="15" customHeight="1" x14ac:dyDescent="0.25">
      <c r="A81" s="2113">
        <f>'LR e FUGA'!A33</f>
        <v>9</v>
      </c>
      <c r="B81" s="2113">
        <f>'LR e FUGA'!B33</f>
        <v>0</v>
      </c>
      <c r="C81" s="2113">
        <f>'LR e FUGA'!C33</f>
        <v>0</v>
      </c>
      <c r="D81" s="2165" t="e">
        <f>IF('LR e FUGA'!E33&lt;=0,"BG",ROUND('LR e FUGA'!E33,1))</f>
        <v>#N/A</v>
      </c>
      <c r="E81" s="2166" t="str">
        <f>IF(OR(F81=0,ISERR(F81)),"ERRO",IF(D81="BG","BG",IF('LR e FUGA'!F33&lt;0.05,"&lt; 0,05",ROUND('LR e FUGA'!F33,2))))</f>
        <v>ERRO</v>
      </c>
      <c r="F81" s="2594">
        <f>'LR e FUGA'!H33</f>
        <v>0</v>
      </c>
      <c r="G81" s="2595"/>
      <c r="H81" s="2596"/>
      <c r="I81" s="2281" t="e">
        <f t="shared" si="1"/>
        <v>#N/A</v>
      </c>
      <c r="J81" s="2129" t="e">
        <f t="shared" si="0"/>
        <v>#N/A</v>
      </c>
      <c r="K81" s="2118" t="str">
        <f t="shared" si="2"/>
        <v>x</v>
      </c>
      <c r="L81" s="2120" t="str">
        <f>'LR e FUGA'!G33</f>
        <v>L</v>
      </c>
      <c r="M81" s="2120" t="e">
        <f>'LR e FUGA'!I33</f>
        <v>#N/A</v>
      </c>
      <c r="N81" s="2120" t="str">
        <f>IF(Profissional="Físico","",'LR e FUGA'!J33)</f>
        <v/>
      </c>
    </row>
    <row r="82" spans="1:14" ht="15" customHeight="1" x14ac:dyDescent="0.25">
      <c r="A82" s="2113">
        <f>'LR e FUGA'!A34</f>
        <v>10</v>
      </c>
      <c r="B82" s="2113">
        <f>'LR e FUGA'!B34</f>
        <v>0</v>
      </c>
      <c r="C82" s="2113">
        <f>'LR e FUGA'!C34</f>
        <v>0</v>
      </c>
      <c r="D82" s="2165" t="e">
        <f>IF('LR e FUGA'!E34&lt;=0,"BG",ROUND('LR e FUGA'!E34,1))</f>
        <v>#N/A</v>
      </c>
      <c r="E82" s="2166" t="str">
        <f>IF(OR(F82=0,ISERR(F82)),"ERRO",IF(D82="BG","BG",IF('LR e FUGA'!F34&lt;0.05,"&lt; 0,05",ROUND('LR e FUGA'!F34,2))))</f>
        <v>ERRO</v>
      </c>
      <c r="F82" s="2594">
        <f>'LR e FUGA'!H34</f>
        <v>0</v>
      </c>
      <c r="G82" s="2595"/>
      <c r="H82" s="2596"/>
      <c r="I82" s="2281" t="e">
        <f t="shared" si="1"/>
        <v>#N/A</v>
      </c>
      <c r="J82" s="2129" t="e">
        <f t="shared" si="0"/>
        <v>#N/A</v>
      </c>
      <c r="K82" s="2118" t="str">
        <f t="shared" si="2"/>
        <v>x</v>
      </c>
      <c r="L82" s="2120" t="str">
        <f>'LR e FUGA'!G34</f>
        <v>L</v>
      </c>
      <c r="M82" s="2120" t="e">
        <f>'LR e FUGA'!I34</f>
        <v>#N/A</v>
      </c>
      <c r="N82" s="2120" t="str">
        <f>IF(Profissional="Físico","",'LR e FUGA'!J34)</f>
        <v/>
      </c>
    </row>
    <row r="83" spans="1:14" ht="15" customHeight="1" x14ac:dyDescent="0.25">
      <c r="A83" s="2113">
        <f>'LR e FUGA'!A35</f>
        <v>11</v>
      </c>
      <c r="B83" s="2113">
        <f>'LR e FUGA'!B35</f>
        <v>0</v>
      </c>
      <c r="C83" s="2113">
        <f>'LR e FUGA'!C35</f>
        <v>0</v>
      </c>
      <c r="D83" s="2165" t="e">
        <f>IF('LR e FUGA'!E35&lt;=0,"BG",ROUND('LR e FUGA'!E35,1))</f>
        <v>#N/A</v>
      </c>
      <c r="E83" s="2166" t="str">
        <f>IF(OR(F83=0,ISERR(F83)),"ERRO",IF(D83="BG","BG",IF('LR e FUGA'!F35&lt;0.05,"&lt; 0,05",ROUND('LR e FUGA'!F35,2))))</f>
        <v>ERRO</v>
      </c>
      <c r="F83" s="2594">
        <f>'LR e FUGA'!H35</f>
        <v>0</v>
      </c>
      <c r="G83" s="2595"/>
      <c r="H83" s="2596"/>
      <c r="I83" s="2281" t="e">
        <f t="shared" si="1"/>
        <v>#N/A</v>
      </c>
      <c r="J83" s="2129" t="e">
        <f t="shared" si="0"/>
        <v>#N/A</v>
      </c>
      <c r="K83" s="2118" t="str">
        <f t="shared" si="2"/>
        <v>x</v>
      </c>
      <c r="L83" s="2120" t="str">
        <f>'LR e FUGA'!G35</f>
        <v>L</v>
      </c>
      <c r="M83" s="2120" t="e">
        <f>'LR e FUGA'!I35</f>
        <v>#N/A</v>
      </c>
      <c r="N83" s="2120" t="str">
        <f>IF(Profissional="Físico","",'LR e FUGA'!J35)</f>
        <v/>
      </c>
    </row>
    <row r="84" spans="1:14" ht="15" customHeight="1" x14ac:dyDescent="0.25">
      <c r="A84" s="2113">
        <f>'LR e FUGA'!A36</f>
        <v>12</v>
      </c>
      <c r="B84" s="2113">
        <f>'LR e FUGA'!B36</f>
        <v>0</v>
      </c>
      <c r="C84" s="2113">
        <f>'LR e FUGA'!C36</f>
        <v>0</v>
      </c>
      <c r="D84" s="2165" t="e">
        <f>IF('LR e FUGA'!E36&lt;=0,"BG",ROUND('LR e FUGA'!E36,1))</f>
        <v>#N/A</v>
      </c>
      <c r="E84" s="2166" t="str">
        <f>IF(OR(F84=0,ISERR(F84)),"ERRO",IF(D84="BG","BG",IF('LR e FUGA'!F36&lt;0.05,"&lt; 0,05",ROUND('LR e FUGA'!F36,2))))</f>
        <v>ERRO</v>
      </c>
      <c r="F84" s="2594">
        <f>'LR e FUGA'!H36</f>
        <v>0</v>
      </c>
      <c r="G84" s="2595"/>
      <c r="H84" s="2596"/>
      <c r="I84" s="2281" t="e">
        <f t="shared" si="1"/>
        <v>#N/A</v>
      </c>
      <c r="J84" s="2129" t="e">
        <f t="shared" si="0"/>
        <v>#N/A</v>
      </c>
      <c r="K84" s="2118" t="str">
        <f t="shared" si="2"/>
        <v>x</v>
      </c>
      <c r="L84" s="2120" t="str">
        <f>'LR e FUGA'!G36</f>
        <v>L</v>
      </c>
      <c r="M84" s="2120" t="e">
        <f>'LR e FUGA'!I36</f>
        <v>#N/A</v>
      </c>
      <c r="N84" s="2120" t="str">
        <f>IF(Profissional="Físico","",'LR e FUGA'!J36)</f>
        <v/>
      </c>
    </row>
    <row r="85" spans="1:14" ht="15" customHeight="1" x14ac:dyDescent="0.25">
      <c r="A85" s="2113">
        <f>'LR e FUGA'!A37</f>
        <v>13</v>
      </c>
      <c r="B85" s="2113">
        <f>'LR e FUGA'!B37</f>
        <v>0</v>
      </c>
      <c r="C85" s="2113">
        <f>'LR e FUGA'!C37</f>
        <v>0</v>
      </c>
      <c r="D85" s="2165" t="e">
        <f>IF('LR e FUGA'!E37&lt;=0,"BG",ROUND('LR e FUGA'!E37,1))</f>
        <v>#N/A</v>
      </c>
      <c r="E85" s="2166" t="str">
        <f>IF(OR(F85=0,ISERR(F85)),"ERRO",IF(D85="BG","BG",IF('LR e FUGA'!F37&lt;0.05,"&lt; 0,05",ROUND('LR e FUGA'!F37,2))))</f>
        <v>ERRO</v>
      </c>
      <c r="F85" s="2594">
        <f>'LR e FUGA'!H37</f>
        <v>0</v>
      </c>
      <c r="G85" s="2595"/>
      <c r="H85" s="2596"/>
      <c r="I85" s="2281" t="e">
        <f t="shared" si="1"/>
        <v>#N/A</v>
      </c>
      <c r="J85" s="2129" t="e">
        <f t="shared" si="0"/>
        <v>#N/A</v>
      </c>
      <c r="K85" s="2118" t="str">
        <f t="shared" si="2"/>
        <v>x</v>
      </c>
      <c r="L85" s="2120" t="str">
        <f>'LR e FUGA'!G37</f>
        <v>L</v>
      </c>
      <c r="M85" s="2120" t="e">
        <f>'LR e FUGA'!I37</f>
        <v>#N/A</v>
      </c>
      <c r="N85" s="2120" t="str">
        <f>IF(Profissional="Físico","",'LR e FUGA'!J37)</f>
        <v/>
      </c>
    </row>
    <row r="86" spans="1:14" ht="15" customHeight="1" x14ac:dyDescent="0.25">
      <c r="A86" s="2113">
        <f>'LR e FUGA'!A38</f>
        <v>14</v>
      </c>
      <c r="B86" s="2113">
        <f>'LR e FUGA'!B38</f>
        <v>0</v>
      </c>
      <c r="C86" s="2113">
        <f>'LR e FUGA'!C38</f>
        <v>0</v>
      </c>
      <c r="D86" s="2165" t="e">
        <f>IF('LR e FUGA'!E38&lt;=0,"BG",ROUND('LR e FUGA'!E38,1))</f>
        <v>#N/A</v>
      </c>
      <c r="E86" s="2166" t="str">
        <f>IF(OR(F86=0,ISERR(F86)),"ERRO",IF(D86="BG","BG",IF('LR e FUGA'!F38&lt;0.05,"&lt; 0,05",ROUND('LR e FUGA'!F38,2))))</f>
        <v>ERRO</v>
      </c>
      <c r="F86" s="2594">
        <f>'LR e FUGA'!H38</f>
        <v>0</v>
      </c>
      <c r="G86" s="2595"/>
      <c r="H86" s="2596"/>
      <c r="I86" s="2281" t="e">
        <f t="shared" si="1"/>
        <v>#N/A</v>
      </c>
      <c r="J86" s="2129" t="e">
        <f t="shared" si="0"/>
        <v>#N/A</v>
      </c>
      <c r="K86" s="2118" t="str">
        <f t="shared" si="2"/>
        <v>x</v>
      </c>
      <c r="L86" s="2120" t="str">
        <f>'LR e FUGA'!G38</f>
        <v>L</v>
      </c>
      <c r="M86" s="2120" t="e">
        <f>'LR e FUGA'!I38</f>
        <v>#N/A</v>
      </c>
      <c r="N86" s="2120" t="str">
        <f>IF(Profissional="Físico","",'LR e FUGA'!J38)</f>
        <v/>
      </c>
    </row>
    <row r="87" spans="1:14" ht="15" customHeight="1" x14ac:dyDescent="0.25">
      <c r="A87" s="2113">
        <f>'LR e FUGA'!A39</f>
        <v>15</v>
      </c>
      <c r="B87" s="2113">
        <f>'LR e FUGA'!B39</f>
        <v>0</v>
      </c>
      <c r="C87" s="2113">
        <f>'LR e FUGA'!C39</f>
        <v>0</v>
      </c>
      <c r="D87" s="2165" t="e">
        <f>IF('LR e FUGA'!E39&lt;=0,"BG",ROUND('LR e FUGA'!E39,1))</f>
        <v>#N/A</v>
      </c>
      <c r="E87" s="2166" t="str">
        <f>IF(OR(F87=0,ISERR(F87)),"ERRO",IF(D87="BG","BG",IF('LR e FUGA'!F39&lt;0.05,"&lt; 0,05",ROUND('LR e FUGA'!F39,2))))</f>
        <v>ERRO</v>
      </c>
      <c r="F87" s="2594">
        <f>'LR e FUGA'!H39</f>
        <v>0</v>
      </c>
      <c r="G87" s="2595"/>
      <c r="H87" s="2596"/>
      <c r="I87" s="2281" t="e">
        <f t="shared" si="1"/>
        <v>#N/A</v>
      </c>
      <c r="J87" s="2129" t="e">
        <f t="shared" si="0"/>
        <v>#N/A</v>
      </c>
      <c r="K87" s="2118" t="str">
        <f t="shared" si="2"/>
        <v>x</v>
      </c>
      <c r="L87" s="2120" t="str">
        <f>'LR e FUGA'!G39</f>
        <v>L</v>
      </c>
      <c r="M87" s="2120" t="e">
        <f>'LR e FUGA'!I39</f>
        <v>#N/A</v>
      </c>
      <c r="N87" s="2120" t="str">
        <f>IF(Profissional="Físico","",'LR e FUGA'!J39)</f>
        <v/>
      </c>
    </row>
    <row r="88" spans="1:14" ht="15" customHeight="1" x14ac:dyDescent="0.25">
      <c r="A88" s="2113">
        <f>'LR e FUGA'!A40</f>
        <v>16</v>
      </c>
      <c r="B88" s="2113">
        <f>'LR e FUGA'!B40</f>
        <v>0</v>
      </c>
      <c r="C88" s="2113">
        <f>'LR e FUGA'!C40</f>
        <v>0</v>
      </c>
      <c r="D88" s="2165" t="e">
        <f>IF('LR e FUGA'!E40&lt;=0,"BG",ROUND('LR e FUGA'!E40,1))</f>
        <v>#N/A</v>
      </c>
      <c r="E88" s="2166" t="str">
        <f>IF(OR(F88=0,ISERR(F88)),"ERRO",IF(D88="BG","BG",IF('LR e FUGA'!F40&lt;0.05,"&lt; 0,05",ROUND('LR e FUGA'!F40,2))))</f>
        <v>ERRO</v>
      </c>
      <c r="F88" s="2594">
        <f>'LR e FUGA'!H40</f>
        <v>0</v>
      </c>
      <c r="G88" s="2595"/>
      <c r="H88" s="2596"/>
      <c r="I88" s="2281" t="e">
        <f t="shared" si="1"/>
        <v>#N/A</v>
      </c>
      <c r="J88" s="2129" t="e">
        <f t="shared" si="0"/>
        <v>#N/A</v>
      </c>
      <c r="K88" s="2118" t="str">
        <f t="shared" si="2"/>
        <v>x</v>
      </c>
      <c r="L88" s="2120" t="str">
        <f>'LR e FUGA'!G40</f>
        <v>L</v>
      </c>
      <c r="M88" s="2120" t="e">
        <f>'LR e FUGA'!I40</f>
        <v>#N/A</v>
      </c>
      <c r="N88" s="2120" t="str">
        <f>IF(Profissional="Físico","",'LR e FUGA'!J40)</f>
        <v/>
      </c>
    </row>
    <row r="89" spans="1:14" ht="15" customHeight="1" x14ac:dyDescent="0.25">
      <c r="A89" s="2113">
        <f>'LR e FUGA'!A41</f>
        <v>17</v>
      </c>
      <c r="B89" s="2113">
        <f>'LR e FUGA'!B41</f>
        <v>0</v>
      </c>
      <c r="C89" s="2113">
        <f>'LR e FUGA'!C41</f>
        <v>0</v>
      </c>
      <c r="D89" s="2165" t="e">
        <f>IF('LR e FUGA'!E41&lt;=0,"BG",ROUND('LR e FUGA'!E41,1))</f>
        <v>#N/A</v>
      </c>
      <c r="E89" s="2166" t="str">
        <f>IF(OR(F89=0,ISERR(F89)),"ERRO",IF(D89="BG","BG",IF('LR e FUGA'!F41&lt;0.05,"&lt; 0,05",ROUND('LR e FUGA'!F41,2))))</f>
        <v>ERRO</v>
      </c>
      <c r="F89" s="2594">
        <f>'LR e FUGA'!H41</f>
        <v>0</v>
      </c>
      <c r="G89" s="2595"/>
      <c r="H89" s="2596"/>
      <c r="I89" s="2281" t="e">
        <f t="shared" si="1"/>
        <v>#N/A</v>
      </c>
      <c r="J89" s="2129" t="e">
        <f t="shared" si="0"/>
        <v>#N/A</v>
      </c>
      <c r="K89" s="2118" t="str">
        <f t="shared" si="2"/>
        <v>x</v>
      </c>
      <c r="L89" s="2120" t="str">
        <f>'LR e FUGA'!G41</f>
        <v>L</v>
      </c>
      <c r="M89" s="2120" t="e">
        <f>'LR e FUGA'!I41</f>
        <v>#N/A</v>
      </c>
      <c r="N89" s="2120" t="str">
        <f>IF(Profissional="Físico","",'LR e FUGA'!J41)</f>
        <v/>
      </c>
    </row>
    <row r="90" spans="1:14" ht="15" customHeight="1" x14ac:dyDescent="0.25">
      <c r="A90" s="2113">
        <f>'LR e FUGA'!A42</f>
        <v>18</v>
      </c>
      <c r="B90" s="2113">
        <f>'LR e FUGA'!B42</f>
        <v>0</v>
      </c>
      <c r="C90" s="2113">
        <f>'LR e FUGA'!C42</f>
        <v>0</v>
      </c>
      <c r="D90" s="2165" t="e">
        <f>IF('LR e FUGA'!E42&lt;=0,"BG",ROUND('LR e FUGA'!E42,1))</f>
        <v>#N/A</v>
      </c>
      <c r="E90" s="2166" t="str">
        <f>IF(OR(F90=0,ISERR(F90)),"ERRO",IF(D90="BG","BG",IF('LR e FUGA'!F42&lt;0.05,"&lt; 0,05",ROUND('LR e FUGA'!F42,2))))</f>
        <v>ERRO</v>
      </c>
      <c r="F90" s="2594">
        <f>'LR e FUGA'!H42</f>
        <v>0</v>
      </c>
      <c r="G90" s="2595"/>
      <c r="H90" s="2596"/>
      <c r="I90" s="2281" t="e">
        <f t="shared" si="1"/>
        <v>#N/A</v>
      </c>
      <c r="J90" s="2129" t="e">
        <f t="shared" si="0"/>
        <v>#N/A</v>
      </c>
      <c r="K90" s="2118" t="str">
        <f t="shared" si="2"/>
        <v>x</v>
      </c>
      <c r="L90" s="2120" t="str">
        <f>'LR e FUGA'!G42</f>
        <v>L</v>
      </c>
      <c r="M90" s="2120" t="e">
        <f>'LR e FUGA'!I42</f>
        <v>#N/A</v>
      </c>
      <c r="N90" s="2120" t="str">
        <f>IF(Profissional="Físico","",'LR e FUGA'!J42)</f>
        <v/>
      </c>
    </row>
    <row r="91" spans="1:14" ht="15" customHeight="1" x14ac:dyDescent="0.25">
      <c r="A91" s="2113">
        <f>'LR e FUGA'!A43</f>
        <v>19</v>
      </c>
      <c r="B91" s="2113">
        <f>'LR e FUGA'!B43</f>
        <v>0</v>
      </c>
      <c r="C91" s="2113">
        <f>'LR e FUGA'!C43</f>
        <v>0</v>
      </c>
      <c r="D91" s="2165" t="e">
        <f>IF('LR e FUGA'!E43&lt;=0,"BG",ROUND('LR e FUGA'!E43,1))</f>
        <v>#N/A</v>
      </c>
      <c r="E91" s="2166" t="str">
        <f>IF(OR(F91=0,ISERR(F91)),"ERRO",IF(D91="BG","BG",IF('LR e FUGA'!F43&lt;0.05,"&lt; 0,05",ROUND('LR e FUGA'!F43,2))))</f>
        <v>ERRO</v>
      </c>
      <c r="F91" s="2594">
        <f>'LR e FUGA'!H43</f>
        <v>0</v>
      </c>
      <c r="G91" s="2595"/>
      <c r="H91" s="2596"/>
      <c r="I91" s="2281" t="e">
        <f t="shared" si="1"/>
        <v>#N/A</v>
      </c>
      <c r="J91" s="2129" t="e">
        <f t="shared" si="0"/>
        <v>#N/A</v>
      </c>
      <c r="K91" s="2118" t="str">
        <f t="shared" si="2"/>
        <v>x</v>
      </c>
      <c r="L91" s="2120" t="str">
        <f>'LR e FUGA'!G43</f>
        <v>L</v>
      </c>
      <c r="M91" s="2120" t="e">
        <f>'LR e FUGA'!I43</f>
        <v>#N/A</v>
      </c>
      <c r="N91" s="2120" t="str">
        <f>IF(Profissional="Físico","",'LR e FUGA'!J43)</f>
        <v/>
      </c>
    </row>
    <row r="92" spans="1:14" ht="15" customHeight="1" x14ac:dyDescent="0.25">
      <c r="A92" s="2113">
        <f>'LR e FUGA'!A44</f>
        <v>20</v>
      </c>
      <c r="B92" s="2113">
        <f>'LR e FUGA'!B44</f>
        <v>0</v>
      </c>
      <c r="C92" s="2113">
        <f>'LR e FUGA'!C44</f>
        <v>0</v>
      </c>
      <c r="D92" s="2165" t="e">
        <f>IF('LR e FUGA'!E44&lt;=0,"BG",ROUND('LR e FUGA'!E44,1))</f>
        <v>#N/A</v>
      </c>
      <c r="E92" s="2166" t="str">
        <f>IF(OR(F92=0,ISERR(F92)),"ERRO",IF(D92="BG","BG",IF('LR e FUGA'!F44&lt;0.05,"&lt; 0,05",ROUND('LR e FUGA'!F44,2))))</f>
        <v>ERRO</v>
      </c>
      <c r="F92" s="2594">
        <f>'LR e FUGA'!H44</f>
        <v>0</v>
      </c>
      <c r="G92" s="2595"/>
      <c r="H92" s="2596"/>
      <c r="I92" s="2281" t="e">
        <f t="shared" si="1"/>
        <v>#N/A</v>
      </c>
      <c r="J92" s="2129" t="e">
        <f t="shared" si="0"/>
        <v>#N/A</v>
      </c>
      <c r="K92" s="2118" t="str">
        <f t="shared" si="2"/>
        <v>x</v>
      </c>
      <c r="L92" s="2120" t="str">
        <f>'LR e FUGA'!G44</f>
        <v>L</v>
      </c>
      <c r="M92" s="2120" t="e">
        <f>'LR e FUGA'!I44</f>
        <v>#N/A</v>
      </c>
      <c r="N92" s="2120" t="str">
        <f>IF(Profissional="Físico","",'LR e FUGA'!J44)</f>
        <v/>
      </c>
    </row>
    <row r="93" spans="1:14" ht="15" customHeight="1" x14ac:dyDescent="0.25">
      <c r="A93" s="2113">
        <f>'LR e FUGA'!A45</f>
        <v>21</v>
      </c>
      <c r="B93" s="2113">
        <f>'LR e FUGA'!B45</f>
        <v>0</v>
      </c>
      <c r="C93" s="2113">
        <f>'LR e FUGA'!C45</f>
        <v>0</v>
      </c>
      <c r="D93" s="2165" t="e">
        <f>IF('LR e FUGA'!E45&lt;=0,"BG",ROUND('LR e FUGA'!E45,1))</f>
        <v>#N/A</v>
      </c>
      <c r="E93" s="2166" t="str">
        <f>IF(OR(F93=0,ISERR(F93)),"ERRO",IF(D93="BG","BG",IF('LR e FUGA'!F45&lt;0.05,"&lt; 0,05",ROUND('LR e FUGA'!F45,2))))</f>
        <v>ERRO</v>
      </c>
      <c r="F93" s="2594">
        <f>'LR e FUGA'!H45</f>
        <v>0</v>
      </c>
      <c r="G93" s="2595"/>
      <c r="H93" s="2596"/>
      <c r="I93" s="2281" t="e">
        <f t="shared" si="1"/>
        <v>#N/A</v>
      </c>
      <c r="J93" s="2129" t="e">
        <f t="shared" si="0"/>
        <v>#N/A</v>
      </c>
      <c r="K93" s="2118" t="str">
        <f t="shared" si="2"/>
        <v>x</v>
      </c>
      <c r="L93" s="2120" t="str">
        <f>'LR e FUGA'!G45</f>
        <v>L</v>
      </c>
      <c r="M93" s="2120" t="e">
        <f>'LR e FUGA'!I45</f>
        <v>#N/A</v>
      </c>
      <c r="N93" s="2120" t="str">
        <f>IF(Profissional="Físico","",'LR e FUGA'!J45)</f>
        <v/>
      </c>
    </row>
    <row r="94" spans="1:14" ht="15" customHeight="1" x14ac:dyDescent="0.25">
      <c r="A94" s="2113">
        <f>'LR e FUGA'!A46</f>
        <v>22</v>
      </c>
      <c r="B94" s="2113">
        <f>'LR e FUGA'!B46</f>
        <v>0</v>
      </c>
      <c r="C94" s="2113">
        <f>'LR e FUGA'!C46</f>
        <v>0</v>
      </c>
      <c r="D94" s="2165" t="e">
        <f>IF('LR e FUGA'!E46&lt;=0,"BG",ROUND('LR e FUGA'!E46,1))</f>
        <v>#N/A</v>
      </c>
      <c r="E94" s="2166" t="str">
        <f>IF(OR(F94=0,ISERR(F94)),"ERRO",IF(D94="BG","BG",IF('LR e FUGA'!F46&lt;0.05,"&lt; 0,05",ROUND('LR e FUGA'!F46,2))))</f>
        <v>ERRO</v>
      </c>
      <c r="F94" s="2594">
        <f>'LR e FUGA'!H46</f>
        <v>0</v>
      </c>
      <c r="G94" s="2595"/>
      <c r="H94" s="2596"/>
      <c r="I94" s="2281" t="e">
        <f t="shared" si="1"/>
        <v>#N/A</v>
      </c>
      <c r="J94" s="2129" t="e">
        <f t="shared" si="0"/>
        <v>#N/A</v>
      </c>
      <c r="K94" s="2118" t="str">
        <f t="shared" si="2"/>
        <v>x</v>
      </c>
      <c r="L94" s="2120" t="str">
        <f>'LR e FUGA'!G46</f>
        <v>L</v>
      </c>
      <c r="M94" s="2120" t="e">
        <f>'LR e FUGA'!I46</f>
        <v>#N/A</v>
      </c>
      <c r="N94" s="2120" t="str">
        <f>IF(Profissional="Físico","",'LR e FUGA'!J46)</f>
        <v/>
      </c>
    </row>
    <row r="95" spans="1:14" ht="15" customHeight="1" x14ac:dyDescent="0.25">
      <c r="A95" s="2113">
        <f>'LR e FUGA'!A47</f>
        <v>23</v>
      </c>
      <c r="B95" s="2113">
        <f>'LR e FUGA'!B47</f>
        <v>0</v>
      </c>
      <c r="C95" s="2113">
        <f>'LR e FUGA'!C47</f>
        <v>0</v>
      </c>
      <c r="D95" s="2165" t="e">
        <f>IF('LR e FUGA'!E47&lt;=0,"BG",ROUND('LR e FUGA'!E47,1))</f>
        <v>#N/A</v>
      </c>
      <c r="E95" s="2166" t="str">
        <f>IF(OR(F95=0,ISERR(F95)),"ERRO",IF(D95="BG","BG",IF('LR e FUGA'!F47&lt;0.05,"&lt; 0,05",ROUND('LR e FUGA'!F47,2))))</f>
        <v>ERRO</v>
      </c>
      <c r="F95" s="2594">
        <f>'LR e FUGA'!H47</f>
        <v>0</v>
      </c>
      <c r="G95" s="2595"/>
      <c r="H95" s="2596"/>
      <c r="I95" s="2281" t="e">
        <f t="shared" si="1"/>
        <v>#N/A</v>
      </c>
      <c r="J95" s="2129" t="e">
        <f t="shared" si="0"/>
        <v>#N/A</v>
      </c>
      <c r="K95" s="2118" t="str">
        <f t="shared" si="2"/>
        <v>x</v>
      </c>
      <c r="L95" s="2120" t="str">
        <f>'LR e FUGA'!G47</f>
        <v>L</v>
      </c>
      <c r="M95" s="2120" t="e">
        <f>'LR e FUGA'!I47</f>
        <v>#N/A</v>
      </c>
      <c r="N95" s="2120" t="str">
        <f>IF(Profissional="Físico","",'LR e FUGA'!J47)</f>
        <v/>
      </c>
    </row>
    <row r="96" spans="1:14" ht="15" customHeight="1" x14ac:dyDescent="0.25">
      <c r="A96" s="2113">
        <f>'LR e FUGA'!A48</f>
        <v>24</v>
      </c>
      <c r="B96" s="2113">
        <f>'LR e FUGA'!B48</f>
        <v>0</v>
      </c>
      <c r="C96" s="2113">
        <f>'LR e FUGA'!C48</f>
        <v>0</v>
      </c>
      <c r="D96" s="2165" t="e">
        <f>IF('LR e FUGA'!E48&lt;=0,"BG",ROUND('LR e FUGA'!E48,1))</f>
        <v>#N/A</v>
      </c>
      <c r="E96" s="2166" t="str">
        <f>IF(OR(F96=0,ISERR(F96)),"ERRO",IF(D96="BG","BG",IF('LR e FUGA'!F48&lt;0.05,"&lt; 0,05",ROUND('LR e FUGA'!F48,2))))</f>
        <v>ERRO</v>
      </c>
      <c r="F96" s="2594">
        <f>'LR e FUGA'!H48</f>
        <v>0</v>
      </c>
      <c r="G96" s="2595"/>
      <c r="H96" s="2596"/>
      <c r="I96" s="2281" t="e">
        <f t="shared" si="1"/>
        <v>#N/A</v>
      </c>
      <c r="J96" s="2129" t="e">
        <f t="shared" si="0"/>
        <v>#N/A</v>
      </c>
      <c r="K96" s="2118" t="str">
        <f t="shared" si="2"/>
        <v>x</v>
      </c>
      <c r="L96" s="2120" t="str">
        <f>'LR e FUGA'!G48</f>
        <v>L</v>
      </c>
      <c r="M96" s="2120" t="e">
        <f>'LR e FUGA'!I48</f>
        <v>#N/A</v>
      </c>
      <c r="N96" s="2120" t="str">
        <f>IF(Profissional="Físico","",'LR e FUGA'!J48)</f>
        <v/>
      </c>
    </row>
    <row r="97" spans="1:14" ht="15" customHeight="1" x14ac:dyDescent="0.25">
      <c r="A97" s="2113" t="str">
        <f>'LR e FUGA'!A49</f>
        <v>Em cima</v>
      </c>
      <c r="B97" s="2113">
        <f>'LR e FUGA'!B49</f>
        <v>0</v>
      </c>
      <c r="C97" s="2113">
        <f>'LR e FUGA'!C49</f>
        <v>0</v>
      </c>
      <c r="D97" s="2165" t="e">
        <f>IF('LR e FUGA'!E49&lt;=0,"BG",ROUND('LR e FUGA'!E49,1))</f>
        <v>#N/A</v>
      </c>
      <c r="E97" s="2166" t="str">
        <f>IF(OR(F97=0,ISERR(F97)),"ERRO",IF(D97="BG","BG",IF('LR e FUGA'!F49&lt;0.05,"&lt; 0,05",ROUND('LR e FUGA'!F49,2))))</f>
        <v>ERRO</v>
      </c>
      <c r="F97" s="2594">
        <f>'LR e FUGA'!H49</f>
        <v>0</v>
      </c>
      <c r="G97" s="2595"/>
      <c r="H97" s="2596"/>
      <c r="I97" s="2281" t="e">
        <f t="shared" si="1"/>
        <v>#N/A</v>
      </c>
      <c r="J97" s="2129" t="e">
        <f t="shared" si="0"/>
        <v>#N/A</v>
      </c>
      <c r="K97" s="2118" t="str">
        <f t="shared" si="2"/>
        <v>x</v>
      </c>
      <c r="L97" s="2120" t="str">
        <f>'LR e FUGA'!G49</f>
        <v>L</v>
      </c>
      <c r="M97" s="2120" t="e">
        <f>'LR e FUGA'!I49</f>
        <v>#N/A</v>
      </c>
      <c r="N97" s="2120" t="str">
        <f>IF(Profissional="Físico","",'LR e FUGA'!J49)</f>
        <v/>
      </c>
    </row>
    <row r="98" spans="1:14" ht="15" customHeight="1" x14ac:dyDescent="0.25">
      <c r="A98" s="2113" t="str">
        <f>'LR e FUGA'!A50</f>
        <v>Embaixo</v>
      </c>
      <c r="B98" s="2113">
        <f>'LR e FUGA'!B50</f>
        <v>0</v>
      </c>
      <c r="C98" s="2113">
        <f>'LR e FUGA'!C50</f>
        <v>0</v>
      </c>
      <c r="D98" s="2165" t="e">
        <f>IF('LR e FUGA'!E50&lt;=0,"BG",ROUND('LR e FUGA'!E50,1))</f>
        <v>#N/A</v>
      </c>
      <c r="E98" s="2166" t="str">
        <f>IF(OR(F98=0,ISERR(F98)),"ERRO",IF(D98="BG","BG",IF('LR e FUGA'!F50&lt;0.05,"&lt; 0,05",ROUND('LR e FUGA'!F50,2))))</f>
        <v>ERRO</v>
      </c>
      <c r="F98" s="2594">
        <f>'LR e FUGA'!H50</f>
        <v>0</v>
      </c>
      <c r="G98" s="2595"/>
      <c r="H98" s="2596"/>
      <c r="I98" s="2281" t="e">
        <f t="shared" si="1"/>
        <v>#N/A</v>
      </c>
      <c r="J98" s="2129" t="e">
        <f t="shared" si="0"/>
        <v>#N/A</v>
      </c>
      <c r="K98" s="2118" t="str">
        <f t="shared" si="2"/>
        <v>x</v>
      </c>
      <c r="L98" s="2120" t="str">
        <f>'LR e FUGA'!G50</f>
        <v>L</v>
      </c>
      <c r="M98" s="2120" t="e">
        <f>'LR e FUGA'!I50</f>
        <v>#N/A</v>
      </c>
      <c r="N98" s="2120" t="str">
        <f>IF(Profissional="Físico","",'LR e FUGA'!J50)</f>
        <v/>
      </c>
    </row>
    <row r="99" spans="1:14" ht="15" customHeight="1" x14ac:dyDescent="0.25">
      <c r="A99" s="3136" t="s">
        <v>2709</v>
      </c>
      <c r="B99" s="3136"/>
      <c r="C99" s="3136"/>
      <c r="D99" s="3136"/>
      <c r="E99" s="3136"/>
      <c r="F99" s="3136"/>
      <c r="G99" s="3136"/>
      <c r="H99" s="3136"/>
      <c r="I99" s="3136"/>
      <c r="J99" s="3136"/>
      <c r="L99" s="2120"/>
    </row>
    <row r="100" spans="1:14" ht="15" customHeight="1" x14ac:dyDescent="0.25">
      <c r="A100" s="3137"/>
      <c r="B100" s="3137"/>
      <c r="C100" s="3137"/>
      <c r="D100" s="3137"/>
      <c r="E100" s="3137"/>
      <c r="F100" s="3137"/>
      <c r="G100" s="3137"/>
      <c r="H100" s="3137"/>
      <c r="I100" s="3137"/>
      <c r="J100" s="3137"/>
      <c r="L100" s="2120"/>
    </row>
    <row r="101" spans="1:14" ht="15" customHeight="1" x14ac:dyDescent="0.25">
      <c r="A101" s="3137"/>
      <c r="B101" s="3137"/>
      <c r="C101" s="3137"/>
      <c r="D101" s="3137"/>
      <c r="E101" s="3137"/>
      <c r="F101" s="3137"/>
      <c r="G101" s="3137"/>
      <c r="H101" s="3137"/>
      <c r="I101" s="3137"/>
      <c r="J101" s="3137"/>
      <c r="L101" s="2120"/>
    </row>
    <row r="102" spans="1:14" ht="15" customHeight="1" x14ac:dyDescent="0.25">
      <c r="A102" s="2167"/>
      <c r="B102" s="2167"/>
      <c r="C102" s="2167"/>
      <c r="D102" s="2167"/>
      <c r="E102" s="2167"/>
      <c r="F102" s="2167"/>
      <c r="G102" s="2167"/>
      <c r="H102" s="2167"/>
      <c r="I102" s="2167"/>
      <c r="J102" s="2167"/>
    </row>
    <row r="103" spans="1:14" ht="15" customHeight="1" x14ac:dyDescent="0.25">
      <c r="A103" s="281" t="s">
        <v>645</v>
      </c>
    </row>
    <row r="104" spans="1:14" ht="15" customHeight="1" x14ac:dyDescent="0.25">
      <c r="A104" s="2476" t="str">
        <f>CONCATENATE("                ",Tabelas2!S4)</f>
        <v xml:space="preserve">                Medidor de tensão, tempo, dose e camada semirredutora marca RaySafe, modelo X2 8251010-6, série 257741, sensor modelo 8252010-6, série 260722, certificado de calibração em anexo.</v>
      </c>
      <c r="B104" s="2476"/>
      <c r="C104" s="2476"/>
      <c r="D104" s="2476"/>
      <c r="E104" s="2476"/>
      <c r="F104" s="2476"/>
      <c r="G104" s="2476"/>
      <c r="H104" s="2476"/>
      <c r="I104" s="2476"/>
      <c r="J104" s="2476"/>
      <c r="K104" s="2118" t="str">
        <f>IF(OR(Cabeçalho!B14="Tomografia computadorizada",Cabeçalho!B14="Densitometria óssea"),"x","")</f>
        <v/>
      </c>
    </row>
    <row r="105" spans="1:14" ht="15" customHeight="1" x14ac:dyDescent="0.25">
      <c r="A105" s="2476"/>
      <c r="B105" s="2476"/>
      <c r="C105" s="2476"/>
      <c r="D105" s="2476"/>
      <c r="E105" s="2476"/>
      <c r="F105" s="2476"/>
      <c r="G105" s="2476"/>
      <c r="H105" s="2476"/>
      <c r="I105" s="2476"/>
      <c r="J105" s="2476"/>
      <c r="K105" s="2118" t="str">
        <f>K104</f>
        <v/>
      </c>
    </row>
    <row r="106" spans="1:14" ht="15" customHeight="1" x14ac:dyDescent="0.25">
      <c r="A106" s="2476" t="str">
        <f>CONCATENATE("               ",Tabelas2!T4)</f>
        <v xml:space="preserve">               Câmara de ionização marca Fluke Biomedical, modelo 451P-DE-SI-RYR, série 2826, certificado de calibração em anexo.</v>
      </c>
      <c r="B106" s="2476"/>
      <c r="C106" s="2476"/>
      <c r="D106" s="2476"/>
      <c r="E106" s="2476"/>
      <c r="F106" s="2476"/>
      <c r="G106" s="2476"/>
      <c r="H106" s="2476"/>
      <c r="I106" s="2476"/>
      <c r="J106" s="2476"/>
    </row>
    <row r="107" spans="1:14" ht="15" customHeight="1" x14ac:dyDescent="0.25">
      <c r="A107" s="2476"/>
      <c r="B107" s="2476"/>
      <c r="C107" s="2476"/>
      <c r="D107" s="2476"/>
      <c r="E107" s="2476"/>
      <c r="F107" s="2476"/>
      <c r="G107" s="2476"/>
      <c r="H107" s="2476"/>
      <c r="I107" s="2476"/>
      <c r="J107" s="2476"/>
    </row>
    <row r="108" spans="1:14" ht="15" customHeight="1" x14ac:dyDescent="0.25">
      <c r="A108" s="2110"/>
      <c r="B108" s="2110"/>
      <c r="C108" s="2110"/>
      <c r="D108" s="2110"/>
      <c r="E108" s="2110"/>
      <c r="F108" s="2110"/>
      <c r="G108" s="2110"/>
      <c r="H108" s="2110"/>
      <c r="I108" s="2110"/>
      <c r="J108" s="2110"/>
    </row>
    <row r="109" spans="1:14" ht="15" customHeight="1" x14ac:dyDescent="0.25">
      <c r="A109" s="281" t="s">
        <v>688</v>
      </c>
      <c r="B109" s="2110"/>
      <c r="C109" s="2110"/>
      <c r="D109" s="2110"/>
      <c r="E109" s="2110"/>
      <c r="F109" s="2110"/>
      <c r="G109" s="2110"/>
      <c r="H109" s="2110"/>
      <c r="I109" s="2110"/>
      <c r="J109" s="2110"/>
    </row>
    <row r="110" spans="1:14" ht="15" customHeight="1" x14ac:dyDescent="0.25">
      <c r="A110" s="2476" t="s">
        <v>689</v>
      </c>
      <c r="B110" s="2476"/>
      <c r="C110" s="2476"/>
      <c r="D110" s="2476"/>
      <c r="E110" s="2476"/>
      <c r="F110" s="2476"/>
      <c r="G110" s="2476"/>
      <c r="H110" s="2476"/>
      <c r="I110" s="2476"/>
      <c r="J110" s="2476"/>
    </row>
    <row r="111" spans="1:14" ht="15" customHeight="1" x14ac:dyDescent="0.25">
      <c r="A111" s="2476"/>
      <c r="B111" s="2476"/>
      <c r="C111" s="2476"/>
      <c r="D111" s="2476"/>
      <c r="E111" s="2476"/>
      <c r="F111" s="2476"/>
      <c r="G111" s="2476"/>
      <c r="H111" s="2476"/>
      <c r="I111" s="2476"/>
      <c r="J111" s="2476"/>
    </row>
    <row r="112" spans="1:14" ht="15" customHeight="1" x14ac:dyDescent="0.25">
      <c r="A112" s="2476" t="str">
        <f>IntroPrazoArmazenamento</f>
        <v xml:space="preserve">               Este documento deve ser arquivado e mantido à disposição da autoridade sanitária local, garantindo sua rastreabilidade pelo prazo mínimo de 5 anos. </v>
      </c>
      <c r="B112" s="2476"/>
      <c r="C112" s="2476"/>
      <c r="D112" s="2476"/>
      <c r="E112" s="2476"/>
      <c r="F112" s="2476"/>
      <c r="G112" s="2476"/>
      <c r="H112" s="2476"/>
      <c r="I112" s="2476"/>
      <c r="J112" s="2476"/>
    </row>
    <row r="113" spans="1:11" ht="15" customHeight="1" x14ac:dyDescent="0.25">
      <c r="A113" s="2476"/>
      <c r="B113" s="2476"/>
      <c r="C113" s="2476"/>
      <c r="D113" s="2476"/>
      <c r="E113" s="2476"/>
      <c r="F113" s="2476"/>
      <c r="G113" s="2476"/>
      <c r="H113" s="2476"/>
      <c r="I113" s="2476"/>
      <c r="J113" s="2476"/>
    </row>
    <row r="114" spans="1:11" ht="15" customHeight="1" x14ac:dyDescent="0.25">
      <c r="A114" s="2476" t="s">
        <v>2331</v>
      </c>
      <c r="B114" s="2476"/>
      <c r="C114" s="2476"/>
      <c r="D114" s="2476"/>
      <c r="E114" s="2476"/>
      <c r="F114" s="2476"/>
      <c r="G114" s="2476"/>
      <c r="H114" s="2476"/>
      <c r="I114" s="2476"/>
      <c r="J114" s="2476"/>
    </row>
    <row r="115" spans="1:11" ht="15" customHeight="1" x14ac:dyDescent="0.25">
      <c r="A115" s="2476"/>
      <c r="B115" s="2476"/>
      <c r="C115" s="2476"/>
      <c r="D115" s="2476"/>
      <c r="E115" s="2476"/>
      <c r="F115" s="2476"/>
      <c r="G115" s="2476"/>
      <c r="H115" s="2476"/>
      <c r="I115" s="2476"/>
      <c r="J115" s="2476"/>
    </row>
    <row r="116" spans="1:11" ht="15" customHeight="1" x14ac:dyDescent="0.25">
      <c r="A116" s="2476"/>
      <c r="B116" s="2476"/>
      <c r="C116" s="2476"/>
      <c r="D116" s="2476"/>
      <c r="E116" s="2476"/>
      <c r="F116" s="2476"/>
      <c r="G116" s="2476"/>
      <c r="H116" s="2476"/>
      <c r="I116" s="2476"/>
      <c r="J116" s="2476"/>
    </row>
    <row r="117" spans="1:11" ht="15" customHeight="1" x14ac:dyDescent="0.25">
      <c r="A117" s="2476"/>
      <c r="B117" s="2476"/>
      <c r="C117" s="2476"/>
      <c r="D117" s="2476"/>
      <c r="E117" s="2476"/>
      <c r="F117" s="2476"/>
      <c r="G117" s="2476"/>
      <c r="H117" s="2476"/>
      <c r="I117" s="2476"/>
      <c r="J117" s="2476"/>
    </row>
    <row r="118" spans="1:11" ht="15" customHeight="1" x14ac:dyDescent="0.25">
      <c r="A118" s="2476"/>
      <c r="B118" s="2476"/>
      <c r="C118" s="2476"/>
      <c r="D118" s="2476"/>
      <c r="E118" s="2476"/>
      <c r="F118" s="2476"/>
      <c r="G118" s="2476"/>
      <c r="H118" s="2476"/>
      <c r="I118" s="2476"/>
      <c r="J118" s="2476"/>
    </row>
    <row r="119" spans="1:11" ht="15" customHeight="1" x14ac:dyDescent="0.25">
      <c r="A119" s="2476" t="s">
        <v>2341</v>
      </c>
      <c r="B119" s="2476"/>
      <c r="C119" s="2476"/>
      <c r="D119" s="2476"/>
      <c r="E119" s="2476"/>
      <c r="F119" s="2476"/>
      <c r="G119" s="2476"/>
      <c r="H119" s="2476"/>
      <c r="I119" s="2476"/>
      <c r="J119" s="2476"/>
    </row>
    <row r="120" spans="1:11" ht="15" customHeight="1" x14ac:dyDescent="0.25">
      <c r="A120" s="2476"/>
      <c r="B120" s="2476"/>
      <c r="C120" s="2476"/>
      <c r="D120" s="2476"/>
      <c r="E120" s="2476"/>
      <c r="F120" s="2476"/>
      <c r="G120" s="2476"/>
      <c r="H120" s="2476"/>
      <c r="I120" s="2476"/>
      <c r="J120" s="2476"/>
    </row>
    <row r="121" spans="1:11" ht="15" customHeight="1" x14ac:dyDescent="0.25">
      <c r="A121" s="2476" t="s">
        <v>945</v>
      </c>
      <c r="B121" s="2476"/>
      <c r="C121" s="2476"/>
      <c r="D121" s="2476"/>
      <c r="E121" s="2476"/>
      <c r="F121" s="2476"/>
      <c r="G121" s="2476"/>
      <c r="H121" s="2476"/>
      <c r="I121" s="2476"/>
      <c r="J121" s="2476"/>
      <c r="K121" s="2118" t="str">
        <f>IF('LR e FUGA'!E2="Sim","","x")</f>
        <v>x</v>
      </c>
    </row>
    <row r="122" spans="1:11" ht="15" customHeight="1" x14ac:dyDescent="0.25">
      <c r="A122" s="2476"/>
      <c r="B122" s="2476"/>
      <c r="C122" s="2476"/>
      <c r="D122" s="2476"/>
      <c r="E122" s="2476"/>
      <c r="F122" s="2476"/>
      <c r="G122" s="2476"/>
      <c r="H122" s="2476"/>
      <c r="I122" s="2476"/>
      <c r="J122" s="2476"/>
      <c r="K122" s="2118" t="str">
        <f>K121</f>
        <v>x</v>
      </c>
    </row>
    <row r="123" spans="1:11" ht="15" customHeight="1" x14ac:dyDescent="0.25">
      <c r="A123" s="2110"/>
      <c r="B123" s="2110"/>
      <c r="C123" s="2110"/>
      <c r="D123" s="2110"/>
      <c r="E123" s="2110"/>
      <c r="F123" s="2110"/>
      <c r="G123" s="2110"/>
      <c r="H123" s="2110"/>
      <c r="I123" s="2110"/>
    </row>
    <row r="124" spans="1:11" ht="15" customHeight="1" x14ac:dyDescent="0.25">
      <c r="A124" s="281" t="s">
        <v>2063</v>
      </c>
      <c r="B124" s="2110"/>
      <c r="C124" s="2110"/>
      <c r="D124" s="2110"/>
      <c r="E124" s="2110"/>
      <c r="F124" s="2110"/>
      <c r="G124" s="2110"/>
      <c r="H124" s="2110"/>
      <c r="I124" s="2110"/>
    </row>
    <row r="125" spans="1:11" s="2168" customFormat="1" ht="15" customHeight="1" x14ac:dyDescent="0.25">
      <c r="A125" s="281" t="s">
        <v>238</v>
      </c>
      <c r="B125" s="2110"/>
      <c r="C125" s="2110"/>
      <c r="D125" s="2110"/>
      <c r="E125" s="2110"/>
      <c r="F125" s="2110"/>
      <c r="G125" s="2110"/>
      <c r="H125" s="2110"/>
      <c r="I125" s="2110"/>
      <c r="J125" s="2118"/>
    </row>
    <row r="126" spans="1:11" s="2168" customFormat="1" ht="15" customHeight="1" x14ac:dyDescent="0.25">
      <c r="A126" s="2476" t="str">
        <f>"               De acordo com o Art. 64 da RDC "&amp;VLOOKUP("rdc",IN_ANVISA[],2)&amp;"/"&amp;VLOOKUP("rdc",IN_ANVISA[],3)&amp;" da ANVISA, um novo laudo de levantamento radiométrico deve ser elaborado sempre que houver modificações na infraestrutura,"&amp;" nos equipamentos ou nos processos de trabalho que influenciem as medidas de proteção radiológica do serviço de radiologia diagnóstica ou intervencionista, ou quando decorrerem 4 (quatro) anos contados da realização do último levantamento."</f>
        <v xml:space="preserve">               De acordo com o Art. 64 da RDC 611/2022 da ANVISA, um novo laudo de levantamento radiométrico deve ser elaborado sempre que houver modificações na infraestrutura, nos equipamentos ou nos processos de trabalho que influenciem as medidas de proteção radiológica do serviço de radiologia diagnóstica ou intervencionista, ou quando decorrerem 4 (quatro) anos contados da realização do último levantamento.</v>
      </c>
      <c r="B126" s="2476"/>
      <c r="C126" s="2476"/>
      <c r="D126" s="2476"/>
      <c r="E126" s="2476"/>
      <c r="F126" s="2476"/>
      <c r="G126" s="2476"/>
      <c r="H126" s="2476"/>
      <c r="I126" s="2476"/>
      <c r="J126" s="2476"/>
    </row>
    <row r="127" spans="1:11" s="2168" customFormat="1" ht="15" customHeight="1" x14ac:dyDescent="0.25">
      <c r="A127" s="2476"/>
      <c r="B127" s="2476"/>
      <c r="C127" s="2476"/>
      <c r="D127" s="2476"/>
      <c r="E127" s="2476"/>
      <c r="F127" s="2476"/>
      <c r="G127" s="2476"/>
      <c r="H127" s="2476"/>
      <c r="I127" s="2476"/>
      <c r="J127" s="2476"/>
    </row>
    <row r="128" spans="1:11" s="2168" customFormat="1" ht="15" customHeight="1" x14ac:dyDescent="0.25">
      <c r="A128" s="2476"/>
      <c r="B128" s="2476"/>
      <c r="C128" s="2476"/>
      <c r="D128" s="2476"/>
      <c r="E128" s="2476"/>
      <c r="F128" s="2476"/>
      <c r="G128" s="2476"/>
      <c r="H128" s="2476"/>
      <c r="I128" s="2476"/>
      <c r="J128" s="2476"/>
    </row>
    <row r="129" spans="1:11" s="2168" customFormat="1" ht="15" customHeight="1" x14ac:dyDescent="0.25">
      <c r="A129" s="2476"/>
      <c r="B129" s="2476"/>
      <c r="C129" s="2476"/>
      <c r="D129" s="2476"/>
      <c r="E129" s="2476"/>
      <c r="F129" s="2476"/>
      <c r="G129" s="2476"/>
      <c r="H129" s="2476"/>
      <c r="I129" s="2476"/>
      <c r="J129" s="2476"/>
    </row>
    <row r="130" spans="1:11" s="2168" customFormat="1" ht="15" customHeight="1" x14ac:dyDescent="0.25">
      <c r="A130" s="2476"/>
      <c r="B130" s="2476"/>
      <c r="C130" s="2476"/>
      <c r="D130" s="2476"/>
      <c r="E130" s="2476"/>
      <c r="F130" s="2476"/>
      <c r="G130" s="2476"/>
      <c r="H130" s="2476"/>
      <c r="I130" s="2476"/>
      <c r="J130" s="2476"/>
    </row>
    <row r="131" spans="1:11" s="2168" customFormat="1" ht="15" customHeight="1" x14ac:dyDescent="0.25">
      <c r="A131" s="2787" t="s">
        <v>2715</v>
      </c>
      <c r="B131" s="2787"/>
      <c r="C131" s="2918" t="e">
        <f>J1+1461</f>
        <v>#N/A</v>
      </c>
      <c r="D131" s="2918"/>
      <c r="E131" s="2226"/>
      <c r="F131" s="2226"/>
      <c r="G131" s="2226"/>
      <c r="H131" s="2226"/>
      <c r="I131" s="2226"/>
      <c r="J131" s="2226"/>
    </row>
    <row r="132" spans="1:11" s="2168" customFormat="1" ht="15" customHeight="1" x14ac:dyDescent="0.25">
      <c r="A132" s="2118"/>
      <c r="B132" s="2118"/>
      <c r="C132" s="2118"/>
      <c r="D132" s="2118"/>
      <c r="E132" s="2118"/>
      <c r="F132" s="2118"/>
      <c r="G132" s="2118"/>
      <c r="H132" s="2118"/>
      <c r="I132" s="2118"/>
      <c r="J132" s="2118"/>
    </row>
    <row r="133" spans="1:11" s="2168" customFormat="1" ht="15" customHeight="1" x14ac:dyDescent="0.25">
      <c r="A133" s="281" t="s">
        <v>237</v>
      </c>
      <c r="B133" s="2110"/>
      <c r="C133" s="2110"/>
      <c r="D133" s="2110"/>
      <c r="E133" s="2110"/>
      <c r="F133" s="2110"/>
      <c r="G133" s="2110"/>
      <c r="H133" s="2110"/>
      <c r="I133" s="2110"/>
      <c r="J133" s="2118"/>
      <c r="K133" s="2168" t="str">
        <f>K180</f>
        <v>x</v>
      </c>
    </row>
    <row r="134" spans="1:11" s="2168" customFormat="1" ht="15" customHeight="1" x14ac:dyDescent="0.25">
      <c r="A134" s="2469" t="s">
        <v>2086</v>
      </c>
      <c r="B134" s="2469"/>
      <c r="C134" s="2469"/>
      <c r="D134" s="2469"/>
      <c r="E134" s="2469"/>
      <c r="F134" s="2469"/>
      <c r="G134" s="2469"/>
      <c r="H134" s="2469"/>
      <c r="I134" s="2469"/>
      <c r="J134" s="2469"/>
    </row>
    <row r="135" spans="1:11" s="2168" customFormat="1" ht="15" customHeight="1" x14ac:dyDescent="0.25">
      <c r="A135" s="2469"/>
      <c r="B135" s="2469"/>
      <c r="C135" s="2469"/>
      <c r="D135" s="2469"/>
      <c r="E135" s="2469"/>
      <c r="F135" s="2469"/>
      <c r="G135" s="2469"/>
      <c r="H135" s="2469"/>
      <c r="I135" s="2469"/>
      <c r="J135" s="2469"/>
    </row>
    <row r="136" spans="1:11" s="2168" customFormat="1" ht="15" customHeight="1" x14ac:dyDescent="0.25">
      <c r="A136" s="2476" t="s">
        <v>2710</v>
      </c>
      <c r="B136" s="2476"/>
      <c r="C136" s="2476"/>
      <c r="D136" s="2476"/>
      <c r="E136" s="2476"/>
      <c r="F136" s="2476"/>
      <c r="G136" s="2476"/>
      <c r="H136" s="2476"/>
      <c r="I136" s="2476"/>
      <c r="J136" s="2476"/>
      <c r="K136" s="2168" t="str">
        <f>K133</f>
        <v>x</v>
      </c>
    </row>
    <row r="137" spans="1:11" s="2168" customFormat="1" ht="15" customHeight="1" x14ac:dyDescent="0.25">
      <c r="A137" s="2476"/>
      <c r="B137" s="2476"/>
      <c r="C137" s="2476"/>
      <c r="D137" s="2476"/>
      <c r="E137" s="2476"/>
      <c r="F137" s="2476"/>
      <c r="G137" s="2476"/>
      <c r="H137" s="2476"/>
      <c r="I137" s="2476"/>
      <c r="J137" s="2476"/>
      <c r="K137" s="2168" t="str">
        <f t="shared" ref="K137:K147" si="3">K136</f>
        <v>x</v>
      </c>
    </row>
    <row r="138" spans="1:11" s="2168" customFormat="1" ht="12.75" customHeight="1" x14ac:dyDescent="0.25">
      <c r="A138" s="2476"/>
      <c r="B138" s="2476"/>
      <c r="C138" s="2476"/>
      <c r="D138" s="2476"/>
      <c r="E138" s="2476"/>
      <c r="F138" s="2476"/>
      <c r="G138" s="2476"/>
      <c r="H138" s="2476"/>
      <c r="I138" s="2476"/>
      <c r="J138" s="2476"/>
      <c r="K138" s="2168" t="str">
        <f t="shared" si="3"/>
        <v>x</v>
      </c>
    </row>
    <row r="139" spans="1:11" s="2168" customFormat="1" ht="15" customHeight="1" x14ac:dyDescent="0.25">
      <c r="A139" s="2476"/>
      <c r="B139" s="2476"/>
      <c r="C139" s="2476"/>
      <c r="D139" s="2476"/>
      <c r="E139" s="2476"/>
      <c r="F139" s="2476"/>
      <c r="G139" s="2476"/>
      <c r="H139" s="2476"/>
      <c r="I139" s="2476"/>
      <c r="J139" s="2476"/>
      <c r="K139" s="2168" t="str">
        <f t="shared" si="3"/>
        <v>x</v>
      </c>
    </row>
    <row r="140" spans="1:11" s="2168" customFormat="1" ht="15" customHeight="1" x14ac:dyDescent="0.25">
      <c r="A140" s="2476"/>
      <c r="B140" s="2476"/>
      <c r="C140" s="2476"/>
      <c r="D140" s="2476"/>
      <c r="E140" s="2476"/>
      <c r="F140" s="2476"/>
      <c r="G140" s="2476"/>
      <c r="H140" s="2476"/>
      <c r="I140" s="2476"/>
      <c r="J140" s="2476"/>
      <c r="K140" s="2168" t="str">
        <f t="shared" si="3"/>
        <v>x</v>
      </c>
    </row>
    <row r="141" spans="1:11" s="2168" customFormat="1" ht="15" customHeight="1" x14ac:dyDescent="0.25">
      <c r="A141" s="2476"/>
      <c r="B141" s="2476"/>
      <c r="C141" s="2476"/>
      <c r="D141" s="2476"/>
      <c r="E141" s="2476"/>
      <c r="F141" s="2476"/>
      <c r="G141" s="2476"/>
      <c r="H141" s="2476"/>
      <c r="I141" s="2476"/>
      <c r="J141" s="2476"/>
      <c r="K141" s="2168" t="str">
        <f t="shared" si="3"/>
        <v>x</v>
      </c>
    </row>
    <row r="142" spans="1:11" s="2168" customFormat="1" ht="18" customHeight="1" x14ac:dyDescent="0.25">
      <c r="A142" s="2476"/>
      <c r="B142" s="2476"/>
      <c r="C142" s="2476"/>
      <c r="D142" s="2476"/>
      <c r="E142" s="2476"/>
      <c r="F142" s="2476"/>
      <c r="G142" s="2476"/>
      <c r="H142" s="2476"/>
      <c r="I142" s="2476"/>
      <c r="J142" s="2476"/>
      <c r="K142" s="2168" t="str">
        <f t="shared" si="3"/>
        <v>x</v>
      </c>
    </row>
    <row r="143" spans="1:11" s="2168" customFormat="1" ht="15" customHeight="1" x14ac:dyDescent="0.25">
      <c r="A143" s="2476"/>
      <c r="B143" s="2476"/>
      <c r="C143" s="2476"/>
      <c r="D143" s="2476"/>
      <c r="E143" s="2476"/>
      <c r="F143" s="2476"/>
      <c r="G143" s="2476"/>
      <c r="H143" s="2476"/>
      <c r="I143" s="2476"/>
      <c r="J143" s="2476"/>
      <c r="K143" s="2168" t="str">
        <f t="shared" si="3"/>
        <v>x</v>
      </c>
    </row>
    <row r="144" spans="1:11" s="2168" customFormat="1" ht="15" customHeight="1" x14ac:dyDescent="0.25">
      <c r="A144" s="2476"/>
      <c r="B144" s="2476"/>
      <c r="C144" s="2476"/>
      <c r="D144" s="2476"/>
      <c r="E144" s="2476"/>
      <c r="F144" s="2476"/>
      <c r="G144" s="2476"/>
      <c r="H144" s="2476"/>
      <c r="I144" s="2476"/>
      <c r="J144" s="2476"/>
      <c r="K144" s="2168" t="str">
        <f t="shared" si="3"/>
        <v>x</v>
      </c>
    </row>
    <row r="145" spans="1:16" s="2168" customFormat="1" ht="15" customHeight="1" x14ac:dyDescent="0.25">
      <c r="A145" s="2476"/>
      <c r="B145" s="2476"/>
      <c r="C145" s="2476"/>
      <c r="D145" s="2476"/>
      <c r="E145" s="2476"/>
      <c r="F145" s="2476"/>
      <c r="G145" s="2476"/>
      <c r="H145" s="2476"/>
      <c r="I145" s="2476"/>
      <c r="J145" s="2476"/>
      <c r="K145" s="2168" t="str">
        <f t="shared" si="3"/>
        <v>x</v>
      </c>
    </row>
    <row r="146" spans="1:16" s="2168" customFormat="1" ht="15" customHeight="1" x14ac:dyDescent="0.25">
      <c r="A146" s="2476"/>
      <c r="B146" s="2476"/>
      <c r="C146" s="2476"/>
      <c r="D146" s="2476"/>
      <c r="E146" s="2476"/>
      <c r="F146" s="2476"/>
      <c r="G146" s="2476"/>
      <c r="H146" s="2476"/>
      <c r="I146" s="2476"/>
      <c r="J146" s="2476"/>
      <c r="K146" s="2168" t="str">
        <f t="shared" si="3"/>
        <v>x</v>
      </c>
    </row>
    <row r="147" spans="1:16" s="2168" customFormat="1" ht="15" customHeight="1" x14ac:dyDescent="0.25">
      <c r="A147" s="2476"/>
      <c r="B147" s="2476"/>
      <c r="C147" s="2476"/>
      <c r="D147" s="2476"/>
      <c r="E147" s="2476"/>
      <c r="F147" s="2476"/>
      <c r="G147" s="2476"/>
      <c r="H147" s="2476"/>
      <c r="I147" s="2476"/>
      <c r="J147" s="2476"/>
      <c r="K147" s="2168" t="str">
        <f t="shared" si="3"/>
        <v>x</v>
      </c>
    </row>
    <row r="148" spans="1:16" ht="15" customHeight="1" x14ac:dyDescent="0.25">
      <c r="A148" s="2110"/>
      <c r="B148" s="2110"/>
      <c r="C148" s="2110"/>
      <c r="D148" s="2110"/>
      <c r="E148" s="2110"/>
      <c r="F148" s="2110"/>
      <c r="G148" s="2110"/>
      <c r="H148" s="2110"/>
      <c r="I148" s="2110"/>
    </row>
    <row r="149" spans="1:16" ht="15" customHeight="1" x14ac:dyDescent="0.25">
      <c r="A149" s="281" t="s">
        <v>2084</v>
      </c>
      <c r="B149" s="2110"/>
      <c r="C149" s="2110"/>
      <c r="D149" s="2110"/>
      <c r="E149" s="2110"/>
      <c r="F149" s="2110"/>
      <c r="G149" s="2110"/>
      <c r="H149" s="2110"/>
      <c r="I149" s="2110"/>
      <c r="M149" s="2121"/>
      <c r="N149" s="2121" t="s">
        <v>658</v>
      </c>
      <c r="O149" s="2121" t="s">
        <v>691</v>
      </c>
      <c r="P149" s="2121" t="s">
        <v>660</v>
      </c>
    </row>
    <row r="150" spans="1:16" ht="15" customHeight="1" x14ac:dyDescent="0.25">
      <c r="A150" s="281" t="s">
        <v>238</v>
      </c>
      <c r="B150" s="2110"/>
      <c r="C150" s="2110"/>
      <c r="D150" s="2110"/>
      <c r="E150" s="2110"/>
      <c r="F150" s="2110"/>
      <c r="G150" s="2110"/>
      <c r="H150" s="2110"/>
      <c r="I150" s="2110"/>
      <c r="N150" s="2120">
        <f>COUNTIF(J73:J98,"Restrição")</f>
        <v>0</v>
      </c>
      <c r="O150" s="2120">
        <f>COUNTIF(J73:J98,"Insalubre")</f>
        <v>0</v>
      </c>
      <c r="P150" s="2120">
        <f>COUNTIF(J73:J98,"Tolerância")</f>
        <v>0</v>
      </c>
    </row>
    <row r="151" spans="1:16" ht="15" customHeight="1" x14ac:dyDescent="0.25">
      <c r="A151" s="2609" t="e">
        <f>CONCATENATE("                Todos os níveis de radiação avaliados estão dentro da tolerância definida ",VLOOKUP(Cabeçalho!$B$14,'LR e FUGA'!$L$66:$N$73,3,FALSE)," e, consequentemente, atendem o Art. 49 da Resolução da Diretoria Colegiada RDC "&amp;VLOOKUP("rdc",IN_ANVISA[],2)&amp;"/"&amp;VLOOKUP("rdc",IN_ANVISA[],3)&amp;" da ANVISA.")</f>
        <v>#N/A</v>
      </c>
      <c r="B151" s="2609"/>
      <c r="C151" s="2609"/>
      <c r="D151" s="2609"/>
      <c r="E151" s="2609"/>
      <c r="F151" s="2609"/>
      <c r="G151" s="2609"/>
      <c r="H151" s="2609"/>
      <c r="I151" s="2609"/>
      <c r="J151" s="2609"/>
      <c r="K151" s="2118" t="str">
        <f>IF(SUM(N150:P150)=0,"","x")</f>
        <v/>
      </c>
    </row>
    <row r="152" spans="1:16" ht="15" customHeight="1" x14ac:dyDescent="0.25">
      <c r="A152" s="2609"/>
      <c r="B152" s="2609"/>
      <c r="C152" s="2609"/>
      <c r="D152" s="2609"/>
      <c r="E152" s="2609"/>
      <c r="F152" s="2609"/>
      <c r="G152" s="2609"/>
      <c r="H152" s="2609"/>
      <c r="I152" s="2609"/>
      <c r="J152" s="2609"/>
      <c r="K152" s="2118" t="str">
        <f>K151</f>
        <v/>
      </c>
    </row>
    <row r="153" spans="1:16" ht="15" customHeight="1" x14ac:dyDescent="0.25">
      <c r="A153" s="2609"/>
      <c r="B153" s="2609"/>
      <c r="C153" s="2609"/>
      <c r="D153" s="2609"/>
      <c r="E153" s="2609"/>
      <c r="F153" s="2609"/>
      <c r="G153" s="2609"/>
      <c r="H153" s="2609"/>
      <c r="I153" s="2609"/>
      <c r="J153" s="2609"/>
      <c r="K153" s="2118" t="str">
        <f>K152</f>
        <v/>
      </c>
    </row>
    <row r="154" spans="1:16" ht="15" customHeight="1" x14ac:dyDescent="0.25">
      <c r="A154" s="2609"/>
      <c r="B154" s="2609"/>
      <c r="C154" s="2609"/>
      <c r="D154" s="2609"/>
      <c r="E154" s="2609"/>
      <c r="F154" s="2609"/>
      <c r="G154" s="2609"/>
      <c r="H154" s="2609"/>
      <c r="I154" s="2609"/>
      <c r="J154" s="2609"/>
      <c r="K154" s="2118" t="str">
        <f>K153</f>
        <v/>
      </c>
    </row>
    <row r="155" spans="1:16" ht="15" customHeight="1" x14ac:dyDescent="0.25">
      <c r="A155" s="2609" t="str">
        <f>"                Todos os níveis de radiação avaliados atendem o Art. 49 da Resolução da Diretoria Colegiada RDC "&amp;VLOOKUP("rdc",IN_ANVISA[],2)&amp;"/"&amp;VLOOKUP("rdc",IN_ANVISA[],3)&amp;" da ANVISA."</f>
        <v xml:space="preserve">                Todos os níveis de radiação avaliados atendem o Art. 49 da Resolução da Diretoria Colegiada RDC 611/2022 da ANVISA.</v>
      </c>
      <c r="B155" s="2609"/>
      <c r="C155" s="2609"/>
      <c r="D155" s="2609"/>
      <c r="E155" s="2609"/>
      <c r="F155" s="2609"/>
      <c r="G155" s="2609"/>
      <c r="H155" s="2609"/>
      <c r="I155" s="2609"/>
      <c r="J155" s="2609"/>
      <c r="K155" s="2118" t="str">
        <f>IF(K151="","x",IF(Profissional="Físico","x",IF(O150=0,"","x")))</f>
        <v>x</v>
      </c>
    </row>
    <row r="156" spans="1:16" ht="15" customHeight="1" x14ac:dyDescent="0.25">
      <c r="A156" s="2609"/>
      <c r="B156" s="2609"/>
      <c r="C156" s="2609"/>
      <c r="D156" s="2609"/>
      <c r="E156" s="2609"/>
      <c r="F156" s="2609"/>
      <c r="G156" s="2609"/>
      <c r="H156" s="2609"/>
      <c r="I156" s="2609"/>
      <c r="J156" s="2609"/>
      <c r="K156" s="2118" t="str">
        <f>K155</f>
        <v>x</v>
      </c>
    </row>
    <row r="157" spans="1:16" ht="15" customHeight="1" x14ac:dyDescent="0.25">
      <c r="A157" s="2609"/>
      <c r="B157" s="2609"/>
      <c r="C157" s="2609"/>
      <c r="D157" s="2609"/>
      <c r="E157" s="2609"/>
      <c r="F157" s="2609"/>
      <c r="G157" s="2609"/>
      <c r="H157" s="2609"/>
      <c r="I157" s="2609"/>
      <c r="J157" s="2609"/>
      <c r="K157" s="2118" t="str">
        <f>K156</f>
        <v>x</v>
      </c>
    </row>
    <row r="158" spans="1:16" ht="15" customHeight="1" x14ac:dyDescent="0.25">
      <c r="A158" s="2476" t="e">
        <f>CONCATENATE("                 Nos pontos cujo resultado indica Tolerância ou Restrição os níveis de radiação avaliados estão fora dos limites definidos na Resolução da Diretoria Colegiada RDC "&amp;VLOOKUP("rdc",IN_ANVISA[],2)&amp;"/"&amp;VLOOKUP("rdc",IN_ANVISA[],3)&amp;" da ANVISA e ",VLOOKUP(Cabeçalho!$B$14,'LR e FUGA'!$L$66:$N$73,3,FALSE)," e a blindagem deve ser reforçada.")</f>
        <v>#N/A</v>
      </c>
      <c r="B158" s="2476"/>
      <c r="C158" s="2476"/>
      <c r="D158" s="2476"/>
      <c r="E158" s="2476"/>
      <c r="F158" s="2476"/>
      <c r="G158" s="2476"/>
      <c r="H158" s="2476"/>
      <c r="I158" s="2476"/>
      <c r="J158" s="2476"/>
      <c r="K158" s="2118" t="str">
        <f>IF(OR(N150&gt;0,P150&gt;0),"","x")</f>
        <v>x</v>
      </c>
    </row>
    <row r="159" spans="1:16" ht="15" customHeight="1" x14ac:dyDescent="0.25">
      <c r="A159" s="2476"/>
      <c r="B159" s="2476"/>
      <c r="C159" s="2476"/>
      <c r="D159" s="2476"/>
      <c r="E159" s="2476"/>
      <c r="F159" s="2476"/>
      <c r="G159" s="2476"/>
      <c r="H159" s="2476"/>
      <c r="I159" s="2476"/>
      <c r="J159" s="2476"/>
      <c r="K159" s="2118" t="str">
        <f>K158</f>
        <v>x</v>
      </c>
    </row>
    <row r="160" spans="1:16" ht="15" customHeight="1" x14ac:dyDescent="0.25">
      <c r="A160" s="2476"/>
      <c r="B160" s="2476"/>
      <c r="C160" s="2476"/>
      <c r="D160" s="2476"/>
      <c r="E160" s="2476"/>
      <c r="F160" s="2476"/>
      <c r="G160" s="2476"/>
      <c r="H160" s="2476"/>
      <c r="I160" s="2476"/>
      <c r="J160" s="2476"/>
      <c r="K160" s="2118" t="str">
        <f t="shared" ref="K160:K165" si="4">K159</f>
        <v>x</v>
      </c>
    </row>
    <row r="161" spans="1:11" ht="15" customHeight="1" x14ac:dyDescent="0.25">
      <c r="A161" s="2476"/>
      <c r="B161" s="2476"/>
      <c r="C161" s="2476"/>
      <c r="D161" s="2476"/>
      <c r="E161" s="2476"/>
      <c r="F161" s="2476"/>
      <c r="G161" s="2476"/>
      <c r="H161" s="2476"/>
      <c r="I161" s="2476"/>
      <c r="J161" s="2476"/>
      <c r="K161" s="2118" t="str">
        <f t="shared" si="4"/>
        <v>x</v>
      </c>
    </row>
    <row r="162" spans="1:11" ht="15" customHeight="1" x14ac:dyDescent="0.25">
      <c r="A162" s="2476" t="e">
        <f>CONCATENATE("                Os demais níveis de radiação avaliados estão dentro da tolerância definida ",VLOOKUP(Cabeçalho!$B$14,'LR e FUGA'!$L$66:$N$73,3,FALSE)," e, consequentemente, atendem o Art. 49 da Resolução da Diretoria Colegiada RDC "&amp;VLOOKUP("rdc",IN_ANVISA[],2)&amp;"/"&amp;VLOOKUP("rdc",IN_ANVISA[],3)&amp;" da ANVISA.")</f>
        <v>#N/A</v>
      </c>
      <c r="B162" s="2476"/>
      <c r="C162" s="2476"/>
      <c r="D162" s="2476"/>
      <c r="E162" s="2476"/>
      <c r="F162" s="2476"/>
      <c r="G162" s="2476"/>
      <c r="H162" s="2476"/>
      <c r="I162" s="2476"/>
      <c r="J162" s="2476"/>
      <c r="K162" s="2118" t="str">
        <f>IF(K169="","x",K161)</f>
        <v>x</v>
      </c>
    </row>
    <row r="163" spans="1:11" ht="15" customHeight="1" x14ac:dyDescent="0.25">
      <c r="A163" s="2476"/>
      <c r="B163" s="2476"/>
      <c r="C163" s="2476"/>
      <c r="D163" s="2476"/>
      <c r="E163" s="2476"/>
      <c r="F163" s="2476"/>
      <c r="G163" s="2476"/>
      <c r="H163" s="2476"/>
      <c r="I163" s="2476"/>
      <c r="J163" s="2476"/>
      <c r="K163" s="2118" t="str">
        <f t="shared" si="4"/>
        <v>x</v>
      </c>
    </row>
    <row r="164" spans="1:11" ht="15" customHeight="1" x14ac:dyDescent="0.25">
      <c r="A164" s="2476"/>
      <c r="B164" s="2476"/>
      <c r="C164" s="2476"/>
      <c r="D164" s="2476"/>
      <c r="E164" s="2476"/>
      <c r="F164" s="2476"/>
      <c r="G164" s="2476"/>
      <c r="H164" s="2476"/>
      <c r="I164" s="2476"/>
      <c r="J164" s="2476"/>
      <c r="K164" s="2118" t="str">
        <f t="shared" si="4"/>
        <v>x</v>
      </c>
    </row>
    <row r="165" spans="1:11" ht="15" customHeight="1" x14ac:dyDescent="0.25">
      <c r="A165" s="2476"/>
      <c r="B165" s="2476"/>
      <c r="C165" s="2476"/>
      <c r="D165" s="2476"/>
      <c r="E165" s="2476"/>
      <c r="F165" s="2476"/>
      <c r="G165" s="2476"/>
      <c r="H165" s="2476"/>
      <c r="I165" s="2476"/>
      <c r="J165" s="2476"/>
      <c r="K165" s="2118" t="str">
        <f t="shared" si="4"/>
        <v>x</v>
      </c>
    </row>
    <row r="166" spans="1:11" ht="15" customHeight="1" x14ac:dyDescent="0.25">
      <c r="A166" s="2476" t="str">
        <f>"                 Nos pontos considerados insalubre, os níveis de radiação avaliados não atendem o Art. 49 da Resolução da Diretoria Colegiada RDC "&amp;VLOOKUP("rdc",IN_ANVISA[],2)&amp;"/"&amp;VLOOKUP("rdc",IN_ANVISA[],3)&amp;" da ANVISA. Estes pontos também estão acima do nível de restrição. A blindagem deve ser reforçada."</f>
        <v xml:space="preserve">                 Nos pontos considerados insalubre, os níveis de radiação avaliados não atendem o Art. 49 da Resolução da Diretoria Colegiada RDC 611/2022 da ANVISA. Estes pontos também estão acima do nível de restrição. A blindagem deve ser reforçada.</v>
      </c>
      <c r="B166" s="2476"/>
      <c r="C166" s="2476"/>
      <c r="D166" s="2476"/>
      <c r="E166" s="2476"/>
      <c r="F166" s="2476"/>
      <c r="G166" s="2476"/>
      <c r="H166" s="2476"/>
      <c r="I166" s="2476"/>
      <c r="J166" s="2476"/>
      <c r="K166" s="2118" t="str">
        <f>IF(O150&gt;0,"","x")</f>
        <v>x</v>
      </c>
    </row>
    <row r="167" spans="1:11" ht="15" customHeight="1" x14ac:dyDescent="0.25">
      <c r="A167" s="2476"/>
      <c r="B167" s="2476"/>
      <c r="C167" s="2476"/>
      <c r="D167" s="2476"/>
      <c r="E167" s="2476"/>
      <c r="F167" s="2476"/>
      <c r="G167" s="2476"/>
      <c r="H167" s="2476"/>
      <c r="I167" s="2476"/>
      <c r="J167" s="2476"/>
      <c r="K167" s="2118" t="str">
        <f t="shared" ref="K167:K172" si="5">K166</f>
        <v>x</v>
      </c>
    </row>
    <row r="168" spans="1:11" ht="15" customHeight="1" x14ac:dyDescent="0.25">
      <c r="A168" s="2476"/>
      <c r="B168" s="2476"/>
      <c r="C168" s="2476"/>
      <c r="D168" s="2476"/>
      <c r="E168" s="2476"/>
      <c r="F168" s="2476"/>
      <c r="G168" s="2476"/>
      <c r="H168" s="2476"/>
      <c r="I168" s="2476"/>
      <c r="J168" s="2476"/>
      <c r="K168" s="2118" t="str">
        <f t="shared" si="5"/>
        <v>x</v>
      </c>
    </row>
    <row r="169" spans="1:11" ht="15" customHeight="1" x14ac:dyDescent="0.25">
      <c r="A169" s="2476" t="e">
        <f>CONCATENATE("                Os demais níveis de radiação avaliados estão dentro da tolerância definida ",VLOOKUP(Cabeçalho!$B$14,'LR e FUGA'!$L$66:$N$73,3,FALSE)," e, consequentemente, atendem o Art. 49 da Resolução da Diretoria Colegiada RDC "&amp;VLOOKUP("rdc",IN_ANVISA[],2)&amp;"/"&amp;VLOOKUP("rdc",IN_ANVISA[],3)&amp;" da ANVISA.")</f>
        <v>#N/A</v>
      </c>
      <c r="B169" s="2476"/>
      <c r="C169" s="2476"/>
      <c r="D169" s="2476"/>
      <c r="E169" s="2476"/>
      <c r="F169" s="2476"/>
      <c r="G169" s="2476"/>
      <c r="H169" s="2476"/>
      <c r="I169" s="2476"/>
      <c r="J169" s="2476"/>
      <c r="K169" s="2118" t="str">
        <f t="shared" si="5"/>
        <v>x</v>
      </c>
    </row>
    <row r="170" spans="1:11" ht="15" customHeight="1" x14ac:dyDescent="0.25">
      <c r="A170" s="2476"/>
      <c r="B170" s="2476"/>
      <c r="C170" s="2476"/>
      <c r="D170" s="2476"/>
      <c r="E170" s="2476"/>
      <c r="F170" s="2476"/>
      <c r="G170" s="2476"/>
      <c r="H170" s="2476"/>
      <c r="I170" s="2476"/>
      <c r="J170" s="2476"/>
      <c r="K170" s="2118" t="str">
        <f t="shared" si="5"/>
        <v>x</v>
      </c>
    </row>
    <row r="171" spans="1:11" ht="15" customHeight="1" x14ac:dyDescent="0.25">
      <c r="A171" s="2476"/>
      <c r="B171" s="2476"/>
      <c r="C171" s="2476"/>
      <c r="D171" s="2476"/>
      <c r="E171" s="2476"/>
      <c r="F171" s="2476"/>
      <c r="G171" s="2476"/>
      <c r="H171" s="2476"/>
      <c r="I171" s="2476"/>
      <c r="J171" s="2476"/>
      <c r="K171" s="2118" t="str">
        <f t="shared" si="5"/>
        <v>x</v>
      </c>
    </row>
    <row r="172" spans="1:11" ht="15" customHeight="1" x14ac:dyDescent="0.25">
      <c r="A172" s="2476"/>
      <c r="B172" s="2476"/>
      <c r="C172" s="2476"/>
      <c r="D172" s="2476"/>
      <c r="E172" s="2476"/>
      <c r="F172" s="2476"/>
      <c r="G172" s="2476"/>
      <c r="H172" s="2476"/>
      <c r="I172" s="2476"/>
      <c r="J172" s="2476"/>
      <c r="K172" s="2118" t="str">
        <f t="shared" si="5"/>
        <v>x</v>
      </c>
    </row>
    <row r="173" spans="1:11" ht="15" customHeight="1" x14ac:dyDescent="0.25">
      <c r="A173" s="2476" t="str">
        <f>RESTRICAO</f>
        <v xml:space="preserve">                Há parâmetro(s) em NÍVEL DE RESTRIÇÃO! Conforme RDC 611/2022 da ANVISA, a utilização do equipamento deve ser suspensa até a sua adequação. Para atendimentos de urgência e emergência é permitido seu funcionamento temporário, mediante parecer do Responsável Técnico do Serviço de Radiologia e do Supervisor de Proteção Radiológica.</v>
      </c>
      <c r="B173" s="2476"/>
      <c r="C173" s="2476"/>
      <c r="D173" s="2476"/>
      <c r="E173" s="2476"/>
      <c r="F173" s="2476"/>
      <c r="G173" s="2476"/>
      <c r="H173" s="2476"/>
      <c r="I173" s="2476"/>
      <c r="J173" s="2476"/>
      <c r="K173" s="2118" t="str">
        <f>IF(OR(N150&gt;0,O150&gt;0),"","x")</f>
        <v>x</v>
      </c>
    </row>
    <row r="174" spans="1:11" ht="15" customHeight="1" x14ac:dyDescent="0.25">
      <c r="A174" s="2476"/>
      <c r="B174" s="2476"/>
      <c r="C174" s="2476"/>
      <c r="D174" s="2476"/>
      <c r="E174" s="2476"/>
      <c r="F174" s="2476"/>
      <c r="G174" s="2476"/>
      <c r="H174" s="2476"/>
      <c r="I174" s="2476"/>
      <c r="J174" s="2476"/>
      <c r="K174" s="2118" t="str">
        <f>K173</f>
        <v>x</v>
      </c>
    </row>
    <row r="175" spans="1:11" ht="15" customHeight="1" x14ac:dyDescent="0.25">
      <c r="A175" s="2476"/>
      <c r="B175" s="2476"/>
      <c r="C175" s="2476"/>
      <c r="D175" s="2476"/>
      <c r="E175" s="2476"/>
      <c r="F175" s="2476"/>
      <c r="G175" s="2476"/>
      <c r="H175" s="2476"/>
      <c r="I175" s="2476"/>
      <c r="J175" s="2476"/>
      <c r="K175" s="2118" t="str">
        <f>K174</f>
        <v>x</v>
      </c>
    </row>
    <row r="176" spans="1:11" ht="15" customHeight="1" x14ac:dyDescent="0.25">
      <c r="A176" s="2476"/>
      <c r="B176" s="2476"/>
      <c r="C176" s="2476"/>
      <c r="D176" s="2476"/>
      <c r="E176" s="2476"/>
      <c r="F176" s="2476"/>
      <c r="G176" s="2476"/>
      <c r="H176" s="2476"/>
      <c r="I176" s="2476"/>
      <c r="J176" s="2476"/>
      <c r="K176" s="2118" t="str">
        <f>K175</f>
        <v>x</v>
      </c>
    </row>
    <row r="177" spans="1:11" ht="15" customHeight="1" x14ac:dyDescent="0.25">
      <c r="A177" s="2476"/>
      <c r="B177" s="2476"/>
      <c r="C177" s="2476"/>
      <c r="D177" s="2476"/>
      <c r="E177" s="2476"/>
      <c r="F177" s="2476"/>
      <c r="G177" s="2476"/>
      <c r="H177" s="2476"/>
      <c r="I177" s="2476"/>
      <c r="J177" s="2476"/>
      <c r="K177" s="2118" t="str">
        <f>K176</f>
        <v>x</v>
      </c>
    </row>
    <row r="178" spans="1:11" ht="15" customHeight="1" x14ac:dyDescent="0.25">
      <c r="A178" s="2476"/>
      <c r="B178" s="2476"/>
      <c r="C178" s="2476"/>
      <c r="D178" s="2476"/>
      <c r="E178" s="2476"/>
      <c r="F178" s="2476"/>
      <c r="G178" s="2476"/>
      <c r="H178" s="2476"/>
      <c r="I178" s="2476"/>
      <c r="J178" s="2476"/>
      <c r="K178" s="2118" t="str">
        <f>K177</f>
        <v>x</v>
      </c>
    </row>
    <row r="179" spans="1:11" ht="15" customHeight="1" x14ac:dyDescent="0.25">
      <c r="A179" s="2110"/>
      <c r="B179" s="2110"/>
      <c r="C179" s="2110"/>
      <c r="D179" s="2110"/>
      <c r="E179" s="2110"/>
      <c r="F179" s="2110"/>
      <c r="G179" s="2110"/>
      <c r="H179" s="2110"/>
      <c r="I179" s="2110"/>
      <c r="J179" s="2110"/>
      <c r="K179" s="2118" t="str">
        <f>K180</f>
        <v>x</v>
      </c>
    </row>
    <row r="180" spans="1:11" ht="15" customHeight="1" x14ac:dyDescent="0.25">
      <c r="A180" s="281" t="s">
        <v>237</v>
      </c>
      <c r="B180" s="2110"/>
      <c r="C180" s="2110"/>
      <c r="D180" s="2110"/>
      <c r="E180" s="2110"/>
      <c r="F180" s="2110"/>
      <c r="G180" s="2110"/>
      <c r="H180" s="2110"/>
      <c r="I180" s="2110"/>
      <c r="J180" s="2110"/>
      <c r="K180" s="2118" t="str">
        <f>IF(Profissional="Físico","x","")</f>
        <v>x</v>
      </c>
    </row>
    <row r="181" spans="1:11" ht="15" customHeight="1" x14ac:dyDescent="0.25">
      <c r="A181" s="2476" t="s">
        <v>2711</v>
      </c>
      <c r="B181" s="2476"/>
      <c r="C181" s="2476"/>
      <c r="D181" s="2476"/>
      <c r="E181" s="2476"/>
      <c r="F181" s="2476"/>
      <c r="G181" s="2476"/>
      <c r="H181" s="2476"/>
      <c r="I181" s="2476"/>
      <c r="J181" s="2476"/>
      <c r="K181" s="2118" t="str">
        <f>IF(Profissional="Físico","x",IF(O150=0,"","x"))</f>
        <v>x</v>
      </c>
    </row>
    <row r="182" spans="1:11" ht="15" customHeight="1" x14ac:dyDescent="0.25">
      <c r="A182" s="2476"/>
      <c r="B182" s="2476"/>
      <c r="C182" s="2476"/>
      <c r="D182" s="2476"/>
      <c r="E182" s="2476"/>
      <c r="F182" s="2476"/>
      <c r="G182" s="2476"/>
      <c r="H182" s="2476"/>
      <c r="I182" s="2476"/>
      <c r="J182" s="2476"/>
      <c r="K182" s="2118" t="str">
        <f>K181</f>
        <v>x</v>
      </c>
    </row>
    <row r="183" spans="1:11" ht="15" customHeight="1" x14ac:dyDescent="0.25">
      <c r="A183" s="2476"/>
      <c r="B183" s="2476"/>
      <c r="C183" s="2476"/>
      <c r="D183" s="2476"/>
      <c r="E183" s="2476"/>
      <c r="F183" s="2476"/>
      <c r="G183" s="2476"/>
      <c r="H183" s="2476"/>
      <c r="I183" s="2476"/>
      <c r="J183" s="2476"/>
      <c r="K183" s="2118" t="str">
        <f>K182</f>
        <v>x</v>
      </c>
    </row>
    <row r="184" spans="1:11" ht="15" customHeight="1" x14ac:dyDescent="0.25">
      <c r="A184" s="2476"/>
      <c r="B184" s="2476"/>
      <c r="C184" s="2476"/>
      <c r="D184" s="2476"/>
      <c r="E184" s="2476"/>
      <c r="F184" s="2476"/>
      <c r="G184" s="2476"/>
      <c r="H184" s="2476"/>
      <c r="I184" s="2476"/>
      <c r="J184" s="2476"/>
      <c r="K184" s="2118" t="str">
        <f>K183</f>
        <v>x</v>
      </c>
    </row>
    <row r="185" spans="1:11" ht="15" customHeight="1" x14ac:dyDescent="0.25">
      <c r="A185" s="2476"/>
      <c r="B185" s="2476"/>
      <c r="C185" s="2476"/>
      <c r="D185" s="2476"/>
      <c r="E185" s="2476"/>
      <c r="F185" s="2476"/>
      <c r="G185" s="2476"/>
      <c r="H185" s="2476"/>
      <c r="I185" s="2476"/>
      <c r="J185" s="2476"/>
      <c r="K185" s="2118" t="str">
        <f>K184</f>
        <v>x</v>
      </c>
    </row>
    <row r="186" spans="1:11" ht="15" customHeight="1" x14ac:dyDescent="0.25">
      <c r="A186" s="2476" t="s">
        <v>2712</v>
      </c>
      <c r="B186" s="2476"/>
      <c r="C186" s="2476"/>
      <c r="D186" s="2476"/>
      <c r="E186" s="2476"/>
      <c r="F186" s="2476"/>
      <c r="G186" s="2476"/>
      <c r="H186" s="2476"/>
      <c r="I186" s="2476"/>
      <c r="J186" s="2476"/>
      <c r="K186" s="2118" t="str">
        <f>IF(Profissional="Físico","x",IF(K181="","x",""))</f>
        <v>x</v>
      </c>
    </row>
    <row r="187" spans="1:11" ht="15" customHeight="1" x14ac:dyDescent="0.25">
      <c r="A187" s="2476"/>
      <c r="B187" s="2476"/>
      <c r="C187" s="2476"/>
      <c r="D187" s="2476"/>
      <c r="E187" s="2476"/>
      <c r="F187" s="2476"/>
      <c r="G187" s="2476"/>
      <c r="H187" s="2476"/>
      <c r="I187" s="2476"/>
      <c r="J187" s="2476"/>
      <c r="K187" s="2118" t="str">
        <f>K186</f>
        <v>x</v>
      </c>
    </row>
    <row r="188" spans="1:11" ht="15" customHeight="1" x14ac:dyDescent="0.25">
      <c r="A188" s="2476"/>
      <c r="B188" s="2476"/>
      <c r="C188" s="2476"/>
      <c r="D188" s="2476"/>
      <c r="E188" s="2476"/>
      <c r="F188" s="2476"/>
      <c r="G188" s="2476"/>
      <c r="H188" s="2476"/>
      <c r="I188" s="2476"/>
      <c r="J188" s="2476"/>
      <c r="K188" s="2118" t="str">
        <f t="shared" ref="K188:K194" si="6">K187</f>
        <v>x</v>
      </c>
    </row>
    <row r="189" spans="1:11" ht="15" customHeight="1" x14ac:dyDescent="0.25">
      <c r="A189" s="2476"/>
      <c r="B189" s="2476"/>
      <c r="C189" s="2476"/>
      <c r="D189" s="2476"/>
      <c r="E189" s="2476"/>
      <c r="F189" s="2476"/>
      <c r="G189" s="2476"/>
      <c r="H189" s="2476"/>
      <c r="I189" s="2476"/>
      <c r="J189" s="2476"/>
      <c r="K189" s="2118" t="str">
        <f t="shared" si="6"/>
        <v>x</v>
      </c>
    </row>
    <row r="190" spans="1:11" ht="15" customHeight="1" x14ac:dyDescent="0.25">
      <c r="A190" s="2476"/>
      <c r="B190" s="2476"/>
      <c r="C190" s="2476"/>
      <c r="D190" s="2476"/>
      <c r="E190" s="2476"/>
      <c r="F190" s="2476"/>
      <c r="G190" s="2476"/>
      <c r="H190" s="2476"/>
      <c r="I190" s="2476"/>
      <c r="J190" s="2476"/>
      <c r="K190" s="2118" t="str">
        <f t="shared" si="6"/>
        <v>x</v>
      </c>
    </row>
    <row r="191" spans="1:11" ht="15" customHeight="1" x14ac:dyDescent="0.25">
      <c r="A191" s="2476" t="s">
        <v>2713</v>
      </c>
      <c r="B191" s="2476"/>
      <c r="C191" s="2476"/>
      <c r="D191" s="2476"/>
      <c r="E191" s="2476"/>
      <c r="F191" s="2476"/>
      <c r="G191" s="2476"/>
      <c r="H191" s="2476"/>
      <c r="I191" s="2476"/>
      <c r="J191" s="2476"/>
      <c r="K191" s="2118" t="str">
        <f t="shared" si="6"/>
        <v>x</v>
      </c>
    </row>
    <row r="192" spans="1:11" ht="15" customHeight="1" x14ac:dyDescent="0.25">
      <c r="A192" s="2476"/>
      <c r="B192" s="2476"/>
      <c r="C192" s="2476"/>
      <c r="D192" s="2476"/>
      <c r="E192" s="2476"/>
      <c r="F192" s="2476"/>
      <c r="G192" s="2476"/>
      <c r="H192" s="2476"/>
      <c r="I192" s="2476"/>
      <c r="J192" s="2476"/>
      <c r="K192" s="2118" t="str">
        <f t="shared" si="6"/>
        <v>x</v>
      </c>
    </row>
    <row r="193" spans="1:11" ht="15" customHeight="1" x14ac:dyDescent="0.25">
      <c r="A193" s="2476"/>
      <c r="B193" s="2476"/>
      <c r="C193" s="2476"/>
      <c r="D193" s="2476"/>
      <c r="E193" s="2476"/>
      <c r="F193" s="2476"/>
      <c r="G193" s="2476"/>
      <c r="H193" s="2476"/>
      <c r="I193" s="2476"/>
      <c r="J193" s="2476"/>
      <c r="K193" s="2118" t="str">
        <f t="shared" si="6"/>
        <v>x</v>
      </c>
    </row>
    <row r="194" spans="1:11" ht="15" customHeight="1" x14ac:dyDescent="0.25">
      <c r="A194" s="2476"/>
      <c r="B194" s="2476"/>
      <c r="C194" s="2476"/>
      <c r="D194" s="2476"/>
      <c r="E194" s="2476"/>
      <c r="F194" s="2476"/>
      <c r="G194" s="2476"/>
      <c r="H194" s="2476"/>
      <c r="I194" s="2476"/>
      <c r="J194" s="2476"/>
      <c r="K194" s="2118" t="str">
        <f t="shared" si="6"/>
        <v>x</v>
      </c>
    </row>
    <row r="196" spans="1:11" ht="15" customHeight="1" x14ac:dyDescent="0.25">
      <c r="A196" s="3140"/>
      <c r="B196" s="3140"/>
      <c r="C196" s="3140"/>
      <c r="D196" s="3140"/>
      <c r="E196" s="3140"/>
      <c r="F196" s="3140"/>
      <c r="G196" s="3140"/>
      <c r="H196" s="3140"/>
      <c r="I196" s="3140"/>
      <c r="J196" s="3140"/>
    </row>
    <row r="197" spans="1:11" ht="15" customHeight="1" x14ac:dyDescent="0.25">
      <c r="A197" s="3147" t="s">
        <v>2342</v>
      </c>
      <c r="B197" s="3147"/>
      <c r="C197" s="3147"/>
      <c r="D197" s="3147"/>
      <c r="E197" s="3147"/>
      <c r="F197" s="3147"/>
      <c r="G197" s="3147"/>
      <c r="H197" s="3147"/>
      <c r="I197" s="3147"/>
      <c r="J197" s="3147"/>
      <c r="K197" s="2315" t="str">
        <f>IFERROR(IF('LR e FUGA'!D22="OK","","x"),"x")</f>
        <v>x</v>
      </c>
    </row>
    <row r="198" spans="1:11" ht="15" customHeight="1" x14ac:dyDescent="0.25">
      <c r="A198" s="3147"/>
      <c r="B198" s="3147"/>
      <c r="C198" s="3147"/>
      <c r="D198" s="3147"/>
      <c r="E198" s="3147"/>
      <c r="F198" s="3147"/>
      <c r="G198" s="3147"/>
      <c r="H198" s="3147"/>
      <c r="I198" s="3147"/>
      <c r="J198" s="3147"/>
      <c r="K198" s="2118" t="str">
        <f>K197</f>
        <v>x</v>
      </c>
    </row>
    <row r="199" spans="1:11" ht="15" customHeight="1" x14ac:dyDescent="0.25">
      <c r="A199" s="2047"/>
      <c r="B199" s="2047"/>
      <c r="C199" s="2047"/>
      <c r="D199" s="2047"/>
      <c r="E199" s="2047"/>
      <c r="F199" s="2047"/>
      <c r="G199" s="2047"/>
      <c r="H199" s="2047"/>
      <c r="I199" s="2047"/>
      <c r="J199" s="2047"/>
      <c r="K199" s="2315" t="str">
        <f>K198</f>
        <v>x</v>
      </c>
    </row>
    <row r="200" spans="1:11" ht="15" customHeight="1" x14ac:dyDescent="0.25">
      <c r="A200" s="2048" t="s">
        <v>2344</v>
      </c>
      <c r="K200" s="2315" t="str">
        <f t="shared" ref="K200:K239" si="7">K199</f>
        <v>x</v>
      </c>
    </row>
    <row r="201" spans="1:11" ht="15" customHeight="1" x14ac:dyDescent="0.25">
      <c r="A201" s="2987" t="e">
        <f>"               Avaliar se a radiação de fuga atende aos limites de tolerância estabelecidos na Instrução Normativa "&amp;'LR e FUGA'!H3&amp;" da ANVISA - Tolerância: ≤ "&amp;ROUND('LR e FUGA'!H4,2)&amp;" mGy/h; Restrição: &gt; "&amp;ROUND('LR e FUGA'!H5,2)&amp;" mGy/h."</f>
        <v>#N/A</v>
      </c>
      <c r="B201" s="2987"/>
      <c r="C201" s="2987"/>
      <c r="D201" s="2987"/>
      <c r="E201" s="2987"/>
      <c r="F201" s="2987"/>
      <c r="G201" s="2987"/>
      <c r="H201" s="2987"/>
      <c r="I201" s="2987"/>
      <c r="J201" s="2987"/>
      <c r="K201" s="2315" t="str">
        <f t="shared" si="7"/>
        <v>x</v>
      </c>
    </row>
    <row r="202" spans="1:11" ht="15" customHeight="1" x14ac:dyDescent="0.25">
      <c r="A202" s="2987"/>
      <c r="B202" s="2987"/>
      <c r="C202" s="2987"/>
      <c r="D202" s="2987"/>
      <c r="E202" s="2987"/>
      <c r="F202" s="2987"/>
      <c r="G202" s="2987"/>
      <c r="H202" s="2987"/>
      <c r="I202" s="2987"/>
      <c r="J202" s="2987"/>
      <c r="K202" s="2315" t="str">
        <f t="shared" si="7"/>
        <v>x</v>
      </c>
    </row>
    <row r="203" spans="1:11" ht="15" customHeight="1" x14ac:dyDescent="0.25">
      <c r="A203" s="2987" t="str">
        <f>IntroProtocolo</f>
        <v xml:space="preserve">               A metodologia utilizada atende aos "Protocolos para Execução de Testes em Sistemas de Radiologia Diagnóstica e Intervencionista" do CONFEA.</v>
      </c>
      <c r="B203" s="2987"/>
      <c r="C203" s="2987"/>
      <c r="D203" s="2987"/>
      <c r="E203" s="2987"/>
      <c r="F203" s="2987"/>
      <c r="G203" s="2987"/>
      <c r="H203" s="2987"/>
      <c r="I203" s="2987"/>
      <c r="J203" s="2987"/>
      <c r="K203" s="2315" t="str">
        <f t="shared" si="7"/>
        <v>x</v>
      </c>
    </row>
    <row r="204" spans="1:11" ht="15" customHeight="1" x14ac:dyDescent="0.25">
      <c r="A204" s="2987"/>
      <c r="B204" s="2987"/>
      <c r="C204" s="2987"/>
      <c r="D204" s="2987"/>
      <c r="E204" s="2987"/>
      <c r="F204" s="2987"/>
      <c r="G204" s="2987"/>
      <c r="H204" s="2987"/>
      <c r="I204" s="2987"/>
      <c r="J204" s="2987"/>
      <c r="K204" s="2315" t="str">
        <f t="shared" si="7"/>
        <v>x</v>
      </c>
    </row>
    <row r="205" spans="1:11" ht="15" customHeight="1" x14ac:dyDescent="0.25">
      <c r="A205" s="33"/>
      <c r="B205" s="33"/>
      <c r="K205" s="2315" t="str">
        <f t="shared" si="7"/>
        <v>x</v>
      </c>
    </row>
    <row r="206" spans="1:11" ht="15" customHeight="1" x14ac:dyDescent="0.25">
      <c r="A206" s="33" t="s">
        <v>2345</v>
      </c>
      <c r="B206" s="33"/>
      <c r="C206" s="33"/>
      <c r="D206" s="33"/>
      <c r="E206" s="33"/>
      <c r="F206" s="33"/>
      <c r="G206" s="33"/>
      <c r="H206" s="33"/>
      <c r="I206" s="2049"/>
      <c r="J206" s="2049"/>
      <c r="K206" s="2315" t="str">
        <f t="shared" si="7"/>
        <v>x</v>
      </c>
    </row>
    <row r="207" spans="1:11" s="2272" customFormat="1" ht="15" customHeight="1" x14ac:dyDescent="0.25">
      <c r="A207" s="2048" t="s">
        <v>2805</v>
      </c>
      <c r="B207" s="33" t="str">
        <f>IF(Cabeçalho!B14="Intraoral","T: ≤ 0,25 mGy/h, a
1m; R: &gt; 0,5 mGy/h, a 1m","T: ≤ 1,0 mGy/h
a 1 m; R: &gt; 2,0 mGy/h a 1m")</f>
        <v>T: ≤ 1,0 mGy/h
a 1 m; R: &gt; 2,0 mGy/h a 1m</v>
      </c>
      <c r="C207" s="33"/>
      <c r="D207" s="33"/>
      <c r="E207" s="33"/>
      <c r="F207" s="33"/>
      <c r="G207" s="33"/>
      <c r="H207" s="33"/>
      <c r="I207" s="2049"/>
      <c r="J207" s="2049"/>
      <c r="K207" s="2315" t="str">
        <f t="shared" si="7"/>
        <v>x</v>
      </c>
    </row>
    <row r="208" spans="1:11" ht="15" customHeight="1" x14ac:dyDescent="0.25">
      <c r="A208" s="33"/>
      <c r="B208" s="33"/>
      <c r="C208" s="33"/>
      <c r="D208" s="33"/>
      <c r="E208" s="33"/>
      <c r="F208" s="33"/>
      <c r="G208" s="33"/>
      <c r="H208" s="33"/>
      <c r="I208" s="2049"/>
      <c r="J208" s="2049"/>
      <c r="K208" s="2315" t="str">
        <f t="shared" si="7"/>
        <v>x</v>
      </c>
    </row>
    <row r="209" spans="1:11" ht="15" customHeight="1" x14ac:dyDescent="0.25">
      <c r="A209" s="2048" t="s">
        <v>2346</v>
      </c>
      <c r="B209" s="33"/>
      <c r="C209" s="33"/>
      <c r="D209" s="33"/>
      <c r="E209" s="33"/>
      <c r="H209" s="33" t="e">
        <f>ROUNDUP(FugaCabecote,2)</f>
        <v>#DIV/0!</v>
      </c>
      <c r="K209" s="2315" t="str">
        <f t="shared" si="7"/>
        <v>x</v>
      </c>
    </row>
    <row r="210" spans="1:11" ht="15" customHeight="1" x14ac:dyDescent="0.25">
      <c r="A210" s="33"/>
      <c r="B210" s="33"/>
      <c r="C210" s="33"/>
      <c r="D210" s="33"/>
      <c r="E210" s="33"/>
      <c r="F210" s="33"/>
      <c r="G210" s="33"/>
      <c r="H210" s="33"/>
      <c r="K210" s="2315" t="str">
        <f t="shared" si="7"/>
        <v>x</v>
      </c>
    </row>
    <row r="211" spans="1:11" ht="15" customHeight="1" x14ac:dyDescent="0.25">
      <c r="A211" s="3139" t="s">
        <v>2343</v>
      </c>
      <c r="B211" s="3139"/>
      <c r="C211" s="3139"/>
      <c r="D211" s="3139"/>
      <c r="E211" s="3139"/>
      <c r="F211" s="3139"/>
      <c r="G211" s="3139"/>
      <c r="H211" s="3139"/>
      <c r="I211" s="3139"/>
      <c r="J211" s="3139"/>
      <c r="K211" s="2315" t="str">
        <f t="shared" si="7"/>
        <v>x</v>
      </c>
    </row>
    <row r="212" spans="1:11" ht="15" customHeight="1" x14ac:dyDescent="0.25">
      <c r="A212" s="33"/>
      <c r="B212" s="33"/>
      <c r="C212" s="33"/>
      <c r="D212" s="33"/>
      <c r="E212" s="33"/>
      <c r="F212" s="33"/>
      <c r="G212" s="33"/>
      <c r="H212" s="33"/>
      <c r="K212" s="2315" t="str">
        <f t="shared" si="7"/>
        <v>x</v>
      </c>
    </row>
    <row r="213" spans="1:11" ht="15" customHeight="1" x14ac:dyDescent="0.25">
      <c r="A213" s="2118" t="s">
        <v>119</v>
      </c>
      <c r="B213" s="3142" t="str">
        <f>IF(Cabeçalho!G7="","informação não encontrada no equipamento",Cabeçalho!G7)</f>
        <v>informação não encontrada no equipamento</v>
      </c>
      <c r="C213" s="3142"/>
      <c r="D213" s="3142"/>
      <c r="E213" s="3142"/>
      <c r="F213" s="3142"/>
      <c r="G213" s="3142"/>
      <c r="H213" s="3142"/>
      <c r="K213" s="2315" t="str">
        <f t="shared" si="7"/>
        <v>x</v>
      </c>
    </row>
    <row r="214" spans="1:11" ht="15" customHeight="1" x14ac:dyDescent="0.25">
      <c r="A214" s="2118" t="s">
        <v>120</v>
      </c>
      <c r="B214" s="3142" t="str">
        <f>IF(Cabeçalho!G8="","informação não encontrada no equipamento",Cabeçalho!G8)</f>
        <v>informação não encontrada no equipamento</v>
      </c>
      <c r="C214" s="3142"/>
      <c r="D214" s="3142"/>
      <c r="E214" s="3142"/>
      <c r="F214" s="3142"/>
      <c r="G214" s="3142"/>
      <c r="H214" s="3142"/>
      <c r="K214" s="2315" t="str">
        <f t="shared" si="7"/>
        <v>x</v>
      </c>
    </row>
    <row r="215" spans="1:11" ht="15" customHeight="1" x14ac:dyDescent="0.25">
      <c r="A215" s="2118" t="s">
        <v>121</v>
      </c>
      <c r="B215" s="3143" t="str">
        <f>IF(Cabeçalho!G9="","informação não encontrada no equipamento",Cabeçalho!G9)</f>
        <v>informação não encontrada no equipamento</v>
      </c>
      <c r="C215" s="3143"/>
      <c r="D215" s="3143"/>
      <c r="E215" s="3143"/>
      <c r="F215" s="3143"/>
      <c r="G215" s="3143"/>
      <c r="H215" s="3143"/>
      <c r="K215" s="2315" t="str">
        <f t="shared" si="7"/>
        <v>x</v>
      </c>
    </row>
    <row r="216" spans="1:11" ht="15" customHeight="1" x14ac:dyDescent="0.25">
      <c r="A216" s="33"/>
      <c r="B216" s="33"/>
      <c r="C216" s="33"/>
      <c r="D216" s="33"/>
      <c r="E216" s="33"/>
      <c r="F216" s="33"/>
      <c r="G216" s="33"/>
      <c r="H216" s="33"/>
      <c r="K216" s="2315" t="str">
        <f t="shared" si="7"/>
        <v>x</v>
      </c>
    </row>
    <row r="217" spans="1:11" ht="15" customHeight="1" x14ac:dyDescent="0.25">
      <c r="A217" s="3139" t="str">
        <f>"instalado no equipamento de "&amp;IF(Cabeçalho!B15="",Cabeçalho!B14,CONCATENATE(Cabeçalho!B14," - ",Cabeçalho!B15))</f>
        <v xml:space="preserve">instalado no equipamento de </v>
      </c>
      <c r="B217" s="3139"/>
      <c r="C217" s="3139"/>
      <c r="D217" s="3139"/>
      <c r="E217" s="3139"/>
      <c r="F217" s="3139"/>
      <c r="G217" s="3139"/>
      <c r="H217" s="3139"/>
      <c r="I217" s="3139"/>
      <c r="J217" s="3139"/>
      <c r="K217" s="2315" t="str">
        <f t="shared" si="7"/>
        <v>x</v>
      </c>
    </row>
    <row r="218" spans="1:11" ht="15" customHeight="1" x14ac:dyDescent="0.25">
      <c r="A218" s="33"/>
      <c r="B218" s="33"/>
      <c r="C218" s="33"/>
      <c r="D218" s="33"/>
      <c r="E218" s="33"/>
      <c r="F218" s="33"/>
      <c r="G218" s="33"/>
      <c r="H218" s="33"/>
      <c r="K218" s="2315" t="str">
        <f t="shared" si="7"/>
        <v>x</v>
      </c>
    </row>
    <row r="219" spans="1:11" ht="15" customHeight="1" x14ac:dyDescent="0.25">
      <c r="A219" s="2118" t="s">
        <v>119</v>
      </c>
      <c r="B219" s="3142" t="str">
        <f>IF(Cabeçalho!G3="","informação não encontrada no equipamento",Cabeçalho!G3)</f>
        <v>informação não encontrada no equipamento</v>
      </c>
      <c r="C219" s="3142"/>
      <c r="D219" s="3142"/>
      <c r="E219" s="3142"/>
      <c r="F219" s="3142"/>
      <c r="G219" s="3142"/>
      <c r="H219" s="3142"/>
      <c r="K219" s="2315" t="str">
        <f t="shared" si="7"/>
        <v>x</v>
      </c>
    </row>
    <row r="220" spans="1:11" ht="15" customHeight="1" x14ac:dyDescent="0.25">
      <c r="A220" s="2118" t="s">
        <v>120</v>
      </c>
      <c r="B220" s="3142" t="str">
        <f>IF(Cabeçalho!G4="","informação não encontrada no equipamento",Cabeçalho!G4)</f>
        <v>informação não encontrada no equipamento</v>
      </c>
      <c r="C220" s="3142"/>
      <c r="D220" s="3142"/>
      <c r="E220" s="3142"/>
      <c r="F220" s="3142"/>
      <c r="G220" s="3142"/>
      <c r="H220" s="3142"/>
      <c r="K220" s="2315" t="str">
        <f t="shared" si="7"/>
        <v>x</v>
      </c>
    </row>
    <row r="221" spans="1:11" ht="15" customHeight="1" x14ac:dyDescent="0.25">
      <c r="A221" s="2118" t="s">
        <v>121</v>
      </c>
      <c r="B221" s="3143" t="str">
        <f>IF(Cabeçalho!G5="","informação não encontrada no equipamento",Cabeçalho!G5)</f>
        <v>informação não encontrada no equipamento</v>
      </c>
      <c r="C221" s="3143"/>
      <c r="D221" s="3143"/>
      <c r="E221" s="3143"/>
      <c r="F221" s="3143"/>
      <c r="G221" s="3143"/>
      <c r="H221" s="3143"/>
      <c r="K221" s="2315" t="str">
        <f t="shared" si="7"/>
        <v>x</v>
      </c>
    </row>
    <row r="222" spans="1:11" ht="15" customHeight="1" x14ac:dyDescent="0.25">
      <c r="A222" s="163" t="s">
        <v>122</v>
      </c>
      <c r="B222" s="3142" t="str">
        <f>IF(Cabeçalho!G6="","informação não encontrada no equipamento",Cabeçalho!G6)</f>
        <v>informação não encontrada no equipamento</v>
      </c>
      <c r="C222" s="3142"/>
      <c r="D222" s="3142"/>
      <c r="E222" s="3142"/>
      <c r="F222" s="3142"/>
      <c r="G222" s="3142"/>
      <c r="H222" s="3142"/>
      <c r="K222" s="2315" t="str">
        <f t="shared" si="7"/>
        <v>x</v>
      </c>
    </row>
    <row r="223" spans="1:11" s="2315" customFormat="1" ht="15" customHeight="1" x14ac:dyDescent="0.25">
      <c r="A223" s="163"/>
      <c r="B223" s="2316"/>
      <c r="C223" s="2316"/>
      <c r="D223" s="2316"/>
      <c r="E223" s="2316"/>
      <c r="F223" s="2316"/>
      <c r="G223" s="2316"/>
      <c r="H223" s="2316"/>
      <c r="K223" s="2315" t="str">
        <f t="shared" si="7"/>
        <v>x</v>
      </c>
    </row>
    <row r="224" spans="1:11" ht="15" customHeight="1" x14ac:dyDescent="0.25">
      <c r="A224" s="3140" t="s">
        <v>156</v>
      </c>
      <c r="B224" s="3140"/>
      <c r="C224" s="3140"/>
      <c r="D224" s="3140"/>
      <c r="E224" s="3140"/>
      <c r="F224" s="3140"/>
      <c r="G224" s="3140"/>
      <c r="H224" s="3140"/>
      <c r="I224" s="3140"/>
      <c r="J224" s="3140"/>
      <c r="K224" s="2315" t="str">
        <f t="shared" si="7"/>
        <v>x</v>
      </c>
    </row>
    <row r="225" spans="1:23" ht="15" customHeight="1" x14ac:dyDescent="0.25">
      <c r="A225" s="3144" t="e">
        <f>Cabeçalho!B6</f>
        <v>#N/A</v>
      </c>
      <c r="B225" s="3144"/>
      <c r="C225" s="3144"/>
      <c r="D225" s="3144"/>
      <c r="E225" s="3144"/>
      <c r="F225" s="3144"/>
      <c r="G225" s="3144"/>
      <c r="H225" s="3144"/>
      <c r="I225" s="3144"/>
      <c r="J225" s="3144"/>
      <c r="K225" s="2315" t="str">
        <f t="shared" si="7"/>
        <v>x</v>
      </c>
    </row>
    <row r="226" spans="1:23" ht="15" customHeight="1" x14ac:dyDescent="0.25">
      <c r="A226" s="3144"/>
      <c r="B226" s="3144"/>
      <c r="C226" s="3144"/>
      <c r="D226" s="3144"/>
      <c r="E226" s="3144"/>
      <c r="F226" s="3144"/>
      <c r="G226" s="3144"/>
      <c r="H226" s="3144"/>
      <c r="I226" s="3144"/>
      <c r="J226" s="3144"/>
      <c r="K226" s="2315" t="str">
        <f t="shared" si="7"/>
        <v>x</v>
      </c>
    </row>
    <row r="227" spans="1:23" ht="15" customHeight="1" x14ac:dyDescent="0.25">
      <c r="A227" s="3146" t="e">
        <f>IF('LR e FUGA'!A22="Tolerância","Apresentou fuga de radiação Não Conforme, estando acima do limite de TOLERÂNCIA estabelecido na legislação sanitária. Deve-se adotar imediatamente ações necessárias à adequação do cabeçote.",IF('LR e FUGA'!A22="Restrição","Apresentou fuga de radiação Não Conforme, estando acima do limite de RESTRIÇÃO estabelecido na legislação sanitária. O uso do equipamento deve ser suspenso até o conserto, atendendo ao Art. 33 da RDC "&amp;VLOOKUP("rdc",IN_ANVISA[],2)&amp;" da ANVISA."&amp;" Deve-se adotar imediatamente ações necessárias à adequação do cabeçote.","Apresentou fuga de radiação em conformidade com os limites estabelecidos na legislação sanitária."))</f>
        <v>#DIV/0!</v>
      </c>
      <c r="B227" s="3146"/>
      <c r="C227" s="3146"/>
      <c r="D227" s="3146"/>
      <c r="E227" s="3146"/>
      <c r="F227" s="3146"/>
      <c r="G227" s="3146"/>
      <c r="H227" s="3146"/>
      <c r="I227" s="3146"/>
      <c r="J227" s="3146"/>
      <c r="K227" s="2315" t="str">
        <f t="shared" si="7"/>
        <v>x</v>
      </c>
      <c r="N227" s="3145"/>
      <c r="O227" s="3145"/>
      <c r="P227" s="3145"/>
      <c r="Q227" s="3145"/>
      <c r="R227" s="3145"/>
      <c r="S227" s="3145"/>
      <c r="T227" s="3145"/>
      <c r="U227" s="3145"/>
      <c r="V227" s="3145"/>
      <c r="W227" s="3145"/>
    </row>
    <row r="228" spans="1:23" ht="15" customHeight="1" x14ac:dyDescent="0.25">
      <c r="A228" s="3146"/>
      <c r="B228" s="3146"/>
      <c r="C228" s="3146"/>
      <c r="D228" s="3146"/>
      <c r="E228" s="3146"/>
      <c r="F228" s="3146"/>
      <c r="G228" s="3146"/>
      <c r="H228" s="3146"/>
      <c r="I228" s="3146"/>
      <c r="J228" s="3146"/>
      <c r="K228" s="2315" t="str">
        <f t="shared" si="7"/>
        <v>x</v>
      </c>
      <c r="N228" s="3145"/>
      <c r="O228" s="3145"/>
      <c r="P228" s="3145"/>
      <c r="Q228" s="3145"/>
      <c r="R228" s="3145"/>
      <c r="S228" s="3145"/>
      <c r="T228" s="3145"/>
      <c r="U228" s="3145"/>
      <c r="V228" s="3145"/>
      <c r="W228" s="3145"/>
    </row>
    <row r="229" spans="1:23" ht="15" customHeight="1" x14ac:dyDescent="0.25">
      <c r="A229" s="33"/>
      <c r="B229" s="33"/>
      <c r="C229" s="33"/>
      <c r="D229" s="33"/>
      <c r="E229" s="33"/>
      <c r="F229" s="33"/>
      <c r="G229" s="33"/>
      <c r="H229" s="33"/>
      <c r="K229" s="2315" t="str">
        <f t="shared" si="7"/>
        <v>x</v>
      </c>
    </row>
    <row r="230" spans="1:23" ht="15" customHeight="1" x14ac:dyDescent="0.2">
      <c r="A230" s="3141" t="s">
        <v>157</v>
      </c>
      <c r="B230" s="3141"/>
      <c r="C230" s="3141"/>
      <c r="D230" s="32"/>
      <c r="E230" s="32"/>
      <c r="F230" s="32"/>
      <c r="G230" s="32"/>
      <c r="H230" s="32"/>
      <c r="K230" s="2315" t="str">
        <f t="shared" si="7"/>
        <v>x</v>
      </c>
    </row>
    <row r="231" spans="1:23" ht="15" customHeight="1" x14ac:dyDescent="0.25">
      <c r="A231" s="3037" t="str">
        <f>CONCATENATE("                ",Tabelas2!S4)</f>
        <v xml:space="preserve">                Medidor de tensão, tempo, dose e camada semirredutora marca RaySafe, modelo X2 8251010-6, série 257741, sensor modelo 8252010-6, série 260722, certificado de calibração em anexo.</v>
      </c>
      <c r="B231" s="3037"/>
      <c r="C231" s="3037"/>
      <c r="D231" s="3037"/>
      <c r="E231" s="3037"/>
      <c r="F231" s="3037"/>
      <c r="G231" s="3037"/>
      <c r="H231" s="3037"/>
      <c r="I231" s="3037"/>
      <c r="J231" s="3037"/>
      <c r="K231" s="2315" t="str">
        <f t="shared" si="7"/>
        <v>x</v>
      </c>
    </row>
    <row r="232" spans="1:23" ht="15" customHeight="1" x14ac:dyDescent="0.25">
      <c r="A232" s="3037"/>
      <c r="B232" s="3037"/>
      <c r="C232" s="3037"/>
      <c r="D232" s="3037"/>
      <c r="E232" s="3037"/>
      <c r="F232" s="3037"/>
      <c r="G232" s="3037"/>
      <c r="H232" s="3037"/>
      <c r="I232" s="3037"/>
      <c r="J232" s="3037"/>
      <c r="K232" s="2315" t="str">
        <f t="shared" si="7"/>
        <v>x</v>
      </c>
    </row>
    <row r="233" spans="1:23" ht="15" customHeight="1" x14ac:dyDescent="0.25">
      <c r="A233" s="3037" t="str">
        <f>CONCATENATE("               ",Tabelas2!T4)</f>
        <v xml:space="preserve">               Câmara de ionização marca Fluke Biomedical, modelo 451P-DE-SI-RYR, série 2826, certificado de calibração em anexo.</v>
      </c>
      <c r="B233" s="3037"/>
      <c r="C233" s="3037"/>
      <c r="D233" s="3037"/>
      <c r="E233" s="3037"/>
      <c r="F233" s="3037"/>
      <c r="G233" s="3037"/>
      <c r="H233" s="3037"/>
      <c r="I233" s="3037"/>
      <c r="J233" s="3037"/>
      <c r="K233" s="2315" t="str">
        <f t="shared" si="7"/>
        <v>x</v>
      </c>
    </row>
    <row r="234" spans="1:23" ht="15" customHeight="1" x14ac:dyDescent="0.25">
      <c r="A234" s="3037"/>
      <c r="B234" s="3037"/>
      <c r="C234" s="3037"/>
      <c r="D234" s="3037"/>
      <c r="E234" s="3037"/>
      <c r="F234" s="3037"/>
      <c r="G234" s="3037"/>
      <c r="H234" s="3037"/>
      <c r="I234" s="3037"/>
      <c r="J234" s="3037"/>
      <c r="K234" s="2315" t="str">
        <f t="shared" si="7"/>
        <v>x</v>
      </c>
    </row>
    <row r="235" spans="1:23" ht="15" customHeight="1" x14ac:dyDescent="0.25">
      <c r="A235" s="33"/>
      <c r="B235" s="33"/>
      <c r="C235" s="33"/>
      <c r="D235" s="33"/>
      <c r="E235" s="33"/>
      <c r="F235" s="3138" t="e">
        <f>Cabeçalho!B12</f>
        <v>#N/A</v>
      </c>
      <c r="G235" s="3138"/>
      <c r="H235" s="3138"/>
      <c r="K235" s="2315" t="str">
        <f t="shared" si="7"/>
        <v>x</v>
      </c>
    </row>
    <row r="236" spans="1:23" ht="15" customHeight="1" x14ac:dyDescent="0.25">
      <c r="K236" s="2315" t="str">
        <f t="shared" si="7"/>
        <v>x</v>
      </c>
    </row>
    <row r="237" spans="1:23" s="2315" customFormat="1" ht="15" customHeight="1" x14ac:dyDescent="0.25">
      <c r="K237" s="2315" t="str">
        <f t="shared" si="7"/>
        <v>x</v>
      </c>
    </row>
    <row r="238" spans="1:23" s="2315" customFormat="1" ht="15" customHeight="1" x14ac:dyDescent="0.25">
      <c r="K238" s="2315" t="str">
        <f t="shared" si="7"/>
        <v>x</v>
      </c>
    </row>
    <row r="239" spans="1:23" ht="15" customHeight="1" x14ac:dyDescent="0.25">
      <c r="K239" s="2315" t="str">
        <f t="shared" si="7"/>
        <v>x</v>
      </c>
    </row>
  </sheetData>
  <sheetProtection selectLockedCells="1" autoFilter="0"/>
  <autoFilter ref="K1:K236"/>
  <mergeCells count="109">
    <mergeCell ref="A52:J52"/>
    <mergeCell ref="N227:W228"/>
    <mergeCell ref="A227:J228"/>
    <mergeCell ref="A119:J120"/>
    <mergeCell ref="A197:J198"/>
    <mergeCell ref="A201:J202"/>
    <mergeCell ref="A203:J204"/>
    <mergeCell ref="F97:H97"/>
    <mergeCell ref="F98:H98"/>
    <mergeCell ref="A121:J122"/>
    <mergeCell ref="B213:H213"/>
    <mergeCell ref="A196:J196"/>
    <mergeCell ref="A151:J154"/>
    <mergeCell ref="A162:J165"/>
    <mergeCell ref="A191:J194"/>
    <mergeCell ref="A169:J172"/>
    <mergeCell ref="A181:J185"/>
    <mergeCell ref="A126:J130"/>
    <mergeCell ref="A158:J161"/>
    <mergeCell ref="A136:J147"/>
    <mergeCell ref="A106:J107"/>
    <mergeCell ref="A166:J168"/>
    <mergeCell ref="A186:J190"/>
    <mergeCell ref="A173:J178"/>
    <mergeCell ref="A24:C24"/>
    <mergeCell ref="D24:F24"/>
    <mergeCell ref="G24:J24"/>
    <mergeCell ref="F92:H92"/>
    <mergeCell ref="F93:H93"/>
    <mergeCell ref="F94:H94"/>
    <mergeCell ref="F95:H95"/>
    <mergeCell ref="F96:H96"/>
    <mergeCell ref="F87:H87"/>
    <mergeCell ref="F88:H88"/>
    <mergeCell ref="F89:H89"/>
    <mergeCell ref="F90:H90"/>
    <mergeCell ref="F91:H91"/>
    <mergeCell ref="F82:H82"/>
    <mergeCell ref="F83:H83"/>
    <mergeCell ref="F84:H84"/>
    <mergeCell ref="A38:J39"/>
    <mergeCell ref="G55:H56"/>
    <mergeCell ref="I55:J56"/>
    <mergeCell ref="A62:D62"/>
    <mergeCell ref="A63:D63"/>
    <mergeCell ref="F61:J61"/>
    <mergeCell ref="F62:J62"/>
    <mergeCell ref="F63:J63"/>
    <mergeCell ref="F235:H235"/>
    <mergeCell ref="A211:J211"/>
    <mergeCell ref="A217:J217"/>
    <mergeCell ref="A224:J224"/>
    <mergeCell ref="A231:J232"/>
    <mergeCell ref="A233:J234"/>
    <mergeCell ref="A230:C230"/>
    <mergeCell ref="B219:H219"/>
    <mergeCell ref="B220:H220"/>
    <mergeCell ref="B221:H221"/>
    <mergeCell ref="B222:H222"/>
    <mergeCell ref="A225:J226"/>
    <mergeCell ref="B214:H214"/>
    <mergeCell ref="B215:H215"/>
    <mergeCell ref="F77:H77"/>
    <mergeCell ref="F78:H78"/>
    <mergeCell ref="A155:J157"/>
    <mergeCell ref="A104:J105"/>
    <mergeCell ref="A110:J111"/>
    <mergeCell ref="A99:J101"/>
    <mergeCell ref="A112:J113"/>
    <mergeCell ref="A134:J135"/>
    <mergeCell ref="A114:J118"/>
    <mergeCell ref="F81:H81"/>
    <mergeCell ref="F79:H79"/>
    <mergeCell ref="F80:H80"/>
    <mergeCell ref="A131:B131"/>
    <mergeCell ref="C131:D131"/>
    <mergeCell ref="F72:H72"/>
    <mergeCell ref="F73:H73"/>
    <mergeCell ref="F74:H74"/>
    <mergeCell ref="F75:H75"/>
    <mergeCell ref="F76:H76"/>
    <mergeCell ref="F60:J60"/>
    <mergeCell ref="A61:D61"/>
    <mergeCell ref="A55:C56"/>
    <mergeCell ref="D55:F56"/>
    <mergeCell ref="A50:J51"/>
    <mergeCell ref="A45:J49"/>
    <mergeCell ref="F85:H85"/>
    <mergeCell ref="F86:H86"/>
    <mergeCell ref="A1:D1"/>
    <mergeCell ref="A27:J30"/>
    <mergeCell ref="A35:J37"/>
    <mergeCell ref="E1:H1"/>
    <mergeCell ref="A3:J3"/>
    <mergeCell ref="A5:J5"/>
    <mergeCell ref="C12:J13"/>
    <mergeCell ref="C17:J17"/>
    <mergeCell ref="A7:J7"/>
    <mergeCell ref="C9:J10"/>
    <mergeCell ref="A31:J34"/>
    <mergeCell ref="A58:C58"/>
    <mergeCell ref="D58:J58"/>
    <mergeCell ref="A42:J44"/>
    <mergeCell ref="A54:C54"/>
    <mergeCell ref="D54:F54"/>
    <mergeCell ref="G54:H54"/>
    <mergeCell ref="I54:J54"/>
    <mergeCell ref="A60:D60"/>
    <mergeCell ref="A66:J70"/>
  </mergeCells>
  <conditionalFormatting sqref="E73:E98">
    <cfRule type="cellIs" dxfId="25" priority="2" operator="equal">
      <formula>"ERRO"</formula>
    </cfRule>
  </conditionalFormatting>
  <conditionalFormatting sqref="J73:J98">
    <cfRule type="cellIs" dxfId="24" priority="1" operator="equal">
      <formula>"Tolerância"</formula>
    </cfRule>
    <cfRule type="cellIs" dxfId="23" priority="3" operator="equal">
      <formula>"Insalubre"</formula>
    </cfRule>
    <cfRule type="cellIs" dxfId="22" priority="4" operator="equal">
      <formula>"Restrição"</formula>
    </cfRule>
  </conditionalFormatting>
  <pageMargins left="0.78740157480314965" right="0.19685039370078741" top="1.3779527559055118" bottom="1.1811023622047245" header="0.31496062992125984" footer="0.51181102362204722"/>
  <pageSetup paperSize="9" orientation="portrait" r:id="rId1"/>
  <headerFooter>
    <oddFooter>&amp;L&amp;F&amp;RPágina &amp;P de &amp;N</oddFooter>
  </headerFooter>
  <rowBreaks count="3" manualBreakCount="3">
    <brk id="52" max="9" man="1"/>
    <brk id="172" max="9" man="1"/>
    <brk id="195" max="9"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J25"/>
  <sheetViews>
    <sheetView workbookViewId="0">
      <selection activeCell="C12" sqref="C12:J13"/>
    </sheetView>
  </sheetViews>
  <sheetFormatPr defaultColWidth="9.140625" defaultRowHeight="15" x14ac:dyDescent="0.25"/>
  <cols>
    <col min="1" max="16384" width="9.140625" style="820"/>
  </cols>
  <sheetData>
    <row r="1" spans="1:10" ht="18.75" x14ac:dyDescent="0.4">
      <c r="A1" s="1368" t="s">
        <v>1343</v>
      </c>
      <c r="C1" s="1218" t="s">
        <v>1480</v>
      </c>
    </row>
    <row r="2" spans="1:10" ht="42.95" customHeight="1" thickBot="1" x14ac:dyDescent="0.3">
      <c r="A2" s="3148" t="s">
        <v>1374</v>
      </c>
      <c r="B2" s="3148"/>
      <c r="C2" s="3148"/>
      <c r="D2" s="3148"/>
      <c r="E2" s="3148"/>
      <c r="F2" s="3148"/>
      <c r="G2" s="3148"/>
      <c r="H2" s="3148"/>
      <c r="I2" s="3148"/>
      <c r="J2" s="3148"/>
    </row>
    <row r="3" spans="1:10" ht="15.75" thickBot="1" x14ac:dyDescent="0.3">
      <c r="A3" s="2420" t="s">
        <v>1143</v>
      </c>
      <c r="B3" s="2421"/>
      <c r="C3" s="2421"/>
      <c r="D3" s="2421"/>
      <c r="E3" s="2421"/>
      <c r="F3" s="2421"/>
      <c r="G3" s="2421"/>
      <c r="H3" s="2421"/>
      <c r="I3" s="2421"/>
      <c r="J3" s="2422"/>
    </row>
    <row r="4" spans="1:10" x14ac:dyDescent="0.25">
      <c r="A4" s="1088"/>
      <c r="B4" s="820" t="s">
        <v>1151</v>
      </c>
    </row>
    <row r="5" spans="1:10" x14ac:dyDescent="0.25">
      <c r="A5" s="821"/>
      <c r="B5" s="820" t="s">
        <v>1144</v>
      </c>
    </row>
    <row r="6" spans="1:10" x14ac:dyDescent="0.25">
      <c r="A6" s="821"/>
      <c r="B6" s="820" t="s">
        <v>1152</v>
      </c>
    </row>
    <row r="7" spans="1:10" x14ac:dyDescent="0.25">
      <c r="A7" s="821"/>
      <c r="B7" s="820" t="s">
        <v>1145</v>
      </c>
    </row>
    <row r="8" spans="1:10" x14ac:dyDescent="0.25">
      <c r="A8" s="821"/>
      <c r="B8" s="820" t="s">
        <v>1146</v>
      </c>
    </row>
    <row r="9" spans="1:10" x14ac:dyDescent="0.25">
      <c r="A9" s="821"/>
      <c r="B9" s="820" t="s">
        <v>1147</v>
      </c>
    </row>
    <row r="10" spans="1:10" x14ac:dyDescent="0.25">
      <c r="A10" s="821"/>
      <c r="B10" s="820" t="s">
        <v>1153</v>
      </c>
    </row>
    <row r="11" spans="1:10" x14ac:dyDescent="0.25">
      <c r="A11" s="821"/>
      <c r="B11" s="820" t="s">
        <v>1154</v>
      </c>
    </row>
    <row r="13" spans="1:10" ht="15.75" thickBot="1" x14ac:dyDescent="0.3"/>
    <row r="14" spans="1:10" ht="15.75" thickBot="1" x14ac:dyDescent="0.3">
      <c r="A14" s="2420" t="s">
        <v>1148</v>
      </c>
      <c r="B14" s="2421"/>
      <c r="C14" s="2421"/>
      <c r="D14" s="2421"/>
      <c r="E14" s="2421"/>
      <c r="F14" s="2421"/>
      <c r="G14" s="2421"/>
      <c r="H14" s="2421"/>
      <c r="I14" s="2421"/>
      <c r="J14" s="2422"/>
    </row>
    <row r="15" spans="1:10" x14ac:dyDescent="0.25">
      <c r="A15" s="1088"/>
      <c r="B15" s="820" t="s">
        <v>1149</v>
      </c>
    </row>
    <row r="16" spans="1:10" x14ac:dyDescent="0.25">
      <c r="A16" s="821"/>
      <c r="B16" s="820" t="s">
        <v>1150</v>
      </c>
    </row>
    <row r="18" spans="1:10" ht="15.75" thickBot="1" x14ac:dyDescent="0.3"/>
    <row r="19" spans="1:10" ht="15.75" thickBot="1" x14ac:dyDescent="0.3">
      <c r="A19" s="2420" t="s">
        <v>1155</v>
      </c>
      <c r="B19" s="2421"/>
      <c r="C19" s="2421"/>
      <c r="D19" s="2421"/>
      <c r="E19" s="2421"/>
      <c r="F19" s="2421"/>
      <c r="G19" s="2421"/>
      <c r="H19" s="2421"/>
      <c r="I19" s="2421"/>
      <c r="J19" s="2422"/>
    </row>
    <row r="20" spans="1:10" x14ac:dyDescent="0.25">
      <c r="A20" s="1088"/>
      <c r="B20" s="820" t="s">
        <v>1156</v>
      </c>
    </row>
    <row r="21" spans="1:10" x14ac:dyDescent="0.25">
      <c r="A21" s="821"/>
      <c r="B21" s="820" t="s">
        <v>1157</v>
      </c>
    </row>
    <row r="22" spans="1:10" x14ac:dyDescent="0.25">
      <c r="A22" s="821"/>
      <c r="B22" s="820" t="s">
        <v>1158</v>
      </c>
    </row>
    <row r="23" spans="1:10" x14ac:dyDescent="0.25">
      <c r="A23" s="821"/>
      <c r="B23" s="820" t="s">
        <v>1159</v>
      </c>
    </row>
    <row r="24" spans="1:10" x14ac:dyDescent="0.25">
      <c r="A24" s="821"/>
      <c r="B24" s="820" t="s">
        <v>1160</v>
      </c>
    </row>
    <row r="25" spans="1:10" x14ac:dyDescent="0.25">
      <c r="A25" s="821"/>
      <c r="B25" s="820" t="s">
        <v>1349</v>
      </c>
    </row>
  </sheetData>
  <sheetProtection sheet="1" objects="1" scenarios="1" selectLockedCells="1" autoFilter="0"/>
  <mergeCells count="4">
    <mergeCell ref="A3:J3"/>
    <mergeCell ref="A14:J14"/>
    <mergeCell ref="A19:J19"/>
    <mergeCell ref="A2:J2"/>
  </mergeCells>
  <dataValidations count="1">
    <dataValidation type="list" allowBlank="1" showInputMessage="1" showErrorMessage="1" sqref="A15:A16 A4:A11 A20:A25">
      <formula1>"s,n"</formula1>
    </dataValidation>
  </dataValidations>
  <pageMargins left="0.511811024" right="0.511811024" top="0.78740157499999996" bottom="0.78740157499999996" header="0.31496062000000002" footer="0.31496062000000002"/>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60"/>
  <sheetViews>
    <sheetView view="pageBreakPreview" zoomScale="145" zoomScaleNormal="100" zoomScaleSheetLayoutView="145" workbookViewId="0">
      <pane ySplit="1" topLeftCell="A2" activePane="bottomLeft" state="frozen"/>
      <selection activeCell="C12" sqref="C12:J13"/>
      <selection pane="bottomLeft" activeCell="C12" sqref="C12:J13"/>
    </sheetView>
  </sheetViews>
  <sheetFormatPr defaultColWidth="9.140625" defaultRowHeight="15" x14ac:dyDescent="0.2"/>
  <cols>
    <col min="1" max="4" width="9.140625" style="230" customWidth="1"/>
    <col min="5" max="5" width="10.42578125" style="230" bestFit="1" customWidth="1"/>
    <col min="6" max="8" width="9.140625" style="230"/>
    <col min="9" max="10" width="9.140625" style="230" customWidth="1"/>
    <col min="11" max="16384" width="9.140625" style="230"/>
  </cols>
  <sheetData>
    <row r="1" spans="1:11" ht="15" customHeight="1" x14ac:dyDescent="0.25">
      <c r="A1" s="2636" t="e">
        <f>Cabeçalho!B6</f>
        <v>#N/A</v>
      </c>
      <c r="B1" s="2636"/>
      <c r="C1" s="2636"/>
      <c r="D1" s="2636"/>
      <c r="E1" s="2636"/>
      <c r="F1" s="2636"/>
      <c r="G1" s="2652" t="str">
        <f>IF(Cabeçalho!$B$15="",CONCATENATE(Cabeçalho!$B$14,IF(Cabeçalho!$B$16&lt;&gt;0," - ",""),UPPER(Cabeçalho!$B$16)),CONCATENATE(Cabeçalho!$B$14," - ",Cabeçalho!$B$15," - ",UPPER(Cabeçalho!$B$16)))</f>
        <v/>
      </c>
      <c r="H1" s="2652"/>
      <c r="I1" s="2682" t="e">
        <f>Cabeçalho!B12</f>
        <v>#N/A</v>
      </c>
      <c r="J1" s="2682"/>
      <c r="K1" s="561" t="s">
        <v>648</v>
      </c>
    </row>
    <row r="2" spans="1:11" ht="15" customHeight="1" x14ac:dyDescent="0.2">
      <c r="A2" s="1085"/>
      <c r="B2" s="1085"/>
      <c r="C2" s="1085"/>
      <c r="D2" s="1085"/>
      <c r="E2" s="1085"/>
      <c r="F2" s="1085"/>
      <c r="G2" s="1085"/>
      <c r="H2" s="1085"/>
      <c r="I2" s="1085"/>
      <c r="J2" s="1085"/>
    </row>
    <row r="3" spans="1:11" ht="15" customHeight="1" x14ac:dyDescent="0.2">
      <c r="A3" s="2676" t="s">
        <v>1385</v>
      </c>
      <c r="B3" s="2676"/>
      <c r="C3" s="2676"/>
      <c r="D3" s="2676"/>
      <c r="E3" s="2676"/>
      <c r="F3" s="2676"/>
      <c r="G3" s="2676"/>
      <c r="H3" s="2676"/>
      <c r="I3" s="2676"/>
      <c r="J3" s="2676"/>
    </row>
    <row r="4" spans="1:11" ht="15" customHeight="1" x14ac:dyDescent="0.2">
      <c r="A4" s="2676"/>
      <c r="B4" s="2676"/>
      <c r="C4" s="2676"/>
      <c r="D4" s="2676"/>
      <c r="E4" s="2676"/>
      <c r="F4" s="2676"/>
      <c r="G4" s="2676"/>
      <c r="H4" s="2676"/>
      <c r="I4" s="2676"/>
      <c r="J4" s="2676"/>
    </row>
    <row r="5" spans="1:11" ht="15" customHeight="1" x14ac:dyDescent="0.2">
      <c r="A5" s="2676" t="str">
        <f>IF(K74="","E ORIENTAÇÕES PARA REFORÇO DE BLINDAGEM","")</f>
        <v/>
      </c>
      <c r="B5" s="2676"/>
      <c r="C5" s="2676"/>
      <c r="D5" s="2676"/>
      <c r="E5" s="2676"/>
      <c r="F5" s="2676"/>
      <c r="G5" s="2676"/>
      <c r="H5" s="2676"/>
      <c r="I5" s="2676"/>
      <c r="J5" s="2676"/>
      <c r="K5" s="235"/>
    </row>
    <row r="6" spans="1:11" ht="15" customHeight="1" x14ac:dyDescent="0.2">
      <c r="A6" s="1085"/>
      <c r="B6" s="1085"/>
      <c r="C6" s="1085"/>
      <c r="D6" s="1085"/>
      <c r="E6" s="1085"/>
      <c r="F6" s="1085"/>
      <c r="G6" s="1085"/>
      <c r="H6" s="1085"/>
      <c r="I6" s="1085"/>
      <c r="J6" s="1085"/>
    </row>
    <row r="7" spans="1:11" ht="15" customHeight="1" x14ac:dyDescent="0.2">
      <c r="A7" s="1085"/>
      <c r="B7" s="1085"/>
      <c r="C7" s="1085"/>
      <c r="D7" s="1085"/>
      <c r="E7" s="1085"/>
      <c r="F7" s="1085"/>
      <c r="G7" s="1085"/>
      <c r="H7" s="1085"/>
      <c r="I7" s="1085"/>
      <c r="J7" s="1085"/>
    </row>
    <row r="8" spans="1:11" ht="15" customHeight="1" x14ac:dyDescent="0.2">
      <c r="A8" s="1085"/>
      <c r="B8" s="1085"/>
      <c r="C8" s="1085"/>
      <c r="D8" s="1085"/>
      <c r="E8" s="1085"/>
      <c r="F8" s="1085"/>
      <c r="G8" s="1085"/>
      <c r="H8" s="1085"/>
      <c r="I8" s="1085"/>
      <c r="J8" s="1085"/>
    </row>
    <row r="9" spans="1:11" ht="15" customHeight="1" x14ac:dyDescent="0.2">
      <c r="A9" s="1085"/>
      <c r="B9" s="1085"/>
      <c r="C9" s="2677" t="e">
        <f>Cabeçalho!B6</f>
        <v>#N/A</v>
      </c>
      <c r="D9" s="2677"/>
      <c r="E9" s="2677"/>
      <c r="F9" s="2677"/>
      <c r="G9" s="2677"/>
      <c r="H9" s="2677"/>
      <c r="I9" s="2677"/>
      <c r="J9" s="2677"/>
    </row>
    <row r="10" spans="1:11" ht="15" customHeight="1" x14ac:dyDescent="0.2">
      <c r="A10" s="1085"/>
      <c r="B10" s="1085"/>
      <c r="C10" s="2677"/>
      <c r="D10" s="2677"/>
      <c r="E10" s="2677"/>
      <c r="F10" s="2677"/>
      <c r="G10" s="2677"/>
      <c r="H10" s="2677"/>
      <c r="I10" s="2677"/>
      <c r="J10" s="2677"/>
    </row>
    <row r="11" spans="1:11" ht="15" customHeight="1" x14ac:dyDescent="0.2">
      <c r="A11" s="1085"/>
      <c r="B11" s="29"/>
      <c r="C11" s="29"/>
      <c r="D11" s="29"/>
      <c r="E11" s="29"/>
      <c r="F11" s="29"/>
      <c r="G11" s="29"/>
      <c r="H11" s="1085"/>
      <c r="I11" s="1085"/>
      <c r="J11" s="1085"/>
    </row>
    <row r="12" spans="1:11" ht="15" customHeight="1" x14ac:dyDescent="0.2">
      <c r="A12" s="1085"/>
      <c r="B12" s="1085"/>
      <c r="C12" s="2674" t="e">
        <f>Cabeçalho!B7</f>
        <v>#N/A</v>
      </c>
      <c r="D12" s="2674"/>
      <c r="E12" s="2674"/>
      <c r="F12" s="2674"/>
      <c r="G12" s="2674"/>
      <c r="H12" s="2674"/>
      <c r="I12" s="2674"/>
      <c r="J12" s="2674"/>
    </row>
    <row r="13" spans="1:11" ht="15" customHeight="1" x14ac:dyDescent="0.2">
      <c r="A13" s="1085"/>
      <c r="B13" s="29"/>
      <c r="C13" s="2674"/>
      <c r="D13" s="2674"/>
      <c r="E13" s="2674"/>
      <c r="F13" s="2674"/>
      <c r="G13" s="2674"/>
      <c r="H13" s="2674"/>
      <c r="I13" s="2674"/>
      <c r="J13" s="2674"/>
    </row>
    <row r="14" spans="1:11" ht="15" customHeight="1" x14ac:dyDescent="0.2">
      <c r="A14" s="1085"/>
      <c r="B14" s="29"/>
      <c r="C14" s="29"/>
      <c r="D14" s="29"/>
      <c r="E14" s="29"/>
      <c r="F14" s="29"/>
      <c r="G14" s="29"/>
      <c r="H14" s="1085"/>
      <c r="I14" s="1085"/>
      <c r="J14" s="1085"/>
    </row>
    <row r="15" spans="1:11" ht="15" customHeight="1" x14ac:dyDescent="0.2">
      <c r="A15" s="1085"/>
      <c r="B15" s="1085"/>
      <c r="C15" s="1086" t="e">
        <f>Cabeçalho!B8</f>
        <v>#N/A</v>
      </c>
      <c r="D15" s="1085"/>
      <c r="E15" s="29" t="e">
        <f>CONCATENATE(Cabeçalho!B9,", ",Cabeçalho!B10)</f>
        <v>#N/A</v>
      </c>
      <c r="F15" s="29"/>
      <c r="G15" s="29"/>
      <c r="H15" s="1085"/>
      <c r="I15" s="1085"/>
      <c r="J15" s="1085"/>
    </row>
    <row r="16" spans="1:11" ht="15" customHeight="1" x14ac:dyDescent="0.2">
      <c r="A16" s="1085"/>
      <c r="B16" s="1085"/>
      <c r="C16" s="1085"/>
      <c r="D16" s="1085"/>
      <c r="E16" s="1085"/>
      <c r="F16" s="1085"/>
      <c r="G16" s="1085"/>
      <c r="H16" s="1085"/>
      <c r="I16" s="1085"/>
      <c r="J16" s="1085"/>
    </row>
    <row r="17" spans="1:10" ht="30" customHeight="1" x14ac:dyDescent="0.2">
      <c r="A17" s="1085" t="s">
        <v>115</v>
      </c>
      <c r="B17" s="1085"/>
      <c r="C17" s="2675" t="e">
        <f>Cabeçalho!B4</f>
        <v>#N/A</v>
      </c>
      <c r="D17" s="2675"/>
      <c r="E17" s="2675"/>
      <c r="F17" s="2675"/>
      <c r="G17" s="2675"/>
      <c r="H17" s="2675"/>
      <c r="I17" s="2675"/>
      <c r="J17" s="2675"/>
    </row>
    <row r="18" spans="1:10" ht="15" customHeight="1" x14ac:dyDescent="0.2">
      <c r="A18" s="1085"/>
      <c r="B18" s="1085"/>
      <c r="C18" s="1086" t="e">
        <f>Cabeçalho!B5</f>
        <v>#N/A</v>
      </c>
      <c r="D18" s="1085"/>
      <c r="E18" s="1085"/>
      <c r="F18" s="1085"/>
      <c r="G18" s="1085"/>
      <c r="H18" s="1085"/>
      <c r="I18" s="1085"/>
      <c r="J18" s="1085"/>
    </row>
    <row r="19" spans="1:10" ht="15" customHeight="1" x14ac:dyDescent="0.2">
      <c r="A19" s="1085"/>
      <c r="B19" s="1085"/>
      <c r="C19" s="29"/>
      <c r="D19" s="1085"/>
      <c r="E19" s="1085"/>
      <c r="F19" s="1085"/>
      <c r="G19" s="1085"/>
      <c r="H19" s="1085"/>
      <c r="I19" s="1085"/>
      <c r="J19" s="1085"/>
    </row>
    <row r="20" spans="1:10" ht="15" customHeight="1" x14ac:dyDescent="0.2">
      <c r="A20" s="1085"/>
      <c r="B20" s="1085"/>
      <c r="C20" s="30"/>
      <c r="D20" s="1085"/>
      <c r="E20" s="1085"/>
      <c r="F20" s="1085"/>
      <c r="G20" s="1085"/>
      <c r="H20" s="1085"/>
      <c r="I20" s="1085"/>
      <c r="J20" s="1085"/>
    </row>
    <row r="21" spans="1:10" ht="15" customHeight="1" x14ac:dyDescent="0.2">
      <c r="A21" s="29" t="s">
        <v>116</v>
      </c>
      <c r="B21" s="1085"/>
      <c r="C21" s="1085"/>
      <c r="D21" s="1085"/>
      <c r="E21" s="1085"/>
      <c r="F21" s="1085"/>
      <c r="G21" s="1085"/>
      <c r="H21" s="1085"/>
      <c r="I21" s="1085"/>
      <c r="J21" s="1085"/>
    </row>
    <row r="22" spans="1:10" ht="15" customHeight="1" x14ac:dyDescent="0.2">
      <c r="A22" s="3149" t="s">
        <v>1353</v>
      </c>
      <c r="B22" s="3149"/>
      <c r="C22" s="3149"/>
      <c r="D22" s="3149"/>
      <c r="E22" s="3149"/>
      <c r="F22" s="3149"/>
      <c r="G22" s="3149"/>
      <c r="H22" s="3149"/>
      <c r="I22" s="3149"/>
      <c r="J22" s="3149"/>
    </row>
    <row r="23" spans="1:10" ht="15" customHeight="1" x14ac:dyDescent="0.2">
      <c r="A23" s="3149"/>
      <c r="B23" s="3149"/>
      <c r="C23" s="3149"/>
      <c r="D23" s="3149"/>
      <c r="E23" s="3149"/>
      <c r="F23" s="3149"/>
      <c r="G23" s="3149"/>
      <c r="H23" s="3149"/>
      <c r="I23" s="3149"/>
      <c r="J23" s="3149"/>
    </row>
    <row r="24" spans="1:10" ht="15" customHeight="1" x14ac:dyDescent="0.2">
      <c r="A24" s="3149"/>
      <c r="B24" s="3149"/>
      <c r="C24" s="3149"/>
      <c r="D24" s="3149"/>
      <c r="E24" s="3149"/>
      <c r="F24" s="3149"/>
      <c r="G24" s="3149"/>
      <c r="H24" s="3149"/>
      <c r="I24" s="3149"/>
      <c r="J24" s="3149"/>
    </row>
    <row r="25" spans="1:10" ht="15" customHeight="1" x14ac:dyDescent="0.2">
      <c r="A25" s="3149"/>
      <c r="B25" s="3149"/>
      <c r="C25" s="3149"/>
      <c r="D25" s="3149"/>
      <c r="E25" s="3149"/>
      <c r="F25" s="3149"/>
      <c r="G25" s="3149"/>
      <c r="H25" s="3149"/>
      <c r="I25" s="3149"/>
      <c r="J25" s="3149"/>
    </row>
    <row r="26" spans="1:10" s="236" customFormat="1" ht="15" customHeight="1" x14ac:dyDescent="0.25">
      <c r="A26" s="250"/>
      <c r="B26" s="250"/>
      <c r="C26" s="250"/>
      <c r="D26" s="250"/>
      <c r="E26" s="250"/>
      <c r="F26" s="250"/>
      <c r="G26" s="250"/>
      <c r="H26" s="250"/>
      <c r="I26" s="250"/>
    </row>
    <row r="27" spans="1:10" ht="15" customHeight="1" x14ac:dyDescent="0.25">
      <c r="A27" s="237" t="s">
        <v>728</v>
      </c>
    </row>
    <row r="28" spans="1:10" ht="15" customHeight="1" x14ac:dyDescent="0.2">
      <c r="A28" s="2668" t="str">
        <f>"               Avaliar a adequação do serviço de radiologia com as exigências da "&amp;VLOOKUP("rdc",IN_ANVISA[],2)&amp;"/"&amp;VLOOKUP("rdc",IN_ANVISA[],3)&amp;" da ANVISA e da Legislação trabalhista, visando orientar o cliente quanto às não conformidades encontradas"&amp;" para antecipar futuras exigências de adequação em caso de fiscalização."</f>
        <v xml:space="preserve">               Avaliar a adequação do serviço de radiologia com as exigências da 611/2022 da ANVISA e da Legislação trabalhista, visando orientar o cliente quanto às não conformidades encontradas para antecipar futuras exigências de adequação em caso de fiscalização.</v>
      </c>
      <c r="B28" s="2668"/>
      <c r="C28" s="2668"/>
      <c r="D28" s="2668"/>
      <c r="E28" s="2668"/>
      <c r="F28" s="2668"/>
      <c r="G28" s="2668"/>
      <c r="H28" s="2668"/>
      <c r="I28" s="2668"/>
      <c r="J28" s="2668"/>
    </row>
    <row r="29" spans="1:10" ht="15" customHeight="1" x14ac:dyDescent="0.2">
      <c r="A29" s="2668"/>
      <c r="B29" s="2668"/>
      <c r="C29" s="2668"/>
      <c r="D29" s="2668"/>
      <c r="E29" s="2668"/>
      <c r="F29" s="2668"/>
      <c r="G29" s="2668"/>
      <c r="H29" s="2668"/>
      <c r="I29" s="2668"/>
      <c r="J29" s="2668"/>
    </row>
    <row r="30" spans="1:10" ht="15" customHeight="1" x14ac:dyDescent="0.2">
      <c r="A30" s="2668"/>
      <c r="B30" s="2668"/>
      <c r="C30" s="2668"/>
      <c r="D30" s="2668"/>
      <c r="E30" s="2668"/>
      <c r="F30" s="2668"/>
      <c r="G30" s="2668"/>
      <c r="H30" s="2668"/>
      <c r="I30" s="2668"/>
      <c r="J30" s="2668"/>
    </row>
    <row r="31" spans="1:10" ht="15" customHeight="1" x14ac:dyDescent="0.2">
      <c r="A31" s="2668"/>
      <c r="B31" s="2668"/>
      <c r="C31" s="2668"/>
      <c r="D31" s="2668"/>
      <c r="E31" s="2668"/>
      <c r="F31" s="2668"/>
      <c r="G31" s="2668"/>
      <c r="H31" s="2668"/>
      <c r="I31" s="2668"/>
      <c r="J31" s="2668"/>
    </row>
    <row r="32" spans="1:10" ht="15" customHeight="1" x14ac:dyDescent="0.2"/>
    <row r="33" spans="1:11" ht="15.75" x14ac:dyDescent="0.25">
      <c r="A33" s="237" t="s">
        <v>1350</v>
      </c>
    </row>
    <row r="34" spans="1:11" x14ac:dyDescent="0.2">
      <c r="A34" s="2668" t="s">
        <v>1386</v>
      </c>
      <c r="B34" s="2668"/>
      <c r="C34" s="2668"/>
      <c r="D34" s="2668"/>
      <c r="E34" s="2668"/>
      <c r="F34" s="2668"/>
      <c r="G34" s="2668"/>
      <c r="H34" s="2668"/>
      <c r="I34" s="2668"/>
      <c r="J34" s="2668"/>
    </row>
    <row r="35" spans="1:11" x14ac:dyDescent="0.2">
      <c r="A35" s="2668"/>
      <c r="B35" s="2668"/>
      <c r="C35" s="2668"/>
      <c r="D35" s="2668"/>
      <c r="E35" s="2668"/>
      <c r="F35" s="2668"/>
      <c r="G35" s="2668"/>
      <c r="H35" s="2668"/>
      <c r="I35" s="2668"/>
      <c r="J35" s="2668"/>
    </row>
    <row r="36" spans="1:11" x14ac:dyDescent="0.2">
      <c r="A36" s="2668"/>
      <c r="B36" s="2668"/>
      <c r="C36" s="2668"/>
      <c r="D36" s="2668"/>
      <c r="E36" s="2668"/>
      <c r="F36" s="2668"/>
      <c r="G36" s="2668"/>
      <c r="H36" s="2668"/>
      <c r="I36" s="2668"/>
      <c r="J36" s="2668"/>
    </row>
    <row r="38" spans="1:11" ht="15.75" x14ac:dyDescent="0.25">
      <c r="A38" s="237" t="s">
        <v>1351</v>
      </c>
    </row>
    <row r="39" spans="1:11" ht="15.6" customHeight="1" x14ac:dyDescent="0.2">
      <c r="A39" s="3150" t="s">
        <v>1352</v>
      </c>
      <c r="B39" s="3150"/>
      <c r="C39" s="3150"/>
      <c r="D39" s="3150"/>
      <c r="E39" s="3150"/>
      <c r="F39" s="3150"/>
      <c r="G39" s="3150"/>
      <c r="H39" s="3150"/>
      <c r="I39" s="3150"/>
      <c r="J39" s="3150"/>
    </row>
    <row r="40" spans="1:11" x14ac:dyDescent="0.2">
      <c r="A40" s="3150"/>
      <c r="B40" s="3150"/>
      <c r="C40" s="3150"/>
      <c r="D40" s="3150"/>
      <c r="E40" s="3150"/>
      <c r="F40" s="3150"/>
      <c r="G40" s="3150"/>
      <c r="H40" s="3150"/>
      <c r="I40" s="3150"/>
      <c r="J40" s="3150"/>
    </row>
    <row r="41" spans="1:11" x14ac:dyDescent="0.2">
      <c r="A41" s="3150"/>
      <c r="B41" s="3150"/>
      <c r="C41" s="3150"/>
      <c r="D41" s="3150"/>
      <c r="E41" s="3150"/>
      <c r="F41" s="3150"/>
      <c r="G41" s="3150"/>
      <c r="H41" s="3150"/>
      <c r="I41" s="3150"/>
      <c r="J41" s="3150"/>
    </row>
    <row r="42" spans="1:11" x14ac:dyDescent="0.2">
      <c r="A42" s="3150"/>
      <c r="B42" s="3150"/>
      <c r="C42" s="3150"/>
      <c r="D42" s="3150"/>
      <c r="E42" s="3150"/>
      <c r="F42" s="3150"/>
      <c r="G42" s="3150"/>
      <c r="H42" s="3150"/>
      <c r="I42" s="3150"/>
      <c r="J42" s="3150"/>
    </row>
    <row r="43" spans="1:11" x14ac:dyDescent="0.2">
      <c r="A43" s="3150"/>
      <c r="B43" s="3150"/>
      <c r="C43" s="3150"/>
      <c r="D43" s="3150"/>
      <c r="E43" s="3150"/>
      <c r="F43" s="3150"/>
      <c r="G43" s="3150"/>
      <c r="H43" s="3150"/>
      <c r="I43" s="3150"/>
      <c r="J43" s="3150"/>
    </row>
    <row r="44" spans="1:11" x14ac:dyDescent="0.2">
      <c r="A44" s="3150"/>
      <c r="B44" s="3150"/>
      <c r="C44" s="3150"/>
      <c r="D44" s="3150"/>
      <c r="E44" s="3150"/>
      <c r="F44" s="3150"/>
      <c r="G44" s="3150"/>
      <c r="H44" s="3150"/>
      <c r="I44" s="3150"/>
      <c r="J44" s="3150"/>
    </row>
    <row r="46" spans="1:11" x14ac:dyDescent="0.2">
      <c r="A46" s="3154" t="s">
        <v>1489</v>
      </c>
      <c r="B46" s="3154"/>
      <c r="C46" s="3154"/>
      <c r="D46" s="3154"/>
      <c r="E46" s="3154"/>
      <c r="F46" s="3154"/>
      <c r="G46" s="3154"/>
      <c r="H46" s="3154"/>
      <c r="I46" s="3154"/>
      <c r="J46" s="3154"/>
      <c r="K46" s="230" t="str">
        <f>IFERROR(IF('LR e FUGA'!D22="Acima do limite de tolerância","","x"),"x")</f>
        <v>x</v>
      </c>
    </row>
    <row r="47" spans="1:11" x14ac:dyDescent="0.2">
      <c r="A47" s="3154"/>
      <c r="B47" s="3154"/>
      <c r="C47" s="3154"/>
      <c r="D47" s="3154"/>
      <c r="E47" s="3154"/>
      <c r="F47" s="3154"/>
      <c r="G47" s="3154"/>
      <c r="H47" s="3154"/>
      <c r="I47" s="3154"/>
      <c r="J47" s="3154"/>
      <c r="K47" s="230" t="str">
        <f>K46</f>
        <v>x</v>
      </c>
    </row>
    <row r="48" spans="1:11" x14ac:dyDescent="0.2">
      <c r="A48" s="1233"/>
      <c r="B48" s="1233"/>
      <c r="C48" s="1233"/>
      <c r="D48" s="1233"/>
      <c r="E48" s="1233"/>
      <c r="F48" s="1233"/>
      <c r="G48" s="1233"/>
      <c r="H48" s="1233"/>
      <c r="I48" s="1233"/>
      <c r="J48" s="1233"/>
      <c r="K48" s="230" t="str">
        <f>K47</f>
        <v>x</v>
      </c>
    </row>
    <row r="49" spans="1:11" ht="15.75" x14ac:dyDescent="0.25">
      <c r="A49" s="237" t="s">
        <v>1143</v>
      </c>
      <c r="K49" s="230" t="str">
        <f>IF(COUNTIF(K51:K58,"")&gt;0,"","x")</f>
        <v>x</v>
      </c>
    </row>
    <row r="50" spans="1:11" s="1089" customFormat="1" ht="15.75" x14ac:dyDescent="0.25">
      <c r="A50" s="3151" t="s">
        <v>1355</v>
      </c>
      <c r="B50" s="3151"/>
      <c r="C50" s="3151"/>
      <c r="D50" s="3151"/>
      <c r="E50" s="3151"/>
      <c r="F50" s="3151"/>
      <c r="G50" s="3151"/>
      <c r="H50" s="3151"/>
      <c r="I50" s="3151" t="s">
        <v>1122</v>
      </c>
      <c r="J50" s="3151"/>
      <c r="K50" s="1089" t="str">
        <f>K49</f>
        <v>x</v>
      </c>
    </row>
    <row r="51" spans="1:11" ht="15.75" x14ac:dyDescent="0.25">
      <c r="A51" s="3152" t="s">
        <v>1356</v>
      </c>
      <c r="B51" s="3152"/>
      <c r="C51" s="3152"/>
      <c r="D51" s="3152"/>
      <c r="E51" s="3152"/>
      <c r="F51" s="3152"/>
      <c r="G51" s="3152"/>
      <c r="H51" s="3152"/>
      <c r="I51" s="3153" t="str">
        <f>IF('Mini Auditoria'!A4="s","Ok",IF('Mini Auditoria'!A4="n","Não conforme","x"))</f>
        <v>x</v>
      </c>
      <c r="J51" s="3153"/>
      <c r="K51" s="230" t="str">
        <f t="shared" ref="K51:K58" si="0">IF(I51="x","x","")</f>
        <v>x</v>
      </c>
    </row>
    <row r="52" spans="1:11" ht="15.75" x14ac:dyDescent="0.25">
      <c r="A52" s="3152" t="s">
        <v>1357</v>
      </c>
      <c r="B52" s="3152"/>
      <c r="C52" s="3152"/>
      <c r="D52" s="3152"/>
      <c r="E52" s="3152"/>
      <c r="F52" s="3152"/>
      <c r="G52" s="3152"/>
      <c r="H52" s="3152"/>
      <c r="I52" s="3153" t="str">
        <f>IF('Mini Auditoria'!A5="s","Ok",IF('Mini Auditoria'!A5="n","Não conforme","x"))</f>
        <v>x</v>
      </c>
      <c r="J52" s="3153"/>
      <c r="K52" s="230" t="str">
        <f t="shared" si="0"/>
        <v>x</v>
      </c>
    </row>
    <row r="53" spans="1:11" ht="15.75" x14ac:dyDescent="0.25">
      <c r="A53" s="3152" t="s">
        <v>1358</v>
      </c>
      <c r="B53" s="3152"/>
      <c r="C53" s="3152"/>
      <c r="D53" s="3152"/>
      <c r="E53" s="3152"/>
      <c r="F53" s="3152"/>
      <c r="G53" s="3152"/>
      <c r="H53" s="3152"/>
      <c r="I53" s="3153" t="str">
        <f>IF('Mini Auditoria'!A6="s","Ok",IF('Mini Auditoria'!A6="n","Não conforme","x"))</f>
        <v>x</v>
      </c>
      <c r="J53" s="3153"/>
      <c r="K53" s="230" t="str">
        <f t="shared" si="0"/>
        <v>x</v>
      </c>
    </row>
    <row r="54" spans="1:11" ht="15.75" x14ac:dyDescent="0.25">
      <c r="A54" s="3152" t="s">
        <v>1359</v>
      </c>
      <c r="B54" s="3152"/>
      <c r="C54" s="3152"/>
      <c r="D54" s="3152"/>
      <c r="E54" s="3152"/>
      <c r="F54" s="3152"/>
      <c r="G54" s="3152"/>
      <c r="H54" s="3152"/>
      <c r="I54" s="3153" t="str">
        <f>IF('Mini Auditoria'!A7="s","Ok",IF('Mini Auditoria'!A7="n","Não conforme","x"))</f>
        <v>x</v>
      </c>
      <c r="J54" s="3153"/>
      <c r="K54" s="230" t="str">
        <f t="shared" si="0"/>
        <v>x</v>
      </c>
    </row>
    <row r="55" spans="1:11" ht="15.75" x14ac:dyDescent="0.25">
      <c r="A55" s="3152" t="s">
        <v>1360</v>
      </c>
      <c r="B55" s="3152"/>
      <c r="C55" s="3152"/>
      <c r="D55" s="3152"/>
      <c r="E55" s="3152"/>
      <c r="F55" s="3152"/>
      <c r="G55" s="3152"/>
      <c r="H55" s="3152"/>
      <c r="I55" s="3153" t="str">
        <f>IF('Mini Auditoria'!A8="s","Ok",IF('Mini Auditoria'!A8="n","Não conforme","x"))</f>
        <v>x</v>
      </c>
      <c r="J55" s="3153"/>
      <c r="K55" s="230" t="str">
        <f t="shared" si="0"/>
        <v>x</v>
      </c>
    </row>
    <row r="56" spans="1:11" ht="15.75" x14ac:dyDescent="0.25">
      <c r="A56" s="3152" t="s">
        <v>1361</v>
      </c>
      <c r="B56" s="3152"/>
      <c r="C56" s="3152"/>
      <c r="D56" s="3152"/>
      <c r="E56" s="3152"/>
      <c r="F56" s="3152"/>
      <c r="G56" s="3152"/>
      <c r="H56" s="3152"/>
      <c r="I56" s="3153" t="str">
        <f>IF('Mini Auditoria'!A9="s","Ok",IF('Mini Auditoria'!A9="n","Não conforme","x"))</f>
        <v>x</v>
      </c>
      <c r="J56" s="3153"/>
      <c r="K56" s="230" t="str">
        <f t="shared" si="0"/>
        <v>x</v>
      </c>
    </row>
    <row r="57" spans="1:11" ht="15.75" x14ac:dyDescent="0.25">
      <c r="A57" s="3152" t="s">
        <v>1153</v>
      </c>
      <c r="B57" s="3152"/>
      <c r="C57" s="3152"/>
      <c r="D57" s="3152"/>
      <c r="E57" s="3152"/>
      <c r="F57" s="3152"/>
      <c r="G57" s="3152"/>
      <c r="H57" s="3152"/>
      <c r="I57" s="3153" t="str">
        <f>IF('Mini Auditoria'!A10="s","Ok",IF('Mini Auditoria'!A10="n","Não conforme","x"))</f>
        <v>x</v>
      </c>
      <c r="J57" s="3153"/>
      <c r="K57" s="230" t="str">
        <f t="shared" si="0"/>
        <v>x</v>
      </c>
    </row>
    <row r="58" spans="1:11" ht="15.75" x14ac:dyDescent="0.25">
      <c r="A58" s="3152" t="s">
        <v>1154</v>
      </c>
      <c r="B58" s="3152"/>
      <c r="C58" s="3152"/>
      <c r="D58" s="3152"/>
      <c r="E58" s="3152"/>
      <c r="F58" s="3152"/>
      <c r="G58" s="3152"/>
      <c r="H58" s="3152"/>
      <c r="I58" s="3153" t="str">
        <f>IF('Mini Auditoria'!A11="s","Ok",IF('Mini Auditoria'!A11="n","Não conforme","x"))</f>
        <v>x</v>
      </c>
      <c r="J58" s="3153"/>
      <c r="K58" s="230" t="str">
        <f t="shared" si="0"/>
        <v>x</v>
      </c>
    </row>
    <row r="59" spans="1:11" x14ac:dyDescent="0.2">
      <c r="K59" s="230" t="str">
        <f>K49</f>
        <v>x</v>
      </c>
    </row>
    <row r="60" spans="1:11" ht="15.75" x14ac:dyDescent="0.25">
      <c r="A60" s="237" t="s">
        <v>1148</v>
      </c>
      <c r="K60" s="230" t="str">
        <f>IF(COUNTIF(K62:K63,"")&gt;0,"","x")</f>
        <v>x</v>
      </c>
    </row>
    <row r="61" spans="1:11" ht="15.75" x14ac:dyDescent="0.25">
      <c r="A61" s="3151" t="s">
        <v>1355</v>
      </c>
      <c r="B61" s="3151"/>
      <c r="C61" s="3151"/>
      <c r="D61" s="3151"/>
      <c r="E61" s="3151"/>
      <c r="F61" s="3151"/>
      <c r="G61" s="3151"/>
      <c r="H61" s="3151"/>
      <c r="I61" s="3151" t="s">
        <v>1122</v>
      </c>
      <c r="J61" s="3151"/>
      <c r="K61" s="230" t="str">
        <f>K60</f>
        <v>x</v>
      </c>
    </row>
    <row r="62" spans="1:11" ht="15.75" x14ac:dyDescent="0.25">
      <c r="A62" s="3152" t="s">
        <v>1362</v>
      </c>
      <c r="B62" s="3152"/>
      <c r="C62" s="3152"/>
      <c r="D62" s="3152"/>
      <c r="E62" s="3152"/>
      <c r="F62" s="3152"/>
      <c r="G62" s="3152"/>
      <c r="H62" s="3152"/>
      <c r="I62" s="3153" t="str">
        <f>IF('Mini Auditoria'!A15="s","Ok",IF('Mini Auditoria'!A15="n","Não conforme","x"))</f>
        <v>x</v>
      </c>
      <c r="J62" s="3153"/>
      <c r="K62" s="230" t="str">
        <f>IF(I62="x","x","")</f>
        <v>x</v>
      </c>
    </row>
    <row r="63" spans="1:11" ht="15.75" x14ac:dyDescent="0.25">
      <c r="A63" s="3152" t="s">
        <v>1363</v>
      </c>
      <c r="B63" s="3152"/>
      <c r="C63" s="3152"/>
      <c r="D63" s="3152"/>
      <c r="E63" s="3152"/>
      <c r="F63" s="3152"/>
      <c r="G63" s="3152"/>
      <c r="H63" s="3152"/>
      <c r="I63" s="3153" t="str">
        <f>IF('Mini Auditoria'!A16="s","Ok",IF('Mini Auditoria'!A16="n","Não conforme","x"))</f>
        <v>x</v>
      </c>
      <c r="J63" s="3153"/>
      <c r="K63" s="230" t="str">
        <f>IF(I63="x","x","")</f>
        <v>x</v>
      </c>
    </row>
    <row r="64" spans="1:11" x14ac:dyDescent="0.2">
      <c r="K64" s="230" t="str">
        <f>K60</f>
        <v>x</v>
      </c>
    </row>
    <row r="65" spans="1:11" ht="15.75" x14ac:dyDescent="0.25">
      <c r="A65" s="237" t="s">
        <v>1155</v>
      </c>
      <c r="K65" s="230" t="str">
        <f>IF(COUNTIF(K67:K72,"")&gt;0,"","x")</f>
        <v>x</v>
      </c>
    </row>
    <row r="66" spans="1:11" ht="15.75" x14ac:dyDescent="0.25">
      <c r="A66" s="3151" t="s">
        <v>1355</v>
      </c>
      <c r="B66" s="3151"/>
      <c r="C66" s="3151"/>
      <c r="D66" s="3151"/>
      <c r="E66" s="3151"/>
      <c r="F66" s="3151"/>
      <c r="G66" s="3151"/>
      <c r="H66" s="3151"/>
      <c r="I66" s="3151" t="s">
        <v>1122</v>
      </c>
      <c r="J66" s="3151"/>
      <c r="K66" s="230" t="str">
        <f>K65</f>
        <v>x</v>
      </c>
    </row>
    <row r="67" spans="1:11" ht="15.75" x14ac:dyDescent="0.25">
      <c r="A67" s="3152" t="s">
        <v>1364</v>
      </c>
      <c r="B67" s="3152"/>
      <c r="C67" s="3152"/>
      <c r="D67" s="3152"/>
      <c r="E67" s="3152"/>
      <c r="F67" s="3152"/>
      <c r="G67" s="3152"/>
      <c r="H67" s="3152"/>
      <c r="I67" s="3153" t="str">
        <f>IF('Mini Auditoria'!A20="s","Ok",IF('Mini Auditoria'!A20="n","Não conforme","x"))</f>
        <v>x</v>
      </c>
      <c r="J67" s="3153"/>
      <c r="K67" s="230" t="str">
        <f t="shared" ref="K67:K72" si="1">IF(I67="x","x","")</f>
        <v>x</v>
      </c>
    </row>
    <row r="68" spans="1:11" ht="15.75" x14ac:dyDescent="0.25">
      <c r="A68" s="3152" t="s">
        <v>1365</v>
      </c>
      <c r="B68" s="3152"/>
      <c r="C68" s="3152"/>
      <c r="D68" s="3152"/>
      <c r="E68" s="3152"/>
      <c r="F68" s="3152"/>
      <c r="G68" s="3152"/>
      <c r="H68" s="3152"/>
      <c r="I68" s="3153" t="str">
        <f>IF('Mini Auditoria'!A21="s","Ok",IF('Mini Auditoria'!A21="n","Não conforme","x"))</f>
        <v>x</v>
      </c>
      <c r="J68" s="3153"/>
      <c r="K68" s="230" t="str">
        <f t="shared" si="1"/>
        <v>x</v>
      </c>
    </row>
    <row r="69" spans="1:11" ht="15.75" x14ac:dyDescent="0.25">
      <c r="A69" s="3152" t="s">
        <v>1158</v>
      </c>
      <c r="B69" s="3152"/>
      <c r="C69" s="3152"/>
      <c r="D69" s="3152"/>
      <c r="E69" s="3152"/>
      <c r="F69" s="3152"/>
      <c r="G69" s="3152"/>
      <c r="H69" s="3152"/>
      <c r="I69" s="3153" t="str">
        <f>IF('Mini Auditoria'!A22="s","Ok",IF('Mini Auditoria'!A22="n","Não conforme","x"))</f>
        <v>x</v>
      </c>
      <c r="J69" s="3153"/>
      <c r="K69" s="230" t="str">
        <f t="shared" si="1"/>
        <v>x</v>
      </c>
    </row>
    <row r="70" spans="1:11" ht="15.75" x14ac:dyDescent="0.25">
      <c r="A70" s="3152" t="s">
        <v>1366</v>
      </c>
      <c r="B70" s="3152"/>
      <c r="C70" s="3152"/>
      <c r="D70" s="3152"/>
      <c r="E70" s="3152"/>
      <c r="F70" s="3152"/>
      <c r="G70" s="3152"/>
      <c r="H70" s="3152"/>
      <c r="I70" s="3153" t="str">
        <f>IF('Mini Auditoria'!A23="s","Ok",IF('Mini Auditoria'!A23="n","Não conforme","x"))</f>
        <v>x</v>
      </c>
      <c r="J70" s="3153"/>
      <c r="K70" s="230" t="str">
        <f t="shared" si="1"/>
        <v>x</v>
      </c>
    </row>
    <row r="71" spans="1:11" ht="15.75" x14ac:dyDescent="0.25">
      <c r="A71" s="3152" t="s">
        <v>1367</v>
      </c>
      <c r="B71" s="3152"/>
      <c r="C71" s="3152"/>
      <c r="D71" s="3152"/>
      <c r="E71" s="3152"/>
      <c r="F71" s="3152"/>
      <c r="G71" s="3152"/>
      <c r="H71" s="3152"/>
      <c r="I71" s="3153" t="str">
        <f>IF('Mini Auditoria'!A24="s","Ok",IF('Mini Auditoria'!A24="n","Não conforme","x"))</f>
        <v>x</v>
      </c>
      <c r="J71" s="3153"/>
      <c r="K71" s="230" t="str">
        <f t="shared" si="1"/>
        <v>x</v>
      </c>
    </row>
    <row r="72" spans="1:11" ht="15.75" x14ac:dyDescent="0.25">
      <c r="A72" s="3152" t="s">
        <v>1368</v>
      </c>
      <c r="B72" s="3152"/>
      <c r="C72" s="3152"/>
      <c r="D72" s="3152"/>
      <c r="E72" s="3152"/>
      <c r="F72" s="3152"/>
      <c r="G72" s="3152"/>
      <c r="H72" s="3152"/>
      <c r="I72" s="3153" t="str">
        <f>IF('Mini Auditoria'!A25="s","Ok",IF('Mini Auditoria'!A25="n","Não conforme","x"))</f>
        <v>x</v>
      </c>
      <c r="J72" s="3153"/>
      <c r="K72" s="230" t="str">
        <f t="shared" si="1"/>
        <v>x</v>
      </c>
    </row>
    <row r="73" spans="1:11" x14ac:dyDescent="0.2">
      <c r="K73" s="230" t="str">
        <f>K65</f>
        <v>x</v>
      </c>
    </row>
    <row r="74" spans="1:11" ht="15.75" x14ac:dyDescent="0.25">
      <c r="A74" s="237" t="s">
        <v>1354</v>
      </c>
      <c r="K74" s="230" t="str">
        <f>IF(COUNT('LR e FUGA'!K25:K50)&gt;0,"","x")</f>
        <v>x</v>
      </c>
    </row>
    <row r="75" spans="1:11" s="1089" customFormat="1" ht="15.75" x14ac:dyDescent="0.25">
      <c r="A75" s="2767" t="s">
        <v>1369</v>
      </c>
      <c r="B75" s="2767"/>
      <c r="C75" s="2767"/>
      <c r="D75" s="2767"/>
      <c r="E75" s="2767"/>
      <c r="F75" s="2767"/>
      <c r="G75" s="2767"/>
      <c r="H75" s="2767"/>
      <c r="I75" s="2767"/>
      <c r="J75" s="2767"/>
      <c r="K75" s="1089" t="str">
        <f>K74</f>
        <v>x</v>
      </c>
    </row>
    <row r="76" spans="1:11" s="1089" customFormat="1" ht="15.75" x14ac:dyDescent="0.25">
      <c r="A76" s="2767"/>
      <c r="B76" s="2767"/>
      <c r="C76" s="2767"/>
      <c r="D76" s="2767"/>
      <c r="E76" s="2767"/>
      <c r="F76" s="2767"/>
      <c r="G76" s="2767"/>
      <c r="H76" s="2767"/>
      <c r="I76" s="2767"/>
      <c r="J76" s="2767"/>
      <c r="K76" s="1089" t="str">
        <f>K75</f>
        <v>x</v>
      </c>
    </row>
    <row r="77" spans="1:11" s="1089" customFormat="1" ht="15.75" x14ac:dyDescent="0.25">
      <c r="A77" s="2767"/>
      <c r="B77" s="2767"/>
      <c r="C77" s="2767"/>
      <c r="D77" s="2767"/>
      <c r="E77" s="2767"/>
      <c r="F77" s="2767"/>
      <c r="G77" s="2767"/>
      <c r="H77" s="2767"/>
      <c r="I77" s="2767"/>
      <c r="J77" s="2767"/>
      <c r="K77" s="1089" t="str">
        <f t="shared" ref="K77:K82" si="2">K76</f>
        <v>x</v>
      </c>
    </row>
    <row r="78" spans="1:11" s="1089" customFormat="1" ht="15.75" x14ac:dyDescent="0.25">
      <c r="A78" s="2767"/>
      <c r="B78" s="2767"/>
      <c r="C78" s="2767"/>
      <c r="D78" s="2767"/>
      <c r="E78" s="2767"/>
      <c r="F78" s="2767"/>
      <c r="G78" s="2767"/>
      <c r="H78" s="2767"/>
      <c r="I78" s="2767"/>
      <c r="J78" s="2767"/>
      <c r="K78" s="1089" t="str">
        <f t="shared" si="2"/>
        <v>x</v>
      </c>
    </row>
    <row r="79" spans="1:11" s="1089" customFormat="1" ht="15.75" x14ac:dyDescent="0.25">
      <c r="A79" s="2767"/>
      <c r="B79" s="2767"/>
      <c r="C79" s="2767"/>
      <c r="D79" s="2767"/>
      <c r="E79" s="2767"/>
      <c r="F79" s="2767"/>
      <c r="G79" s="2767"/>
      <c r="H79" s="2767"/>
      <c r="I79" s="2767"/>
      <c r="J79" s="2767"/>
      <c r="K79" s="1089" t="str">
        <f t="shared" si="2"/>
        <v>x</v>
      </c>
    </row>
    <row r="80" spans="1:11" s="1089" customFormat="1" ht="15.75" x14ac:dyDescent="0.25">
      <c r="A80" s="2767"/>
      <c r="B80" s="2767"/>
      <c r="C80" s="2767"/>
      <c r="D80" s="2767"/>
      <c r="E80" s="2767"/>
      <c r="F80" s="2767"/>
      <c r="G80" s="2767"/>
      <c r="H80" s="2767"/>
      <c r="I80" s="2767"/>
      <c r="J80" s="2767"/>
      <c r="K80" s="1089" t="str">
        <f t="shared" si="2"/>
        <v>x</v>
      </c>
    </row>
    <row r="81" spans="1:11" s="1089" customFormat="1" ht="15.75" x14ac:dyDescent="0.25">
      <c r="K81" s="1089" t="str">
        <f t="shared" si="2"/>
        <v>x</v>
      </c>
    </row>
    <row r="82" spans="1:11" s="1089" customFormat="1" ht="15.75" x14ac:dyDescent="0.25">
      <c r="A82" s="1348" t="str">
        <f>'LR e FUGA'!A24</f>
        <v>Ponto</v>
      </c>
      <c r="B82" s="3151" t="str">
        <f>'LR e FUGA'!H24</f>
        <v>Descrição</v>
      </c>
      <c r="C82" s="3151"/>
      <c r="D82" s="3151"/>
      <c r="E82" s="3151"/>
      <c r="F82" s="3151"/>
      <c r="G82" s="3151" t="s">
        <v>1370</v>
      </c>
      <c r="H82" s="3151"/>
      <c r="I82" s="3151"/>
      <c r="J82" s="3151"/>
      <c r="K82" s="1089" t="str">
        <f t="shared" si="2"/>
        <v>x</v>
      </c>
    </row>
    <row r="83" spans="1:11" s="1089" customFormat="1" ht="15.75" x14ac:dyDescent="0.25">
      <c r="A83" s="1091">
        <f>'LR e FUGA'!A25</f>
        <v>1</v>
      </c>
      <c r="B83" s="3156">
        <f>'LR e FUGA'!H25</f>
        <v>0</v>
      </c>
      <c r="C83" s="3156"/>
      <c r="D83" s="3156"/>
      <c r="E83" s="3156"/>
      <c r="F83" s="3156"/>
      <c r="G83" s="3155" t="e">
        <f>ROUND('LR e FUGA'!K25,2)</f>
        <v>#VALUE!</v>
      </c>
      <c r="H83" s="3155"/>
      <c r="I83" s="3155"/>
      <c r="J83" s="3155"/>
      <c r="K83" s="1089" t="str">
        <f>IF(ISNUMBER(G83),"","x")</f>
        <v>x</v>
      </c>
    </row>
    <row r="84" spans="1:11" s="1089" customFormat="1" ht="15.75" x14ac:dyDescent="0.25">
      <c r="A84" s="1091">
        <f>'LR e FUGA'!A26</f>
        <v>2</v>
      </c>
      <c r="B84" s="3156">
        <f>'LR e FUGA'!H26</f>
        <v>0</v>
      </c>
      <c r="C84" s="3156"/>
      <c r="D84" s="3156"/>
      <c r="E84" s="3156"/>
      <c r="F84" s="3156"/>
      <c r="G84" s="3155" t="e">
        <f>ROUND('LR e FUGA'!K26,2)</f>
        <v>#VALUE!</v>
      </c>
      <c r="H84" s="3155"/>
      <c r="I84" s="3155"/>
      <c r="J84" s="3155"/>
      <c r="K84" s="1089" t="str">
        <f t="shared" ref="K84:K108" si="3">IF(ISNUMBER(G84),"","x")</f>
        <v>x</v>
      </c>
    </row>
    <row r="85" spans="1:11" s="1089" customFormat="1" ht="15.75" x14ac:dyDescent="0.25">
      <c r="A85" s="1091">
        <f>'LR e FUGA'!A27</f>
        <v>3</v>
      </c>
      <c r="B85" s="3156">
        <f>'LR e FUGA'!H27</f>
        <v>0</v>
      </c>
      <c r="C85" s="3156"/>
      <c r="D85" s="3156"/>
      <c r="E85" s="3156"/>
      <c r="F85" s="3156"/>
      <c r="G85" s="3155" t="e">
        <f>ROUND('LR e FUGA'!K27,2)</f>
        <v>#VALUE!</v>
      </c>
      <c r="H85" s="3155"/>
      <c r="I85" s="3155"/>
      <c r="J85" s="3155"/>
      <c r="K85" s="1089" t="str">
        <f t="shared" si="3"/>
        <v>x</v>
      </c>
    </row>
    <row r="86" spans="1:11" s="1089" customFormat="1" ht="15.75" x14ac:dyDescent="0.25">
      <c r="A86" s="1091">
        <f>'LR e FUGA'!A28</f>
        <v>4</v>
      </c>
      <c r="B86" s="3156">
        <f>'LR e FUGA'!H28</f>
        <v>0</v>
      </c>
      <c r="C86" s="3156"/>
      <c r="D86" s="3156"/>
      <c r="E86" s="3156"/>
      <c r="F86" s="3156"/>
      <c r="G86" s="3155" t="e">
        <f>ROUND('LR e FUGA'!K28,2)</f>
        <v>#VALUE!</v>
      </c>
      <c r="H86" s="3155"/>
      <c r="I86" s="3155"/>
      <c r="J86" s="3155"/>
      <c r="K86" s="1089" t="str">
        <f t="shared" si="3"/>
        <v>x</v>
      </c>
    </row>
    <row r="87" spans="1:11" s="1089" customFormat="1" ht="15.75" x14ac:dyDescent="0.25">
      <c r="A87" s="1091">
        <f>'LR e FUGA'!A29</f>
        <v>5</v>
      </c>
      <c r="B87" s="3156">
        <f>'LR e FUGA'!H29</f>
        <v>0</v>
      </c>
      <c r="C87" s="3156"/>
      <c r="D87" s="3156"/>
      <c r="E87" s="3156"/>
      <c r="F87" s="3156"/>
      <c r="G87" s="3155" t="e">
        <f>ROUND('LR e FUGA'!K29,2)</f>
        <v>#VALUE!</v>
      </c>
      <c r="H87" s="3155"/>
      <c r="I87" s="3155"/>
      <c r="J87" s="3155"/>
      <c r="K87" s="1089" t="str">
        <f t="shared" si="3"/>
        <v>x</v>
      </c>
    </row>
    <row r="88" spans="1:11" s="1089" customFormat="1" ht="15.75" x14ac:dyDescent="0.25">
      <c r="A88" s="1091">
        <f>'LR e FUGA'!A30</f>
        <v>6</v>
      </c>
      <c r="B88" s="3156">
        <f>'LR e FUGA'!H30</f>
        <v>0</v>
      </c>
      <c r="C88" s="3156"/>
      <c r="D88" s="3156"/>
      <c r="E88" s="3156"/>
      <c r="F88" s="3156"/>
      <c r="G88" s="3155" t="e">
        <f>ROUND('LR e FUGA'!K30,2)</f>
        <v>#VALUE!</v>
      </c>
      <c r="H88" s="3155"/>
      <c r="I88" s="3155"/>
      <c r="J88" s="3155"/>
      <c r="K88" s="1089" t="str">
        <f>IF(ISNUMBER(G88),"","x")</f>
        <v>x</v>
      </c>
    </row>
    <row r="89" spans="1:11" s="1089" customFormat="1" ht="15.75" x14ac:dyDescent="0.25">
      <c r="A89" s="1091">
        <f>'LR e FUGA'!A31</f>
        <v>7</v>
      </c>
      <c r="B89" s="3156">
        <f>'LR e FUGA'!H31</f>
        <v>0</v>
      </c>
      <c r="C89" s="3156"/>
      <c r="D89" s="3156"/>
      <c r="E89" s="3156"/>
      <c r="F89" s="3156"/>
      <c r="G89" s="3155" t="e">
        <f>ROUND('LR e FUGA'!K31,2)</f>
        <v>#VALUE!</v>
      </c>
      <c r="H89" s="3155"/>
      <c r="I89" s="3155"/>
      <c r="J89" s="3155"/>
      <c r="K89" s="1089" t="str">
        <f t="shared" si="3"/>
        <v>x</v>
      </c>
    </row>
    <row r="90" spans="1:11" s="1089" customFormat="1" ht="15.75" x14ac:dyDescent="0.25">
      <c r="A90" s="1091">
        <f>'LR e FUGA'!A32</f>
        <v>8</v>
      </c>
      <c r="B90" s="3156">
        <f>'LR e FUGA'!H32</f>
        <v>0</v>
      </c>
      <c r="C90" s="3156"/>
      <c r="D90" s="3156"/>
      <c r="E90" s="3156"/>
      <c r="F90" s="3156"/>
      <c r="G90" s="3155" t="e">
        <f>ROUND('LR e FUGA'!K32,2)</f>
        <v>#VALUE!</v>
      </c>
      <c r="H90" s="3155"/>
      <c r="I90" s="3155"/>
      <c r="J90" s="3155"/>
      <c r="K90" s="1089" t="str">
        <f t="shared" si="3"/>
        <v>x</v>
      </c>
    </row>
    <row r="91" spans="1:11" ht="15.75" x14ac:dyDescent="0.25">
      <c r="A91" s="1091">
        <f>'LR e FUGA'!A33</f>
        <v>9</v>
      </c>
      <c r="B91" s="3156">
        <f>'LR e FUGA'!H33</f>
        <v>0</v>
      </c>
      <c r="C91" s="3156"/>
      <c r="D91" s="3156"/>
      <c r="E91" s="3156"/>
      <c r="F91" s="3156"/>
      <c r="G91" s="3155" t="e">
        <f>ROUND('LR e FUGA'!K33,2)</f>
        <v>#VALUE!</v>
      </c>
      <c r="H91" s="3155"/>
      <c r="I91" s="3155"/>
      <c r="J91" s="3155"/>
      <c r="K91" s="1089" t="str">
        <f t="shared" si="3"/>
        <v>x</v>
      </c>
    </row>
    <row r="92" spans="1:11" ht="15.75" x14ac:dyDescent="0.25">
      <c r="A92" s="1091">
        <f>'LR e FUGA'!A34</f>
        <v>10</v>
      </c>
      <c r="B92" s="3156">
        <f>'LR e FUGA'!H34</f>
        <v>0</v>
      </c>
      <c r="C92" s="3156"/>
      <c r="D92" s="3156"/>
      <c r="E92" s="3156"/>
      <c r="F92" s="3156"/>
      <c r="G92" s="3155" t="e">
        <f>ROUND('LR e FUGA'!K34,2)</f>
        <v>#VALUE!</v>
      </c>
      <c r="H92" s="3155"/>
      <c r="I92" s="3155"/>
      <c r="J92" s="3155"/>
      <c r="K92" s="1089" t="str">
        <f t="shared" si="3"/>
        <v>x</v>
      </c>
    </row>
    <row r="93" spans="1:11" ht="15.75" x14ac:dyDescent="0.25">
      <c r="A93" s="1091">
        <f>'LR e FUGA'!A35</f>
        <v>11</v>
      </c>
      <c r="B93" s="3156">
        <f>'LR e FUGA'!H35</f>
        <v>0</v>
      </c>
      <c r="C93" s="3156"/>
      <c r="D93" s="3156"/>
      <c r="E93" s="3156"/>
      <c r="F93" s="3156"/>
      <c r="G93" s="3155" t="e">
        <f>ROUND('LR e FUGA'!K35,2)</f>
        <v>#VALUE!</v>
      </c>
      <c r="H93" s="3155"/>
      <c r="I93" s="3155"/>
      <c r="J93" s="3155"/>
      <c r="K93" s="1089" t="str">
        <f t="shared" si="3"/>
        <v>x</v>
      </c>
    </row>
    <row r="94" spans="1:11" ht="15.75" x14ac:dyDescent="0.25">
      <c r="A94" s="1091">
        <f>'LR e FUGA'!A36</f>
        <v>12</v>
      </c>
      <c r="B94" s="3156">
        <f>'LR e FUGA'!H36</f>
        <v>0</v>
      </c>
      <c r="C94" s="3156"/>
      <c r="D94" s="3156"/>
      <c r="E94" s="3156"/>
      <c r="F94" s="3156"/>
      <c r="G94" s="3155" t="e">
        <f>ROUND('LR e FUGA'!K36,2)</f>
        <v>#VALUE!</v>
      </c>
      <c r="H94" s="3155"/>
      <c r="I94" s="3155"/>
      <c r="J94" s="3155"/>
      <c r="K94" s="1089" t="str">
        <f t="shared" si="3"/>
        <v>x</v>
      </c>
    </row>
    <row r="95" spans="1:11" ht="15.75" x14ac:dyDescent="0.25">
      <c r="A95" s="1091">
        <f>'LR e FUGA'!A37</f>
        <v>13</v>
      </c>
      <c r="B95" s="3156">
        <f>'LR e FUGA'!H37</f>
        <v>0</v>
      </c>
      <c r="C95" s="3156"/>
      <c r="D95" s="3156"/>
      <c r="E95" s="3156"/>
      <c r="F95" s="3156"/>
      <c r="G95" s="3155" t="e">
        <f>ROUND('LR e FUGA'!K37,2)</f>
        <v>#VALUE!</v>
      </c>
      <c r="H95" s="3155"/>
      <c r="I95" s="3155"/>
      <c r="J95" s="3155"/>
      <c r="K95" s="1089" t="str">
        <f t="shared" si="3"/>
        <v>x</v>
      </c>
    </row>
    <row r="96" spans="1:11" ht="15.75" x14ac:dyDescent="0.25">
      <c r="A96" s="1091">
        <f>'LR e FUGA'!A38</f>
        <v>14</v>
      </c>
      <c r="B96" s="3156">
        <f>'LR e FUGA'!H38</f>
        <v>0</v>
      </c>
      <c r="C96" s="3156"/>
      <c r="D96" s="3156"/>
      <c r="E96" s="3156"/>
      <c r="F96" s="3156"/>
      <c r="G96" s="3155" t="e">
        <f>ROUND('LR e FUGA'!K38,2)</f>
        <v>#VALUE!</v>
      </c>
      <c r="H96" s="3155"/>
      <c r="I96" s="3155"/>
      <c r="J96" s="3155"/>
      <c r="K96" s="1089" t="str">
        <f t="shared" si="3"/>
        <v>x</v>
      </c>
    </row>
    <row r="97" spans="1:11" ht="15.75" x14ac:dyDescent="0.25">
      <c r="A97" s="1091">
        <f>'LR e FUGA'!A39</f>
        <v>15</v>
      </c>
      <c r="B97" s="3156">
        <f>'LR e FUGA'!H39</f>
        <v>0</v>
      </c>
      <c r="C97" s="3156"/>
      <c r="D97" s="3156"/>
      <c r="E97" s="3156"/>
      <c r="F97" s="3156"/>
      <c r="G97" s="3155" t="e">
        <f>ROUND('LR e FUGA'!K39,2)</f>
        <v>#VALUE!</v>
      </c>
      <c r="H97" s="3155"/>
      <c r="I97" s="3155"/>
      <c r="J97" s="3155"/>
      <c r="K97" s="1089" t="str">
        <f t="shared" si="3"/>
        <v>x</v>
      </c>
    </row>
    <row r="98" spans="1:11" ht="15.75" x14ac:dyDescent="0.25">
      <c r="A98" s="1091">
        <f>'LR e FUGA'!A40</f>
        <v>16</v>
      </c>
      <c r="B98" s="3156">
        <f>'LR e FUGA'!H40</f>
        <v>0</v>
      </c>
      <c r="C98" s="3156"/>
      <c r="D98" s="3156"/>
      <c r="E98" s="3156"/>
      <c r="F98" s="3156"/>
      <c r="G98" s="3155" t="e">
        <f>ROUND('LR e FUGA'!K40,2)</f>
        <v>#VALUE!</v>
      </c>
      <c r="H98" s="3155"/>
      <c r="I98" s="3155"/>
      <c r="J98" s="3155"/>
      <c r="K98" s="1089" t="str">
        <f t="shared" si="3"/>
        <v>x</v>
      </c>
    </row>
    <row r="99" spans="1:11" ht="15.75" x14ac:dyDescent="0.25">
      <c r="A99" s="1091">
        <f>'LR e FUGA'!A41</f>
        <v>17</v>
      </c>
      <c r="B99" s="3156">
        <f>'LR e FUGA'!H41</f>
        <v>0</v>
      </c>
      <c r="C99" s="3156"/>
      <c r="D99" s="3156"/>
      <c r="E99" s="3156"/>
      <c r="F99" s="3156"/>
      <c r="G99" s="3155" t="e">
        <f>ROUND('LR e FUGA'!K41,2)</f>
        <v>#VALUE!</v>
      </c>
      <c r="H99" s="3155"/>
      <c r="I99" s="3155"/>
      <c r="J99" s="3155"/>
      <c r="K99" s="1089" t="str">
        <f t="shared" si="3"/>
        <v>x</v>
      </c>
    </row>
    <row r="100" spans="1:11" ht="15.75" x14ac:dyDescent="0.25">
      <c r="A100" s="1091">
        <f>'LR e FUGA'!A42</f>
        <v>18</v>
      </c>
      <c r="B100" s="3156">
        <f>'LR e FUGA'!H42</f>
        <v>0</v>
      </c>
      <c r="C100" s="3156"/>
      <c r="D100" s="3156"/>
      <c r="E100" s="3156"/>
      <c r="F100" s="3156"/>
      <c r="G100" s="3155" t="e">
        <f>ROUND('LR e FUGA'!K42,2)</f>
        <v>#VALUE!</v>
      </c>
      <c r="H100" s="3155"/>
      <c r="I100" s="3155"/>
      <c r="J100" s="3155"/>
      <c r="K100" s="1089" t="str">
        <f t="shared" si="3"/>
        <v>x</v>
      </c>
    </row>
    <row r="101" spans="1:11" ht="15.75" x14ac:dyDescent="0.25">
      <c r="A101" s="1091">
        <f>'LR e FUGA'!A43</f>
        <v>19</v>
      </c>
      <c r="B101" s="3156">
        <f>'LR e FUGA'!H43</f>
        <v>0</v>
      </c>
      <c r="C101" s="3156"/>
      <c r="D101" s="3156"/>
      <c r="E101" s="3156"/>
      <c r="F101" s="3156"/>
      <c r="G101" s="3155" t="e">
        <f>ROUND('LR e FUGA'!K43,2)</f>
        <v>#VALUE!</v>
      </c>
      <c r="H101" s="3155"/>
      <c r="I101" s="3155"/>
      <c r="J101" s="3155"/>
      <c r="K101" s="1089" t="str">
        <f t="shared" si="3"/>
        <v>x</v>
      </c>
    </row>
    <row r="102" spans="1:11" ht="15.75" x14ac:dyDescent="0.25">
      <c r="A102" s="1091">
        <f>'LR e FUGA'!A44</f>
        <v>20</v>
      </c>
      <c r="B102" s="3156">
        <f>'LR e FUGA'!H44</f>
        <v>0</v>
      </c>
      <c r="C102" s="3156"/>
      <c r="D102" s="3156"/>
      <c r="E102" s="3156"/>
      <c r="F102" s="3156"/>
      <c r="G102" s="3155" t="e">
        <f>ROUND('LR e FUGA'!K44,2)</f>
        <v>#VALUE!</v>
      </c>
      <c r="H102" s="3155"/>
      <c r="I102" s="3155"/>
      <c r="J102" s="3155"/>
      <c r="K102" s="1089" t="str">
        <f t="shared" si="3"/>
        <v>x</v>
      </c>
    </row>
    <row r="103" spans="1:11" ht="15.75" x14ac:dyDescent="0.25">
      <c r="A103" s="1091">
        <f>'LR e FUGA'!A45</f>
        <v>21</v>
      </c>
      <c r="B103" s="3156">
        <f>'LR e FUGA'!H45</f>
        <v>0</v>
      </c>
      <c r="C103" s="3156"/>
      <c r="D103" s="3156"/>
      <c r="E103" s="3156"/>
      <c r="F103" s="3156"/>
      <c r="G103" s="3155" t="e">
        <f>ROUND('LR e FUGA'!K45,2)</f>
        <v>#VALUE!</v>
      </c>
      <c r="H103" s="3155"/>
      <c r="I103" s="3155"/>
      <c r="J103" s="3155"/>
      <c r="K103" s="1089" t="str">
        <f t="shared" si="3"/>
        <v>x</v>
      </c>
    </row>
    <row r="104" spans="1:11" ht="15.75" x14ac:dyDescent="0.25">
      <c r="A104" s="1091">
        <f>'LR e FUGA'!A46</f>
        <v>22</v>
      </c>
      <c r="B104" s="3156">
        <f>'LR e FUGA'!H46</f>
        <v>0</v>
      </c>
      <c r="C104" s="3156"/>
      <c r="D104" s="3156"/>
      <c r="E104" s="3156"/>
      <c r="F104" s="3156"/>
      <c r="G104" s="3155" t="e">
        <f>ROUND('LR e FUGA'!K46,2)</f>
        <v>#VALUE!</v>
      </c>
      <c r="H104" s="3155"/>
      <c r="I104" s="3155"/>
      <c r="J104" s="3155"/>
      <c r="K104" s="1089" t="str">
        <f t="shared" si="3"/>
        <v>x</v>
      </c>
    </row>
    <row r="105" spans="1:11" ht="15.75" x14ac:dyDescent="0.25">
      <c r="A105" s="1091">
        <f>'LR e FUGA'!A47</f>
        <v>23</v>
      </c>
      <c r="B105" s="3156">
        <f>'LR e FUGA'!H47</f>
        <v>0</v>
      </c>
      <c r="C105" s="3156"/>
      <c r="D105" s="3156"/>
      <c r="E105" s="3156"/>
      <c r="F105" s="3156"/>
      <c r="G105" s="3155" t="e">
        <f>ROUND('LR e FUGA'!K47,2)</f>
        <v>#VALUE!</v>
      </c>
      <c r="H105" s="3155"/>
      <c r="I105" s="3155"/>
      <c r="J105" s="3155"/>
      <c r="K105" s="1089" t="str">
        <f t="shared" si="3"/>
        <v>x</v>
      </c>
    </row>
    <row r="106" spans="1:11" ht="15.75" x14ac:dyDescent="0.25">
      <c r="A106" s="1091">
        <f>'LR e FUGA'!A48</f>
        <v>24</v>
      </c>
      <c r="B106" s="3156">
        <f>'LR e FUGA'!H48</f>
        <v>0</v>
      </c>
      <c r="C106" s="3156"/>
      <c r="D106" s="3156"/>
      <c r="E106" s="3156"/>
      <c r="F106" s="3156"/>
      <c r="G106" s="3155" t="e">
        <f>ROUND('LR e FUGA'!K48,2)</f>
        <v>#VALUE!</v>
      </c>
      <c r="H106" s="3155"/>
      <c r="I106" s="3155"/>
      <c r="J106" s="3155"/>
      <c r="K106" s="1089" t="str">
        <f t="shared" si="3"/>
        <v>x</v>
      </c>
    </row>
    <row r="107" spans="1:11" ht="15.75" x14ac:dyDescent="0.25">
      <c r="A107" s="1091" t="str">
        <f>'LR e FUGA'!A49</f>
        <v>Em cima</v>
      </c>
      <c r="B107" s="3156">
        <f>'LR e FUGA'!H49</f>
        <v>0</v>
      </c>
      <c r="C107" s="3156"/>
      <c r="D107" s="3156"/>
      <c r="E107" s="3156"/>
      <c r="F107" s="3156"/>
      <c r="G107" s="3155" t="e">
        <f>ROUND('LR e FUGA'!K49,2)</f>
        <v>#VALUE!</v>
      </c>
      <c r="H107" s="3155"/>
      <c r="I107" s="3155"/>
      <c r="J107" s="3155"/>
      <c r="K107" s="1089" t="str">
        <f t="shared" si="3"/>
        <v>x</v>
      </c>
    </row>
    <row r="108" spans="1:11" ht="15.75" x14ac:dyDescent="0.25">
      <c r="A108" s="1091" t="str">
        <f>'LR e FUGA'!A50</f>
        <v>Embaixo</v>
      </c>
      <c r="B108" s="3156">
        <f>'LR e FUGA'!H50</f>
        <v>0</v>
      </c>
      <c r="C108" s="3156"/>
      <c r="D108" s="3156"/>
      <c r="E108" s="3156"/>
      <c r="F108" s="3156"/>
      <c r="G108" s="3155" t="e">
        <f>ROUND('LR e FUGA'!K50,2)</f>
        <v>#VALUE!</v>
      </c>
      <c r="H108" s="3155"/>
      <c r="I108" s="3155"/>
      <c r="J108" s="3155"/>
      <c r="K108" s="1089" t="str">
        <f t="shared" si="3"/>
        <v>x</v>
      </c>
    </row>
    <row r="109" spans="1:11" ht="15.75" x14ac:dyDescent="0.2">
      <c r="A109" s="1090"/>
    </row>
    <row r="110" spans="1:11" ht="15.75" x14ac:dyDescent="0.25">
      <c r="A110" s="237" t="s">
        <v>1371</v>
      </c>
    </row>
    <row r="111" spans="1:11" x14ac:dyDescent="0.2">
      <c r="A111" s="2767" t="str">
        <f>IF(OR(COUNTIF(I50:J73,"Não conforme")&gt;0,K74=""),"                As não conformidades apontadas no item 4. devem ser solucionadas afim de garantir que as condições avaliadas venham a atender às exigências relacionadas à Proteção Radiológica.","                As condições avaliadas atendem às exigências  relacionadas à Proteção Radiológica.")</f>
        <v xml:space="preserve">                As condições avaliadas atendem às exigências  relacionadas à Proteção Radiológica.</v>
      </c>
      <c r="B111" s="2767"/>
      <c r="C111" s="2767"/>
      <c r="D111" s="2767"/>
      <c r="E111" s="2767"/>
      <c r="F111" s="2767"/>
      <c r="G111" s="2767"/>
      <c r="H111" s="2767"/>
      <c r="I111" s="2767"/>
      <c r="J111" s="2767"/>
    </row>
    <row r="112" spans="1:11" x14ac:dyDescent="0.2">
      <c r="A112" s="2767"/>
      <c r="B112" s="2767"/>
      <c r="C112" s="2767"/>
      <c r="D112" s="2767"/>
      <c r="E112" s="2767"/>
      <c r="F112" s="2767"/>
      <c r="G112" s="2767"/>
      <c r="H112" s="2767"/>
      <c r="I112" s="2767"/>
      <c r="J112" s="2767"/>
    </row>
    <row r="113" spans="1:10" x14ac:dyDescent="0.2">
      <c r="A113" s="2767"/>
      <c r="B113" s="2767"/>
      <c r="C113" s="2767"/>
      <c r="D113" s="2767"/>
      <c r="E113" s="2767"/>
      <c r="F113" s="2767"/>
      <c r="G113" s="2767"/>
      <c r="H113" s="2767"/>
      <c r="I113" s="2767"/>
      <c r="J113" s="2767"/>
    </row>
    <row r="114" spans="1:10" ht="15.75" x14ac:dyDescent="0.2">
      <c r="A114" s="1090"/>
    </row>
    <row r="115" spans="1:10" ht="15.75" x14ac:dyDescent="0.2">
      <c r="A115" s="1090"/>
    </row>
    <row r="116" spans="1:10" ht="15.75" x14ac:dyDescent="0.2">
      <c r="A116" s="1090"/>
    </row>
    <row r="117" spans="1:10" ht="15.75" x14ac:dyDescent="0.2">
      <c r="A117" s="1090"/>
    </row>
    <row r="118" spans="1:10" ht="15.75" x14ac:dyDescent="0.2">
      <c r="A118" s="1090"/>
    </row>
    <row r="119" spans="1:10" ht="15.75" x14ac:dyDescent="0.2">
      <c r="A119" s="1090"/>
    </row>
    <row r="120" spans="1:10" ht="15.75" x14ac:dyDescent="0.2">
      <c r="A120" s="1090"/>
    </row>
    <row r="121" spans="1:10" ht="15.75" x14ac:dyDescent="0.2">
      <c r="A121" s="1090"/>
    </row>
    <row r="122" spans="1:10" ht="15.75" x14ac:dyDescent="0.2">
      <c r="A122" s="1090"/>
    </row>
    <row r="123" spans="1:10" ht="15.75" x14ac:dyDescent="0.2">
      <c r="A123" s="1090"/>
    </row>
    <row r="124" spans="1:10" ht="15.75" x14ac:dyDescent="0.2">
      <c r="A124" s="1090"/>
    </row>
    <row r="125" spans="1:10" ht="15.75" x14ac:dyDescent="0.2">
      <c r="A125" s="1090"/>
    </row>
    <row r="126" spans="1:10" ht="15.75" x14ac:dyDescent="0.2">
      <c r="A126" s="1090"/>
    </row>
    <row r="127" spans="1:10" ht="15.75" x14ac:dyDescent="0.2">
      <c r="A127" s="1090"/>
    </row>
    <row r="128" spans="1:10" ht="15.75" x14ac:dyDescent="0.2">
      <c r="A128" s="1090"/>
    </row>
    <row r="129" spans="1:1" ht="15.75" x14ac:dyDescent="0.2">
      <c r="A129" s="1090"/>
    </row>
    <row r="130" spans="1:1" ht="15.75" x14ac:dyDescent="0.2">
      <c r="A130" s="1090"/>
    </row>
    <row r="131" spans="1:1" ht="15.75" x14ac:dyDescent="0.2">
      <c r="A131" s="1090"/>
    </row>
    <row r="132" spans="1:1" ht="15.75" x14ac:dyDescent="0.2">
      <c r="A132" s="1090"/>
    </row>
    <row r="133" spans="1:1" ht="15.75" x14ac:dyDescent="0.2">
      <c r="A133" s="1090"/>
    </row>
    <row r="134" spans="1:1" ht="15.75" x14ac:dyDescent="0.2">
      <c r="A134" s="1090"/>
    </row>
    <row r="135" spans="1:1" ht="15.75" x14ac:dyDescent="0.2">
      <c r="A135" s="1090"/>
    </row>
    <row r="136" spans="1:1" ht="15.75" x14ac:dyDescent="0.2">
      <c r="A136" s="1090"/>
    </row>
    <row r="137" spans="1:1" ht="15.75" x14ac:dyDescent="0.2">
      <c r="A137" s="1090"/>
    </row>
    <row r="138" spans="1:1" ht="15.75" x14ac:dyDescent="0.2">
      <c r="A138" s="1090"/>
    </row>
    <row r="139" spans="1:1" ht="15.75" x14ac:dyDescent="0.2">
      <c r="A139" s="1090"/>
    </row>
    <row r="140" spans="1:1" ht="15.75" x14ac:dyDescent="0.2">
      <c r="A140" s="1090"/>
    </row>
    <row r="141" spans="1:1" ht="15.75" x14ac:dyDescent="0.2">
      <c r="A141" s="1090"/>
    </row>
    <row r="142" spans="1:1" ht="15.75" x14ac:dyDescent="0.2">
      <c r="A142" s="1090"/>
    </row>
    <row r="143" spans="1:1" ht="15.75" x14ac:dyDescent="0.2">
      <c r="A143" s="1090"/>
    </row>
    <row r="144" spans="1:1" ht="15.75" x14ac:dyDescent="0.2">
      <c r="A144" s="1090"/>
    </row>
    <row r="145" spans="1:1" ht="15.75" x14ac:dyDescent="0.2">
      <c r="A145" s="1090"/>
    </row>
    <row r="146" spans="1:1" ht="15.75" x14ac:dyDescent="0.2">
      <c r="A146" s="1090"/>
    </row>
    <row r="147" spans="1:1" ht="15.75" x14ac:dyDescent="0.2">
      <c r="A147" s="1090"/>
    </row>
    <row r="148" spans="1:1" ht="15.75" x14ac:dyDescent="0.2">
      <c r="A148" s="1090"/>
    </row>
    <row r="149" spans="1:1" ht="15.75" x14ac:dyDescent="0.2">
      <c r="A149" s="1090"/>
    </row>
    <row r="150" spans="1:1" ht="15.75" x14ac:dyDescent="0.2">
      <c r="A150" s="1090"/>
    </row>
    <row r="151" spans="1:1" ht="15.75" x14ac:dyDescent="0.2">
      <c r="A151" s="1090"/>
    </row>
    <row r="152" spans="1:1" ht="15.75" x14ac:dyDescent="0.2">
      <c r="A152" s="1090"/>
    </row>
    <row r="153" spans="1:1" ht="15.75" x14ac:dyDescent="0.2">
      <c r="A153" s="1090"/>
    </row>
    <row r="154" spans="1:1" ht="15.75" x14ac:dyDescent="0.2">
      <c r="A154" s="1090"/>
    </row>
    <row r="155" spans="1:1" ht="15.75" x14ac:dyDescent="0.2">
      <c r="A155" s="1090"/>
    </row>
    <row r="156" spans="1:1" ht="15.75" x14ac:dyDescent="0.2">
      <c r="A156" s="1090"/>
    </row>
    <row r="157" spans="1:1" ht="15.75" x14ac:dyDescent="0.2">
      <c r="A157" s="1090"/>
    </row>
    <row r="158" spans="1:1" ht="15.75" x14ac:dyDescent="0.2">
      <c r="A158" s="1090"/>
    </row>
    <row r="159" spans="1:1" ht="15.75" x14ac:dyDescent="0.2">
      <c r="A159" s="1090"/>
    </row>
    <row r="160" spans="1:1" ht="15.75" x14ac:dyDescent="0.2">
      <c r="A160" s="1090"/>
    </row>
  </sheetData>
  <sheetProtection sheet="1" objects="1" scenarios="1" selectLockedCells="1" autoFilter="0"/>
  <autoFilter ref="K1:K160"/>
  <mergeCells count="107">
    <mergeCell ref="G107:J107"/>
    <mergeCell ref="G108:J108"/>
    <mergeCell ref="A111:J113"/>
    <mergeCell ref="G101:J101"/>
    <mergeCell ref="G102:J102"/>
    <mergeCell ref="G103:J103"/>
    <mergeCell ref="G104:J104"/>
    <mergeCell ref="G105:J105"/>
    <mergeCell ref="G106:J106"/>
    <mergeCell ref="B106:F106"/>
    <mergeCell ref="B107:F107"/>
    <mergeCell ref="B108:F108"/>
    <mergeCell ref="B103:F103"/>
    <mergeCell ref="B104:F104"/>
    <mergeCell ref="B105:F105"/>
    <mergeCell ref="B102:F102"/>
    <mergeCell ref="B88:F88"/>
    <mergeCell ref="B89:F89"/>
    <mergeCell ref="B90:F90"/>
    <mergeCell ref="B91:F91"/>
    <mergeCell ref="B92:F92"/>
    <mergeCell ref="B93:F93"/>
    <mergeCell ref="B94:F94"/>
    <mergeCell ref="B95:F95"/>
    <mergeCell ref="B96:F96"/>
    <mergeCell ref="A69:H69"/>
    <mergeCell ref="I69:J69"/>
    <mergeCell ref="A70:H70"/>
    <mergeCell ref="I70:J70"/>
    <mergeCell ref="B97:F97"/>
    <mergeCell ref="B98:F98"/>
    <mergeCell ref="B99:F99"/>
    <mergeCell ref="B100:F100"/>
    <mergeCell ref="B101:F101"/>
    <mergeCell ref="B85:F85"/>
    <mergeCell ref="B86:F86"/>
    <mergeCell ref="B87:F87"/>
    <mergeCell ref="G95:J95"/>
    <mergeCell ref="G96:J96"/>
    <mergeCell ref="G97:J97"/>
    <mergeCell ref="G98:J98"/>
    <mergeCell ref="G99:J99"/>
    <mergeCell ref="G100:J100"/>
    <mergeCell ref="G89:J89"/>
    <mergeCell ref="G90:J90"/>
    <mergeCell ref="G91:J91"/>
    <mergeCell ref="G92:J92"/>
    <mergeCell ref="G93:J93"/>
    <mergeCell ref="G94:J94"/>
    <mergeCell ref="G87:J87"/>
    <mergeCell ref="G88:J88"/>
    <mergeCell ref="I66:J66"/>
    <mergeCell ref="A62:H62"/>
    <mergeCell ref="I62:J62"/>
    <mergeCell ref="A63:H63"/>
    <mergeCell ref="I63:J63"/>
    <mergeCell ref="A67:H67"/>
    <mergeCell ref="I67:J67"/>
    <mergeCell ref="G82:J82"/>
    <mergeCell ref="B82:F82"/>
    <mergeCell ref="B83:F83"/>
    <mergeCell ref="B84:F84"/>
    <mergeCell ref="A71:H71"/>
    <mergeCell ref="G83:J83"/>
    <mergeCell ref="G84:J84"/>
    <mergeCell ref="G85:J85"/>
    <mergeCell ref="G86:J86"/>
    <mergeCell ref="I71:J71"/>
    <mergeCell ref="A72:H72"/>
    <mergeCell ref="I72:J72"/>
    <mergeCell ref="A75:J80"/>
    <mergeCell ref="A68:H68"/>
    <mergeCell ref="I68:J68"/>
    <mergeCell ref="A57:H57"/>
    <mergeCell ref="I57:J57"/>
    <mergeCell ref="A58:H58"/>
    <mergeCell ref="I58:J58"/>
    <mergeCell ref="A61:H61"/>
    <mergeCell ref="I61:J61"/>
    <mergeCell ref="A66:H66"/>
    <mergeCell ref="I53:J53"/>
    <mergeCell ref="A54:H54"/>
    <mergeCell ref="I54:J54"/>
    <mergeCell ref="A55:H55"/>
    <mergeCell ref="I55:J55"/>
    <mergeCell ref="A56:H56"/>
    <mergeCell ref="I56:J56"/>
    <mergeCell ref="A34:J36"/>
    <mergeCell ref="A39:J44"/>
    <mergeCell ref="A50:H50"/>
    <mergeCell ref="I50:J50"/>
    <mergeCell ref="A51:H51"/>
    <mergeCell ref="I51:J51"/>
    <mergeCell ref="A52:H52"/>
    <mergeCell ref="I52:J52"/>
    <mergeCell ref="A53:H53"/>
    <mergeCell ref="A46:J47"/>
    <mergeCell ref="C12:J13"/>
    <mergeCell ref="C17:J17"/>
    <mergeCell ref="A22:J25"/>
    <mergeCell ref="A28:J31"/>
    <mergeCell ref="A1:F1"/>
    <mergeCell ref="G1:H1"/>
    <mergeCell ref="I1:J1"/>
    <mergeCell ref="A5:J5"/>
    <mergeCell ref="C9:J10"/>
    <mergeCell ref="A3:J4"/>
  </mergeCells>
  <pageMargins left="0.51181102362204722" right="0.51181102362204722" top="0.98425196850393704" bottom="0.98425196850393704" header="0.31496062992125984" footer="0.31496062992125984"/>
  <pageSetup paperSize="9" scale="99" orientation="portrait" r:id="rId1"/>
  <rowBreaks count="1" manualBreakCount="1">
    <brk id="45" max="9" man="1"/>
  </row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AM9352"/>
  <sheetViews>
    <sheetView topLeftCell="A4" workbookViewId="0">
      <selection activeCell="C12" sqref="C12:J13"/>
    </sheetView>
  </sheetViews>
  <sheetFormatPr defaultRowHeight="15" x14ac:dyDescent="0.25"/>
  <cols>
    <col min="1" max="1" width="17.7109375" bestFit="1" customWidth="1"/>
    <col min="2" max="2" width="14.42578125" bestFit="1" customWidth="1"/>
    <col min="3" max="3" width="15.85546875" bestFit="1" customWidth="1"/>
    <col min="4" max="4" width="31.7109375" bestFit="1" customWidth="1"/>
    <col min="5" max="5" width="28.5703125" bestFit="1" customWidth="1"/>
    <col min="6" max="6" width="10.42578125" bestFit="1" customWidth="1"/>
    <col min="7" max="7" width="29.42578125" customWidth="1"/>
    <col min="8" max="8" width="15.140625" bestFit="1" customWidth="1"/>
    <col min="9" max="10" width="81.140625" bestFit="1" customWidth="1"/>
    <col min="11" max="11" width="14.7109375" customWidth="1"/>
    <col min="12" max="12" width="81.140625" bestFit="1" customWidth="1"/>
    <col min="13" max="13" width="20" customWidth="1"/>
    <col min="14" max="14" width="9.5703125" bestFit="1" customWidth="1"/>
    <col min="15" max="15" width="10.7109375" bestFit="1" customWidth="1"/>
    <col min="16" max="16" width="20.7109375" bestFit="1" customWidth="1"/>
    <col min="17" max="17" width="10.7109375" bestFit="1" customWidth="1"/>
    <col min="18" max="18" width="49.28515625" bestFit="1" customWidth="1"/>
    <col min="19" max="19" width="15" bestFit="1" customWidth="1"/>
    <col min="20" max="20" width="17.28515625" bestFit="1" customWidth="1"/>
    <col min="21" max="21" width="18.7109375" bestFit="1" customWidth="1"/>
    <col min="22" max="22" width="15" bestFit="1" customWidth="1"/>
    <col min="23" max="23" width="22" bestFit="1" customWidth="1"/>
    <col min="24" max="24" width="24.5703125" bestFit="1" customWidth="1"/>
    <col min="25" max="25" width="25" bestFit="1" customWidth="1"/>
    <col min="26" max="26" width="19" bestFit="1" customWidth="1"/>
    <col min="27" max="27" width="33.28515625" bestFit="1" customWidth="1"/>
    <col min="28" max="28" width="81.140625" bestFit="1" customWidth="1"/>
    <col min="29" max="29" width="15.42578125" style="592" bestFit="1" customWidth="1"/>
    <col min="30" max="30" width="18.42578125" style="592" bestFit="1" customWidth="1"/>
    <col min="31" max="31" width="28.140625" style="592" bestFit="1" customWidth="1"/>
    <col min="32" max="32" width="8.7109375" style="592" bestFit="1" customWidth="1"/>
    <col min="33" max="33" width="16.7109375" style="592" bestFit="1" customWidth="1"/>
    <col min="34" max="34" width="17.7109375" style="592" bestFit="1" customWidth="1"/>
    <col min="35" max="35" width="22.42578125" style="592" bestFit="1" customWidth="1"/>
    <col min="36" max="36" width="14.7109375" style="592" bestFit="1" customWidth="1"/>
    <col min="37" max="37" width="11" style="592" bestFit="1" customWidth="1"/>
    <col min="38" max="38" width="16.28515625" style="592" bestFit="1" customWidth="1"/>
    <col min="39" max="39" width="15.140625" style="592" bestFit="1" customWidth="1"/>
    <col min="40" max="40" width="15.140625" bestFit="1" customWidth="1"/>
    <col min="41" max="41" width="17.140625" bestFit="1" customWidth="1"/>
  </cols>
  <sheetData>
    <row r="1" spans="1:39" x14ac:dyDescent="0.25">
      <c r="A1"/>
      <c r="B1"/>
      <c r="C1"/>
      <c r="D1"/>
      <c r="E1"/>
      <c r="F1"/>
      <c r="G1"/>
      <c r="H1"/>
      <c r="I1"/>
      <c r="J1"/>
      <c r="K1"/>
      <c r="L1"/>
      <c r="M1"/>
      <c r="N1"/>
      <c r="O1"/>
      <c r="P1"/>
      <c r="Q1"/>
      <c r="R1"/>
      <c r="S1"/>
      <c r="T1"/>
      <c r="U1"/>
      <c r="V1"/>
      <c r="W1"/>
      <c r="X1"/>
      <c r="Y1"/>
      <c r="Z1"/>
      <c r="AA1"/>
      <c r="AB1"/>
      <c r="AC1" s="592"/>
      <c r="AD1" s="592"/>
      <c r="AE1" s="592"/>
      <c r="AF1" s="592"/>
      <c r="AG1" s="592"/>
      <c r="AH1" s="592"/>
      <c r="AI1" s="592"/>
      <c r="AJ1" s="592"/>
      <c r="AK1" s="592"/>
      <c r="AL1" s="592"/>
      <c r="AM1" s="592"/>
    </row>
    <row r="2" spans="1:39" x14ac:dyDescent="0.25">
      <c r="P2" s="49"/>
      <c r="Q2" s="1"/>
      <c r="S2" s="1"/>
      <c r="T2" s="1"/>
      <c r="U2" s="1"/>
      <c r="V2" s="1"/>
      <c r="W2" s="1"/>
      <c r="X2" s="1"/>
      <c r="Y2" s="1"/>
      <c r="AB2" s="1"/>
      <c r="AC2" s="1"/>
      <c r="AD2" s="1"/>
      <c r="AE2" s="1"/>
      <c r="AF2" s="1"/>
      <c r="AG2" s="1"/>
      <c r="AH2" s="1"/>
      <c r="AI2" s="1"/>
      <c r="AJ2" s="1"/>
      <c r="AK2" s="1"/>
      <c r="AL2" s="1"/>
      <c r="AM2" s="1"/>
    </row>
    <row r="3" spans="1:39" x14ac:dyDescent="0.25">
      <c r="P3" s="49"/>
      <c r="Q3" s="1"/>
      <c r="S3" s="1"/>
      <c r="T3" s="1"/>
      <c r="U3" s="1"/>
      <c r="V3" s="1"/>
      <c r="W3" s="1"/>
      <c r="X3" s="1"/>
      <c r="Y3" s="1"/>
      <c r="AB3" s="1"/>
      <c r="AC3" s="1"/>
      <c r="AD3" s="1"/>
      <c r="AE3" s="1"/>
      <c r="AF3" s="1"/>
      <c r="AG3" s="1"/>
      <c r="AH3" s="1"/>
      <c r="AI3" s="1"/>
      <c r="AJ3" s="1"/>
      <c r="AK3" s="1"/>
      <c r="AL3" s="1"/>
      <c r="AM3" s="1"/>
    </row>
    <row r="4" spans="1:39" x14ac:dyDescent="0.25">
      <c r="P4" s="49"/>
      <c r="Q4" s="1"/>
      <c r="S4" s="1"/>
      <c r="T4" s="1"/>
      <c r="U4" s="1"/>
      <c r="V4" s="1"/>
      <c r="W4" s="1"/>
      <c r="X4" s="1"/>
      <c r="Y4" s="1"/>
      <c r="AB4" s="1"/>
      <c r="AC4" s="1"/>
      <c r="AD4" s="1"/>
      <c r="AE4" s="1"/>
      <c r="AF4" s="1"/>
      <c r="AG4" s="1"/>
      <c r="AH4" s="1"/>
      <c r="AI4" s="1"/>
      <c r="AJ4" s="1"/>
      <c r="AK4" s="1"/>
      <c r="AL4" s="1"/>
      <c r="AM4" s="1"/>
    </row>
    <row r="5" spans="1:39" x14ac:dyDescent="0.25">
      <c r="P5" s="49"/>
      <c r="Q5" s="1"/>
      <c r="S5" s="1"/>
      <c r="T5" s="1"/>
      <c r="U5" s="1"/>
      <c r="V5" s="1"/>
      <c r="W5" s="1"/>
      <c r="X5" s="1"/>
      <c r="Y5" s="1"/>
      <c r="AB5" s="1"/>
      <c r="AC5" s="1"/>
      <c r="AD5" s="1"/>
      <c r="AE5" s="1"/>
      <c r="AF5" s="1"/>
      <c r="AG5" s="1"/>
      <c r="AH5" s="1"/>
      <c r="AI5" s="1"/>
      <c r="AJ5" s="1"/>
      <c r="AK5" s="1"/>
      <c r="AL5" s="1"/>
      <c r="AM5" s="1"/>
    </row>
    <row r="6" spans="1:39" x14ac:dyDescent="0.25">
      <c r="P6" s="49"/>
      <c r="Q6" s="1"/>
      <c r="S6" s="1"/>
      <c r="T6" s="1"/>
      <c r="U6" s="1"/>
      <c r="V6" s="1"/>
      <c r="W6" s="1"/>
      <c r="X6" s="1"/>
      <c r="Y6" s="1"/>
      <c r="AB6" s="1"/>
      <c r="AC6" s="1"/>
      <c r="AD6" s="1"/>
      <c r="AE6" s="1"/>
      <c r="AF6" s="1"/>
      <c r="AG6" s="1"/>
      <c r="AH6" s="1"/>
      <c r="AI6" s="1"/>
      <c r="AJ6" s="1"/>
      <c r="AK6" s="1"/>
      <c r="AL6" s="1"/>
      <c r="AM6" s="1"/>
    </row>
    <row r="7" spans="1:39" x14ac:dyDescent="0.25">
      <c r="P7" s="49"/>
      <c r="Q7" s="1"/>
      <c r="S7" s="1"/>
      <c r="T7" s="1"/>
      <c r="U7" s="1"/>
      <c r="V7" s="1"/>
      <c r="W7" s="1"/>
      <c r="X7" s="1"/>
      <c r="Y7" s="1"/>
      <c r="AB7" s="1"/>
      <c r="AC7" s="1"/>
      <c r="AD7" s="1"/>
      <c r="AE7" s="1"/>
      <c r="AF7" s="1"/>
      <c r="AG7" s="1"/>
      <c r="AH7" s="1"/>
      <c r="AI7" s="1"/>
      <c r="AJ7" s="1"/>
      <c r="AK7" s="1"/>
      <c r="AL7" s="1"/>
      <c r="AM7" s="1"/>
    </row>
    <row r="8" spans="1:39" x14ac:dyDescent="0.25">
      <c r="P8" s="49"/>
      <c r="Q8" s="1"/>
      <c r="S8" s="1"/>
      <c r="T8" s="1"/>
      <c r="U8" s="1"/>
      <c r="V8" s="1"/>
      <c r="W8" s="1"/>
      <c r="X8" s="1"/>
      <c r="Y8" s="1"/>
      <c r="AB8" s="1"/>
      <c r="AC8" s="1"/>
      <c r="AD8" s="1"/>
      <c r="AE8" s="1"/>
      <c r="AF8" s="1"/>
      <c r="AG8" s="1"/>
      <c r="AH8" s="1"/>
      <c r="AI8" s="1"/>
      <c r="AJ8" s="1"/>
      <c r="AK8" s="1"/>
      <c r="AL8" s="1"/>
      <c r="AM8" s="1"/>
    </row>
    <row r="9" spans="1:39" x14ac:dyDescent="0.25">
      <c r="P9" s="49"/>
      <c r="Q9" s="1"/>
      <c r="S9" s="1"/>
      <c r="T9" s="1"/>
      <c r="U9" s="1"/>
      <c r="V9" s="1"/>
      <c r="W9" s="1"/>
      <c r="X9" s="1"/>
      <c r="Y9" s="1"/>
      <c r="AB9" s="1"/>
      <c r="AC9" s="1"/>
      <c r="AD9" s="1"/>
      <c r="AE9" s="1"/>
      <c r="AF9" s="1"/>
      <c r="AG9" s="1"/>
      <c r="AH9" s="1"/>
      <c r="AI9" s="1"/>
      <c r="AJ9" s="1"/>
      <c r="AK9" s="1"/>
      <c r="AL9" s="1"/>
      <c r="AM9" s="1"/>
    </row>
    <row r="10" spans="1:39" x14ac:dyDescent="0.25">
      <c r="P10" s="49"/>
      <c r="Q10" s="1"/>
      <c r="S10" s="1"/>
      <c r="T10" s="1"/>
      <c r="U10" s="1"/>
      <c r="V10" s="1"/>
      <c r="W10" s="1"/>
      <c r="X10" s="1"/>
      <c r="Y10" s="1"/>
      <c r="AB10" s="1"/>
      <c r="AC10" s="1"/>
      <c r="AD10" s="1"/>
      <c r="AE10" s="1"/>
      <c r="AF10" s="1"/>
      <c r="AG10" s="1"/>
      <c r="AH10" s="1"/>
      <c r="AI10" s="1"/>
      <c r="AJ10" s="1"/>
      <c r="AK10" s="1"/>
      <c r="AL10" s="1"/>
      <c r="AM10" s="1"/>
    </row>
    <row r="11" spans="1:39" x14ac:dyDescent="0.25">
      <c r="P11" s="49"/>
      <c r="Q11" s="1"/>
      <c r="S11" s="1"/>
      <c r="T11" s="1"/>
      <c r="U11" s="1"/>
      <c r="V11" s="1"/>
      <c r="W11" s="1"/>
      <c r="X11" s="1"/>
      <c r="Y11" s="1"/>
      <c r="AB11" s="1"/>
      <c r="AC11" s="1"/>
      <c r="AD11" s="1"/>
      <c r="AE11" s="1"/>
      <c r="AF11" s="1"/>
      <c r="AG11" s="1"/>
      <c r="AH11" s="1"/>
      <c r="AI11" s="1"/>
      <c r="AJ11" s="1"/>
      <c r="AK11" s="1"/>
      <c r="AL11" s="1"/>
      <c r="AM11" s="1"/>
    </row>
    <row r="12" spans="1:39" x14ac:dyDescent="0.25">
      <c r="P12" s="49"/>
      <c r="Q12" s="1"/>
      <c r="S12" s="1"/>
      <c r="T12" s="1"/>
      <c r="U12" s="1"/>
      <c r="V12" s="1"/>
      <c r="W12" s="1"/>
      <c r="X12" s="1"/>
      <c r="Y12" s="1"/>
      <c r="AB12" s="1"/>
      <c r="AC12" s="1"/>
      <c r="AD12" s="1"/>
      <c r="AE12" s="1"/>
      <c r="AF12" s="1"/>
      <c r="AG12" s="1"/>
      <c r="AH12" s="1"/>
      <c r="AI12" s="1"/>
      <c r="AJ12" s="1"/>
      <c r="AK12" s="1"/>
      <c r="AL12" s="1"/>
      <c r="AM12" s="1"/>
    </row>
    <row r="13" spans="1:39" x14ac:dyDescent="0.25">
      <c r="P13" s="49"/>
      <c r="Q13" s="1"/>
      <c r="S13" s="1"/>
      <c r="T13" s="1"/>
      <c r="U13" s="1"/>
      <c r="V13" s="1"/>
      <c r="W13" s="1"/>
      <c r="X13" s="1"/>
      <c r="Y13" s="1"/>
      <c r="AB13" s="1"/>
      <c r="AC13" s="1"/>
      <c r="AD13" s="1"/>
      <c r="AE13" s="1"/>
      <c r="AF13" s="1"/>
      <c r="AG13" s="1"/>
      <c r="AH13" s="1"/>
      <c r="AI13" s="1"/>
      <c r="AJ13" s="1"/>
      <c r="AK13" s="1"/>
      <c r="AL13" s="1"/>
      <c r="AM13" s="1"/>
    </row>
    <row r="14" spans="1:39" x14ac:dyDescent="0.25">
      <c r="P14" s="49"/>
      <c r="Q14" s="1"/>
      <c r="S14" s="1"/>
      <c r="T14" s="1"/>
      <c r="U14" s="1"/>
      <c r="V14" s="1"/>
      <c r="W14" s="1"/>
      <c r="X14" s="1"/>
      <c r="Y14" s="1"/>
      <c r="AB14" s="1"/>
      <c r="AC14" s="1"/>
      <c r="AD14" s="1"/>
      <c r="AE14" s="1"/>
      <c r="AF14" s="1"/>
      <c r="AG14" s="1"/>
      <c r="AH14" s="1"/>
      <c r="AI14" s="1"/>
      <c r="AJ14" s="1"/>
      <c r="AK14" s="1"/>
      <c r="AL14" s="1"/>
      <c r="AM14" s="1"/>
    </row>
    <row r="15" spans="1:39" x14ac:dyDescent="0.25">
      <c r="P15" s="49"/>
      <c r="Q15" s="1"/>
      <c r="S15" s="1"/>
      <c r="T15" s="1"/>
      <c r="U15" s="1"/>
      <c r="V15" s="1"/>
      <c r="W15" s="1"/>
      <c r="X15" s="1"/>
      <c r="Y15" s="1"/>
      <c r="AB15" s="1"/>
      <c r="AC15" s="1"/>
      <c r="AD15" s="1"/>
      <c r="AE15" s="1"/>
      <c r="AF15" s="1"/>
      <c r="AG15" s="1"/>
      <c r="AH15" s="1"/>
      <c r="AI15" s="1"/>
      <c r="AJ15" s="1"/>
      <c r="AK15" s="1"/>
      <c r="AL15" s="1"/>
      <c r="AM15" s="1"/>
    </row>
    <row r="16" spans="1:39" x14ac:dyDescent="0.25">
      <c r="P16" s="49"/>
      <c r="Q16" s="1"/>
      <c r="S16" s="1"/>
      <c r="T16" s="1"/>
      <c r="U16" s="1"/>
      <c r="V16" s="1"/>
      <c r="W16" s="1"/>
      <c r="X16" s="1"/>
      <c r="Y16" s="1"/>
      <c r="AB16" s="1"/>
      <c r="AC16" s="1"/>
      <c r="AD16" s="1"/>
      <c r="AE16" s="1"/>
      <c r="AF16" s="1"/>
      <c r="AG16" s="1"/>
      <c r="AH16" s="1"/>
      <c r="AI16" s="1"/>
      <c r="AJ16" s="1"/>
      <c r="AK16" s="1"/>
      <c r="AL16" s="1"/>
      <c r="AM16" s="1"/>
    </row>
    <row r="17" spans="16:39" x14ac:dyDescent="0.25">
      <c r="P17" s="49"/>
      <c r="Q17" s="1"/>
      <c r="S17" s="1"/>
      <c r="T17" s="1"/>
      <c r="U17" s="1"/>
      <c r="V17" s="1"/>
      <c r="W17" s="1"/>
      <c r="X17" s="1"/>
      <c r="Y17" s="1"/>
      <c r="AB17" s="1"/>
      <c r="AC17" s="1"/>
      <c r="AD17" s="1"/>
      <c r="AE17" s="1"/>
      <c r="AF17" s="1"/>
      <c r="AG17" s="1"/>
      <c r="AH17" s="1"/>
      <c r="AI17" s="1"/>
      <c r="AJ17" s="1"/>
      <c r="AK17" s="1"/>
      <c r="AL17" s="1"/>
      <c r="AM17" s="1"/>
    </row>
    <row r="18" spans="16:39" x14ac:dyDescent="0.25">
      <c r="P18" s="49"/>
      <c r="Q18" s="1"/>
      <c r="S18" s="1"/>
      <c r="T18" s="1"/>
      <c r="U18" s="1"/>
      <c r="V18" s="1"/>
      <c r="W18" s="1"/>
      <c r="X18" s="1"/>
      <c r="Y18" s="1"/>
      <c r="AB18" s="1"/>
      <c r="AC18" s="1"/>
      <c r="AD18" s="1"/>
      <c r="AE18" s="1"/>
      <c r="AF18" s="1"/>
      <c r="AG18" s="1"/>
      <c r="AH18" s="1"/>
      <c r="AI18" s="1"/>
      <c r="AJ18" s="1"/>
      <c r="AK18" s="1"/>
      <c r="AL18" s="1"/>
      <c r="AM18" s="1"/>
    </row>
    <row r="19" spans="16:39" x14ac:dyDescent="0.25">
      <c r="P19" s="49"/>
      <c r="Q19" s="1"/>
      <c r="S19" s="1"/>
      <c r="T19" s="1"/>
      <c r="U19" s="1"/>
      <c r="V19" s="1"/>
      <c r="W19" s="1"/>
      <c r="X19" s="1"/>
      <c r="Y19" s="1"/>
      <c r="AB19" s="1"/>
      <c r="AC19" s="1"/>
      <c r="AD19" s="1"/>
      <c r="AE19" s="1"/>
      <c r="AF19" s="1"/>
      <c r="AG19" s="1"/>
      <c r="AH19" s="1"/>
      <c r="AI19" s="1"/>
      <c r="AJ19" s="1"/>
      <c r="AK19" s="1"/>
      <c r="AL19" s="1"/>
      <c r="AM19" s="1"/>
    </row>
    <row r="20" spans="16:39" x14ac:dyDescent="0.25">
      <c r="P20" s="49"/>
      <c r="Q20" s="1"/>
      <c r="S20" s="1"/>
      <c r="T20" s="1"/>
      <c r="U20" s="1"/>
      <c r="V20" s="1"/>
      <c r="W20" s="1"/>
      <c r="X20" s="1"/>
      <c r="Y20" s="1"/>
      <c r="AB20" s="1"/>
      <c r="AC20" s="1"/>
      <c r="AD20" s="1"/>
      <c r="AE20" s="1"/>
      <c r="AF20" s="1"/>
      <c r="AG20" s="1"/>
      <c r="AH20" s="1"/>
      <c r="AI20" s="1"/>
      <c r="AJ20" s="1"/>
      <c r="AK20" s="1"/>
      <c r="AL20" s="1"/>
      <c r="AM20" s="1"/>
    </row>
    <row r="21" spans="16:39" x14ac:dyDescent="0.25">
      <c r="P21" s="49"/>
      <c r="Q21" s="1"/>
      <c r="S21" s="1"/>
      <c r="T21" s="1"/>
      <c r="U21" s="1"/>
      <c r="V21" s="1"/>
      <c r="W21" s="1"/>
      <c r="X21" s="1"/>
      <c r="Y21" s="1"/>
      <c r="AB21" s="1"/>
      <c r="AC21" s="1"/>
      <c r="AD21" s="1"/>
      <c r="AE21" s="1"/>
      <c r="AF21" s="1"/>
      <c r="AG21" s="1"/>
      <c r="AH21" s="1"/>
      <c r="AI21" s="1"/>
      <c r="AJ21" s="1"/>
      <c r="AK21" s="1"/>
      <c r="AL21" s="1"/>
      <c r="AM21" s="1"/>
    </row>
    <row r="22" spans="16:39" x14ac:dyDescent="0.25">
      <c r="P22" s="49"/>
      <c r="Q22" s="1"/>
      <c r="S22" s="1"/>
      <c r="T22" s="1"/>
      <c r="U22" s="1"/>
      <c r="V22" s="1"/>
      <c r="W22" s="1"/>
      <c r="X22" s="1"/>
      <c r="Y22" s="1"/>
      <c r="AB22" s="1"/>
      <c r="AC22" s="1"/>
      <c r="AD22" s="1"/>
      <c r="AE22" s="1"/>
      <c r="AF22" s="1"/>
      <c r="AG22" s="1"/>
      <c r="AH22" s="1"/>
      <c r="AI22" s="1"/>
      <c r="AJ22" s="1"/>
      <c r="AK22" s="1"/>
      <c r="AL22" s="1"/>
      <c r="AM22" s="1"/>
    </row>
    <row r="23" spans="16:39" x14ac:dyDescent="0.25">
      <c r="P23" s="49"/>
      <c r="Q23" s="1"/>
      <c r="S23" s="1"/>
      <c r="T23" s="1"/>
      <c r="U23" s="1"/>
      <c r="V23" s="1"/>
      <c r="W23" s="1"/>
      <c r="X23" s="1"/>
      <c r="Y23" s="1"/>
      <c r="AB23" s="1"/>
      <c r="AC23" s="1"/>
      <c r="AD23" s="1"/>
      <c r="AE23" s="1"/>
      <c r="AF23" s="1"/>
      <c r="AG23" s="1"/>
      <c r="AH23" s="1"/>
      <c r="AI23" s="1"/>
      <c r="AJ23" s="1"/>
      <c r="AK23" s="1"/>
      <c r="AL23" s="1"/>
      <c r="AM23" s="1"/>
    </row>
    <row r="24" spans="16:39" x14ac:dyDescent="0.25">
      <c r="P24" s="49"/>
      <c r="Q24" s="1"/>
      <c r="S24" s="1"/>
      <c r="T24" s="1"/>
      <c r="U24" s="1"/>
      <c r="V24" s="1"/>
      <c r="W24" s="1"/>
      <c r="X24" s="1"/>
      <c r="Y24" s="1"/>
      <c r="AB24" s="1"/>
      <c r="AC24" s="1"/>
      <c r="AD24" s="1"/>
      <c r="AE24" s="1"/>
      <c r="AF24" s="1"/>
      <c r="AG24" s="1"/>
      <c r="AH24" s="1"/>
      <c r="AI24" s="1"/>
      <c r="AJ24" s="1"/>
      <c r="AK24" s="1"/>
      <c r="AL24" s="1"/>
      <c r="AM24" s="1"/>
    </row>
    <row r="25" spans="16:39" x14ac:dyDescent="0.25">
      <c r="P25" s="49"/>
      <c r="Q25" s="1"/>
      <c r="S25" s="1"/>
      <c r="T25" s="1"/>
      <c r="U25" s="1"/>
      <c r="V25" s="1"/>
      <c r="W25" s="1"/>
      <c r="X25" s="1"/>
      <c r="Y25" s="1"/>
      <c r="AB25" s="1"/>
      <c r="AC25" s="1"/>
      <c r="AD25" s="1"/>
      <c r="AE25" s="1"/>
      <c r="AF25" s="1"/>
      <c r="AG25" s="1"/>
      <c r="AH25" s="1"/>
      <c r="AI25" s="1"/>
      <c r="AJ25" s="1"/>
      <c r="AK25" s="1"/>
      <c r="AL25" s="1"/>
      <c r="AM25" s="1"/>
    </row>
    <row r="26" spans="16:39" x14ac:dyDescent="0.25">
      <c r="P26" s="49"/>
      <c r="Q26" s="1"/>
      <c r="S26" s="1"/>
      <c r="T26" s="1"/>
      <c r="U26" s="1"/>
      <c r="V26" s="1"/>
      <c r="W26" s="1"/>
      <c r="X26" s="1"/>
      <c r="Y26" s="1"/>
      <c r="AB26" s="1"/>
      <c r="AC26" s="1"/>
      <c r="AD26" s="1"/>
      <c r="AE26" s="1"/>
      <c r="AF26" s="1"/>
      <c r="AG26" s="1"/>
      <c r="AH26" s="1"/>
      <c r="AI26" s="1"/>
      <c r="AJ26" s="1"/>
      <c r="AK26" s="1"/>
      <c r="AL26" s="1"/>
      <c r="AM26" s="1"/>
    </row>
    <row r="27" spans="16:39" x14ac:dyDescent="0.25">
      <c r="P27" s="49"/>
      <c r="Q27" s="1"/>
      <c r="S27" s="1"/>
      <c r="T27" s="1"/>
      <c r="U27" s="1"/>
      <c r="V27" s="1"/>
      <c r="W27" s="1"/>
      <c r="X27" s="1"/>
      <c r="Y27" s="1"/>
      <c r="AB27" s="1"/>
      <c r="AC27" s="1"/>
      <c r="AD27" s="1"/>
      <c r="AE27" s="1"/>
      <c r="AF27" s="1"/>
      <c r="AG27" s="1"/>
      <c r="AH27" s="1"/>
      <c r="AI27" s="1"/>
      <c r="AJ27" s="1"/>
      <c r="AK27" s="1"/>
      <c r="AL27" s="1"/>
      <c r="AM27" s="1"/>
    </row>
    <row r="28" spans="16:39" x14ac:dyDescent="0.25">
      <c r="P28" s="49"/>
      <c r="Q28" s="1"/>
      <c r="S28" s="1"/>
      <c r="T28" s="1"/>
      <c r="U28" s="1"/>
      <c r="V28" s="1"/>
      <c r="W28" s="1"/>
      <c r="X28" s="1"/>
      <c r="Y28" s="1"/>
      <c r="AB28" s="1"/>
      <c r="AC28" s="1"/>
      <c r="AD28" s="1"/>
      <c r="AE28" s="1"/>
      <c r="AF28" s="1"/>
      <c r="AG28" s="1"/>
      <c r="AH28" s="1"/>
      <c r="AI28" s="1"/>
      <c r="AJ28" s="1"/>
      <c r="AK28" s="1"/>
      <c r="AL28" s="1"/>
      <c r="AM28" s="1"/>
    </row>
    <row r="29" spans="16:39" x14ac:dyDescent="0.25">
      <c r="P29" s="49"/>
      <c r="Q29" s="1"/>
      <c r="S29" s="1"/>
      <c r="T29" s="1"/>
      <c r="U29" s="1"/>
      <c r="V29" s="1"/>
      <c r="W29" s="1"/>
      <c r="X29" s="1"/>
      <c r="Y29" s="1"/>
      <c r="AB29" s="1"/>
      <c r="AC29" s="1"/>
      <c r="AD29" s="1"/>
      <c r="AE29" s="1"/>
      <c r="AF29" s="1"/>
      <c r="AG29" s="1"/>
      <c r="AH29" s="1"/>
      <c r="AI29" s="1"/>
      <c r="AJ29" s="1"/>
      <c r="AK29" s="1"/>
      <c r="AL29" s="1"/>
      <c r="AM29" s="1"/>
    </row>
    <row r="30" spans="16:39" x14ac:dyDescent="0.25">
      <c r="P30" s="49"/>
      <c r="Q30" s="1"/>
      <c r="S30" s="1"/>
      <c r="T30" s="1"/>
      <c r="U30" s="1"/>
      <c r="V30" s="1"/>
      <c r="W30" s="1"/>
      <c r="X30" s="1"/>
      <c r="Y30" s="1"/>
      <c r="AB30" s="1"/>
      <c r="AC30" s="1"/>
      <c r="AD30" s="1"/>
      <c r="AE30" s="1"/>
      <c r="AF30" s="1"/>
      <c r="AG30" s="1"/>
      <c r="AH30" s="1"/>
      <c r="AI30" s="1"/>
      <c r="AJ30" s="1"/>
      <c r="AK30" s="1"/>
      <c r="AL30" s="1"/>
      <c r="AM30" s="1"/>
    </row>
    <row r="31" spans="16:39" x14ac:dyDescent="0.25">
      <c r="P31" s="49"/>
      <c r="Q31" s="1"/>
      <c r="S31" s="1"/>
      <c r="T31" s="1"/>
      <c r="U31" s="1"/>
      <c r="V31" s="1"/>
      <c r="W31" s="1"/>
      <c r="X31" s="1"/>
      <c r="Y31" s="1"/>
      <c r="AB31" s="1"/>
      <c r="AC31" s="1"/>
      <c r="AD31" s="1"/>
      <c r="AE31" s="1"/>
      <c r="AF31" s="1"/>
      <c r="AG31" s="1"/>
      <c r="AH31" s="1"/>
      <c r="AI31" s="1"/>
      <c r="AJ31" s="1"/>
      <c r="AK31" s="1"/>
      <c r="AL31" s="1"/>
      <c r="AM31" s="1"/>
    </row>
    <row r="32" spans="16:39" x14ac:dyDescent="0.25">
      <c r="P32" s="49"/>
      <c r="Q32" s="1"/>
      <c r="S32" s="1"/>
      <c r="T32" s="1"/>
      <c r="U32" s="1"/>
      <c r="V32" s="1"/>
      <c r="W32" s="1"/>
      <c r="X32" s="1"/>
      <c r="Y32" s="1"/>
      <c r="AB32" s="1"/>
      <c r="AC32" s="1"/>
      <c r="AD32" s="1"/>
      <c r="AE32" s="1"/>
      <c r="AF32" s="1"/>
      <c r="AG32" s="1"/>
      <c r="AH32" s="1"/>
      <c r="AI32" s="1"/>
      <c r="AJ32" s="1"/>
      <c r="AK32" s="1"/>
      <c r="AL32" s="1"/>
      <c r="AM32" s="1"/>
    </row>
    <row r="33" spans="16:39" x14ac:dyDescent="0.25">
      <c r="P33" s="49"/>
      <c r="Q33" s="1"/>
      <c r="S33" s="1"/>
      <c r="T33" s="1"/>
      <c r="U33" s="1"/>
      <c r="V33" s="1"/>
      <c r="W33" s="1"/>
      <c r="X33" s="1"/>
      <c r="Y33" s="1"/>
      <c r="AB33" s="1"/>
      <c r="AC33" s="1"/>
      <c r="AD33" s="1"/>
      <c r="AE33" s="1"/>
      <c r="AF33" s="1"/>
      <c r="AG33" s="1"/>
      <c r="AH33" s="1"/>
      <c r="AI33" s="1"/>
      <c r="AJ33" s="1"/>
      <c r="AK33" s="1"/>
      <c r="AL33" s="1"/>
      <c r="AM33" s="1"/>
    </row>
    <row r="34" spans="16:39" x14ac:dyDescent="0.25">
      <c r="P34" s="49"/>
      <c r="Q34" s="1"/>
      <c r="S34" s="1"/>
      <c r="T34" s="1"/>
      <c r="U34" s="1"/>
      <c r="V34" s="1"/>
      <c r="W34" s="1"/>
      <c r="X34" s="1"/>
      <c r="Y34" s="1"/>
      <c r="AB34" s="1"/>
      <c r="AC34" s="1"/>
      <c r="AD34" s="1"/>
      <c r="AE34" s="1"/>
      <c r="AF34" s="1"/>
      <c r="AG34" s="1"/>
      <c r="AH34" s="1"/>
      <c r="AI34" s="1"/>
      <c r="AJ34" s="1"/>
      <c r="AK34" s="1"/>
      <c r="AL34" s="1"/>
      <c r="AM34" s="1"/>
    </row>
    <row r="35" spans="16:39" x14ac:dyDescent="0.25">
      <c r="P35" s="49"/>
      <c r="Q35" s="1"/>
      <c r="S35" s="1"/>
      <c r="T35" s="1"/>
      <c r="U35" s="1"/>
      <c r="V35" s="1"/>
      <c r="W35" s="1"/>
      <c r="X35" s="1"/>
      <c r="Y35" s="1"/>
      <c r="AB35" s="1"/>
      <c r="AC35" s="1"/>
      <c r="AD35" s="1"/>
      <c r="AE35" s="1"/>
      <c r="AF35" s="1"/>
      <c r="AG35" s="1"/>
      <c r="AH35" s="1"/>
      <c r="AI35" s="1"/>
      <c r="AJ35" s="1"/>
      <c r="AK35" s="1"/>
      <c r="AL35" s="1"/>
      <c r="AM35" s="1"/>
    </row>
    <row r="36" spans="16:39" x14ac:dyDescent="0.25">
      <c r="P36" s="49"/>
      <c r="Q36" s="1"/>
      <c r="S36" s="1"/>
      <c r="T36" s="1"/>
      <c r="U36" s="1"/>
      <c r="V36" s="1"/>
      <c r="W36" s="1"/>
      <c r="X36" s="1"/>
      <c r="Y36" s="1"/>
      <c r="AB36" s="1"/>
      <c r="AC36" s="1"/>
      <c r="AD36" s="1"/>
      <c r="AE36" s="1"/>
      <c r="AF36" s="1"/>
      <c r="AG36" s="1"/>
      <c r="AH36" s="1"/>
      <c r="AI36" s="1"/>
      <c r="AJ36" s="1"/>
      <c r="AK36" s="1"/>
      <c r="AL36" s="1"/>
      <c r="AM36" s="1"/>
    </row>
    <row r="37" spans="16:39" x14ac:dyDescent="0.25">
      <c r="P37" s="49"/>
      <c r="Q37" s="1"/>
      <c r="S37" s="1"/>
      <c r="T37" s="1"/>
      <c r="U37" s="1"/>
      <c r="V37" s="1"/>
      <c r="W37" s="1"/>
      <c r="X37" s="1"/>
      <c r="Y37" s="1"/>
      <c r="AB37" s="1"/>
      <c r="AC37" s="1"/>
      <c r="AD37" s="1"/>
      <c r="AE37" s="1"/>
      <c r="AF37" s="1"/>
      <c r="AG37" s="1"/>
      <c r="AH37" s="1"/>
      <c r="AI37" s="1"/>
      <c r="AJ37" s="1"/>
      <c r="AK37" s="1"/>
      <c r="AL37" s="1"/>
      <c r="AM37" s="1"/>
    </row>
    <row r="38" spans="16:39" x14ac:dyDescent="0.25">
      <c r="P38" s="49"/>
      <c r="Q38" s="1"/>
      <c r="S38" s="1"/>
      <c r="T38" s="1"/>
      <c r="U38" s="1"/>
      <c r="V38" s="1"/>
      <c r="W38" s="1"/>
      <c r="X38" s="1"/>
      <c r="Y38" s="1"/>
      <c r="AB38" s="1"/>
      <c r="AC38" s="1"/>
      <c r="AD38" s="1"/>
      <c r="AE38" s="1"/>
      <c r="AF38" s="1"/>
      <c r="AG38" s="1"/>
      <c r="AH38" s="1"/>
      <c r="AI38" s="1"/>
      <c r="AJ38" s="1"/>
      <c r="AK38" s="1"/>
      <c r="AL38" s="1"/>
      <c r="AM38" s="1"/>
    </row>
    <row r="39" spans="16:39" x14ac:dyDescent="0.25">
      <c r="P39" s="49"/>
      <c r="Q39" s="1"/>
      <c r="S39" s="1"/>
      <c r="T39" s="1"/>
      <c r="U39" s="1"/>
      <c r="V39" s="1"/>
      <c r="W39" s="1"/>
      <c r="X39" s="1"/>
      <c r="Y39" s="1"/>
      <c r="AB39" s="1"/>
      <c r="AC39" s="1"/>
      <c r="AD39" s="1"/>
      <c r="AE39" s="1"/>
      <c r="AF39" s="1"/>
      <c r="AG39" s="1"/>
      <c r="AH39" s="1"/>
      <c r="AI39" s="1"/>
      <c r="AJ39" s="1"/>
      <c r="AK39" s="1"/>
      <c r="AL39" s="1"/>
      <c r="AM39" s="1"/>
    </row>
    <row r="40" spans="16:39" x14ac:dyDescent="0.25">
      <c r="P40" s="49"/>
      <c r="Q40" s="1"/>
      <c r="S40" s="1"/>
      <c r="T40" s="1"/>
      <c r="U40" s="1"/>
      <c r="V40" s="1"/>
      <c r="W40" s="1"/>
      <c r="X40" s="1"/>
      <c r="Y40" s="1"/>
      <c r="AB40" s="1"/>
      <c r="AC40" s="1"/>
      <c r="AD40" s="1"/>
      <c r="AE40" s="1"/>
      <c r="AF40" s="1"/>
      <c r="AG40" s="1"/>
      <c r="AH40" s="1"/>
      <c r="AI40" s="1"/>
      <c r="AJ40" s="1"/>
      <c r="AK40" s="1"/>
      <c r="AL40" s="1"/>
      <c r="AM40" s="1"/>
    </row>
    <row r="41" spans="16:39" x14ac:dyDescent="0.25">
      <c r="P41" s="49"/>
      <c r="Q41" s="1"/>
      <c r="S41" s="1"/>
      <c r="T41" s="1"/>
      <c r="U41" s="1"/>
      <c r="V41" s="1"/>
      <c r="W41" s="1"/>
      <c r="X41" s="1"/>
      <c r="Y41" s="1"/>
      <c r="AB41" s="1"/>
      <c r="AC41" s="1"/>
      <c r="AD41" s="1"/>
      <c r="AE41" s="1"/>
      <c r="AF41" s="1"/>
      <c r="AG41" s="1"/>
      <c r="AH41" s="1"/>
      <c r="AI41" s="1"/>
      <c r="AJ41" s="1"/>
      <c r="AK41" s="1"/>
      <c r="AL41" s="1"/>
      <c r="AM41" s="1"/>
    </row>
    <row r="42" spans="16:39" x14ac:dyDescent="0.25">
      <c r="P42" s="49"/>
      <c r="Q42" s="1"/>
      <c r="S42" s="1"/>
      <c r="T42" s="1"/>
      <c r="U42" s="1"/>
      <c r="V42" s="1"/>
      <c r="W42" s="1"/>
      <c r="X42" s="1"/>
      <c r="Y42" s="1"/>
      <c r="AB42" s="1"/>
      <c r="AC42" s="1"/>
      <c r="AD42" s="1"/>
      <c r="AE42" s="1"/>
      <c r="AF42" s="1"/>
      <c r="AG42" s="1"/>
      <c r="AH42" s="1"/>
      <c r="AI42" s="1"/>
      <c r="AJ42" s="1"/>
      <c r="AK42" s="1"/>
      <c r="AL42" s="1"/>
      <c r="AM42" s="1"/>
    </row>
    <row r="43" spans="16:39" x14ac:dyDescent="0.25">
      <c r="P43" s="49"/>
      <c r="Q43" s="1"/>
      <c r="S43" s="1"/>
      <c r="T43" s="1"/>
      <c r="U43" s="1"/>
      <c r="V43" s="1"/>
      <c r="W43" s="1"/>
      <c r="X43" s="1"/>
      <c r="Y43" s="1"/>
      <c r="AB43" s="1"/>
      <c r="AC43" s="1"/>
      <c r="AD43" s="1"/>
      <c r="AE43" s="1"/>
      <c r="AF43" s="1"/>
      <c r="AG43" s="1"/>
      <c r="AH43" s="1"/>
      <c r="AI43" s="1"/>
      <c r="AJ43" s="1"/>
      <c r="AK43" s="1"/>
      <c r="AL43" s="1"/>
      <c r="AM43" s="1"/>
    </row>
    <row r="44" spans="16:39" x14ac:dyDescent="0.25">
      <c r="P44" s="49"/>
      <c r="Q44" s="1"/>
      <c r="S44" s="1"/>
      <c r="T44" s="1"/>
      <c r="U44" s="1"/>
      <c r="V44" s="1"/>
      <c r="W44" s="1"/>
      <c r="X44" s="1"/>
      <c r="Y44" s="1"/>
      <c r="AB44" s="1"/>
      <c r="AC44" s="1"/>
      <c r="AD44" s="1"/>
      <c r="AE44" s="1"/>
      <c r="AF44" s="1"/>
      <c r="AG44" s="1"/>
      <c r="AH44" s="1"/>
      <c r="AI44" s="1"/>
      <c r="AJ44" s="1"/>
      <c r="AK44" s="1"/>
      <c r="AL44" s="1"/>
      <c r="AM44" s="1"/>
    </row>
    <row r="45" spans="16:39" x14ac:dyDescent="0.25">
      <c r="P45" s="49"/>
      <c r="Q45" s="1"/>
      <c r="S45" s="1"/>
      <c r="T45" s="1"/>
      <c r="U45" s="1"/>
      <c r="V45" s="1"/>
      <c r="W45" s="1"/>
      <c r="X45" s="1"/>
      <c r="Y45" s="1"/>
      <c r="AB45" s="1"/>
      <c r="AC45" s="1"/>
      <c r="AD45" s="1"/>
      <c r="AE45" s="1"/>
      <c r="AF45" s="1"/>
      <c r="AG45" s="1"/>
      <c r="AH45" s="1"/>
      <c r="AI45" s="1"/>
      <c r="AJ45" s="1"/>
      <c r="AK45" s="1"/>
      <c r="AL45" s="1"/>
      <c r="AM45" s="1"/>
    </row>
    <row r="46" spans="16:39" x14ac:dyDescent="0.25">
      <c r="P46" s="49"/>
      <c r="Q46" s="1"/>
      <c r="S46" s="1"/>
      <c r="T46" s="1"/>
      <c r="U46" s="1"/>
      <c r="V46" s="1"/>
      <c r="W46" s="1"/>
      <c r="X46" s="1"/>
      <c r="Y46" s="1"/>
      <c r="AB46" s="1"/>
      <c r="AC46" s="1"/>
      <c r="AD46" s="1"/>
      <c r="AE46" s="1"/>
      <c r="AF46" s="1"/>
      <c r="AG46" s="1"/>
      <c r="AH46" s="1"/>
      <c r="AI46" s="1"/>
      <c r="AJ46" s="1"/>
      <c r="AK46" s="1"/>
      <c r="AL46" s="1"/>
      <c r="AM46" s="1"/>
    </row>
    <row r="47" spans="16:39" x14ac:dyDescent="0.25">
      <c r="P47" s="49"/>
      <c r="Q47" s="1"/>
      <c r="S47" s="1"/>
      <c r="T47" s="1"/>
      <c r="U47" s="1"/>
      <c r="V47" s="1"/>
      <c r="W47" s="1"/>
      <c r="X47" s="1"/>
      <c r="Y47" s="1"/>
      <c r="AB47" s="1"/>
      <c r="AC47" s="1"/>
      <c r="AD47" s="1"/>
      <c r="AE47" s="1"/>
      <c r="AF47" s="1"/>
      <c r="AG47" s="1"/>
      <c r="AH47" s="1"/>
      <c r="AI47" s="1"/>
      <c r="AJ47" s="1"/>
      <c r="AK47" s="1"/>
      <c r="AL47" s="1"/>
      <c r="AM47" s="1"/>
    </row>
    <row r="48" spans="16:39" x14ac:dyDescent="0.25">
      <c r="P48" s="49"/>
      <c r="Q48" s="1"/>
      <c r="S48" s="1"/>
      <c r="T48" s="1"/>
      <c r="U48" s="1"/>
      <c r="V48" s="1"/>
      <c r="W48" s="1"/>
      <c r="X48" s="1"/>
      <c r="Y48" s="1"/>
      <c r="AB48" s="1"/>
      <c r="AC48" s="1"/>
      <c r="AD48" s="1"/>
      <c r="AE48" s="1"/>
      <c r="AF48" s="1"/>
      <c r="AG48" s="1"/>
      <c r="AH48" s="1"/>
      <c r="AI48" s="1"/>
      <c r="AJ48" s="1"/>
      <c r="AK48" s="1"/>
      <c r="AL48" s="1"/>
      <c r="AM48" s="1"/>
    </row>
    <row r="49" spans="16:39" x14ac:dyDescent="0.25">
      <c r="P49" s="49"/>
      <c r="Q49" s="1"/>
      <c r="S49" s="1"/>
      <c r="T49" s="1"/>
      <c r="U49" s="1"/>
      <c r="V49" s="1"/>
      <c r="W49" s="1"/>
      <c r="X49" s="1"/>
      <c r="Y49" s="1"/>
      <c r="AB49" s="1"/>
      <c r="AC49" s="1"/>
      <c r="AD49" s="1"/>
      <c r="AE49" s="1"/>
      <c r="AF49" s="1"/>
      <c r="AG49" s="1"/>
      <c r="AH49" s="1"/>
      <c r="AI49" s="1"/>
      <c r="AJ49" s="1"/>
      <c r="AK49" s="1"/>
      <c r="AL49" s="1"/>
      <c r="AM49" s="1"/>
    </row>
    <row r="50" spans="16:39" x14ac:dyDescent="0.25">
      <c r="P50" s="49"/>
      <c r="Q50" s="1"/>
      <c r="S50" s="1"/>
      <c r="T50" s="1"/>
      <c r="U50" s="1"/>
      <c r="V50" s="1"/>
      <c r="W50" s="1"/>
      <c r="X50" s="1"/>
      <c r="Y50" s="1"/>
      <c r="AB50" s="1"/>
      <c r="AC50" s="1"/>
      <c r="AD50" s="1"/>
      <c r="AE50" s="1"/>
      <c r="AF50" s="1"/>
      <c r="AG50" s="1"/>
      <c r="AH50" s="1"/>
      <c r="AI50" s="1"/>
      <c r="AJ50" s="1"/>
      <c r="AK50" s="1"/>
      <c r="AL50" s="1"/>
      <c r="AM50" s="1"/>
    </row>
    <row r="51" spans="16:39" x14ac:dyDescent="0.25">
      <c r="P51" s="49"/>
      <c r="Q51" s="1"/>
      <c r="S51" s="1"/>
      <c r="T51" s="1"/>
      <c r="U51" s="1"/>
      <c r="V51" s="1"/>
      <c r="W51" s="1"/>
      <c r="X51" s="1"/>
      <c r="Y51" s="1"/>
      <c r="AB51" s="1"/>
      <c r="AC51" s="1"/>
      <c r="AD51" s="1"/>
      <c r="AE51" s="1"/>
      <c r="AF51" s="1"/>
      <c r="AG51" s="1"/>
      <c r="AH51" s="1"/>
      <c r="AI51" s="1"/>
      <c r="AJ51" s="1"/>
      <c r="AK51" s="1"/>
      <c r="AL51" s="1"/>
      <c r="AM51" s="1"/>
    </row>
    <row r="52" spans="16:39" x14ac:dyDescent="0.25">
      <c r="P52" s="49"/>
      <c r="Q52" s="1"/>
      <c r="S52" s="1"/>
      <c r="T52" s="1"/>
      <c r="U52" s="1"/>
      <c r="V52" s="1"/>
      <c r="W52" s="1"/>
      <c r="X52" s="1"/>
      <c r="Y52" s="1"/>
      <c r="AB52" s="1"/>
      <c r="AC52" s="1"/>
      <c r="AD52" s="1"/>
      <c r="AE52" s="1"/>
      <c r="AF52" s="1"/>
      <c r="AG52" s="1"/>
      <c r="AH52" s="1"/>
      <c r="AI52" s="1"/>
      <c r="AJ52" s="1"/>
      <c r="AK52" s="1"/>
      <c r="AL52" s="1"/>
      <c r="AM52" s="1"/>
    </row>
    <row r="53" spans="16:39" x14ac:dyDescent="0.25">
      <c r="P53" s="49"/>
      <c r="Q53" s="1"/>
      <c r="S53" s="1"/>
      <c r="T53" s="1"/>
      <c r="U53" s="1"/>
      <c r="V53" s="1"/>
      <c r="W53" s="1"/>
      <c r="X53" s="1"/>
      <c r="Y53" s="1"/>
      <c r="AB53" s="1"/>
      <c r="AC53" s="1"/>
      <c r="AD53" s="1"/>
      <c r="AE53" s="1"/>
      <c r="AF53" s="1"/>
      <c r="AG53" s="1"/>
      <c r="AH53" s="1"/>
      <c r="AI53" s="1"/>
      <c r="AJ53" s="1"/>
      <c r="AK53" s="1"/>
      <c r="AL53" s="1"/>
      <c r="AM53" s="1"/>
    </row>
    <row r="54" spans="16:39" x14ac:dyDescent="0.25">
      <c r="P54" s="49"/>
      <c r="Q54" s="1"/>
      <c r="S54" s="1"/>
      <c r="T54" s="1"/>
      <c r="U54" s="1"/>
      <c r="V54" s="1"/>
      <c r="W54" s="1"/>
      <c r="X54" s="1"/>
      <c r="Y54" s="1"/>
      <c r="AB54" s="1"/>
      <c r="AC54" s="1"/>
      <c r="AD54" s="1"/>
      <c r="AE54" s="1"/>
      <c r="AF54" s="1"/>
      <c r="AG54" s="1"/>
      <c r="AH54" s="1"/>
      <c r="AI54" s="1"/>
      <c r="AJ54" s="1"/>
      <c r="AK54" s="1"/>
      <c r="AL54" s="1"/>
      <c r="AM54" s="1"/>
    </row>
    <row r="55" spans="16:39" x14ac:dyDescent="0.25">
      <c r="P55" s="49"/>
      <c r="Q55" s="1"/>
      <c r="S55" s="1"/>
      <c r="T55" s="1"/>
      <c r="U55" s="1"/>
      <c r="V55" s="1"/>
      <c r="W55" s="1"/>
      <c r="X55" s="1"/>
      <c r="Y55" s="1"/>
      <c r="AB55" s="1"/>
      <c r="AC55" s="1"/>
      <c r="AD55" s="1"/>
      <c r="AE55" s="1"/>
      <c r="AF55" s="1"/>
      <c r="AG55" s="1"/>
      <c r="AH55" s="1"/>
      <c r="AI55" s="1"/>
      <c r="AJ55" s="1"/>
      <c r="AK55" s="1"/>
      <c r="AL55" s="1"/>
      <c r="AM55" s="1"/>
    </row>
    <row r="56" spans="16:39" x14ac:dyDescent="0.25">
      <c r="P56" s="49"/>
      <c r="Q56" s="1"/>
      <c r="S56" s="1"/>
      <c r="T56" s="1"/>
      <c r="U56" s="1"/>
      <c r="V56" s="1"/>
      <c r="W56" s="1"/>
      <c r="X56" s="1"/>
      <c r="Y56" s="1"/>
      <c r="AB56" s="1"/>
      <c r="AC56" s="1"/>
      <c r="AD56" s="1"/>
      <c r="AE56" s="1"/>
      <c r="AF56" s="1"/>
      <c r="AG56" s="1"/>
      <c r="AH56" s="1"/>
      <c r="AI56" s="1"/>
      <c r="AJ56" s="1"/>
      <c r="AK56" s="1"/>
      <c r="AL56" s="1"/>
      <c r="AM56" s="1"/>
    </row>
    <row r="57" spans="16:39" x14ac:dyDescent="0.25">
      <c r="P57" s="49"/>
      <c r="Q57" s="1"/>
      <c r="S57" s="1"/>
      <c r="T57" s="1"/>
      <c r="U57" s="1"/>
      <c r="V57" s="1"/>
      <c r="W57" s="1"/>
      <c r="X57" s="1"/>
      <c r="Y57" s="1"/>
      <c r="AB57" s="1"/>
      <c r="AC57" s="1"/>
      <c r="AD57" s="1"/>
      <c r="AE57" s="1"/>
      <c r="AF57" s="1"/>
      <c r="AG57" s="1"/>
      <c r="AH57" s="1"/>
      <c r="AI57" s="1"/>
      <c r="AJ57" s="1"/>
      <c r="AK57" s="1"/>
      <c r="AL57" s="1"/>
      <c r="AM57" s="1"/>
    </row>
    <row r="58" spans="16:39" x14ac:dyDescent="0.25">
      <c r="P58" s="49"/>
      <c r="Q58" s="1"/>
      <c r="S58" s="1"/>
      <c r="T58" s="1"/>
      <c r="U58" s="1"/>
      <c r="V58" s="1"/>
      <c r="W58" s="1"/>
      <c r="X58" s="1"/>
      <c r="Y58" s="1"/>
      <c r="AB58" s="1"/>
      <c r="AC58" s="1"/>
      <c r="AD58" s="1"/>
      <c r="AE58" s="1"/>
      <c r="AF58" s="1"/>
      <c r="AG58" s="1"/>
      <c r="AH58" s="1"/>
      <c r="AI58" s="1"/>
      <c r="AJ58" s="1"/>
      <c r="AK58" s="1"/>
      <c r="AL58" s="1"/>
      <c r="AM58" s="1"/>
    </row>
    <row r="59" spans="16:39" x14ac:dyDescent="0.25">
      <c r="P59" s="49"/>
      <c r="Q59" s="1"/>
      <c r="S59" s="1"/>
      <c r="T59" s="1"/>
      <c r="U59" s="1"/>
      <c r="V59" s="1"/>
      <c r="W59" s="1"/>
      <c r="X59" s="1"/>
      <c r="Y59" s="1"/>
      <c r="AB59" s="1"/>
      <c r="AC59" s="1"/>
      <c r="AD59" s="1"/>
      <c r="AE59" s="1"/>
      <c r="AF59" s="1"/>
      <c r="AG59" s="1"/>
      <c r="AH59" s="1"/>
      <c r="AI59" s="1"/>
      <c r="AJ59" s="1"/>
      <c r="AK59" s="1"/>
      <c r="AL59" s="1"/>
      <c r="AM59" s="1"/>
    </row>
    <row r="60" spans="16:39" x14ac:dyDescent="0.25">
      <c r="P60" s="49"/>
      <c r="Q60" s="1"/>
      <c r="S60" s="1"/>
      <c r="T60" s="1"/>
      <c r="U60" s="1"/>
      <c r="V60" s="1"/>
      <c r="W60" s="1"/>
      <c r="X60" s="1"/>
      <c r="Y60" s="1"/>
      <c r="AB60" s="1"/>
      <c r="AC60" s="1"/>
      <c r="AD60" s="1"/>
      <c r="AE60" s="1"/>
      <c r="AF60" s="1"/>
      <c r="AG60" s="1"/>
      <c r="AH60" s="1"/>
      <c r="AI60" s="1"/>
      <c r="AJ60" s="1"/>
      <c r="AK60" s="1"/>
      <c r="AL60" s="1"/>
      <c r="AM60" s="1"/>
    </row>
    <row r="61" spans="16:39" x14ac:dyDescent="0.25">
      <c r="P61" s="49"/>
      <c r="Q61" s="1"/>
      <c r="S61" s="1"/>
      <c r="T61" s="1"/>
      <c r="U61" s="1"/>
      <c r="V61" s="1"/>
      <c r="W61" s="1"/>
      <c r="X61" s="1"/>
      <c r="Y61" s="1"/>
      <c r="AB61" s="1"/>
      <c r="AC61" s="1"/>
      <c r="AD61" s="1"/>
      <c r="AE61" s="1"/>
      <c r="AF61" s="1"/>
      <c r="AG61" s="1"/>
      <c r="AH61" s="1"/>
      <c r="AI61" s="1"/>
      <c r="AJ61" s="1"/>
      <c r="AK61" s="1"/>
      <c r="AL61" s="1"/>
      <c r="AM61" s="1"/>
    </row>
    <row r="62" spans="16:39" x14ac:dyDescent="0.25">
      <c r="P62" s="49"/>
      <c r="Q62" s="1"/>
      <c r="S62" s="1"/>
      <c r="T62" s="1"/>
      <c r="U62" s="1"/>
      <c r="V62" s="1"/>
      <c r="W62" s="1"/>
      <c r="X62" s="1"/>
      <c r="Y62" s="1"/>
      <c r="AB62" s="1"/>
      <c r="AC62" s="1"/>
      <c r="AD62" s="1"/>
      <c r="AE62" s="1"/>
      <c r="AF62" s="1"/>
      <c r="AG62" s="1"/>
      <c r="AH62" s="1"/>
      <c r="AI62" s="1"/>
      <c r="AJ62" s="1"/>
      <c r="AK62" s="1"/>
      <c r="AL62" s="1"/>
      <c r="AM62" s="1"/>
    </row>
    <row r="63" spans="16:39" x14ac:dyDescent="0.25">
      <c r="P63" s="49"/>
      <c r="Q63" s="1"/>
      <c r="S63" s="1"/>
      <c r="T63" s="1"/>
      <c r="U63" s="1"/>
      <c r="V63" s="1"/>
      <c r="W63" s="1"/>
      <c r="X63" s="1"/>
      <c r="Y63" s="1"/>
      <c r="AB63" s="1"/>
      <c r="AC63" s="1"/>
      <c r="AD63" s="1"/>
      <c r="AE63" s="1"/>
      <c r="AF63" s="1"/>
      <c r="AG63" s="1"/>
      <c r="AH63" s="1"/>
      <c r="AI63" s="1"/>
      <c r="AJ63" s="1"/>
      <c r="AK63" s="1"/>
      <c r="AL63" s="1"/>
      <c r="AM63" s="1"/>
    </row>
    <row r="64" spans="16:39" x14ac:dyDescent="0.25">
      <c r="P64" s="49"/>
      <c r="Q64" s="1"/>
      <c r="S64" s="1"/>
      <c r="T64" s="1"/>
      <c r="U64" s="1"/>
      <c r="V64" s="1"/>
      <c r="W64" s="1"/>
      <c r="X64" s="1"/>
      <c r="Y64" s="1"/>
      <c r="AB64" s="1"/>
      <c r="AC64" s="1"/>
      <c r="AD64" s="1"/>
      <c r="AE64" s="1"/>
      <c r="AF64" s="1"/>
      <c r="AG64" s="1"/>
      <c r="AH64" s="1"/>
      <c r="AI64" s="1"/>
      <c r="AJ64" s="1"/>
      <c r="AK64" s="1"/>
      <c r="AL64" s="1"/>
      <c r="AM64" s="1"/>
    </row>
    <row r="65" spans="16:39" x14ac:dyDescent="0.25">
      <c r="P65" s="49"/>
      <c r="Q65" s="1"/>
      <c r="S65" s="1"/>
      <c r="T65" s="1"/>
      <c r="U65" s="1"/>
      <c r="V65" s="1"/>
      <c r="W65" s="1"/>
      <c r="X65" s="1"/>
      <c r="Y65" s="1"/>
      <c r="AB65" s="1"/>
      <c r="AC65" s="1"/>
      <c r="AD65" s="1"/>
      <c r="AE65" s="1"/>
      <c r="AF65" s="1"/>
      <c r="AG65" s="1"/>
      <c r="AH65" s="1"/>
      <c r="AI65" s="1"/>
      <c r="AJ65" s="1"/>
      <c r="AK65" s="1"/>
      <c r="AL65" s="1"/>
      <c r="AM65" s="1"/>
    </row>
    <row r="66" spans="16:39" x14ac:dyDescent="0.25">
      <c r="P66" s="49"/>
      <c r="Q66" s="1"/>
      <c r="S66" s="1"/>
      <c r="T66" s="1"/>
      <c r="U66" s="1"/>
      <c r="V66" s="1"/>
      <c r="W66" s="1"/>
      <c r="X66" s="1"/>
      <c r="Y66" s="1"/>
      <c r="AB66" s="1"/>
      <c r="AC66" s="1"/>
      <c r="AD66" s="1"/>
      <c r="AE66" s="1"/>
      <c r="AF66" s="1"/>
      <c r="AG66" s="1"/>
      <c r="AH66" s="1"/>
      <c r="AI66" s="1"/>
      <c r="AJ66" s="1"/>
      <c r="AK66" s="1"/>
      <c r="AL66" s="1"/>
      <c r="AM66" s="1"/>
    </row>
    <row r="67" spans="16:39" x14ac:dyDescent="0.25">
      <c r="P67" s="49"/>
      <c r="Q67" s="1"/>
      <c r="S67" s="1"/>
      <c r="T67" s="1"/>
      <c r="U67" s="1"/>
      <c r="V67" s="1"/>
      <c r="W67" s="1"/>
      <c r="X67" s="1"/>
      <c r="Y67" s="1"/>
      <c r="AB67" s="1"/>
      <c r="AC67" s="1"/>
      <c r="AD67" s="1"/>
      <c r="AE67" s="1"/>
      <c r="AF67" s="1"/>
      <c r="AG67" s="1"/>
      <c r="AH67" s="1"/>
      <c r="AI67" s="1"/>
      <c r="AJ67" s="1"/>
      <c r="AK67" s="1"/>
      <c r="AL67" s="1"/>
      <c r="AM67" s="1"/>
    </row>
    <row r="68" spans="16:39" x14ac:dyDescent="0.25">
      <c r="P68" s="49"/>
      <c r="Q68" s="1"/>
      <c r="S68" s="1"/>
      <c r="T68" s="1"/>
      <c r="U68" s="1"/>
      <c r="V68" s="1"/>
      <c r="W68" s="1"/>
      <c r="X68" s="1"/>
      <c r="Y68" s="1"/>
      <c r="AB68" s="1"/>
      <c r="AC68" s="1"/>
      <c r="AD68" s="1"/>
      <c r="AE68" s="1"/>
      <c r="AF68" s="1"/>
      <c r="AG68" s="1"/>
      <c r="AH68" s="1"/>
      <c r="AI68" s="1"/>
      <c r="AJ68" s="1"/>
      <c r="AK68" s="1"/>
      <c r="AL68" s="1"/>
      <c r="AM68" s="1"/>
    </row>
    <row r="69" spans="16:39" x14ac:dyDescent="0.25">
      <c r="P69" s="49"/>
      <c r="Q69" s="1"/>
      <c r="S69" s="1"/>
      <c r="T69" s="1"/>
      <c r="U69" s="1"/>
      <c r="V69" s="1"/>
      <c r="W69" s="1"/>
      <c r="X69" s="1"/>
      <c r="Y69" s="1"/>
      <c r="AB69" s="1"/>
      <c r="AC69" s="1"/>
      <c r="AD69" s="1"/>
      <c r="AE69" s="1"/>
      <c r="AF69" s="1"/>
      <c r="AG69" s="1"/>
      <c r="AH69" s="1"/>
      <c r="AI69" s="1"/>
      <c r="AJ69" s="1"/>
      <c r="AK69" s="1"/>
      <c r="AL69" s="1"/>
      <c r="AM69" s="1"/>
    </row>
    <row r="70" spans="16:39" x14ac:dyDescent="0.25">
      <c r="P70" s="49"/>
      <c r="Q70" s="1"/>
      <c r="S70" s="1"/>
      <c r="T70" s="1"/>
      <c r="U70" s="1"/>
      <c r="V70" s="1"/>
      <c r="W70" s="1"/>
      <c r="X70" s="1"/>
      <c r="Y70" s="1"/>
      <c r="AB70" s="1"/>
      <c r="AC70" s="1"/>
      <c r="AD70" s="1"/>
      <c r="AE70" s="1"/>
      <c r="AF70" s="1"/>
      <c r="AG70" s="1"/>
      <c r="AH70" s="1"/>
      <c r="AI70" s="1"/>
      <c r="AJ70" s="1"/>
      <c r="AK70" s="1"/>
      <c r="AL70" s="1"/>
      <c r="AM70" s="1"/>
    </row>
    <row r="71" spans="16:39" x14ac:dyDescent="0.25">
      <c r="P71" s="49"/>
      <c r="Q71" s="1"/>
      <c r="S71" s="1"/>
      <c r="T71" s="1"/>
      <c r="U71" s="1"/>
      <c r="V71" s="1"/>
      <c r="W71" s="1"/>
      <c r="X71" s="1"/>
      <c r="Y71" s="1"/>
      <c r="AB71" s="1"/>
      <c r="AC71" s="1"/>
      <c r="AD71" s="1"/>
      <c r="AE71" s="1"/>
      <c r="AF71" s="1"/>
      <c r="AG71" s="1"/>
      <c r="AH71" s="1"/>
      <c r="AI71" s="1"/>
      <c r="AJ71" s="1"/>
      <c r="AK71" s="1"/>
      <c r="AL71" s="1"/>
      <c r="AM71" s="1"/>
    </row>
    <row r="72" spans="16:39" x14ac:dyDescent="0.25">
      <c r="P72" s="49"/>
      <c r="Q72" s="1"/>
      <c r="S72" s="1"/>
      <c r="T72" s="1"/>
      <c r="U72" s="1"/>
      <c r="V72" s="1"/>
      <c r="W72" s="1"/>
      <c r="X72" s="1"/>
      <c r="Y72" s="1"/>
      <c r="AB72" s="1"/>
      <c r="AC72" s="1"/>
      <c r="AD72" s="1"/>
      <c r="AE72" s="1"/>
      <c r="AF72" s="1"/>
      <c r="AG72" s="1"/>
      <c r="AH72" s="1"/>
      <c r="AI72" s="1"/>
      <c r="AJ72" s="1"/>
      <c r="AK72" s="1"/>
      <c r="AL72" s="1"/>
      <c r="AM72" s="1"/>
    </row>
    <row r="73" spans="16:39" x14ac:dyDescent="0.25">
      <c r="P73" s="49"/>
      <c r="Q73" s="1"/>
      <c r="S73" s="1"/>
      <c r="T73" s="1"/>
      <c r="U73" s="1"/>
      <c r="V73" s="1"/>
      <c r="W73" s="1"/>
      <c r="X73" s="1"/>
      <c r="Y73" s="1"/>
      <c r="AB73" s="1"/>
      <c r="AC73" s="1"/>
      <c r="AD73" s="1"/>
      <c r="AE73" s="1"/>
      <c r="AF73" s="1"/>
      <c r="AG73" s="1"/>
      <c r="AH73" s="1"/>
      <c r="AI73" s="1"/>
      <c r="AJ73" s="1"/>
      <c r="AK73" s="1"/>
      <c r="AL73" s="1"/>
      <c r="AM73" s="1"/>
    </row>
    <row r="74" spans="16:39" x14ac:dyDescent="0.25">
      <c r="P74" s="49"/>
      <c r="Q74" s="1"/>
      <c r="S74" s="1"/>
      <c r="T74" s="1"/>
      <c r="U74" s="1"/>
      <c r="V74" s="1"/>
      <c r="W74" s="1"/>
      <c r="X74" s="1"/>
      <c r="Y74" s="1"/>
      <c r="AB74" s="1"/>
      <c r="AC74" s="1"/>
      <c r="AD74" s="1"/>
      <c r="AE74" s="1"/>
      <c r="AF74" s="1"/>
      <c r="AG74" s="1"/>
      <c r="AH74" s="1"/>
      <c r="AI74" s="1"/>
      <c r="AJ74" s="1"/>
      <c r="AK74" s="1"/>
      <c r="AL74" s="1"/>
      <c r="AM74" s="1"/>
    </row>
    <row r="75" spans="16:39" x14ac:dyDescent="0.25">
      <c r="P75" s="49"/>
      <c r="Q75" s="1"/>
      <c r="S75" s="1"/>
      <c r="T75" s="1"/>
      <c r="U75" s="1"/>
      <c r="V75" s="1"/>
      <c r="W75" s="1"/>
      <c r="X75" s="1"/>
      <c r="Y75" s="1"/>
      <c r="AB75" s="1"/>
      <c r="AC75" s="1"/>
      <c r="AD75" s="1"/>
      <c r="AE75" s="1"/>
      <c r="AF75" s="1"/>
      <c r="AG75" s="1"/>
      <c r="AH75" s="1"/>
      <c r="AI75" s="1"/>
      <c r="AJ75" s="1"/>
      <c r="AK75" s="1"/>
      <c r="AL75" s="1"/>
      <c r="AM75" s="1"/>
    </row>
    <row r="76" spans="16:39" x14ac:dyDescent="0.25">
      <c r="P76" s="49"/>
      <c r="Q76" s="1"/>
      <c r="S76" s="1"/>
      <c r="T76" s="1"/>
      <c r="U76" s="1"/>
      <c r="V76" s="1"/>
      <c r="W76" s="1"/>
      <c r="X76" s="1"/>
      <c r="Y76" s="1"/>
      <c r="AB76" s="1"/>
      <c r="AC76" s="1"/>
      <c r="AD76" s="1"/>
      <c r="AE76" s="1"/>
      <c r="AF76" s="1"/>
      <c r="AG76" s="1"/>
      <c r="AH76" s="1"/>
      <c r="AI76" s="1"/>
      <c r="AJ76" s="1"/>
      <c r="AK76" s="1"/>
      <c r="AL76" s="1"/>
      <c r="AM76" s="1"/>
    </row>
    <row r="77" spans="16:39" x14ac:dyDescent="0.25">
      <c r="P77" s="49"/>
      <c r="Q77" s="1"/>
      <c r="S77" s="1"/>
      <c r="T77" s="1"/>
      <c r="U77" s="1"/>
      <c r="V77" s="1"/>
      <c r="W77" s="1"/>
      <c r="X77" s="1"/>
      <c r="Y77" s="1"/>
      <c r="AB77" s="1"/>
      <c r="AC77" s="1"/>
      <c r="AD77" s="1"/>
      <c r="AE77" s="1"/>
      <c r="AF77" s="1"/>
      <c r="AG77" s="1"/>
      <c r="AH77" s="1"/>
      <c r="AI77" s="1"/>
      <c r="AJ77" s="1"/>
      <c r="AK77" s="1"/>
      <c r="AL77" s="1"/>
      <c r="AM77" s="1"/>
    </row>
    <row r="78" spans="16:39" x14ac:dyDescent="0.25">
      <c r="P78" s="49"/>
      <c r="Q78" s="1"/>
      <c r="S78" s="1"/>
      <c r="T78" s="1"/>
      <c r="U78" s="1"/>
      <c r="V78" s="1"/>
      <c r="W78" s="1"/>
      <c r="X78" s="1"/>
      <c r="Y78" s="1"/>
      <c r="AB78" s="1"/>
      <c r="AC78" s="1"/>
      <c r="AD78" s="1"/>
      <c r="AE78" s="1"/>
      <c r="AF78" s="1"/>
      <c r="AG78" s="1"/>
      <c r="AH78" s="1"/>
      <c r="AI78" s="1"/>
      <c r="AJ78" s="1"/>
      <c r="AK78" s="1"/>
      <c r="AL78" s="1"/>
      <c r="AM78" s="1"/>
    </row>
    <row r="79" spans="16:39" x14ac:dyDescent="0.25">
      <c r="P79" s="49"/>
      <c r="Q79" s="1"/>
      <c r="S79" s="1"/>
      <c r="T79" s="1"/>
      <c r="U79" s="1"/>
      <c r="V79" s="1"/>
      <c r="W79" s="1"/>
      <c r="X79" s="1"/>
      <c r="Y79" s="1"/>
      <c r="AB79" s="1"/>
      <c r="AC79" s="1"/>
      <c r="AD79" s="1"/>
      <c r="AE79" s="1"/>
      <c r="AF79" s="1"/>
      <c r="AG79" s="1"/>
      <c r="AH79" s="1"/>
      <c r="AI79" s="1"/>
      <c r="AJ79" s="1"/>
      <c r="AK79" s="1"/>
      <c r="AL79" s="1"/>
      <c r="AM79" s="1"/>
    </row>
    <row r="80" spans="16:39" x14ac:dyDescent="0.25">
      <c r="P80" s="49"/>
      <c r="Q80" s="1"/>
      <c r="S80" s="1"/>
      <c r="T80" s="1"/>
      <c r="U80" s="1"/>
      <c r="V80" s="1"/>
      <c r="W80" s="1"/>
      <c r="X80" s="1"/>
      <c r="Y80" s="1"/>
      <c r="AB80" s="1"/>
      <c r="AC80" s="1"/>
      <c r="AD80" s="1"/>
      <c r="AE80" s="1"/>
      <c r="AF80" s="1"/>
      <c r="AG80" s="1"/>
      <c r="AH80" s="1"/>
      <c r="AI80" s="1"/>
      <c r="AJ80" s="1"/>
      <c r="AK80" s="1"/>
      <c r="AL80" s="1"/>
      <c r="AM80" s="1"/>
    </row>
    <row r="81" spans="16:39" x14ac:dyDescent="0.25">
      <c r="P81" s="49"/>
      <c r="Q81" s="1"/>
      <c r="S81" s="1"/>
      <c r="T81" s="1"/>
      <c r="U81" s="1"/>
      <c r="V81" s="1"/>
      <c r="W81" s="1"/>
      <c r="X81" s="1"/>
      <c r="Y81" s="1"/>
      <c r="AB81" s="1"/>
      <c r="AC81" s="1"/>
      <c r="AD81" s="1"/>
      <c r="AE81" s="1"/>
      <c r="AF81" s="1"/>
      <c r="AG81" s="1"/>
      <c r="AH81" s="1"/>
      <c r="AI81" s="1"/>
      <c r="AJ81" s="1"/>
      <c r="AK81" s="1"/>
      <c r="AL81" s="1"/>
      <c r="AM81" s="1"/>
    </row>
    <row r="82" spans="16:39" x14ac:dyDescent="0.25">
      <c r="P82" s="49"/>
      <c r="Q82" s="1"/>
      <c r="S82" s="1"/>
      <c r="T82" s="1"/>
      <c r="U82" s="1"/>
      <c r="V82" s="1"/>
      <c r="W82" s="1"/>
      <c r="X82" s="1"/>
      <c r="Y82" s="1"/>
      <c r="AB82" s="1"/>
      <c r="AC82" s="1"/>
      <c r="AD82" s="1"/>
      <c r="AE82" s="1"/>
      <c r="AF82" s="1"/>
      <c r="AG82" s="1"/>
      <c r="AH82" s="1"/>
      <c r="AI82" s="1"/>
      <c r="AJ82" s="1"/>
      <c r="AK82" s="1"/>
      <c r="AL82" s="1"/>
      <c r="AM82" s="1"/>
    </row>
    <row r="83" spans="16:39" x14ac:dyDescent="0.25">
      <c r="P83" s="49"/>
      <c r="Q83" s="1"/>
      <c r="S83" s="1"/>
      <c r="T83" s="1"/>
      <c r="U83" s="1"/>
      <c r="V83" s="1"/>
      <c r="W83" s="1"/>
      <c r="X83" s="1"/>
      <c r="Y83" s="1"/>
      <c r="AB83" s="1"/>
      <c r="AC83" s="1"/>
      <c r="AD83" s="1"/>
      <c r="AE83" s="1"/>
      <c r="AF83" s="1"/>
      <c r="AG83" s="1"/>
      <c r="AH83" s="1"/>
      <c r="AI83" s="1"/>
      <c r="AJ83" s="1"/>
      <c r="AK83" s="1"/>
      <c r="AL83" s="1"/>
      <c r="AM83" s="1"/>
    </row>
    <row r="84" spans="16:39" x14ac:dyDescent="0.25">
      <c r="P84" s="49"/>
      <c r="Q84" s="1"/>
      <c r="S84" s="1"/>
      <c r="T84" s="1"/>
      <c r="U84" s="1"/>
      <c r="V84" s="1"/>
      <c r="W84" s="1"/>
      <c r="X84" s="1"/>
      <c r="Y84" s="1"/>
      <c r="AB84" s="1"/>
      <c r="AC84" s="1"/>
      <c r="AD84" s="1"/>
      <c r="AE84" s="1"/>
      <c r="AF84" s="1"/>
      <c r="AG84" s="1"/>
      <c r="AH84" s="1"/>
      <c r="AI84" s="1"/>
      <c r="AJ84" s="1"/>
      <c r="AK84" s="1"/>
      <c r="AL84" s="1"/>
      <c r="AM84" s="1"/>
    </row>
    <row r="85" spans="16:39" x14ac:dyDescent="0.25">
      <c r="P85" s="49"/>
      <c r="Q85" s="1"/>
      <c r="S85" s="1"/>
      <c r="T85" s="1"/>
      <c r="U85" s="1"/>
      <c r="V85" s="1"/>
      <c r="W85" s="1"/>
      <c r="X85" s="1"/>
      <c r="Y85" s="1"/>
      <c r="AB85" s="1"/>
      <c r="AC85" s="1"/>
      <c r="AD85" s="1"/>
      <c r="AE85" s="1"/>
      <c r="AF85" s="1"/>
      <c r="AG85" s="1"/>
      <c r="AH85" s="1"/>
      <c r="AI85" s="1"/>
      <c r="AJ85" s="1"/>
      <c r="AK85" s="1"/>
      <c r="AL85" s="1"/>
      <c r="AM85" s="1"/>
    </row>
    <row r="86" spans="16:39" x14ac:dyDescent="0.25">
      <c r="P86" s="49"/>
      <c r="Q86" s="1"/>
      <c r="S86" s="1"/>
      <c r="T86" s="1"/>
      <c r="U86" s="1"/>
      <c r="V86" s="1"/>
      <c r="W86" s="1"/>
      <c r="X86" s="1"/>
      <c r="Y86" s="1"/>
      <c r="AB86" s="1"/>
      <c r="AC86" s="1"/>
      <c r="AD86" s="1"/>
      <c r="AE86" s="1"/>
      <c r="AF86" s="1"/>
      <c r="AG86" s="1"/>
      <c r="AH86" s="1"/>
      <c r="AI86" s="1"/>
      <c r="AJ86" s="1"/>
      <c r="AK86" s="1"/>
      <c r="AL86" s="1"/>
      <c r="AM86" s="1"/>
    </row>
    <row r="87" spans="16:39" x14ac:dyDescent="0.25">
      <c r="P87" s="49"/>
      <c r="Q87" s="1"/>
      <c r="S87" s="1"/>
      <c r="T87" s="1"/>
      <c r="U87" s="1"/>
      <c r="V87" s="1"/>
      <c r="W87" s="1"/>
      <c r="X87" s="1"/>
      <c r="Y87" s="1"/>
      <c r="AB87" s="1"/>
      <c r="AC87" s="1"/>
      <c r="AD87" s="1"/>
      <c r="AE87" s="1"/>
      <c r="AF87" s="1"/>
      <c r="AG87" s="1"/>
      <c r="AH87" s="1"/>
      <c r="AI87" s="1"/>
      <c r="AJ87" s="1"/>
      <c r="AK87" s="1"/>
      <c r="AL87" s="1"/>
      <c r="AM87" s="1"/>
    </row>
    <row r="88" spans="16:39" x14ac:dyDescent="0.25">
      <c r="P88" s="49"/>
      <c r="Q88" s="1"/>
      <c r="S88" s="1"/>
      <c r="T88" s="1"/>
      <c r="U88" s="1"/>
      <c r="V88" s="1"/>
      <c r="W88" s="1"/>
      <c r="X88" s="1"/>
      <c r="Y88" s="1"/>
      <c r="AB88" s="1"/>
      <c r="AC88" s="1"/>
      <c r="AD88" s="1"/>
      <c r="AE88" s="1"/>
      <c r="AF88" s="1"/>
      <c r="AG88" s="1"/>
      <c r="AH88" s="1"/>
      <c r="AI88" s="1"/>
      <c r="AJ88" s="1"/>
      <c r="AK88" s="1"/>
      <c r="AL88" s="1"/>
      <c r="AM88" s="1"/>
    </row>
    <row r="89" spans="16:39" x14ac:dyDescent="0.25">
      <c r="P89" s="49"/>
      <c r="Q89" s="1"/>
      <c r="S89" s="1"/>
      <c r="T89" s="1"/>
      <c r="U89" s="1"/>
      <c r="V89" s="1"/>
      <c r="W89" s="1"/>
      <c r="X89" s="1"/>
      <c r="Y89" s="1"/>
      <c r="AB89" s="1"/>
      <c r="AC89" s="1"/>
      <c r="AD89" s="1"/>
      <c r="AE89" s="1"/>
      <c r="AF89" s="1"/>
      <c r="AG89" s="1"/>
      <c r="AH89" s="1"/>
      <c r="AI89" s="1"/>
      <c r="AJ89" s="1"/>
      <c r="AK89" s="1"/>
      <c r="AL89" s="1"/>
      <c r="AM89" s="1"/>
    </row>
    <row r="90" spans="16:39" x14ac:dyDescent="0.25">
      <c r="P90" s="49"/>
      <c r="Q90" s="1"/>
      <c r="S90" s="1"/>
      <c r="T90" s="1"/>
      <c r="U90" s="1"/>
      <c r="V90" s="1"/>
      <c r="W90" s="1"/>
      <c r="X90" s="1"/>
      <c r="Y90" s="1"/>
      <c r="AB90" s="1"/>
      <c r="AC90" s="1"/>
      <c r="AD90" s="1"/>
      <c r="AE90" s="1"/>
      <c r="AF90" s="1"/>
      <c r="AG90" s="1"/>
      <c r="AH90" s="1"/>
      <c r="AI90" s="1"/>
      <c r="AJ90" s="1"/>
      <c r="AK90" s="1"/>
      <c r="AL90" s="1"/>
      <c r="AM90" s="1"/>
    </row>
    <row r="91" spans="16:39" x14ac:dyDescent="0.25">
      <c r="P91" s="49"/>
      <c r="Q91" s="1"/>
      <c r="S91" s="1"/>
      <c r="T91" s="1"/>
      <c r="U91" s="1"/>
      <c r="V91" s="1"/>
      <c r="W91" s="1"/>
      <c r="X91" s="1"/>
      <c r="Y91" s="1"/>
      <c r="AB91" s="1"/>
      <c r="AC91" s="1"/>
      <c r="AD91" s="1"/>
      <c r="AE91" s="1"/>
      <c r="AF91" s="1"/>
      <c r="AG91" s="1"/>
      <c r="AH91" s="1"/>
      <c r="AI91" s="1"/>
      <c r="AJ91" s="1"/>
      <c r="AK91" s="1"/>
      <c r="AL91" s="1"/>
      <c r="AM91" s="1"/>
    </row>
    <row r="92" spans="16:39" x14ac:dyDescent="0.25">
      <c r="P92" s="49"/>
      <c r="Q92" s="1"/>
      <c r="S92" s="1"/>
      <c r="T92" s="1"/>
      <c r="U92" s="1"/>
      <c r="V92" s="1"/>
      <c r="W92" s="1"/>
      <c r="X92" s="1"/>
      <c r="Y92" s="1"/>
      <c r="AB92" s="1"/>
      <c r="AC92" s="1"/>
      <c r="AD92" s="1"/>
      <c r="AE92" s="1"/>
      <c r="AF92" s="1"/>
      <c r="AG92" s="1"/>
      <c r="AH92" s="1"/>
      <c r="AI92" s="1"/>
      <c r="AJ92" s="1"/>
      <c r="AK92" s="1"/>
      <c r="AL92" s="1"/>
      <c r="AM92" s="1"/>
    </row>
    <row r="93" spans="16:39" x14ac:dyDescent="0.25">
      <c r="P93" s="49"/>
      <c r="Q93" s="1"/>
      <c r="S93" s="1"/>
      <c r="T93" s="1"/>
      <c r="U93" s="1"/>
      <c r="V93" s="1"/>
      <c r="W93" s="1"/>
      <c r="X93" s="1"/>
      <c r="Y93" s="1"/>
      <c r="AB93" s="1"/>
      <c r="AC93" s="1"/>
      <c r="AD93" s="1"/>
      <c r="AE93" s="1"/>
      <c r="AF93" s="1"/>
      <c r="AG93" s="1"/>
      <c r="AH93" s="1"/>
      <c r="AI93" s="1"/>
      <c r="AJ93" s="1"/>
      <c r="AK93" s="1"/>
      <c r="AL93" s="1"/>
      <c r="AM93" s="1"/>
    </row>
    <row r="94" spans="16:39" x14ac:dyDescent="0.25">
      <c r="P94" s="49"/>
      <c r="Q94" s="1"/>
      <c r="S94" s="1"/>
      <c r="T94" s="1"/>
      <c r="U94" s="1"/>
      <c r="V94" s="1"/>
      <c r="W94" s="1"/>
      <c r="X94" s="1"/>
      <c r="Y94" s="1"/>
      <c r="AB94" s="1"/>
      <c r="AC94" s="1"/>
      <c r="AD94" s="1"/>
      <c r="AE94" s="1"/>
      <c r="AF94" s="1"/>
      <c r="AG94" s="1"/>
      <c r="AH94" s="1"/>
      <c r="AI94" s="1"/>
      <c r="AJ94" s="1"/>
      <c r="AK94" s="1"/>
      <c r="AL94" s="1"/>
      <c r="AM94" s="1"/>
    </row>
    <row r="95" spans="16:39" x14ac:dyDescent="0.25">
      <c r="P95" s="49"/>
      <c r="Q95" s="1"/>
      <c r="S95" s="1"/>
      <c r="T95" s="1"/>
      <c r="U95" s="1"/>
      <c r="V95" s="1"/>
      <c r="W95" s="1"/>
      <c r="X95" s="1"/>
      <c r="Y95" s="1"/>
      <c r="AB95" s="1"/>
      <c r="AC95" s="1"/>
      <c r="AD95" s="1"/>
      <c r="AE95" s="1"/>
      <c r="AF95" s="1"/>
      <c r="AG95" s="1"/>
      <c r="AH95" s="1"/>
      <c r="AI95" s="1"/>
      <c r="AJ95" s="1"/>
      <c r="AK95" s="1"/>
      <c r="AL95" s="1"/>
      <c r="AM95" s="1"/>
    </row>
    <row r="96" spans="16:39" x14ac:dyDescent="0.25">
      <c r="P96" s="49"/>
      <c r="Q96" s="1"/>
      <c r="S96" s="1"/>
      <c r="T96" s="1"/>
      <c r="U96" s="1"/>
      <c r="V96" s="1"/>
      <c r="W96" s="1"/>
      <c r="X96" s="1"/>
      <c r="Y96" s="1"/>
      <c r="AB96" s="1"/>
      <c r="AC96" s="1"/>
      <c r="AD96" s="1"/>
      <c r="AE96" s="1"/>
      <c r="AF96" s="1"/>
      <c r="AG96" s="1"/>
      <c r="AH96" s="1"/>
      <c r="AI96" s="1"/>
      <c r="AJ96" s="1"/>
      <c r="AK96" s="1"/>
      <c r="AL96" s="1"/>
      <c r="AM96" s="1"/>
    </row>
    <row r="97" spans="16:39" x14ac:dyDescent="0.25">
      <c r="P97" s="49"/>
      <c r="Q97" s="1"/>
      <c r="S97" s="1"/>
      <c r="T97" s="1"/>
      <c r="U97" s="1"/>
      <c r="V97" s="1"/>
      <c r="W97" s="1"/>
      <c r="X97" s="1"/>
      <c r="Y97" s="1"/>
      <c r="AB97" s="1"/>
      <c r="AC97" s="1"/>
      <c r="AD97" s="1"/>
      <c r="AE97" s="1"/>
      <c r="AF97" s="1"/>
      <c r="AG97" s="1"/>
      <c r="AH97" s="1"/>
      <c r="AI97" s="1"/>
      <c r="AJ97" s="1"/>
      <c r="AK97" s="1"/>
      <c r="AL97" s="1"/>
      <c r="AM97" s="1"/>
    </row>
    <row r="98" spans="16:39" x14ac:dyDescent="0.25">
      <c r="P98" s="49"/>
      <c r="Q98" s="1"/>
      <c r="S98" s="1"/>
      <c r="T98" s="1"/>
      <c r="U98" s="1"/>
      <c r="V98" s="1"/>
      <c r="W98" s="1"/>
      <c r="X98" s="1"/>
      <c r="Y98" s="1"/>
      <c r="AB98" s="1"/>
      <c r="AC98" s="1"/>
      <c r="AD98" s="1"/>
      <c r="AE98" s="1"/>
      <c r="AF98" s="1"/>
      <c r="AG98" s="1"/>
      <c r="AH98" s="1"/>
      <c r="AI98" s="1"/>
      <c r="AJ98" s="1"/>
      <c r="AK98" s="1"/>
      <c r="AL98" s="1"/>
      <c r="AM98" s="1"/>
    </row>
    <row r="99" spans="16:39" x14ac:dyDescent="0.25">
      <c r="P99" s="49"/>
      <c r="Q99" s="1"/>
      <c r="S99" s="1"/>
      <c r="T99" s="1"/>
      <c r="U99" s="1"/>
      <c r="V99" s="1"/>
      <c r="W99" s="1"/>
      <c r="X99" s="1"/>
      <c r="Y99" s="1"/>
      <c r="AB99" s="1"/>
      <c r="AC99" s="1"/>
      <c r="AD99" s="1"/>
      <c r="AE99" s="1"/>
      <c r="AF99" s="1"/>
      <c r="AG99" s="1"/>
      <c r="AH99" s="1"/>
      <c r="AI99" s="1"/>
      <c r="AJ99" s="1"/>
      <c r="AK99" s="1"/>
      <c r="AL99" s="1"/>
      <c r="AM99" s="1"/>
    </row>
    <row r="100" spans="16:39" x14ac:dyDescent="0.25">
      <c r="P100" s="49"/>
      <c r="Q100" s="1"/>
      <c r="S100" s="1"/>
      <c r="T100" s="1"/>
      <c r="U100" s="1"/>
      <c r="V100" s="1"/>
      <c r="W100" s="1"/>
      <c r="X100" s="1"/>
      <c r="Y100" s="1"/>
      <c r="AB100" s="1"/>
      <c r="AC100" s="1"/>
      <c r="AD100" s="1"/>
      <c r="AE100" s="1"/>
      <c r="AF100" s="1"/>
      <c r="AG100" s="1"/>
      <c r="AH100" s="1"/>
      <c r="AI100" s="1"/>
      <c r="AJ100" s="1"/>
      <c r="AK100" s="1"/>
      <c r="AL100" s="1"/>
      <c r="AM100" s="1"/>
    </row>
    <row r="101" spans="16:39" x14ac:dyDescent="0.25">
      <c r="P101" s="49"/>
      <c r="Q101" s="1"/>
      <c r="S101" s="1"/>
      <c r="T101" s="1"/>
      <c r="U101" s="1"/>
      <c r="V101" s="1"/>
      <c r="W101" s="1"/>
      <c r="X101" s="1"/>
      <c r="Y101" s="1"/>
      <c r="AB101" s="1"/>
      <c r="AC101" s="1"/>
      <c r="AD101" s="1"/>
      <c r="AE101" s="1"/>
      <c r="AF101" s="1"/>
      <c r="AG101" s="1"/>
      <c r="AH101" s="1"/>
      <c r="AI101" s="1"/>
      <c r="AJ101" s="1"/>
      <c r="AK101" s="1"/>
      <c r="AL101" s="1"/>
      <c r="AM101" s="1"/>
    </row>
    <row r="102" spans="16:39" x14ac:dyDescent="0.25">
      <c r="P102" s="49"/>
      <c r="Q102" s="1"/>
      <c r="S102" s="1"/>
      <c r="T102" s="1"/>
      <c r="U102" s="1"/>
      <c r="V102" s="1"/>
      <c r="W102" s="1"/>
      <c r="X102" s="1"/>
      <c r="Y102" s="1"/>
      <c r="AB102" s="1"/>
      <c r="AC102" s="1"/>
      <c r="AD102" s="1"/>
      <c r="AE102" s="1"/>
      <c r="AF102" s="1"/>
      <c r="AG102" s="1"/>
      <c r="AH102" s="1"/>
      <c r="AI102" s="1"/>
      <c r="AJ102" s="1"/>
      <c r="AK102" s="1"/>
      <c r="AL102" s="1"/>
      <c r="AM102" s="1"/>
    </row>
    <row r="103" spans="16:39" x14ac:dyDescent="0.25">
      <c r="P103" s="49"/>
      <c r="Q103" s="1"/>
      <c r="S103" s="1"/>
      <c r="T103" s="1"/>
      <c r="U103" s="1"/>
      <c r="V103" s="1"/>
      <c r="W103" s="1"/>
      <c r="X103" s="1"/>
      <c r="Y103" s="1"/>
      <c r="AB103" s="1"/>
      <c r="AC103" s="1"/>
      <c r="AD103" s="1"/>
      <c r="AE103" s="1"/>
      <c r="AF103" s="1"/>
      <c r="AG103" s="1"/>
      <c r="AH103" s="1"/>
      <c r="AI103" s="1"/>
      <c r="AJ103" s="1"/>
      <c r="AK103" s="1"/>
      <c r="AL103" s="1"/>
      <c r="AM103" s="1"/>
    </row>
    <row r="104" spans="16:39" x14ac:dyDescent="0.25">
      <c r="P104" s="49"/>
      <c r="Q104" s="1"/>
      <c r="S104" s="1"/>
      <c r="T104" s="1"/>
      <c r="U104" s="1"/>
      <c r="V104" s="1"/>
      <c r="W104" s="1"/>
      <c r="X104" s="1"/>
      <c r="Y104" s="1"/>
      <c r="AB104" s="1"/>
      <c r="AC104" s="1"/>
      <c r="AD104" s="1"/>
      <c r="AE104" s="1"/>
      <c r="AF104" s="1"/>
      <c r="AG104" s="1"/>
      <c r="AH104" s="1"/>
      <c r="AI104" s="1"/>
      <c r="AJ104" s="1"/>
      <c r="AK104" s="1"/>
      <c r="AL104" s="1"/>
      <c r="AM104" s="1"/>
    </row>
    <row r="105" spans="16:39" x14ac:dyDescent="0.25">
      <c r="P105" s="49"/>
      <c r="Q105" s="1"/>
      <c r="S105" s="1"/>
      <c r="T105" s="1"/>
      <c r="U105" s="1"/>
      <c r="V105" s="1"/>
      <c r="W105" s="1"/>
      <c r="X105" s="1"/>
      <c r="Y105" s="1"/>
      <c r="AB105" s="1"/>
      <c r="AC105" s="1"/>
      <c r="AD105" s="1"/>
      <c r="AE105" s="1"/>
      <c r="AF105" s="1"/>
      <c r="AG105" s="1"/>
      <c r="AH105" s="1"/>
      <c r="AI105" s="1"/>
      <c r="AJ105" s="1"/>
      <c r="AK105" s="1"/>
      <c r="AL105" s="1"/>
      <c r="AM105" s="1"/>
    </row>
    <row r="106" spans="16:39" x14ac:dyDescent="0.25">
      <c r="P106" s="49"/>
      <c r="Q106" s="1"/>
      <c r="S106" s="1"/>
      <c r="T106" s="1"/>
      <c r="U106" s="1"/>
      <c r="V106" s="1"/>
      <c r="W106" s="1"/>
      <c r="X106" s="1"/>
      <c r="Y106" s="1"/>
      <c r="AB106" s="1"/>
      <c r="AC106" s="1"/>
      <c r="AD106" s="1"/>
      <c r="AE106" s="1"/>
      <c r="AF106" s="1"/>
      <c r="AG106" s="1"/>
      <c r="AH106" s="1"/>
      <c r="AI106" s="1"/>
      <c r="AJ106" s="1"/>
      <c r="AK106" s="1"/>
      <c r="AL106" s="1"/>
      <c r="AM106" s="1"/>
    </row>
    <row r="107" spans="16:39" x14ac:dyDescent="0.25">
      <c r="P107" s="49"/>
      <c r="Q107" s="1"/>
      <c r="S107" s="1"/>
      <c r="T107" s="1"/>
      <c r="U107" s="1"/>
      <c r="V107" s="1"/>
      <c r="W107" s="1"/>
      <c r="X107" s="1"/>
      <c r="Y107" s="1"/>
      <c r="AB107" s="1"/>
      <c r="AC107" s="1"/>
      <c r="AD107" s="1"/>
      <c r="AE107" s="1"/>
      <c r="AF107" s="1"/>
      <c r="AG107" s="1"/>
      <c r="AH107" s="1"/>
      <c r="AI107" s="1"/>
      <c r="AJ107" s="1"/>
      <c r="AK107" s="1"/>
      <c r="AL107" s="1"/>
      <c r="AM107" s="1"/>
    </row>
    <row r="108" spans="16:39" x14ac:dyDescent="0.25">
      <c r="P108" s="49"/>
      <c r="Q108" s="1"/>
      <c r="S108" s="1"/>
      <c r="T108" s="1"/>
      <c r="U108" s="1"/>
      <c r="V108" s="1"/>
      <c r="W108" s="1"/>
      <c r="X108" s="1"/>
      <c r="Y108" s="1"/>
      <c r="AB108" s="1"/>
      <c r="AC108" s="1"/>
      <c r="AD108" s="1"/>
      <c r="AE108" s="1"/>
      <c r="AF108" s="1"/>
      <c r="AG108" s="1"/>
      <c r="AH108" s="1"/>
      <c r="AI108" s="1"/>
      <c r="AJ108" s="1"/>
      <c r="AK108" s="1"/>
      <c r="AL108" s="1"/>
      <c r="AM108" s="1"/>
    </row>
    <row r="109" spans="16:39" x14ac:dyDescent="0.25">
      <c r="P109" s="49"/>
      <c r="Q109" s="1"/>
      <c r="S109" s="1"/>
      <c r="T109" s="1"/>
      <c r="U109" s="1"/>
      <c r="V109" s="1"/>
      <c r="W109" s="1"/>
      <c r="X109" s="1"/>
      <c r="Y109" s="1"/>
      <c r="AB109" s="1"/>
      <c r="AC109" s="1"/>
      <c r="AD109" s="1"/>
      <c r="AE109" s="1"/>
      <c r="AF109" s="1"/>
      <c r="AG109" s="1"/>
      <c r="AH109" s="1"/>
      <c r="AI109" s="1"/>
      <c r="AJ109" s="1"/>
      <c r="AK109" s="1"/>
      <c r="AL109" s="1"/>
      <c r="AM109" s="1"/>
    </row>
    <row r="110" spans="16:39" x14ac:dyDescent="0.25">
      <c r="P110" s="49"/>
      <c r="Q110" s="1"/>
      <c r="S110" s="1"/>
      <c r="T110" s="1"/>
      <c r="U110" s="1"/>
      <c r="V110" s="1"/>
      <c r="W110" s="1"/>
      <c r="X110" s="1"/>
      <c r="Y110" s="1"/>
      <c r="AB110" s="1"/>
      <c r="AC110" s="1"/>
      <c r="AD110" s="1"/>
      <c r="AE110" s="1"/>
      <c r="AF110" s="1"/>
      <c r="AG110" s="1"/>
      <c r="AH110" s="1"/>
      <c r="AI110" s="1"/>
      <c r="AJ110" s="1"/>
      <c r="AK110" s="1"/>
      <c r="AL110" s="1"/>
      <c r="AM110" s="1"/>
    </row>
    <row r="111" spans="16:39" x14ac:dyDescent="0.25">
      <c r="P111" s="49"/>
      <c r="Q111" s="1"/>
      <c r="S111" s="1"/>
      <c r="T111" s="1"/>
      <c r="U111" s="1"/>
      <c r="V111" s="1"/>
      <c r="W111" s="1"/>
      <c r="X111" s="1"/>
      <c r="Y111" s="1"/>
      <c r="AB111" s="1"/>
      <c r="AC111" s="1"/>
      <c r="AD111" s="1"/>
      <c r="AE111" s="1"/>
      <c r="AF111" s="1"/>
      <c r="AG111" s="1"/>
      <c r="AH111" s="1"/>
      <c r="AI111" s="1"/>
      <c r="AJ111" s="1"/>
      <c r="AK111" s="1"/>
      <c r="AL111" s="1"/>
      <c r="AM111" s="1"/>
    </row>
    <row r="112" spans="16:39" x14ac:dyDescent="0.25">
      <c r="P112" s="49"/>
      <c r="Q112" s="1"/>
      <c r="S112" s="1"/>
      <c r="T112" s="1"/>
      <c r="U112" s="1"/>
      <c r="V112" s="1"/>
      <c r="W112" s="1"/>
      <c r="X112" s="1"/>
      <c r="Y112" s="1"/>
      <c r="AB112" s="1"/>
      <c r="AC112" s="1"/>
      <c r="AD112" s="1"/>
      <c r="AE112" s="1"/>
      <c r="AF112" s="1"/>
      <c r="AG112" s="1"/>
      <c r="AH112" s="1"/>
      <c r="AI112" s="1"/>
      <c r="AJ112" s="1"/>
      <c r="AK112" s="1"/>
      <c r="AL112" s="1"/>
      <c r="AM112" s="1"/>
    </row>
    <row r="113" spans="16:39" x14ac:dyDescent="0.25">
      <c r="P113" s="49"/>
      <c r="Q113" s="1"/>
      <c r="S113" s="1"/>
      <c r="T113" s="1"/>
      <c r="U113" s="1"/>
      <c r="V113" s="1"/>
      <c r="W113" s="1"/>
      <c r="X113" s="1"/>
      <c r="Y113" s="1"/>
      <c r="AB113" s="1"/>
      <c r="AC113" s="1"/>
      <c r="AD113" s="1"/>
      <c r="AE113" s="1"/>
      <c r="AF113" s="1"/>
      <c r="AG113" s="1"/>
      <c r="AH113" s="1"/>
      <c r="AI113" s="1"/>
      <c r="AJ113" s="1"/>
      <c r="AK113" s="1"/>
      <c r="AL113" s="1"/>
      <c r="AM113" s="1"/>
    </row>
    <row r="114" spans="16:39" x14ac:dyDescent="0.25">
      <c r="P114" s="49"/>
      <c r="Q114" s="1"/>
      <c r="S114" s="1"/>
      <c r="T114" s="1"/>
      <c r="U114" s="1"/>
      <c r="V114" s="1"/>
      <c r="W114" s="1"/>
      <c r="X114" s="1"/>
      <c r="Y114" s="1"/>
      <c r="AB114" s="1"/>
      <c r="AC114" s="1"/>
      <c r="AD114" s="1"/>
      <c r="AE114" s="1"/>
      <c r="AF114" s="1"/>
      <c r="AG114" s="1"/>
      <c r="AH114" s="1"/>
      <c r="AI114" s="1"/>
      <c r="AJ114" s="1"/>
      <c r="AK114" s="1"/>
      <c r="AL114" s="1"/>
      <c r="AM114" s="1"/>
    </row>
    <row r="115" spans="16:39" x14ac:dyDescent="0.25">
      <c r="P115" s="49"/>
      <c r="Q115" s="1"/>
      <c r="S115" s="1"/>
      <c r="T115" s="1"/>
      <c r="U115" s="1"/>
      <c r="V115" s="1"/>
      <c r="W115" s="1"/>
      <c r="X115" s="1"/>
      <c r="Y115" s="1"/>
      <c r="AB115" s="1"/>
      <c r="AC115" s="1"/>
      <c r="AD115" s="1"/>
      <c r="AE115" s="1"/>
      <c r="AF115" s="1"/>
      <c r="AG115" s="1"/>
      <c r="AH115" s="1"/>
      <c r="AI115" s="1"/>
      <c r="AJ115" s="1"/>
      <c r="AK115" s="1"/>
      <c r="AL115" s="1"/>
      <c r="AM115" s="1"/>
    </row>
    <row r="116" spans="16:39" x14ac:dyDescent="0.25">
      <c r="P116" s="49"/>
      <c r="Q116" s="1"/>
      <c r="S116" s="1"/>
      <c r="T116" s="1"/>
      <c r="U116" s="1"/>
      <c r="V116" s="1"/>
      <c r="W116" s="1"/>
      <c r="X116" s="1"/>
      <c r="Y116" s="1"/>
      <c r="AB116" s="1"/>
      <c r="AC116" s="1"/>
      <c r="AD116" s="1"/>
      <c r="AE116" s="1"/>
      <c r="AF116" s="1"/>
      <c r="AG116" s="1"/>
      <c r="AH116" s="1"/>
      <c r="AI116" s="1"/>
      <c r="AJ116" s="1"/>
      <c r="AK116" s="1"/>
      <c r="AL116" s="1"/>
      <c r="AM116" s="1"/>
    </row>
    <row r="117" spans="16:39" x14ac:dyDescent="0.25">
      <c r="P117" s="49"/>
      <c r="Q117" s="1"/>
      <c r="S117" s="1"/>
      <c r="T117" s="1"/>
      <c r="U117" s="1"/>
      <c r="V117" s="1"/>
      <c r="W117" s="1"/>
      <c r="X117" s="1"/>
      <c r="Y117" s="1"/>
      <c r="AB117" s="1"/>
      <c r="AC117" s="1"/>
      <c r="AD117" s="1"/>
      <c r="AE117" s="1"/>
      <c r="AF117" s="1"/>
      <c r="AG117" s="1"/>
      <c r="AH117" s="1"/>
      <c r="AI117" s="1"/>
      <c r="AJ117" s="1"/>
      <c r="AK117" s="1"/>
      <c r="AL117" s="1"/>
      <c r="AM117" s="1"/>
    </row>
    <row r="118" spans="16:39" x14ac:dyDescent="0.25">
      <c r="P118" s="49"/>
      <c r="Q118" s="1"/>
      <c r="S118" s="1"/>
      <c r="T118" s="1"/>
      <c r="U118" s="1"/>
      <c r="V118" s="1"/>
      <c r="W118" s="1"/>
      <c r="X118" s="1"/>
      <c r="Y118" s="1"/>
      <c r="AB118" s="1"/>
      <c r="AC118" s="1"/>
      <c r="AD118" s="1"/>
      <c r="AE118" s="1"/>
      <c r="AF118" s="1"/>
      <c r="AG118" s="1"/>
      <c r="AH118" s="1"/>
      <c r="AI118" s="1"/>
      <c r="AJ118" s="1"/>
      <c r="AK118" s="1"/>
      <c r="AL118" s="1"/>
      <c r="AM118" s="1"/>
    </row>
    <row r="119" spans="16:39" x14ac:dyDescent="0.25">
      <c r="P119" s="49"/>
      <c r="Q119" s="1"/>
      <c r="S119" s="1"/>
      <c r="T119" s="1"/>
      <c r="U119" s="1"/>
      <c r="V119" s="1"/>
      <c r="W119" s="1"/>
      <c r="X119" s="1"/>
      <c r="Y119" s="1"/>
      <c r="AB119" s="1"/>
      <c r="AC119" s="1"/>
      <c r="AD119" s="1"/>
      <c r="AE119" s="1"/>
      <c r="AF119" s="1"/>
      <c r="AG119" s="1"/>
      <c r="AH119" s="1"/>
      <c r="AI119" s="1"/>
      <c r="AJ119" s="1"/>
      <c r="AK119" s="1"/>
      <c r="AL119" s="1"/>
      <c r="AM119" s="1"/>
    </row>
    <row r="120" spans="16:39" x14ac:dyDescent="0.25">
      <c r="P120" s="49"/>
      <c r="Q120" s="1"/>
      <c r="S120" s="1"/>
      <c r="T120" s="1"/>
      <c r="U120" s="1"/>
      <c r="V120" s="1"/>
      <c r="W120" s="1"/>
      <c r="X120" s="1"/>
      <c r="Y120" s="1"/>
      <c r="AB120" s="1"/>
      <c r="AC120" s="1"/>
      <c r="AD120" s="1"/>
      <c r="AE120" s="1"/>
      <c r="AF120" s="1"/>
      <c r="AG120" s="1"/>
      <c r="AH120" s="1"/>
      <c r="AI120" s="1"/>
      <c r="AJ120" s="1"/>
      <c r="AK120" s="1"/>
      <c r="AL120" s="1"/>
      <c r="AM120" s="1"/>
    </row>
    <row r="121" spans="16:39" x14ac:dyDescent="0.25">
      <c r="P121" s="49"/>
      <c r="Q121" s="1"/>
      <c r="S121" s="1"/>
      <c r="T121" s="1"/>
      <c r="U121" s="1"/>
      <c r="V121" s="1"/>
      <c r="W121" s="1"/>
      <c r="X121" s="1"/>
      <c r="Y121" s="1"/>
      <c r="AB121" s="1"/>
      <c r="AC121" s="1"/>
      <c r="AD121" s="1"/>
      <c r="AE121" s="1"/>
      <c r="AF121" s="1"/>
      <c r="AG121" s="1"/>
      <c r="AH121" s="1"/>
      <c r="AI121" s="1"/>
      <c r="AJ121" s="1"/>
      <c r="AK121" s="1"/>
      <c r="AL121" s="1"/>
      <c r="AM121" s="1"/>
    </row>
    <row r="122" spans="16:39" x14ac:dyDescent="0.25">
      <c r="P122" s="49"/>
      <c r="Q122" s="1"/>
      <c r="S122" s="1"/>
      <c r="T122" s="1"/>
      <c r="U122" s="1"/>
      <c r="V122" s="1"/>
      <c r="W122" s="1"/>
      <c r="X122" s="1"/>
      <c r="Y122" s="1"/>
      <c r="AB122" s="1"/>
      <c r="AC122" s="1"/>
      <c r="AD122" s="1"/>
      <c r="AE122" s="1"/>
      <c r="AF122" s="1"/>
      <c r="AG122" s="1"/>
      <c r="AH122" s="1"/>
      <c r="AI122" s="1"/>
      <c r="AJ122" s="1"/>
      <c r="AK122" s="1"/>
      <c r="AL122" s="1"/>
      <c r="AM122" s="1"/>
    </row>
    <row r="123" spans="16:39" x14ac:dyDescent="0.25">
      <c r="P123" s="49"/>
      <c r="Q123" s="1"/>
      <c r="S123" s="1"/>
      <c r="T123" s="1"/>
      <c r="U123" s="1"/>
      <c r="V123" s="1"/>
      <c r="W123" s="1"/>
      <c r="X123" s="1"/>
      <c r="Y123" s="1"/>
      <c r="AB123" s="1"/>
      <c r="AC123" s="1"/>
      <c r="AD123" s="1"/>
      <c r="AE123" s="1"/>
      <c r="AF123" s="1"/>
      <c r="AG123" s="1"/>
      <c r="AH123" s="1"/>
      <c r="AI123" s="1"/>
      <c r="AJ123" s="1"/>
      <c r="AK123" s="1"/>
      <c r="AL123" s="1"/>
      <c r="AM123" s="1"/>
    </row>
    <row r="124" spans="16:39" x14ac:dyDescent="0.25">
      <c r="P124" s="49"/>
      <c r="Q124" s="1"/>
      <c r="S124" s="1"/>
      <c r="T124" s="1"/>
      <c r="U124" s="1"/>
      <c r="V124" s="1"/>
      <c r="W124" s="1"/>
      <c r="X124" s="1"/>
      <c r="Y124" s="1"/>
      <c r="AB124" s="1"/>
      <c r="AC124" s="1"/>
      <c r="AD124" s="1"/>
      <c r="AE124" s="1"/>
      <c r="AF124" s="1"/>
      <c r="AG124" s="1"/>
      <c r="AH124" s="1"/>
      <c r="AI124" s="1"/>
      <c r="AJ124" s="1"/>
      <c r="AK124" s="1"/>
      <c r="AL124" s="1"/>
      <c r="AM124" s="1"/>
    </row>
    <row r="125" spans="16:39" x14ac:dyDescent="0.25">
      <c r="P125" s="49"/>
      <c r="Q125" s="1"/>
      <c r="S125" s="1"/>
      <c r="T125" s="1"/>
      <c r="U125" s="1"/>
      <c r="V125" s="1"/>
      <c r="W125" s="1"/>
      <c r="X125" s="1"/>
      <c r="Y125" s="1"/>
      <c r="AB125" s="1"/>
      <c r="AC125" s="1"/>
      <c r="AD125" s="1"/>
      <c r="AE125" s="1"/>
      <c r="AF125" s="1"/>
      <c r="AG125" s="1"/>
      <c r="AH125" s="1"/>
      <c r="AI125" s="1"/>
      <c r="AJ125" s="1"/>
      <c r="AK125" s="1"/>
      <c r="AL125" s="1"/>
      <c r="AM125" s="1"/>
    </row>
    <row r="126" spans="16:39" x14ac:dyDescent="0.25">
      <c r="P126" s="49"/>
      <c r="Q126" s="1"/>
      <c r="S126" s="1"/>
      <c r="T126" s="1"/>
      <c r="U126" s="1"/>
      <c r="V126" s="1"/>
      <c r="W126" s="1"/>
      <c r="X126" s="1"/>
      <c r="Y126" s="1"/>
      <c r="AB126" s="1"/>
      <c r="AC126" s="1"/>
      <c r="AD126" s="1"/>
      <c r="AE126" s="1"/>
      <c r="AF126" s="1"/>
      <c r="AG126" s="1"/>
      <c r="AH126" s="1"/>
      <c r="AI126" s="1"/>
      <c r="AJ126" s="1"/>
      <c r="AK126" s="1"/>
      <c r="AL126" s="1"/>
      <c r="AM126" s="1"/>
    </row>
    <row r="127" spans="16:39" x14ac:dyDescent="0.25">
      <c r="P127" s="49"/>
      <c r="Q127" s="1"/>
      <c r="S127" s="1"/>
      <c r="T127" s="1"/>
      <c r="U127" s="1"/>
      <c r="V127" s="1"/>
      <c r="W127" s="1"/>
      <c r="X127" s="1"/>
      <c r="Y127" s="1"/>
      <c r="AB127" s="1"/>
      <c r="AC127" s="1"/>
      <c r="AD127" s="1"/>
      <c r="AE127" s="1"/>
      <c r="AF127" s="1"/>
      <c r="AG127" s="1"/>
      <c r="AH127" s="1"/>
      <c r="AI127" s="1"/>
      <c r="AJ127" s="1"/>
      <c r="AK127" s="1"/>
      <c r="AL127" s="1"/>
      <c r="AM127" s="1"/>
    </row>
    <row r="128" spans="16:39" x14ac:dyDescent="0.25">
      <c r="P128" s="49"/>
      <c r="Q128" s="1"/>
      <c r="S128" s="1"/>
      <c r="T128" s="1"/>
      <c r="U128" s="1"/>
      <c r="V128" s="1"/>
      <c r="W128" s="1"/>
      <c r="X128" s="1"/>
      <c r="Y128" s="1"/>
      <c r="AB128" s="1"/>
      <c r="AC128" s="1"/>
      <c r="AD128" s="1"/>
      <c r="AE128" s="1"/>
      <c r="AF128" s="1"/>
      <c r="AG128" s="1"/>
      <c r="AH128" s="1"/>
      <c r="AI128" s="1"/>
      <c r="AJ128" s="1"/>
      <c r="AK128" s="1"/>
      <c r="AL128" s="1"/>
      <c r="AM128" s="1"/>
    </row>
    <row r="129" spans="16:39" x14ac:dyDescent="0.25">
      <c r="P129" s="49"/>
      <c r="Q129" s="1"/>
      <c r="S129" s="1"/>
      <c r="T129" s="1"/>
      <c r="U129" s="1"/>
      <c r="V129" s="1"/>
      <c r="W129" s="1"/>
      <c r="X129" s="1"/>
      <c r="Y129" s="1"/>
      <c r="AB129" s="1"/>
      <c r="AC129" s="1"/>
      <c r="AD129" s="1"/>
      <c r="AE129" s="1"/>
      <c r="AF129" s="1"/>
      <c r="AG129" s="1"/>
      <c r="AH129" s="1"/>
      <c r="AI129" s="1"/>
      <c r="AJ129" s="1"/>
      <c r="AK129" s="1"/>
      <c r="AL129" s="1"/>
      <c r="AM129" s="1"/>
    </row>
    <row r="130" spans="16:39" x14ac:dyDescent="0.25">
      <c r="P130" s="49"/>
      <c r="Q130" s="1"/>
      <c r="S130" s="1"/>
      <c r="T130" s="1"/>
      <c r="U130" s="1"/>
      <c r="V130" s="1"/>
      <c r="W130" s="1"/>
      <c r="X130" s="1"/>
      <c r="Y130" s="1"/>
      <c r="AB130" s="1"/>
      <c r="AC130" s="1"/>
      <c r="AD130" s="1"/>
      <c r="AE130" s="1"/>
      <c r="AF130" s="1"/>
      <c r="AG130" s="1"/>
      <c r="AH130" s="1"/>
      <c r="AI130" s="1"/>
      <c r="AJ130" s="1"/>
      <c r="AK130" s="1"/>
      <c r="AL130" s="1"/>
      <c r="AM130" s="1"/>
    </row>
    <row r="131" spans="16:39" x14ac:dyDescent="0.25">
      <c r="P131" s="49"/>
      <c r="Q131" s="1"/>
      <c r="S131" s="1"/>
      <c r="T131" s="1"/>
      <c r="U131" s="1"/>
      <c r="V131" s="1"/>
      <c r="W131" s="1"/>
      <c r="X131" s="1"/>
      <c r="Y131" s="1"/>
      <c r="AB131" s="1"/>
      <c r="AC131" s="1"/>
      <c r="AD131" s="1"/>
      <c r="AE131" s="1"/>
      <c r="AF131" s="1"/>
      <c r="AG131" s="1"/>
      <c r="AH131" s="1"/>
      <c r="AI131" s="1"/>
      <c r="AJ131" s="1"/>
      <c r="AK131" s="1"/>
      <c r="AL131" s="1"/>
      <c r="AM131" s="1"/>
    </row>
    <row r="132" spans="16:39" x14ac:dyDescent="0.25">
      <c r="P132" s="49"/>
      <c r="Q132" s="1"/>
      <c r="S132" s="1"/>
      <c r="T132" s="1"/>
      <c r="U132" s="1"/>
      <c r="V132" s="1"/>
      <c r="W132" s="1"/>
      <c r="X132" s="1"/>
      <c r="Y132" s="1"/>
      <c r="AB132" s="1"/>
      <c r="AC132" s="1"/>
      <c r="AD132" s="1"/>
      <c r="AE132" s="1"/>
      <c r="AF132" s="1"/>
      <c r="AG132" s="1"/>
      <c r="AH132" s="1"/>
      <c r="AI132" s="1"/>
      <c r="AJ132" s="1"/>
      <c r="AK132" s="1"/>
      <c r="AL132" s="1"/>
      <c r="AM132" s="1"/>
    </row>
    <row r="133" spans="16:39" x14ac:dyDescent="0.25">
      <c r="P133" s="49"/>
      <c r="Q133" s="1"/>
      <c r="S133" s="1"/>
      <c r="T133" s="1"/>
      <c r="U133" s="1"/>
      <c r="V133" s="1"/>
      <c r="W133" s="1"/>
      <c r="X133" s="1"/>
      <c r="Y133" s="1"/>
      <c r="AB133" s="1"/>
      <c r="AC133" s="1"/>
      <c r="AD133" s="1"/>
      <c r="AE133" s="1"/>
      <c r="AF133" s="1"/>
      <c r="AG133" s="1"/>
      <c r="AH133" s="1"/>
      <c r="AI133" s="1"/>
      <c r="AJ133" s="1"/>
      <c r="AK133" s="1"/>
      <c r="AL133" s="1"/>
      <c r="AM133" s="1"/>
    </row>
    <row r="134" spans="16:39" x14ac:dyDescent="0.25">
      <c r="P134" s="49"/>
      <c r="Q134" s="1"/>
      <c r="S134" s="1"/>
      <c r="T134" s="1"/>
      <c r="U134" s="1"/>
      <c r="V134" s="1"/>
      <c r="W134" s="1"/>
      <c r="X134" s="1"/>
      <c r="Y134" s="1"/>
      <c r="AB134" s="1"/>
      <c r="AC134" s="1"/>
      <c r="AD134" s="1"/>
      <c r="AE134" s="1"/>
      <c r="AF134" s="1"/>
      <c r="AG134" s="1"/>
      <c r="AH134" s="1"/>
      <c r="AI134" s="1"/>
      <c r="AJ134" s="1"/>
      <c r="AK134" s="1"/>
      <c r="AL134" s="1"/>
      <c r="AM134" s="1"/>
    </row>
    <row r="135" spans="16:39" x14ac:dyDescent="0.25">
      <c r="P135" s="49"/>
      <c r="Q135" s="1"/>
      <c r="S135" s="1"/>
      <c r="T135" s="1"/>
      <c r="U135" s="1"/>
      <c r="V135" s="1"/>
      <c r="W135" s="1"/>
      <c r="X135" s="1"/>
      <c r="Y135" s="1"/>
      <c r="AB135" s="1"/>
      <c r="AC135" s="1"/>
      <c r="AD135" s="1"/>
      <c r="AE135" s="1"/>
      <c r="AF135" s="1"/>
      <c r="AG135" s="1"/>
      <c r="AH135" s="1"/>
      <c r="AI135" s="1"/>
      <c r="AJ135" s="1"/>
      <c r="AK135" s="1"/>
      <c r="AL135" s="1"/>
      <c r="AM135" s="1"/>
    </row>
    <row r="136" spans="16:39" x14ac:dyDescent="0.25">
      <c r="P136" s="49"/>
      <c r="Q136" s="1"/>
      <c r="S136" s="1"/>
      <c r="T136" s="1"/>
      <c r="U136" s="1"/>
      <c r="V136" s="1"/>
      <c r="W136" s="1"/>
      <c r="X136" s="1"/>
      <c r="Y136" s="1"/>
      <c r="AB136" s="1"/>
      <c r="AC136" s="1"/>
      <c r="AD136" s="1"/>
      <c r="AE136" s="1"/>
      <c r="AF136" s="1"/>
      <c r="AG136" s="1"/>
      <c r="AH136" s="1"/>
      <c r="AI136" s="1"/>
      <c r="AJ136" s="1"/>
      <c r="AK136" s="1"/>
      <c r="AL136" s="1"/>
      <c r="AM136" s="1"/>
    </row>
    <row r="137" spans="16:39" x14ac:dyDescent="0.25">
      <c r="P137" s="49"/>
      <c r="Q137" s="1"/>
      <c r="S137" s="1"/>
      <c r="T137" s="1"/>
      <c r="U137" s="1"/>
      <c r="V137" s="1"/>
      <c r="W137" s="1"/>
      <c r="X137" s="1"/>
      <c r="Y137" s="1"/>
      <c r="AB137" s="1"/>
      <c r="AC137" s="1"/>
      <c r="AD137" s="1"/>
      <c r="AE137" s="1"/>
      <c r="AF137" s="1"/>
      <c r="AG137" s="1"/>
      <c r="AH137" s="1"/>
      <c r="AI137" s="1"/>
      <c r="AJ137" s="1"/>
      <c r="AK137" s="1"/>
      <c r="AL137" s="1"/>
      <c r="AM137" s="1"/>
    </row>
    <row r="138" spans="16:39" x14ac:dyDescent="0.25">
      <c r="P138" s="49"/>
      <c r="Q138" s="1"/>
      <c r="S138" s="1"/>
      <c r="T138" s="1"/>
      <c r="U138" s="1"/>
      <c r="V138" s="1"/>
      <c r="W138" s="1"/>
      <c r="X138" s="1"/>
      <c r="Y138" s="1"/>
      <c r="AB138" s="1"/>
      <c r="AC138" s="1"/>
      <c r="AD138" s="1"/>
      <c r="AE138" s="1"/>
      <c r="AF138" s="1"/>
      <c r="AG138" s="1"/>
      <c r="AH138" s="1"/>
      <c r="AI138" s="1"/>
      <c r="AJ138" s="1"/>
      <c r="AK138" s="1"/>
      <c r="AL138" s="1"/>
      <c r="AM138" s="1"/>
    </row>
    <row r="139" spans="16:39" x14ac:dyDescent="0.25">
      <c r="P139" s="49"/>
      <c r="Q139" s="1"/>
      <c r="S139" s="1"/>
      <c r="T139" s="1"/>
      <c r="U139" s="1"/>
      <c r="V139" s="1"/>
      <c r="W139" s="1"/>
      <c r="X139" s="1"/>
      <c r="Y139" s="1"/>
      <c r="AB139" s="1"/>
      <c r="AC139" s="1"/>
      <c r="AD139" s="1"/>
      <c r="AE139" s="1"/>
      <c r="AF139" s="1"/>
      <c r="AG139" s="1"/>
      <c r="AH139" s="1"/>
      <c r="AI139" s="1"/>
      <c r="AJ139" s="1"/>
      <c r="AK139" s="1"/>
      <c r="AL139" s="1"/>
      <c r="AM139" s="1"/>
    </row>
    <row r="140" spans="16:39" x14ac:dyDescent="0.25">
      <c r="P140" s="49"/>
      <c r="Q140" s="1"/>
      <c r="S140" s="1"/>
      <c r="T140" s="1"/>
      <c r="U140" s="1"/>
      <c r="V140" s="1"/>
      <c r="W140" s="1"/>
      <c r="X140" s="1"/>
      <c r="Y140" s="1"/>
      <c r="AB140" s="1"/>
      <c r="AC140" s="1"/>
      <c r="AD140" s="1"/>
      <c r="AE140" s="1"/>
      <c r="AF140" s="1"/>
      <c r="AG140" s="1"/>
      <c r="AH140" s="1"/>
      <c r="AI140" s="1"/>
      <c r="AJ140" s="1"/>
      <c r="AK140" s="1"/>
      <c r="AL140" s="1"/>
      <c r="AM140" s="1"/>
    </row>
    <row r="141" spans="16:39" x14ac:dyDescent="0.25">
      <c r="P141" s="49"/>
      <c r="Q141" s="1"/>
      <c r="S141" s="1"/>
      <c r="T141" s="1"/>
      <c r="U141" s="1"/>
      <c r="V141" s="1"/>
      <c r="W141" s="1"/>
      <c r="X141" s="1"/>
      <c r="Y141" s="1"/>
      <c r="AB141" s="1"/>
      <c r="AC141" s="1"/>
      <c r="AD141" s="1"/>
      <c r="AE141" s="1"/>
      <c r="AF141" s="1"/>
      <c r="AG141" s="1"/>
      <c r="AH141" s="1"/>
      <c r="AI141" s="1"/>
      <c r="AJ141" s="1"/>
      <c r="AK141" s="1"/>
      <c r="AL141" s="1"/>
      <c r="AM141" s="1"/>
    </row>
    <row r="142" spans="16:39" x14ac:dyDescent="0.25">
      <c r="P142" s="49"/>
      <c r="Q142" s="1"/>
      <c r="S142" s="1"/>
      <c r="T142" s="1"/>
      <c r="U142" s="1"/>
      <c r="V142" s="1"/>
      <c r="W142" s="1"/>
      <c r="X142" s="1"/>
      <c r="Y142" s="1"/>
      <c r="AB142" s="1"/>
      <c r="AC142" s="1"/>
      <c r="AD142" s="1"/>
      <c r="AE142" s="1"/>
      <c r="AF142" s="1"/>
      <c r="AG142" s="1"/>
      <c r="AH142" s="1"/>
      <c r="AI142" s="1"/>
      <c r="AJ142" s="1"/>
      <c r="AK142" s="1"/>
      <c r="AL142" s="1"/>
      <c r="AM142" s="1"/>
    </row>
    <row r="143" spans="16:39" x14ac:dyDescent="0.25">
      <c r="P143" s="49"/>
      <c r="Q143" s="1"/>
      <c r="S143" s="1"/>
      <c r="T143" s="1"/>
      <c r="U143" s="1"/>
      <c r="V143" s="1"/>
      <c r="W143" s="1"/>
      <c r="X143" s="1"/>
      <c r="Y143" s="1"/>
      <c r="AB143" s="1"/>
      <c r="AC143" s="1"/>
      <c r="AD143" s="1"/>
      <c r="AE143" s="1"/>
      <c r="AF143" s="1"/>
      <c r="AG143" s="1"/>
      <c r="AH143" s="1"/>
      <c r="AI143" s="1"/>
      <c r="AJ143" s="1"/>
      <c r="AK143" s="1"/>
      <c r="AL143" s="1"/>
      <c r="AM143" s="1"/>
    </row>
    <row r="144" spans="16:39" x14ac:dyDescent="0.25">
      <c r="P144" s="49"/>
      <c r="Q144" s="1"/>
      <c r="S144" s="1"/>
      <c r="T144" s="1"/>
      <c r="U144" s="1"/>
      <c r="V144" s="1"/>
      <c r="W144" s="1"/>
      <c r="X144" s="1"/>
      <c r="Y144" s="1"/>
      <c r="AB144" s="1"/>
      <c r="AC144" s="1"/>
      <c r="AD144" s="1"/>
      <c r="AE144" s="1"/>
      <c r="AF144" s="1"/>
      <c r="AG144" s="1"/>
      <c r="AH144" s="1"/>
      <c r="AI144" s="1"/>
      <c r="AJ144" s="1"/>
      <c r="AK144" s="1"/>
      <c r="AL144" s="1"/>
      <c r="AM144" s="1"/>
    </row>
    <row r="145" spans="16:39" x14ac:dyDescent="0.25">
      <c r="P145" s="49"/>
      <c r="Q145" s="1"/>
      <c r="S145" s="1"/>
      <c r="T145" s="1"/>
      <c r="U145" s="1"/>
      <c r="V145" s="1"/>
      <c r="W145" s="1"/>
      <c r="X145" s="1"/>
      <c r="Y145" s="1"/>
      <c r="AB145" s="1"/>
      <c r="AC145" s="1"/>
      <c r="AD145" s="1"/>
      <c r="AE145" s="1"/>
      <c r="AF145" s="1"/>
      <c r="AG145" s="1"/>
      <c r="AH145" s="1"/>
      <c r="AI145" s="1"/>
      <c r="AJ145" s="1"/>
      <c r="AK145" s="1"/>
      <c r="AL145" s="1"/>
      <c r="AM145" s="1"/>
    </row>
    <row r="146" spans="16:39" x14ac:dyDescent="0.25">
      <c r="P146" s="49"/>
      <c r="Q146" s="1"/>
      <c r="S146" s="1"/>
      <c r="T146" s="1"/>
      <c r="U146" s="1"/>
      <c r="V146" s="1"/>
      <c r="W146" s="1"/>
      <c r="X146" s="1"/>
      <c r="Y146" s="1"/>
      <c r="AB146" s="1"/>
      <c r="AC146" s="1"/>
      <c r="AD146" s="1"/>
      <c r="AE146" s="1"/>
      <c r="AF146" s="1"/>
      <c r="AG146" s="1"/>
      <c r="AH146" s="1"/>
      <c r="AI146" s="1"/>
      <c r="AJ146" s="1"/>
      <c r="AK146" s="1"/>
      <c r="AL146" s="1"/>
      <c r="AM146" s="1"/>
    </row>
    <row r="147" spans="16:39" x14ac:dyDescent="0.25">
      <c r="P147" s="49"/>
      <c r="Q147" s="1"/>
      <c r="S147" s="1"/>
      <c r="T147" s="1"/>
      <c r="U147" s="1"/>
      <c r="V147" s="1"/>
      <c r="W147" s="1"/>
      <c r="X147" s="1"/>
      <c r="Y147" s="1"/>
      <c r="AB147" s="1"/>
      <c r="AC147" s="1"/>
      <c r="AD147" s="1"/>
      <c r="AE147" s="1"/>
      <c r="AF147" s="1"/>
      <c r="AG147" s="1"/>
      <c r="AH147" s="1"/>
      <c r="AI147" s="1"/>
      <c r="AJ147" s="1"/>
      <c r="AK147" s="1"/>
      <c r="AL147" s="1"/>
      <c r="AM147" s="1"/>
    </row>
    <row r="148" spans="16:39" x14ac:dyDescent="0.25">
      <c r="P148" s="49"/>
      <c r="Q148" s="1"/>
      <c r="S148" s="1"/>
      <c r="T148" s="1"/>
      <c r="U148" s="1"/>
      <c r="V148" s="1"/>
      <c r="W148" s="1"/>
      <c r="X148" s="1"/>
      <c r="Y148" s="1"/>
      <c r="AB148" s="1"/>
      <c r="AC148" s="1"/>
      <c r="AD148" s="1"/>
      <c r="AE148" s="1"/>
      <c r="AF148" s="1"/>
      <c r="AG148" s="1"/>
      <c r="AH148" s="1"/>
      <c r="AI148" s="1"/>
      <c r="AJ148" s="1"/>
      <c r="AK148" s="1"/>
      <c r="AL148" s="1"/>
      <c r="AM148" s="1"/>
    </row>
    <row r="149" spans="16:39" x14ac:dyDescent="0.25">
      <c r="P149" s="49"/>
      <c r="Q149" s="1"/>
      <c r="S149" s="1"/>
      <c r="T149" s="1"/>
      <c r="U149" s="1"/>
      <c r="V149" s="1"/>
      <c r="W149" s="1"/>
      <c r="X149" s="1"/>
      <c r="Y149" s="1"/>
      <c r="AB149" s="1"/>
      <c r="AC149" s="1"/>
      <c r="AD149" s="1"/>
      <c r="AE149" s="1"/>
      <c r="AF149" s="1"/>
      <c r="AG149" s="1"/>
      <c r="AH149" s="1"/>
      <c r="AI149" s="1"/>
      <c r="AJ149" s="1"/>
      <c r="AK149" s="1"/>
      <c r="AL149" s="1"/>
      <c r="AM149" s="1"/>
    </row>
    <row r="150" spans="16:39" x14ac:dyDescent="0.25">
      <c r="P150" s="49"/>
      <c r="Q150" s="1"/>
      <c r="S150" s="1"/>
      <c r="T150" s="1"/>
      <c r="U150" s="1"/>
      <c r="V150" s="1"/>
      <c r="W150" s="1"/>
      <c r="X150" s="1"/>
      <c r="Y150" s="1"/>
      <c r="AB150" s="1"/>
      <c r="AC150" s="1"/>
      <c r="AD150" s="1"/>
      <c r="AE150" s="1"/>
      <c r="AF150" s="1"/>
      <c r="AG150" s="1"/>
      <c r="AH150" s="1"/>
      <c r="AI150" s="1"/>
      <c r="AJ150" s="1"/>
      <c r="AK150" s="1"/>
      <c r="AL150" s="1"/>
      <c r="AM150" s="1"/>
    </row>
    <row r="151" spans="16:39" x14ac:dyDescent="0.25">
      <c r="P151" s="49"/>
      <c r="Q151" s="1"/>
      <c r="S151" s="1"/>
      <c r="T151" s="1"/>
      <c r="U151" s="1"/>
      <c r="V151" s="1"/>
      <c r="W151" s="1"/>
      <c r="X151" s="1"/>
      <c r="Y151" s="1"/>
      <c r="AB151" s="1"/>
      <c r="AC151" s="1"/>
      <c r="AD151" s="1"/>
      <c r="AE151" s="1"/>
      <c r="AF151" s="1"/>
      <c r="AG151" s="1"/>
      <c r="AH151" s="1"/>
      <c r="AI151" s="1"/>
      <c r="AJ151" s="1"/>
      <c r="AK151" s="1"/>
      <c r="AL151" s="1"/>
      <c r="AM151" s="1"/>
    </row>
    <row r="152" spans="16:39" x14ac:dyDescent="0.25">
      <c r="P152" s="49"/>
      <c r="Q152" s="1"/>
      <c r="S152" s="1"/>
      <c r="T152" s="1"/>
      <c r="U152" s="1"/>
      <c r="V152" s="1"/>
      <c r="W152" s="1"/>
      <c r="X152" s="1"/>
      <c r="Y152" s="1"/>
      <c r="AB152" s="1"/>
      <c r="AC152" s="1"/>
      <c r="AD152" s="1"/>
      <c r="AE152" s="1"/>
      <c r="AF152" s="1"/>
      <c r="AG152" s="1"/>
      <c r="AH152" s="1"/>
      <c r="AI152" s="1"/>
      <c r="AJ152" s="1"/>
      <c r="AK152" s="1"/>
      <c r="AL152" s="1"/>
      <c r="AM152" s="1"/>
    </row>
    <row r="153" spans="16:39" x14ac:dyDescent="0.25">
      <c r="P153" s="49"/>
      <c r="Q153" s="1"/>
      <c r="S153" s="1"/>
      <c r="T153" s="1"/>
      <c r="U153" s="1"/>
      <c r="V153" s="1"/>
      <c r="W153" s="1"/>
      <c r="X153" s="1"/>
      <c r="Y153" s="1"/>
      <c r="AB153" s="1"/>
      <c r="AC153" s="1"/>
      <c r="AD153" s="1"/>
      <c r="AE153" s="1"/>
      <c r="AF153" s="1"/>
      <c r="AG153" s="1"/>
      <c r="AH153" s="1"/>
      <c r="AI153" s="1"/>
      <c r="AJ153" s="1"/>
      <c r="AK153" s="1"/>
      <c r="AL153" s="1"/>
      <c r="AM153" s="1"/>
    </row>
    <row r="154" spans="16:39" x14ac:dyDescent="0.25">
      <c r="P154" s="49"/>
      <c r="Q154" s="1"/>
      <c r="S154" s="1"/>
      <c r="T154" s="1"/>
      <c r="U154" s="1"/>
      <c r="V154" s="1"/>
      <c r="W154" s="1"/>
      <c r="X154" s="1"/>
      <c r="Y154" s="1"/>
      <c r="AB154" s="1"/>
      <c r="AC154" s="1"/>
      <c r="AD154" s="1"/>
      <c r="AE154" s="1"/>
      <c r="AF154" s="1"/>
      <c r="AG154" s="1"/>
      <c r="AH154" s="1"/>
      <c r="AI154" s="1"/>
      <c r="AJ154" s="1"/>
      <c r="AK154" s="1"/>
      <c r="AL154" s="1"/>
      <c r="AM154" s="1"/>
    </row>
    <row r="155" spans="16:39" x14ac:dyDescent="0.25">
      <c r="P155" s="49"/>
      <c r="Q155" s="1"/>
      <c r="S155" s="1"/>
      <c r="T155" s="1"/>
      <c r="U155" s="1"/>
      <c r="V155" s="1"/>
      <c r="W155" s="1"/>
      <c r="X155" s="1"/>
      <c r="Y155" s="1"/>
      <c r="AB155" s="1"/>
      <c r="AC155" s="1"/>
      <c r="AD155" s="1"/>
      <c r="AE155" s="1"/>
      <c r="AF155" s="1"/>
      <c r="AG155" s="1"/>
      <c r="AH155" s="1"/>
      <c r="AI155" s="1"/>
      <c r="AJ155" s="1"/>
      <c r="AK155" s="1"/>
      <c r="AL155" s="1"/>
      <c r="AM155" s="1"/>
    </row>
    <row r="156" spans="16:39" x14ac:dyDescent="0.25">
      <c r="P156" s="49"/>
      <c r="Q156" s="1"/>
      <c r="S156" s="1"/>
      <c r="T156" s="1"/>
      <c r="U156" s="1"/>
      <c r="V156" s="1"/>
      <c r="W156" s="1"/>
      <c r="X156" s="1"/>
      <c r="Y156" s="1"/>
      <c r="AB156" s="1"/>
      <c r="AC156" s="1"/>
      <c r="AD156" s="1"/>
      <c r="AE156" s="1"/>
      <c r="AF156" s="1"/>
      <c r="AG156" s="1"/>
      <c r="AH156" s="1"/>
      <c r="AI156" s="1"/>
      <c r="AJ156" s="1"/>
      <c r="AK156" s="1"/>
      <c r="AL156" s="1"/>
      <c r="AM156" s="1"/>
    </row>
    <row r="157" spans="16:39" x14ac:dyDescent="0.25">
      <c r="P157" s="49"/>
      <c r="Q157" s="1"/>
      <c r="S157" s="1"/>
      <c r="T157" s="1"/>
      <c r="U157" s="1"/>
      <c r="V157" s="1"/>
      <c r="W157" s="1"/>
      <c r="X157" s="1"/>
      <c r="Y157" s="1"/>
      <c r="AB157" s="1"/>
      <c r="AC157" s="1"/>
      <c r="AD157" s="1"/>
      <c r="AE157" s="1"/>
      <c r="AF157" s="1"/>
      <c r="AG157" s="1"/>
      <c r="AH157" s="1"/>
      <c r="AI157" s="1"/>
      <c r="AJ157" s="1"/>
      <c r="AK157" s="1"/>
      <c r="AL157" s="1"/>
      <c r="AM157" s="1"/>
    </row>
    <row r="158" spans="16:39" x14ac:dyDescent="0.25">
      <c r="P158" s="49"/>
      <c r="Q158" s="1"/>
      <c r="S158" s="1"/>
      <c r="T158" s="1"/>
      <c r="U158" s="1"/>
      <c r="V158" s="1"/>
      <c r="W158" s="1"/>
      <c r="X158" s="1"/>
      <c r="Y158" s="1"/>
      <c r="AB158" s="1"/>
      <c r="AC158" s="1"/>
      <c r="AD158" s="1"/>
      <c r="AE158" s="1"/>
      <c r="AF158" s="1"/>
      <c r="AG158" s="1"/>
      <c r="AH158" s="1"/>
      <c r="AI158" s="1"/>
      <c r="AJ158" s="1"/>
      <c r="AK158" s="1"/>
      <c r="AL158" s="1"/>
      <c r="AM158" s="1"/>
    </row>
    <row r="159" spans="16:39" x14ac:dyDescent="0.25">
      <c r="P159" s="49"/>
      <c r="Q159" s="1"/>
      <c r="S159" s="1"/>
      <c r="T159" s="1"/>
      <c r="U159" s="1"/>
      <c r="V159" s="1"/>
      <c r="W159" s="1"/>
      <c r="X159" s="1"/>
      <c r="Y159" s="1"/>
      <c r="AB159" s="1"/>
      <c r="AC159" s="1"/>
      <c r="AD159" s="1"/>
      <c r="AE159" s="1"/>
      <c r="AF159" s="1"/>
      <c r="AG159" s="1"/>
      <c r="AH159" s="1"/>
      <c r="AI159" s="1"/>
      <c r="AJ159" s="1"/>
      <c r="AK159" s="1"/>
      <c r="AL159" s="1"/>
      <c r="AM159" s="1"/>
    </row>
    <row r="160" spans="16:39" x14ac:dyDescent="0.25">
      <c r="P160" s="49"/>
      <c r="Q160" s="1"/>
      <c r="S160" s="1"/>
      <c r="T160" s="1"/>
      <c r="U160" s="1"/>
      <c r="V160" s="1"/>
      <c r="W160" s="1"/>
      <c r="X160" s="1"/>
      <c r="Y160" s="1"/>
      <c r="AB160" s="1"/>
      <c r="AC160" s="1"/>
      <c r="AD160" s="1"/>
      <c r="AE160" s="1"/>
      <c r="AF160" s="1"/>
      <c r="AG160" s="1"/>
      <c r="AH160" s="1"/>
      <c r="AI160" s="1"/>
      <c r="AJ160" s="1"/>
      <c r="AK160" s="1"/>
      <c r="AL160" s="1"/>
      <c r="AM160" s="1"/>
    </row>
    <row r="161" spans="16:39" x14ac:dyDescent="0.25">
      <c r="P161" s="49"/>
      <c r="Q161" s="1"/>
      <c r="S161" s="1"/>
      <c r="T161" s="1"/>
      <c r="U161" s="1"/>
      <c r="V161" s="1"/>
      <c r="W161" s="1"/>
      <c r="X161" s="1"/>
      <c r="Y161" s="1"/>
      <c r="AB161" s="1"/>
      <c r="AC161" s="1"/>
      <c r="AD161" s="1"/>
      <c r="AE161" s="1"/>
      <c r="AF161" s="1"/>
      <c r="AG161" s="1"/>
      <c r="AH161" s="1"/>
      <c r="AI161" s="1"/>
      <c r="AJ161" s="1"/>
      <c r="AK161" s="1"/>
      <c r="AL161" s="1"/>
      <c r="AM161" s="1"/>
    </row>
    <row r="162" spans="16:39" x14ac:dyDescent="0.25">
      <c r="P162" s="49"/>
      <c r="Q162" s="1"/>
      <c r="S162" s="1"/>
      <c r="T162" s="1"/>
      <c r="U162" s="1"/>
      <c r="V162" s="1"/>
      <c r="W162" s="1"/>
      <c r="X162" s="1"/>
      <c r="Y162" s="1"/>
      <c r="AB162" s="1"/>
      <c r="AC162" s="1"/>
      <c r="AD162" s="1"/>
      <c r="AE162" s="1"/>
      <c r="AF162" s="1"/>
      <c r="AG162" s="1"/>
      <c r="AH162" s="1"/>
      <c r="AI162" s="1"/>
      <c r="AJ162" s="1"/>
      <c r="AK162" s="1"/>
      <c r="AL162" s="1"/>
      <c r="AM162" s="1"/>
    </row>
    <row r="163" spans="16:39" x14ac:dyDescent="0.25">
      <c r="P163" s="49"/>
      <c r="Q163" s="1"/>
      <c r="S163" s="1"/>
      <c r="T163" s="1"/>
      <c r="U163" s="1"/>
      <c r="V163" s="1"/>
      <c r="W163" s="1"/>
      <c r="X163" s="1"/>
      <c r="Y163" s="1"/>
      <c r="AB163" s="1"/>
      <c r="AC163" s="1"/>
      <c r="AD163" s="1"/>
      <c r="AE163" s="1"/>
      <c r="AF163" s="1"/>
      <c r="AG163" s="1"/>
      <c r="AH163" s="1"/>
      <c r="AI163" s="1"/>
      <c r="AJ163" s="1"/>
      <c r="AK163" s="1"/>
      <c r="AL163" s="1"/>
      <c r="AM163" s="1"/>
    </row>
    <row r="164" spans="16:39" x14ac:dyDescent="0.25">
      <c r="P164" s="49"/>
      <c r="Q164" s="1"/>
      <c r="S164" s="1"/>
      <c r="T164" s="1"/>
      <c r="U164" s="1"/>
      <c r="V164" s="1"/>
      <c r="W164" s="1"/>
      <c r="X164" s="1"/>
      <c r="Y164" s="1"/>
      <c r="AB164" s="1"/>
      <c r="AC164" s="1"/>
      <c r="AD164" s="1"/>
      <c r="AE164" s="1"/>
      <c r="AF164" s="1"/>
      <c r="AG164" s="1"/>
      <c r="AH164" s="1"/>
      <c r="AI164" s="1"/>
      <c r="AJ164" s="1"/>
      <c r="AK164" s="1"/>
      <c r="AL164" s="1"/>
      <c r="AM164" s="1"/>
    </row>
    <row r="165" spans="16:39" x14ac:dyDescent="0.25">
      <c r="P165" s="49"/>
      <c r="Q165" s="1"/>
      <c r="S165" s="1"/>
      <c r="T165" s="1"/>
      <c r="U165" s="1"/>
      <c r="V165" s="1"/>
      <c r="W165" s="1"/>
      <c r="X165" s="1"/>
      <c r="Y165" s="1"/>
      <c r="AB165" s="1"/>
      <c r="AC165" s="1"/>
      <c r="AD165" s="1"/>
      <c r="AE165" s="1"/>
      <c r="AF165" s="1"/>
      <c r="AG165" s="1"/>
      <c r="AH165" s="1"/>
      <c r="AI165" s="1"/>
      <c r="AJ165" s="1"/>
      <c r="AK165" s="1"/>
      <c r="AL165" s="1"/>
      <c r="AM165" s="1"/>
    </row>
    <row r="166" spans="16:39" x14ac:dyDescent="0.25">
      <c r="P166" s="49"/>
      <c r="Q166" s="1"/>
      <c r="S166" s="1"/>
      <c r="T166" s="1"/>
      <c r="U166" s="1"/>
      <c r="V166" s="1"/>
      <c r="W166" s="1"/>
      <c r="X166" s="1"/>
      <c r="Y166" s="1"/>
      <c r="AB166" s="1"/>
      <c r="AC166" s="1"/>
      <c r="AD166" s="1"/>
      <c r="AE166" s="1"/>
      <c r="AF166" s="1"/>
      <c r="AG166" s="1"/>
      <c r="AH166" s="1"/>
      <c r="AI166" s="1"/>
      <c r="AJ166" s="1"/>
      <c r="AK166" s="1"/>
      <c r="AL166" s="1"/>
      <c r="AM166" s="1"/>
    </row>
    <row r="167" spans="16:39" x14ac:dyDescent="0.25">
      <c r="P167" s="49"/>
      <c r="Q167" s="1"/>
      <c r="S167" s="1"/>
      <c r="T167" s="1"/>
      <c r="U167" s="1"/>
      <c r="V167" s="1"/>
      <c r="W167" s="1"/>
      <c r="X167" s="1"/>
      <c r="Y167" s="1"/>
      <c r="AB167" s="1"/>
      <c r="AC167" s="1"/>
      <c r="AD167" s="1"/>
      <c r="AE167" s="1"/>
      <c r="AF167" s="1"/>
      <c r="AG167" s="1"/>
      <c r="AH167" s="1"/>
      <c r="AI167" s="1"/>
      <c r="AJ167" s="1"/>
      <c r="AK167" s="1"/>
      <c r="AL167" s="1"/>
      <c r="AM167" s="1"/>
    </row>
    <row r="168" spans="16:39" x14ac:dyDescent="0.25">
      <c r="P168" s="49"/>
      <c r="Q168" s="1"/>
      <c r="S168" s="1"/>
      <c r="T168" s="1"/>
      <c r="U168" s="1"/>
      <c r="V168" s="1"/>
      <c r="W168" s="1"/>
      <c r="X168" s="1"/>
      <c r="Y168" s="1"/>
      <c r="AB168" s="1"/>
      <c r="AC168" s="1"/>
      <c r="AD168" s="1"/>
      <c r="AE168" s="1"/>
      <c r="AF168" s="1"/>
      <c r="AG168" s="1"/>
      <c r="AH168" s="1"/>
      <c r="AI168" s="1"/>
      <c r="AJ168" s="1"/>
      <c r="AK168" s="1"/>
      <c r="AL168" s="1"/>
      <c r="AM168" s="1"/>
    </row>
    <row r="169" spans="16:39" x14ac:dyDescent="0.25">
      <c r="P169" s="49"/>
      <c r="Q169" s="1"/>
      <c r="S169" s="1"/>
      <c r="T169" s="1"/>
      <c r="U169" s="1"/>
      <c r="V169" s="1"/>
      <c r="W169" s="1"/>
      <c r="X169" s="1"/>
      <c r="Y169" s="1"/>
      <c r="AB169" s="1"/>
      <c r="AC169" s="1"/>
      <c r="AD169" s="1"/>
      <c r="AE169" s="1"/>
      <c r="AF169" s="1"/>
      <c r="AG169" s="1"/>
      <c r="AH169" s="1"/>
      <c r="AI169" s="1"/>
      <c r="AJ169" s="1"/>
      <c r="AK169" s="1"/>
      <c r="AL169" s="1"/>
      <c r="AM169" s="1"/>
    </row>
    <row r="170" spans="16:39" x14ac:dyDescent="0.25">
      <c r="P170" s="49"/>
      <c r="Q170" s="1"/>
      <c r="S170" s="1"/>
      <c r="T170" s="1"/>
      <c r="U170" s="1"/>
      <c r="V170" s="1"/>
      <c r="W170" s="1"/>
      <c r="X170" s="1"/>
      <c r="Y170" s="1"/>
      <c r="AB170" s="1"/>
      <c r="AC170" s="1"/>
      <c r="AD170" s="1"/>
      <c r="AE170" s="1"/>
      <c r="AF170" s="1"/>
      <c r="AG170" s="1"/>
      <c r="AH170" s="1"/>
      <c r="AI170" s="1"/>
      <c r="AJ170" s="1"/>
      <c r="AK170" s="1"/>
      <c r="AL170" s="1"/>
      <c r="AM170" s="1"/>
    </row>
    <row r="171" spans="16:39" x14ac:dyDescent="0.25">
      <c r="P171" s="49"/>
      <c r="Q171" s="1"/>
      <c r="S171" s="1"/>
      <c r="T171" s="1"/>
      <c r="U171" s="1"/>
      <c r="V171" s="1"/>
      <c r="W171" s="1"/>
      <c r="X171" s="1"/>
      <c r="Y171" s="1"/>
      <c r="AB171" s="1"/>
      <c r="AC171" s="1"/>
      <c r="AD171" s="1"/>
      <c r="AE171" s="1"/>
      <c r="AF171" s="1"/>
      <c r="AG171" s="1"/>
      <c r="AH171" s="1"/>
      <c r="AI171" s="1"/>
      <c r="AJ171" s="1"/>
      <c r="AK171" s="1"/>
      <c r="AL171" s="1"/>
      <c r="AM171" s="1"/>
    </row>
    <row r="172" spans="16:39" x14ac:dyDescent="0.25">
      <c r="P172" s="49"/>
      <c r="Q172" s="1"/>
      <c r="S172" s="1"/>
      <c r="T172" s="1"/>
      <c r="U172" s="1"/>
      <c r="V172" s="1"/>
      <c r="W172" s="1"/>
      <c r="X172" s="1"/>
      <c r="Y172" s="1"/>
      <c r="AB172" s="1"/>
      <c r="AC172" s="1"/>
      <c r="AD172" s="1"/>
      <c r="AE172" s="1"/>
      <c r="AF172" s="1"/>
      <c r="AG172" s="1"/>
      <c r="AH172" s="1"/>
      <c r="AI172" s="1"/>
      <c r="AJ172" s="1"/>
      <c r="AK172" s="1"/>
      <c r="AL172" s="1"/>
      <c r="AM172" s="1"/>
    </row>
    <row r="173" spans="16:39" x14ac:dyDescent="0.25">
      <c r="P173" s="49"/>
      <c r="Q173" s="1"/>
      <c r="S173" s="1"/>
      <c r="T173" s="1"/>
      <c r="U173" s="1"/>
      <c r="V173" s="1"/>
      <c r="W173" s="1"/>
      <c r="X173" s="1"/>
      <c r="Y173" s="1"/>
      <c r="AB173" s="1"/>
      <c r="AC173" s="1"/>
      <c r="AD173" s="1"/>
      <c r="AE173" s="1"/>
      <c r="AF173" s="1"/>
      <c r="AG173" s="1"/>
      <c r="AH173" s="1"/>
      <c r="AI173" s="1"/>
      <c r="AJ173" s="1"/>
      <c r="AK173" s="1"/>
      <c r="AL173" s="1"/>
      <c r="AM173" s="1"/>
    </row>
    <row r="174" spans="16:39" x14ac:dyDescent="0.25">
      <c r="P174" s="49"/>
      <c r="Q174" s="1"/>
      <c r="S174" s="1"/>
      <c r="T174" s="1"/>
      <c r="U174" s="1"/>
      <c r="V174" s="1"/>
      <c r="W174" s="1"/>
      <c r="X174" s="1"/>
      <c r="Y174" s="1"/>
      <c r="AB174" s="1"/>
      <c r="AC174" s="1"/>
      <c r="AD174" s="1"/>
      <c r="AE174" s="1"/>
      <c r="AF174" s="1"/>
      <c r="AG174" s="1"/>
      <c r="AH174" s="1"/>
      <c r="AI174" s="1"/>
      <c r="AJ174" s="1"/>
      <c r="AK174" s="1"/>
      <c r="AL174" s="1"/>
      <c r="AM174" s="1"/>
    </row>
    <row r="175" spans="16:39" x14ac:dyDescent="0.25">
      <c r="P175" s="49"/>
      <c r="Q175" s="1"/>
      <c r="S175" s="1"/>
      <c r="T175" s="1"/>
      <c r="U175" s="1"/>
      <c r="V175" s="1"/>
      <c r="W175" s="1"/>
      <c r="X175" s="1"/>
      <c r="Y175" s="1"/>
      <c r="AB175" s="1"/>
      <c r="AC175" s="1"/>
      <c r="AD175" s="1"/>
      <c r="AE175" s="1"/>
      <c r="AF175" s="1"/>
      <c r="AG175" s="1"/>
      <c r="AH175" s="1"/>
      <c r="AI175" s="1"/>
      <c r="AJ175" s="1"/>
      <c r="AK175" s="1"/>
      <c r="AL175" s="1"/>
      <c r="AM175" s="1"/>
    </row>
    <row r="176" spans="16:39" x14ac:dyDescent="0.25">
      <c r="P176" s="49"/>
      <c r="Q176" s="1"/>
      <c r="S176" s="1"/>
      <c r="T176" s="1"/>
      <c r="U176" s="1"/>
      <c r="V176" s="1"/>
      <c r="W176" s="1"/>
      <c r="X176" s="1"/>
      <c r="Y176" s="1"/>
      <c r="AB176" s="1"/>
      <c r="AC176" s="1"/>
      <c r="AD176" s="1"/>
      <c r="AE176" s="1"/>
      <c r="AF176" s="1"/>
      <c r="AG176" s="1"/>
      <c r="AH176" s="1"/>
      <c r="AI176" s="1"/>
      <c r="AJ176" s="1"/>
      <c r="AK176" s="1"/>
      <c r="AL176" s="1"/>
      <c r="AM176" s="1"/>
    </row>
    <row r="177" spans="16:39" x14ac:dyDescent="0.25">
      <c r="P177" s="49"/>
      <c r="Q177" s="1"/>
      <c r="S177" s="1"/>
      <c r="T177" s="1"/>
      <c r="U177" s="1"/>
      <c r="V177" s="1"/>
      <c r="W177" s="1"/>
      <c r="X177" s="1"/>
      <c r="Y177" s="1"/>
      <c r="AB177" s="1"/>
      <c r="AC177" s="1"/>
      <c r="AD177" s="1"/>
      <c r="AE177" s="1"/>
      <c r="AF177" s="1"/>
      <c r="AG177" s="1"/>
      <c r="AH177" s="1"/>
      <c r="AI177" s="1"/>
      <c r="AJ177" s="1"/>
      <c r="AK177" s="1"/>
      <c r="AL177" s="1"/>
      <c r="AM177" s="1"/>
    </row>
    <row r="178" spans="16:39" x14ac:dyDescent="0.25">
      <c r="P178" s="49"/>
      <c r="Q178" s="1"/>
      <c r="S178" s="1"/>
      <c r="T178" s="1"/>
      <c r="U178" s="1"/>
      <c r="V178" s="1"/>
      <c r="W178" s="1"/>
      <c r="X178" s="1"/>
      <c r="Y178" s="1"/>
      <c r="AB178" s="1"/>
      <c r="AC178" s="1"/>
      <c r="AD178" s="1"/>
      <c r="AE178" s="1"/>
      <c r="AF178" s="1"/>
      <c r="AG178" s="1"/>
      <c r="AH178" s="1"/>
      <c r="AI178" s="1"/>
      <c r="AJ178" s="1"/>
      <c r="AK178" s="1"/>
      <c r="AL178" s="1"/>
      <c r="AM178" s="1"/>
    </row>
    <row r="179" spans="16:39" x14ac:dyDescent="0.25">
      <c r="P179" s="49"/>
      <c r="Q179" s="1"/>
      <c r="S179" s="1"/>
      <c r="T179" s="1"/>
      <c r="U179" s="1"/>
      <c r="V179" s="1"/>
      <c r="W179" s="1"/>
      <c r="X179" s="1"/>
      <c r="Y179" s="1"/>
      <c r="AB179" s="1"/>
      <c r="AC179" s="1"/>
      <c r="AD179" s="1"/>
      <c r="AE179" s="1"/>
      <c r="AF179" s="1"/>
      <c r="AG179" s="1"/>
      <c r="AH179" s="1"/>
      <c r="AI179" s="1"/>
      <c r="AJ179" s="1"/>
      <c r="AK179" s="1"/>
      <c r="AL179" s="1"/>
      <c r="AM179" s="1"/>
    </row>
    <row r="180" spans="16:39" x14ac:dyDescent="0.25">
      <c r="P180" s="49"/>
      <c r="Q180" s="1"/>
      <c r="S180" s="1"/>
      <c r="T180" s="1"/>
      <c r="U180" s="1"/>
      <c r="V180" s="1"/>
      <c r="W180" s="1"/>
      <c r="X180" s="1"/>
      <c r="Y180" s="1"/>
      <c r="AB180" s="1"/>
      <c r="AC180" s="1"/>
      <c r="AD180" s="1"/>
      <c r="AE180" s="1"/>
      <c r="AF180" s="1"/>
      <c r="AG180" s="1"/>
      <c r="AH180" s="1"/>
      <c r="AI180" s="1"/>
      <c r="AJ180" s="1"/>
      <c r="AK180" s="1"/>
      <c r="AL180" s="1"/>
      <c r="AM180" s="1"/>
    </row>
    <row r="181" spans="16:39" x14ac:dyDescent="0.25">
      <c r="P181" s="49"/>
      <c r="Q181" s="1"/>
      <c r="S181" s="1"/>
      <c r="T181" s="1"/>
      <c r="U181" s="1"/>
      <c r="V181" s="1"/>
      <c r="W181" s="1"/>
      <c r="X181" s="1"/>
      <c r="Y181" s="1"/>
      <c r="AB181" s="1"/>
      <c r="AC181" s="1"/>
      <c r="AD181" s="1"/>
      <c r="AE181" s="1"/>
      <c r="AF181" s="1"/>
      <c r="AG181" s="1"/>
      <c r="AH181" s="1"/>
      <c r="AI181" s="1"/>
      <c r="AJ181" s="1"/>
      <c r="AK181" s="1"/>
      <c r="AL181" s="1"/>
      <c r="AM181" s="1"/>
    </row>
    <row r="182" spans="16:39" x14ac:dyDescent="0.25">
      <c r="P182" s="49"/>
      <c r="Q182" s="1"/>
      <c r="S182" s="1"/>
      <c r="T182" s="1"/>
      <c r="U182" s="1"/>
      <c r="V182" s="1"/>
      <c r="W182" s="1"/>
      <c r="X182" s="1"/>
      <c r="Y182" s="1"/>
      <c r="AB182" s="1"/>
      <c r="AC182" s="1"/>
      <c r="AD182" s="1"/>
      <c r="AE182" s="1"/>
      <c r="AF182" s="1"/>
      <c r="AG182" s="1"/>
      <c r="AH182" s="1"/>
      <c r="AI182" s="1"/>
      <c r="AJ182" s="1"/>
      <c r="AK182" s="1"/>
      <c r="AL182" s="1"/>
      <c r="AM182" s="1"/>
    </row>
    <row r="183" spans="16:39" x14ac:dyDescent="0.25">
      <c r="P183" s="49"/>
      <c r="Q183" s="1"/>
      <c r="S183" s="1"/>
      <c r="T183" s="1"/>
      <c r="U183" s="1"/>
      <c r="V183" s="1"/>
      <c r="W183" s="1"/>
      <c r="X183" s="1"/>
      <c r="Y183" s="1"/>
      <c r="AB183" s="1"/>
      <c r="AC183" s="1"/>
      <c r="AD183" s="1"/>
      <c r="AE183" s="1"/>
      <c r="AF183" s="1"/>
      <c r="AG183" s="1"/>
      <c r="AH183" s="1"/>
      <c r="AI183" s="1"/>
      <c r="AJ183" s="1"/>
      <c r="AK183" s="1"/>
      <c r="AL183" s="1"/>
      <c r="AM183" s="1"/>
    </row>
    <row r="184" spans="16:39" x14ac:dyDescent="0.25">
      <c r="P184" s="49"/>
      <c r="Q184" s="1"/>
      <c r="S184" s="1"/>
      <c r="T184" s="1"/>
      <c r="U184" s="1"/>
      <c r="V184" s="1"/>
      <c r="W184" s="1"/>
      <c r="X184" s="1"/>
      <c r="Y184" s="1"/>
      <c r="AB184" s="1"/>
      <c r="AC184" s="1"/>
      <c r="AD184" s="1"/>
      <c r="AE184" s="1"/>
      <c r="AF184" s="1"/>
      <c r="AG184" s="1"/>
      <c r="AH184" s="1"/>
      <c r="AI184" s="1"/>
      <c r="AJ184" s="1"/>
      <c r="AK184" s="1"/>
      <c r="AL184" s="1"/>
      <c r="AM184" s="1"/>
    </row>
    <row r="185" spans="16:39" x14ac:dyDescent="0.25">
      <c r="P185" s="49"/>
      <c r="Q185" s="1"/>
      <c r="S185" s="1"/>
      <c r="T185" s="1"/>
      <c r="U185" s="1"/>
      <c r="V185" s="1"/>
      <c r="W185" s="1"/>
      <c r="X185" s="1"/>
      <c r="Y185" s="1"/>
      <c r="AB185" s="1"/>
      <c r="AC185" s="1"/>
      <c r="AD185" s="1"/>
      <c r="AE185" s="1"/>
      <c r="AF185" s="1"/>
      <c r="AG185" s="1"/>
      <c r="AH185" s="1"/>
      <c r="AI185" s="1"/>
      <c r="AJ185" s="1"/>
      <c r="AK185" s="1"/>
      <c r="AL185" s="1"/>
      <c r="AM185" s="1"/>
    </row>
    <row r="186" spans="16:39" x14ac:dyDescent="0.25">
      <c r="P186" s="49"/>
      <c r="Q186" s="1"/>
      <c r="S186" s="1"/>
      <c r="T186" s="1"/>
      <c r="U186" s="1"/>
      <c r="V186" s="1"/>
      <c r="W186" s="1"/>
      <c r="X186" s="1"/>
      <c r="Y186" s="1"/>
      <c r="AB186" s="1"/>
      <c r="AC186" s="1"/>
      <c r="AD186" s="1"/>
      <c r="AE186" s="1"/>
      <c r="AF186" s="1"/>
      <c r="AG186" s="1"/>
      <c r="AH186" s="1"/>
      <c r="AI186" s="1"/>
      <c r="AJ186" s="1"/>
      <c r="AK186" s="1"/>
      <c r="AL186" s="1"/>
      <c r="AM186" s="1"/>
    </row>
    <row r="187" spans="16:39" x14ac:dyDescent="0.25">
      <c r="P187" s="49"/>
      <c r="Q187" s="1"/>
      <c r="S187" s="1"/>
      <c r="T187" s="1"/>
      <c r="U187" s="1"/>
      <c r="V187" s="1"/>
      <c r="W187" s="1"/>
      <c r="X187" s="1"/>
      <c r="Y187" s="1"/>
      <c r="AB187" s="1"/>
      <c r="AC187" s="1"/>
      <c r="AD187" s="1"/>
      <c r="AE187" s="1"/>
      <c r="AF187" s="1"/>
      <c r="AG187" s="1"/>
      <c r="AH187" s="1"/>
      <c r="AI187" s="1"/>
      <c r="AJ187" s="1"/>
      <c r="AK187" s="1"/>
      <c r="AL187" s="1"/>
      <c r="AM187" s="1"/>
    </row>
    <row r="188" spans="16:39" x14ac:dyDescent="0.25">
      <c r="P188" s="49"/>
      <c r="Q188" s="1"/>
      <c r="S188" s="1"/>
      <c r="T188" s="1"/>
      <c r="U188" s="1"/>
      <c r="V188" s="1"/>
      <c r="W188" s="1"/>
      <c r="X188" s="1"/>
      <c r="Y188" s="1"/>
      <c r="AB188" s="1"/>
      <c r="AC188" s="1"/>
      <c r="AD188" s="1"/>
      <c r="AE188" s="1"/>
      <c r="AF188" s="1"/>
      <c r="AG188" s="1"/>
      <c r="AH188" s="1"/>
      <c r="AI188" s="1"/>
      <c r="AJ188" s="1"/>
      <c r="AK188" s="1"/>
      <c r="AL188" s="1"/>
      <c r="AM188" s="1"/>
    </row>
    <row r="189" spans="16:39" x14ac:dyDescent="0.25">
      <c r="P189" s="49"/>
      <c r="Q189" s="1"/>
      <c r="S189" s="1"/>
      <c r="T189" s="1"/>
      <c r="U189" s="1"/>
      <c r="V189" s="1"/>
      <c r="W189" s="1"/>
      <c r="X189" s="1"/>
      <c r="Y189" s="1"/>
      <c r="AB189" s="1"/>
      <c r="AC189" s="1"/>
      <c r="AD189" s="1"/>
      <c r="AE189" s="1"/>
      <c r="AF189" s="1"/>
      <c r="AG189" s="1"/>
      <c r="AH189" s="1"/>
      <c r="AI189" s="1"/>
      <c r="AJ189" s="1"/>
      <c r="AK189" s="1"/>
      <c r="AL189" s="1"/>
      <c r="AM189" s="1"/>
    </row>
    <row r="190" spans="16:39" x14ac:dyDescent="0.25">
      <c r="P190" s="49"/>
      <c r="Q190" s="1"/>
      <c r="S190" s="1"/>
      <c r="T190" s="1"/>
      <c r="U190" s="1"/>
      <c r="V190" s="1"/>
      <c r="W190" s="1"/>
      <c r="X190" s="1"/>
      <c r="Y190" s="1"/>
      <c r="AB190" s="1"/>
      <c r="AC190" s="1"/>
      <c r="AD190" s="1"/>
      <c r="AE190" s="1"/>
      <c r="AF190" s="1"/>
      <c r="AG190" s="1"/>
      <c r="AH190" s="1"/>
      <c r="AI190" s="1"/>
      <c r="AJ190" s="1"/>
      <c r="AK190" s="1"/>
      <c r="AL190" s="1"/>
      <c r="AM190" s="1"/>
    </row>
    <row r="191" spans="16:39" x14ac:dyDescent="0.25">
      <c r="P191" s="49"/>
      <c r="Q191" s="1"/>
      <c r="S191" s="1"/>
      <c r="T191" s="1"/>
      <c r="U191" s="1"/>
      <c r="V191" s="1"/>
      <c r="W191" s="1"/>
      <c r="X191" s="1"/>
      <c r="Y191" s="1"/>
      <c r="AB191" s="1"/>
      <c r="AC191" s="1"/>
      <c r="AD191" s="1"/>
      <c r="AE191" s="1"/>
      <c r="AF191" s="1"/>
      <c r="AG191" s="1"/>
      <c r="AH191" s="1"/>
      <c r="AI191" s="1"/>
      <c r="AJ191" s="1"/>
      <c r="AK191" s="1"/>
      <c r="AL191" s="1"/>
      <c r="AM191" s="1"/>
    </row>
    <row r="192" spans="16:39" x14ac:dyDescent="0.25">
      <c r="P192" s="49"/>
      <c r="Q192" s="1"/>
      <c r="S192" s="1"/>
      <c r="T192" s="1"/>
      <c r="U192" s="1"/>
      <c r="V192" s="1"/>
      <c r="W192" s="1"/>
      <c r="X192" s="1"/>
      <c r="Y192" s="1"/>
      <c r="AB192" s="1"/>
      <c r="AC192" s="1"/>
      <c r="AD192" s="1"/>
      <c r="AE192" s="1"/>
      <c r="AF192" s="1"/>
      <c r="AG192" s="1"/>
      <c r="AH192" s="1"/>
      <c r="AI192" s="1"/>
      <c r="AJ192" s="1"/>
      <c r="AK192" s="1"/>
      <c r="AL192" s="1"/>
      <c r="AM192" s="1"/>
    </row>
    <row r="193" spans="16:39" x14ac:dyDescent="0.25">
      <c r="P193" s="49"/>
      <c r="Q193" s="1"/>
      <c r="S193" s="1"/>
      <c r="T193" s="1"/>
      <c r="U193" s="1"/>
      <c r="V193" s="1"/>
      <c r="W193" s="1"/>
      <c r="X193" s="1"/>
      <c r="Y193" s="1"/>
      <c r="AB193" s="1"/>
      <c r="AC193" s="1"/>
      <c r="AD193" s="1"/>
      <c r="AE193" s="1"/>
      <c r="AF193" s="1"/>
      <c r="AG193" s="1"/>
      <c r="AH193" s="1"/>
      <c r="AI193" s="1"/>
      <c r="AJ193" s="1"/>
      <c r="AK193" s="1"/>
      <c r="AL193" s="1"/>
      <c r="AM193" s="1"/>
    </row>
    <row r="194" spans="16:39" x14ac:dyDescent="0.25">
      <c r="P194" s="49"/>
      <c r="Q194" s="1"/>
      <c r="S194" s="1"/>
      <c r="T194" s="1"/>
      <c r="U194" s="1"/>
      <c r="V194" s="1"/>
      <c r="W194" s="1"/>
      <c r="X194" s="1"/>
      <c r="Y194" s="1"/>
      <c r="AB194" s="1"/>
      <c r="AC194" s="1"/>
      <c r="AD194" s="1"/>
      <c r="AE194" s="1"/>
      <c r="AF194" s="1"/>
      <c r="AG194" s="1"/>
      <c r="AH194" s="1"/>
      <c r="AI194" s="1"/>
      <c r="AJ194" s="1"/>
      <c r="AK194" s="1"/>
      <c r="AL194" s="1"/>
      <c r="AM194" s="1"/>
    </row>
    <row r="195" spans="16:39" x14ac:dyDescent="0.25">
      <c r="P195" s="49"/>
      <c r="Q195" s="1"/>
      <c r="S195" s="1"/>
      <c r="T195" s="1"/>
      <c r="U195" s="1"/>
      <c r="V195" s="1"/>
      <c r="W195" s="1"/>
      <c r="X195" s="1"/>
      <c r="Y195" s="1"/>
      <c r="AB195" s="1"/>
      <c r="AC195" s="1"/>
      <c r="AD195" s="1"/>
      <c r="AE195" s="1"/>
      <c r="AF195" s="1"/>
      <c r="AG195" s="1"/>
      <c r="AH195" s="1"/>
      <c r="AI195" s="1"/>
      <c r="AJ195" s="1"/>
      <c r="AK195" s="1"/>
      <c r="AL195" s="1"/>
      <c r="AM195" s="1"/>
    </row>
    <row r="196" spans="16:39" x14ac:dyDescent="0.25">
      <c r="P196" s="49"/>
      <c r="Q196" s="1"/>
      <c r="S196" s="1"/>
      <c r="T196" s="1"/>
      <c r="U196" s="1"/>
      <c r="V196" s="1"/>
      <c r="W196" s="1"/>
      <c r="X196" s="1"/>
      <c r="Y196" s="1"/>
      <c r="AB196" s="1"/>
      <c r="AC196" s="1"/>
      <c r="AD196" s="1"/>
      <c r="AE196" s="1"/>
      <c r="AF196" s="1"/>
      <c r="AG196" s="1"/>
      <c r="AH196" s="1"/>
      <c r="AI196" s="1"/>
      <c r="AJ196" s="1"/>
      <c r="AK196" s="1"/>
      <c r="AL196" s="1"/>
      <c r="AM196" s="1"/>
    </row>
    <row r="197" spans="16:39" x14ac:dyDescent="0.25">
      <c r="P197" s="49"/>
      <c r="Q197" s="1"/>
      <c r="S197" s="1"/>
      <c r="T197" s="1"/>
      <c r="U197" s="1"/>
      <c r="V197" s="1"/>
      <c r="W197" s="1"/>
      <c r="X197" s="1"/>
      <c r="Y197" s="1"/>
      <c r="AB197" s="1"/>
      <c r="AC197" s="1"/>
      <c r="AD197" s="1"/>
      <c r="AE197" s="1"/>
      <c r="AF197" s="1"/>
      <c r="AG197" s="1"/>
      <c r="AH197" s="1"/>
      <c r="AI197" s="1"/>
      <c r="AJ197" s="1"/>
      <c r="AK197" s="1"/>
      <c r="AL197" s="1"/>
      <c r="AM197" s="1"/>
    </row>
    <row r="198" spans="16:39" x14ac:dyDescent="0.25">
      <c r="P198" s="49"/>
      <c r="Q198" s="1"/>
      <c r="S198" s="1"/>
      <c r="T198" s="1"/>
      <c r="U198" s="1"/>
      <c r="V198" s="1"/>
      <c r="W198" s="1"/>
      <c r="X198" s="1"/>
      <c r="Y198" s="1"/>
      <c r="AB198" s="1"/>
      <c r="AC198" s="1"/>
      <c r="AD198" s="1"/>
      <c r="AE198" s="1"/>
      <c r="AF198" s="1"/>
      <c r="AG198" s="1"/>
      <c r="AH198" s="1"/>
      <c r="AI198" s="1"/>
      <c r="AJ198" s="1"/>
      <c r="AK198" s="1"/>
      <c r="AL198" s="1"/>
      <c r="AM198" s="1"/>
    </row>
    <row r="199" spans="16:39" x14ac:dyDescent="0.25">
      <c r="P199" s="49"/>
      <c r="Q199" s="1"/>
      <c r="S199" s="1"/>
      <c r="T199" s="1"/>
      <c r="U199" s="1"/>
      <c r="V199" s="1"/>
      <c r="W199" s="1"/>
      <c r="X199" s="1"/>
      <c r="Y199" s="1"/>
      <c r="AB199" s="1"/>
      <c r="AC199" s="1"/>
      <c r="AD199" s="1"/>
      <c r="AE199" s="1"/>
      <c r="AF199" s="1"/>
      <c r="AG199" s="1"/>
      <c r="AH199" s="1"/>
      <c r="AI199" s="1"/>
      <c r="AJ199" s="1"/>
      <c r="AK199" s="1"/>
      <c r="AL199" s="1"/>
      <c r="AM199" s="1"/>
    </row>
    <row r="200" spans="16:39" x14ac:dyDescent="0.25">
      <c r="P200" s="49"/>
      <c r="Q200" s="1"/>
      <c r="S200" s="1"/>
      <c r="T200" s="1"/>
      <c r="U200" s="1"/>
      <c r="V200" s="1"/>
      <c r="W200" s="1"/>
      <c r="X200" s="1"/>
      <c r="Y200" s="1"/>
      <c r="AB200" s="1"/>
      <c r="AC200" s="1"/>
      <c r="AD200" s="1"/>
      <c r="AE200" s="1"/>
      <c r="AF200" s="1"/>
      <c r="AG200" s="1"/>
      <c r="AH200" s="1"/>
      <c r="AI200" s="1"/>
      <c r="AJ200" s="1"/>
      <c r="AK200" s="1"/>
      <c r="AL200" s="1"/>
      <c r="AM200" s="1"/>
    </row>
    <row r="201" spans="16:39" x14ac:dyDescent="0.25">
      <c r="P201" s="49"/>
      <c r="Q201" s="1"/>
      <c r="S201" s="1"/>
      <c r="T201" s="1"/>
      <c r="U201" s="1"/>
      <c r="V201" s="1"/>
      <c r="W201" s="1"/>
      <c r="X201" s="1"/>
      <c r="Y201" s="1"/>
      <c r="AB201" s="1"/>
      <c r="AC201" s="1"/>
      <c r="AD201" s="1"/>
      <c r="AE201" s="1"/>
      <c r="AF201" s="1"/>
      <c r="AG201" s="1"/>
      <c r="AH201" s="1"/>
      <c r="AI201" s="1"/>
      <c r="AJ201" s="1"/>
      <c r="AK201" s="1"/>
      <c r="AL201" s="1"/>
      <c r="AM201" s="1"/>
    </row>
    <row r="202" spans="16:39" x14ac:dyDescent="0.25">
      <c r="P202" s="49"/>
      <c r="Q202" s="1"/>
      <c r="S202" s="1"/>
      <c r="T202" s="1"/>
      <c r="U202" s="1"/>
      <c r="V202" s="1"/>
      <c r="W202" s="1"/>
      <c r="X202" s="1"/>
      <c r="Y202" s="1"/>
      <c r="AB202" s="1"/>
      <c r="AC202" s="1"/>
      <c r="AD202" s="1"/>
      <c r="AE202" s="1"/>
      <c r="AF202" s="1"/>
      <c r="AG202" s="1"/>
      <c r="AH202" s="1"/>
      <c r="AI202" s="1"/>
      <c r="AJ202" s="1"/>
      <c r="AK202" s="1"/>
      <c r="AL202" s="1"/>
      <c r="AM202" s="1"/>
    </row>
    <row r="203" spans="16:39" x14ac:dyDescent="0.25">
      <c r="P203" s="49"/>
      <c r="Q203" s="1"/>
      <c r="S203" s="1"/>
      <c r="T203" s="1"/>
      <c r="U203" s="1"/>
      <c r="V203" s="1"/>
      <c r="W203" s="1"/>
      <c r="X203" s="1"/>
      <c r="Y203" s="1"/>
      <c r="AB203" s="1"/>
      <c r="AC203" s="1"/>
      <c r="AD203" s="1"/>
      <c r="AE203" s="1"/>
      <c r="AF203" s="1"/>
      <c r="AG203" s="1"/>
      <c r="AH203" s="1"/>
      <c r="AI203" s="1"/>
      <c r="AJ203" s="1"/>
      <c r="AK203" s="1"/>
      <c r="AL203" s="1"/>
      <c r="AM203" s="1"/>
    </row>
    <row r="204" spans="16:39" x14ac:dyDescent="0.25">
      <c r="P204" s="49"/>
      <c r="Q204" s="1"/>
      <c r="S204" s="1"/>
      <c r="T204" s="1"/>
      <c r="U204" s="1"/>
      <c r="V204" s="1"/>
      <c r="W204" s="1"/>
      <c r="X204" s="1"/>
      <c r="Y204" s="1"/>
      <c r="AB204" s="1"/>
      <c r="AC204" s="1"/>
      <c r="AD204" s="1"/>
      <c r="AE204" s="1"/>
      <c r="AF204" s="1"/>
      <c r="AG204" s="1"/>
      <c r="AH204" s="1"/>
      <c r="AI204" s="1"/>
      <c r="AJ204" s="1"/>
      <c r="AK204" s="1"/>
      <c r="AL204" s="1"/>
      <c r="AM204" s="1"/>
    </row>
    <row r="205" spans="16:39" x14ac:dyDescent="0.25">
      <c r="P205" s="49"/>
      <c r="Q205" s="1"/>
      <c r="S205" s="1"/>
      <c r="T205" s="1"/>
      <c r="U205" s="1"/>
      <c r="V205" s="1"/>
      <c r="W205" s="1"/>
      <c r="X205" s="1"/>
      <c r="Y205" s="1"/>
      <c r="AB205" s="1"/>
      <c r="AC205" s="1"/>
      <c r="AD205" s="1"/>
      <c r="AE205" s="1"/>
      <c r="AF205" s="1"/>
      <c r="AG205" s="1"/>
      <c r="AH205" s="1"/>
      <c r="AI205" s="1"/>
      <c r="AJ205" s="1"/>
      <c r="AK205" s="1"/>
      <c r="AL205" s="1"/>
      <c r="AM205" s="1"/>
    </row>
    <row r="206" spans="16:39" x14ac:dyDescent="0.25">
      <c r="P206" s="49"/>
      <c r="Q206" s="1"/>
      <c r="S206" s="1"/>
      <c r="T206" s="1"/>
      <c r="U206" s="1"/>
      <c r="V206" s="1"/>
      <c r="W206" s="1"/>
      <c r="X206" s="1"/>
      <c r="Y206" s="1"/>
      <c r="AB206" s="1"/>
      <c r="AC206" s="1"/>
      <c r="AD206" s="1"/>
      <c r="AE206" s="1"/>
      <c r="AF206" s="1"/>
      <c r="AG206" s="1"/>
      <c r="AH206" s="1"/>
      <c r="AI206" s="1"/>
      <c r="AJ206" s="1"/>
      <c r="AK206" s="1"/>
      <c r="AL206" s="1"/>
      <c r="AM206" s="1"/>
    </row>
    <row r="207" spans="16:39" x14ac:dyDescent="0.25">
      <c r="P207" s="49"/>
      <c r="Q207" s="1"/>
      <c r="S207" s="1"/>
      <c r="T207" s="1"/>
      <c r="U207" s="1"/>
      <c r="V207" s="1"/>
      <c r="W207" s="1"/>
      <c r="X207" s="1"/>
      <c r="Y207" s="1"/>
      <c r="AB207" s="1"/>
      <c r="AC207" s="1"/>
      <c r="AD207" s="1"/>
      <c r="AE207" s="1"/>
      <c r="AF207" s="1"/>
      <c r="AG207" s="1"/>
      <c r="AH207" s="1"/>
      <c r="AI207" s="1"/>
      <c r="AJ207" s="1"/>
      <c r="AK207" s="1"/>
      <c r="AL207" s="1"/>
      <c r="AM207" s="1"/>
    </row>
    <row r="208" spans="16:39" x14ac:dyDescent="0.25">
      <c r="P208" s="49"/>
      <c r="Q208" s="1"/>
      <c r="S208" s="1"/>
      <c r="T208" s="1"/>
      <c r="U208" s="1"/>
      <c r="V208" s="1"/>
      <c r="W208" s="1"/>
      <c r="X208" s="1"/>
      <c r="Y208" s="1"/>
      <c r="AB208" s="1"/>
      <c r="AC208" s="1"/>
      <c r="AD208" s="1"/>
      <c r="AE208" s="1"/>
      <c r="AF208" s="1"/>
      <c r="AG208" s="1"/>
      <c r="AH208" s="1"/>
      <c r="AI208" s="1"/>
      <c r="AJ208" s="1"/>
      <c r="AK208" s="1"/>
      <c r="AL208" s="1"/>
      <c r="AM208" s="1"/>
    </row>
    <row r="209" spans="16:39" x14ac:dyDescent="0.25">
      <c r="P209" s="49"/>
      <c r="Q209" s="1"/>
      <c r="S209" s="1"/>
      <c r="T209" s="1"/>
      <c r="U209" s="1"/>
      <c r="V209" s="1"/>
      <c r="W209" s="1"/>
      <c r="X209" s="1"/>
      <c r="Y209" s="1"/>
      <c r="AB209" s="1"/>
      <c r="AC209" s="1"/>
      <c r="AD209" s="1"/>
      <c r="AE209" s="1"/>
      <c r="AF209" s="1"/>
      <c r="AG209" s="1"/>
      <c r="AH209" s="1"/>
      <c r="AI209" s="1"/>
      <c r="AJ209" s="1"/>
      <c r="AK209" s="1"/>
      <c r="AL209" s="1"/>
      <c r="AM209" s="1"/>
    </row>
    <row r="210" spans="16:39" x14ac:dyDescent="0.25">
      <c r="P210" s="49"/>
      <c r="Q210" s="1"/>
      <c r="S210" s="1"/>
      <c r="T210" s="1"/>
      <c r="U210" s="1"/>
      <c r="V210" s="1"/>
      <c r="W210" s="1"/>
      <c r="X210" s="1"/>
      <c r="Y210" s="1"/>
      <c r="AB210" s="1"/>
      <c r="AC210" s="1"/>
      <c r="AD210" s="1"/>
      <c r="AE210" s="1"/>
      <c r="AF210" s="1"/>
      <c r="AG210" s="1"/>
      <c r="AH210" s="1"/>
      <c r="AI210" s="1"/>
      <c r="AJ210" s="1"/>
      <c r="AK210" s="1"/>
      <c r="AL210" s="1"/>
      <c r="AM210" s="1"/>
    </row>
    <row r="211" spans="16:39" x14ac:dyDescent="0.25">
      <c r="P211" s="49"/>
      <c r="Q211" s="1"/>
      <c r="S211" s="1"/>
      <c r="T211" s="1"/>
      <c r="U211" s="1"/>
      <c r="V211" s="1"/>
      <c r="W211" s="1"/>
      <c r="X211" s="1"/>
      <c r="Y211" s="1"/>
      <c r="AB211" s="1"/>
      <c r="AC211" s="1"/>
      <c r="AD211" s="1"/>
      <c r="AE211" s="1"/>
      <c r="AF211" s="1"/>
      <c r="AG211" s="1"/>
      <c r="AH211" s="1"/>
      <c r="AI211" s="1"/>
      <c r="AJ211" s="1"/>
      <c r="AK211" s="1"/>
      <c r="AL211" s="1"/>
      <c r="AM211" s="1"/>
    </row>
    <row r="212" spans="16:39" x14ac:dyDescent="0.25">
      <c r="P212" s="49"/>
      <c r="Q212" s="1"/>
      <c r="S212" s="1"/>
      <c r="T212" s="1"/>
      <c r="U212" s="1"/>
      <c r="V212" s="1"/>
      <c r="W212" s="1"/>
      <c r="X212" s="1"/>
      <c r="Y212" s="1"/>
      <c r="AB212" s="1"/>
      <c r="AC212" s="1"/>
      <c r="AD212" s="1"/>
      <c r="AE212" s="1"/>
      <c r="AF212" s="1"/>
      <c r="AG212" s="1"/>
      <c r="AH212" s="1"/>
      <c r="AI212" s="1"/>
      <c r="AJ212" s="1"/>
      <c r="AK212" s="1"/>
      <c r="AL212" s="1"/>
      <c r="AM212" s="1"/>
    </row>
    <row r="213" spans="16:39" x14ac:dyDescent="0.25">
      <c r="P213" s="49"/>
      <c r="Q213" s="1"/>
      <c r="S213" s="1"/>
      <c r="T213" s="1"/>
      <c r="U213" s="1"/>
      <c r="V213" s="1"/>
      <c r="W213" s="1"/>
      <c r="X213" s="1"/>
      <c r="Y213" s="1"/>
      <c r="AB213" s="1"/>
      <c r="AC213" s="1"/>
      <c r="AD213" s="1"/>
      <c r="AE213" s="1"/>
      <c r="AF213" s="1"/>
      <c r="AG213" s="1"/>
      <c r="AH213" s="1"/>
      <c r="AI213" s="1"/>
      <c r="AJ213" s="1"/>
      <c r="AK213" s="1"/>
      <c r="AL213" s="1"/>
      <c r="AM213" s="1"/>
    </row>
    <row r="214" spans="16:39" x14ac:dyDescent="0.25">
      <c r="P214" s="49"/>
      <c r="Q214" s="1"/>
      <c r="S214" s="1"/>
      <c r="T214" s="1"/>
      <c r="U214" s="1"/>
      <c r="V214" s="1"/>
      <c r="W214" s="1"/>
      <c r="X214" s="1"/>
      <c r="Y214" s="1"/>
      <c r="AB214" s="1"/>
      <c r="AC214" s="1"/>
      <c r="AD214" s="1"/>
      <c r="AE214" s="1"/>
      <c r="AF214" s="1"/>
      <c r="AG214" s="1"/>
      <c r="AH214" s="1"/>
      <c r="AI214" s="1"/>
      <c r="AJ214" s="1"/>
      <c r="AK214" s="1"/>
      <c r="AL214" s="1"/>
      <c r="AM214" s="1"/>
    </row>
    <row r="215" spans="16:39" x14ac:dyDescent="0.25">
      <c r="P215" s="49"/>
      <c r="Q215" s="1"/>
      <c r="S215" s="1"/>
      <c r="T215" s="1"/>
      <c r="U215" s="1"/>
      <c r="V215" s="1"/>
      <c r="W215" s="1"/>
      <c r="X215" s="1"/>
      <c r="Y215" s="1"/>
      <c r="AB215" s="1"/>
      <c r="AC215" s="1"/>
      <c r="AD215" s="1"/>
      <c r="AE215" s="1"/>
      <c r="AF215" s="1"/>
      <c r="AG215" s="1"/>
      <c r="AH215" s="1"/>
      <c r="AI215" s="1"/>
      <c r="AJ215" s="1"/>
      <c r="AK215" s="1"/>
      <c r="AL215" s="1"/>
      <c r="AM215" s="1"/>
    </row>
    <row r="216" spans="16:39" x14ac:dyDescent="0.25">
      <c r="P216" s="49"/>
      <c r="Q216" s="1"/>
      <c r="S216" s="1"/>
      <c r="T216" s="1"/>
      <c r="U216" s="1"/>
      <c r="V216" s="1"/>
      <c r="W216" s="1"/>
      <c r="X216" s="1"/>
      <c r="Y216" s="1"/>
      <c r="AB216" s="1"/>
      <c r="AC216" s="1"/>
      <c r="AD216" s="1"/>
      <c r="AE216" s="1"/>
      <c r="AF216" s="1"/>
      <c r="AG216" s="1"/>
      <c r="AH216" s="1"/>
      <c r="AI216" s="1"/>
      <c r="AJ216" s="1"/>
      <c r="AK216" s="1"/>
      <c r="AL216" s="1"/>
      <c r="AM216" s="1"/>
    </row>
    <row r="217" spans="16:39" x14ac:dyDescent="0.25">
      <c r="P217" s="49"/>
      <c r="Q217" s="1"/>
      <c r="S217" s="1"/>
      <c r="T217" s="1"/>
      <c r="U217" s="1"/>
      <c r="V217" s="1"/>
      <c r="W217" s="1"/>
      <c r="X217" s="1"/>
      <c r="Y217" s="1"/>
      <c r="AB217" s="1"/>
      <c r="AC217" s="1"/>
      <c r="AD217" s="1"/>
      <c r="AE217" s="1"/>
      <c r="AF217" s="1"/>
      <c r="AG217" s="1"/>
      <c r="AH217" s="1"/>
      <c r="AI217" s="1"/>
      <c r="AJ217" s="1"/>
      <c r="AK217" s="1"/>
      <c r="AL217" s="1"/>
      <c r="AM217" s="1"/>
    </row>
    <row r="218" spans="16:39" x14ac:dyDescent="0.25">
      <c r="P218" s="49"/>
      <c r="Q218" s="1"/>
      <c r="S218" s="1"/>
      <c r="T218" s="1"/>
      <c r="U218" s="1"/>
      <c r="V218" s="1"/>
      <c r="W218" s="1"/>
      <c r="X218" s="1"/>
      <c r="Y218" s="1"/>
      <c r="AB218" s="1"/>
      <c r="AC218" s="1"/>
      <c r="AD218" s="1"/>
      <c r="AE218" s="1"/>
      <c r="AF218" s="1"/>
      <c r="AG218" s="1"/>
      <c r="AH218" s="1"/>
      <c r="AI218" s="1"/>
      <c r="AJ218" s="1"/>
      <c r="AK218" s="1"/>
      <c r="AL218" s="1"/>
      <c r="AM218" s="1"/>
    </row>
    <row r="219" spans="16:39" x14ac:dyDescent="0.25">
      <c r="P219" s="49"/>
      <c r="Q219" s="1"/>
      <c r="S219" s="1"/>
      <c r="T219" s="1"/>
      <c r="U219" s="1"/>
      <c r="V219" s="1"/>
      <c r="W219" s="1"/>
      <c r="X219" s="1"/>
      <c r="Y219" s="1"/>
      <c r="AB219" s="1"/>
      <c r="AC219" s="1"/>
      <c r="AD219" s="1"/>
      <c r="AE219" s="1"/>
      <c r="AF219" s="1"/>
      <c r="AG219" s="1"/>
      <c r="AH219" s="1"/>
      <c r="AI219" s="1"/>
      <c r="AJ219" s="1"/>
      <c r="AK219" s="1"/>
      <c r="AL219" s="1"/>
      <c r="AM219" s="1"/>
    </row>
    <row r="220" spans="16:39" x14ac:dyDescent="0.25">
      <c r="P220" s="49"/>
      <c r="Q220" s="1"/>
      <c r="S220" s="1"/>
      <c r="T220" s="1"/>
      <c r="U220" s="1"/>
      <c r="V220" s="1"/>
      <c r="W220" s="1"/>
      <c r="X220" s="1"/>
      <c r="Y220" s="1"/>
      <c r="AB220" s="1"/>
      <c r="AC220" s="1"/>
      <c r="AD220" s="1"/>
      <c r="AE220" s="1"/>
      <c r="AF220" s="1"/>
      <c r="AG220" s="1"/>
      <c r="AH220" s="1"/>
      <c r="AI220" s="1"/>
      <c r="AJ220" s="1"/>
      <c r="AK220" s="1"/>
      <c r="AL220" s="1"/>
      <c r="AM220" s="1"/>
    </row>
    <row r="221" spans="16:39" x14ac:dyDescent="0.25">
      <c r="P221" s="49"/>
      <c r="Q221" s="1"/>
      <c r="S221" s="1"/>
      <c r="T221" s="1"/>
      <c r="U221" s="1"/>
      <c r="V221" s="1"/>
      <c r="W221" s="1"/>
      <c r="X221" s="1"/>
      <c r="Y221" s="1"/>
      <c r="AB221" s="1"/>
      <c r="AC221" s="1"/>
      <c r="AD221" s="1"/>
      <c r="AE221" s="1"/>
      <c r="AF221" s="1"/>
      <c r="AG221" s="1"/>
      <c r="AH221" s="1"/>
      <c r="AI221" s="1"/>
      <c r="AJ221" s="1"/>
      <c r="AK221" s="1"/>
      <c r="AL221" s="1"/>
      <c r="AM221" s="1"/>
    </row>
    <row r="222" spans="16:39" x14ac:dyDescent="0.25">
      <c r="P222" s="49"/>
      <c r="Q222" s="1"/>
      <c r="S222" s="1"/>
      <c r="T222" s="1"/>
      <c r="U222" s="1"/>
      <c r="V222" s="1"/>
      <c r="W222" s="1"/>
      <c r="X222" s="1"/>
      <c r="Y222" s="1"/>
      <c r="AB222" s="1"/>
      <c r="AC222" s="1"/>
      <c r="AD222" s="1"/>
      <c r="AE222" s="1"/>
      <c r="AF222" s="1"/>
      <c r="AG222" s="1"/>
      <c r="AH222" s="1"/>
      <c r="AI222" s="1"/>
      <c r="AJ222" s="1"/>
      <c r="AK222" s="1"/>
      <c r="AL222" s="1"/>
      <c r="AM222" s="1"/>
    </row>
    <row r="223" spans="16:39" x14ac:dyDescent="0.25">
      <c r="P223" s="49"/>
      <c r="Q223" s="1"/>
      <c r="S223" s="1"/>
      <c r="T223" s="1"/>
      <c r="U223" s="1"/>
      <c r="V223" s="1"/>
      <c r="W223" s="1"/>
      <c r="X223" s="1"/>
      <c r="Y223" s="1"/>
      <c r="AB223" s="1"/>
      <c r="AC223" s="1"/>
      <c r="AD223" s="1"/>
      <c r="AE223" s="1"/>
      <c r="AF223" s="1"/>
      <c r="AG223" s="1"/>
      <c r="AH223" s="1"/>
      <c r="AI223" s="1"/>
      <c r="AJ223" s="1"/>
      <c r="AK223" s="1"/>
      <c r="AL223" s="1"/>
      <c r="AM223" s="1"/>
    </row>
    <row r="224" spans="16:39" x14ac:dyDescent="0.25">
      <c r="P224" s="49"/>
      <c r="Q224" s="1"/>
      <c r="S224" s="1"/>
      <c r="T224" s="1"/>
      <c r="U224" s="1"/>
      <c r="V224" s="1"/>
      <c r="W224" s="1"/>
      <c r="X224" s="1"/>
      <c r="Y224" s="1"/>
      <c r="AB224" s="1"/>
      <c r="AC224" s="1"/>
      <c r="AD224" s="1"/>
      <c r="AE224" s="1"/>
      <c r="AF224" s="1"/>
      <c r="AG224" s="1"/>
      <c r="AH224" s="1"/>
      <c r="AI224" s="1"/>
      <c r="AJ224" s="1"/>
      <c r="AK224" s="1"/>
      <c r="AL224" s="1"/>
      <c r="AM224" s="1"/>
    </row>
    <row r="225" spans="16:39" x14ac:dyDescent="0.25">
      <c r="P225" s="49"/>
      <c r="Q225" s="1"/>
      <c r="S225" s="1"/>
      <c r="T225" s="1"/>
      <c r="U225" s="1"/>
      <c r="V225" s="1"/>
      <c r="W225" s="1"/>
      <c r="X225" s="1"/>
      <c r="Y225" s="1"/>
      <c r="AB225" s="1"/>
      <c r="AC225" s="1"/>
      <c r="AD225" s="1"/>
      <c r="AE225" s="1"/>
      <c r="AF225" s="1"/>
      <c r="AG225" s="1"/>
      <c r="AH225" s="1"/>
      <c r="AI225" s="1"/>
      <c r="AJ225" s="1"/>
      <c r="AK225" s="1"/>
      <c r="AL225" s="1"/>
      <c r="AM225" s="1"/>
    </row>
    <row r="226" spans="16:39" x14ac:dyDescent="0.25">
      <c r="P226" s="49"/>
      <c r="Q226" s="1"/>
      <c r="S226" s="1"/>
      <c r="T226" s="1"/>
      <c r="U226" s="1"/>
      <c r="V226" s="1"/>
      <c r="W226" s="1"/>
      <c r="X226" s="1"/>
      <c r="Y226" s="1"/>
      <c r="AB226" s="1"/>
      <c r="AC226" s="1"/>
      <c r="AD226" s="1"/>
      <c r="AE226" s="1"/>
      <c r="AF226" s="1"/>
      <c r="AG226" s="1"/>
      <c r="AH226" s="1"/>
      <c r="AI226" s="1"/>
      <c r="AJ226" s="1"/>
      <c r="AK226" s="1"/>
      <c r="AL226" s="1"/>
      <c r="AM226" s="1"/>
    </row>
    <row r="227" spans="16:39" x14ac:dyDescent="0.25">
      <c r="P227" s="49"/>
      <c r="Q227" s="1"/>
      <c r="S227" s="1"/>
      <c r="T227" s="1"/>
      <c r="U227" s="1"/>
      <c r="V227" s="1"/>
      <c r="W227" s="1"/>
      <c r="X227" s="1"/>
      <c r="Y227" s="1"/>
      <c r="AB227" s="1"/>
      <c r="AC227" s="1"/>
      <c r="AD227" s="1"/>
      <c r="AE227" s="1"/>
      <c r="AF227" s="1"/>
      <c r="AG227" s="1"/>
      <c r="AH227" s="1"/>
      <c r="AI227" s="1"/>
      <c r="AJ227" s="1"/>
      <c r="AK227" s="1"/>
      <c r="AL227" s="1"/>
      <c r="AM227" s="1"/>
    </row>
    <row r="228" spans="16:39" x14ac:dyDescent="0.25">
      <c r="P228" s="49"/>
      <c r="Q228" s="1"/>
      <c r="S228" s="1"/>
      <c r="T228" s="1"/>
      <c r="U228" s="1"/>
      <c r="V228" s="1"/>
      <c r="W228" s="1"/>
      <c r="X228" s="1"/>
      <c r="Y228" s="1"/>
      <c r="AB228" s="1"/>
      <c r="AC228" s="1"/>
      <c r="AD228" s="1"/>
      <c r="AE228" s="1"/>
      <c r="AF228" s="1"/>
      <c r="AG228" s="1"/>
      <c r="AH228" s="1"/>
      <c r="AI228" s="1"/>
      <c r="AJ228" s="1"/>
      <c r="AK228" s="1"/>
      <c r="AL228" s="1"/>
      <c r="AM228" s="1"/>
    </row>
    <row r="229" spans="16:39" x14ac:dyDescent="0.25">
      <c r="P229" s="49"/>
      <c r="Q229" s="1"/>
      <c r="S229" s="1"/>
      <c r="T229" s="1"/>
      <c r="U229" s="1"/>
      <c r="V229" s="1"/>
      <c r="W229" s="1"/>
      <c r="X229" s="1"/>
      <c r="Y229" s="1"/>
      <c r="AB229" s="1"/>
      <c r="AC229" s="1"/>
      <c r="AD229" s="1"/>
      <c r="AE229" s="1"/>
      <c r="AF229" s="1"/>
      <c r="AG229" s="1"/>
      <c r="AH229" s="1"/>
      <c r="AI229" s="1"/>
      <c r="AJ229" s="1"/>
      <c r="AK229" s="1"/>
      <c r="AL229" s="1"/>
      <c r="AM229" s="1"/>
    </row>
    <row r="230" spans="16:39" x14ac:dyDescent="0.25">
      <c r="P230" s="49"/>
      <c r="Q230" s="1"/>
      <c r="S230" s="1"/>
      <c r="T230" s="1"/>
      <c r="U230" s="1"/>
      <c r="V230" s="1"/>
      <c r="W230" s="1"/>
      <c r="X230" s="1"/>
      <c r="Y230" s="1"/>
      <c r="AB230" s="1"/>
      <c r="AC230" s="1"/>
      <c r="AD230" s="1"/>
      <c r="AE230" s="1"/>
      <c r="AF230" s="1"/>
      <c r="AG230" s="1"/>
      <c r="AH230" s="1"/>
      <c r="AI230" s="1"/>
      <c r="AJ230" s="1"/>
      <c r="AK230" s="1"/>
      <c r="AL230" s="1"/>
      <c r="AM230" s="1"/>
    </row>
    <row r="231" spans="16:39" x14ac:dyDescent="0.25">
      <c r="P231" s="49"/>
      <c r="Q231" s="1"/>
      <c r="S231" s="1"/>
      <c r="T231" s="1"/>
      <c r="U231" s="1"/>
      <c r="V231" s="1"/>
      <c r="W231" s="1"/>
      <c r="X231" s="1"/>
      <c r="Y231" s="1"/>
      <c r="AB231" s="1"/>
      <c r="AC231" s="1"/>
      <c r="AD231" s="1"/>
      <c r="AE231" s="1"/>
      <c r="AF231" s="1"/>
      <c r="AG231" s="1"/>
      <c r="AH231" s="1"/>
      <c r="AI231" s="1"/>
      <c r="AJ231" s="1"/>
      <c r="AK231" s="1"/>
      <c r="AL231" s="1"/>
      <c r="AM231" s="1"/>
    </row>
    <row r="232" spans="16:39" x14ac:dyDescent="0.25">
      <c r="P232" s="49"/>
      <c r="Q232" s="1"/>
      <c r="S232" s="1"/>
      <c r="T232" s="1"/>
      <c r="U232" s="1"/>
      <c r="V232" s="1"/>
      <c r="W232" s="1"/>
      <c r="X232" s="1"/>
      <c r="Y232" s="1"/>
      <c r="AB232" s="1"/>
      <c r="AC232" s="1"/>
      <c r="AD232" s="1"/>
      <c r="AE232" s="1"/>
      <c r="AF232" s="1"/>
      <c r="AG232" s="1"/>
      <c r="AH232" s="1"/>
      <c r="AI232" s="1"/>
      <c r="AJ232" s="1"/>
      <c r="AK232" s="1"/>
      <c r="AL232" s="1"/>
      <c r="AM232" s="1"/>
    </row>
    <row r="233" spans="16:39" x14ac:dyDescent="0.25">
      <c r="P233" s="49"/>
      <c r="Q233" s="1"/>
      <c r="S233" s="1"/>
      <c r="T233" s="1"/>
      <c r="U233" s="1"/>
      <c r="V233" s="1"/>
      <c r="W233" s="1"/>
      <c r="X233" s="1"/>
      <c r="Y233" s="1"/>
      <c r="AB233" s="1"/>
      <c r="AC233" s="1"/>
      <c r="AD233" s="1"/>
      <c r="AE233" s="1"/>
      <c r="AF233" s="1"/>
      <c r="AG233" s="1"/>
      <c r="AH233" s="1"/>
      <c r="AI233" s="1"/>
      <c r="AJ233" s="1"/>
      <c r="AK233" s="1"/>
      <c r="AL233" s="1"/>
      <c r="AM233" s="1"/>
    </row>
    <row r="234" spans="16:39" x14ac:dyDescent="0.25">
      <c r="P234" s="49"/>
      <c r="Q234" s="1"/>
      <c r="S234" s="1"/>
      <c r="T234" s="1"/>
      <c r="U234" s="1"/>
      <c r="V234" s="1"/>
      <c r="W234" s="1"/>
      <c r="X234" s="1"/>
      <c r="Y234" s="1"/>
      <c r="AB234" s="1"/>
      <c r="AC234" s="1"/>
      <c r="AD234" s="1"/>
      <c r="AE234" s="1"/>
      <c r="AF234" s="1"/>
      <c r="AG234" s="1"/>
      <c r="AH234" s="1"/>
      <c r="AI234" s="1"/>
      <c r="AJ234" s="1"/>
      <c r="AK234" s="1"/>
      <c r="AL234" s="1"/>
      <c r="AM234" s="1"/>
    </row>
    <row r="235" spans="16:39" x14ac:dyDescent="0.25">
      <c r="P235" s="49"/>
      <c r="Q235" s="1"/>
      <c r="S235" s="1"/>
      <c r="T235" s="1"/>
      <c r="U235" s="1"/>
      <c r="V235" s="1"/>
      <c r="W235" s="1"/>
      <c r="X235" s="1"/>
      <c r="Y235" s="1"/>
      <c r="AB235" s="1"/>
      <c r="AC235" s="1"/>
      <c r="AD235" s="1"/>
      <c r="AE235" s="1"/>
      <c r="AF235" s="1"/>
      <c r="AG235" s="1"/>
      <c r="AH235" s="1"/>
      <c r="AI235" s="1"/>
      <c r="AJ235" s="1"/>
      <c r="AK235" s="1"/>
      <c r="AL235" s="1"/>
      <c r="AM235" s="1"/>
    </row>
    <row r="236" spans="16:39" x14ac:dyDescent="0.25">
      <c r="P236" s="49"/>
      <c r="Q236" s="1"/>
      <c r="S236" s="1"/>
      <c r="T236" s="1"/>
      <c r="U236" s="1"/>
      <c r="V236" s="1"/>
      <c r="W236" s="1"/>
      <c r="X236" s="1"/>
      <c r="Y236" s="1"/>
      <c r="AB236" s="1"/>
      <c r="AC236" s="1"/>
      <c r="AD236" s="1"/>
      <c r="AE236" s="1"/>
      <c r="AF236" s="1"/>
      <c r="AG236" s="1"/>
      <c r="AH236" s="1"/>
      <c r="AI236" s="1"/>
      <c r="AJ236" s="1"/>
      <c r="AK236" s="1"/>
      <c r="AL236" s="1"/>
      <c r="AM236" s="1"/>
    </row>
    <row r="237" spans="16:39" x14ac:dyDescent="0.25">
      <c r="P237" s="49"/>
      <c r="Q237" s="1"/>
      <c r="S237" s="1"/>
      <c r="T237" s="1"/>
      <c r="U237" s="1"/>
      <c r="V237" s="1"/>
      <c r="W237" s="1"/>
      <c r="X237" s="1"/>
      <c r="Y237" s="1"/>
      <c r="AB237" s="1"/>
      <c r="AC237" s="1"/>
      <c r="AD237" s="1"/>
      <c r="AE237" s="1"/>
      <c r="AF237" s="1"/>
      <c r="AG237" s="1"/>
      <c r="AH237" s="1"/>
      <c r="AI237" s="1"/>
      <c r="AJ237" s="1"/>
      <c r="AK237" s="1"/>
      <c r="AL237" s="1"/>
      <c r="AM237" s="1"/>
    </row>
    <row r="238" spans="16:39" x14ac:dyDescent="0.25">
      <c r="P238" s="49"/>
      <c r="Q238" s="1"/>
      <c r="S238" s="1"/>
      <c r="T238" s="1"/>
      <c r="U238" s="1"/>
      <c r="V238" s="1"/>
      <c r="W238" s="1"/>
      <c r="X238" s="1"/>
      <c r="Y238" s="1"/>
      <c r="AB238" s="1"/>
      <c r="AC238" s="1"/>
      <c r="AD238" s="1"/>
      <c r="AE238" s="1"/>
      <c r="AF238" s="1"/>
      <c r="AG238" s="1"/>
      <c r="AH238" s="1"/>
      <c r="AI238" s="1"/>
      <c r="AJ238" s="1"/>
      <c r="AK238" s="1"/>
      <c r="AL238" s="1"/>
      <c r="AM238" s="1"/>
    </row>
    <row r="239" spans="16:39" x14ac:dyDescent="0.25">
      <c r="P239" s="49"/>
      <c r="Q239" s="1"/>
      <c r="S239" s="1"/>
      <c r="T239" s="1"/>
      <c r="U239" s="1"/>
      <c r="V239" s="1"/>
      <c r="W239" s="1"/>
      <c r="X239" s="1"/>
      <c r="Y239" s="1"/>
      <c r="AB239" s="1"/>
      <c r="AC239" s="1"/>
      <c r="AD239" s="1"/>
      <c r="AE239" s="1"/>
      <c r="AF239" s="1"/>
      <c r="AG239" s="1"/>
      <c r="AH239" s="1"/>
      <c r="AI239" s="1"/>
      <c r="AJ239" s="1"/>
      <c r="AK239" s="1"/>
      <c r="AL239" s="1"/>
      <c r="AM239" s="1"/>
    </row>
    <row r="240" spans="16:39" x14ac:dyDescent="0.25">
      <c r="P240" s="49"/>
      <c r="Q240" s="1"/>
      <c r="S240" s="1"/>
      <c r="T240" s="1"/>
      <c r="U240" s="1"/>
      <c r="V240" s="1"/>
      <c r="W240" s="1"/>
      <c r="X240" s="1"/>
      <c r="Y240" s="1"/>
      <c r="AB240" s="1"/>
      <c r="AC240" s="1"/>
      <c r="AD240" s="1"/>
      <c r="AE240" s="1"/>
      <c r="AF240" s="1"/>
      <c r="AG240" s="1"/>
      <c r="AH240" s="1"/>
      <c r="AI240" s="1"/>
      <c r="AJ240" s="1"/>
      <c r="AK240" s="1"/>
      <c r="AL240" s="1"/>
      <c r="AM240" s="1"/>
    </row>
    <row r="241" spans="16:39" x14ac:dyDescent="0.25">
      <c r="P241" s="49"/>
      <c r="Q241" s="1"/>
      <c r="S241" s="1"/>
      <c r="T241" s="1"/>
      <c r="U241" s="1"/>
      <c r="V241" s="1"/>
      <c r="W241" s="1"/>
      <c r="X241" s="1"/>
      <c r="Y241" s="1"/>
      <c r="AB241" s="1"/>
      <c r="AC241" s="1"/>
      <c r="AD241" s="1"/>
      <c r="AE241" s="1"/>
      <c r="AF241" s="1"/>
      <c r="AG241" s="1"/>
      <c r="AH241" s="1"/>
      <c r="AI241" s="1"/>
      <c r="AJ241" s="1"/>
      <c r="AK241" s="1"/>
      <c r="AL241" s="1"/>
      <c r="AM241" s="1"/>
    </row>
    <row r="242" spans="16:39" x14ac:dyDescent="0.25">
      <c r="P242" s="49"/>
      <c r="Q242" s="1"/>
      <c r="S242" s="1"/>
      <c r="T242" s="1"/>
      <c r="U242" s="1"/>
      <c r="V242" s="1"/>
      <c r="W242" s="1"/>
      <c r="X242" s="1"/>
      <c r="Y242" s="1"/>
      <c r="AB242" s="1"/>
      <c r="AC242" s="1"/>
      <c r="AD242" s="1"/>
      <c r="AE242" s="1"/>
      <c r="AF242" s="1"/>
      <c r="AG242" s="1"/>
      <c r="AH242" s="1"/>
      <c r="AI242" s="1"/>
      <c r="AJ242" s="1"/>
      <c r="AK242" s="1"/>
      <c r="AL242" s="1"/>
      <c r="AM242" s="1"/>
    </row>
    <row r="243" spans="16:39" x14ac:dyDescent="0.25">
      <c r="P243" s="49"/>
      <c r="Q243" s="1"/>
      <c r="S243" s="1"/>
      <c r="T243" s="1"/>
      <c r="U243" s="1"/>
      <c r="V243" s="1"/>
      <c r="W243" s="1"/>
      <c r="X243" s="1"/>
      <c r="Y243" s="1"/>
      <c r="AB243" s="1"/>
      <c r="AC243" s="1"/>
      <c r="AD243" s="1"/>
      <c r="AE243" s="1"/>
      <c r="AF243" s="1"/>
      <c r="AG243" s="1"/>
      <c r="AH243" s="1"/>
      <c r="AI243" s="1"/>
      <c r="AJ243" s="1"/>
      <c r="AK243" s="1"/>
      <c r="AL243" s="1"/>
      <c r="AM243" s="1"/>
    </row>
    <row r="244" spans="16:39" x14ac:dyDescent="0.25">
      <c r="P244" s="49"/>
      <c r="Q244" s="1"/>
      <c r="S244" s="1"/>
      <c r="T244" s="1"/>
      <c r="U244" s="1"/>
      <c r="V244" s="1"/>
      <c r="W244" s="1"/>
      <c r="X244" s="1"/>
      <c r="Y244" s="1"/>
      <c r="AB244" s="1"/>
      <c r="AC244" s="1"/>
      <c r="AD244" s="1"/>
      <c r="AE244" s="1"/>
      <c r="AF244" s="1"/>
      <c r="AG244" s="1"/>
      <c r="AH244" s="1"/>
      <c r="AI244" s="1"/>
      <c r="AJ244" s="1"/>
      <c r="AK244" s="1"/>
      <c r="AL244" s="1"/>
      <c r="AM244" s="1"/>
    </row>
    <row r="245" spans="16:39" x14ac:dyDescent="0.25">
      <c r="P245" s="49"/>
      <c r="Q245" s="1"/>
      <c r="S245" s="1"/>
      <c r="T245" s="1"/>
      <c r="U245" s="1"/>
      <c r="V245" s="1"/>
      <c r="W245" s="1"/>
      <c r="X245" s="1"/>
      <c r="Y245" s="1"/>
      <c r="AB245" s="1"/>
      <c r="AC245" s="1"/>
      <c r="AD245" s="1"/>
      <c r="AE245" s="1"/>
      <c r="AF245" s="1"/>
      <c r="AG245" s="1"/>
      <c r="AH245" s="1"/>
      <c r="AI245" s="1"/>
      <c r="AJ245" s="1"/>
      <c r="AK245" s="1"/>
      <c r="AL245" s="1"/>
      <c r="AM245" s="1"/>
    </row>
    <row r="246" spans="16:39" x14ac:dyDescent="0.25">
      <c r="P246" s="49"/>
      <c r="Q246" s="1"/>
      <c r="S246" s="1"/>
      <c r="T246" s="1"/>
      <c r="U246" s="1"/>
      <c r="V246" s="1"/>
      <c r="W246" s="1"/>
      <c r="X246" s="1"/>
      <c r="Y246" s="1"/>
      <c r="AB246" s="1"/>
      <c r="AC246" s="1"/>
      <c r="AD246" s="1"/>
      <c r="AE246" s="1"/>
      <c r="AF246" s="1"/>
      <c r="AG246" s="1"/>
      <c r="AH246" s="1"/>
      <c r="AI246" s="1"/>
      <c r="AJ246" s="1"/>
      <c r="AK246" s="1"/>
      <c r="AL246" s="1"/>
      <c r="AM246" s="1"/>
    </row>
    <row r="247" spans="16:39" x14ac:dyDescent="0.25">
      <c r="P247" s="49"/>
      <c r="Q247" s="1"/>
      <c r="S247" s="1"/>
      <c r="T247" s="1"/>
      <c r="U247" s="1"/>
      <c r="V247" s="1"/>
      <c r="W247" s="1"/>
      <c r="X247" s="1"/>
      <c r="Y247" s="1"/>
      <c r="AB247" s="1"/>
      <c r="AC247" s="1"/>
      <c r="AD247" s="1"/>
      <c r="AE247" s="1"/>
      <c r="AF247" s="1"/>
      <c r="AG247" s="1"/>
      <c r="AH247" s="1"/>
      <c r="AI247" s="1"/>
      <c r="AJ247" s="1"/>
      <c r="AK247" s="1"/>
      <c r="AL247" s="1"/>
      <c r="AM247" s="1"/>
    </row>
    <row r="248" spans="16:39" x14ac:dyDescent="0.25">
      <c r="P248" s="49"/>
      <c r="Q248" s="1"/>
      <c r="S248" s="1"/>
      <c r="T248" s="1"/>
      <c r="U248" s="1"/>
      <c r="V248" s="1"/>
      <c r="W248" s="1"/>
      <c r="X248" s="1"/>
      <c r="Y248" s="1"/>
      <c r="AB248" s="1"/>
      <c r="AC248" s="1"/>
      <c r="AD248" s="1"/>
      <c r="AE248" s="1"/>
      <c r="AF248" s="1"/>
      <c r="AG248" s="1"/>
      <c r="AH248" s="1"/>
      <c r="AI248" s="1"/>
      <c r="AJ248" s="1"/>
      <c r="AK248" s="1"/>
      <c r="AL248" s="1"/>
      <c r="AM248" s="1"/>
    </row>
    <row r="249" spans="16:39" x14ac:dyDescent="0.25">
      <c r="P249" s="49"/>
      <c r="Q249" s="1"/>
      <c r="S249" s="1"/>
      <c r="T249" s="1"/>
      <c r="U249" s="1"/>
      <c r="V249" s="1"/>
      <c r="W249" s="1"/>
      <c r="X249" s="1"/>
      <c r="Y249" s="1"/>
      <c r="AB249" s="1"/>
      <c r="AC249" s="1"/>
      <c r="AD249" s="1"/>
      <c r="AE249" s="1"/>
      <c r="AF249" s="1"/>
      <c r="AG249" s="1"/>
      <c r="AH249" s="1"/>
      <c r="AI249" s="1"/>
      <c r="AJ249" s="1"/>
      <c r="AK249" s="1"/>
      <c r="AL249" s="1"/>
      <c r="AM249" s="1"/>
    </row>
    <row r="250" spans="16:39" x14ac:dyDescent="0.25">
      <c r="P250" s="49"/>
      <c r="Q250" s="1"/>
      <c r="S250" s="1"/>
      <c r="T250" s="1"/>
      <c r="U250" s="1"/>
      <c r="V250" s="1"/>
      <c r="W250" s="1"/>
      <c r="X250" s="1"/>
      <c r="Y250" s="1"/>
      <c r="AB250" s="1"/>
      <c r="AC250" s="1"/>
      <c r="AD250" s="1"/>
      <c r="AE250" s="1"/>
      <c r="AF250" s="1"/>
      <c r="AG250" s="1"/>
      <c r="AH250" s="1"/>
      <c r="AI250" s="1"/>
      <c r="AJ250" s="1"/>
      <c r="AK250" s="1"/>
      <c r="AL250" s="1"/>
      <c r="AM250" s="1"/>
    </row>
    <row r="251" spans="16:39" x14ac:dyDescent="0.25">
      <c r="P251" s="49"/>
      <c r="Q251" s="1"/>
      <c r="S251" s="1"/>
      <c r="T251" s="1"/>
      <c r="U251" s="1"/>
      <c r="V251" s="1"/>
      <c r="W251" s="1"/>
      <c r="X251" s="1"/>
      <c r="Y251" s="1"/>
      <c r="AB251" s="1"/>
      <c r="AC251" s="1"/>
      <c r="AD251" s="1"/>
      <c r="AE251" s="1"/>
      <c r="AF251" s="1"/>
      <c r="AG251" s="1"/>
      <c r="AH251" s="1"/>
      <c r="AI251" s="1"/>
      <c r="AJ251" s="1"/>
      <c r="AK251" s="1"/>
      <c r="AL251" s="1"/>
      <c r="AM251" s="1"/>
    </row>
    <row r="252" spans="16:39" x14ac:dyDescent="0.25">
      <c r="P252" s="49"/>
      <c r="Q252" s="1"/>
      <c r="S252" s="1"/>
      <c r="T252" s="1"/>
      <c r="U252" s="1"/>
      <c r="V252" s="1"/>
      <c r="W252" s="1"/>
      <c r="X252" s="1"/>
      <c r="Y252" s="1"/>
      <c r="AB252" s="1"/>
      <c r="AC252" s="1"/>
      <c r="AD252" s="1"/>
      <c r="AE252" s="1"/>
      <c r="AF252" s="1"/>
      <c r="AG252" s="1"/>
      <c r="AH252" s="1"/>
      <c r="AI252" s="1"/>
      <c r="AJ252" s="1"/>
      <c r="AK252" s="1"/>
      <c r="AL252" s="1"/>
      <c r="AM252" s="1"/>
    </row>
    <row r="253" spans="16:39" x14ac:dyDescent="0.25">
      <c r="P253" s="49"/>
      <c r="Q253" s="1"/>
      <c r="S253" s="1"/>
      <c r="T253" s="1"/>
      <c r="U253" s="1"/>
      <c r="V253" s="1"/>
      <c r="W253" s="1"/>
      <c r="X253" s="1"/>
      <c r="Y253" s="1"/>
      <c r="AB253" s="1"/>
      <c r="AC253" s="1"/>
      <c r="AD253" s="1"/>
      <c r="AE253" s="1"/>
      <c r="AF253" s="1"/>
      <c r="AG253" s="1"/>
      <c r="AH253" s="1"/>
      <c r="AI253" s="1"/>
      <c r="AJ253" s="1"/>
      <c r="AK253" s="1"/>
      <c r="AL253" s="1"/>
      <c r="AM253" s="1"/>
    </row>
    <row r="254" spans="16:39" x14ac:dyDescent="0.25">
      <c r="P254" s="49"/>
      <c r="Q254" s="1"/>
      <c r="S254" s="1"/>
      <c r="T254" s="1"/>
      <c r="U254" s="1"/>
      <c r="V254" s="1"/>
      <c r="W254" s="1"/>
      <c r="X254" s="1"/>
      <c r="Y254" s="1"/>
      <c r="AB254" s="1"/>
      <c r="AC254" s="1"/>
      <c r="AD254" s="1"/>
      <c r="AE254" s="1"/>
      <c r="AF254" s="1"/>
      <c r="AG254" s="1"/>
      <c r="AH254" s="1"/>
      <c r="AI254" s="1"/>
      <c r="AJ254" s="1"/>
      <c r="AK254" s="1"/>
      <c r="AL254" s="1"/>
      <c r="AM254" s="1"/>
    </row>
    <row r="255" spans="16:39" x14ac:dyDescent="0.25">
      <c r="P255" s="49"/>
      <c r="Q255" s="1"/>
      <c r="S255" s="1"/>
      <c r="T255" s="1"/>
      <c r="U255" s="1"/>
      <c r="V255" s="1"/>
      <c r="W255" s="1"/>
      <c r="X255" s="1"/>
      <c r="Y255" s="1"/>
      <c r="AB255" s="1"/>
      <c r="AC255" s="1"/>
      <c r="AD255" s="1"/>
      <c r="AE255" s="1"/>
      <c r="AF255" s="1"/>
      <c r="AG255" s="1"/>
      <c r="AH255" s="1"/>
      <c r="AI255" s="1"/>
      <c r="AJ255" s="1"/>
      <c r="AK255" s="1"/>
      <c r="AL255" s="1"/>
      <c r="AM255" s="1"/>
    </row>
    <row r="256" spans="16:39" x14ac:dyDescent="0.25">
      <c r="P256" s="49"/>
      <c r="Q256" s="1"/>
      <c r="S256" s="1"/>
      <c r="T256" s="1"/>
      <c r="U256" s="1"/>
      <c r="V256" s="1"/>
      <c r="W256" s="1"/>
      <c r="X256" s="1"/>
      <c r="Y256" s="1"/>
      <c r="AB256" s="1"/>
      <c r="AC256" s="1"/>
      <c r="AD256" s="1"/>
      <c r="AE256" s="1"/>
      <c r="AF256" s="1"/>
      <c r="AG256" s="1"/>
      <c r="AH256" s="1"/>
      <c r="AI256" s="1"/>
      <c r="AJ256" s="1"/>
      <c r="AK256" s="1"/>
      <c r="AL256" s="1"/>
      <c r="AM256" s="1"/>
    </row>
    <row r="257" spans="16:39" x14ac:dyDescent="0.25">
      <c r="P257" s="49"/>
      <c r="Q257" s="1"/>
      <c r="S257" s="1"/>
      <c r="T257" s="1"/>
      <c r="U257" s="1"/>
      <c r="V257" s="1"/>
      <c r="W257" s="1"/>
      <c r="X257" s="1"/>
      <c r="Y257" s="1"/>
      <c r="AB257" s="1"/>
      <c r="AC257" s="1"/>
      <c r="AD257" s="1"/>
      <c r="AE257" s="1"/>
      <c r="AF257" s="1"/>
      <c r="AG257" s="1"/>
      <c r="AH257" s="1"/>
      <c r="AI257" s="1"/>
      <c r="AJ257" s="1"/>
      <c r="AK257" s="1"/>
      <c r="AL257" s="1"/>
      <c r="AM257" s="1"/>
    </row>
    <row r="258" spans="16:39" x14ac:dyDescent="0.25">
      <c r="P258" s="49"/>
      <c r="Q258" s="1"/>
      <c r="S258" s="1"/>
      <c r="T258" s="1"/>
      <c r="U258" s="1"/>
      <c r="V258" s="1"/>
      <c r="W258" s="1"/>
      <c r="X258" s="1"/>
      <c r="Y258" s="1"/>
      <c r="AB258" s="1"/>
      <c r="AC258" s="1"/>
      <c r="AD258" s="1"/>
      <c r="AE258" s="1"/>
      <c r="AF258" s="1"/>
      <c r="AG258" s="1"/>
      <c r="AH258" s="1"/>
      <c r="AI258" s="1"/>
      <c r="AJ258" s="1"/>
      <c r="AK258" s="1"/>
      <c r="AL258" s="1"/>
      <c r="AM258" s="1"/>
    </row>
    <row r="259" spans="16:39" x14ac:dyDescent="0.25">
      <c r="P259" s="49"/>
      <c r="Q259" s="1"/>
      <c r="S259" s="1"/>
      <c r="T259" s="1"/>
      <c r="U259" s="1"/>
      <c r="V259" s="1"/>
      <c r="W259" s="1"/>
      <c r="X259" s="1"/>
      <c r="Y259" s="1"/>
      <c r="AB259" s="1"/>
      <c r="AC259" s="1"/>
      <c r="AD259" s="1"/>
      <c r="AE259" s="1"/>
      <c r="AF259" s="1"/>
      <c r="AG259" s="1"/>
      <c r="AH259" s="1"/>
      <c r="AI259" s="1"/>
      <c r="AJ259" s="1"/>
      <c r="AK259" s="1"/>
      <c r="AL259" s="1"/>
      <c r="AM259" s="1"/>
    </row>
    <row r="260" spans="16:39" x14ac:dyDescent="0.25">
      <c r="P260" s="49"/>
      <c r="Q260" s="1"/>
      <c r="S260" s="1"/>
      <c r="T260" s="1"/>
      <c r="U260" s="1"/>
      <c r="V260" s="1"/>
      <c r="W260" s="1"/>
      <c r="X260" s="1"/>
      <c r="Y260" s="1"/>
      <c r="AB260" s="1"/>
      <c r="AC260" s="1"/>
      <c r="AD260" s="1"/>
      <c r="AE260" s="1"/>
      <c r="AF260" s="1"/>
      <c r="AG260" s="1"/>
      <c r="AH260" s="1"/>
      <c r="AI260" s="1"/>
      <c r="AJ260" s="1"/>
      <c r="AK260" s="1"/>
      <c r="AL260" s="1"/>
      <c r="AM260" s="1"/>
    </row>
    <row r="261" spans="16:39" x14ac:dyDescent="0.25">
      <c r="P261" s="49"/>
      <c r="Q261" s="1"/>
      <c r="S261" s="1"/>
      <c r="T261" s="1"/>
      <c r="U261" s="1"/>
      <c r="V261" s="1"/>
      <c r="W261" s="1"/>
      <c r="X261" s="1"/>
      <c r="Y261" s="1"/>
      <c r="AB261" s="1"/>
      <c r="AC261" s="1"/>
      <c r="AD261" s="1"/>
      <c r="AE261" s="1"/>
      <c r="AF261" s="1"/>
      <c r="AG261" s="1"/>
      <c r="AH261" s="1"/>
      <c r="AI261" s="1"/>
      <c r="AJ261" s="1"/>
      <c r="AK261" s="1"/>
      <c r="AL261" s="1"/>
      <c r="AM261" s="1"/>
    </row>
    <row r="262" spans="16:39" x14ac:dyDescent="0.25">
      <c r="P262" s="49"/>
      <c r="Q262" s="1"/>
      <c r="S262" s="1"/>
      <c r="T262" s="1"/>
      <c r="U262" s="1"/>
      <c r="V262" s="1"/>
      <c r="W262" s="1"/>
      <c r="X262" s="1"/>
      <c r="Y262" s="1"/>
      <c r="AB262" s="1"/>
      <c r="AC262" s="1"/>
      <c r="AD262" s="1"/>
      <c r="AE262" s="1"/>
      <c r="AF262" s="1"/>
      <c r="AG262" s="1"/>
      <c r="AH262" s="1"/>
      <c r="AI262" s="1"/>
      <c r="AJ262" s="1"/>
      <c r="AK262" s="1"/>
      <c r="AL262" s="1"/>
      <c r="AM262" s="1"/>
    </row>
    <row r="263" spans="16:39" x14ac:dyDescent="0.25">
      <c r="P263" s="49"/>
      <c r="Q263" s="1"/>
      <c r="S263" s="1"/>
      <c r="T263" s="1"/>
      <c r="U263" s="1"/>
      <c r="V263" s="1"/>
      <c r="W263" s="1"/>
      <c r="X263" s="1"/>
      <c r="Y263" s="1"/>
      <c r="AB263" s="1"/>
      <c r="AC263" s="1"/>
      <c r="AD263" s="1"/>
      <c r="AE263" s="1"/>
      <c r="AF263" s="1"/>
      <c r="AG263" s="1"/>
      <c r="AH263" s="1"/>
      <c r="AI263" s="1"/>
      <c r="AJ263" s="1"/>
      <c r="AK263" s="1"/>
      <c r="AL263" s="1"/>
      <c r="AM263" s="1"/>
    </row>
    <row r="264" spans="16:39" x14ac:dyDescent="0.25">
      <c r="P264" s="49"/>
      <c r="Q264" s="1"/>
      <c r="S264" s="1"/>
      <c r="T264" s="1"/>
      <c r="U264" s="1"/>
      <c r="V264" s="1"/>
      <c r="W264" s="1"/>
      <c r="X264" s="1"/>
      <c r="Y264" s="1"/>
      <c r="AB264" s="1"/>
      <c r="AC264" s="1"/>
      <c r="AD264" s="1"/>
      <c r="AE264" s="1"/>
      <c r="AF264" s="1"/>
      <c r="AG264" s="1"/>
      <c r="AH264" s="1"/>
      <c r="AI264" s="1"/>
      <c r="AJ264" s="1"/>
      <c r="AK264" s="1"/>
      <c r="AL264" s="1"/>
      <c r="AM264" s="1"/>
    </row>
    <row r="265" spans="16:39" x14ac:dyDescent="0.25">
      <c r="P265" s="49"/>
      <c r="Q265" s="1"/>
      <c r="S265" s="1"/>
      <c r="T265" s="1"/>
      <c r="U265" s="1"/>
      <c r="V265" s="1"/>
      <c r="W265" s="1"/>
      <c r="X265" s="1"/>
      <c r="Y265" s="1"/>
      <c r="AB265" s="1"/>
      <c r="AC265" s="1"/>
      <c r="AD265" s="1"/>
      <c r="AE265" s="1"/>
      <c r="AF265" s="1"/>
      <c r="AG265" s="1"/>
      <c r="AH265" s="1"/>
      <c r="AI265" s="1"/>
      <c r="AJ265" s="1"/>
      <c r="AK265" s="1"/>
      <c r="AL265" s="1"/>
      <c r="AM265" s="1"/>
    </row>
    <row r="266" spans="16:39" x14ac:dyDescent="0.25">
      <c r="P266" s="49"/>
      <c r="Q266" s="1"/>
      <c r="S266" s="1"/>
      <c r="T266" s="1"/>
      <c r="U266" s="1"/>
      <c r="V266" s="1"/>
      <c r="W266" s="1"/>
      <c r="X266" s="1"/>
      <c r="Y266" s="1"/>
      <c r="AB266" s="1"/>
      <c r="AC266" s="1"/>
      <c r="AD266" s="1"/>
      <c r="AE266" s="1"/>
      <c r="AF266" s="1"/>
      <c r="AG266" s="1"/>
      <c r="AH266" s="1"/>
      <c r="AI266" s="1"/>
      <c r="AJ266" s="1"/>
      <c r="AK266" s="1"/>
      <c r="AL266" s="1"/>
      <c r="AM266" s="1"/>
    </row>
    <row r="267" spans="16:39" x14ac:dyDescent="0.25">
      <c r="P267" s="49"/>
      <c r="Q267" s="1"/>
      <c r="S267" s="1"/>
      <c r="T267" s="1"/>
      <c r="U267" s="1"/>
      <c r="V267" s="1"/>
      <c r="W267" s="1"/>
      <c r="X267" s="1"/>
      <c r="Y267" s="1"/>
      <c r="AB267" s="1"/>
      <c r="AC267" s="1"/>
      <c r="AD267" s="1"/>
      <c r="AE267" s="1"/>
      <c r="AF267" s="1"/>
      <c r="AG267" s="1"/>
      <c r="AH267" s="1"/>
      <c r="AI267" s="1"/>
      <c r="AJ267" s="1"/>
      <c r="AK267" s="1"/>
      <c r="AL267" s="1"/>
      <c r="AM267" s="1"/>
    </row>
    <row r="268" spans="16:39" x14ac:dyDescent="0.25">
      <c r="P268" s="49"/>
      <c r="Q268" s="1"/>
      <c r="S268" s="1"/>
      <c r="T268" s="1"/>
      <c r="U268" s="1"/>
      <c r="V268" s="1"/>
      <c r="W268" s="1"/>
      <c r="X268" s="1"/>
      <c r="Y268" s="1"/>
      <c r="AB268" s="1"/>
      <c r="AC268" s="1"/>
      <c r="AD268" s="1"/>
      <c r="AE268" s="1"/>
      <c r="AF268" s="1"/>
      <c r="AG268" s="1"/>
      <c r="AH268" s="1"/>
      <c r="AI268" s="1"/>
      <c r="AJ268" s="1"/>
      <c r="AK268" s="1"/>
      <c r="AL268" s="1"/>
      <c r="AM268" s="1"/>
    </row>
    <row r="269" spans="16:39" x14ac:dyDescent="0.25">
      <c r="P269" s="49"/>
      <c r="Q269" s="1"/>
      <c r="S269" s="1"/>
      <c r="T269" s="1"/>
      <c r="U269" s="1"/>
      <c r="V269" s="1"/>
      <c r="W269" s="1"/>
      <c r="X269" s="1"/>
      <c r="Y269" s="1"/>
      <c r="AB269" s="1"/>
      <c r="AC269" s="1"/>
      <c r="AD269" s="1"/>
      <c r="AE269" s="1"/>
      <c r="AF269" s="1"/>
      <c r="AG269" s="1"/>
      <c r="AH269" s="1"/>
      <c r="AI269" s="1"/>
      <c r="AJ269" s="1"/>
      <c r="AK269" s="1"/>
      <c r="AL269" s="1"/>
      <c r="AM269" s="1"/>
    </row>
    <row r="270" spans="16:39" x14ac:dyDescent="0.25">
      <c r="P270" s="49"/>
      <c r="Q270" s="1"/>
      <c r="S270" s="1"/>
      <c r="T270" s="1"/>
      <c r="U270" s="1"/>
      <c r="V270" s="1"/>
      <c r="W270" s="1"/>
      <c r="X270" s="1"/>
      <c r="Y270" s="1"/>
      <c r="AB270" s="1"/>
      <c r="AC270" s="1"/>
      <c r="AD270" s="1"/>
      <c r="AE270" s="1"/>
      <c r="AF270" s="1"/>
      <c r="AG270" s="1"/>
      <c r="AH270" s="1"/>
      <c r="AI270" s="1"/>
      <c r="AJ270" s="1"/>
      <c r="AK270" s="1"/>
      <c r="AL270" s="1"/>
      <c r="AM270" s="1"/>
    </row>
    <row r="271" spans="16:39" x14ac:dyDescent="0.25">
      <c r="P271" s="49"/>
      <c r="Q271" s="1"/>
      <c r="S271" s="1"/>
      <c r="T271" s="1"/>
      <c r="U271" s="1"/>
      <c r="V271" s="1"/>
      <c r="W271" s="1"/>
      <c r="X271" s="1"/>
      <c r="Y271" s="1"/>
      <c r="AB271" s="1"/>
      <c r="AC271" s="1"/>
      <c r="AD271" s="1"/>
      <c r="AE271" s="1"/>
      <c r="AF271" s="1"/>
      <c r="AG271" s="1"/>
      <c r="AH271" s="1"/>
      <c r="AI271" s="1"/>
      <c r="AJ271" s="1"/>
      <c r="AK271" s="1"/>
      <c r="AL271" s="1"/>
      <c r="AM271" s="1"/>
    </row>
    <row r="272" spans="16:39" x14ac:dyDescent="0.25">
      <c r="P272" s="49"/>
      <c r="Q272" s="1"/>
      <c r="S272" s="1"/>
      <c r="T272" s="1"/>
      <c r="U272" s="1"/>
      <c r="V272" s="1"/>
      <c r="W272" s="1"/>
      <c r="X272" s="1"/>
      <c r="Y272" s="1"/>
      <c r="AB272" s="1"/>
      <c r="AC272" s="1"/>
      <c r="AD272" s="1"/>
      <c r="AE272" s="1"/>
      <c r="AF272" s="1"/>
      <c r="AG272" s="1"/>
      <c r="AH272" s="1"/>
      <c r="AI272" s="1"/>
      <c r="AJ272" s="1"/>
      <c r="AK272" s="1"/>
      <c r="AL272" s="1"/>
      <c r="AM272" s="1"/>
    </row>
    <row r="273" spans="16:39" x14ac:dyDescent="0.25">
      <c r="P273" s="49"/>
      <c r="Q273" s="1"/>
      <c r="S273" s="1"/>
      <c r="T273" s="1"/>
      <c r="U273" s="1"/>
      <c r="V273" s="1"/>
      <c r="W273" s="1"/>
      <c r="X273" s="1"/>
      <c r="Y273" s="1"/>
      <c r="AB273" s="1"/>
      <c r="AC273" s="1"/>
      <c r="AD273" s="1"/>
      <c r="AE273" s="1"/>
      <c r="AF273" s="1"/>
      <c r="AG273" s="1"/>
      <c r="AH273" s="1"/>
      <c r="AI273" s="1"/>
      <c r="AJ273" s="1"/>
      <c r="AK273" s="1"/>
      <c r="AL273" s="1"/>
      <c r="AM273" s="1"/>
    </row>
    <row r="274" spans="16:39" x14ac:dyDescent="0.25">
      <c r="P274" s="49"/>
      <c r="Q274" s="1"/>
      <c r="S274" s="1"/>
      <c r="T274" s="1"/>
      <c r="U274" s="1"/>
      <c r="V274" s="1"/>
      <c r="W274" s="1"/>
      <c r="X274" s="1"/>
      <c r="Y274" s="1"/>
      <c r="AB274" s="1"/>
      <c r="AC274" s="1"/>
      <c r="AD274" s="1"/>
      <c r="AE274" s="1"/>
      <c r="AF274" s="1"/>
      <c r="AG274" s="1"/>
      <c r="AH274" s="1"/>
      <c r="AI274" s="1"/>
      <c r="AJ274" s="1"/>
      <c r="AK274" s="1"/>
      <c r="AL274" s="1"/>
      <c r="AM274" s="1"/>
    </row>
    <row r="275" spans="16:39" x14ac:dyDescent="0.25">
      <c r="P275" s="49"/>
      <c r="Q275" s="1"/>
      <c r="S275" s="1"/>
      <c r="T275" s="1"/>
      <c r="U275" s="1"/>
      <c r="V275" s="1"/>
      <c r="W275" s="1"/>
      <c r="X275" s="1"/>
      <c r="Y275" s="1"/>
      <c r="AB275" s="1"/>
      <c r="AC275" s="1"/>
      <c r="AD275" s="1"/>
      <c r="AE275" s="1"/>
      <c r="AF275" s="1"/>
      <c r="AG275" s="1"/>
      <c r="AH275" s="1"/>
      <c r="AI275" s="1"/>
      <c r="AJ275" s="1"/>
      <c r="AK275" s="1"/>
      <c r="AL275" s="1"/>
      <c r="AM275" s="1"/>
    </row>
    <row r="276" spans="16:39" x14ac:dyDescent="0.25">
      <c r="P276" s="49"/>
      <c r="Q276" s="1"/>
      <c r="S276" s="1"/>
      <c r="T276" s="1"/>
      <c r="U276" s="1"/>
      <c r="V276" s="1"/>
      <c r="W276" s="1"/>
      <c r="X276" s="1"/>
      <c r="Y276" s="1"/>
      <c r="AB276" s="1"/>
      <c r="AC276" s="1"/>
      <c r="AD276" s="1"/>
      <c r="AE276" s="1"/>
      <c r="AF276" s="1"/>
      <c r="AG276" s="1"/>
      <c r="AH276" s="1"/>
      <c r="AI276" s="1"/>
      <c r="AJ276" s="1"/>
      <c r="AK276" s="1"/>
      <c r="AL276" s="1"/>
      <c r="AM276" s="1"/>
    </row>
    <row r="277" spans="16:39" x14ac:dyDescent="0.25">
      <c r="P277" s="49"/>
      <c r="Q277" s="1"/>
      <c r="S277" s="1"/>
      <c r="T277" s="1"/>
      <c r="U277" s="1"/>
      <c r="V277" s="1"/>
      <c r="W277" s="1"/>
      <c r="X277" s="1"/>
      <c r="Y277" s="1"/>
      <c r="AB277" s="1"/>
      <c r="AC277" s="1"/>
      <c r="AD277" s="1"/>
      <c r="AE277" s="1"/>
      <c r="AF277" s="1"/>
      <c r="AG277" s="1"/>
      <c r="AH277" s="1"/>
      <c r="AI277" s="1"/>
      <c r="AJ277" s="1"/>
      <c r="AK277" s="1"/>
      <c r="AL277" s="1"/>
      <c r="AM277" s="1"/>
    </row>
    <row r="278" spans="16:39" x14ac:dyDescent="0.25">
      <c r="P278" s="49"/>
      <c r="Q278" s="1"/>
      <c r="S278" s="1"/>
      <c r="T278" s="1"/>
      <c r="U278" s="1"/>
      <c r="V278" s="1"/>
      <c r="W278" s="1"/>
      <c r="X278" s="1"/>
      <c r="Y278" s="1"/>
      <c r="AB278" s="1"/>
      <c r="AC278" s="1"/>
      <c r="AD278" s="1"/>
      <c r="AE278" s="1"/>
      <c r="AF278" s="1"/>
      <c r="AG278" s="1"/>
      <c r="AH278" s="1"/>
      <c r="AI278" s="1"/>
      <c r="AJ278" s="1"/>
      <c r="AK278" s="1"/>
      <c r="AL278" s="1"/>
      <c r="AM278" s="1"/>
    </row>
    <row r="279" spans="16:39" x14ac:dyDescent="0.25">
      <c r="P279" s="49"/>
      <c r="Q279" s="1"/>
      <c r="S279" s="1"/>
      <c r="T279" s="1"/>
      <c r="U279" s="1"/>
      <c r="V279" s="1"/>
      <c r="W279" s="1"/>
      <c r="X279" s="1"/>
      <c r="Y279" s="1"/>
      <c r="AB279" s="1"/>
      <c r="AC279" s="1"/>
      <c r="AD279" s="1"/>
      <c r="AE279" s="1"/>
      <c r="AF279" s="1"/>
      <c r="AG279" s="1"/>
      <c r="AH279" s="1"/>
      <c r="AI279" s="1"/>
      <c r="AJ279" s="1"/>
      <c r="AK279" s="1"/>
      <c r="AL279" s="1"/>
      <c r="AM279" s="1"/>
    </row>
    <row r="280" spans="16:39" x14ac:dyDescent="0.25">
      <c r="P280" s="49"/>
      <c r="Q280" s="1"/>
      <c r="S280" s="1"/>
      <c r="T280" s="1"/>
      <c r="U280" s="1"/>
      <c r="V280" s="1"/>
      <c r="W280" s="1"/>
      <c r="X280" s="1"/>
      <c r="Y280" s="1"/>
      <c r="AB280" s="1"/>
      <c r="AC280" s="1"/>
      <c r="AD280" s="1"/>
      <c r="AE280" s="1"/>
      <c r="AF280" s="1"/>
      <c r="AG280" s="1"/>
      <c r="AH280" s="1"/>
      <c r="AI280" s="1"/>
      <c r="AJ280" s="1"/>
      <c r="AK280" s="1"/>
      <c r="AL280" s="1"/>
      <c r="AM280" s="1"/>
    </row>
    <row r="281" spans="16:39" x14ac:dyDescent="0.25">
      <c r="P281" s="49"/>
      <c r="Q281" s="1"/>
      <c r="S281" s="1"/>
      <c r="T281" s="1"/>
      <c r="U281" s="1"/>
      <c r="V281" s="1"/>
      <c r="W281" s="1"/>
      <c r="X281" s="1"/>
      <c r="Y281" s="1"/>
      <c r="AB281" s="1"/>
      <c r="AC281" s="1"/>
      <c r="AD281" s="1"/>
      <c r="AE281" s="1"/>
      <c r="AF281" s="1"/>
      <c r="AG281" s="1"/>
      <c r="AH281" s="1"/>
      <c r="AI281" s="1"/>
      <c r="AJ281" s="1"/>
      <c r="AK281" s="1"/>
      <c r="AL281" s="1"/>
      <c r="AM281" s="1"/>
    </row>
    <row r="282" spans="16:39" x14ac:dyDescent="0.25">
      <c r="P282" s="49"/>
      <c r="Q282" s="1"/>
      <c r="S282" s="1"/>
      <c r="T282" s="1"/>
      <c r="U282" s="1"/>
      <c r="V282" s="1"/>
      <c r="W282" s="1"/>
      <c r="X282" s="1"/>
      <c r="Y282" s="1"/>
      <c r="AB282" s="1"/>
      <c r="AC282" s="1"/>
      <c r="AD282" s="1"/>
      <c r="AE282" s="1"/>
      <c r="AF282" s="1"/>
      <c r="AG282" s="1"/>
      <c r="AH282" s="1"/>
      <c r="AI282" s="1"/>
      <c r="AJ282" s="1"/>
      <c r="AK282" s="1"/>
      <c r="AL282" s="1"/>
      <c r="AM282" s="1"/>
    </row>
    <row r="283" spans="16:39" x14ac:dyDescent="0.25">
      <c r="P283" s="49"/>
      <c r="Q283" s="1"/>
      <c r="S283" s="1"/>
      <c r="T283" s="1"/>
      <c r="U283" s="1"/>
      <c r="V283" s="1"/>
      <c r="W283" s="1"/>
      <c r="X283" s="1"/>
      <c r="Y283" s="1"/>
      <c r="AB283" s="1"/>
      <c r="AC283" s="1"/>
      <c r="AD283" s="1"/>
      <c r="AE283" s="1"/>
      <c r="AF283" s="1"/>
      <c r="AG283" s="1"/>
      <c r="AH283" s="1"/>
      <c r="AI283" s="1"/>
      <c r="AJ283" s="1"/>
      <c r="AK283" s="1"/>
      <c r="AL283" s="1"/>
      <c r="AM283" s="1"/>
    </row>
    <row r="284" spans="16:39" x14ac:dyDescent="0.25">
      <c r="P284" s="49"/>
      <c r="Q284" s="1"/>
      <c r="S284" s="1"/>
      <c r="T284" s="1"/>
      <c r="U284" s="1"/>
      <c r="V284" s="1"/>
      <c r="W284" s="1"/>
      <c r="X284" s="1"/>
      <c r="Y284" s="1"/>
      <c r="AB284" s="1"/>
      <c r="AC284" s="1"/>
      <c r="AD284" s="1"/>
      <c r="AE284" s="1"/>
      <c r="AF284" s="1"/>
      <c r="AG284" s="1"/>
      <c r="AH284" s="1"/>
      <c r="AI284" s="1"/>
      <c r="AJ284" s="1"/>
      <c r="AK284" s="1"/>
      <c r="AL284" s="1"/>
      <c r="AM284" s="1"/>
    </row>
    <row r="285" spans="16:39" x14ac:dyDescent="0.25">
      <c r="P285" s="49"/>
      <c r="Q285" s="1"/>
      <c r="S285" s="1"/>
      <c r="T285" s="1"/>
      <c r="U285" s="1"/>
      <c r="V285" s="1"/>
      <c r="W285" s="1"/>
      <c r="X285" s="1"/>
      <c r="Y285" s="1"/>
      <c r="AB285" s="1"/>
      <c r="AC285" s="1"/>
      <c r="AD285" s="1"/>
      <c r="AE285" s="1"/>
      <c r="AF285" s="1"/>
      <c r="AG285" s="1"/>
      <c r="AH285" s="1"/>
      <c r="AI285" s="1"/>
      <c r="AJ285" s="1"/>
      <c r="AK285" s="1"/>
      <c r="AL285" s="1"/>
      <c r="AM285" s="1"/>
    </row>
    <row r="286" spans="16:39" x14ac:dyDescent="0.25">
      <c r="P286" s="49"/>
      <c r="Q286" s="1"/>
      <c r="S286" s="1"/>
      <c r="T286" s="1"/>
      <c r="U286" s="1"/>
      <c r="V286" s="1"/>
      <c r="W286" s="1"/>
      <c r="X286" s="1"/>
      <c r="Y286" s="1"/>
      <c r="AB286" s="1"/>
      <c r="AC286" s="1"/>
      <c r="AD286" s="1"/>
      <c r="AE286" s="1"/>
      <c r="AF286" s="1"/>
      <c r="AG286" s="1"/>
      <c r="AH286" s="1"/>
      <c r="AI286" s="1"/>
      <c r="AJ286" s="1"/>
      <c r="AK286" s="1"/>
      <c r="AL286" s="1"/>
      <c r="AM286" s="1"/>
    </row>
    <row r="287" spans="16:39" x14ac:dyDescent="0.25">
      <c r="P287" s="49"/>
      <c r="Q287" s="1"/>
      <c r="S287" s="1"/>
      <c r="T287" s="1"/>
      <c r="U287" s="1"/>
      <c r="V287" s="1"/>
      <c r="W287" s="1"/>
      <c r="X287" s="1"/>
      <c r="Y287" s="1"/>
      <c r="AB287" s="1"/>
      <c r="AC287" s="1"/>
      <c r="AD287" s="1"/>
      <c r="AE287" s="1"/>
      <c r="AF287" s="1"/>
      <c r="AG287" s="1"/>
      <c r="AH287" s="1"/>
      <c r="AI287" s="1"/>
      <c r="AJ287" s="1"/>
      <c r="AK287" s="1"/>
      <c r="AL287" s="1"/>
      <c r="AM287" s="1"/>
    </row>
    <row r="288" spans="16:39" x14ac:dyDescent="0.25">
      <c r="P288" s="49"/>
      <c r="Q288" s="1"/>
      <c r="S288" s="1"/>
      <c r="T288" s="1"/>
      <c r="U288" s="1"/>
      <c r="V288" s="1"/>
      <c r="W288" s="1"/>
      <c r="X288" s="1"/>
      <c r="Y288" s="1"/>
      <c r="AB288" s="1"/>
      <c r="AC288" s="1"/>
      <c r="AD288" s="1"/>
      <c r="AE288" s="1"/>
      <c r="AF288" s="1"/>
      <c r="AG288" s="1"/>
      <c r="AH288" s="1"/>
      <c r="AI288" s="1"/>
      <c r="AJ288" s="1"/>
      <c r="AK288" s="1"/>
      <c r="AL288" s="1"/>
      <c r="AM288" s="1"/>
    </row>
    <row r="289" spans="16:39" x14ac:dyDescent="0.25">
      <c r="P289" s="49"/>
      <c r="Q289" s="1"/>
      <c r="S289" s="1"/>
      <c r="T289" s="1"/>
      <c r="U289" s="1"/>
      <c r="V289" s="1"/>
      <c r="W289" s="1"/>
      <c r="X289" s="1"/>
      <c r="Y289" s="1"/>
      <c r="AB289" s="1"/>
      <c r="AC289" s="1"/>
      <c r="AD289" s="1"/>
      <c r="AE289" s="1"/>
      <c r="AF289" s="1"/>
      <c r="AG289" s="1"/>
      <c r="AH289" s="1"/>
      <c r="AI289" s="1"/>
      <c r="AJ289" s="1"/>
      <c r="AK289" s="1"/>
      <c r="AL289" s="1"/>
      <c r="AM289" s="1"/>
    </row>
    <row r="290" spans="16:39" x14ac:dyDescent="0.25">
      <c r="P290" s="49"/>
      <c r="Q290" s="1"/>
      <c r="S290" s="1"/>
      <c r="T290" s="1"/>
      <c r="U290" s="1"/>
      <c r="V290" s="1"/>
      <c r="W290" s="1"/>
      <c r="X290" s="1"/>
      <c r="Y290" s="1"/>
      <c r="AB290" s="1"/>
      <c r="AC290" s="1"/>
      <c r="AD290" s="1"/>
      <c r="AE290" s="1"/>
      <c r="AF290" s="1"/>
      <c r="AG290" s="1"/>
      <c r="AH290" s="1"/>
      <c r="AI290" s="1"/>
      <c r="AJ290" s="1"/>
      <c r="AK290" s="1"/>
      <c r="AL290" s="1"/>
      <c r="AM290" s="1"/>
    </row>
    <row r="291" spans="16:39" x14ac:dyDescent="0.25">
      <c r="P291" s="49"/>
      <c r="Q291" s="1"/>
      <c r="S291" s="1"/>
      <c r="T291" s="1"/>
      <c r="U291" s="1"/>
      <c r="V291" s="1"/>
      <c r="W291" s="1"/>
      <c r="X291" s="1"/>
      <c r="Y291" s="1"/>
      <c r="AB291" s="1"/>
      <c r="AC291" s="1"/>
      <c r="AD291" s="1"/>
      <c r="AE291" s="1"/>
      <c r="AF291" s="1"/>
      <c r="AG291" s="1"/>
      <c r="AH291" s="1"/>
      <c r="AI291" s="1"/>
      <c r="AJ291" s="1"/>
      <c r="AK291" s="1"/>
      <c r="AL291" s="1"/>
      <c r="AM291" s="1"/>
    </row>
    <row r="292" spans="16:39" x14ac:dyDescent="0.25">
      <c r="P292" s="49"/>
      <c r="Q292" s="1"/>
      <c r="S292" s="1"/>
      <c r="T292" s="1"/>
      <c r="U292" s="1"/>
      <c r="V292" s="1"/>
      <c r="W292" s="1"/>
      <c r="X292" s="1"/>
      <c r="Y292" s="1"/>
      <c r="AB292" s="1"/>
      <c r="AC292" s="1"/>
      <c r="AD292" s="1"/>
      <c r="AE292" s="1"/>
      <c r="AF292" s="1"/>
      <c r="AG292" s="1"/>
      <c r="AH292" s="1"/>
      <c r="AI292" s="1"/>
      <c r="AJ292" s="1"/>
      <c r="AK292" s="1"/>
      <c r="AL292" s="1"/>
      <c r="AM292" s="1"/>
    </row>
    <row r="293" spans="16:39" x14ac:dyDescent="0.25">
      <c r="P293" s="49"/>
      <c r="Q293" s="1"/>
      <c r="S293" s="1"/>
      <c r="T293" s="1"/>
      <c r="U293" s="1"/>
      <c r="V293" s="1"/>
      <c r="W293" s="1"/>
      <c r="X293" s="1"/>
      <c r="Y293" s="1"/>
      <c r="AB293" s="1"/>
      <c r="AC293" s="1"/>
      <c r="AD293" s="1"/>
      <c r="AE293" s="1"/>
      <c r="AF293" s="1"/>
      <c r="AG293" s="1"/>
      <c r="AH293" s="1"/>
      <c r="AI293" s="1"/>
      <c r="AJ293" s="1"/>
      <c r="AK293" s="1"/>
      <c r="AL293" s="1"/>
      <c r="AM293" s="1"/>
    </row>
    <row r="294" spans="16:39" x14ac:dyDescent="0.25">
      <c r="P294" s="49"/>
      <c r="Q294" s="1"/>
      <c r="S294" s="1"/>
      <c r="T294" s="1"/>
      <c r="U294" s="1"/>
      <c r="V294" s="1"/>
      <c r="W294" s="1"/>
      <c r="X294" s="1"/>
      <c r="Y294" s="1"/>
      <c r="AB294" s="1"/>
      <c r="AC294" s="1"/>
      <c r="AD294" s="1"/>
      <c r="AE294" s="1"/>
      <c r="AF294" s="1"/>
      <c r="AG294" s="1"/>
      <c r="AH294" s="1"/>
      <c r="AI294" s="1"/>
      <c r="AJ294" s="1"/>
      <c r="AK294" s="1"/>
      <c r="AL294" s="1"/>
      <c r="AM294" s="1"/>
    </row>
    <row r="295" spans="16:39" x14ac:dyDescent="0.25">
      <c r="P295" s="49"/>
      <c r="Q295" s="1"/>
      <c r="S295" s="1"/>
      <c r="T295" s="1"/>
      <c r="U295" s="1"/>
      <c r="V295" s="1"/>
      <c r="W295" s="1"/>
      <c r="X295" s="1"/>
      <c r="Y295" s="1"/>
      <c r="AB295" s="1"/>
      <c r="AC295" s="1"/>
      <c r="AD295" s="1"/>
      <c r="AE295" s="1"/>
      <c r="AF295" s="1"/>
      <c r="AG295" s="1"/>
      <c r="AH295" s="1"/>
      <c r="AI295" s="1"/>
      <c r="AJ295" s="1"/>
      <c r="AK295" s="1"/>
      <c r="AL295" s="1"/>
      <c r="AM295" s="1"/>
    </row>
    <row r="296" spans="16:39" x14ac:dyDescent="0.25">
      <c r="P296" s="49"/>
      <c r="Q296" s="1"/>
      <c r="S296" s="1"/>
      <c r="T296" s="1"/>
      <c r="U296" s="1"/>
      <c r="V296" s="1"/>
      <c r="W296" s="1"/>
      <c r="X296" s="1"/>
      <c r="Y296" s="1"/>
      <c r="AB296" s="1"/>
      <c r="AC296" s="1"/>
      <c r="AD296" s="1"/>
      <c r="AE296" s="1"/>
      <c r="AF296" s="1"/>
      <c r="AG296" s="1"/>
      <c r="AH296" s="1"/>
      <c r="AI296" s="1"/>
      <c r="AJ296" s="1"/>
      <c r="AK296" s="1"/>
      <c r="AL296" s="1"/>
      <c r="AM296" s="1"/>
    </row>
    <row r="297" spans="16:39" x14ac:dyDescent="0.25">
      <c r="P297" s="49"/>
      <c r="Q297" s="1"/>
      <c r="S297" s="1"/>
      <c r="T297" s="1"/>
      <c r="U297" s="1"/>
      <c r="V297" s="1"/>
      <c r="W297" s="1"/>
      <c r="X297" s="1"/>
      <c r="Y297" s="1"/>
      <c r="AB297" s="1"/>
      <c r="AC297" s="1"/>
      <c r="AD297" s="1"/>
      <c r="AE297" s="1"/>
      <c r="AF297" s="1"/>
      <c r="AG297" s="1"/>
      <c r="AH297" s="1"/>
      <c r="AI297" s="1"/>
      <c r="AJ297" s="1"/>
      <c r="AK297" s="1"/>
      <c r="AL297" s="1"/>
      <c r="AM297" s="1"/>
    </row>
    <row r="298" spans="16:39" x14ac:dyDescent="0.25">
      <c r="P298" s="49"/>
      <c r="Q298" s="1"/>
      <c r="S298" s="1"/>
      <c r="T298" s="1"/>
      <c r="U298" s="1"/>
      <c r="V298" s="1"/>
      <c r="W298" s="1"/>
      <c r="X298" s="1"/>
      <c r="Y298" s="1"/>
      <c r="AB298" s="1"/>
      <c r="AC298" s="1"/>
      <c r="AD298" s="1"/>
      <c r="AE298" s="1"/>
      <c r="AF298" s="1"/>
      <c r="AG298" s="1"/>
      <c r="AH298" s="1"/>
      <c r="AI298" s="1"/>
      <c r="AJ298" s="1"/>
      <c r="AK298" s="1"/>
      <c r="AL298" s="1"/>
      <c r="AM298" s="1"/>
    </row>
    <row r="299" spans="16:39" x14ac:dyDescent="0.25">
      <c r="P299" s="49"/>
      <c r="Q299" s="1"/>
      <c r="S299" s="1"/>
      <c r="T299" s="1"/>
      <c r="U299" s="1"/>
      <c r="V299" s="1"/>
      <c r="W299" s="1"/>
      <c r="X299" s="1"/>
      <c r="Y299" s="1"/>
      <c r="AB299" s="1"/>
      <c r="AC299" s="1"/>
      <c r="AD299" s="1"/>
      <c r="AE299" s="1"/>
      <c r="AF299" s="1"/>
      <c r="AG299" s="1"/>
      <c r="AH299" s="1"/>
      <c r="AI299" s="1"/>
      <c r="AJ299" s="1"/>
      <c r="AK299" s="1"/>
      <c r="AL299" s="1"/>
      <c r="AM299" s="1"/>
    </row>
    <row r="300" spans="16:39" x14ac:dyDescent="0.25">
      <c r="P300" s="49"/>
      <c r="Q300" s="1"/>
      <c r="S300" s="1"/>
      <c r="T300" s="1"/>
      <c r="U300" s="1"/>
      <c r="V300" s="1"/>
      <c r="W300" s="1"/>
      <c r="X300" s="1"/>
      <c r="Y300" s="1"/>
      <c r="AB300" s="1"/>
      <c r="AC300" s="1"/>
      <c r="AD300" s="1"/>
      <c r="AE300" s="1"/>
      <c r="AF300" s="1"/>
      <c r="AG300" s="1"/>
      <c r="AH300" s="1"/>
      <c r="AI300" s="1"/>
      <c r="AJ300" s="1"/>
      <c r="AK300" s="1"/>
      <c r="AL300" s="1"/>
      <c r="AM300" s="1"/>
    </row>
    <row r="301" spans="16:39" x14ac:dyDescent="0.25">
      <c r="P301" s="49"/>
      <c r="Q301" s="1"/>
      <c r="S301" s="1"/>
      <c r="T301" s="1"/>
      <c r="U301" s="1"/>
      <c r="V301" s="1"/>
      <c r="W301" s="1"/>
      <c r="X301" s="1"/>
      <c r="Y301" s="1"/>
      <c r="AB301" s="1"/>
      <c r="AC301" s="1"/>
      <c r="AD301" s="1"/>
      <c r="AE301" s="1"/>
      <c r="AF301" s="1"/>
      <c r="AG301" s="1"/>
      <c r="AH301" s="1"/>
      <c r="AI301" s="1"/>
      <c r="AJ301" s="1"/>
      <c r="AK301" s="1"/>
      <c r="AL301" s="1"/>
      <c r="AM301" s="1"/>
    </row>
    <row r="302" spans="16:39" x14ac:dyDescent="0.25">
      <c r="P302" s="49"/>
      <c r="Q302" s="1"/>
      <c r="S302" s="1"/>
      <c r="T302" s="1"/>
      <c r="U302" s="1"/>
      <c r="V302" s="1"/>
      <c r="W302" s="1"/>
      <c r="X302" s="1"/>
      <c r="Y302" s="1"/>
      <c r="AB302" s="1"/>
      <c r="AC302" s="1"/>
      <c r="AD302" s="1"/>
      <c r="AE302" s="1"/>
      <c r="AF302" s="1"/>
      <c r="AG302" s="1"/>
      <c r="AH302" s="1"/>
      <c r="AI302" s="1"/>
      <c r="AJ302" s="1"/>
      <c r="AK302" s="1"/>
      <c r="AL302" s="1"/>
      <c r="AM302" s="1"/>
    </row>
    <row r="303" spans="16:39" x14ac:dyDescent="0.25">
      <c r="P303" s="49"/>
      <c r="Q303" s="1"/>
      <c r="S303" s="1"/>
      <c r="T303" s="1"/>
      <c r="U303" s="1"/>
      <c r="V303" s="1"/>
      <c r="W303" s="1"/>
      <c r="X303" s="1"/>
      <c r="Y303" s="1"/>
      <c r="AB303" s="1"/>
      <c r="AC303" s="1"/>
      <c r="AD303" s="1"/>
      <c r="AE303" s="1"/>
      <c r="AF303" s="1"/>
      <c r="AG303" s="1"/>
      <c r="AH303" s="1"/>
      <c r="AI303" s="1"/>
      <c r="AJ303" s="1"/>
      <c r="AK303" s="1"/>
      <c r="AL303" s="1"/>
      <c r="AM303" s="1"/>
    </row>
    <row r="304" spans="16:39" x14ac:dyDescent="0.25">
      <c r="P304" s="49"/>
      <c r="Q304" s="1"/>
      <c r="S304" s="1"/>
      <c r="T304" s="1"/>
      <c r="U304" s="1"/>
      <c r="V304" s="1"/>
      <c r="W304" s="1"/>
      <c r="X304" s="1"/>
      <c r="Y304" s="1"/>
      <c r="AB304" s="1"/>
      <c r="AC304" s="1"/>
      <c r="AD304" s="1"/>
      <c r="AE304" s="1"/>
      <c r="AF304" s="1"/>
      <c r="AG304" s="1"/>
      <c r="AH304" s="1"/>
      <c r="AI304" s="1"/>
      <c r="AJ304" s="1"/>
      <c r="AK304" s="1"/>
      <c r="AL304" s="1"/>
      <c r="AM304" s="1"/>
    </row>
    <row r="305" spans="16:39" x14ac:dyDescent="0.25">
      <c r="P305" s="49"/>
      <c r="Q305" s="1"/>
      <c r="S305" s="1"/>
      <c r="T305" s="1"/>
      <c r="U305" s="1"/>
      <c r="V305" s="1"/>
      <c r="W305" s="1"/>
      <c r="X305" s="1"/>
      <c r="Y305" s="1"/>
      <c r="AB305" s="1"/>
      <c r="AC305" s="1"/>
      <c r="AD305" s="1"/>
      <c r="AE305" s="1"/>
      <c r="AF305" s="1"/>
      <c r="AG305" s="1"/>
      <c r="AH305" s="1"/>
      <c r="AI305" s="1"/>
      <c r="AJ305" s="1"/>
      <c r="AK305" s="1"/>
      <c r="AL305" s="1"/>
      <c r="AM305" s="1"/>
    </row>
    <row r="306" spans="16:39" x14ac:dyDescent="0.25">
      <c r="P306" s="49"/>
      <c r="Q306" s="1"/>
      <c r="S306" s="1"/>
      <c r="T306" s="1"/>
      <c r="U306" s="1"/>
      <c r="V306" s="1"/>
      <c r="W306" s="1"/>
      <c r="X306" s="1"/>
      <c r="Y306" s="1"/>
      <c r="AB306" s="1"/>
      <c r="AC306" s="1"/>
      <c r="AD306" s="1"/>
      <c r="AE306" s="1"/>
      <c r="AF306" s="1"/>
      <c r="AG306" s="1"/>
      <c r="AH306" s="1"/>
      <c r="AI306" s="1"/>
      <c r="AJ306" s="1"/>
      <c r="AK306" s="1"/>
      <c r="AL306" s="1"/>
      <c r="AM306" s="1"/>
    </row>
    <row r="307" spans="16:39" x14ac:dyDescent="0.25">
      <c r="P307" s="49"/>
      <c r="Q307" s="1"/>
      <c r="S307" s="1"/>
      <c r="T307" s="1"/>
      <c r="U307" s="1"/>
      <c r="V307" s="1"/>
      <c r="W307" s="1"/>
      <c r="X307" s="1"/>
      <c r="Y307" s="1"/>
      <c r="AB307" s="1"/>
      <c r="AC307" s="1"/>
      <c r="AD307" s="1"/>
      <c r="AE307" s="1"/>
      <c r="AF307" s="1"/>
      <c r="AG307" s="1"/>
      <c r="AH307" s="1"/>
      <c r="AI307" s="1"/>
      <c r="AJ307" s="1"/>
      <c r="AK307" s="1"/>
      <c r="AL307" s="1"/>
      <c r="AM307" s="1"/>
    </row>
    <row r="308" spans="16:39" x14ac:dyDescent="0.25">
      <c r="P308" s="49"/>
      <c r="Q308" s="1"/>
      <c r="S308" s="1"/>
      <c r="T308" s="1"/>
      <c r="U308" s="1"/>
      <c r="V308" s="1"/>
      <c r="W308" s="1"/>
      <c r="X308" s="1"/>
      <c r="Y308" s="1"/>
      <c r="AB308" s="1"/>
      <c r="AC308" s="1"/>
      <c r="AD308" s="1"/>
      <c r="AE308" s="1"/>
      <c r="AF308" s="1"/>
      <c r="AG308" s="1"/>
      <c r="AH308" s="1"/>
      <c r="AI308" s="1"/>
      <c r="AJ308" s="1"/>
      <c r="AK308" s="1"/>
      <c r="AL308" s="1"/>
      <c r="AM308" s="1"/>
    </row>
    <row r="309" spans="16:39" x14ac:dyDescent="0.25">
      <c r="P309" s="49"/>
      <c r="Q309" s="1"/>
      <c r="S309" s="1"/>
      <c r="T309" s="1"/>
      <c r="U309" s="1"/>
      <c r="V309" s="1"/>
      <c r="W309" s="1"/>
      <c r="X309" s="1"/>
      <c r="Y309" s="1"/>
      <c r="AB309" s="1"/>
      <c r="AC309" s="1"/>
      <c r="AD309" s="1"/>
      <c r="AE309" s="1"/>
      <c r="AF309" s="1"/>
      <c r="AG309" s="1"/>
      <c r="AH309" s="1"/>
      <c r="AI309" s="1"/>
      <c r="AJ309" s="1"/>
      <c r="AK309" s="1"/>
      <c r="AL309" s="1"/>
      <c r="AM309" s="1"/>
    </row>
    <row r="310" spans="16:39" x14ac:dyDescent="0.25">
      <c r="P310" s="49"/>
      <c r="Q310" s="1"/>
      <c r="S310" s="1"/>
      <c r="T310" s="1"/>
      <c r="U310" s="1"/>
      <c r="V310" s="1"/>
      <c r="W310" s="1"/>
      <c r="X310" s="1"/>
      <c r="Y310" s="1"/>
      <c r="AB310" s="1"/>
      <c r="AC310" s="1"/>
      <c r="AD310" s="1"/>
      <c r="AE310" s="1"/>
      <c r="AF310" s="1"/>
      <c r="AG310" s="1"/>
      <c r="AH310" s="1"/>
      <c r="AI310" s="1"/>
      <c r="AJ310" s="1"/>
      <c r="AK310" s="1"/>
      <c r="AL310" s="1"/>
      <c r="AM310" s="1"/>
    </row>
    <row r="311" spans="16:39" x14ac:dyDescent="0.25">
      <c r="P311" s="49"/>
      <c r="Q311" s="1"/>
      <c r="S311" s="1"/>
      <c r="T311" s="1"/>
      <c r="U311" s="1"/>
      <c r="V311" s="1"/>
      <c r="W311" s="1"/>
      <c r="X311" s="1"/>
      <c r="Y311" s="1"/>
      <c r="AB311" s="1"/>
      <c r="AC311" s="1"/>
      <c r="AD311" s="1"/>
      <c r="AE311" s="1"/>
      <c r="AF311" s="1"/>
      <c r="AG311" s="1"/>
      <c r="AH311" s="1"/>
      <c r="AI311" s="1"/>
      <c r="AJ311" s="1"/>
      <c r="AK311" s="1"/>
      <c r="AL311" s="1"/>
      <c r="AM311" s="1"/>
    </row>
    <row r="312" spans="16:39" x14ac:dyDescent="0.25">
      <c r="P312" s="49"/>
      <c r="Q312" s="1"/>
      <c r="S312" s="1"/>
      <c r="T312" s="1"/>
      <c r="U312" s="1"/>
      <c r="V312" s="1"/>
      <c r="W312" s="1"/>
      <c r="X312" s="1"/>
      <c r="Y312" s="1"/>
      <c r="AB312" s="1"/>
      <c r="AC312" s="1"/>
      <c r="AD312" s="1"/>
      <c r="AE312" s="1"/>
      <c r="AF312" s="1"/>
      <c r="AG312" s="1"/>
      <c r="AH312" s="1"/>
      <c r="AI312" s="1"/>
      <c r="AJ312" s="1"/>
      <c r="AK312" s="1"/>
      <c r="AL312" s="1"/>
      <c r="AM312" s="1"/>
    </row>
    <row r="313" spans="16:39" x14ac:dyDescent="0.25">
      <c r="P313" s="49"/>
      <c r="Q313" s="1"/>
      <c r="S313" s="1"/>
      <c r="T313" s="1"/>
      <c r="U313" s="1"/>
      <c r="V313" s="1"/>
      <c r="W313" s="1"/>
      <c r="X313" s="1"/>
      <c r="Y313" s="1"/>
      <c r="AB313" s="1"/>
      <c r="AC313" s="1"/>
      <c r="AD313" s="1"/>
      <c r="AE313" s="1"/>
      <c r="AF313" s="1"/>
      <c r="AG313" s="1"/>
      <c r="AH313" s="1"/>
      <c r="AI313" s="1"/>
      <c r="AJ313" s="1"/>
      <c r="AK313" s="1"/>
      <c r="AL313" s="1"/>
      <c r="AM313" s="1"/>
    </row>
    <row r="314" spans="16:39" x14ac:dyDescent="0.25">
      <c r="P314" s="49"/>
      <c r="Q314" s="1"/>
      <c r="S314" s="1"/>
      <c r="T314" s="1"/>
      <c r="U314" s="1"/>
      <c r="V314" s="1"/>
      <c r="W314" s="1"/>
      <c r="X314" s="1"/>
      <c r="Y314" s="1"/>
      <c r="AB314" s="1"/>
      <c r="AC314" s="1"/>
      <c r="AD314" s="1"/>
      <c r="AE314" s="1"/>
      <c r="AF314" s="1"/>
      <c r="AG314" s="1"/>
      <c r="AH314" s="1"/>
      <c r="AI314" s="1"/>
      <c r="AJ314" s="1"/>
      <c r="AK314" s="1"/>
      <c r="AL314" s="1"/>
      <c r="AM314" s="1"/>
    </row>
    <row r="315" spans="16:39" x14ac:dyDescent="0.25">
      <c r="P315" s="49"/>
      <c r="Q315" s="1"/>
      <c r="S315" s="1"/>
      <c r="T315" s="1"/>
      <c r="U315" s="1"/>
      <c r="V315" s="1"/>
      <c r="W315" s="1"/>
      <c r="X315" s="1"/>
      <c r="Y315" s="1"/>
      <c r="AB315" s="1"/>
      <c r="AC315" s="1"/>
      <c r="AD315" s="1"/>
      <c r="AE315" s="1"/>
      <c r="AF315" s="1"/>
      <c r="AG315" s="1"/>
      <c r="AH315" s="1"/>
      <c r="AI315" s="1"/>
      <c r="AJ315" s="1"/>
      <c r="AK315" s="1"/>
      <c r="AL315" s="1"/>
      <c r="AM315" s="1"/>
    </row>
    <row r="316" spans="16:39" x14ac:dyDescent="0.25">
      <c r="P316" s="49"/>
      <c r="Q316" s="1"/>
      <c r="S316" s="1"/>
      <c r="T316" s="1"/>
      <c r="U316" s="1"/>
      <c r="V316" s="1"/>
      <c r="W316" s="1"/>
      <c r="X316" s="1"/>
      <c r="Y316" s="1"/>
      <c r="AB316" s="1"/>
      <c r="AC316" s="1"/>
      <c r="AD316" s="1"/>
      <c r="AE316" s="1"/>
      <c r="AF316" s="1"/>
      <c r="AG316" s="1"/>
      <c r="AH316" s="1"/>
      <c r="AI316" s="1"/>
      <c r="AJ316" s="1"/>
      <c r="AK316" s="1"/>
      <c r="AL316" s="1"/>
      <c r="AM316" s="1"/>
    </row>
    <row r="317" spans="16:39" x14ac:dyDescent="0.25">
      <c r="P317" s="49"/>
      <c r="Q317" s="1"/>
      <c r="S317" s="1"/>
      <c r="T317" s="1"/>
      <c r="U317" s="1"/>
      <c r="V317" s="1"/>
      <c r="W317" s="1"/>
      <c r="X317" s="1"/>
      <c r="Y317" s="1"/>
      <c r="AB317" s="1"/>
      <c r="AC317" s="1"/>
      <c r="AD317" s="1"/>
      <c r="AE317" s="1"/>
      <c r="AF317" s="1"/>
      <c r="AG317" s="1"/>
      <c r="AH317" s="1"/>
      <c r="AI317" s="1"/>
      <c r="AJ317" s="1"/>
      <c r="AK317" s="1"/>
      <c r="AL317" s="1"/>
      <c r="AM317" s="1"/>
    </row>
    <row r="318" spans="16:39" x14ac:dyDescent="0.25">
      <c r="P318" s="49"/>
      <c r="Q318" s="1"/>
      <c r="S318" s="1"/>
      <c r="T318" s="1"/>
      <c r="U318" s="1"/>
      <c r="V318" s="1"/>
      <c r="W318" s="1"/>
      <c r="X318" s="1"/>
      <c r="Y318" s="1"/>
      <c r="AB318" s="1"/>
      <c r="AC318" s="1"/>
      <c r="AD318" s="1"/>
      <c r="AE318" s="1"/>
      <c r="AF318" s="1"/>
      <c r="AG318" s="1"/>
      <c r="AH318" s="1"/>
      <c r="AI318" s="1"/>
      <c r="AJ318" s="1"/>
      <c r="AK318" s="1"/>
      <c r="AL318" s="1"/>
      <c r="AM318" s="1"/>
    </row>
    <row r="319" spans="16:39" x14ac:dyDescent="0.25">
      <c r="P319" s="49"/>
      <c r="Q319" s="1"/>
      <c r="S319" s="1"/>
      <c r="T319" s="1"/>
      <c r="U319" s="1"/>
      <c r="V319" s="1"/>
      <c r="W319" s="1"/>
      <c r="X319" s="1"/>
      <c r="Y319" s="1"/>
      <c r="AB319" s="1"/>
      <c r="AC319" s="1"/>
      <c r="AD319" s="1"/>
      <c r="AE319" s="1"/>
      <c r="AF319" s="1"/>
      <c r="AG319" s="1"/>
      <c r="AH319" s="1"/>
      <c r="AI319" s="1"/>
      <c r="AJ319" s="1"/>
      <c r="AK319" s="1"/>
      <c r="AL319" s="1"/>
      <c r="AM319" s="1"/>
    </row>
    <row r="320" spans="16:39" x14ac:dyDescent="0.25">
      <c r="P320" s="49"/>
      <c r="Q320" s="1"/>
      <c r="S320" s="1"/>
      <c r="T320" s="1"/>
      <c r="U320" s="1"/>
      <c r="V320" s="1"/>
      <c r="W320" s="1"/>
      <c r="X320" s="1"/>
      <c r="Y320" s="1"/>
      <c r="AB320" s="1"/>
      <c r="AC320" s="1"/>
      <c r="AD320" s="1"/>
      <c r="AE320" s="1"/>
      <c r="AF320" s="1"/>
      <c r="AG320" s="1"/>
      <c r="AH320" s="1"/>
      <c r="AI320" s="1"/>
      <c r="AJ320" s="1"/>
      <c r="AK320" s="1"/>
      <c r="AL320" s="1"/>
      <c r="AM320" s="1"/>
    </row>
    <row r="321" spans="16:39" x14ac:dyDescent="0.25">
      <c r="P321" s="49"/>
      <c r="Q321" s="1"/>
      <c r="S321" s="1"/>
      <c r="T321" s="1"/>
      <c r="U321" s="1"/>
      <c r="V321" s="1"/>
      <c r="W321" s="1"/>
      <c r="X321" s="1"/>
      <c r="Y321" s="1"/>
      <c r="AB321" s="1"/>
      <c r="AC321" s="1"/>
      <c r="AD321" s="1"/>
      <c r="AE321" s="1"/>
      <c r="AF321" s="1"/>
      <c r="AG321" s="1"/>
      <c r="AH321" s="1"/>
      <c r="AI321" s="1"/>
      <c r="AJ321" s="1"/>
      <c r="AK321" s="1"/>
      <c r="AL321" s="1"/>
      <c r="AM321" s="1"/>
    </row>
    <row r="322" spans="16:39" x14ac:dyDescent="0.25">
      <c r="P322" s="49"/>
      <c r="Q322" s="1"/>
      <c r="S322" s="1"/>
      <c r="T322" s="1"/>
      <c r="U322" s="1"/>
      <c r="V322" s="1"/>
      <c r="W322" s="1"/>
      <c r="X322" s="1"/>
      <c r="Y322" s="1"/>
      <c r="AB322" s="1"/>
      <c r="AC322" s="1"/>
      <c r="AD322" s="1"/>
      <c r="AE322" s="1"/>
      <c r="AF322" s="1"/>
      <c r="AG322" s="1"/>
      <c r="AH322" s="1"/>
      <c r="AI322" s="1"/>
      <c r="AJ322" s="1"/>
      <c r="AK322" s="1"/>
      <c r="AL322" s="1"/>
      <c r="AM322" s="1"/>
    </row>
    <row r="323" spans="16:39" x14ac:dyDescent="0.25">
      <c r="P323" s="49"/>
      <c r="Q323" s="1"/>
      <c r="S323" s="1"/>
      <c r="T323" s="1"/>
      <c r="U323" s="1"/>
      <c r="V323" s="1"/>
      <c r="W323" s="1"/>
      <c r="X323" s="1"/>
      <c r="Y323" s="1"/>
      <c r="AB323" s="1"/>
      <c r="AC323" s="1"/>
      <c r="AD323" s="1"/>
      <c r="AE323" s="1"/>
      <c r="AF323" s="1"/>
      <c r="AG323" s="1"/>
      <c r="AH323" s="1"/>
      <c r="AI323" s="1"/>
      <c r="AJ323" s="1"/>
      <c r="AK323" s="1"/>
      <c r="AL323" s="1"/>
      <c r="AM323" s="1"/>
    </row>
    <row r="324" spans="16:39" x14ac:dyDescent="0.25">
      <c r="P324" s="49"/>
      <c r="Q324" s="1"/>
      <c r="S324" s="1"/>
      <c r="T324" s="1"/>
      <c r="U324" s="1"/>
      <c r="V324" s="1"/>
      <c r="W324" s="1"/>
      <c r="X324" s="1"/>
      <c r="Y324" s="1"/>
      <c r="AB324" s="1"/>
      <c r="AC324" s="1"/>
      <c r="AD324" s="1"/>
      <c r="AE324" s="1"/>
      <c r="AF324" s="1"/>
      <c r="AG324" s="1"/>
      <c r="AH324" s="1"/>
      <c r="AI324" s="1"/>
      <c r="AJ324" s="1"/>
      <c r="AK324" s="1"/>
      <c r="AL324" s="1"/>
      <c r="AM324" s="1"/>
    </row>
    <row r="325" spans="16:39" x14ac:dyDescent="0.25">
      <c r="P325" s="49"/>
      <c r="Q325" s="1"/>
      <c r="S325" s="1"/>
      <c r="T325" s="1"/>
      <c r="U325" s="1"/>
      <c r="V325" s="1"/>
      <c r="W325" s="1"/>
      <c r="X325" s="1"/>
      <c r="Y325" s="1"/>
      <c r="AB325" s="1"/>
      <c r="AC325" s="1"/>
      <c r="AD325" s="1"/>
      <c r="AE325" s="1"/>
      <c r="AF325" s="1"/>
      <c r="AG325" s="1"/>
      <c r="AH325" s="1"/>
      <c r="AI325" s="1"/>
      <c r="AJ325" s="1"/>
      <c r="AK325" s="1"/>
      <c r="AL325" s="1"/>
      <c r="AM325" s="1"/>
    </row>
    <row r="326" spans="16:39" x14ac:dyDescent="0.25">
      <c r="P326" s="49"/>
      <c r="Q326" s="1"/>
      <c r="S326" s="1"/>
      <c r="T326" s="1"/>
      <c r="U326" s="1"/>
      <c r="V326" s="1"/>
      <c r="W326" s="1"/>
      <c r="X326" s="1"/>
      <c r="Y326" s="1"/>
      <c r="AB326" s="1"/>
      <c r="AC326" s="1"/>
      <c r="AD326" s="1"/>
      <c r="AE326" s="1"/>
      <c r="AF326" s="1"/>
      <c r="AG326" s="1"/>
      <c r="AH326" s="1"/>
      <c r="AI326" s="1"/>
      <c r="AJ326" s="1"/>
      <c r="AK326" s="1"/>
      <c r="AL326" s="1"/>
      <c r="AM326" s="1"/>
    </row>
    <row r="327" spans="16:39" x14ac:dyDescent="0.25">
      <c r="P327" s="49"/>
      <c r="Q327" s="1"/>
      <c r="S327" s="1"/>
      <c r="T327" s="1"/>
      <c r="U327" s="1"/>
      <c r="V327" s="1"/>
      <c r="W327" s="1"/>
      <c r="X327" s="1"/>
      <c r="Y327" s="1"/>
      <c r="AB327" s="1"/>
      <c r="AC327" s="1"/>
      <c r="AD327" s="1"/>
      <c r="AE327" s="1"/>
      <c r="AF327" s="1"/>
      <c r="AG327" s="1"/>
      <c r="AH327" s="1"/>
      <c r="AI327" s="1"/>
      <c r="AJ327" s="1"/>
      <c r="AK327" s="1"/>
      <c r="AL327" s="1"/>
      <c r="AM327" s="1"/>
    </row>
    <row r="328" spans="16:39" x14ac:dyDescent="0.25">
      <c r="P328" s="49"/>
      <c r="Q328" s="1"/>
      <c r="S328" s="1"/>
      <c r="T328" s="1"/>
      <c r="U328" s="1"/>
      <c r="V328" s="1"/>
      <c r="W328" s="1"/>
      <c r="X328" s="1"/>
      <c r="Y328" s="1"/>
      <c r="AB328" s="1"/>
      <c r="AC328" s="1"/>
      <c r="AD328" s="1"/>
      <c r="AE328" s="1"/>
      <c r="AF328" s="1"/>
      <c r="AG328" s="1"/>
      <c r="AH328" s="1"/>
      <c r="AI328" s="1"/>
      <c r="AJ328" s="1"/>
      <c r="AK328" s="1"/>
      <c r="AL328" s="1"/>
      <c r="AM328" s="1"/>
    </row>
    <row r="329" spans="16:39" x14ac:dyDescent="0.25">
      <c r="P329" s="49"/>
      <c r="Q329" s="1"/>
      <c r="S329" s="1"/>
      <c r="T329" s="1"/>
      <c r="U329" s="1"/>
      <c r="V329" s="1"/>
      <c r="W329" s="1"/>
      <c r="X329" s="1"/>
      <c r="Y329" s="1"/>
      <c r="AB329" s="1"/>
      <c r="AC329" s="1"/>
      <c r="AD329" s="1"/>
      <c r="AE329" s="1"/>
      <c r="AF329" s="1"/>
      <c r="AG329" s="1"/>
      <c r="AH329" s="1"/>
      <c r="AI329" s="1"/>
      <c r="AJ329" s="1"/>
      <c r="AK329" s="1"/>
      <c r="AL329" s="1"/>
      <c r="AM329" s="1"/>
    </row>
    <row r="330" spans="16:39" x14ac:dyDescent="0.25">
      <c r="P330" s="49"/>
      <c r="Q330" s="1"/>
      <c r="S330" s="1"/>
      <c r="T330" s="1"/>
      <c r="U330" s="1"/>
      <c r="V330" s="1"/>
      <c r="W330" s="1"/>
      <c r="X330" s="1"/>
      <c r="Y330" s="1"/>
      <c r="AB330" s="1"/>
      <c r="AC330" s="1"/>
      <c r="AD330" s="1"/>
      <c r="AE330" s="1"/>
      <c r="AF330" s="1"/>
      <c r="AG330" s="1"/>
      <c r="AH330" s="1"/>
      <c r="AI330" s="1"/>
      <c r="AJ330" s="1"/>
      <c r="AK330" s="1"/>
      <c r="AL330" s="1"/>
      <c r="AM330" s="1"/>
    </row>
    <row r="331" spans="16:39" x14ac:dyDescent="0.25">
      <c r="P331" s="49"/>
      <c r="Q331" s="1"/>
      <c r="S331" s="1"/>
      <c r="T331" s="1"/>
      <c r="U331" s="1"/>
      <c r="V331" s="1"/>
      <c r="W331" s="1"/>
      <c r="X331" s="1"/>
      <c r="Y331" s="1"/>
      <c r="AB331" s="1"/>
      <c r="AC331" s="1"/>
      <c r="AD331" s="1"/>
      <c r="AE331" s="1"/>
      <c r="AF331" s="1"/>
      <c r="AG331" s="1"/>
      <c r="AH331" s="1"/>
      <c r="AI331" s="1"/>
      <c r="AJ331" s="1"/>
      <c r="AK331" s="1"/>
      <c r="AL331" s="1"/>
      <c r="AM331" s="1"/>
    </row>
    <row r="332" spans="16:39" x14ac:dyDescent="0.25">
      <c r="P332" s="49"/>
      <c r="Q332" s="1"/>
      <c r="S332" s="1"/>
      <c r="T332" s="1"/>
      <c r="U332" s="1"/>
      <c r="V332" s="1"/>
      <c r="W332" s="1"/>
      <c r="X332" s="1"/>
      <c r="Y332" s="1"/>
      <c r="AB332" s="1"/>
      <c r="AC332" s="1"/>
      <c r="AD332" s="1"/>
      <c r="AE332" s="1"/>
      <c r="AF332" s="1"/>
      <c r="AG332" s="1"/>
      <c r="AH332" s="1"/>
      <c r="AI332" s="1"/>
      <c r="AJ332" s="1"/>
      <c r="AK332" s="1"/>
      <c r="AL332" s="1"/>
      <c r="AM332" s="1"/>
    </row>
    <row r="333" spans="16:39" x14ac:dyDescent="0.25">
      <c r="P333" s="49"/>
      <c r="Q333" s="1"/>
      <c r="S333" s="1"/>
      <c r="T333" s="1"/>
      <c r="U333" s="1"/>
      <c r="V333" s="1"/>
      <c r="W333" s="1"/>
      <c r="X333" s="1"/>
      <c r="Y333" s="1"/>
      <c r="AB333" s="1"/>
      <c r="AC333" s="1"/>
      <c r="AD333" s="1"/>
      <c r="AE333" s="1"/>
      <c r="AF333" s="1"/>
      <c r="AG333" s="1"/>
      <c r="AH333" s="1"/>
      <c r="AI333" s="1"/>
      <c r="AJ333" s="1"/>
      <c r="AK333" s="1"/>
      <c r="AL333" s="1"/>
      <c r="AM333" s="1"/>
    </row>
    <row r="334" spans="16:39" x14ac:dyDescent="0.25">
      <c r="P334" s="49"/>
      <c r="Q334" s="1"/>
      <c r="S334" s="1"/>
      <c r="T334" s="1"/>
      <c r="U334" s="1"/>
      <c r="V334" s="1"/>
      <c r="W334" s="1"/>
      <c r="X334" s="1"/>
      <c r="Y334" s="1"/>
      <c r="AB334" s="1"/>
      <c r="AC334" s="1"/>
      <c r="AD334" s="1"/>
      <c r="AE334" s="1"/>
      <c r="AF334" s="1"/>
      <c r="AG334" s="1"/>
      <c r="AH334" s="1"/>
      <c r="AI334" s="1"/>
      <c r="AJ334" s="1"/>
      <c r="AK334" s="1"/>
      <c r="AL334" s="1"/>
      <c r="AM334" s="1"/>
    </row>
    <row r="335" spans="16:39" x14ac:dyDescent="0.25">
      <c r="P335" s="49"/>
      <c r="Q335" s="1"/>
      <c r="S335" s="1"/>
      <c r="T335" s="1"/>
      <c r="U335" s="1"/>
      <c r="V335" s="1"/>
      <c r="W335" s="1"/>
      <c r="X335" s="1"/>
      <c r="Y335" s="1"/>
      <c r="AB335" s="1"/>
      <c r="AC335" s="1"/>
      <c r="AD335" s="1"/>
      <c r="AE335" s="1"/>
      <c r="AF335" s="1"/>
      <c r="AG335" s="1"/>
      <c r="AH335" s="1"/>
      <c r="AI335" s="1"/>
      <c r="AJ335" s="1"/>
      <c r="AK335" s="1"/>
      <c r="AL335" s="1"/>
      <c r="AM335" s="1"/>
    </row>
    <row r="336" spans="16:39" x14ac:dyDescent="0.25">
      <c r="P336" s="49"/>
      <c r="Q336" s="1"/>
      <c r="S336" s="1"/>
      <c r="T336" s="1"/>
      <c r="U336" s="1"/>
      <c r="V336" s="1"/>
      <c r="W336" s="1"/>
      <c r="X336" s="1"/>
      <c r="Y336" s="1"/>
      <c r="AB336" s="1"/>
      <c r="AC336" s="1"/>
      <c r="AD336" s="1"/>
      <c r="AE336" s="1"/>
      <c r="AF336" s="1"/>
      <c r="AG336" s="1"/>
      <c r="AH336" s="1"/>
      <c r="AI336" s="1"/>
      <c r="AJ336" s="1"/>
      <c r="AK336" s="1"/>
      <c r="AL336" s="1"/>
      <c r="AM336" s="1"/>
    </row>
    <row r="337" spans="16:39" x14ac:dyDescent="0.25">
      <c r="P337" s="49"/>
      <c r="Q337" s="1"/>
      <c r="S337" s="1"/>
      <c r="T337" s="1"/>
      <c r="U337" s="1"/>
      <c r="V337" s="1"/>
      <c r="W337" s="1"/>
      <c r="X337" s="1"/>
      <c r="Y337" s="1"/>
      <c r="AB337" s="1"/>
      <c r="AC337" s="1"/>
      <c r="AD337" s="1"/>
      <c r="AE337" s="1"/>
      <c r="AF337" s="1"/>
      <c r="AG337" s="1"/>
      <c r="AH337" s="1"/>
      <c r="AI337" s="1"/>
      <c r="AJ337" s="1"/>
      <c r="AK337" s="1"/>
      <c r="AL337" s="1"/>
      <c r="AM337" s="1"/>
    </row>
    <row r="338" spans="16:39" x14ac:dyDescent="0.25">
      <c r="P338" s="49"/>
      <c r="Q338" s="1"/>
      <c r="S338" s="1"/>
      <c r="T338" s="1"/>
      <c r="U338" s="1"/>
      <c r="V338" s="1"/>
      <c r="W338" s="1"/>
      <c r="X338" s="1"/>
      <c r="Y338" s="1"/>
      <c r="AB338" s="1"/>
      <c r="AC338" s="1"/>
      <c r="AD338" s="1"/>
      <c r="AE338" s="1"/>
      <c r="AF338" s="1"/>
      <c r="AG338" s="1"/>
      <c r="AH338" s="1"/>
      <c r="AI338" s="1"/>
      <c r="AJ338" s="1"/>
      <c r="AK338" s="1"/>
      <c r="AL338" s="1"/>
      <c r="AM338" s="1"/>
    </row>
    <row r="339" spans="16:39" x14ac:dyDescent="0.25">
      <c r="P339" s="49"/>
      <c r="Q339" s="1"/>
      <c r="S339" s="1"/>
      <c r="T339" s="1"/>
      <c r="U339" s="1"/>
      <c r="V339" s="1"/>
      <c r="W339" s="1"/>
      <c r="X339" s="1"/>
      <c r="Y339" s="1"/>
      <c r="AB339" s="1"/>
      <c r="AC339" s="1"/>
      <c r="AD339" s="1"/>
      <c r="AE339" s="1"/>
      <c r="AF339" s="1"/>
      <c r="AG339" s="1"/>
      <c r="AH339" s="1"/>
      <c r="AI339" s="1"/>
      <c r="AJ339" s="1"/>
      <c r="AK339" s="1"/>
      <c r="AL339" s="1"/>
      <c r="AM339" s="1"/>
    </row>
    <row r="340" spans="16:39" x14ac:dyDescent="0.25">
      <c r="P340" s="49"/>
      <c r="Q340" s="1"/>
      <c r="S340" s="1"/>
      <c r="T340" s="1"/>
      <c r="U340" s="1"/>
      <c r="V340" s="1"/>
      <c r="W340" s="1"/>
      <c r="X340" s="1"/>
      <c r="Y340" s="1"/>
      <c r="AB340" s="1"/>
      <c r="AC340" s="1"/>
      <c r="AD340" s="1"/>
      <c r="AE340" s="1"/>
      <c r="AF340" s="1"/>
      <c r="AG340" s="1"/>
      <c r="AH340" s="1"/>
      <c r="AI340" s="1"/>
      <c r="AJ340" s="1"/>
      <c r="AK340" s="1"/>
      <c r="AL340" s="1"/>
      <c r="AM340" s="1"/>
    </row>
    <row r="341" spans="16:39" x14ac:dyDescent="0.25">
      <c r="P341" s="49"/>
      <c r="Q341" s="1"/>
      <c r="S341" s="1"/>
      <c r="T341" s="1"/>
      <c r="U341" s="1"/>
      <c r="V341" s="1"/>
      <c r="W341" s="1"/>
      <c r="X341" s="1"/>
      <c r="Y341" s="1"/>
      <c r="AB341" s="1"/>
      <c r="AC341" s="1"/>
      <c r="AD341" s="1"/>
      <c r="AE341" s="1"/>
      <c r="AF341" s="1"/>
      <c r="AG341" s="1"/>
      <c r="AH341" s="1"/>
      <c r="AI341" s="1"/>
      <c r="AJ341" s="1"/>
      <c r="AK341" s="1"/>
      <c r="AL341" s="1"/>
      <c r="AM341" s="1"/>
    </row>
    <row r="342" spans="16:39" x14ac:dyDescent="0.25">
      <c r="P342" s="49"/>
      <c r="Q342" s="1"/>
      <c r="S342" s="1"/>
      <c r="T342" s="1"/>
      <c r="U342" s="1"/>
      <c r="V342" s="1"/>
      <c r="W342" s="1"/>
      <c r="X342" s="1"/>
      <c r="Y342" s="1"/>
      <c r="AB342" s="1"/>
      <c r="AC342" s="1"/>
      <c r="AD342" s="1"/>
      <c r="AE342" s="1"/>
      <c r="AF342" s="1"/>
      <c r="AG342" s="1"/>
      <c r="AH342" s="1"/>
      <c r="AI342" s="1"/>
      <c r="AJ342" s="1"/>
      <c r="AK342" s="1"/>
      <c r="AL342" s="1"/>
      <c r="AM342" s="1"/>
    </row>
    <row r="343" spans="16:39" x14ac:dyDescent="0.25">
      <c r="P343" s="49"/>
      <c r="Q343" s="1"/>
      <c r="S343" s="1"/>
      <c r="T343" s="1"/>
      <c r="U343" s="1"/>
      <c r="V343" s="1"/>
      <c r="W343" s="1"/>
      <c r="X343" s="1"/>
      <c r="Y343" s="1"/>
      <c r="AB343" s="1"/>
      <c r="AC343" s="1"/>
      <c r="AD343" s="1"/>
      <c r="AE343" s="1"/>
      <c r="AF343" s="1"/>
      <c r="AG343" s="1"/>
      <c r="AH343" s="1"/>
      <c r="AI343" s="1"/>
      <c r="AJ343" s="1"/>
      <c r="AK343" s="1"/>
      <c r="AL343" s="1"/>
      <c r="AM343" s="1"/>
    </row>
    <row r="344" spans="16:39" x14ac:dyDescent="0.25">
      <c r="P344" s="49"/>
      <c r="Q344" s="1"/>
      <c r="S344" s="1"/>
      <c r="T344" s="1"/>
      <c r="U344" s="1"/>
      <c r="V344" s="1"/>
      <c r="W344" s="1"/>
      <c r="X344" s="1"/>
      <c r="Y344" s="1"/>
      <c r="AB344" s="1"/>
      <c r="AC344" s="1"/>
      <c r="AD344" s="1"/>
      <c r="AE344" s="1"/>
      <c r="AF344" s="1"/>
      <c r="AG344" s="1"/>
      <c r="AH344" s="1"/>
      <c r="AI344" s="1"/>
      <c r="AJ344" s="1"/>
      <c r="AK344" s="1"/>
      <c r="AL344" s="1"/>
      <c r="AM344" s="1"/>
    </row>
    <row r="345" spans="16:39" x14ac:dyDescent="0.25">
      <c r="P345" s="49"/>
      <c r="Q345" s="1"/>
      <c r="S345" s="1"/>
      <c r="T345" s="1"/>
      <c r="U345" s="1"/>
      <c r="V345" s="1"/>
      <c r="W345" s="1"/>
      <c r="X345" s="1"/>
      <c r="Y345" s="1"/>
      <c r="AB345" s="1"/>
      <c r="AC345" s="1"/>
      <c r="AD345" s="1"/>
      <c r="AE345" s="1"/>
      <c r="AF345" s="1"/>
      <c r="AG345" s="1"/>
      <c r="AH345" s="1"/>
      <c r="AI345" s="1"/>
      <c r="AJ345" s="1"/>
      <c r="AK345" s="1"/>
      <c r="AL345" s="1"/>
      <c r="AM345" s="1"/>
    </row>
    <row r="346" spans="16:39" x14ac:dyDescent="0.25">
      <c r="P346" s="49"/>
      <c r="Q346" s="1"/>
      <c r="S346" s="1"/>
      <c r="T346" s="1"/>
      <c r="U346" s="1"/>
      <c r="V346" s="1"/>
      <c r="W346" s="1"/>
      <c r="X346" s="1"/>
      <c r="Y346" s="1"/>
      <c r="AB346" s="1"/>
      <c r="AC346" s="1"/>
      <c r="AD346" s="1"/>
      <c r="AE346" s="1"/>
      <c r="AF346" s="1"/>
      <c r="AG346" s="1"/>
      <c r="AH346" s="1"/>
      <c r="AI346" s="1"/>
      <c r="AJ346" s="1"/>
      <c r="AK346" s="1"/>
      <c r="AL346" s="1"/>
      <c r="AM346" s="1"/>
    </row>
    <row r="347" spans="16:39" x14ac:dyDescent="0.25">
      <c r="P347" s="49"/>
      <c r="Q347" s="1"/>
      <c r="S347" s="1"/>
      <c r="T347" s="1"/>
      <c r="U347" s="1"/>
      <c r="V347" s="1"/>
      <c r="W347" s="1"/>
      <c r="X347" s="1"/>
      <c r="Y347" s="1"/>
      <c r="AB347" s="1"/>
      <c r="AC347" s="1"/>
      <c r="AD347" s="1"/>
      <c r="AE347" s="1"/>
      <c r="AF347" s="1"/>
      <c r="AG347" s="1"/>
      <c r="AH347" s="1"/>
      <c r="AI347" s="1"/>
      <c r="AJ347" s="1"/>
      <c r="AK347" s="1"/>
      <c r="AL347" s="1"/>
      <c r="AM347" s="1"/>
    </row>
    <row r="348" spans="16:39" x14ac:dyDescent="0.25">
      <c r="P348" s="49"/>
      <c r="Q348" s="1"/>
      <c r="S348" s="1"/>
      <c r="T348" s="1"/>
      <c r="U348" s="1"/>
      <c r="V348" s="1"/>
      <c r="W348" s="1"/>
      <c r="X348" s="1"/>
      <c r="Y348" s="1"/>
      <c r="AB348" s="1"/>
      <c r="AC348" s="1"/>
      <c r="AD348" s="1"/>
      <c r="AE348" s="1"/>
      <c r="AF348" s="1"/>
      <c r="AG348" s="1"/>
      <c r="AH348" s="1"/>
      <c r="AI348" s="1"/>
      <c r="AJ348" s="1"/>
      <c r="AK348" s="1"/>
      <c r="AL348" s="1"/>
      <c r="AM348" s="1"/>
    </row>
    <row r="349" spans="16:39" x14ac:dyDescent="0.25">
      <c r="P349" s="49"/>
      <c r="Q349" s="1"/>
      <c r="S349" s="1"/>
      <c r="T349" s="1"/>
      <c r="U349" s="1"/>
      <c r="V349" s="1"/>
      <c r="W349" s="1"/>
      <c r="X349" s="1"/>
      <c r="Y349" s="1"/>
      <c r="AB349" s="1"/>
      <c r="AC349" s="1"/>
      <c r="AD349" s="1"/>
      <c r="AE349" s="1"/>
      <c r="AF349" s="1"/>
      <c r="AG349" s="1"/>
      <c r="AH349" s="1"/>
      <c r="AI349" s="1"/>
      <c r="AJ349" s="1"/>
      <c r="AK349" s="1"/>
      <c r="AL349" s="1"/>
      <c r="AM349" s="1"/>
    </row>
    <row r="350" spans="16:39" x14ac:dyDescent="0.25">
      <c r="P350" s="49"/>
      <c r="Q350" s="1"/>
      <c r="S350" s="1"/>
      <c r="T350" s="1"/>
      <c r="U350" s="1"/>
      <c r="V350" s="1"/>
      <c r="W350" s="1"/>
      <c r="X350" s="1"/>
      <c r="Y350" s="1"/>
      <c r="AB350" s="1"/>
      <c r="AC350" s="1"/>
      <c r="AD350" s="1"/>
      <c r="AE350" s="1"/>
      <c r="AF350" s="1"/>
      <c r="AG350" s="1"/>
      <c r="AH350" s="1"/>
      <c r="AI350" s="1"/>
      <c r="AJ350" s="1"/>
      <c r="AK350" s="1"/>
      <c r="AL350" s="1"/>
      <c r="AM350" s="1"/>
    </row>
    <row r="351" spans="16:39" x14ac:dyDescent="0.25">
      <c r="P351" s="49"/>
      <c r="Q351" s="1"/>
      <c r="S351" s="1"/>
      <c r="T351" s="1"/>
      <c r="U351" s="1"/>
      <c r="V351" s="1"/>
      <c r="W351" s="1"/>
      <c r="X351" s="1"/>
      <c r="Y351" s="1"/>
      <c r="AB351" s="1"/>
      <c r="AC351" s="1"/>
      <c r="AD351" s="1"/>
      <c r="AE351" s="1"/>
      <c r="AF351" s="1"/>
      <c r="AG351" s="1"/>
      <c r="AH351" s="1"/>
      <c r="AI351" s="1"/>
      <c r="AJ351" s="1"/>
      <c r="AK351" s="1"/>
      <c r="AL351" s="1"/>
      <c r="AM351" s="1"/>
    </row>
    <row r="352" spans="16:39" x14ac:dyDescent="0.25">
      <c r="P352" s="49"/>
      <c r="Q352" s="1"/>
      <c r="S352" s="1"/>
      <c r="T352" s="1"/>
      <c r="U352" s="1"/>
      <c r="V352" s="1"/>
      <c r="W352" s="1"/>
      <c r="X352" s="1"/>
      <c r="Y352" s="1"/>
      <c r="AB352" s="1"/>
      <c r="AC352" s="1"/>
      <c r="AD352" s="1"/>
      <c r="AE352" s="1"/>
      <c r="AF352" s="1"/>
      <c r="AG352" s="1"/>
      <c r="AH352" s="1"/>
      <c r="AI352" s="1"/>
      <c r="AJ352" s="1"/>
      <c r="AK352" s="1"/>
      <c r="AL352" s="1"/>
      <c r="AM352" s="1"/>
    </row>
    <row r="353" spans="16:39" x14ac:dyDescent="0.25">
      <c r="P353" s="49"/>
      <c r="Q353" s="1"/>
      <c r="S353" s="1"/>
      <c r="T353" s="1"/>
      <c r="U353" s="1"/>
      <c r="V353" s="1"/>
      <c r="W353" s="1"/>
      <c r="X353" s="1"/>
      <c r="Y353" s="1"/>
      <c r="AB353" s="1"/>
      <c r="AC353" s="1"/>
      <c r="AD353" s="1"/>
      <c r="AE353" s="1"/>
      <c r="AF353" s="1"/>
      <c r="AG353" s="1"/>
      <c r="AH353" s="1"/>
      <c r="AI353" s="1"/>
      <c r="AJ353" s="1"/>
      <c r="AK353" s="1"/>
      <c r="AL353" s="1"/>
      <c r="AM353" s="1"/>
    </row>
    <row r="354" spans="16:39" x14ac:dyDescent="0.25">
      <c r="P354" s="49"/>
      <c r="Q354" s="1"/>
      <c r="S354" s="1"/>
      <c r="T354" s="1"/>
      <c r="U354" s="1"/>
      <c r="V354" s="1"/>
      <c r="W354" s="1"/>
      <c r="X354" s="1"/>
      <c r="Y354" s="1"/>
      <c r="AB354" s="1"/>
      <c r="AC354" s="1"/>
      <c r="AD354" s="1"/>
      <c r="AE354" s="1"/>
      <c r="AF354" s="1"/>
      <c r="AG354" s="1"/>
      <c r="AH354" s="1"/>
      <c r="AI354" s="1"/>
      <c r="AJ354" s="1"/>
      <c r="AK354" s="1"/>
      <c r="AL354" s="1"/>
      <c r="AM354" s="1"/>
    </row>
    <row r="355" spans="16:39" x14ac:dyDescent="0.25">
      <c r="P355" s="49"/>
      <c r="Q355" s="1"/>
      <c r="S355" s="1"/>
      <c r="T355" s="1"/>
      <c r="U355" s="1"/>
      <c r="V355" s="1"/>
      <c r="W355" s="1"/>
      <c r="X355" s="1"/>
      <c r="Y355" s="1"/>
      <c r="AB355" s="1"/>
      <c r="AC355" s="1"/>
      <c r="AD355" s="1"/>
      <c r="AE355" s="1"/>
      <c r="AF355" s="1"/>
      <c r="AG355" s="1"/>
      <c r="AH355" s="1"/>
      <c r="AI355" s="1"/>
      <c r="AJ355" s="1"/>
      <c r="AK355" s="1"/>
      <c r="AL355" s="1"/>
      <c r="AM355" s="1"/>
    </row>
    <row r="356" spans="16:39" x14ac:dyDescent="0.25">
      <c r="P356" s="49"/>
      <c r="Q356" s="1"/>
      <c r="S356" s="1"/>
      <c r="T356" s="1"/>
      <c r="U356" s="1"/>
      <c r="V356" s="1"/>
      <c r="W356" s="1"/>
      <c r="X356" s="1"/>
      <c r="Y356" s="1"/>
      <c r="AB356" s="1"/>
      <c r="AC356" s="1"/>
      <c r="AD356" s="1"/>
      <c r="AE356" s="1"/>
      <c r="AF356" s="1"/>
      <c r="AG356" s="1"/>
      <c r="AH356" s="1"/>
      <c r="AI356" s="1"/>
      <c r="AJ356" s="1"/>
      <c r="AK356" s="1"/>
      <c r="AL356" s="1"/>
      <c r="AM356" s="1"/>
    </row>
    <row r="357" spans="16:39" x14ac:dyDescent="0.25">
      <c r="P357" s="49"/>
      <c r="Q357" s="1"/>
      <c r="S357" s="1"/>
      <c r="T357" s="1"/>
      <c r="U357" s="1"/>
      <c r="V357" s="1"/>
      <c r="W357" s="1"/>
      <c r="X357" s="1"/>
      <c r="Y357" s="1"/>
      <c r="AB357" s="1"/>
      <c r="AC357" s="1"/>
      <c r="AD357" s="1"/>
      <c r="AE357" s="1"/>
      <c r="AF357" s="1"/>
      <c r="AG357" s="1"/>
      <c r="AH357" s="1"/>
      <c r="AI357" s="1"/>
      <c r="AJ357" s="1"/>
      <c r="AK357" s="1"/>
      <c r="AL357" s="1"/>
      <c r="AM357" s="1"/>
    </row>
    <row r="358" spans="16:39" x14ac:dyDescent="0.25">
      <c r="P358" s="49"/>
      <c r="Q358" s="1"/>
      <c r="S358" s="1"/>
      <c r="T358" s="1"/>
      <c r="U358" s="1"/>
      <c r="V358" s="1"/>
      <c r="W358" s="1"/>
      <c r="X358" s="1"/>
      <c r="Y358" s="1"/>
      <c r="AB358" s="1"/>
      <c r="AC358" s="1"/>
      <c r="AD358" s="1"/>
      <c r="AE358" s="1"/>
      <c r="AF358" s="1"/>
      <c r="AG358" s="1"/>
      <c r="AH358" s="1"/>
      <c r="AI358" s="1"/>
      <c r="AJ358" s="1"/>
      <c r="AK358" s="1"/>
      <c r="AL358" s="1"/>
      <c r="AM358" s="1"/>
    </row>
    <row r="359" spans="16:39" x14ac:dyDescent="0.25">
      <c r="P359" s="49"/>
      <c r="Q359" s="1"/>
      <c r="S359" s="1"/>
      <c r="T359" s="1"/>
      <c r="U359" s="1"/>
      <c r="V359" s="1"/>
      <c r="W359" s="1"/>
      <c r="X359" s="1"/>
      <c r="Y359" s="1"/>
      <c r="AB359" s="1"/>
      <c r="AC359" s="1"/>
      <c r="AD359" s="1"/>
      <c r="AE359" s="1"/>
      <c r="AF359" s="1"/>
      <c r="AG359" s="1"/>
      <c r="AH359" s="1"/>
      <c r="AI359" s="1"/>
      <c r="AJ359" s="1"/>
      <c r="AK359" s="1"/>
      <c r="AL359" s="1"/>
      <c r="AM359" s="1"/>
    </row>
    <row r="360" spans="16:39" x14ac:dyDescent="0.25">
      <c r="P360" s="49"/>
      <c r="Q360" s="1"/>
      <c r="S360" s="1"/>
      <c r="T360" s="1"/>
      <c r="U360" s="1"/>
      <c r="V360" s="1"/>
      <c r="W360" s="1"/>
      <c r="X360" s="1"/>
      <c r="Y360" s="1"/>
      <c r="AB360" s="1"/>
      <c r="AC360" s="1"/>
      <c r="AD360" s="1"/>
      <c r="AE360" s="1"/>
      <c r="AF360" s="1"/>
      <c r="AG360" s="1"/>
      <c r="AH360" s="1"/>
      <c r="AI360" s="1"/>
      <c r="AJ360" s="1"/>
      <c r="AK360" s="1"/>
      <c r="AL360" s="1"/>
      <c r="AM360" s="1"/>
    </row>
    <row r="361" spans="16:39" x14ac:dyDescent="0.25">
      <c r="P361" s="49"/>
      <c r="Q361" s="1"/>
      <c r="S361" s="1"/>
      <c r="T361" s="1"/>
      <c r="U361" s="1"/>
      <c r="V361" s="1"/>
      <c r="W361" s="1"/>
      <c r="X361" s="1"/>
      <c r="Y361" s="1"/>
      <c r="AB361" s="1"/>
      <c r="AC361" s="1"/>
      <c r="AD361" s="1"/>
      <c r="AE361" s="1"/>
      <c r="AF361" s="1"/>
      <c r="AG361" s="1"/>
      <c r="AH361" s="1"/>
      <c r="AI361" s="1"/>
      <c r="AJ361" s="1"/>
      <c r="AK361" s="1"/>
      <c r="AL361" s="1"/>
      <c r="AM361" s="1"/>
    </row>
    <row r="362" spans="16:39" x14ac:dyDescent="0.25">
      <c r="P362" s="49"/>
      <c r="Q362" s="1"/>
      <c r="S362" s="1"/>
      <c r="T362" s="1"/>
      <c r="U362" s="1"/>
      <c r="V362" s="1"/>
      <c r="W362" s="1"/>
      <c r="X362" s="1"/>
      <c r="Y362" s="1"/>
      <c r="AB362" s="1"/>
      <c r="AC362" s="1"/>
      <c r="AD362" s="1"/>
      <c r="AE362" s="1"/>
      <c r="AF362" s="1"/>
      <c r="AG362" s="1"/>
      <c r="AH362" s="1"/>
      <c r="AI362" s="1"/>
      <c r="AJ362" s="1"/>
      <c r="AK362" s="1"/>
      <c r="AL362" s="1"/>
      <c r="AM362" s="1"/>
    </row>
    <row r="363" spans="16:39" x14ac:dyDescent="0.25">
      <c r="P363" s="49"/>
      <c r="Q363" s="1"/>
      <c r="S363" s="1"/>
      <c r="T363" s="1"/>
      <c r="U363" s="1"/>
      <c r="V363" s="1"/>
      <c r="W363" s="1"/>
      <c r="X363" s="1"/>
      <c r="Y363" s="1"/>
      <c r="AB363" s="1"/>
      <c r="AC363" s="1"/>
      <c r="AD363" s="1"/>
      <c r="AE363" s="1"/>
      <c r="AF363" s="1"/>
      <c r="AG363" s="1"/>
      <c r="AH363" s="1"/>
      <c r="AI363" s="1"/>
      <c r="AJ363" s="1"/>
      <c r="AK363" s="1"/>
      <c r="AL363" s="1"/>
      <c r="AM363" s="1"/>
    </row>
    <row r="364" spans="16:39" x14ac:dyDescent="0.25">
      <c r="P364" s="49"/>
      <c r="Q364" s="1"/>
      <c r="S364" s="1"/>
      <c r="T364" s="1"/>
      <c r="U364" s="1"/>
      <c r="V364" s="1"/>
      <c r="W364" s="1"/>
      <c r="X364" s="1"/>
      <c r="Y364" s="1"/>
      <c r="AB364" s="1"/>
      <c r="AC364" s="1"/>
      <c r="AD364" s="1"/>
      <c r="AE364" s="1"/>
      <c r="AF364" s="1"/>
      <c r="AG364" s="1"/>
      <c r="AH364" s="1"/>
      <c r="AI364" s="1"/>
      <c r="AJ364" s="1"/>
      <c r="AK364" s="1"/>
      <c r="AL364" s="1"/>
      <c r="AM364" s="1"/>
    </row>
    <row r="365" spans="16:39" x14ac:dyDescent="0.25">
      <c r="P365" s="49"/>
      <c r="Q365" s="1"/>
      <c r="S365" s="1"/>
      <c r="T365" s="1"/>
      <c r="U365" s="1"/>
      <c r="V365" s="1"/>
      <c r="W365" s="1"/>
      <c r="X365" s="1"/>
      <c r="Y365" s="1"/>
      <c r="AB365" s="1"/>
      <c r="AC365" s="1"/>
      <c r="AD365" s="1"/>
      <c r="AE365" s="1"/>
      <c r="AF365" s="1"/>
      <c r="AG365" s="1"/>
      <c r="AH365" s="1"/>
      <c r="AI365" s="1"/>
      <c r="AJ365" s="1"/>
      <c r="AK365" s="1"/>
      <c r="AL365" s="1"/>
      <c r="AM365" s="1"/>
    </row>
    <row r="366" spans="16:39" x14ac:dyDescent="0.25">
      <c r="P366" s="49"/>
      <c r="Q366" s="1"/>
      <c r="S366" s="1"/>
      <c r="T366" s="1"/>
      <c r="U366" s="1"/>
      <c r="V366" s="1"/>
      <c r="W366" s="1"/>
      <c r="X366" s="1"/>
      <c r="Y366" s="1"/>
      <c r="AB366" s="1"/>
      <c r="AC366" s="1"/>
      <c r="AD366" s="1"/>
      <c r="AE366" s="1"/>
      <c r="AF366" s="1"/>
      <c r="AG366" s="1"/>
      <c r="AH366" s="1"/>
      <c r="AI366" s="1"/>
      <c r="AJ366" s="1"/>
      <c r="AK366" s="1"/>
      <c r="AL366" s="1"/>
      <c r="AM366" s="1"/>
    </row>
    <row r="367" spans="16:39" x14ac:dyDescent="0.25">
      <c r="P367" s="49"/>
      <c r="Q367" s="1"/>
      <c r="S367" s="1"/>
      <c r="T367" s="1"/>
      <c r="U367" s="1"/>
      <c r="V367" s="1"/>
      <c r="W367" s="1"/>
      <c r="X367" s="1"/>
      <c r="Y367" s="1"/>
      <c r="AB367" s="1"/>
      <c r="AC367" s="1"/>
      <c r="AD367" s="1"/>
      <c r="AE367" s="1"/>
      <c r="AF367" s="1"/>
      <c r="AG367" s="1"/>
      <c r="AH367" s="1"/>
      <c r="AI367" s="1"/>
      <c r="AJ367" s="1"/>
      <c r="AK367" s="1"/>
      <c r="AL367" s="1"/>
      <c r="AM367" s="1"/>
    </row>
    <row r="368" spans="16:39" x14ac:dyDescent="0.25">
      <c r="P368" s="49"/>
      <c r="Q368" s="1"/>
      <c r="S368" s="1"/>
      <c r="T368" s="1"/>
      <c r="U368" s="1"/>
      <c r="V368" s="1"/>
      <c r="W368" s="1"/>
      <c r="X368" s="1"/>
      <c r="Y368" s="1"/>
      <c r="AB368" s="1"/>
      <c r="AC368" s="1"/>
      <c r="AD368" s="1"/>
      <c r="AE368" s="1"/>
      <c r="AF368" s="1"/>
      <c r="AG368" s="1"/>
      <c r="AH368" s="1"/>
      <c r="AI368" s="1"/>
      <c r="AJ368" s="1"/>
      <c r="AK368" s="1"/>
      <c r="AL368" s="1"/>
      <c r="AM368" s="1"/>
    </row>
    <row r="369" spans="16:39" x14ac:dyDescent="0.25">
      <c r="P369" s="49"/>
      <c r="Q369" s="1"/>
      <c r="S369" s="1"/>
      <c r="T369" s="1"/>
      <c r="U369" s="1"/>
      <c r="V369" s="1"/>
      <c r="W369" s="1"/>
      <c r="X369" s="1"/>
      <c r="Y369" s="1"/>
      <c r="AB369" s="1"/>
      <c r="AC369" s="1"/>
      <c r="AD369" s="1"/>
      <c r="AE369" s="1"/>
      <c r="AF369" s="1"/>
      <c r="AG369" s="1"/>
      <c r="AH369" s="1"/>
      <c r="AI369" s="1"/>
      <c r="AJ369" s="1"/>
      <c r="AK369" s="1"/>
      <c r="AL369" s="1"/>
      <c r="AM369" s="1"/>
    </row>
    <row r="370" spans="16:39" x14ac:dyDescent="0.25">
      <c r="P370" s="49"/>
      <c r="Q370" s="1"/>
      <c r="S370" s="1"/>
      <c r="T370" s="1"/>
      <c r="U370" s="1"/>
      <c r="V370" s="1"/>
      <c r="W370" s="1"/>
      <c r="X370" s="1"/>
      <c r="Y370" s="1"/>
      <c r="AB370" s="1"/>
      <c r="AC370" s="1"/>
      <c r="AD370" s="1"/>
      <c r="AE370" s="1"/>
      <c r="AF370" s="1"/>
      <c r="AG370" s="1"/>
      <c r="AH370" s="1"/>
      <c r="AI370" s="1"/>
      <c r="AJ370" s="1"/>
      <c r="AK370" s="1"/>
      <c r="AL370" s="1"/>
      <c r="AM370" s="1"/>
    </row>
    <row r="371" spans="16:39" x14ac:dyDescent="0.25">
      <c r="P371" s="49"/>
      <c r="Q371" s="1"/>
      <c r="S371" s="1"/>
      <c r="T371" s="1"/>
      <c r="U371" s="1"/>
      <c r="V371" s="1"/>
      <c r="W371" s="1"/>
      <c r="X371" s="1"/>
      <c r="Y371" s="1"/>
      <c r="AB371" s="1"/>
      <c r="AC371" s="1"/>
      <c r="AD371" s="1"/>
      <c r="AE371" s="1"/>
      <c r="AF371" s="1"/>
      <c r="AG371" s="1"/>
      <c r="AH371" s="1"/>
      <c r="AI371" s="1"/>
      <c r="AJ371" s="1"/>
      <c r="AK371" s="1"/>
      <c r="AL371" s="1"/>
      <c r="AM371" s="1"/>
    </row>
    <row r="372" spans="16:39" x14ac:dyDescent="0.25">
      <c r="P372" s="49"/>
      <c r="Q372" s="1"/>
      <c r="S372" s="1"/>
      <c r="T372" s="1"/>
      <c r="U372" s="1"/>
      <c r="V372" s="1"/>
      <c r="W372" s="1"/>
      <c r="X372" s="1"/>
      <c r="Y372" s="1"/>
      <c r="AB372" s="1"/>
      <c r="AC372" s="1"/>
      <c r="AD372" s="1"/>
      <c r="AE372" s="1"/>
      <c r="AF372" s="1"/>
      <c r="AG372" s="1"/>
      <c r="AH372" s="1"/>
      <c r="AI372" s="1"/>
      <c r="AJ372" s="1"/>
      <c r="AK372" s="1"/>
      <c r="AL372" s="1"/>
      <c r="AM372" s="1"/>
    </row>
    <row r="373" spans="16:39" x14ac:dyDescent="0.25">
      <c r="P373" s="49"/>
      <c r="Q373" s="1"/>
      <c r="S373" s="1"/>
      <c r="T373" s="1"/>
      <c r="U373" s="1"/>
      <c r="V373" s="1"/>
      <c r="W373" s="1"/>
      <c r="X373" s="1"/>
      <c r="Y373" s="1"/>
      <c r="AB373" s="1"/>
      <c r="AC373" s="1"/>
      <c r="AD373" s="1"/>
      <c r="AE373" s="1"/>
      <c r="AF373" s="1"/>
      <c r="AG373" s="1"/>
      <c r="AH373" s="1"/>
      <c r="AI373" s="1"/>
      <c r="AJ373" s="1"/>
      <c r="AK373" s="1"/>
      <c r="AL373" s="1"/>
      <c r="AM373" s="1"/>
    </row>
    <row r="374" spans="16:39" x14ac:dyDescent="0.25">
      <c r="P374" s="49"/>
      <c r="Q374" s="1"/>
      <c r="S374" s="1"/>
      <c r="T374" s="1"/>
      <c r="U374" s="1"/>
      <c r="V374" s="1"/>
      <c r="W374" s="1"/>
      <c r="X374" s="1"/>
      <c r="Y374" s="1"/>
      <c r="AB374" s="1"/>
      <c r="AC374" s="1"/>
      <c r="AD374" s="1"/>
      <c r="AE374" s="1"/>
      <c r="AF374" s="1"/>
      <c r="AG374" s="1"/>
      <c r="AH374" s="1"/>
      <c r="AI374" s="1"/>
      <c r="AJ374" s="1"/>
      <c r="AK374" s="1"/>
      <c r="AL374" s="1"/>
      <c r="AM374" s="1"/>
    </row>
    <row r="375" spans="16:39" x14ac:dyDescent="0.25">
      <c r="P375" s="49"/>
      <c r="Q375" s="1"/>
      <c r="S375" s="1"/>
      <c r="T375" s="1"/>
      <c r="U375" s="1"/>
      <c r="V375" s="1"/>
      <c r="W375" s="1"/>
      <c r="X375" s="1"/>
      <c r="Y375" s="1"/>
      <c r="AB375" s="1"/>
      <c r="AC375" s="1"/>
      <c r="AD375" s="1"/>
      <c r="AE375" s="1"/>
      <c r="AF375" s="1"/>
      <c r="AG375" s="1"/>
      <c r="AH375" s="1"/>
      <c r="AI375" s="1"/>
      <c r="AJ375" s="1"/>
      <c r="AK375" s="1"/>
      <c r="AL375" s="1"/>
      <c r="AM375" s="1"/>
    </row>
    <row r="376" spans="16:39" x14ac:dyDescent="0.25">
      <c r="P376" s="49"/>
      <c r="Q376" s="1"/>
      <c r="S376" s="1"/>
      <c r="T376" s="1"/>
      <c r="U376" s="1"/>
      <c r="V376" s="1"/>
      <c r="W376" s="1"/>
      <c r="X376" s="1"/>
      <c r="Y376" s="1"/>
      <c r="AB376" s="1"/>
      <c r="AC376" s="1"/>
      <c r="AD376" s="1"/>
      <c r="AE376" s="1"/>
      <c r="AF376" s="1"/>
      <c r="AG376" s="1"/>
      <c r="AH376" s="1"/>
      <c r="AI376" s="1"/>
      <c r="AJ376" s="1"/>
      <c r="AK376" s="1"/>
      <c r="AL376" s="1"/>
      <c r="AM376" s="1"/>
    </row>
    <row r="377" spans="16:39" x14ac:dyDescent="0.25">
      <c r="P377" s="49"/>
      <c r="Q377" s="1"/>
      <c r="S377" s="1"/>
      <c r="T377" s="1"/>
      <c r="U377" s="1"/>
      <c r="V377" s="1"/>
      <c r="W377" s="1"/>
      <c r="X377" s="1"/>
      <c r="Y377" s="1"/>
      <c r="AB377" s="1"/>
      <c r="AC377" s="1"/>
      <c r="AD377" s="1"/>
      <c r="AE377" s="1"/>
      <c r="AF377" s="1"/>
      <c r="AG377" s="1"/>
      <c r="AH377" s="1"/>
      <c r="AI377" s="1"/>
      <c r="AJ377" s="1"/>
      <c r="AK377" s="1"/>
      <c r="AL377" s="1"/>
      <c r="AM377" s="1"/>
    </row>
    <row r="378" spans="16:39" x14ac:dyDescent="0.25">
      <c r="P378" s="49"/>
      <c r="Q378" s="1"/>
      <c r="S378" s="1"/>
      <c r="T378" s="1"/>
      <c r="U378" s="1"/>
      <c r="V378" s="1"/>
      <c r="W378" s="1"/>
      <c r="X378" s="1"/>
      <c r="Y378" s="1"/>
      <c r="AB378" s="1"/>
      <c r="AC378" s="1"/>
      <c r="AD378" s="1"/>
      <c r="AE378" s="1"/>
      <c r="AF378" s="1"/>
      <c r="AG378" s="1"/>
      <c r="AH378" s="1"/>
      <c r="AI378" s="1"/>
      <c r="AJ378" s="1"/>
      <c r="AK378" s="1"/>
      <c r="AL378" s="1"/>
      <c r="AM378" s="1"/>
    </row>
    <row r="379" spans="16:39" x14ac:dyDescent="0.25">
      <c r="P379" s="49"/>
      <c r="Q379" s="1"/>
      <c r="S379" s="1"/>
      <c r="T379" s="1"/>
      <c r="U379" s="1"/>
      <c r="V379" s="1"/>
      <c r="W379" s="1"/>
      <c r="X379" s="1"/>
      <c r="Y379" s="1"/>
      <c r="AB379" s="1"/>
      <c r="AC379" s="1"/>
      <c r="AD379" s="1"/>
      <c r="AE379" s="1"/>
      <c r="AF379" s="1"/>
      <c r="AG379" s="1"/>
      <c r="AH379" s="1"/>
      <c r="AI379" s="1"/>
      <c r="AJ379" s="1"/>
      <c r="AK379" s="1"/>
      <c r="AL379" s="1"/>
      <c r="AM379" s="1"/>
    </row>
    <row r="380" spans="16:39" x14ac:dyDescent="0.25">
      <c r="P380" s="49"/>
      <c r="Q380" s="1"/>
      <c r="S380" s="1"/>
      <c r="T380" s="1"/>
      <c r="U380" s="1"/>
      <c r="V380" s="1"/>
      <c r="W380" s="1"/>
      <c r="X380" s="1"/>
      <c r="Y380" s="1"/>
      <c r="AB380" s="1"/>
      <c r="AC380" s="1"/>
      <c r="AD380" s="1"/>
      <c r="AE380" s="1"/>
      <c r="AF380" s="1"/>
      <c r="AG380" s="1"/>
      <c r="AH380" s="1"/>
      <c r="AI380" s="1"/>
      <c r="AJ380" s="1"/>
      <c r="AK380" s="1"/>
      <c r="AL380" s="1"/>
      <c r="AM380" s="1"/>
    </row>
    <row r="381" spans="16:39" x14ac:dyDescent="0.25">
      <c r="P381" s="49"/>
      <c r="Q381" s="1"/>
      <c r="S381" s="1"/>
      <c r="T381" s="1"/>
      <c r="U381" s="1"/>
      <c r="V381" s="1"/>
      <c r="W381" s="1"/>
      <c r="X381" s="1"/>
      <c r="Y381" s="1"/>
      <c r="AB381" s="1"/>
      <c r="AC381" s="1"/>
      <c r="AD381" s="1"/>
      <c r="AE381" s="1"/>
      <c r="AF381" s="1"/>
      <c r="AG381" s="1"/>
      <c r="AH381" s="1"/>
      <c r="AI381" s="1"/>
      <c r="AJ381" s="1"/>
      <c r="AK381" s="1"/>
      <c r="AL381" s="1"/>
      <c r="AM381" s="1"/>
    </row>
    <row r="382" spans="16:39" x14ac:dyDescent="0.25">
      <c r="P382" s="49"/>
      <c r="Q382" s="1"/>
      <c r="S382" s="1"/>
      <c r="T382" s="1"/>
      <c r="U382" s="1"/>
      <c r="V382" s="1"/>
      <c r="W382" s="1"/>
      <c r="X382" s="1"/>
      <c r="Y382" s="1"/>
      <c r="AB382" s="1"/>
      <c r="AC382" s="1"/>
      <c r="AD382" s="1"/>
      <c r="AE382" s="1"/>
      <c r="AF382" s="1"/>
      <c r="AG382" s="1"/>
      <c r="AH382" s="1"/>
      <c r="AI382" s="1"/>
      <c r="AJ382" s="1"/>
      <c r="AK382" s="1"/>
      <c r="AL382" s="1"/>
      <c r="AM382" s="1"/>
    </row>
    <row r="383" spans="16:39" x14ac:dyDescent="0.25">
      <c r="P383" s="49"/>
      <c r="Q383" s="1"/>
      <c r="S383" s="1"/>
      <c r="T383" s="1"/>
      <c r="U383" s="1"/>
      <c r="V383" s="1"/>
      <c r="W383" s="1"/>
      <c r="X383" s="1"/>
      <c r="Y383" s="1"/>
      <c r="AB383" s="1"/>
      <c r="AC383" s="1"/>
      <c r="AD383" s="1"/>
      <c r="AE383" s="1"/>
      <c r="AF383" s="1"/>
      <c r="AG383" s="1"/>
      <c r="AH383" s="1"/>
      <c r="AI383" s="1"/>
      <c r="AJ383" s="1"/>
      <c r="AK383" s="1"/>
      <c r="AL383" s="1"/>
      <c r="AM383" s="1"/>
    </row>
    <row r="384" spans="16:39" x14ac:dyDescent="0.25">
      <c r="P384" s="49"/>
      <c r="Q384" s="1"/>
      <c r="S384" s="1"/>
      <c r="T384" s="1"/>
      <c r="U384" s="1"/>
      <c r="V384" s="1"/>
      <c r="W384" s="1"/>
      <c r="X384" s="1"/>
      <c r="Y384" s="1"/>
      <c r="AB384" s="1"/>
      <c r="AC384" s="1"/>
      <c r="AD384" s="1"/>
      <c r="AE384" s="1"/>
      <c r="AF384" s="1"/>
      <c r="AG384" s="1"/>
      <c r="AH384" s="1"/>
      <c r="AI384" s="1"/>
      <c r="AJ384" s="1"/>
      <c r="AK384" s="1"/>
      <c r="AL384" s="1"/>
      <c r="AM384" s="1"/>
    </row>
    <row r="385" spans="16:39" x14ac:dyDescent="0.25">
      <c r="P385" s="49"/>
      <c r="Q385" s="1"/>
      <c r="S385" s="1"/>
      <c r="T385" s="1"/>
      <c r="U385" s="1"/>
      <c r="V385" s="1"/>
      <c r="W385" s="1"/>
      <c r="X385" s="1"/>
      <c r="Y385" s="1"/>
      <c r="AB385" s="1"/>
      <c r="AC385" s="1"/>
      <c r="AD385" s="1"/>
      <c r="AE385" s="1"/>
      <c r="AF385" s="1"/>
      <c r="AG385" s="1"/>
      <c r="AH385" s="1"/>
      <c r="AI385" s="1"/>
      <c r="AJ385" s="1"/>
      <c r="AK385" s="1"/>
      <c r="AL385" s="1"/>
      <c r="AM385" s="1"/>
    </row>
    <row r="386" spans="16:39" x14ac:dyDescent="0.25">
      <c r="P386" s="49"/>
      <c r="Q386" s="1"/>
      <c r="S386" s="1"/>
      <c r="T386" s="1"/>
      <c r="U386" s="1"/>
      <c r="V386" s="1"/>
      <c r="W386" s="1"/>
      <c r="X386" s="1"/>
      <c r="Y386" s="1"/>
      <c r="AB386" s="1"/>
      <c r="AC386" s="1"/>
      <c r="AD386" s="1"/>
      <c r="AE386" s="1"/>
      <c r="AF386" s="1"/>
      <c r="AG386" s="1"/>
      <c r="AH386" s="1"/>
      <c r="AI386" s="1"/>
      <c r="AJ386" s="1"/>
      <c r="AK386" s="1"/>
      <c r="AL386" s="1"/>
      <c r="AM386" s="1"/>
    </row>
    <row r="387" spans="16:39" x14ac:dyDescent="0.25">
      <c r="P387" s="49"/>
      <c r="Q387" s="1"/>
      <c r="S387" s="1"/>
      <c r="T387" s="1"/>
      <c r="U387" s="1"/>
      <c r="V387" s="1"/>
      <c r="W387" s="1"/>
      <c r="X387" s="1"/>
      <c r="Y387" s="1"/>
      <c r="AB387" s="1"/>
      <c r="AC387" s="1"/>
      <c r="AD387" s="1"/>
      <c r="AE387" s="1"/>
      <c r="AF387" s="1"/>
      <c r="AG387" s="1"/>
      <c r="AH387" s="1"/>
      <c r="AI387" s="1"/>
      <c r="AJ387" s="1"/>
      <c r="AK387" s="1"/>
      <c r="AL387" s="1"/>
      <c r="AM387" s="1"/>
    </row>
    <row r="388" spans="16:39" x14ac:dyDescent="0.25">
      <c r="P388" s="49"/>
      <c r="Q388" s="1"/>
      <c r="S388" s="1"/>
      <c r="T388" s="1"/>
      <c r="U388" s="1"/>
      <c r="V388" s="1"/>
      <c r="W388" s="1"/>
      <c r="X388" s="1"/>
      <c r="Y388" s="1"/>
      <c r="AB388" s="1"/>
      <c r="AC388" s="1"/>
      <c r="AD388" s="1"/>
      <c r="AE388" s="1"/>
      <c r="AF388" s="1"/>
      <c r="AG388" s="1"/>
      <c r="AH388" s="1"/>
      <c r="AI388" s="1"/>
      <c r="AJ388" s="1"/>
      <c r="AK388" s="1"/>
      <c r="AL388" s="1"/>
      <c r="AM388" s="1"/>
    </row>
    <row r="389" spans="16:39" x14ac:dyDescent="0.25">
      <c r="P389" s="49"/>
      <c r="Q389" s="1"/>
      <c r="S389" s="1"/>
      <c r="T389" s="1"/>
      <c r="U389" s="1"/>
      <c r="V389" s="1"/>
      <c r="W389" s="1"/>
      <c r="X389" s="1"/>
      <c r="Y389" s="1"/>
      <c r="AB389" s="1"/>
      <c r="AC389" s="1"/>
      <c r="AD389" s="1"/>
      <c r="AE389" s="1"/>
      <c r="AF389" s="1"/>
      <c r="AG389" s="1"/>
      <c r="AH389" s="1"/>
      <c r="AI389" s="1"/>
      <c r="AJ389" s="1"/>
      <c r="AK389" s="1"/>
      <c r="AL389" s="1"/>
      <c r="AM389" s="1"/>
    </row>
    <row r="390" spans="16:39" x14ac:dyDescent="0.25">
      <c r="P390" s="49"/>
      <c r="Q390" s="1"/>
      <c r="S390" s="1"/>
      <c r="T390" s="1"/>
      <c r="U390" s="1"/>
      <c r="V390" s="1"/>
      <c r="W390" s="1"/>
      <c r="X390" s="1"/>
      <c r="Y390" s="1"/>
      <c r="AB390" s="1"/>
      <c r="AC390" s="1"/>
      <c r="AD390" s="1"/>
      <c r="AE390" s="1"/>
      <c r="AF390" s="1"/>
      <c r="AG390" s="1"/>
      <c r="AH390" s="1"/>
      <c r="AI390" s="1"/>
      <c r="AJ390" s="1"/>
      <c r="AK390" s="1"/>
      <c r="AL390" s="1"/>
      <c r="AM390" s="1"/>
    </row>
    <row r="391" spans="16:39" x14ac:dyDescent="0.25">
      <c r="P391" s="49"/>
      <c r="Q391" s="1"/>
      <c r="S391" s="1"/>
      <c r="T391" s="1"/>
      <c r="U391" s="1"/>
      <c r="V391" s="1"/>
      <c r="W391" s="1"/>
      <c r="X391" s="1"/>
      <c r="Y391" s="1"/>
      <c r="AB391" s="1"/>
      <c r="AC391" s="1"/>
      <c r="AD391" s="1"/>
      <c r="AE391" s="1"/>
      <c r="AF391" s="1"/>
      <c r="AG391" s="1"/>
      <c r="AH391" s="1"/>
      <c r="AI391" s="1"/>
      <c r="AJ391" s="1"/>
      <c r="AK391" s="1"/>
      <c r="AL391" s="1"/>
      <c r="AM391" s="1"/>
    </row>
    <row r="392" spans="16:39" x14ac:dyDescent="0.25">
      <c r="P392" s="49"/>
      <c r="Q392" s="1"/>
      <c r="S392" s="1"/>
      <c r="T392" s="1"/>
      <c r="U392" s="1"/>
      <c r="V392" s="1"/>
      <c r="W392" s="1"/>
      <c r="X392" s="1"/>
      <c r="Y392" s="1"/>
      <c r="AB392" s="1"/>
      <c r="AC392" s="1"/>
      <c r="AD392" s="1"/>
      <c r="AE392" s="1"/>
      <c r="AF392" s="1"/>
      <c r="AG392" s="1"/>
      <c r="AH392" s="1"/>
      <c r="AI392" s="1"/>
      <c r="AJ392" s="1"/>
      <c r="AK392" s="1"/>
      <c r="AL392" s="1"/>
      <c r="AM392" s="1"/>
    </row>
    <row r="393" spans="16:39" x14ac:dyDescent="0.25">
      <c r="P393" s="49"/>
      <c r="Q393" s="1"/>
      <c r="S393" s="1"/>
      <c r="T393" s="1"/>
      <c r="U393" s="1"/>
      <c r="V393" s="1"/>
      <c r="W393" s="1"/>
      <c r="X393" s="1"/>
      <c r="Y393" s="1"/>
      <c r="AB393" s="1"/>
      <c r="AC393" s="1"/>
      <c r="AD393" s="1"/>
      <c r="AE393" s="1"/>
      <c r="AF393" s="1"/>
      <c r="AG393" s="1"/>
      <c r="AH393" s="1"/>
      <c r="AI393" s="1"/>
      <c r="AJ393" s="1"/>
      <c r="AK393" s="1"/>
      <c r="AL393" s="1"/>
      <c r="AM393" s="1"/>
    </row>
    <row r="394" spans="16:39" x14ac:dyDescent="0.25">
      <c r="P394" s="49"/>
      <c r="Q394" s="1"/>
      <c r="S394" s="1"/>
      <c r="T394" s="1"/>
      <c r="U394" s="1"/>
      <c r="V394" s="1"/>
      <c r="W394" s="1"/>
      <c r="X394" s="1"/>
      <c r="Y394" s="1"/>
      <c r="AB394" s="1"/>
      <c r="AC394" s="1"/>
      <c r="AD394" s="1"/>
      <c r="AE394" s="1"/>
      <c r="AF394" s="1"/>
      <c r="AG394" s="1"/>
      <c r="AH394" s="1"/>
      <c r="AI394" s="1"/>
      <c r="AJ394" s="1"/>
      <c r="AK394" s="1"/>
      <c r="AL394" s="1"/>
      <c r="AM394" s="1"/>
    </row>
    <row r="395" spans="16:39" x14ac:dyDescent="0.25">
      <c r="P395" s="49"/>
      <c r="Q395" s="1"/>
      <c r="S395" s="1"/>
      <c r="T395" s="1"/>
      <c r="U395" s="1"/>
      <c r="V395" s="1"/>
      <c r="W395" s="1"/>
      <c r="X395" s="1"/>
      <c r="Y395" s="1"/>
      <c r="AB395" s="1"/>
      <c r="AC395" s="1"/>
      <c r="AD395" s="1"/>
      <c r="AE395" s="1"/>
      <c r="AF395" s="1"/>
      <c r="AG395" s="1"/>
      <c r="AH395" s="1"/>
      <c r="AI395" s="1"/>
      <c r="AJ395" s="1"/>
      <c r="AK395" s="1"/>
      <c r="AL395" s="1"/>
      <c r="AM395" s="1"/>
    </row>
    <row r="396" spans="16:39" x14ac:dyDescent="0.25">
      <c r="P396" s="49"/>
      <c r="Q396" s="1"/>
      <c r="S396" s="1"/>
      <c r="T396" s="1"/>
      <c r="U396" s="1"/>
      <c r="V396" s="1"/>
      <c r="W396" s="1"/>
      <c r="X396" s="1"/>
      <c r="Y396" s="1"/>
      <c r="AB396" s="1"/>
      <c r="AC396" s="1"/>
      <c r="AD396" s="1"/>
      <c r="AE396" s="1"/>
      <c r="AF396" s="1"/>
      <c r="AG396" s="1"/>
      <c r="AH396" s="1"/>
      <c r="AI396" s="1"/>
      <c r="AJ396" s="1"/>
      <c r="AK396" s="1"/>
      <c r="AL396" s="1"/>
      <c r="AM396" s="1"/>
    </row>
    <row r="397" spans="16:39" x14ac:dyDescent="0.25">
      <c r="P397" s="49"/>
      <c r="Q397" s="1"/>
      <c r="S397" s="1"/>
      <c r="T397" s="1"/>
      <c r="U397" s="1"/>
      <c r="V397" s="1"/>
      <c r="W397" s="1"/>
      <c r="X397" s="1"/>
      <c r="Y397" s="1"/>
      <c r="AB397" s="1"/>
      <c r="AC397" s="1"/>
      <c r="AD397" s="1"/>
      <c r="AE397" s="1"/>
      <c r="AF397" s="1"/>
      <c r="AG397" s="1"/>
      <c r="AH397" s="1"/>
      <c r="AI397" s="1"/>
      <c r="AJ397" s="1"/>
      <c r="AK397" s="1"/>
      <c r="AL397" s="1"/>
      <c r="AM397" s="1"/>
    </row>
    <row r="398" spans="16:39" x14ac:dyDescent="0.25">
      <c r="P398" s="49"/>
      <c r="Q398" s="1"/>
      <c r="S398" s="1"/>
      <c r="T398" s="1"/>
      <c r="U398" s="1"/>
      <c r="V398" s="1"/>
      <c r="W398" s="1"/>
      <c r="X398" s="1"/>
      <c r="Y398" s="1"/>
      <c r="AB398" s="1"/>
      <c r="AC398" s="1"/>
      <c r="AD398" s="1"/>
      <c r="AE398" s="1"/>
      <c r="AF398" s="1"/>
      <c r="AG398" s="1"/>
      <c r="AH398" s="1"/>
      <c r="AI398" s="1"/>
      <c r="AJ398" s="1"/>
      <c r="AK398" s="1"/>
      <c r="AL398" s="1"/>
      <c r="AM398" s="1"/>
    </row>
    <row r="399" spans="16:39" x14ac:dyDescent="0.25">
      <c r="P399" s="49"/>
      <c r="Q399" s="1"/>
      <c r="S399" s="1"/>
      <c r="T399" s="1"/>
      <c r="U399" s="1"/>
      <c r="V399" s="1"/>
      <c r="W399" s="1"/>
      <c r="X399" s="1"/>
      <c r="Y399" s="1"/>
      <c r="AB399" s="1"/>
      <c r="AC399" s="1"/>
      <c r="AD399" s="1"/>
      <c r="AE399" s="1"/>
      <c r="AF399" s="1"/>
      <c r="AG399" s="1"/>
      <c r="AH399" s="1"/>
      <c r="AI399" s="1"/>
      <c r="AJ399" s="1"/>
      <c r="AK399" s="1"/>
      <c r="AL399" s="1"/>
      <c r="AM399" s="1"/>
    </row>
    <row r="400" spans="16:39" x14ac:dyDescent="0.25">
      <c r="P400" s="49"/>
      <c r="Q400" s="1"/>
      <c r="S400" s="1"/>
      <c r="T400" s="1"/>
      <c r="U400" s="1"/>
      <c r="V400" s="1"/>
      <c r="W400" s="1"/>
      <c r="X400" s="1"/>
      <c r="Y400" s="1"/>
      <c r="AB400" s="1"/>
      <c r="AC400" s="1"/>
      <c r="AD400" s="1"/>
      <c r="AE400" s="1"/>
      <c r="AF400" s="1"/>
      <c r="AG400" s="1"/>
      <c r="AH400" s="1"/>
      <c r="AI400" s="1"/>
      <c r="AJ400" s="1"/>
      <c r="AK400" s="1"/>
      <c r="AL400" s="1"/>
      <c r="AM400" s="1"/>
    </row>
    <row r="401" spans="16:39" x14ac:dyDescent="0.25">
      <c r="P401" s="49"/>
      <c r="Q401" s="1"/>
      <c r="S401" s="1"/>
      <c r="T401" s="1"/>
      <c r="U401" s="1"/>
      <c r="V401" s="1"/>
      <c r="W401" s="1"/>
      <c r="X401" s="1"/>
      <c r="Y401" s="1"/>
      <c r="AB401" s="1"/>
      <c r="AC401" s="1"/>
      <c r="AD401" s="1"/>
      <c r="AE401" s="1"/>
      <c r="AF401" s="1"/>
      <c r="AG401" s="1"/>
      <c r="AH401" s="1"/>
      <c r="AI401" s="1"/>
      <c r="AJ401" s="1"/>
      <c r="AK401" s="1"/>
      <c r="AL401" s="1"/>
      <c r="AM401" s="1"/>
    </row>
    <row r="402" spans="16:39" x14ac:dyDescent="0.25">
      <c r="P402" s="49"/>
      <c r="Q402" s="1"/>
      <c r="S402" s="1"/>
      <c r="T402" s="1"/>
      <c r="U402" s="1"/>
      <c r="V402" s="1"/>
      <c r="W402" s="1"/>
      <c r="X402" s="1"/>
      <c r="Y402" s="1"/>
      <c r="AB402" s="1"/>
      <c r="AC402" s="1"/>
      <c r="AD402" s="1"/>
      <c r="AE402" s="1"/>
      <c r="AF402" s="1"/>
      <c r="AG402" s="1"/>
      <c r="AH402" s="1"/>
      <c r="AI402" s="1"/>
      <c r="AJ402" s="1"/>
      <c r="AK402" s="1"/>
      <c r="AL402" s="1"/>
      <c r="AM402" s="1"/>
    </row>
    <row r="403" spans="16:39" x14ac:dyDescent="0.25">
      <c r="P403" s="49"/>
      <c r="Q403" s="1"/>
      <c r="S403" s="1"/>
      <c r="T403" s="1"/>
      <c r="U403" s="1"/>
      <c r="V403" s="1"/>
      <c r="W403" s="1"/>
      <c r="X403" s="1"/>
      <c r="Y403" s="1"/>
      <c r="AB403" s="1"/>
      <c r="AC403" s="1"/>
      <c r="AD403" s="1"/>
      <c r="AE403" s="1"/>
      <c r="AF403" s="1"/>
      <c r="AG403" s="1"/>
      <c r="AH403" s="1"/>
      <c r="AI403" s="1"/>
      <c r="AJ403" s="1"/>
      <c r="AK403" s="1"/>
      <c r="AL403" s="1"/>
      <c r="AM403" s="1"/>
    </row>
    <row r="404" spans="16:39" x14ac:dyDescent="0.25">
      <c r="P404" s="49"/>
      <c r="Q404" s="1"/>
      <c r="S404" s="1"/>
      <c r="T404" s="1"/>
      <c r="U404" s="1"/>
      <c r="V404" s="1"/>
      <c r="W404" s="1"/>
      <c r="X404" s="1"/>
      <c r="Y404" s="1"/>
      <c r="AB404" s="1"/>
      <c r="AC404" s="1"/>
      <c r="AD404" s="1"/>
      <c r="AE404" s="1"/>
      <c r="AF404" s="1"/>
      <c r="AG404" s="1"/>
      <c r="AH404" s="1"/>
      <c r="AI404" s="1"/>
      <c r="AJ404" s="1"/>
      <c r="AK404" s="1"/>
      <c r="AL404" s="1"/>
      <c r="AM404" s="1"/>
    </row>
    <row r="405" spans="16:39" x14ac:dyDescent="0.25">
      <c r="P405" s="49"/>
      <c r="Q405" s="1"/>
      <c r="S405" s="1"/>
      <c r="T405" s="1"/>
      <c r="U405" s="1"/>
      <c r="V405" s="1"/>
      <c r="W405" s="1"/>
      <c r="X405" s="1"/>
      <c r="Y405" s="1"/>
      <c r="AB405" s="1"/>
      <c r="AC405" s="1"/>
      <c r="AD405" s="1"/>
      <c r="AE405" s="1"/>
      <c r="AF405" s="1"/>
      <c r="AG405" s="1"/>
      <c r="AH405" s="1"/>
      <c r="AI405" s="1"/>
      <c r="AJ405" s="1"/>
      <c r="AK405" s="1"/>
      <c r="AL405" s="1"/>
      <c r="AM405" s="1"/>
    </row>
    <row r="406" spans="16:39" x14ac:dyDescent="0.25">
      <c r="P406" s="49"/>
      <c r="Q406" s="1"/>
      <c r="S406" s="1"/>
      <c r="T406" s="1"/>
      <c r="U406" s="1"/>
      <c r="V406" s="1"/>
      <c r="W406" s="1"/>
      <c r="X406" s="1"/>
      <c r="Y406" s="1"/>
      <c r="AB406" s="1"/>
      <c r="AC406" s="1"/>
      <c r="AD406" s="1"/>
      <c r="AE406" s="1"/>
      <c r="AF406" s="1"/>
      <c r="AG406" s="1"/>
      <c r="AH406" s="1"/>
      <c r="AI406" s="1"/>
      <c r="AJ406" s="1"/>
      <c r="AK406" s="1"/>
      <c r="AL406" s="1"/>
      <c r="AM406" s="1"/>
    </row>
    <row r="407" spans="16:39" x14ac:dyDescent="0.25">
      <c r="P407" s="49"/>
      <c r="Q407" s="1"/>
      <c r="S407" s="1"/>
      <c r="T407" s="1"/>
      <c r="U407" s="1"/>
      <c r="V407" s="1"/>
      <c r="W407" s="1"/>
      <c r="X407" s="1"/>
      <c r="Y407" s="1"/>
      <c r="AB407" s="1"/>
      <c r="AC407" s="1"/>
      <c r="AD407" s="1"/>
      <c r="AE407" s="1"/>
      <c r="AF407" s="1"/>
      <c r="AG407" s="1"/>
      <c r="AH407" s="1"/>
      <c r="AI407" s="1"/>
      <c r="AJ407" s="1"/>
      <c r="AK407" s="1"/>
      <c r="AL407" s="1"/>
      <c r="AM407" s="1"/>
    </row>
    <row r="408" spans="16:39" x14ac:dyDescent="0.25">
      <c r="P408" s="49"/>
      <c r="Q408" s="1"/>
      <c r="S408" s="1"/>
      <c r="T408" s="1"/>
      <c r="U408" s="1"/>
      <c r="V408" s="1"/>
      <c r="W408" s="1"/>
      <c r="X408" s="1"/>
      <c r="Y408" s="1"/>
      <c r="AB408" s="1"/>
      <c r="AC408" s="1"/>
      <c r="AD408" s="1"/>
      <c r="AE408" s="1"/>
      <c r="AF408" s="1"/>
      <c r="AG408" s="1"/>
      <c r="AH408" s="1"/>
      <c r="AI408" s="1"/>
      <c r="AJ408" s="1"/>
      <c r="AK408" s="1"/>
      <c r="AL408" s="1"/>
      <c r="AM408" s="1"/>
    </row>
    <row r="409" spans="16:39" x14ac:dyDescent="0.25">
      <c r="P409" s="49"/>
      <c r="Q409" s="1"/>
      <c r="S409" s="1"/>
      <c r="T409" s="1"/>
      <c r="U409" s="1"/>
      <c r="V409" s="1"/>
      <c r="W409" s="1"/>
      <c r="X409" s="1"/>
      <c r="Y409" s="1"/>
      <c r="AB409" s="1"/>
      <c r="AC409" s="1"/>
      <c r="AD409" s="1"/>
      <c r="AE409" s="1"/>
      <c r="AF409" s="1"/>
      <c r="AG409" s="1"/>
      <c r="AH409" s="1"/>
      <c r="AI409" s="1"/>
      <c r="AJ409" s="1"/>
      <c r="AK409" s="1"/>
      <c r="AL409" s="1"/>
      <c r="AM409" s="1"/>
    </row>
    <row r="410" spans="16:39" x14ac:dyDescent="0.25">
      <c r="P410" s="49"/>
      <c r="Q410" s="1"/>
      <c r="S410" s="1"/>
      <c r="T410" s="1"/>
      <c r="U410" s="1"/>
      <c r="V410" s="1"/>
      <c r="W410" s="1"/>
      <c r="X410" s="1"/>
      <c r="Y410" s="1"/>
      <c r="AB410" s="1"/>
      <c r="AC410" s="1"/>
      <c r="AD410" s="1"/>
      <c r="AE410" s="1"/>
      <c r="AF410" s="1"/>
      <c r="AG410" s="1"/>
      <c r="AH410" s="1"/>
      <c r="AI410" s="1"/>
      <c r="AJ410" s="1"/>
      <c r="AK410" s="1"/>
      <c r="AL410" s="1"/>
      <c r="AM410" s="1"/>
    </row>
    <row r="411" spans="16:39" x14ac:dyDescent="0.25">
      <c r="P411" s="49"/>
      <c r="Q411" s="1"/>
      <c r="S411" s="1"/>
      <c r="T411" s="1"/>
      <c r="U411" s="1"/>
      <c r="V411" s="1"/>
      <c r="W411" s="1"/>
      <c r="X411" s="1"/>
      <c r="Y411" s="1"/>
      <c r="AB411" s="1"/>
      <c r="AC411" s="1"/>
      <c r="AD411" s="1"/>
      <c r="AE411" s="1"/>
      <c r="AF411" s="1"/>
      <c r="AG411" s="1"/>
      <c r="AH411" s="1"/>
      <c r="AI411" s="1"/>
      <c r="AJ411" s="1"/>
      <c r="AK411" s="1"/>
      <c r="AL411" s="1"/>
      <c r="AM411" s="1"/>
    </row>
    <row r="412" spans="16:39" x14ac:dyDescent="0.25">
      <c r="P412" s="49"/>
      <c r="Q412" s="1"/>
      <c r="S412" s="1"/>
      <c r="T412" s="1"/>
      <c r="U412" s="1"/>
      <c r="V412" s="1"/>
      <c r="W412" s="1"/>
      <c r="X412" s="1"/>
      <c r="Y412" s="1"/>
      <c r="AB412" s="1"/>
      <c r="AC412" s="1"/>
      <c r="AD412" s="1"/>
      <c r="AE412" s="1"/>
      <c r="AF412" s="1"/>
      <c r="AG412" s="1"/>
      <c r="AH412" s="1"/>
      <c r="AI412" s="1"/>
      <c r="AJ412" s="1"/>
      <c r="AK412" s="1"/>
      <c r="AL412" s="1"/>
      <c r="AM412" s="1"/>
    </row>
    <row r="413" spans="16:39" x14ac:dyDescent="0.25">
      <c r="P413" s="49"/>
      <c r="Q413" s="1"/>
      <c r="S413" s="1"/>
      <c r="T413" s="1"/>
      <c r="U413" s="1"/>
      <c r="V413" s="1"/>
      <c r="W413" s="1"/>
      <c r="X413" s="1"/>
      <c r="Y413" s="1"/>
      <c r="AB413" s="1"/>
      <c r="AC413" s="1"/>
      <c r="AD413" s="1"/>
      <c r="AE413" s="1"/>
      <c r="AF413" s="1"/>
      <c r="AG413" s="1"/>
      <c r="AH413" s="1"/>
      <c r="AI413" s="1"/>
      <c r="AJ413" s="1"/>
      <c r="AK413" s="1"/>
      <c r="AL413" s="1"/>
      <c r="AM413" s="1"/>
    </row>
    <row r="414" spans="16:39" x14ac:dyDescent="0.25">
      <c r="P414" s="49"/>
      <c r="Q414" s="1"/>
      <c r="S414" s="1"/>
      <c r="T414" s="1"/>
      <c r="U414" s="1"/>
      <c r="V414" s="1"/>
      <c r="W414" s="1"/>
      <c r="X414" s="1"/>
      <c r="Y414" s="1"/>
      <c r="AB414" s="1"/>
      <c r="AC414" s="1"/>
      <c r="AD414" s="1"/>
      <c r="AE414" s="1"/>
      <c r="AF414" s="1"/>
      <c r="AG414" s="1"/>
      <c r="AH414" s="1"/>
      <c r="AI414" s="1"/>
      <c r="AJ414" s="1"/>
      <c r="AK414" s="1"/>
      <c r="AL414" s="1"/>
      <c r="AM414" s="1"/>
    </row>
    <row r="415" spans="16:39" x14ac:dyDescent="0.25">
      <c r="P415" s="49"/>
      <c r="Q415" s="1"/>
      <c r="S415" s="1"/>
      <c r="T415" s="1"/>
      <c r="U415" s="1"/>
      <c r="V415" s="1"/>
      <c r="W415" s="1"/>
      <c r="X415" s="1"/>
      <c r="Y415" s="1"/>
      <c r="AB415" s="1"/>
      <c r="AC415" s="1"/>
      <c r="AD415" s="1"/>
      <c r="AE415" s="1"/>
      <c r="AF415" s="1"/>
      <c r="AG415" s="1"/>
      <c r="AH415" s="1"/>
      <c r="AI415" s="1"/>
      <c r="AJ415" s="1"/>
      <c r="AK415" s="1"/>
      <c r="AL415" s="1"/>
      <c r="AM415" s="1"/>
    </row>
    <row r="416" spans="16:39" x14ac:dyDescent="0.25">
      <c r="P416" s="49"/>
      <c r="Q416" s="1"/>
      <c r="S416" s="1"/>
      <c r="T416" s="1"/>
      <c r="U416" s="1"/>
      <c r="V416" s="1"/>
      <c r="W416" s="1"/>
      <c r="X416" s="1"/>
      <c r="Y416" s="1"/>
      <c r="AB416" s="1"/>
      <c r="AC416" s="1"/>
      <c r="AD416" s="1"/>
      <c r="AE416" s="1"/>
      <c r="AF416" s="1"/>
      <c r="AG416" s="1"/>
      <c r="AH416" s="1"/>
      <c r="AI416" s="1"/>
      <c r="AJ416" s="1"/>
      <c r="AK416" s="1"/>
      <c r="AL416" s="1"/>
      <c r="AM416" s="1"/>
    </row>
    <row r="417" spans="16:39" x14ac:dyDescent="0.25">
      <c r="P417" s="49"/>
      <c r="Q417" s="1"/>
      <c r="S417" s="1"/>
      <c r="T417" s="1"/>
      <c r="U417" s="1"/>
      <c r="V417" s="1"/>
      <c r="W417" s="1"/>
      <c r="X417" s="1"/>
      <c r="Y417" s="1"/>
      <c r="AB417" s="1"/>
      <c r="AC417" s="1"/>
      <c r="AD417" s="1"/>
      <c r="AE417" s="1"/>
      <c r="AF417" s="1"/>
      <c r="AG417" s="1"/>
      <c r="AH417" s="1"/>
      <c r="AI417" s="1"/>
      <c r="AJ417" s="1"/>
      <c r="AK417" s="1"/>
      <c r="AL417" s="1"/>
      <c r="AM417" s="1"/>
    </row>
    <row r="418" spans="16:39" x14ac:dyDescent="0.25">
      <c r="P418" s="49"/>
      <c r="Q418" s="1"/>
      <c r="S418" s="1"/>
      <c r="T418" s="1"/>
      <c r="U418" s="1"/>
      <c r="V418" s="1"/>
      <c r="W418" s="1"/>
      <c r="X418" s="1"/>
      <c r="Y418" s="1"/>
      <c r="AB418" s="1"/>
      <c r="AC418" s="1"/>
      <c r="AD418" s="1"/>
      <c r="AE418" s="1"/>
      <c r="AF418" s="1"/>
      <c r="AG418" s="1"/>
      <c r="AH418" s="1"/>
      <c r="AI418" s="1"/>
      <c r="AJ418" s="1"/>
      <c r="AK418" s="1"/>
      <c r="AL418" s="1"/>
      <c r="AM418" s="1"/>
    </row>
    <row r="419" spans="16:39" x14ac:dyDescent="0.25">
      <c r="P419" s="49"/>
      <c r="Q419" s="1"/>
      <c r="S419" s="1"/>
      <c r="T419" s="1"/>
      <c r="U419" s="1"/>
      <c r="V419" s="1"/>
      <c r="W419" s="1"/>
      <c r="X419" s="1"/>
      <c r="Y419" s="1"/>
      <c r="AB419" s="1"/>
      <c r="AC419" s="1"/>
      <c r="AD419" s="1"/>
      <c r="AE419" s="1"/>
      <c r="AF419" s="1"/>
      <c r="AG419" s="1"/>
      <c r="AH419" s="1"/>
      <c r="AI419" s="1"/>
      <c r="AJ419" s="1"/>
      <c r="AK419" s="1"/>
      <c r="AL419" s="1"/>
      <c r="AM419" s="1"/>
    </row>
    <row r="420" spans="16:39" x14ac:dyDescent="0.25">
      <c r="P420" s="49"/>
      <c r="Q420" s="1"/>
      <c r="S420" s="1"/>
      <c r="T420" s="1"/>
      <c r="U420" s="1"/>
      <c r="V420" s="1"/>
      <c r="W420" s="1"/>
      <c r="X420" s="1"/>
      <c r="Y420" s="1"/>
      <c r="AB420" s="1"/>
      <c r="AC420" s="1"/>
      <c r="AD420" s="1"/>
      <c r="AE420" s="1"/>
      <c r="AF420" s="1"/>
      <c r="AG420" s="1"/>
      <c r="AH420" s="1"/>
      <c r="AI420" s="1"/>
      <c r="AJ420" s="1"/>
      <c r="AK420" s="1"/>
      <c r="AL420" s="1"/>
      <c r="AM420" s="1"/>
    </row>
    <row r="421" spans="16:39" x14ac:dyDescent="0.25">
      <c r="P421" s="49"/>
      <c r="Q421" s="1"/>
      <c r="S421" s="1"/>
      <c r="T421" s="1"/>
      <c r="U421" s="1"/>
      <c r="V421" s="1"/>
      <c r="W421" s="1"/>
      <c r="X421" s="1"/>
      <c r="Y421" s="1"/>
      <c r="AB421" s="1"/>
      <c r="AC421" s="1"/>
      <c r="AD421" s="1"/>
      <c r="AE421" s="1"/>
      <c r="AF421" s="1"/>
      <c r="AG421" s="1"/>
      <c r="AH421" s="1"/>
      <c r="AI421" s="1"/>
      <c r="AJ421" s="1"/>
      <c r="AK421" s="1"/>
      <c r="AL421" s="1"/>
      <c r="AM421" s="1"/>
    </row>
    <row r="422" spans="16:39" x14ac:dyDescent="0.25">
      <c r="P422" s="49"/>
      <c r="Q422" s="1"/>
      <c r="S422" s="1"/>
      <c r="T422" s="1"/>
      <c r="U422" s="1"/>
      <c r="V422" s="1"/>
      <c r="W422" s="1"/>
      <c r="X422" s="1"/>
      <c r="Y422" s="1"/>
      <c r="AB422" s="1"/>
      <c r="AC422" s="1"/>
      <c r="AD422" s="1"/>
      <c r="AE422" s="1"/>
      <c r="AF422" s="1"/>
      <c r="AG422" s="1"/>
      <c r="AH422" s="1"/>
      <c r="AI422" s="1"/>
      <c r="AJ422" s="1"/>
      <c r="AK422" s="1"/>
      <c r="AL422" s="1"/>
      <c r="AM422" s="1"/>
    </row>
    <row r="423" spans="16:39" x14ac:dyDescent="0.25">
      <c r="P423" s="49"/>
      <c r="Q423" s="1"/>
      <c r="S423" s="1"/>
      <c r="T423" s="1"/>
      <c r="U423" s="1"/>
      <c r="V423" s="1"/>
      <c r="W423" s="1"/>
      <c r="X423" s="1"/>
      <c r="Y423" s="1"/>
      <c r="AB423" s="1"/>
      <c r="AC423" s="1"/>
      <c r="AD423" s="1"/>
      <c r="AE423" s="1"/>
      <c r="AF423" s="1"/>
      <c r="AG423" s="1"/>
      <c r="AH423" s="1"/>
      <c r="AI423" s="1"/>
      <c r="AJ423" s="1"/>
      <c r="AK423" s="1"/>
      <c r="AL423" s="1"/>
      <c r="AM423" s="1"/>
    </row>
    <row r="424" spans="16:39" x14ac:dyDescent="0.25">
      <c r="P424" s="49"/>
      <c r="Q424" s="1"/>
      <c r="S424" s="1"/>
      <c r="T424" s="1"/>
      <c r="U424" s="1"/>
      <c r="V424" s="1"/>
      <c r="W424" s="1"/>
      <c r="X424" s="1"/>
      <c r="Y424" s="1"/>
      <c r="AB424" s="1"/>
      <c r="AC424" s="1"/>
      <c r="AD424" s="1"/>
      <c r="AE424" s="1"/>
      <c r="AF424" s="1"/>
      <c r="AG424" s="1"/>
      <c r="AH424" s="1"/>
      <c r="AI424" s="1"/>
      <c r="AJ424" s="1"/>
      <c r="AK424" s="1"/>
      <c r="AL424" s="1"/>
      <c r="AM424" s="1"/>
    </row>
    <row r="425" spans="16:39" x14ac:dyDescent="0.25">
      <c r="P425" s="49"/>
      <c r="Q425" s="1"/>
      <c r="S425" s="1"/>
      <c r="T425" s="1"/>
      <c r="U425" s="1"/>
      <c r="V425" s="1"/>
      <c r="W425" s="1"/>
      <c r="X425" s="1"/>
      <c r="Y425" s="1"/>
      <c r="AB425" s="1"/>
      <c r="AC425" s="1"/>
      <c r="AD425" s="1"/>
      <c r="AE425" s="1"/>
      <c r="AF425" s="1"/>
      <c r="AG425" s="1"/>
      <c r="AH425" s="1"/>
      <c r="AI425" s="1"/>
      <c r="AJ425" s="1"/>
      <c r="AK425" s="1"/>
      <c r="AL425" s="1"/>
      <c r="AM425" s="1"/>
    </row>
    <row r="426" spans="16:39" x14ac:dyDescent="0.25">
      <c r="P426" s="49"/>
      <c r="Q426" s="1"/>
      <c r="S426" s="1"/>
      <c r="T426" s="1"/>
      <c r="U426" s="1"/>
      <c r="V426" s="1"/>
      <c r="W426" s="1"/>
      <c r="X426" s="1"/>
      <c r="Y426" s="1"/>
      <c r="AB426" s="1"/>
      <c r="AC426" s="1"/>
      <c r="AD426" s="1"/>
      <c r="AE426" s="1"/>
      <c r="AF426" s="1"/>
      <c r="AG426" s="1"/>
      <c r="AH426" s="1"/>
      <c r="AI426" s="1"/>
      <c r="AJ426" s="1"/>
      <c r="AK426" s="1"/>
      <c r="AL426" s="1"/>
      <c r="AM426" s="1"/>
    </row>
    <row r="427" spans="16:39" x14ac:dyDescent="0.25">
      <c r="P427" s="49"/>
      <c r="Q427" s="1"/>
      <c r="S427" s="1"/>
      <c r="T427" s="1"/>
      <c r="U427" s="1"/>
      <c r="V427" s="1"/>
      <c r="W427" s="1"/>
      <c r="X427" s="1"/>
      <c r="Y427" s="1"/>
      <c r="AB427" s="1"/>
      <c r="AC427" s="1"/>
      <c r="AD427" s="1"/>
      <c r="AE427" s="1"/>
      <c r="AF427" s="1"/>
      <c r="AG427" s="1"/>
      <c r="AH427" s="1"/>
      <c r="AI427" s="1"/>
      <c r="AJ427" s="1"/>
      <c r="AK427" s="1"/>
      <c r="AL427" s="1"/>
      <c r="AM427" s="1"/>
    </row>
    <row r="428" spans="16:39" x14ac:dyDescent="0.25">
      <c r="P428" s="49"/>
      <c r="Q428" s="1"/>
      <c r="S428" s="1"/>
      <c r="T428" s="1"/>
      <c r="U428" s="1"/>
      <c r="V428" s="1"/>
      <c r="W428" s="1"/>
      <c r="X428" s="1"/>
      <c r="Y428" s="1"/>
      <c r="AB428" s="1"/>
      <c r="AC428" s="1"/>
      <c r="AD428" s="1"/>
      <c r="AE428" s="1"/>
      <c r="AF428" s="1"/>
      <c r="AG428" s="1"/>
      <c r="AH428" s="1"/>
      <c r="AI428" s="1"/>
      <c r="AJ428" s="1"/>
      <c r="AK428" s="1"/>
      <c r="AL428" s="1"/>
      <c r="AM428" s="1"/>
    </row>
    <row r="429" spans="16:39" x14ac:dyDescent="0.25">
      <c r="P429" s="49"/>
      <c r="Q429" s="1"/>
      <c r="S429" s="1"/>
      <c r="T429" s="1"/>
      <c r="U429" s="1"/>
      <c r="V429" s="1"/>
      <c r="W429" s="1"/>
      <c r="X429" s="1"/>
      <c r="Y429" s="1"/>
      <c r="AB429" s="1"/>
      <c r="AC429" s="1"/>
      <c r="AD429" s="1"/>
      <c r="AE429" s="1"/>
      <c r="AF429" s="1"/>
      <c r="AG429" s="1"/>
      <c r="AH429" s="1"/>
      <c r="AI429" s="1"/>
      <c r="AJ429" s="1"/>
      <c r="AK429" s="1"/>
      <c r="AL429" s="1"/>
      <c r="AM429" s="1"/>
    </row>
    <row r="430" spans="16:39" x14ac:dyDescent="0.25">
      <c r="P430" s="49"/>
      <c r="Q430" s="1"/>
      <c r="S430" s="1"/>
      <c r="T430" s="1"/>
      <c r="U430" s="1"/>
      <c r="V430" s="1"/>
      <c r="W430" s="1"/>
      <c r="X430" s="1"/>
      <c r="Y430" s="1"/>
      <c r="AB430" s="1"/>
      <c r="AC430" s="1"/>
      <c r="AD430" s="1"/>
      <c r="AE430" s="1"/>
      <c r="AF430" s="1"/>
      <c r="AG430" s="1"/>
      <c r="AH430" s="1"/>
      <c r="AI430" s="1"/>
      <c r="AJ430" s="1"/>
      <c r="AK430" s="1"/>
      <c r="AL430" s="1"/>
      <c r="AM430" s="1"/>
    </row>
    <row r="431" spans="16:39" x14ac:dyDescent="0.25">
      <c r="P431" s="49"/>
      <c r="Q431" s="1"/>
      <c r="S431" s="1"/>
      <c r="T431" s="1"/>
      <c r="U431" s="1"/>
      <c r="V431" s="1"/>
      <c r="W431" s="1"/>
      <c r="X431" s="1"/>
      <c r="Y431" s="1"/>
      <c r="AB431" s="1"/>
      <c r="AC431" s="1"/>
      <c r="AD431" s="1"/>
      <c r="AE431" s="1"/>
      <c r="AF431" s="1"/>
      <c r="AG431" s="1"/>
      <c r="AH431" s="1"/>
      <c r="AI431" s="1"/>
      <c r="AJ431" s="1"/>
      <c r="AK431" s="1"/>
      <c r="AL431" s="1"/>
      <c r="AM431" s="1"/>
    </row>
    <row r="432" spans="16:39" x14ac:dyDescent="0.25">
      <c r="P432" s="49"/>
      <c r="Q432" s="1"/>
      <c r="S432" s="1"/>
      <c r="T432" s="1"/>
      <c r="U432" s="1"/>
      <c r="V432" s="1"/>
      <c r="W432" s="1"/>
      <c r="X432" s="1"/>
      <c r="Y432" s="1"/>
      <c r="AB432" s="1"/>
      <c r="AC432" s="1"/>
      <c r="AD432" s="1"/>
      <c r="AE432" s="1"/>
      <c r="AF432" s="1"/>
      <c r="AG432" s="1"/>
      <c r="AH432" s="1"/>
      <c r="AI432" s="1"/>
      <c r="AJ432" s="1"/>
      <c r="AK432" s="1"/>
      <c r="AL432" s="1"/>
      <c r="AM432" s="1"/>
    </row>
    <row r="433" spans="16:39" x14ac:dyDescent="0.25">
      <c r="P433" s="49"/>
      <c r="Q433" s="1"/>
      <c r="S433" s="1"/>
      <c r="T433" s="1"/>
      <c r="U433" s="1"/>
      <c r="V433" s="1"/>
      <c r="W433" s="1"/>
      <c r="X433" s="1"/>
      <c r="Y433" s="1"/>
      <c r="AB433" s="1"/>
      <c r="AC433" s="1"/>
      <c r="AD433" s="1"/>
      <c r="AE433" s="1"/>
      <c r="AF433" s="1"/>
      <c r="AG433" s="1"/>
      <c r="AH433" s="1"/>
      <c r="AI433" s="1"/>
      <c r="AJ433" s="1"/>
      <c r="AK433" s="1"/>
      <c r="AL433" s="1"/>
      <c r="AM433" s="1"/>
    </row>
    <row r="434" spans="16:39" x14ac:dyDescent="0.25">
      <c r="P434" s="49"/>
      <c r="Q434" s="1"/>
      <c r="S434" s="1"/>
      <c r="T434" s="1"/>
      <c r="U434" s="1"/>
      <c r="V434" s="1"/>
      <c r="W434" s="1"/>
      <c r="X434" s="1"/>
      <c r="Y434" s="1"/>
      <c r="AB434" s="1"/>
      <c r="AC434" s="1"/>
      <c r="AD434" s="1"/>
      <c r="AE434" s="1"/>
      <c r="AF434" s="1"/>
      <c r="AG434" s="1"/>
      <c r="AH434" s="1"/>
      <c r="AI434" s="1"/>
      <c r="AJ434" s="1"/>
      <c r="AK434" s="1"/>
      <c r="AL434" s="1"/>
      <c r="AM434" s="1"/>
    </row>
    <row r="435" spans="16:39" x14ac:dyDescent="0.25">
      <c r="P435" s="49"/>
      <c r="Q435" s="1"/>
      <c r="S435" s="1"/>
      <c r="T435" s="1"/>
      <c r="U435" s="1"/>
      <c r="V435" s="1"/>
      <c r="W435" s="1"/>
      <c r="X435" s="1"/>
      <c r="Y435" s="1"/>
      <c r="AB435" s="1"/>
      <c r="AC435" s="1"/>
      <c r="AD435" s="1"/>
      <c r="AE435" s="1"/>
      <c r="AF435" s="1"/>
      <c r="AG435" s="1"/>
      <c r="AH435" s="1"/>
      <c r="AI435" s="1"/>
      <c r="AJ435" s="1"/>
      <c r="AK435" s="1"/>
      <c r="AL435" s="1"/>
      <c r="AM435" s="1"/>
    </row>
    <row r="436" spans="16:39" x14ac:dyDescent="0.25">
      <c r="P436" s="49"/>
      <c r="Q436" s="1"/>
      <c r="S436" s="1"/>
      <c r="T436" s="1"/>
      <c r="U436" s="1"/>
      <c r="V436" s="1"/>
      <c r="W436" s="1"/>
      <c r="X436" s="1"/>
      <c r="Y436" s="1"/>
      <c r="AB436" s="1"/>
      <c r="AC436" s="1"/>
      <c r="AD436" s="1"/>
      <c r="AE436" s="1"/>
      <c r="AF436" s="1"/>
      <c r="AG436" s="1"/>
      <c r="AH436" s="1"/>
      <c r="AI436" s="1"/>
      <c r="AJ436" s="1"/>
      <c r="AK436" s="1"/>
      <c r="AL436" s="1"/>
      <c r="AM436" s="1"/>
    </row>
    <row r="437" spans="16:39" x14ac:dyDescent="0.25">
      <c r="P437" s="49"/>
      <c r="Q437" s="1"/>
      <c r="S437" s="1"/>
      <c r="T437" s="1"/>
      <c r="U437" s="1"/>
      <c r="V437" s="1"/>
      <c r="W437" s="1"/>
      <c r="X437" s="1"/>
      <c r="Y437" s="1"/>
      <c r="AB437" s="1"/>
      <c r="AC437" s="1"/>
      <c r="AD437" s="1"/>
      <c r="AE437" s="1"/>
      <c r="AF437" s="1"/>
      <c r="AG437" s="1"/>
      <c r="AH437" s="1"/>
      <c r="AI437" s="1"/>
      <c r="AJ437" s="1"/>
      <c r="AK437" s="1"/>
      <c r="AL437" s="1"/>
      <c r="AM437" s="1"/>
    </row>
    <row r="438" spans="16:39" x14ac:dyDescent="0.25">
      <c r="P438" s="49"/>
      <c r="Q438" s="1"/>
      <c r="S438" s="1"/>
      <c r="T438" s="1"/>
      <c r="U438" s="1"/>
      <c r="V438" s="1"/>
      <c r="W438" s="1"/>
      <c r="X438" s="1"/>
      <c r="Y438" s="1"/>
      <c r="AB438" s="1"/>
      <c r="AC438" s="1"/>
      <c r="AD438" s="1"/>
      <c r="AE438" s="1"/>
      <c r="AF438" s="1"/>
      <c r="AG438" s="1"/>
      <c r="AH438" s="1"/>
      <c r="AI438" s="1"/>
      <c r="AJ438" s="1"/>
      <c r="AK438" s="1"/>
      <c r="AL438" s="1"/>
      <c r="AM438" s="1"/>
    </row>
    <row r="439" spans="16:39" x14ac:dyDescent="0.25">
      <c r="P439" s="49"/>
      <c r="Q439" s="1"/>
      <c r="S439" s="1"/>
      <c r="T439" s="1"/>
      <c r="U439" s="1"/>
      <c r="V439" s="1"/>
      <c r="W439" s="1"/>
      <c r="X439" s="1"/>
      <c r="Y439" s="1"/>
      <c r="AB439" s="1"/>
      <c r="AC439" s="1"/>
      <c r="AD439" s="1"/>
      <c r="AE439" s="1"/>
      <c r="AF439" s="1"/>
      <c r="AG439" s="1"/>
      <c r="AH439" s="1"/>
      <c r="AI439" s="1"/>
      <c r="AJ439" s="1"/>
      <c r="AK439" s="1"/>
      <c r="AL439" s="1"/>
      <c r="AM439" s="1"/>
    </row>
    <row r="440" spans="16:39" x14ac:dyDescent="0.25">
      <c r="P440" s="49"/>
      <c r="Q440" s="1"/>
      <c r="S440" s="1"/>
      <c r="T440" s="1"/>
      <c r="U440" s="1"/>
      <c r="V440" s="1"/>
      <c r="W440" s="1"/>
      <c r="X440" s="1"/>
      <c r="Y440" s="1"/>
      <c r="AB440" s="1"/>
      <c r="AC440" s="1"/>
      <c r="AD440" s="1"/>
      <c r="AE440" s="1"/>
      <c r="AF440" s="1"/>
      <c r="AG440" s="1"/>
      <c r="AH440" s="1"/>
      <c r="AI440" s="1"/>
      <c r="AJ440" s="1"/>
      <c r="AK440" s="1"/>
      <c r="AL440" s="1"/>
      <c r="AM440" s="1"/>
    </row>
    <row r="441" spans="16:39" x14ac:dyDescent="0.25">
      <c r="P441" s="49"/>
      <c r="Q441" s="1"/>
      <c r="S441" s="1"/>
      <c r="T441" s="1"/>
      <c r="U441" s="1"/>
      <c r="V441" s="1"/>
      <c r="W441" s="1"/>
      <c r="X441" s="1"/>
      <c r="Y441" s="1"/>
      <c r="AB441" s="1"/>
      <c r="AC441" s="1"/>
      <c r="AD441" s="1"/>
      <c r="AE441" s="1"/>
      <c r="AF441" s="1"/>
      <c r="AG441" s="1"/>
      <c r="AH441" s="1"/>
      <c r="AI441" s="1"/>
      <c r="AJ441" s="1"/>
      <c r="AK441" s="1"/>
      <c r="AL441" s="1"/>
      <c r="AM441" s="1"/>
    </row>
    <row r="442" spans="16:39" x14ac:dyDescent="0.25">
      <c r="P442" s="49"/>
      <c r="Q442" s="1"/>
      <c r="S442" s="1"/>
      <c r="T442" s="1"/>
      <c r="U442" s="1"/>
      <c r="V442" s="1"/>
      <c r="W442" s="1"/>
      <c r="X442" s="1"/>
      <c r="Y442" s="1"/>
      <c r="AB442" s="1"/>
      <c r="AC442" s="1"/>
      <c r="AD442" s="1"/>
      <c r="AE442" s="1"/>
      <c r="AF442" s="1"/>
      <c r="AG442" s="1"/>
      <c r="AH442" s="1"/>
      <c r="AI442" s="1"/>
      <c r="AJ442" s="1"/>
      <c r="AK442" s="1"/>
      <c r="AL442" s="1"/>
      <c r="AM442" s="1"/>
    </row>
    <row r="443" spans="16:39" x14ac:dyDescent="0.25">
      <c r="P443" s="49"/>
      <c r="Q443" s="1"/>
      <c r="S443" s="1"/>
      <c r="T443" s="1"/>
      <c r="U443" s="1"/>
      <c r="V443" s="1"/>
      <c r="W443" s="1"/>
      <c r="X443" s="1"/>
      <c r="Y443" s="1"/>
      <c r="AB443" s="1"/>
      <c r="AC443" s="1"/>
      <c r="AD443" s="1"/>
      <c r="AE443" s="1"/>
      <c r="AF443" s="1"/>
      <c r="AG443" s="1"/>
      <c r="AH443" s="1"/>
      <c r="AI443" s="1"/>
      <c r="AJ443" s="1"/>
      <c r="AK443" s="1"/>
      <c r="AL443" s="1"/>
      <c r="AM443" s="1"/>
    </row>
    <row r="444" spans="16:39" x14ac:dyDescent="0.25">
      <c r="P444" s="49"/>
      <c r="Q444" s="1"/>
      <c r="S444" s="1"/>
      <c r="T444" s="1"/>
      <c r="U444" s="1"/>
      <c r="V444" s="1"/>
      <c r="W444" s="1"/>
      <c r="X444" s="1"/>
      <c r="Y444" s="1"/>
      <c r="AB444" s="1"/>
      <c r="AC444" s="1"/>
      <c r="AD444" s="1"/>
      <c r="AE444" s="1"/>
      <c r="AF444" s="1"/>
      <c r="AG444" s="1"/>
      <c r="AH444" s="1"/>
      <c r="AI444" s="1"/>
      <c r="AJ444" s="1"/>
      <c r="AK444" s="1"/>
      <c r="AL444" s="1"/>
      <c r="AM444" s="1"/>
    </row>
    <row r="445" spans="16:39" x14ac:dyDescent="0.25">
      <c r="P445" s="49"/>
      <c r="Q445" s="1"/>
      <c r="S445" s="1"/>
      <c r="T445" s="1"/>
      <c r="U445" s="1"/>
      <c r="V445" s="1"/>
      <c r="W445" s="1"/>
      <c r="X445" s="1"/>
      <c r="Y445" s="1"/>
      <c r="AB445" s="1"/>
      <c r="AC445" s="1"/>
      <c r="AD445" s="1"/>
      <c r="AE445" s="1"/>
      <c r="AF445" s="1"/>
      <c r="AG445" s="1"/>
      <c r="AH445" s="1"/>
      <c r="AI445" s="1"/>
      <c r="AJ445" s="1"/>
      <c r="AK445" s="1"/>
      <c r="AL445" s="1"/>
      <c r="AM445" s="1"/>
    </row>
    <row r="446" spans="16:39" x14ac:dyDescent="0.25">
      <c r="P446" s="49"/>
      <c r="Q446" s="1"/>
      <c r="S446" s="1"/>
      <c r="T446" s="1"/>
      <c r="U446" s="1"/>
      <c r="V446" s="1"/>
      <c r="W446" s="1"/>
      <c r="X446" s="1"/>
      <c r="Y446" s="1"/>
      <c r="AB446" s="1"/>
      <c r="AC446" s="1"/>
      <c r="AD446" s="1"/>
      <c r="AE446" s="1"/>
      <c r="AF446" s="1"/>
      <c r="AG446" s="1"/>
      <c r="AH446" s="1"/>
      <c r="AI446" s="1"/>
      <c r="AJ446" s="1"/>
      <c r="AK446" s="1"/>
      <c r="AL446" s="1"/>
      <c r="AM446" s="1"/>
    </row>
    <row r="447" spans="16:39" x14ac:dyDescent="0.25">
      <c r="P447" s="49"/>
      <c r="Q447" s="1"/>
      <c r="S447" s="1"/>
      <c r="T447" s="1"/>
      <c r="U447" s="1"/>
      <c r="V447" s="1"/>
      <c r="W447" s="1"/>
      <c r="X447" s="1"/>
      <c r="Y447" s="1"/>
      <c r="AB447" s="1"/>
      <c r="AC447" s="1"/>
      <c r="AD447" s="1"/>
      <c r="AE447" s="1"/>
      <c r="AF447" s="1"/>
      <c r="AG447" s="1"/>
      <c r="AH447" s="1"/>
      <c r="AI447" s="1"/>
      <c r="AJ447" s="1"/>
      <c r="AK447" s="1"/>
      <c r="AL447" s="1"/>
      <c r="AM447" s="1"/>
    </row>
    <row r="448" spans="16:39" x14ac:dyDescent="0.25">
      <c r="P448" s="49"/>
      <c r="Q448" s="1"/>
      <c r="S448" s="1"/>
      <c r="T448" s="1"/>
      <c r="U448" s="1"/>
      <c r="V448" s="1"/>
      <c r="W448" s="1"/>
      <c r="X448" s="1"/>
      <c r="Y448" s="1"/>
      <c r="AB448" s="1"/>
      <c r="AC448" s="1"/>
      <c r="AD448" s="1"/>
      <c r="AE448" s="1"/>
      <c r="AF448" s="1"/>
      <c r="AG448" s="1"/>
      <c r="AH448" s="1"/>
      <c r="AI448" s="1"/>
      <c r="AJ448" s="1"/>
      <c r="AK448" s="1"/>
      <c r="AL448" s="1"/>
      <c r="AM448" s="1"/>
    </row>
    <row r="449" spans="16:39" x14ac:dyDescent="0.25">
      <c r="P449" s="49"/>
      <c r="Q449" s="1"/>
      <c r="S449" s="1"/>
      <c r="T449" s="1"/>
      <c r="U449" s="1"/>
      <c r="V449" s="1"/>
      <c r="W449" s="1"/>
      <c r="X449" s="1"/>
      <c r="Y449" s="1"/>
      <c r="AB449" s="1"/>
      <c r="AC449" s="1"/>
      <c r="AD449" s="1"/>
      <c r="AE449" s="1"/>
      <c r="AF449" s="1"/>
      <c r="AG449" s="1"/>
      <c r="AH449" s="1"/>
      <c r="AI449" s="1"/>
      <c r="AJ449" s="1"/>
      <c r="AK449" s="1"/>
      <c r="AL449" s="1"/>
      <c r="AM449" s="1"/>
    </row>
    <row r="450" spans="16:39" x14ac:dyDescent="0.25">
      <c r="P450" s="49"/>
      <c r="Q450" s="1"/>
      <c r="S450" s="1"/>
      <c r="T450" s="1"/>
      <c r="U450" s="1"/>
      <c r="V450" s="1"/>
      <c r="W450" s="1"/>
      <c r="X450" s="1"/>
      <c r="Y450" s="1"/>
      <c r="AB450" s="1"/>
      <c r="AC450" s="1"/>
      <c r="AD450" s="1"/>
      <c r="AE450" s="1"/>
      <c r="AF450" s="1"/>
      <c r="AG450" s="1"/>
      <c r="AH450" s="1"/>
      <c r="AI450" s="1"/>
      <c r="AJ450" s="1"/>
      <c r="AK450" s="1"/>
      <c r="AL450" s="1"/>
      <c r="AM450" s="1"/>
    </row>
    <row r="451" spans="16:39" x14ac:dyDescent="0.25">
      <c r="P451" s="49"/>
      <c r="Q451" s="1"/>
      <c r="S451" s="1"/>
      <c r="T451" s="1"/>
      <c r="U451" s="1"/>
      <c r="V451" s="1"/>
      <c r="W451" s="1"/>
      <c r="X451" s="1"/>
      <c r="Y451" s="1"/>
      <c r="AB451" s="1"/>
      <c r="AC451" s="1"/>
      <c r="AD451" s="1"/>
      <c r="AE451" s="1"/>
      <c r="AF451" s="1"/>
      <c r="AG451" s="1"/>
      <c r="AH451" s="1"/>
      <c r="AI451" s="1"/>
      <c r="AJ451" s="1"/>
      <c r="AK451" s="1"/>
      <c r="AL451" s="1"/>
      <c r="AM451" s="1"/>
    </row>
    <row r="452" spans="16:39" x14ac:dyDescent="0.25">
      <c r="P452" s="49"/>
      <c r="Q452" s="1"/>
      <c r="S452" s="1"/>
      <c r="T452" s="1"/>
      <c r="U452" s="1"/>
      <c r="V452" s="1"/>
      <c r="W452" s="1"/>
      <c r="X452" s="1"/>
      <c r="Y452" s="1"/>
      <c r="AB452" s="1"/>
      <c r="AC452" s="1"/>
      <c r="AD452" s="1"/>
      <c r="AE452" s="1"/>
      <c r="AF452" s="1"/>
      <c r="AG452" s="1"/>
      <c r="AH452" s="1"/>
      <c r="AI452" s="1"/>
      <c r="AJ452" s="1"/>
      <c r="AK452" s="1"/>
      <c r="AL452" s="1"/>
      <c r="AM452" s="1"/>
    </row>
    <row r="453" spans="16:39" x14ac:dyDescent="0.25">
      <c r="P453" s="49"/>
      <c r="Q453" s="1"/>
      <c r="S453" s="1"/>
      <c r="T453" s="1"/>
      <c r="U453" s="1"/>
      <c r="V453" s="1"/>
      <c r="W453" s="1"/>
      <c r="X453" s="1"/>
      <c r="Y453" s="1"/>
      <c r="AB453" s="1"/>
      <c r="AC453" s="1"/>
      <c r="AD453" s="1"/>
      <c r="AE453" s="1"/>
      <c r="AF453" s="1"/>
      <c r="AG453" s="1"/>
      <c r="AH453" s="1"/>
      <c r="AI453" s="1"/>
      <c r="AJ453" s="1"/>
      <c r="AK453" s="1"/>
      <c r="AL453" s="1"/>
      <c r="AM453" s="1"/>
    </row>
    <row r="454" spans="16:39" x14ac:dyDescent="0.25">
      <c r="P454" s="49"/>
      <c r="Q454" s="1"/>
      <c r="S454" s="1"/>
      <c r="T454" s="1"/>
      <c r="U454" s="1"/>
      <c r="V454" s="1"/>
      <c r="W454" s="1"/>
      <c r="X454" s="1"/>
      <c r="Y454" s="1"/>
      <c r="AB454" s="1"/>
      <c r="AC454" s="1"/>
      <c r="AD454" s="1"/>
      <c r="AE454" s="1"/>
      <c r="AF454" s="1"/>
      <c r="AG454" s="1"/>
      <c r="AH454" s="1"/>
      <c r="AI454" s="1"/>
      <c r="AJ454" s="1"/>
      <c r="AK454" s="1"/>
      <c r="AL454" s="1"/>
      <c r="AM454" s="1"/>
    </row>
    <row r="455" spans="16:39" x14ac:dyDescent="0.25">
      <c r="P455" s="49"/>
      <c r="Q455" s="1"/>
      <c r="S455" s="1"/>
      <c r="T455" s="1"/>
      <c r="U455" s="1"/>
      <c r="V455" s="1"/>
      <c r="W455" s="1"/>
      <c r="X455" s="1"/>
      <c r="Y455" s="1"/>
      <c r="AB455" s="1"/>
      <c r="AC455" s="1"/>
      <c r="AD455" s="1"/>
      <c r="AE455" s="1"/>
      <c r="AF455" s="1"/>
      <c r="AG455" s="1"/>
      <c r="AH455" s="1"/>
      <c r="AI455" s="1"/>
      <c r="AJ455" s="1"/>
      <c r="AK455" s="1"/>
      <c r="AL455" s="1"/>
      <c r="AM455" s="1"/>
    </row>
    <row r="456" spans="16:39" x14ac:dyDescent="0.25">
      <c r="P456" s="49"/>
      <c r="Q456" s="1"/>
      <c r="S456" s="1"/>
      <c r="T456" s="1"/>
      <c r="U456" s="1"/>
      <c r="V456" s="1"/>
      <c r="W456" s="1"/>
      <c r="X456" s="1"/>
      <c r="Y456" s="1"/>
      <c r="AB456" s="1"/>
      <c r="AC456" s="1"/>
      <c r="AD456" s="1"/>
      <c r="AE456" s="1"/>
      <c r="AF456" s="1"/>
      <c r="AG456" s="1"/>
      <c r="AH456" s="1"/>
      <c r="AI456" s="1"/>
      <c r="AJ456" s="1"/>
      <c r="AK456" s="1"/>
      <c r="AL456" s="1"/>
      <c r="AM456" s="1"/>
    </row>
    <row r="457" spans="16:39" x14ac:dyDescent="0.25">
      <c r="P457" s="49"/>
      <c r="Q457" s="1"/>
      <c r="S457" s="1"/>
      <c r="T457" s="1"/>
      <c r="U457" s="1"/>
      <c r="V457" s="1"/>
      <c r="W457" s="1"/>
      <c r="X457" s="1"/>
      <c r="Y457" s="1"/>
      <c r="AB457" s="1"/>
      <c r="AC457" s="1"/>
      <c r="AD457" s="1"/>
      <c r="AE457" s="1"/>
      <c r="AF457" s="1"/>
      <c r="AG457" s="1"/>
      <c r="AH457" s="1"/>
      <c r="AI457" s="1"/>
      <c r="AJ457" s="1"/>
      <c r="AK457" s="1"/>
      <c r="AL457" s="1"/>
      <c r="AM457" s="1"/>
    </row>
    <row r="458" spans="16:39" x14ac:dyDescent="0.25">
      <c r="P458" s="49"/>
      <c r="Q458" s="1"/>
      <c r="S458" s="1"/>
      <c r="T458" s="1"/>
      <c r="U458" s="1"/>
      <c r="V458" s="1"/>
      <c r="W458" s="1"/>
      <c r="X458" s="1"/>
      <c r="Y458" s="1"/>
      <c r="AB458" s="1"/>
      <c r="AC458" s="1"/>
      <c r="AD458" s="1"/>
      <c r="AE458" s="1"/>
      <c r="AF458" s="1"/>
      <c r="AG458" s="1"/>
      <c r="AH458" s="1"/>
      <c r="AI458" s="1"/>
      <c r="AJ458" s="1"/>
      <c r="AK458" s="1"/>
      <c r="AL458" s="1"/>
      <c r="AM458" s="1"/>
    </row>
    <row r="459" spans="16:39" x14ac:dyDescent="0.25">
      <c r="P459" s="49"/>
      <c r="Q459" s="1"/>
      <c r="S459" s="1"/>
      <c r="T459" s="1"/>
      <c r="U459" s="1"/>
      <c r="V459" s="1"/>
      <c r="W459" s="1"/>
      <c r="X459" s="1"/>
      <c r="Y459" s="1"/>
      <c r="AB459" s="1"/>
      <c r="AC459" s="1"/>
      <c r="AD459" s="1"/>
      <c r="AE459" s="1"/>
      <c r="AF459" s="1"/>
      <c r="AG459" s="1"/>
      <c r="AH459" s="1"/>
      <c r="AI459" s="1"/>
      <c r="AJ459" s="1"/>
      <c r="AK459" s="1"/>
      <c r="AL459" s="1"/>
      <c r="AM459" s="1"/>
    </row>
    <row r="460" spans="16:39" x14ac:dyDescent="0.25">
      <c r="P460" s="49"/>
      <c r="Q460" s="1"/>
      <c r="S460" s="1"/>
      <c r="T460" s="1"/>
      <c r="U460" s="1"/>
      <c r="V460" s="1"/>
      <c r="W460" s="1"/>
      <c r="X460" s="1"/>
      <c r="Y460" s="1"/>
      <c r="AB460" s="1"/>
      <c r="AC460" s="1"/>
      <c r="AD460" s="1"/>
      <c r="AE460" s="1"/>
      <c r="AF460" s="1"/>
      <c r="AG460" s="1"/>
      <c r="AH460" s="1"/>
      <c r="AI460" s="1"/>
      <c r="AJ460" s="1"/>
      <c r="AK460" s="1"/>
      <c r="AL460" s="1"/>
      <c r="AM460" s="1"/>
    </row>
    <row r="461" spans="16:39" x14ac:dyDescent="0.25">
      <c r="P461" s="49"/>
      <c r="Q461" s="1"/>
      <c r="S461" s="1"/>
      <c r="T461" s="1"/>
      <c r="U461" s="1"/>
      <c r="V461" s="1"/>
      <c r="W461" s="1"/>
      <c r="X461" s="1"/>
      <c r="Y461" s="1"/>
      <c r="AB461" s="1"/>
      <c r="AC461" s="1"/>
      <c r="AD461" s="1"/>
      <c r="AE461" s="1"/>
      <c r="AF461" s="1"/>
      <c r="AG461" s="1"/>
      <c r="AH461" s="1"/>
      <c r="AI461" s="1"/>
      <c r="AJ461" s="1"/>
      <c r="AK461" s="1"/>
      <c r="AL461" s="1"/>
      <c r="AM461" s="1"/>
    </row>
    <row r="462" spans="16:39" x14ac:dyDescent="0.25">
      <c r="P462" s="49"/>
      <c r="Q462" s="1"/>
      <c r="S462" s="1"/>
      <c r="T462" s="1"/>
      <c r="U462" s="1"/>
      <c r="V462" s="1"/>
      <c r="W462" s="1"/>
      <c r="X462" s="1"/>
      <c r="Y462" s="1"/>
      <c r="AB462" s="1"/>
      <c r="AC462" s="1"/>
      <c r="AD462" s="1"/>
      <c r="AE462" s="1"/>
      <c r="AF462" s="1"/>
      <c r="AG462" s="1"/>
      <c r="AH462" s="1"/>
      <c r="AI462" s="1"/>
      <c r="AJ462" s="1"/>
      <c r="AK462" s="1"/>
      <c r="AL462" s="1"/>
      <c r="AM462" s="1"/>
    </row>
    <row r="463" spans="16:39" x14ac:dyDescent="0.25">
      <c r="P463" s="49"/>
      <c r="Q463" s="1"/>
      <c r="S463" s="1"/>
      <c r="T463" s="1"/>
      <c r="U463" s="1"/>
      <c r="V463" s="1"/>
      <c r="W463" s="1"/>
      <c r="X463" s="1"/>
      <c r="Y463" s="1"/>
      <c r="AB463" s="1"/>
      <c r="AC463" s="1"/>
      <c r="AD463" s="1"/>
      <c r="AE463" s="1"/>
      <c r="AF463" s="1"/>
      <c r="AG463" s="1"/>
      <c r="AH463" s="1"/>
      <c r="AI463" s="1"/>
      <c r="AJ463" s="1"/>
      <c r="AK463" s="1"/>
      <c r="AL463" s="1"/>
      <c r="AM463" s="1"/>
    </row>
    <row r="464" spans="16:39" x14ac:dyDescent="0.25">
      <c r="P464" s="49"/>
      <c r="Q464" s="1"/>
      <c r="S464" s="1"/>
      <c r="T464" s="1"/>
      <c r="U464" s="1"/>
      <c r="V464" s="1"/>
      <c r="W464" s="1"/>
      <c r="X464" s="1"/>
      <c r="Y464" s="1"/>
      <c r="AB464" s="1"/>
      <c r="AC464" s="1"/>
      <c r="AD464" s="1"/>
      <c r="AE464" s="1"/>
      <c r="AF464" s="1"/>
      <c r="AG464" s="1"/>
      <c r="AH464" s="1"/>
      <c r="AI464" s="1"/>
      <c r="AJ464" s="1"/>
      <c r="AK464" s="1"/>
      <c r="AL464" s="1"/>
      <c r="AM464" s="1"/>
    </row>
    <row r="465" spans="16:39" x14ac:dyDescent="0.25">
      <c r="P465" s="49"/>
      <c r="Q465" s="1"/>
      <c r="S465" s="1"/>
      <c r="T465" s="1"/>
      <c r="U465" s="1"/>
      <c r="V465" s="1"/>
      <c r="W465" s="1"/>
      <c r="X465" s="1"/>
      <c r="Y465" s="1"/>
      <c r="AB465" s="1"/>
      <c r="AC465" s="1"/>
      <c r="AD465" s="1"/>
      <c r="AE465" s="1"/>
      <c r="AF465" s="1"/>
      <c r="AG465" s="1"/>
      <c r="AH465" s="1"/>
      <c r="AI465" s="1"/>
      <c r="AJ465" s="1"/>
      <c r="AK465" s="1"/>
      <c r="AL465" s="1"/>
      <c r="AM465" s="1"/>
    </row>
    <row r="466" spans="16:39" x14ac:dyDescent="0.25">
      <c r="P466" s="49"/>
      <c r="Q466" s="1"/>
      <c r="S466" s="1"/>
      <c r="T466" s="1"/>
      <c r="U466" s="1"/>
      <c r="V466" s="1"/>
      <c r="W466" s="1"/>
      <c r="X466" s="1"/>
      <c r="Y466" s="1"/>
      <c r="AB466" s="1"/>
      <c r="AC466" s="1"/>
      <c r="AD466" s="1"/>
      <c r="AE466" s="1"/>
      <c r="AF466" s="1"/>
      <c r="AG466" s="1"/>
      <c r="AH466" s="1"/>
      <c r="AI466" s="1"/>
      <c r="AJ466" s="1"/>
      <c r="AK466" s="1"/>
      <c r="AL466" s="1"/>
      <c r="AM466" s="1"/>
    </row>
    <row r="467" spans="16:39" x14ac:dyDescent="0.25">
      <c r="P467" s="49"/>
      <c r="Q467" s="1"/>
      <c r="S467" s="1"/>
      <c r="T467" s="1"/>
      <c r="U467" s="1"/>
      <c r="V467" s="1"/>
      <c r="W467" s="1"/>
      <c r="X467" s="1"/>
      <c r="Y467" s="1"/>
      <c r="AB467" s="1"/>
      <c r="AC467" s="1"/>
      <c r="AD467" s="1"/>
      <c r="AE467" s="1"/>
      <c r="AF467" s="1"/>
      <c r="AG467" s="1"/>
      <c r="AH467" s="1"/>
      <c r="AI467" s="1"/>
      <c r="AJ467" s="1"/>
      <c r="AK467" s="1"/>
      <c r="AL467" s="1"/>
      <c r="AM467" s="1"/>
    </row>
    <row r="468" spans="16:39" x14ac:dyDescent="0.25">
      <c r="P468" s="49"/>
      <c r="Q468" s="1"/>
      <c r="S468" s="1"/>
      <c r="T468" s="1"/>
      <c r="U468" s="1"/>
      <c r="V468" s="1"/>
      <c r="W468" s="1"/>
      <c r="X468" s="1"/>
      <c r="Y468" s="1"/>
      <c r="AB468" s="1"/>
      <c r="AC468" s="1"/>
      <c r="AD468" s="1"/>
      <c r="AE468" s="1"/>
      <c r="AF468" s="1"/>
      <c r="AG468" s="1"/>
      <c r="AH468" s="1"/>
      <c r="AI468" s="1"/>
      <c r="AJ468" s="1"/>
      <c r="AK468" s="1"/>
      <c r="AL468" s="1"/>
      <c r="AM468" s="1"/>
    </row>
    <row r="469" spans="16:39" x14ac:dyDescent="0.25">
      <c r="P469" s="49"/>
      <c r="Q469" s="1"/>
      <c r="S469" s="1"/>
      <c r="T469" s="1"/>
      <c r="U469" s="1"/>
      <c r="V469" s="1"/>
      <c r="W469" s="1"/>
      <c r="X469" s="1"/>
      <c r="Y469" s="1"/>
      <c r="AB469" s="1"/>
      <c r="AC469" s="1"/>
      <c r="AD469" s="1"/>
      <c r="AE469" s="1"/>
      <c r="AF469" s="1"/>
      <c r="AG469" s="1"/>
      <c r="AH469" s="1"/>
      <c r="AI469" s="1"/>
      <c r="AJ469" s="1"/>
      <c r="AK469" s="1"/>
      <c r="AL469" s="1"/>
      <c r="AM469" s="1"/>
    </row>
    <row r="470" spans="16:39" x14ac:dyDescent="0.25">
      <c r="P470" s="49"/>
      <c r="Q470" s="1"/>
      <c r="S470" s="1"/>
      <c r="T470" s="1"/>
      <c r="U470" s="1"/>
      <c r="V470" s="1"/>
      <c r="W470" s="1"/>
      <c r="X470" s="1"/>
      <c r="Y470" s="1"/>
      <c r="AB470" s="1"/>
      <c r="AC470" s="1"/>
      <c r="AD470" s="1"/>
      <c r="AE470" s="1"/>
      <c r="AF470" s="1"/>
      <c r="AG470" s="1"/>
      <c r="AH470" s="1"/>
      <c r="AI470" s="1"/>
      <c r="AJ470" s="1"/>
      <c r="AK470" s="1"/>
      <c r="AL470" s="1"/>
      <c r="AM470" s="1"/>
    </row>
    <row r="471" spans="16:39" x14ac:dyDescent="0.25">
      <c r="P471" s="49"/>
      <c r="Q471" s="1"/>
      <c r="S471" s="1"/>
      <c r="T471" s="1"/>
      <c r="U471" s="1"/>
      <c r="V471" s="1"/>
      <c r="W471" s="1"/>
      <c r="X471" s="1"/>
      <c r="Y471" s="1"/>
      <c r="AB471" s="1"/>
      <c r="AC471" s="1"/>
      <c r="AD471" s="1"/>
      <c r="AE471" s="1"/>
      <c r="AF471" s="1"/>
      <c r="AG471" s="1"/>
      <c r="AH471" s="1"/>
      <c r="AI471" s="1"/>
      <c r="AJ471" s="1"/>
      <c r="AK471" s="1"/>
      <c r="AL471" s="1"/>
      <c r="AM471" s="1"/>
    </row>
    <row r="472" spans="16:39" x14ac:dyDescent="0.25">
      <c r="P472" s="49"/>
      <c r="Q472" s="1"/>
      <c r="S472" s="1"/>
      <c r="T472" s="1"/>
      <c r="U472" s="1"/>
      <c r="V472" s="1"/>
      <c r="W472" s="1"/>
      <c r="X472" s="1"/>
      <c r="Y472" s="1"/>
      <c r="AB472" s="1"/>
      <c r="AC472" s="1"/>
      <c r="AD472" s="1"/>
      <c r="AE472" s="1"/>
      <c r="AF472" s="1"/>
      <c r="AG472" s="1"/>
      <c r="AH472" s="1"/>
      <c r="AI472" s="1"/>
      <c r="AJ472" s="1"/>
      <c r="AK472" s="1"/>
      <c r="AL472" s="1"/>
      <c r="AM472" s="1"/>
    </row>
    <row r="473" spans="16:39" x14ac:dyDescent="0.25">
      <c r="P473" s="49"/>
      <c r="Q473" s="1"/>
      <c r="S473" s="1"/>
      <c r="T473" s="1"/>
      <c r="U473" s="1"/>
      <c r="V473" s="1"/>
      <c r="W473" s="1"/>
      <c r="X473" s="1"/>
      <c r="Y473" s="1"/>
      <c r="AB473" s="1"/>
      <c r="AC473" s="1"/>
      <c r="AD473" s="1"/>
      <c r="AE473" s="1"/>
      <c r="AF473" s="1"/>
      <c r="AG473" s="1"/>
      <c r="AH473" s="1"/>
      <c r="AI473" s="1"/>
      <c r="AJ473" s="1"/>
      <c r="AK473" s="1"/>
      <c r="AL473" s="1"/>
      <c r="AM473" s="1"/>
    </row>
    <row r="474" spans="16:39" x14ac:dyDescent="0.25">
      <c r="P474" s="49"/>
      <c r="Q474" s="1"/>
      <c r="S474" s="1"/>
      <c r="T474" s="1"/>
      <c r="U474" s="1"/>
      <c r="V474" s="1"/>
      <c r="W474" s="1"/>
      <c r="X474" s="1"/>
      <c r="Y474" s="1"/>
      <c r="AB474" s="1"/>
      <c r="AC474" s="1"/>
      <c r="AD474" s="1"/>
      <c r="AE474" s="1"/>
      <c r="AF474" s="1"/>
      <c r="AG474" s="1"/>
      <c r="AH474" s="1"/>
      <c r="AI474" s="1"/>
      <c r="AJ474" s="1"/>
      <c r="AK474" s="1"/>
      <c r="AL474" s="1"/>
      <c r="AM474" s="1"/>
    </row>
    <row r="475" spans="16:39" x14ac:dyDescent="0.25">
      <c r="P475" s="49"/>
      <c r="Q475" s="1"/>
      <c r="S475" s="1"/>
      <c r="T475" s="1"/>
      <c r="U475" s="1"/>
      <c r="V475" s="1"/>
      <c r="W475" s="1"/>
      <c r="X475" s="1"/>
      <c r="Y475" s="1"/>
      <c r="AB475" s="1"/>
      <c r="AC475" s="1"/>
      <c r="AD475" s="1"/>
      <c r="AE475" s="1"/>
      <c r="AF475" s="1"/>
      <c r="AG475" s="1"/>
      <c r="AH475" s="1"/>
      <c r="AI475" s="1"/>
      <c r="AJ475" s="1"/>
      <c r="AK475" s="1"/>
      <c r="AL475" s="1"/>
      <c r="AM475" s="1"/>
    </row>
    <row r="476" spans="16:39" x14ac:dyDescent="0.25">
      <c r="P476" s="49"/>
      <c r="Q476" s="1"/>
      <c r="S476" s="1"/>
      <c r="T476" s="1"/>
      <c r="U476" s="1"/>
      <c r="V476" s="1"/>
      <c r="W476" s="1"/>
      <c r="X476" s="1"/>
      <c r="Y476" s="1"/>
      <c r="AB476" s="1"/>
      <c r="AC476" s="1"/>
      <c r="AD476" s="1"/>
      <c r="AE476" s="1"/>
      <c r="AF476" s="1"/>
      <c r="AG476" s="1"/>
      <c r="AH476" s="1"/>
      <c r="AI476" s="1"/>
      <c r="AJ476" s="1"/>
      <c r="AK476" s="1"/>
      <c r="AL476" s="1"/>
      <c r="AM476" s="1"/>
    </row>
    <row r="477" spans="16:39" x14ac:dyDescent="0.25">
      <c r="P477" s="49"/>
      <c r="Q477" s="1"/>
      <c r="S477" s="1"/>
      <c r="T477" s="1"/>
      <c r="U477" s="1"/>
      <c r="V477" s="1"/>
      <c r="W477" s="1"/>
      <c r="X477" s="1"/>
      <c r="Y477" s="1"/>
      <c r="AB477" s="1"/>
      <c r="AC477" s="1"/>
      <c r="AD477" s="1"/>
      <c r="AE477" s="1"/>
      <c r="AF477" s="1"/>
      <c r="AG477" s="1"/>
      <c r="AH477" s="1"/>
      <c r="AI477" s="1"/>
      <c r="AJ477" s="1"/>
      <c r="AK477" s="1"/>
      <c r="AL477" s="1"/>
      <c r="AM477" s="1"/>
    </row>
    <row r="478" spans="16:39" x14ac:dyDescent="0.25">
      <c r="P478" s="49"/>
      <c r="Q478" s="1"/>
      <c r="S478" s="1"/>
      <c r="T478" s="1"/>
      <c r="U478" s="1"/>
      <c r="V478" s="1"/>
      <c r="W478" s="1"/>
      <c r="X478" s="1"/>
      <c r="Y478" s="1"/>
      <c r="AB478" s="1"/>
      <c r="AC478" s="1"/>
      <c r="AD478" s="1"/>
      <c r="AE478" s="1"/>
      <c r="AF478" s="1"/>
      <c r="AG478" s="1"/>
      <c r="AH478" s="1"/>
      <c r="AI478" s="1"/>
      <c r="AJ478" s="1"/>
      <c r="AK478" s="1"/>
      <c r="AL478" s="1"/>
      <c r="AM478" s="1"/>
    </row>
    <row r="479" spans="16:39" x14ac:dyDescent="0.25">
      <c r="P479" s="49"/>
      <c r="Q479" s="1"/>
      <c r="S479" s="1"/>
      <c r="T479" s="1"/>
      <c r="U479" s="1"/>
      <c r="V479" s="1"/>
      <c r="W479" s="1"/>
      <c r="X479" s="1"/>
      <c r="Y479" s="1"/>
      <c r="AB479" s="1"/>
      <c r="AC479" s="1"/>
      <c r="AD479" s="1"/>
      <c r="AE479" s="1"/>
      <c r="AF479" s="1"/>
      <c r="AG479" s="1"/>
      <c r="AH479" s="1"/>
      <c r="AI479" s="1"/>
      <c r="AJ479" s="1"/>
      <c r="AK479" s="1"/>
      <c r="AL479" s="1"/>
      <c r="AM479" s="1"/>
    </row>
    <row r="480" spans="16:39" x14ac:dyDescent="0.25">
      <c r="P480" s="49"/>
      <c r="Q480" s="1"/>
      <c r="S480" s="1"/>
      <c r="T480" s="1"/>
      <c r="U480" s="1"/>
      <c r="V480" s="1"/>
      <c r="W480" s="1"/>
      <c r="X480" s="1"/>
      <c r="Y480" s="1"/>
      <c r="AB480" s="1"/>
      <c r="AC480" s="1"/>
      <c r="AD480" s="1"/>
      <c r="AE480" s="1"/>
      <c r="AF480" s="1"/>
      <c r="AG480" s="1"/>
      <c r="AH480" s="1"/>
      <c r="AI480" s="1"/>
      <c r="AJ480" s="1"/>
      <c r="AK480" s="1"/>
      <c r="AL480" s="1"/>
      <c r="AM480" s="1"/>
    </row>
    <row r="481" spans="16:39" x14ac:dyDescent="0.25">
      <c r="P481" s="49"/>
      <c r="Q481" s="1"/>
      <c r="S481" s="1"/>
      <c r="T481" s="1"/>
      <c r="U481" s="1"/>
      <c r="V481" s="1"/>
      <c r="W481" s="1"/>
      <c r="X481" s="1"/>
      <c r="Y481" s="1"/>
      <c r="AB481" s="1"/>
      <c r="AC481" s="1"/>
      <c r="AD481" s="1"/>
      <c r="AE481" s="1"/>
      <c r="AF481" s="1"/>
      <c r="AG481" s="1"/>
      <c r="AH481" s="1"/>
      <c r="AI481" s="1"/>
      <c r="AJ481" s="1"/>
      <c r="AK481" s="1"/>
      <c r="AL481" s="1"/>
      <c r="AM481" s="1"/>
    </row>
    <row r="482" spans="16:39" x14ac:dyDescent="0.25">
      <c r="P482" s="49"/>
      <c r="Q482" s="1"/>
      <c r="S482" s="1"/>
      <c r="T482" s="1"/>
      <c r="U482" s="1"/>
      <c r="V482" s="1"/>
      <c r="W482" s="1"/>
      <c r="X482" s="1"/>
      <c r="Y482" s="1"/>
      <c r="AB482" s="1"/>
      <c r="AC482" s="1"/>
      <c r="AD482" s="1"/>
      <c r="AE482" s="1"/>
      <c r="AF482" s="1"/>
      <c r="AG482" s="1"/>
      <c r="AH482" s="1"/>
      <c r="AI482" s="1"/>
      <c r="AJ482" s="1"/>
      <c r="AK482" s="1"/>
      <c r="AL482" s="1"/>
      <c r="AM482" s="1"/>
    </row>
    <row r="483" spans="16:39" x14ac:dyDescent="0.25">
      <c r="P483" s="49"/>
      <c r="Q483" s="1"/>
      <c r="S483" s="1"/>
      <c r="T483" s="1"/>
      <c r="U483" s="1"/>
      <c r="V483" s="1"/>
      <c r="W483" s="1"/>
      <c r="X483" s="1"/>
      <c r="Y483" s="1"/>
      <c r="AB483" s="1"/>
      <c r="AC483" s="1"/>
      <c r="AD483" s="1"/>
      <c r="AE483" s="1"/>
      <c r="AF483" s="1"/>
      <c r="AG483" s="1"/>
      <c r="AH483" s="1"/>
      <c r="AI483" s="1"/>
      <c r="AJ483" s="1"/>
      <c r="AK483" s="1"/>
      <c r="AL483" s="1"/>
      <c r="AM483" s="1"/>
    </row>
    <row r="484" spans="16:39" x14ac:dyDescent="0.25">
      <c r="P484" s="49"/>
      <c r="Q484" s="1"/>
      <c r="S484" s="1"/>
      <c r="T484" s="1"/>
      <c r="U484" s="1"/>
      <c r="V484" s="1"/>
      <c r="W484" s="1"/>
      <c r="X484" s="1"/>
      <c r="Y484" s="1"/>
      <c r="AB484" s="1"/>
      <c r="AC484" s="1"/>
      <c r="AD484" s="1"/>
      <c r="AE484" s="1"/>
      <c r="AF484" s="1"/>
      <c r="AG484" s="1"/>
      <c r="AH484" s="1"/>
      <c r="AI484" s="1"/>
      <c r="AJ484" s="1"/>
      <c r="AK484" s="1"/>
      <c r="AL484" s="1"/>
      <c r="AM484" s="1"/>
    </row>
    <row r="485" spans="16:39" x14ac:dyDescent="0.25">
      <c r="P485" s="49"/>
      <c r="Q485" s="1"/>
      <c r="S485" s="1"/>
      <c r="T485" s="1"/>
      <c r="U485" s="1"/>
      <c r="V485" s="1"/>
      <c r="W485" s="1"/>
      <c r="X485" s="1"/>
      <c r="Y485" s="1"/>
      <c r="AB485" s="1"/>
      <c r="AC485" s="1"/>
      <c r="AD485" s="1"/>
      <c r="AE485" s="1"/>
      <c r="AF485" s="1"/>
      <c r="AG485" s="1"/>
      <c r="AH485" s="1"/>
      <c r="AI485" s="1"/>
      <c r="AJ485" s="1"/>
      <c r="AK485" s="1"/>
      <c r="AL485" s="1"/>
      <c r="AM485" s="1"/>
    </row>
    <row r="486" spans="16:39" x14ac:dyDescent="0.25">
      <c r="P486" s="49"/>
      <c r="Q486" s="1"/>
      <c r="S486" s="1"/>
      <c r="T486" s="1"/>
      <c r="U486" s="1"/>
      <c r="V486" s="1"/>
      <c r="W486" s="1"/>
      <c r="X486" s="1"/>
      <c r="Y486" s="1"/>
      <c r="AB486" s="1"/>
      <c r="AC486" s="1"/>
      <c r="AD486" s="1"/>
      <c r="AE486" s="1"/>
      <c r="AF486" s="1"/>
      <c r="AG486" s="1"/>
      <c r="AH486" s="1"/>
      <c r="AI486" s="1"/>
      <c r="AJ486" s="1"/>
      <c r="AK486" s="1"/>
      <c r="AL486" s="1"/>
      <c r="AM486" s="1"/>
    </row>
    <row r="487" spans="16:39" x14ac:dyDescent="0.25">
      <c r="P487" s="49"/>
      <c r="Q487" s="1"/>
      <c r="S487" s="1"/>
      <c r="T487" s="1"/>
      <c r="U487" s="1"/>
      <c r="V487" s="1"/>
      <c r="W487" s="1"/>
      <c r="X487" s="1"/>
      <c r="Y487" s="1"/>
      <c r="AB487" s="1"/>
      <c r="AC487" s="1"/>
      <c r="AD487" s="1"/>
      <c r="AE487" s="1"/>
      <c r="AF487" s="1"/>
      <c r="AG487" s="1"/>
      <c r="AH487" s="1"/>
      <c r="AI487" s="1"/>
      <c r="AJ487" s="1"/>
      <c r="AK487" s="1"/>
      <c r="AL487" s="1"/>
      <c r="AM487" s="1"/>
    </row>
    <row r="488" spans="16:39" x14ac:dyDescent="0.25">
      <c r="P488" s="49"/>
      <c r="Q488" s="1"/>
      <c r="S488" s="1"/>
      <c r="T488" s="1"/>
      <c r="U488" s="1"/>
      <c r="V488" s="1"/>
      <c r="W488" s="1"/>
      <c r="X488" s="1"/>
      <c r="Y488" s="1"/>
      <c r="AB488" s="1"/>
      <c r="AC488" s="1"/>
      <c r="AD488" s="1"/>
      <c r="AE488" s="1"/>
      <c r="AF488" s="1"/>
      <c r="AG488" s="1"/>
      <c r="AH488" s="1"/>
      <c r="AI488" s="1"/>
      <c r="AJ488" s="1"/>
      <c r="AK488" s="1"/>
      <c r="AL488" s="1"/>
      <c r="AM488" s="1"/>
    </row>
    <row r="489" spans="16:39" x14ac:dyDescent="0.25">
      <c r="P489" s="49"/>
      <c r="Q489" s="1"/>
      <c r="S489" s="1"/>
      <c r="T489" s="1"/>
      <c r="U489" s="1"/>
      <c r="V489" s="1"/>
      <c r="W489" s="1"/>
      <c r="X489" s="1"/>
      <c r="Y489" s="1"/>
      <c r="AB489" s="1"/>
      <c r="AC489" s="1"/>
      <c r="AD489" s="1"/>
      <c r="AE489" s="1"/>
      <c r="AF489" s="1"/>
      <c r="AG489" s="1"/>
      <c r="AH489" s="1"/>
      <c r="AI489" s="1"/>
      <c r="AJ489" s="1"/>
      <c r="AK489" s="1"/>
      <c r="AL489" s="1"/>
      <c r="AM489" s="1"/>
    </row>
    <row r="490" spans="16:39" x14ac:dyDescent="0.25">
      <c r="P490" s="49"/>
      <c r="Q490" s="1"/>
      <c r="S490" s="1"/>
      <c r="T490" s="1"/>
      <c r="U490" s="1"/>
      <c r="V490" s="1"/>
      <c r="W490" s="1"/>
      <c r="X490" s="1"/>
      <c r="Y490" s="1"/>
      <c r="AB490" s="1"/>
      <c r="AC490" s="1"/>
      <c r="AD490" s="1"/>
      <c r="AE490" s="1"/>
      <c r="AF490" s="1"/>
      <c r="AG490" s="1"/>
      <c r="AH490" s="1"/>
      <c r="AI490" s="1"/>
      <c r="AJ490" s="1"/>
      <c r="AK490" s="1"/>
      <c r="AL490" s="1"/>
      <c r="AM490" s="1"/>
    </row>
    <row r="491" spans="16:39" x14ac:dyDescent="0.25">
      <c r="P491" s="49"/>
      <c r="Q491" s="1"/>
      <c r="S491" s="1"/>
      <c r="T491" s="1"/>
      <c r="U491" s="1"/>
      <c r="V491" s="1"/>
      <c r="W491" s="1"/>
      <c r="X491" s="1"/>
      <c r="Y491" s="1"/>
      <c r="AB491" s="1"/>
      <c r="AC491" s="1"/>
      <c r="AD491" s="1"/>
      <c r="AE491" s="1"/>
      <c r="AF491" s="1"/>
      <c r="AG491" s="1"/>
      <c r="AH491" s="1"/>
      <c r="AI491" s="1"/>
      <c r="AJ491" s="1"/>
      <c r="AK491" s="1"/>
      <c r="AL491" s="1"/>
      <c r="AM491" s="1"/>
    </row>
    <row r="492" spans="16:39" x14ac:dyDescent="0.25">
      <c r="P492" s="49"/>
      <c r="Q492" s="1"/>
      <c r="S492" s="1"/>
      <c r="T492" s="1"/>
      <c r="U492" s="1"/>
      <c r="V492" s="1"/>
      <c r="W492" s="1"/>
      <c r="X492" s="1"/>
      <c r="Y492" s="1"/>
      <c r="AB492" s="1"/>
      <c r="AC492" s="1"/>
      <c r="AD492" s="1"/>
      <c r="AE492" s="1"/>
      <c r="AF492" s="1"/>
      <c r="AG492" s="1"/>
      <c r="AH492" s="1"/>
      <c r="AI492" s="1"/>
      <c r="AJ492" s="1"/>
      <c r="AK492" s="1"/>
      <c r="AL492" s="1"/>
      <c r="AM492" s="1"/>
    </row>
    <row r="493" spans="16:39" x14ac:dyDescent="0.25">
      <c r="P493" s="49"/>
      <c r="Q493" s="1"/>
      <c r="S493" s="1"/>
      <c r="T493" s="1"/>
      <c r="U493" s="1"/>
      <c r="V493" s="1"/>
      <c r="W493" s="1"/>
      <c r="X493" s="1"/>
      <c r="Y493" s="1"/>
      <c r="AB493" s="1"/>
      <c r="AC493" s="1"/>
      <c r="AD493" s="1"/>
      <c r="AE493" s="1"/>
      <c r="AF493" s="1"/>
      <c r="AG493" s="1"/>
      <c r="AH493" s="1"/>
      <c r="AI493" s="1"/>
      <c r="AJ493" s="1"/>
      <c r="AK493" s="1"/>
      <c r="AL493" s="1"/>
      <c r="AM493" s="1"/>
    </row>
    <row r="494" spans="16:39" x14ac:dyDescent="0.25">
      <c r="P494" s="49"/>
      <c r="Q494" s="1"/>
      <c r="S494" s="1"/>
      <c r="T494" s="1"/>
      <c r="U494" s="1"/>
      <c r="V494" s="1"/>
      <c r="W494" s="1"/>
      <c r="X494" s="1"/>
      <c r="Y494" s="1"/>
      <c r="AB494" s="1"/>
      <c r="AC494" s="1"/>
      <c r="AD494" s="1"/>
      <c r="AE494" s="1"/>
      <c r="AF494" s="1"/>
      <c r="AG494" s="1"/>
      <c r="AH494" s="1"/>
      <c r="AI494" s="1"/>
      <c r="AJ494" s="1"/>
      <c r="AK494" s="1"/>
      <c r="AL494" s="1"/>
      <c r="AM494" s="1"/>
    </row>
    <row r="495" spans="16:39" x14ac:dyDescent="0.25">
      <c r="P495" s="49"/>
      <c r="Q495" s="1"/>
      <c r="S495" s="1"/>
      <c r="T495" s="1"/>
      <c r="U495" s="1"/>
      <c r="V495" s="1"/>
      <c r="W495" s="1"/>
      <c r="X495" s="1"/>
      <c r="Y495" s="1"/>
      <c r="AB495" s="1"/>
      <c r="AC495" s="1"/>
      <c r="AD495" s="1"/>
      <c r="AE495" s="1"/>
      <c r="AF495" s="1"/>
      <c r="AG495" s="1"/>
      <c r="AH495" s="1"/>
      <c r="AI495" s="1"/>
      <c r="AJ495" s="1"/>
      <c r="AK495" s="1"/>
      <c r="AL495" s="1"/>
      <c r="AM495" s="1"/>
    </row>
    <row r="496" spans="16:39" x14ac:dyDescent="0.25">
      <c r="P496" s="49"/>
      <c r="Q496" s="1"/>
      <c r="S496" s="1"/>
      <c r="T496" s="1"/>
      <c r="U496" s="1"/>
      <c r="V496" s="1"/>
      <c r="W496" s="1"/>
      <c r="X496" s="1"/>
      <c r="Y496" s="1"/>
      <c r="AB496" s="1"/>
      <c r="AC496" s="1"/>
      <c r="AD496" s="1"/>
      <c r="AE496" s="1"/>
      <c r="AF496" s="1"/>
      <c r="AG496" s="1"/>
      <c r="AH496" s="1"/>
      <c r="AI496" s="1"/>
      <c r="AJ496" s="1"/>
      <c r="AK496" s="1"/>
      <c r="AL496" s="1"/>
      <c r="AM496" s="1"/>
    </row>
    <row r="497" spans="16:39" x14ac:dyDescent="0.25">
      <c r="P497" s="49"/>
      <c r="Q497" s="1"/>
      <c r="S497" s="1"/>
      <c r="T497" s="1"/>
      <c r="U497" s="1"/>
      <c r="V497" s="1"/>
      <c r="W497" s="1"/>
      <c r="X497" s="1"/>
      <c r="Y497" s="1"/>
      <c r="AB497" s="1"/>
      <c r="AC497" s="1"/>
      <c r="AD497" s="1"/>
      <c r="AE497" s="1"/>
      <c r="AF497" s="1"/>
      <c r="AG497" s="1"/>
      <c r="AH497" s="1"/>
      <c r="AI497" s="1"/>
      <c r="AJ497" s="1"/>
      <c r="AK497" s="1"/>
      <c r="AL497" s="1"/>
      <c r="AM497" s="1"/>
    </row>
    <row r="498" spans="16:39" x14ac:dyDescent="0.25">
      <c r="P498" s="49"/>
      <c r="Q498" s="1"/>
      <c r="S498" s="1"/>
      <c r="T498" s="1"/>
      <c r="U498" s="1"/>
      <c r="V498" s="1"/>
      <c r="W498" s="1"/>
      <c r="X498" s="1"/>
      <c r="Y498" s="1"/>
      <c r="AB498" s="1"/>
      <c r="AC498" s="1"/>
      <c r="AD498" s="1"/>
      <c r="AE498" s="1"/>
      <c r="AF498" s="1"/>
      <c r="AG498" s="1"/>
      <c r="AH498" s="1"/>
      <c r="AI498" s="1"/>
      <c r="AJ498" s="1"/>
      <c r="AK498" s="1"/>
      <c r="AL498" s="1"/>
      <c r="AM498" s="1"/>
    </row>
    <row r="499" spans="16:39" x14ac:dyDescent="0.25">
      <c r="P499" s="49"/>
      <c r="Q499" s="1"/>
      <c r="S499" s="1"/>
      <c r="T499" s="1"/>
      <c r="U499" s="1"/>
      <c r="V499" s="1"/>
      <c r="W499" s="1"/>
      <c r="X499" s="1"/>
      <c r="Y499" s="1"/>
      <c r="AB499" s="1"/>
      <c r="AC499" s="1"/>
      <c r="AD499" s="1"/>
      <c r="AE499" s="1"/>
      <c r="AF499" s="1"/>
      <c r="AG499" s="1"/>
      <c r="AH499" s="1"/>
      <c r="AI499" s="1"/>
      <c r="AJ499" s="1"/>
      <c r="AK499" s="1"/>
      <c r="AL499" s="1"/>
      <c r="AM499" s="1"/>
    </row>
    <row r="500" spans="16:39" x14ac:dyDescent="0.25">
      <c r="P500" s="49"/>
      <c r="Q500" s="1"/>
      <c r="S500" s="1"/>
      <c r="T500" s="1"/>
      <c r="U500" s="1"/>
      <c r="V500" s="1"/>
      <c r="W500" s="1"/>
      <c r="X500" s="1"/>
      <c r="Y500" s="1"/>
      <c r="AB500" s="1"/>
      <c r="AC500" s="1"/>
      <c r="AD500" s="1"/>
      <c r="AE500" s="1"/>
      <c r="AF500" s="1"/>
      <c r="AG500" s="1"/>
      <c r="AH500" s="1"/>
      <c r="AI500" s="1"/>
      <c r="AJ500" s="1"/>
      <c r="AK500" s="1"/>
      <c r="AL500" s="1"/>
      <c r="AM500" s="1"/>
    </row>
    <row r="501" spans="16:39" x14ac:dyDescent="0.25">
      <c r="P501" s="49"/>
      <c r="Q501" s="1"/>
      <c r="S501" s="1"/>
      <c r="T501" s="1"/>
      <c r="U501" s="1"/>
      <c r="V501" s="1"/>
      <c r="W501" s="1"/>
      <c r="X501" s="1"/>
      <c r="Y501" s="1"/>
      <c r="AB501" s="1"/>
      <c r="AC501" s="1"/>
      <c r="AD501" s="1"/>
      <c r="AE501" s="1"/>
      <c r="AF501" s="1"/>
      <c r="AG501" s="1"/>
      <c r="AH501" s="1"/>
      <c r="AI501" s="1"/>
      <c r="AJ501" s="1"/>
      <c r="AK501" s="1"/>
      <c r="AL501" s="1"/>
      <c r="AM501" s="1"/>
    </row>
    <row r="502" spans="16:39" x14ac:dyDescent="0.25">
      <c r="P502" s="49"/>
      <c r="Q502" s="1"/>
      <c r="S502" s="1"/>
      <c r="T502" s="1"/>
      <c r="U502" s="1"/>
      <c r="V502" s="1"/>
      <c r="W502" s="1"/>
      <c r="X502" s="1"/>
      <c r="Y502" s="1"/>
      <c r="AB502" s="1"/>
      <c r="AC502" s="1"/>
      <c r="AD502" s="1"/>
      <c r="AE502" s="1"/>
      <c r="AF502" s="1"/>
      <c r="AG502" s="1"/>
      <c r="AH502" s="1"/>
      <c r="AI502" s="1"/>
      <c r="AJ502" s="1"/>
      <c r="AK502" s="1"/>
      <c r="AL502" s="1"/>
      <c r="AM502" s="1"/>
    </row>
    <row r="503" spans="16:39" x14ac:dyDescent="0.25">
      <c r="P503" s="49"/>
      <c r="Q503" s="1"/>
      <c r="S503" s="1"/>
      <c r="T503" s="1"/>
      <c r="U503" s="1"/>
      <c r="V503" s="1"/>
      <c r="W503" s="1"/>
      <c r="X503" s="1"/>
      <c r="Y503" s="1"/>
      <c r="AB503" s="1"/>
      <c r="AC503" s="1"/>
      <c r="AD503" s="1"/>
      <c r="AE503" s="1"/>
      <c r="AF503" s="1"/>
      <c r="AG503" s="1"/>
      <c r="AH503" s="1"/>
      <c r="AI503" s="1"/>
      <c r="AJ503" s="1"/>
      <c r="AK503" s="1"/>
      <c r="AL503" s="1"/>
      <c r="AM503" s="1"/>
    </row>
    <row r="504" spans="16:39" x14ac:dyDescent="0.25">
      <c r="P504" s="49"/>
      <c r="Q504" s="1"/>
      <c r="S504" s="1"/>
      <c r="T504" s="1"/>
      <c r="U504" s="1"/>
      <c r="V504" s="1"/>
      <c r="W504" s="1"/>
      <c r="X504" s="1"/>
      <c r="Y504" s="1"/>
      <c r="AB504" s="1"/>
      <c r="AC504" s="1"/>
      <c r="AD504" s="1"/>
      <c r="AE504" s="1"/>
      <c r="AF504" s="1"/>
      <c r="AG504" s="1"/>
      <c r="AH504" s="1"/>
      <c r="AI504" s="1"/>
      <c r="AJ504" s="1"/>
      <c r="AK504" s="1"/>
      <c r="AL504" s="1"/>
      <c r="AM504" s="1"/>
    </row>
    <row r="505" spans="16:39" x14ac:dyDescent="0.25">
      <c r="P505" s="49"/>
      <c r="Q505" s="1"/>
      <c r="S505" s="1"/>
      <c r="T505" s="1"/>
      <c r="U505" s="1"/>
      <c r="V505" s="1"/>
      <c r="W505" s="1"/>
      <c r="X505" s="1"/>
      <c r="Y505" s="1"/>
      <c r="AB505" s="1"/>
      <c r="AC505" s="1"/>
      <c r="AD505" s="1"/>
      <c r="AE505" s="1"/>
      <c r="AF505" s="1"/>
      <c r="AG505" s="1"/>
      <c r="AH505" s="1"/>
      <c r="AI505" s="1"/>
      <c r="AJ505" s="1"/>
      <c r="AK505" s="1"/>
      <c r="AL505" s="1"/>
      <c r="AM505" s="1"/>
    </row>
    <row r="506" spans="16:39" x14ac:dyDescent="0.25">
      <c r="P506" s="49"/>
      <c r="Q506" s="1"/>
      <c r="S506" s="1"/>
      <c r="T506" s="1"/>
      <c r="U506" s="1"/>
      <c r="V506" s="1"/>
      <c r="W506" s="1"/>
      <c r="X506" s="1"/>
      <c r="Y506" s="1"/>
      <c r="AB506" s="1"/>
      <c r="AC506" s="1"/>
      <c r="AD506" s="1"/>
      <c r="AE506" s="1"/>
      <c r="AF506" s="1"/>
      <c r="AG506" s="1"/>
      <c r="AH506" s="1"/>
      <c r="AI506" s="1"/>
      <c r="AJ506" s="1"/>
      <c r="AK506" s="1"/>
      <c r="AL506" s="1"/>
      <c r="AM506" s="1"/>
    </row>
    <row r="507" spans="16:39" x14ac:dyDescent="0.25">
      <c r="P507" s="49"/>
      <c r="Q507" s="1"/>
      <c r="S507" s="1"/>
      <c r="T507" s="1"/>
      <c r="U507" s="1"/>
      <c r="V507" s="1"/>
      <c r="W507" s="1"/>
      <c r="X507" s="1"/>
      <c r="Y507" s="1"/>
      <c r="AB507" s="1"/>
      <c r="AC507" s="1"/>
      <c r="AD507" s="1"/>
      <c r="AE507" s="1"/>
      <c r="AF507" s="1"/>
      <c r="AG507" s="1"/>
      <c r="AH507" s="1"/>
      <c r="AI507" s="1"/>
      <c r="AJ507" s="1"/>
      <c r="AK507" s="1"/>
      <c r="AL507" s="1"/>
      <c r="AM507" s="1"/>
    </row>
    <row r="508" spans="16:39" x14ac:dyDescent="0.25">
      <c r="P508" s="49"/>
      <c r="Q508" s="1"/>
      <c r="S508" s="1"/>
      <c r="T508" s="1"/>
      <c r="U508" s="1"/>
      <c r="V508" s="1"/>
      <c r="W508" s="1"/>
      <c r="X508" s="1"/>
      <c r="Y508" s="1"/>
      <c r="AB508" s="1"/>
      <c r="AC508" s="1"/>
      <c r="AD508" s="1"/>
      <c r="AE508" s="1"/>
      <c r="AF508" s="1"/>
      <c r="AG508" s="1"/>
      <c r="AH508" s="1"/>
      <c r="AI508" s="1"/>
      <c r="AJ508" s="1"/>
      <c r="AK508" s="1"/>
      <c r="AL508" s="1"/>
      <c r="AM508" s="1"/>
    </row>
    <row r="509" spans="16:39" x14ac:dyDescent="0.25">
      <c r="P509" s="49"/>
      <c r="Q509" s="1"/>
      <c r="S509" s="1"/>
      <c r="T509" s="1"/>
      <c r="U509" s="1"/>
      <c r="V509" s="1"/>
      <c r="W509" s="1"/>
      <c r="X509" s="1"/>
      <c r="Y509" s="1"/>
      <c r="AB509" s="1"/>
      <c r="AC509" s="1"/>
      <c r="AD509" s="1"/>
      <c r="AE509" s="1"/>
      <c r="AF509" s="1"/>
      <c r="AG509" s="1"/>
      <c r="AH509" s="1"/>
      <c r="AI509" s="1"/>
      <c r="AJ509" s="1"/>
      <c r="AK509" s="1"/>
      <c r="AL509" s="1"/>
      <c r="AM509" s="1"/>
    </row>
    <row r="510" spans="16:39" x14ac:dyDescent="0.25">
      <c r="P510" s="49"/>
      <c r="Q510" s="1"/>
      <c r="S510" s="1"/>
      <c r="T510" s="1"/>
      <c r="U510" s="1"/>
      <c r="V510" s="1"/>
      <c r="W510" s="1"/>
      <c r="X510" s="1"/>
      <c r="Y510" s="1"/>
      <c r="AB510" s="1"/>
      <c r="AC510" s="1"/>
      <c r="AD510" s="1"/>
      <c r="AE510" s="1"/>
      <c r="AF510" s="1"/>
      <c r="AG510" s="1"/>
      <c r="AH510" s="1"/>
      <c r="AI510" s="1"/>
      <c r="AJ510" s="1"/>
      <c r="AK510" s="1"/>
      <c r="AL510" s="1"/>
      <c r="AM510" s="1"/>
    </row>
    <row r="511" spans="16:39" x14ac:dyDescent="0.25">
      <c r="P511" s="49"/>
      <c r="Q511" s="1"/>
      <c r="S511" s="1"/>
      <c r="T511" s="1"/>
      <c r="U511" s="1"/>
      <c r="V511" s="1"/>
      <c r="W511" s="1"/>
      <c r="X511" s="1"/>
      <c r="Y511" s="1"/>
      <c r="AB511" s="1"/>
      <c r="AC511" s="1"/>
      <c r="AD511" s="1"/>
      <c r="AE511" s="1"/>
      <c r="AF511" s="1"/>
      <c r="AG511" s="1"/>
      <c r="AH511" s="1"/>
      <c r="AI511" s="1"/>
      <c r="AJ511" s="1"/>
      <c r="AK511" s="1"/>
      <c r="AL511" s="1"/>
      <c r="AM511" s="1"/>
    </row>
    <row r="512" spans="16:39" x14ac:dyDescent="0.25">
      <c r="P512" s="49"/>
      <c r="Q512" s="1"/>
      <c r="S512" s="1"/>
      <c r="T512" s="1"/>
      <c r="U512" s="1"/>
      <c r="V512" s="1"/>
      <c r="W512" s="1"/>
      <c r="X512" s="1"/>
      <c r="Y512" s="1"/>
      <c r="AB512" s="1"/>
      <c r="AC512" s="1"/>
      <c r="AD512" s="1"/>
      <c r="AE512" s="1"/>
      <c r="AF512" s="1"/>
      <c r="AG512" s="1"/>
      <c r="AH512" s="1"/>
      <c r="AI512" s="1"/>
      <c r="AJ512" s="1"/>
      <c r="AK512" s="1"/>
      <c r="AL512" s="1"/>
      <c r="AM512" s="1"/>
    </row>
    <row r="513" spans="16:39" x14ac:dyDescent="0.25">
      <c r="P513" s="49"/>
      <c r="Q513" s="1"/>
      <c r="S513" s="1"/>
      <c r="T513" s="1"/>
      <c r="U513" s="1"/>
      <c r="V513" s="1"/>
      <c r="W513" s="1"/>
      <c r="X513" s="1"/>
      <c r="Y513" s="1"/>
      <c r="AB513" s="1"/>
      <c r="AC513" s="1"/>
      <c r="AD513" s="1"/>
      <c r="AE513" s="1"/>
      <c r="AF513" s="1"/>
      <c r="AG513" s="1"/>
      <c r="AH513" s="1"/>
      <c r="AI513" s="1"/>
      <c r="AJ513" s="1"/>
      <c r="AK513" s="1"/>
      <c r="AL513" s="1"/>
      <c r="AM513" s="1"/>
    </row>
    <row r="514" spans="16:39" x14ac:dyDescent="0.25">
      <c r="P514" s="49"/>
      <c r="Q514" s="1"/>
      <c r="S514" s="1"/>
      <c r="T514" s="1"/>
      <c r="U514" s="1"/>
      <c r="V514" s="1"/>
      <c r="W514" s="1"/>
      <c r="X514" s="1"/>
      <c r="Y514" s="1"/>
      <c r="AB514" s="1"/>
      <c r="AC514" s="1"/>
      <c r="AD514" s="1"/>
      <c r="AE514" s="1"/>
      <c r="AF514" s="1"/>
      <c r="AG514" s="1"/>
      <c r="AH514" s="1"/>
      <c r="AI514" s="1"/>
      <c r="AJ514" s="1"/>
      <c r="AK514" s="1"/>
      <c r="AL514" s="1"/>
      <c r="AM514" s="1"/>
    </row>
    <row r="515" spans="16:39" x14ac:dyDescent="0.25">
      <c r="P515" s="49"/>
      <c r="Q515" s="1"/>
      <c r="S515" s="1"/>
      <c r="T515" s="1"/>
      <c r="U515" s="1"/>
      <c r="V515" s="1"/>
      <c r="W515" s="1"/>
      <c r="X515" s="1"/>
      <c r="Y515" s="1"/>
      <c r="AB515" s="1"/>
      <c r="AC515" s="1"/>
      <c r="AD515" s="1"/>
      <c r="AE515" s="1"/>
      <c r="AF515" s="1"/>
      <c r="AG515" s="1"/>
      <c r="AH515" s="1"/>
      <c r="AI515" s="1"/>
      <c r="AJ515" s="1"/>
      <c r="AK515" s="1"/>
      <c r="AL515" s="1"/>
      <c r="AM515" s="1"/>
    </row>
    <row r="516" spans="16:39" x14ac:dyDescent="0.25">
      <c r="P516" s="49"/>
      <c r="Q516" s="1"/>
      <c r="S516" s="1"/>
      <c r="T516" s="1"/>
      <c r="U516" s="1"/>
      <c r="V516" s="1"/>
      <c r="W516" s="1"/>
      <c r="X516" s="1"/>
      <c r="Y516" s="1"/>
      <c r="AB516" s="1"/>
      <c r="AC516" s="1"/>
      <c r="AD516" s="1"/>
      <c r="AE516" s="1"/>
      <c r="AF516" s="1"/>
      <c r="AG516" s="1"/>
      <c r="AH516" s="1"/>
      <c r="AI516" s="1"/>
      <c r="AJ516" s="1"/>
      <c r="AK516" s="1"/>
      <c r="AL516" s="1"/>
      <c r="AM516" s="1"/>
    </row>
    <row r="517" spans="16:39" x14ac:dyDescent="0.25">
      <c r="P517" s="49"/>
      <c r="Q517" s="1"/>
      <c r="S517" s="1"/>
      <c r="T517" s="1"/>
      <c r="U517" s="1"/>
      <c r="V517" s="1"/>
      <c r="W517" s="1"/>
      <c r="X517" s="1"/>
      <c r="Y517" s="1"/>
      <c r="AB517" s="1"/>
      <c r="AC517" s="1"/>
      <c r="AD517" s="1"/>
      <c r="AE517" s="1"/>
      <c r="AF517" s="1"/>
      <c r="AG517" s="1"/>
      <c r="AH517" s="1"/>
      <c r="AI517" s="1"/>
      <c r="AJ517" s="1"/>
      <c r="AK517" s="1"/>
      <c r="AL517" s="1"/>
      <c r="AM517" s="1"/>
    </row>
    <row r="518" spans="16:39" x14ac:dyDescent="0.25">
      <c r="P518" s="49"/>
      <c r="Q518" s="1"/>
      <c r="S518" s="1"/>
      <c r="T518" s="1"/>
      <c r="U518" s="1"/>
      <c r="V518" s="1"/>
      <c r="W518" s="1"/>
      <c r="X518" s="1"/>
      <c r="Y518" s="1"/>
      <c r="AB518" s="1"/>
      <c r="AC518" s="1"/>
      <c r="AD518" s="1"/>
      <c r="AE518" s="1"/>
      <c r="AF518" s="1"/>
      <c r="AG518" s="1"/>
      <c r="AH518" s="1"/>
      <c r="AI518" s="1"/>
      <c r="AJ518" s="1"/>
      <c r="AK518" s="1"/>
      <c r="AL518" s="1"/>
      <c r="AM518" s="1"/>
    </row>
    <row r="519" spans="16:39" x14ac:dyDescent="0.25">
      <c r="P519" s="49"/>
      <c r="Q519" s="1"/>
      <c r="S519" s="1"/>
      <c r="T519" s="1"/>
      <c r="U519" s="1"/>
      <c r="V519" s="1"/>
      <c r="W519" s="1"/>
      <c r="X519" s="1"/>
      <c r="Y519" s="1"/>
      <c r="AB519" s="1"/>
      <c r="AC519" s="1"/>
      <c r="AD519" s="1"/>
      <c r="AE519" s="1"/>
      <c r="AF519" s="1"/>
      <c r="AG519" s="1"/>
      <c r="AH519" s="1"/>
      <c r="AI519" s="1"/>
      <c r="AJ519" s="1"/>
      <c r="AK519" s="1"/>
      <c r="AL519" s="1"/>
      <c r="AM519" s="1"/>
    </row>
    <row r="520" spans="16:39" x14ac:dyDescent="0.25">
      <c r="P520" s="49"/>
      <c r="Q520" s="1"/>
      <c r="S520" s="1"/>
      <c r="T520" s="1"/>
      <c r="U520" s="1"/>
      <c r="V520" s="1"/>
      <c r="W520" s="1"/>
      <c r="X520" s="1"/>
      <c r="Y520" s="1"/>
      <c r="AB520" s="1"/>
      <c r="AC520" s="1"/>
      <c r="AD520" s="1"/>
      <c r="AE520" s="1"/>
      <c r="AF520" s="1"/>
      <c r="AG520" s="1"/>
      <c r="AH520" s="1"/>
      <c r="AI520" s="1"/>
      <c r="AJ520" s="1"/>
      <c r="AK520" s="1"/>
      <c r="AL520" s="1"/>
      <c r="AM520" s="1"/>
    </row>
    <row r="521" spans="16:39" x14ac:dyDescent="0.25">
      <c r="P521" s="49"/>
      <c r="Q521" s="1"/>
      <c r="S521" s="1"/>
      <c r="T521" s="1"/>
      <c r="U521" s="1"/>
      <c r="V521" s="1"/>
      <c r="W521" s="1"/>
      <c r="X521" s="1"/>
      <c r="Y521" s="1"/>
      <c r="AB521" s="1"/>
      <c r="AC521" s="1"/>
      <c r="AD521" s="1"/>
      <c r="AE521" s="1"/>
      <c r="AF521" s="1"/>
      <c r="AG521" s="1"/>
      <c r="AH521" s="1"/>
      <c r="AI521" s="1"/>
      <c r="AJ521" s="1"/>
      <c r="AK521" s="1"/>
      <c r="AL521" s="1"/>
      <c r="AM521" s="1"/>
    </row>
    <row r="522" spans="16:39" x14ac:dyDescent="0.25">
      <c r="P522" s="49"/>
      <c r="Q522" s="1"/>
      <c r="S522" s="1"/>
      <c r="T522" s="1"/>
      <c r="U522" s="1"/>
      <c r="V522" s="1"/>
      <c r="W522" s="1"/>
      <c r="X522" s="1"/>
      <c r="Y522" s="1"/>
      <c r="AB522" s="1"/>
      <c r="AC522" s="1"/>
      <c r="AD522" s="1"/>
      <c r="AE522" s="1"/>
      <c r="AF522" s="1"/>
      <c r="AG522" s="1"/>
      <c r="AH522" s="1"/>
      <c r="AI522" s="1"/>
      <c r="AJ522" s="1"/>
      <c r="AK522" s="1"/>
      <c r="AL522" s="1"/>
      <c r="AM522" s="1"/>
    </row>
    <row r="523" spans="16:39" x14ac:dyDescent="0.25">
      <c r="P523" s="49"/>
      <c r="Q523" s="1"/>
      <c r="S523" s="1"/>
      <c r="T523" s="1"/>
      <c r="U523" s="1"/>
      <c r="V523" s="1"/>
      <c r="W523" s="1"/>
      <c r="X523" s="1"/>
      <c r="Y523" s="1"/>
      <c r="AB523" s="1"/>
      <c r="AC523" s="1"/>
      <c r="AD523" s="1"/>
      <c r="AE523" s="1"/>
      <c r="AF523" s="1"/>
      <c r="AG523" s="1"/>
      <c r="AH523" s="1"/>
      <c r="AI523" s="1"/>
      <c r="AJ523" s="1"/>
      <c r="AK523" s="1"/>
      <c r="AL523" s="1"/>
      <c r="AM523" s="1"/>
    </row>
    <row r="524" spans="16:39" x14ac:dyDescent="0.25">
      <c r="P524" s="49"/>
      <c r="Q524" s="1"/>
      <c r="S524" s="1"/>
      <c r="T524" s="1"/>
      <c r="U524" s="1"/>
      <c r="V524" s="1"/>
      <c r="W524" s="1"/>
      <c r="X524" s="1"/>
      <c r="Y524" s="1"/>
      <c r="AB524" s="1"/>
      <c r="AC524" s="1"/>
      <c r="AD524" s="1"/>
      <c r="AE524" s="1"/>
      <c r="AF524" s="1"/>
      <c r="AG524" s="1"/>
      <c r="AH524" s="1"/>
      <c r="AI524" s="1"/>
      <c r="AJ524" s="1"/>
      <c r="AK524" s="1"/>
      <c r="AL524" s="1"/>
      <c r="AM524" s="1"/>
    </row>
    <row r="525" spans="16:39" x14ac:dyDescent="0.25">
      <c r="P525" s="49"/>
      <c r="Q525" s="1"/>
      <c r="S525" s="1"/>
      <c r="T525" s="1"/>
      <c r="U525" s="1"/>
      <c r="V525" s="1"/>
      <c r="W525" s="1"/>
      <c r="X525" s="1"/>
      <c r="Y525" s="1"/>
      <c r="AB525" s="1"/>
      <c r="AC525" s="1"/>
      <c r="AD525" s="1"/>
      <c r="AE525" s="1"/>
      <c r="AF525" s="1"/>
      <c r="AG525" s="1"/>
      <c r="AH525" s="1"/>
      <c r="AI525" s="1"/>
      <c r="AJ525" s="1"/>
      <c r="AK525" s="1"/>
      <c r="AL525" s="1"/>
      <c r="AM525" s="1"/>
    </row>
    <row r="526" spans="16:39" x14ac:dyDescent="0.25">
      <c r="P526" s="49"/>
      <c r="Q526" s="1"/>
      <c r="S526" s="1"/>
      <c r="T526" s="1"/>
      <c r="U526" s="1"/>
      <c r="V526" s="1"/>
      <c r="W526" s="1"/>
      <c r="X526" s="1"/>
      <c r="Y526" s="1"/>
      <c r="AB526" s="1"/>
      <c r="AC526" s="1"/>
      <c r="AD526" s="1"/>
      <c r="AE526" s="1"/>
      <c r="AF526" s="1"/>
      <c r="AG526" s="1"/>
      <c r="AH526" s="1"/>
      <c r="AI526" s="1"/>
      <c r="AJ526" s="1"/>
      <c r="AK526" s="1"/>
      <c r="AL526" s="1"/>
      <c r="AM526" s="1"/>
    </row>
    <row r="527" spans="16:39" x14ac:dyDescent="0.25">
      <c r="P527" s="49"/>
      <c r="Q527" s="1"/>
      <c r="S527" s="1"/>
      <c r="T527" s="1"/>
      <c r="U527" s="1"/>
      <c r="V527" s="1"/>
      <c r="W527" s="1"/>
      <c r="X527" s="1"/>
      <c r="Y527" s="1"/>
      <c r="AB527" s="1"/>
      <c r="AC527" s="1"/>
      <c r="AD527" s="1"/>
      <c r="AE527" s="1"/>
      <c r="AF527" s="1"/>
      <c r="AG527" s="1"/>
      <c r="AH527" s="1"/>
      <c r="AI527" s="1"/>
      <c r="AJ527" s="1"/>
      <c r="AK527" s="1"/>
      <c r="AL527" s="1"/>
      <c r="AM527" s="1"/>
    </row>
    <row r="528" spans="16:39" x14ac:dyDescent="0.25">
      <c r="P528" s="49"/>
      <c r="Q528" s="1"/>
      <c r="S528" s="1"/>
      <c r="T528" s="1"/>
      <c r="U528" s="1"/>
      <c r="V528" s="1"/>
      <c r="W528" s="1"/>
      <c r="X528" s="1"/>
      <c r="Y528" s="1"/>
      <c r="AB528" s="1"/>
      <c r="AC528" s="1"/>
      <c r="AD528" s="1"/>
      <c r="AE528" s="1"/>
      <c r="AF528" s="1"/>
      <c r="AG528" s="1"/>
      <c r="AH528" s="1"/>
      <c r="AI528" s="1"/>
      <c r="AJ528" s="1"/>
      <c r="AK528" s="1"/>
      <c r="AL528" s="1"/>
      <c r="AM528" s="1"/>
    </row>
    <row r="529" spans="16:39" x14ac:dyDescent="0.25">
      <c r="P529" s="49"/>
      <c r="Q529" s="1"/>
      <c r="S529" s="1"/>
      <c r="T529" s="1"/>
      <c r="U529" s="1"/>
      <c r="V529" s="1"/>
      <c r="W529" s="1"/>
      <c r="X529" s="1"/>
      <c r="Y529" s="1"/>
      <c r="AB529" s="1"/>
      <c r="AC529" s="1"/>
      <c r="AD529" s="1"/>
      <c r="AE529" s="1"/>
      <c r="AF529" s="1"/>
      <c r="AG529" s="1"/>
      <c r="AH529" s="1"/>
      <c r="AI529" s="1"/>
      <c r="AJ529" s="1"/>
      <c r="AK529" s="1"/>
      <c r="AL529" s="1"/>
      <c r="AM529" s="1"/>
    </row>
    <row r="530" spans="16:39" x14ac:dyDescent="0.25">
      <c r="P530" s="49"/>
      <c r="Q530" s="1"/>
      <c r="S530" s="1"/>
      <c r="T530" s="1"/>
      <c r="U530" s="1"/>
      <c r="V530" s="1"/>
      <c r="W530" s="1"/>
      <c r="X530" s="1"/>
      <c r="Y530" s="1"/>
      <c r="AB530" s="1"/>
      <c r="AC530" s="1"/>
      <c r="AD530" s="1"/>
      <c r="AE530" s="1"/>
      <c r="AF530" s="1"/>
      <c r="AG530" s="1"/>
      <c r="AH530" s="1"/>
      <c r="AI530" s="1"/>
      <c r="AJ530" s="1"/>
      <c r="AK530" s="1"/>
      <c r="AL530" s="1"/>
      <c r="AM530" s="1"/>
    </row>
    <row r="531" spans="16:39" x14ac:dyDescent="0.25">
      <c r="P531" s="49"/>
      <c r="Q531" s="1"/>
      <c r="S531" s="1"/>
      <c r="T531" s="1"/>
      <c r="U531" s="1"/>
      <c r="V531" s="1"/>
      <c r="W531" s="1"/>
      <c r="X531" s="1"/>
      <c r="Y531" s="1"/>
      <c r="AB531" s="1"/>
      <c r="AC531" s="1"/>
      <c r="AD531" s="1"/>
      <c r="AE531" s="1"/>
      <c r="AF531" s="1"/>
      <c r="AG531" s="1"/>
      <c r="AH531" s="1"/>
      <c r="AI531" s="1"/>
      <c r="AJ531" s="1"/>
      <c r="AK531" s="1"/>
      <c r="AL531" s="1"/>
      <c r="AM531" s="1"/>
    </row>
    <row r="532" spans="16:39" x14ac:dyDescent="0.25">
      <c r="P532" s="49"/>
      <c r="Q532" s="1"/>
      <c r="S532" s="1"/>
      <c r="T532" s="1"/>
      <c r="U532" s="1"/>
      <c r="V532" s="1"/>
      <c r="W532" s="1"/>
      <c r="X532" s="1"/>
      <c r="Y532" s="1"/>
      <c r="AB532" s="1"/>
      <c r="AC532" s="1"/>
      <c r="AD532" s="1"/>
      <c r="AE532" s="1"/>
      <c r="AF532" s="1"/>
      <c r="AG532" s="1"/>
      <c r="AH532" s="1"/>
      <c r="AI532" s="1"/>
      <c r="AJ532" s="1"/>
      <c r="AK532" s="1"/>
      <c r="AL532" s="1"/>
      <c r="AM532" s="1"/>
    </row>
    <row r="533" spans="16:39" x14ac:dyDescent="0.25">
      <c r="P533" s="49"/>
      <c r="Q533" s="1"/>
      <c r="S533" s="1"/>
      <c r="T533" s="1"/>
      <c r="U533" s="1"/>
      <c r="V533" s="1"/>
      <c r="W533" s="1"/>
      <c r="X533" s="1"/>
      <c r="Y533" s="1"/>
      <c r="AB533" s="1"/>
      <c r="AC533" s="1"/>
      <c r="AD533" s="1"/>
      <c r="AE533" s="1"/>
      <c r="AF533" s="1"/>
      <c r="AG533" s="1"/>
      <c r="AH533" s="1"/>
      <c r="AI533" s="1"/>
      <c r="AJ533" s="1"/>
      <c r="AK533" s="1"/>
      <c r="AL533" s="1"/>
      <c r="AM533" s="1"/>
    </row>
    <row r="534" spans="16:39" x14ac:dyDescent="0.25">
      <c r="P534" s="49"/>
      <c r="Q534" s="1"/>
      <c r="S534" s="1"/>
      <c r="T534" s="1"/>
      <c r="U534" s="1"/>
      <c r="V534" s="1"/>
      <c r="W534" s="1"/>
      <c r="X534" s="1"/>
      <c r="Y534" s="1"/>
      <c r="AB534" s="1"/>
      <c r="AC534" s="1"/>
      <c r="AD534" s="1"/>
      <c r="AE534" s="1"/>
      <c r="AF534" s="1"/>
      <c r="AG534" s="1"/>
      <c r="AH534" s="1"/>
      <c r="AI534" s="1"/>
      <c r="AJ534" s="1"/>
      <c r="AK534" s="1"/>
      <c r="AL534" s="1"/>
      <c r="AM534" s="1"/>
    </row>
    <row r="535" spans="16:39" x14ac:dyDescent="0.25">
      <c r="P535" s="49"/>
      <c r="Q535" s="1"/>
      <c r="S535" s="1"/>
      <c r="T535" s="1"/>
      <c r="U535" s="1"/>
      <c r="V535" s="1"/>
      <c r="W535" s="1"/>
      <c r="X535" s="1"/>
      <c r="Y535" s="1"/>
      <c r="AB535" s="1"/>
      <c r="AC535" s="1"/>
      <c r="AD535" s="1"/>
      <c r="AE535" s="1"/>
      <c r="AF535" s="1"/>
      <c r="AG535" s="1"/>
      <c r="AH535" s="1"/>
      <c r="AI535" s="1"/>
      <c r="AJ535" s="1"/>
      <c r="AK535" s="1"/>
      <c r="AL535" s="1"/>
      <c r="AM535" s="1"/>
    </row>
    <row r="536" spans="16:39" x14ac:dyDescent="0.25">
      <c r="P536" s="49"/>
      <c r="Q536" s="1"/>
      <c r="S536" s="1"/>
      <c r="T536" s="1"/>
      <c r="U536" s="1"/>
      <c r="V536" s="1"/>
      <c r="W536" s="1"/>
      <c r="X536" s="1"/>
      <c r="Y536" s="1"/>
      <c r="AB536" s="1"/>
      <c r="AC536" s="1"/>
      <c r="AD536" s="1"/>
      <c r="AE536" s="1"/>
      <c r="AF536" s="1"/>
      <c r="AG536" s="1"/>
      <c r="AH536" s="1"/>
      <c r="AI536" s="1"/>
      <c r="AJ536" s="1"/>
      <c r="AK536" s="1"/>
      <c r="AL536" s="1"/>
      <c r="AM536" s="1"/>
    </row>
    <row r="537" spans="16:39" x14ac:dyDescent="0.25">
      <c r="P537" s="49"/>
      <c r="Q537" s="1"/>
      <c r="S537" s="1"/>
      <c r="T537" s="1"/>
      <c r="U537" s="1"/>
      <c r="V537" s="1"/>
      <c r="W537" s="1"/>
      <c r="X537" s="1"/>
      <c r="Y537" s="1"/>
      <c r="AB537" s="1"/>
      <c r="AC537" s="1"/>
      <c r="AD537" s="1"/>
      <c r="AE537" s="1"/>
      <c r="AF537" s="1"/>
      <c r="AG537" s="1"/>
      <c r="AH537" s="1"/>
      <c r="AI537" s="1"/>
      <c r="AJ537" s="1"/>
      <c r="AK537" s="1"/>
      <c r="AL537" s="1"/>
      <c r="AM537" s="1"/>
    </row>
    <row r="538" spans="16:39" x14ac:dyDescent="0.25">
      <c r="P538" s="49"/>
      <c r="Q538" s="1"/>
      <c r="S538" s="1"/>
      <c r="T538" s="1"/>
      <c r="U538" s="1"/>
      <c r="V538" s="1"/>
      <c r="W538" s="1"/>
      <c r="X538" s="1"/>
      <c r="Y538" s="1"/>
      <c r="AB538" s="1"/>
      <c r="AC538" s="1"/>
      <c r="AD538" s="1"/>
      <c r="AE538" s="1"/>
      <c r="AF538" s="1"/>
      <c r="AG538" s="1"/>
      <c r="AH538" s="1"/>
      <c r="AI538" s="1"/>
      <c r="AJ538" s="1"/>
      <c r="AK538" s="1"/>
      <c r="AL538" s="1"/>
      <c r="AM538" s="1"/>
    </row>
    <row r="539" spans="16:39" x14ac:dyDescent="0.25">
      <c r="P539" s="49"/>
      <c r="Q539" s="1"/>
      <c r="S539" s="1"/>
      <c r="T539" s="1"/>
      <c r="U539" s="1"/>
      <c r="V539" s="1"/>
      <c r="W539" s="1"/>
      <c r="X539" s="1"/>
      <c r="Y539" s="1"/>
      <c r="AB539" s="1"/>
      <c r="AC539" s="1"/>
      <c r="AD539" s="1"/>
      <c r="AE539" s="1"/>
      <c r="AF539" s="1"/>
      <c r="AG539" s="1"/>
      <c r="AH539" s="1"/>
      <c r="AI539" s="1"/>
      <c r="AJ539" s="1"/>
      <c r="AK539" s="1"/>
      <c r="AL539" s="1"/>
      <c r="AM539" s="1"/>
    </row>
    <row r="540" spans="16:39" x14ac:dyDescent="0.25">
      <c r="P540" s="49"/>
      <c r="Q540" s="1"/>
      <c r="S540" s="1"/>
      <c r="T540" s="1"/>
      <c r="U540" s="1"/>
      <c r="V540" s="1"/>
      <c r="W540" s="1"/>
      <c r="X540" s="1"/>
      <c r="Y540" s="1"/>
      <c r="AB540" s="1"/>
      <c r="AC540" s="1"/>
      <c r="AD540" s="1"/>
      <c r="AE540" s="1"/>
      <c r="AF540" s="1"/>
      <c r="AG540" s="1"/>
      <c r="AH540" s="1"/>
      <c r="AI540" s="1"/>
      <c r="AJ540" s="1"/>
      <c r="AK540" s="1"/>
      <c r="AL540" s="1"/>
      <c r="AM540" s="1"/>
    </row>
    <row r="541" spans="16:39" x14ac:dyDescent="0.25">
      <c r="P541" s="49"/>
      <c r="Q541" s="1"/>
      <c r="S541" s="1"/>
      <c r="T541" s="1"/>
      <c r="U541" s="1"/>
      <c r="V541" s="1"/>
      <c r="W541" s="1"/>
      <c r="X541" s="1"/>
      <c r="Y541" s="1"/>
      <c r="AB541" s="1"/>
      <c r="AC541" s="1"/>
      <c r="AD541" s="1"/>
      <c r="AE541" s="1"/>
      <c r="AF541" s="1"/>
      <c r="AG541" s="1"/>
      <c r="AH541" s="1"/>
      <c r="AI541" s="1"/>
      <c r="AJ541" s="1"/>
      <c r="AK541" s="1"/>
      <c r="AL541" s="1"/>
      <c r="AM541" s="1"/>
    </row>
    <row r="542" spans="16:39" x14ac:dyDescent="0.25">
      <c r="P542" s="49"/>
      <c r="Q542" s="1"/>
      <c r="S542" s="1"/>
      <c r="T542" s="1"/>
      <c r="U542" s="1"/>
      <c r="V542" s="1"/>
      <c r="W542" s="1"/>
      <c r="X542" s="1"/>
      <c r="Y542" s="1"/>
      <c r="AB542" s="1"/>
      <c r="AC542" s="1"/>
      <c r="AD542" s="1"/>
      <c r="AE542" s="1"/>
      <c r="AF542" s="1"/>
      <c r="AG542" s="1"/>
      <c r="AH542" s="1"/>
      <c r="AI542" s="1"/>
      <c r="AJ542" s="1"/>
      <c r="AK542" s="1"/>
      <c r="AL542" s="1"/>
      <c r="AM542" s="1"/>
    </row>
    <row r="543" spans="16:39" x14ac:dyDescent="0.25">
      <c r="P543" s="49"/>
      <c r="Q543" s="1"/>
      <c r="S543" s="1"/>
      <c r="T543" s="1"/>
      <c r="U543" s="1"/>
      <c r="V543" s="1"/>
      <c r="W543" s="1"/>
      <c r="X543" s="1"/>
      <c r="Y543" s="1"/>
      <c r="AB543" s="1"/>
      <c r="AC543" s="1"/>
      <c r="AD543" s="1"/>
      <c r="AE543" s="1"/>
      <c r="AF543" s="1"/>
      <c r="AG543" s="1"/>
      <c r="AH543" s="1"/>
      <c r="AI543" s="1"/>
      <c r="AJ543" s="1"/>
      <c r="AK543" s="1"/>
      <c r="AL543" s="1"/>
      <c r="AM543" s="1"/>
    </row>
    <row r="544" spans="16:39" x14ac:dyDescent="0.25">
      <c r="P544" s="49"/>
      <c r="Q544" s="1"/>
      <c r="S544" s="1"/>
      <c r="T544" s="1"/>
      <c r="U544" s="1"/>
      <c r="V544" s="1"/>
      <c r="W544" s="1"/>
      <c r="X544" s="1"/>
      <c r="Y544" s="1"/>
      <c r="AB544" s="1"/>
      <c r="AC544" s="1"/>
      <c r="AD544" s="1"/>
      <c r="AE544" s="1"/>
      <c r="AF544" s="1"/>
      <c r="AG544" s="1"/>
      <c r="AH544" s="1"/>
      <c r="AI544" s="1"/>
      <c r="AJ544" s="1"/>
      <c r="AK544" s="1"/>
      <c r="AL544" s="1"/>
      <c r="AM544" s="1"/>
    </row>
    <row r="545" spans="16:39" x14ac:dyDescent="0.25">
      <c r="P545" s="49"/>
      <c r="Q545" s="1"/>
      <c r="S545" s="1"/>
      <c r="T545" s="1"/>
      <c r="U545" s="1"/>
      <c r="V545" s="1"/>
      <c r="W545" s="1"/>
      <c r="X545" s="1"/>
      <c r="Y545" s="1"/>
      <c r="AB545" s="1"/>
      <c r="AC545" s="1"/>
      <c r="AD545" s="1"/>
      <c r="AE545" s="1"/>
      <c r="AF545" s="1"/>
      <c r="AG545" s="1"/>
      <c r="AH545" s="1"/>
      <c r="AI545" s="1"/>
      <c r="AJ545" s="1"/>
      <c r="AK545" s="1"/>
      <c r="AL545" s="1"/>
      <c r="AM545" s="1"/>
    </row>
    <row r="546" spans="16:39" x14ac:dyDescent="0.25">
      <c r="P546" s="49"/>
      <c r="Q546" s="1"/>
      <c r="S546" s="1"/>
      <c r="T546" s="1"/>
      <c r="U546" s="1"/>
      <c r="V546" s="1"/>
      <c r="W546" s="1"/>
      <c r="X546" s="1"/>
      <c r="Y546" s="1"/>
      <c r="AB546" s="1"/>
      <c r="AC546" s="1"/>
      <c r="AD546" s="1"/>
      <c r="AE546" s="1"/>
      <c r="AF546" s="1"/>
      <c r="AG546" s="1"/>
      <c r="AH546" s="1"/>
      <c r="AI546" s="1"/>
      <c r="AJ546" s="1"/>
      <c r="AK546" s="1"/>
      <c r="AL546" s="1"/>
      <c r="AM546" s="1"/>
    </row>
    <row r="547" spans="16:39" x14ac:dyDescent="0.25">
      <c r="P547" s="49"/>
      <c r="Q547" s="1"/>
      <c r="S547" s="1"/>
      <c r="T547" s="1"/>
      <c r="U547" s="1"/>
      <c r="V547" s="1"/>
      <c r="W547" s="1"/>
      <c r="X547" s="1"/>
      <c r="Y547" s="1"/>
      <c r="AB547" s="1"/>
      <c r="AC547" s="1"/>
      <c r="AD547" s="1"/>
      <c r="AE547" s="1"/>
      <c r="AF547" s="1"/>
      <c r="AG547" s="1"/>
      <c r="AH547" s="1"/>
      <c r="AI547" s="1"/>
      <c r="AJ547" s="1"/>
      <c r="AK547" s="1"/>
      <c r="AL547" s="1"/>
      <c r="AM547" s="1"/>
    </row>
    <row r="548" spans="16:39" x14ac:dyDescent="0.25">
      <c r="P548" s="49"/>
      <c r="Q548" s="1"/>
      <c r="S548" s="1"/>
      <c r="T548" s="1"/>
      <c r="U548" s="1"/>
      <c r="V548" s="1"/>
      <c r="W548" s="1"/>
      <c r="X548" s="1"/>
      <c r="Y548" s="1"/>
      <c r="AB548" s="1"/>
      <c r="AC548" s="1"/>
      <c r="AD548" s="1"/>
      <c r="AE548" s="1"/>
      <c r="AF548" s="1"/>
      <c r="AG548" s="1"/>
      <c r="AH548" s="1"/>
      <c r="AI548" s="1"/>
      <c r="AJ548" s="1"/>
      <c r="AK548" s="1"/>
      <c r="AL548" s="1"/>
      <c r="AM548" s="1"/>
    </row>
    <row r="549" spans="16:39" x14ac:dyDescent="0.25">
      <c r="P549" s="49"/>
      <c r="Q549" s="1"/>
      <c r="S549" s="1"/>
      <c r="T549" s="1"/>
      <c r="U549" s="1"/>
      <c r="V549" s="1"/>
      <c r="W549" s="1"/>
      <c r="X549" s="1"/>
      <c r="Y549" s="1"/>
      <c r="AB549" s="1"/>
      <c r="AC549" s="1"/>
      <c r="AD549" s="1"/>
      <c r="AE549" s="1"/>
      <c r="AF549" s="1"/>
      <c r="AG549" s="1"/>
      <c r="AH549" s="1"/>
      <c r="AI549" s="1"/>
      <c r="AJ549" s="1"/>
      <c r="AK549" s="1"/>
      <c r="AL549" s="1"/>
      <c r="AM549" s="1"/>
    </row>
    <row r="550" spans="16:39" x14ac:dyDescent="0.25">
      <c r="P550" s="49"/>
      <c r="Q550" s="1"/>
      <c r="S550" s="1"/>
      <c r="T550" s="1"/>
      <c r="U550" s="1"/>
      <c r="V550" s="1"/>
      <c r="W550" s="1"/>
      <c r="X550" s="1"/>
      <c r="Y550" s="1"/>
      <c r="AB550" s="1"/>
      <c r="AC550" s="1"/>
      <c r="AD550" s="1"/>
      <c r="AE550" s="1"/>
      <c r="AF550" s="1"/>
      <c r="AG550" s="1"/>
      <c r="AH550" s="1"/>
      <c r="AI550" s="1"/>
      <c r="AJ550" s="1"/>
      <c r="AK550" s="1"/>
      <c r="AL550" s="1"/>
      <c r="AM550" s="1"/>
    </row>
    <row r="551" spans="16:39" x14ac:dyDescent="0.25">
      <c r="P551" s="49"/>
      <c r="Q551" s="1"/>
      <c r="S551" s="1"/>
      <c r="T551" s="1"/>
      <c r="U551" s="1"/>
      <c r="V551" s="1"/>
      <c r="W551" s="1"/>
      <c r="X551" s="1"/>
      <c r="Y551" s="1"/>
      <c r="AB551" s="1"/>
      <c r="AC551" s="1"/>
      <c r="AD551" s="1"/>
      <c r="AE551" s="1"/>
      <c r="AF551" s="1"/>
      <c r="AG551" s="1"/>
      <c r="AH551" s="1"/>
      <c r="AI551" s="1"/>
      <c r="AJ551" s="1"/>
      <c r="AK551" s="1"/>
      <c r="AL551" s="1"/>
      <c r="AM551" s="1"/>
    </row>
    <row r="552" spans="16:39" x14ac:dyDescent="0.25">
      <c r="P552" s="49"/>
      <c r="Q552" s="1"/>
      <c r="S552" s="1"/>
      <c r="T552" s="1"/>
      <c r="U552" s="1"/>
      <c r="V552" s="1"/>
      <c r="W552" s="1"/>
      <c r="X552" s="1"/>
      <c r="Y552" s="1"/>
      <c r="AB552" s="1"/>
      <c r="AC552" s="1"/>
      <c r="AD552" s="1"/>
      <c r="AE552" s="1"/>
      <c r="AF552" s="1"/>
      <c r="AG552" s="1"/>
      <c r="AH552" s="1"/>
      <c r="AI552" s="1"/>
      <c r="AJ552" s="1"/>
      <c r="AK552" s="1"/>
      <c r="AL552" s="1"/>
      <c r="AM552" s="1"/>
    </row>
    <row r="553" spans="16:39" x14ac:dyDescent="0.25">
      <c r="P553" s="49"/>
      <c r="Q553" s="1"/>
      <c r="S553" s="1"/>
      <c r="T553" s="1"/>
      <c r="U553" s="1"/>
      <c r="V553" s="1"/>
      <c r="W553" s="1"/>
      <c r="X553" s="1"/>
      <c r="Y553" s="1"/>
      <c r="AB553" s="1"/>
      <c r="AC553" s="1"/>
      <c r="AD553" s="1"/>
      <c r="AE553" s="1"/>
      <c r="AF553" s="1"/>
      <c r="AG553" s="1"/>
      <c r="AH553" s="1"/>
      <c r="AI553" s="1"/>
      <c r="AJ553" s="1"/>
      <c r="AK553" s="1"/>
      <c r="AL553" s="1"/>
      <c r="AM553" s="1"/>
    </row>
    <row r="554" spans="16:39" x14ac:dyDescent="0.25">
      <c r="P554" s="49"/>
      <c r="Q554" s="1"/>
      <c r="S554" s="1"/>
      <c r="T554" s="1"/>
      <c r="U554" s="1"/>
      <c r="V554" s="1"/>
      <c r="W554" s="1"/>
      <c r="X554" s="1"/>
      <c r="Y554" s="1"/>
      <c r="AB554" s="1"/>
      <c r="AC554" s="1"/>
      <c r="AD554" s="1"/>
      <c r="AE554" s="1"/>
      <c r="AF554" s="1"/>
      <c r="AG554" s="1"/>
      <c r="AH554" s="1"/>
      <c r="AI554" s="1"/>
      <c r="AJ554" s="1"/>
      <c r="AK554" s="1"/>
      <c r="AL554" s="1"/>
      <c r="AM554" s="1"/>
    </row>
    <row r="555" spans="16:39" x14ac:dyDescent="0.25">
      <c r="P555" s="49"/>
      <c r="Q555" s="1"/>
      <c r="S555" s="1"/>
      <c r="T555" s="1"/>
      <c r="U555" s="1"/>
      <c r="V555" s="1"/>
      <c r="W555" s="1"/>
      <c r="X555" s="1"/>
      <c r="Y555" s="1"/>
      <c r="AB555" s="1"/>
      <c r="AC555" s="1"/>
      <c r="AD555" s="1"/>
      <c r="AE555" s="1"/>
      <c r="AF555" s="1"/>
      <c r="AG555" s="1"/>
      <c r="AH555" s="1"/>
      <c r="AI555" s="1"/>
      <c r="AJ555" s="1"/>
      <c r="AK555" s="1"/>
      <c r="AL555" s="1"/>
      <c r="AM555" s="1"/>
    </row>
    <row r="556" spans="16:39" x14ac:dyDescent="0.25">
      <c r="P556" s="49"/>
      <c r="Q556" s="1"/>
      <c r="S556" s="1"/>
      <c r="T556" s="1"/>
      <c r="U556" s="1"/>
      <c r="V556" s="1"/>
      <c r="W556" s="1"/>
      <c r="X556" s="1"/>
      <c r="Y556" s="1"/>
      <c r="AB556" s="1"/>
      <c r="AC556" s="1"/>
      <c r="AD556" s="1"/>
      <c r="AE556" s="1"/>
      <c r="AF556" s="1"/>
      <c r="AG556" s="1"/>
      <c r="AH556" s="1"/>
      <c r="AI556" s="1"/>
      <c r="AJ556" s="1"/>
      <c r="AK556" s="1"/>
      <c r="AL556" s="1"/>
      <c r="AM556" s="1"/>
    </row>
    <row r="557" spans="16:39" x14ac:dyDescent="0.25">
      <c r="P557" s="49"/>
      <c r="Q557" s="1"/>
      <c r="S557" s="1"/>
      <c r="T557" s="1"/>
      <c r="U557" s="1"/>
      <c r="V557" s="1"/>
      <c r="W557" s="1"/>
      <c r="X557" s="1"/>
      <c r="Y557" s="1"/>
      <c r="AB557" s="1"/>
      <c r="AC557" s="1"/>
      <c r="AD557" s="1"/>
      <c r="AE557" s="1"/>
      <c r="AF557" s="1"/>
      <c r="AG557" s="1"/>
      <c r="AH557" s="1"/>
      <c r="AI557" s="1"/>
      <c r="AJ557" s="1"/>
      <c r="AK557" s="1"/>
      <c r="AL557" s="1"/>
      <c r="AM557" s="1"/>
    </row>
    <row r="558" spans="16:39" x14ac:dyDescent="0.25">
      <c r="P558" s="49"/>
      <c r="Q558" s="1"/>
      <c r="S558" s="1"/>
      <c r="T558" s="1"/>
      <c r="U558" s="1"/>
      <c r="V558" s="1"/>
      <c r="W558" s="1"/>
      <c r="X558" s="1"/>
      <c r="Y558" s="1"/>
      <c r="AB558" s="1"/>
      <c r="AC558" s="1"/>
      <c r="AD558" s="1"/>
      <c r="AE558" s="1"/>
      <c r="AF558" s="1"/>
      <c r="AG558" s="1"/>
      <c r="AH558" s="1"/>
      <c r="AI558" s="1"/>
      <c r="AJ558" s="1"/>
      <c r="AK558" s="1"/>
      <c r="AL558" s="1"/>
      <c r="AM558" s="1"/>
    </row>
    <row r="559" spans="16:39" x14ac:dyDescent="0.25">
      <c r="P559" s="49"/>
      <c r="Q559" s="1"/>
      <c r="S559" s="1"/>
      <c r="T559" s="1"/>
      <c r="U559" s="1"/>
      <c r="V559" s="1"/>
      <c r="W559" s="1"/>
      <c r="X559" s="1"/>
      <c r="Y559" s="1"/>
      <c r="AB559" s="1"/>
      <c r="AC559" s="1"/>
      <c r="AD559" s="1"/>
      <c r="AE559" s="1"/>
      <c r="AF559" s="1"/>
      <c r="AG559" s="1"/>
      <c r="AH559" s="1"/>
      <c r="AI559" s="1"/>
      <c r="AJ559" s="1"/>
      <c r="AK559" s="1"/>
      <c r="AL559" s="1"/>
      <c r="AM559" s="1"/>
    </row>
    <row r="560" spans="16:39" x14ac:dyDescent="0.25">
      <c r="P560" s="49"/>
      <c r="Q560" s="1"/>
      <c r="S560" s="1"/>
      <c r="T560" s="1"/>
      <c r="U560" s="1"/>
      <c r="V560" s="1"/>
      <c r="W560" s="1"/>
      <c r="X560" s="1"/>
      <c r="Y560" s="1"/>
      <c r="AB560" s="1"/>
      <c r="AC560" s="1"/>
      <c r="AD560" s="1"/>
      <c r="AE560" s="1"/>
      <c r="AF560" s="1"/>
      <c r="AG560" s="1"/>
      <c r="AH560" s="1"/>
      <c r="AI560" s="1"/>
      <c r="AJ560" s="1"/>
      <c r="AK560" s="1"/>
      <c r="AL560" s="1"/>
      <c r="AM560" s="1"/>
    </row>
    <row r="561" spans="16:39" x14ac:dyDescent="0.25">
      <c r="P561" s="49"/>
      <c r="Q561" s="1"/>
      <c r="S561" s="1"/>
      <c r="T561" s="1"/>
      <c r="U561" s="1"/>
      <c r="V561" s="1"/>
      <c r="W561" s="1"/>
      <c r="X561" s="1"/>
      <c r="Y561" s="1"/>
      <c r="AB561" s="1"/>
      <c r="AC561" s="1"/>
      <c r="AD561" s="1"/>
      <c r="AE561" s="1"/>
      <c r="AF561" s="1"/>
      <c r="AG561" s="1"/>
      <c r="AH561" s="1"/>
      <c r="AI561" s="1"/>
      <c r="AJ561" s="1"/>
      <c r="AK561" s="1"/>
      <c r="AL561" s="1"/>
      <c r="AM561" s="1"/>
    </row>
    <row r="562" spans="16:39" x14ac:dyDescent="0.25">
      <c r="P562" s="49"/>
      <c r="Q562" s="1"/>
      <c r="S562" s="1"/>
      <c r="T562" s="1"/>
      <c r="U562" s="1"/>
      <c r="V562" s="1"/>
      <c r="W562" s="1"/>
      <c r="X562" s="1"/>
      <c r="Y562" s="1"/>
      <c r="AB562" s="1"/>
      <c r="AC562" s="1"/>
      <c r="AD562" s="1"/>
      <c r="AE562" s="1"/>
      <c r="AF562" s="1"/>
      <c r="AG562" s="1"/>
      <c r="AH562" s="1"/>
      <c r="AI562" s="1"/>
      <c r="AJ562" s="1"/>
      <c r="AK562" s="1"/>
      <c r="AL562" s="1"/>
      <c r="AM562" s="1"/>
    </row>
    <row r="563" spans="16:39" x14ac:dyDescent="0.25">
      <c r="P563" s="49"/>
      <c r="Q563" s="1"/>
      <c r="S563" s="1"/>
      <c r="T563" s="1"/>
      <c r="U563" s="1"/>
      <c r="V563" s="1"/>
      <c r="W563" s="1"/>
      <c r="X563" s="1"/>
      <c r="Y563" s="1"/>
      <c r="AB563" s="1"/>
      <c r="AC563" s="1"/>
      <c r="AD563" s="1"/>
      <c r="AE563" s="1"/>
      <c r="AF563" s="1"/>
      <c r="AG563" s="1"/>
      <c r="AH563" s="1"/>
      <c r="AI563" s="1"/>
      <c r="AJ563" s="1"/>
      <c r="AK563" s="1"/>
      <c r="AL563" s="1"/>
      <c r="AM563" s="1"/>
    </row>
    <row r="564" spans="16:39" x14ac:dyDescent="0.25">
      <c r="P564" s="49"/>
      <c r="Q564" s="1"/>
      <c r="S564" s="1"/>
      <c r="T564" s="1"/>
      <c r="U564" s="1"/>
      <c r="V564" s="1"/>
      <c r="W564" s="1"/>
      <c r="X564" s="1"/>
      <c r="Y564" s="1"/>
      <c r="AB564" s="1"/>
      <c r="AC564" s="1"/>
      <c r="AD564" s="1"/>
      <c r="AE564" s="1"/>
      <c r="AF564" s="1"/>
      <c r="AG564" s="1"/>
      <c r="AH564" s="1"/>
      <c r="AI564" s="1"/>
      <c r="AJ564" s="1"/>
      <c r="AK564" s="1"/>
      <c r="AL564" s="1"/>
      <c r="AM564" s="1"/>
    </row>
    <row r="565" spans="16:39" x14ac:dyDescent="0.25">
      <c r="P565" s="49"/>
      <c r="Q565" s="1"/>
      <c r="S565" s="1"/>
      <c r="T565" s="1"/>
      <c r="U565" s="1"/>
      <c r="V565" s="1"/>
      <c r="W565" s="1"/>
      <c r="X565" s="1"/>
      <c r="Y565" s="1"/>
      <c r="AB565" s="1"/>
      <c r="AC565" s="1"/>
      <c r="AD565" s="1"/>
      <c r="AE565" s="1"/>
      <c r="AF565" s="1"/>
      <c r="AG565" s="1"/>
      <c r="AH565" s="1"/>
      <c r="AI565" s="1"/>
      <c r="AJ565" s="1"/>
      <c r="AK565" s="1"/>
      <c r="AL565" s="1"/>
      <c r="AM565" s="1"/>
    </row>
    <row r="566" spans="16:39" x14ac:dyDescent="0.25">
      <c r="P566" s="49"/>
      <c r="Q566" s="1"/>
      <c r="S566" s="1"/>
      <c r="T566" s="1"/>
      <c r="U566" s="1"/>
      <c r="V566" s="1"/>
      <c r="W566" s="1"/>
      <c r="X566" s="1"/>
      <c r="Y566" s="1"/>
      <c r="AB566" s="1"/>
      <c r="AC566" s="1"/>
      <c r="AD566" s="1"/>
      <c r="AE566" s="1"/>
      <c r="AF566" s="1"/>
      <c r="AG566" s="1"/>
      <c r="AH566" s="1"/>
      <c r="AI566" s="1"/>
      <c r="AJ566" s="1"/>
      <c r="AK566" s="1"/>
      <c r="AL566" s="1"/>
      <c r="AM566" s="1"/>
    </row>
    <row r="567" spans="16:39" x14ac:dyDescent="0.25">
      <c r="P567" s="49"/>
      <c r="Q567" s="1"/>
      <c r="S567" s="1"/>
      <c r="T567" s="1"/>
      <c r="U567" s="1"/>
      <c r="V567" s="1"/>
      <c r="W567" s="1"/>
      <c r="X567" s="1"/>
      <c r="Y567" s="1"/>
      <c r="AB567" s="1"/>
      <c r="AC567" s="1"/>
      <c r="AD567" s="1"/>
      <c r="AE567" s="1"/>
      <c r="AF567" s="1"/>
      <c r="AG567" s="1"/>
      <c r="AH567" s="1"/>
      <c r="AI567" s="1"/>
      <c r="AJ567" s="1"/>
      <c r="AK567" s="1"/>
      <c r="AL567" s="1"/>
      <c r="AM567" s="1"/>
    </row>
    <row r="568" spans="16:39" x14ac:dyDescent="0.25">
      <c r="P568" s="49"/>
      <c r="Q568" s="1"/>
      <c r="S568" s="1"/>
      <c r="T568" s="1"/>
      <c r="U568" s="1"/>
      <c r="V568" s="1"/>
      <c r="W568" s="1"/>
      <c r="X568" s="1"/>
      <c r="Y568" s="1"/>
      <c r="AB568" s="1"/>
      <c r="AC568" s="1"/>
      <c r="AD568" s="1"/>
      <c r="AE568" s="1"/>
      <c r="AF568" s="1"/>
      <c r="AG568" s="1"/>
      <c r="AH568" s="1"/>
      <c r="AI568" s="1"/>
      <c r="AJ568" s="1"/>
      <c r="AK568" s="1"/>
      <c r="AL568" s="1"/>
      <c r="AM568" s="1"/>
    </row>
    <row r="569" spans="16:39" x14ac:dyDescent="0.25">
      <c r="P569" s="49"/>
      <c r="Q569" s="1"/>
      <c r="S569" s="1"/>
      <c r="T569" s="1"/>
      <c r="U569" s="1"/>
      <c r="V569" s="1"/>
      <c r="W569" s="1"/>
      <c r="X569" s="1"/>
      <c r="Y569" s="1"/>
      <c r="AB569" s="1"/>
      <c r="AC569" s="1"/>
      <c r="AD569" s="1"/>
      <c r="AE569" s="1"/>
      <c r="AF569" s="1"/>
      <c r="AG569" s="1"/>
      <c r="AH569" s="1"/>
      <c r="AI569" s="1"/>
      <c r="AJ569" s="1"/>
      <c r="AK569" s="1"/>
      <c r="AL569" s="1"/>
      <c r="AM569" s="1"/>
    </row>
    <row r="570" spans="16:39" x14ac:dyDescent="0.25">
      <c r="P570" s="49"/>
      <c r="Q570" s="1"/>
      <c r="S570" s="1"/>
      <c r="T570" s="1"/>
      <c r="U570" s="1"/>
      <c r="V570" s="1"/>
      <c r="W570" s="1"/>
      <c r="X570" s="1"/>
      <c r="Y570" s="1"/>
      <c r="AB570" s="1"/>
      <c r="AC570" s="1"/>
      <c r="AD570" s="1"/>
      <c r="AE570" s="1"/>
      <c r="AF570" s="1"/>
      <c r="AG570" s="1"/>
      <c r="AH570" s="1"/>
      <c r="AI570" s="1"/>
      <c r="AJ570" s="1"/>
      <c r="AK570" s="1"/>
      <c r="AL570" s="1"/>
      <c r="AM570" s="1"/>
    </row>
    <row r="571" spans="16:39" x14ac:dyDescent="0.25">
      <c r="P571" s="49"/>
      <c r="Q571" s="1"/>
      <c r="S571" s="1"/>
      <c r="T571" s="1"/>
      <c r="U571" s="1"/>
      <c r="V571" s="1"/>
      <c r="W571" s="1"/>
      <c r="X571" s="1"/>
      <c r="Y571" s="1"/>
      <c r="AB571" s="1"/>
      <c r="AC571" s="1"/>
      <c r="AD571" s="1"/>
      <c r="AE571" s="1"/>
      <c r="AF571" s="1"/>
      <c r="AG571" s="1"/>
      <c r="AH571" s="1"/>
      <c r="AI571" s="1"/>
      <c r="AJ571" s="1"/>
      <c r="AK571" s="1"/>
      <c r="AL571" s="1"/>
      <c r="AM571" s="1"/>
    </row>
    <row r="572" spans="16:39" x14ac:dyDescent="0.25">
      <c r="P572" s="49"/>
      <c r="Q572" s="1"/>
      <c r="S572" s="1"/>
      <c r="T572" s="1"/>
      <c r="U572" s="1"/>
      <c r="V572" s="1"/>
      <c r="W572" s="1"/>
      <c r="X572" s="1"/>
      <c r="Y572" s="1"/>
      <c r="AB572" s="1"/>
      <c r="AC572" s="1"/>
      <c r="AD572" s="1"/>
      <c r="AE572" s="1"/>
      <c r="AF572" s="1"/>
      <c r="AG572" s="1"/>
      <c r="AH572" s="1"/>
      <c r="AI572" s="1"/>
      <c r="AJ572" s="1"/>
      <c r="AK572" s="1"/>
      <c r="AL572" s="1"/>
      <c r="AM572" s="1"/>
    </row>
    <row r="573" spans="16:39" x14ac:dyDescent="0.25">
      <c r="P573" s="49"/>
      <c r="Q573" s="1"/>
      <c r="S573" s="1"/>
      <c r="T573" s="1"/>
      <c r="U573" s="1"/>
      <c r="V573" s="1"/>
      <c r="W573" s="1"/>
      <c r="X573" s="1"/>
      <c r="Y573" s="1"/>
      <c r="AB573" s="1"/>
      <c r="AC573" s="1"/>
      <c r="AD573" s="1"/>
      <c r="AE573" s="1"/>
      <c r="AF573" s="1"/>
      <c r="AG573" s="1"/>
      <c r="AH573" s="1"/>
      <c r="AI573" s="1"/>
      <c r="AJ573" s="1"/>
      <c r="AK573" s="1"/>
      <c r="AL573" s="1"/>
      <c r="AM573" s="1"/>
    </row>
    <row r="574" spans="16:39" x14ac:dyDescent="0.25">
      <c r="P574" s="49"/>
      <c r="Q574" s="1"/>
      <c r="S574" s="1"/>
      <c r="T574" s="1"/>
      <c r="U574" s="1"/>
      <c r="V574" s="1"/>
      <c r="W574" s="1"/>
      <c r="X574" s="1"/>
      <c r="Y574" s="1"/>
      <c r="AB574" s="1"/>
      <c r="AC574" s="1"/>
      <c r="AD574" s="1"/>
      <c r="AE574" s="1"/>
      <c r="AF574" s="1"/>
      <c r="AG574" s="1"/>
      <c r="AH574" s="1"/>
      <c r="AI574" s="1"/>
      <c r="AJ574" s="1"/>
      <c r="AK574" s="1"/>
      <c r="AL574" s="1"/>
      <c r="AM574" s="1"/>
    </row>
    <row r="575" spans="16:39" x14ac:dyDescent="0.25">
      <c r="P575" s="49"/>
      <c r="Q575" s="1"/>
      <c r="S575" s="1"/>
      <c r="T575" s="1"/>
      <c r="U575" s="1"/>
      <c r="V575" s="1"/>
      <c r="W575" s="1"/>
      <c r="X575" s="1"/>
      <c r="Y575" s="1"/>
      <c r="AB575" s="1"/>
      <c r="AC575" s="1"/>
      <c r="AD575" s="1"/>
      <c r="AE575" s="1"/>
      <c r="AF575" s="1"/>
      <c r="AG575" s="1"/>
      <c r="AH575" s="1"/>
      <c r="AI575" s="1"/>
      <c r="AJ575" s="1"/>
      <c r="AK575" s="1"/>
      <c r="AL575" s="1"/>
      <c r="AM575" s="1"/>
    </row>
    <row r="576" spans="16:39" x14ac:dyDescent="0.25">
      <c r="P576" s="49"/>
      <c r="Q576" s="1"/>
      <c r="S576" s="1"/>
      <c r="T576" s="1"/>
      <c r="U576" s="1"/>
      <c r="V576" s="1"/>
      <c r="W576" s="1"/>
      <c r="X576" s="1"/>
      <c r="Y576" s="1"/>
      <c r="AB576" s="1"/>
      <c r="AC576" s="1"/>
      <c r="AD576" s="1"/>
      <c r="AE576" s="1"/>
      <c r="AF576" s="1"/>
      <c r="AG576" s="1"/>
      <c r="AH576" s="1"/>
      <c r="AI576" s="1"/>
      <c r="AJ576" s="1"/>
      <c r="AK576" s="1"/>
      <c r="AL576" s="1"/>
      <c r="AM576" s="1"/>
    </row>
    <row r="577" spans="16:39" x14ac:dyDescent="0.25">
      <c r="P577" s="49"/>
      <c r="Q577" s="1"/>
      <c r="S577" s="1"/>
      <c r="T577" s="1"/>
      <c r="U577" s="1"/>
      <c r="V577" s="1"/>
      <c r="W577" s="1"/>
      <c r="X577" s="1"/>
      <c r="Y577" s="1"/>
      <c r="AB577" s="1"/>
      <c r="AC577" s="1"/>
      <c r="AD577" s="1"/>
      <c r="AE577" s="1"/>
      <c r="AF577" s="1"/>
      <c r="AG577" s="1"/>
      <c r="AH577" s="1"/>
      <c r="AI577" s="1"/>
      <c r="AJ577" s="1"/>
      <c r="AK577" s="1"/>
      <c r="AL577" s="1"/>
      <c r="AM577" s="1"/>
    </row>
    <row r="578" spans="16:39" x14ac:dyDescent="0.25">
      <c r="P578" s="49"/>
      <c r="Q578" s="1"/>
      <c r="S578" s="1"/>
      <c r="T578" s="1"/>
      <c r="U578" s="1"/>
      <c r="V578" s="1"/>
      <c r="W578" s="1"/>
      <c r="X578" s="1"/>
      <c r="Y578" s="1"/>
      <c r="AB578" s="1"/>
      <c r="AC578" s="1"/>
      <c r="AD578" s="1"/>
      <c r="AE578" s="1"/>
      <c r="AF578" s="1"/>
      <c r="AG578" s="1"/>
      <c r="AH578" s="1"/>
      <c r="AI578" s="1"/>
      <c r="AJ578" s="1"/>
      <c r="AK578" s="1"/>
      <c r="AL578" s="1"/>
      <c r="AM578" s="1"/>
    </row>
    <row r="579" spans="16:39" x14ac:dyDescent="0.25">
      <c r="P579" s="49"/>
      <c r="Q579" s="1"/>
      <c r="S579" s="1"/>
      <c r="T579" s="1"/>
      <c r="U579" s="1"/>
      <c r="V579" s="1"/>
      <c r="W579" s="1"/>
      <c r="X579" s="1"/>
      <c r="Y579" s="1"/>
      <c r="AB579" s="1"/>
      <c r="AC579" s="1"/>
      <c r="AD579" s="1"/>
      <c r="AE579" s="1"/>
      <c r="AF579" s="1"/>
      <c r="AG579" s="1"/>
      <c r="AH579" s="1"/>
      <c r="AI579" s="1"/>
      <c r="AJ579" s="1"/>
      <c r="AK579" s="1"/>
      <c r="AL579" s="1"/>
      <c r="AM579" s="1"/>
    </row>
    <row r="580" spans="16:39" x14ac:dyDescent="0.25">
      <c r="P580" s="49"/>
      <c r="Q580" s="1"/>
      <c r="S580" s="1"/>
      <c r="T580" s="1"/>
      <c r="U580" s="1"/>
      <c r="V580" s="1"/>
      <c r="W580" s="1"/>
      <c r="X580" s="1"/>
      <c r="Y580" s="1"/>
      <c r="AB580" s="1"/>
      <c r="AC580" s="1"/>
      <c r="AD580" s="1"/>
      <c r="AE580" s="1"/>
      <c r="AF580" s="1"/>
      <c r="AG580" s="1"/>
      <c r="AH580" s="1"/>
      <c r="AI580" s="1"/>
      <c r="AJ580" s="1"/>
      <c r="AK580" s="1"/>
      <c r="AL580" s="1"/>
      <c r="AM580" s="1"/>
    </row>
    <row r="581" spans="16:39" x14ac:dyDescent="0.25">
      <c r="P581" s="49"/>
      <c r="Q581" s="1"/>
      <c r="S581" s="1"/>
      <c r="T581" s="1"/>
      <c r="U581" s="1"/>
      <c r="V581" s="1"/>
      <c r="W581" s="1"/>
      <c r="X581" s="1"/>
      <c r="Y581" s="1"/>
      <c r="AB581" s="1"/>
      <c r="AC581" s="1"/>
      <c r="AD581" s="1"/>
      <c r="AE581" s="1"/>
      <c r="AF581" s="1"/>
      <c r="AG581" s="1"/>
      <c r="AH581" s="1"/>
      <c r="AI581" s="1"/>
      <c r="AJ581" s="1"/>
      <c r="AK581" s="1"/>
      <c r="AL581" s="1"/>
      <c r="AM581" s="1"/>
    </row>
    <row r="582" spans="16:39" x14ac:dyDescent="0.25">
      <c r="P582" s="49"/>
      <c r="Q582" s="1"/>
      <c r="S582" s="1"/>
      <c r="T582" s="1"/>
      <c r="U582" s="1"/>
      <c r="V582" s="1"/>
      <c r="W582" s="1"/>
      <c r="X582" s="1"/>
      <c r="Y582" s="1"/>
      <c r="AB582" s="1"/>
      <c r="AC582" s="1"/>
      <c r="AD582" s="1"/>
      <c r="AE582" s="1"/>
      <c r="AF582" s="1"/>
      <c r="AG582" s="1"/>
      <c r="AH582" s="1"/>
      <c r="AI582" s="1"/>
      <c r="AJ582" s="1"/>
      <c r="AK582" s="1"/>
      <c r="AL582" s="1"/>
      <c r="AM582" s="1"/>
    </row>
    <row r="583" spans="16:39" x14ac:dyDescent="0.25">
      <c r="P583" s="49"/>
      <c r="Q583" s="1"/>
      <c r="S583" s="1"/>
      <c r="T583" s="1"/>
      <c r="U583" s="1"/>
      <c r="V583" s="1"/>
      <c r="W583" s="1"/>
      <c r="X583" s="1"/>
      <c r="Y583" s="1"/>
      <c r="AB583" s="1"/>
      <c r="AC583" s="1"/>
      <c r="AD583" s="1"/>
      <c r="AE583" s="1"/>
      <c r="AF583" s="1"/>
      <c r="AG583" s="1"/>
      <c r="AH583" s="1"/>
      <c r="AI583" s="1"/>
      <c r="AJ583" s="1"/>
      <c r="AK583" s="1"/>
      <c r="AL583" s="1"/>
      <c r="AM583" s="1"/>
    </row>
    <row r="584" spans="16:39" x14ac:dyDescent="0.25">
      <c r="P584" s="49"/>
      <c r="Q584" s="1"/>
      <c r="S584" s="1"/>
      <c r="T584" s="1"/>
      <c r="U584" s="1"/>
      <c r="V584" s="1"/>
      <c r="W584" s="1"/>
      <c r="X584" s="1"/>
      <c r="Y584" s="1"/>
      <c r="AB584" s="1"/>
      <c r="AC584" s="1"/>
      <c r="AD584" s="1"/>
      <c r="AE584" s="1"/>
      <c r="AF584" s="1"/>
      <c r="AG584" s="1"/>
      <c r="AH584" s="1"/>
      <c r="AI584" s="1"/>
      <c r="AJ584" s="1"/>
      <c r="AK584" s="1"/>
      <c r="AL584" s="1"/>
      <c r="AM584" s="1"/>
    </row>
    <row r="585" spans="16:39" x14ac:dyDescent="0.25">
      <c r="P585" s="49"/>
      <c r="Q585" s="1"/>
      <c r="S585" s="1"/>
      <c r="T585" s="1"/>
      <c r="U585" s="1"/>
      <c r="V585" s="1"/>
      <c r="W585" s="1"/>
      <c r="X585" s="1"/>
      <c r="Y585" s="1"/>
      <c r="AB585" s="1"/>
      <c r="AC585" s="1"/>
      <c r="AD585" s="1"/>
      <c r="AE585" s="1"/>
      <c r="AF585" s="1"/>
      <c r="AG585" s="1"/>
      <c r="AH585" s="1"/>
      <c r="AI585" s="1"/>
      <c r="AJ585" s="1"/>
      <c r="AK585" s="1"/>
      <c r="AL585" s="1"/>
      <c r="AM585" s="1"/>
    </row>
    <row r="586" spans="16:39" x14ac:dyDescent="0.25">
      <c r="P586" s="49"/>
      <c r="Q586" s="1"/>
      <c r="S586" s="1"/>
      <c r="T586" s="1"/>
      <c r="U586" s="1"/>
      <c r="V586" s="1"/>
      <c r="W586" s="1"/>
      <c r="X586" s="1"/>
      <c r="Y586" s="1"/>
      <c r="AB586" s="1"/>
      <c r="AC586" s="1"/>
      <c r="AD586" s="1"/>
      <c r="AE586" s="1"/>
      <c r="AF586" s="1"/>
      <c r="AG586" s="1"/>
      <c r="AH586" s="1"/>
      <c r="AI586" s="1"/>
      <c r="AJ586" s="1"/>
      <c r="AK586" s="1"/>
      <c r="AL586" s="1"/>
      <c r="AM586" s="1"/>
    </row>
    <row r="587" spans="16:39" x14ac:dyDescent="0.25">
      <c r="P587" s="49"/>
      <c r="Q587" s="1"/>
      <c r="S587" s="1"/>
      <c r="T587" s="1"/>
      <c r="U587" s="1"/>
      <c r="V587" s="1"/>
      <c r="W587" s="1"/>
      <c r="X587" s="1"/>
      <c r="Y587" s="1"/>
      <c r="AB587" s="1"/>
      <c r="AC587" s="1"/>
      <c r="AD587" s="1"/>
      <c r="AE587" s="1"/>
      <c r="AF587" s="1"/>
      <c r="AG587" s="1"/>
      <c r="AH587" s="1"/>
      <c r="AI587" s="1"/>
      <c r="AJ587" s="1"/>
      <c r="AK587" s="1"/>
      <c r="AL587" s="1"/>
      <c r="AM587" s="1"/>
    </row>
    <row r="588" spans="16:39" x14ac:dyDescent="0.25">
      <c r="P588" s="49"/>
      <c r="Q588" s="1"/>
      <c r="S588" s="1"/>
      <c r="T588" s="1"/>
      <c r="U588" s="1"/>
      <c r="V588" s="1"/>
      <c r="W588" s="1"/>
      <c r="X588" s="1"/>
      <c r="Y588" s="1"/>
      <c r="AB588" s="1"/>
      <c r="AC588" s="1"/>
      <c r="AD588" s="1"/>
      <c r="AE588" s="1"/>
      <c r="AF588" s="1"/>
      <c r="AG588" s="1"/>
      <c r="AH588" s="1"/>
      <c r="AI588" s="1"/>
      <c r="AJ588" s="1"/>
      <c r="AK588" s="1"/>
      <c r="AL588" s="1"/>
      <c r="AM588" s="1"/>
    </row>
    <row r="589" spans="16:39" x14ac:dyDescent="0.25">
      <c r="P589" s="49"/>
      <c r="Q589" s="1"/>
      <c r="S589" s="1"/>
      <c r="T589" s="1"/>
      <c r="U589" s="1"/>
      <c r="V589" s="1"/>
      <c r="W589" s="1"/>
      <c r="X589" s="1"/>
      <c r="Y589" s="1"/>
      <c r="AB589" s="1"/>
      <c r="AC589" s="1"/>
      <c r="AD589" s="1"/>
      <c r="AE589" s="1"/>
      <c r="AF589" s="1"/>
      <c r="AG589" s="1"/>
      <c r="AH589" s="1"/>
      <c r="AI589" s="1"/>
      <c r="AJ589" s="1"/>
      <c r="AK589" s="1"/>
      <c r="AL589" s="1"/>
      <c r="AM589" s="1"/>
    </row>
    <row r="590" spans="16:39" x14ac:dyDescent="0.25">
      <c r="P590" s="49"/>
      <c r="Q590" s="1"/>
      <c r="S590" s="1"/>
      <c r="T590" s="1"/>
      <c r="U590" s="1"/>
      <c r="V590" s="1"/>
      <c r="W590" s="1"/>
      <c r="X590" s="1"/>
      <c r="Y590" s="1"/>
      <c r="AB590" s="1"/>
      <c r="AC590" s="1"/>
      <c r="AD590" s="1"/>
      <c r="AE590" s="1"/>
      <c r="AF590" s="1"/>
      <c r="AG590" s="1"/>
      <c r="AH590" s="1"/>
      <c r="AI590" s="1"/>
      <c r="AJ590" s="1"/>
      <c r="AK590" s="1"/>
      <c r="AL590" s="1"/>
      <c r="AM590" s="1"/>
    </row>
    <row r="591" spans="16:39" x14ac:dyDescent="0.25">
      <c r="P591" s="49"/>
      <c r="Q591" s="1"/>
      <c r="S591" s="1"/>
      <c r="T591" s="1"/>
      <c r="U591" s="1"/>
      <c r="V591" s="1"/>
      <c r="W591" s="1"/>
      <c r="X591" s="1"/>
      <c r="Y591" s="1"/>
      <c r="AB591" s="1"/>
      <c r="AC591" s="1"/>
      <c r="AD591" s="1"/>
      <c r="AE591" s="1"/>
      <c r="AF591" s="1"/>
      <c r="AG591" s="1"/>
      <c r="AH591" s="1"/>
      <c r="AI591" s="1"/>
      <c r="AJ591" s="1"/>
      <c r="AK591" s="1"/>
      <c r="AL591" s="1"/>
      <c r="AM591" s="1"/>
    </row>
    <row r="592" spans="16:39" x14ac:dyDescent="0.25">
      <c r="P592" s="49"/>
      <c r="Q592" s="1"/>
      <c r="S592" s="1"/>
      <c r="T592" s="1"/>
      <c r="U592" s="1"/>
      <c r="V592" s="1"/>
      <c r="W592" s="1"/>
      <c r="X592" s="1"/>
      <c r="Y592" s="1"/>
      <c r="AB592" s="1"/>
      <c r="AC592" s="1"/>
      <c r="AD592" s="1"/>
      <c r="AE592" s="1"/>
      <c r="AF592" s="1"/>
      <c r="AG592" s="1"/>
      <c r="AH592" s="1"/>
      <c r="AI592" s="1"/>
      <c r="AJ592" s="1"/>
      <c r="AK592" s="1"/>
      <c r="AL592" s="1"/>
      <c r="AM592" s="1"/>
    </row>
    <row r="593" spans="16:39" x14ac:dyDescent="0.25">
      <c r="P593" s="49"/>
      <c r="Q593" s="1"/>
      <c r="S593" s="1"/>
      <c r="T593" s="1"/>
      <c r="U593" s="1"/>
      <c r="V593" s="1"/>
      <c r="W593" s="1"/>
      <c r="X593" s="1"/>
      <c r="Y593" s="1"/>
      <c r="AB593" s="1"/>
      <c r="AC593" s="1"/>
      <c r="AD593" s="1"/>
      <c r="AE593" s="1"/>
      <c r="AF593" s="1"/>
      <c r="AG593" s="1"/>
      <c r="AH593" s="1"/>
      <c r="AI593" s="1"/>
      <c r="AJ593" s="1"/>
      <c r="AK593" s="1"/>
      <c r="AL593" s="1"/>
      <c r="AM593" s="1"/>
    </row>
    <row r="594" spans="16:39" x14ac:dyDescent="0.25">
      <c r="P594" s="49"/>
      <c r="Q594" s="1"/>
      <c r="S594" s="1"/>
      <c r="T594" s="1"/>
      <c r="U594" s="1"/>
      <c r="V594" s="1"/>
      <c r="W594" s="1"/>
      <c r="X594" s="1"/>
      <c r="Y594" s="1"/>
      <c r="AB594" s="1"/>
      <c r="AC594" s="1"/>
      <c r="AD594" s="1"/>
      <c r="AE594" s="1"/>
      <c r="AF594" s="1"/>
      <c r="AG594" s="1"/>
      <c r="AH594" s="1"/>
      <c r="AI594" s="1"/>
      <c r="AJ594" s="1"/>
      <c r="AK594" s="1"/>
      <c r="AL594" s="1"/>
      <c r="AM594" s="1"/>
    </row>
    <row r="595" spans="16:39" x14ac:dyDescent="0.25">
      <c r="P595" s="49"/>
      <c r="Q595" s="1"/>
      <c r="S595" s="1"/>
      <c r="T595" s="1"/>
      <c r="U595" s="1"/>
      <c r="V595" s="1"/>
      <c r="W595" s="1"/>
      <c r="X595" s="1"/>
      <c r="Y595" s="1"/>
      <c r="AB595" s="1"/>
      <c r="AC595" s="1"/>
      <c r="AD595" s="1"/>
      <c r="AE595" s="1"/>
      <c r="AF595" s="1"/>
      <c r="AG595" s="1"/>
      <c r="AH595" s="1"/>
      <c r="AI595" s="1"/>
      <c r="AJ595" s="1"/>
      <c r="AK595" s="1"/>
      <c r="AL595" s="1"/>
      <c r="AM595" s="1"/>
    </row>
    <row r="596" spans="16:39" x14ac:dyDescent="0.25">
      <c r="P596" s="49"/>
      <c r="Q596" s="1"/>
      <c r="S596" s="1"/>
      <c r="T596" s="1"/>
      <c r="U596" s="1"/>
      <c r="V596" s="1"/>
      <c r="W596" s="1"/>
      <c r="X596" s="1"/>
      <c r="Y596" s="1"/>
      <c r="AB596" s="1"/>
      <c r="AC596" s="1"/>
      <c r="AD596" s="1"/>
      <c r="AE596" s="1"/>
      <c r="AF596" s="1"/>
      <c r="AG596" s="1"/>
      <c r="AH596" s="1"/>
      <c r="AI596" s="1"/>
      <c r="AJ596" s="1"/>
      <c r="AK596" s="1"/>
      <c r="AL596" s="1"/>
      <c r="AM596" s="1"/>
    </row>
    <row r="597" spans="16:39" x14ac:dyDescent="0.25">
      <c r="P597" s="49"/>
      <c r="Q597" s="1"/>
      <c r="S597" s="1"/>
      <c r="T597" s="1"/>
      <c r="U597" s="1"/>
      <c r="V597" s="1"/>
      <c r="W597" s="1"/>
      <c r="X597" s="1"/>
      <c r="Y597" s="1"/>
      <c r="AB597" s="1"/>
      <c r="AC597" s="1"/>
      <c r="AD597" s="1"/>
      <c r="AE597" s="1"/>
      <c r="AF597" s="1"/>
      <c r="AG597" s="1"/>
      <c r="AH597" s="1"/>
      <c r="AI597" s="1"/>
      <c r="AJ597" s="1"/>
      <c r="AK597" s="1"/>
      <c r="AL597" s="1"/>
      <c r="AM597" s="1"/>
    </row>
    <row r="598" spans="16:39" x14ac:dyDescent="0.25">
      <c r="P598" s="49"/>
      <c r="Q598" s="1"/>
      <c r="S598" s="1"/>
      <c r="T598" s="1"/>
      <c r="U598" s="1"/>
      <c r="V598" s="1"/>
      <c r="W598" s="1"/>
      <c r="X598" s="1"/>
      <c r="Y598" s="1"/>
      <c r="AB598" s="1"/>
      <c r="AC598" s="1"/>
      <c r="AD598" s="1"/>
      <c r="AE598" s="1"/>
      <c r="AF598" s="1"/>
      <c r="AG598" s="1"/>
      <c r="AH598" s="1"/>
      <c r="AI598" s="1"/>
      <c r="AJ598" s="1"/>
      <c r="AK598" s="1"/>
      <c r="AL598" s="1"/>
      <c r="AM598" s="1"/>
    </row>
    <row r="599" spans="16:39" x14ac:dyDescent="0.25">
      <c r="P599" s="49"/>
      <c r="Q599" s="1"/>
      <c r="S599" s="1"/>
      <c r="T599" s="1"/>
      <c r="U599" s="1"/>
      <c r="V599" s="1"/>
      <c r="W599" s="1"/>
      <c r="X599" s="1"/>
      <c r="Y599" s="1"/>
      <c r="AB599" s="1"/>
      <c r="AC599" s="1"/>
      <c r="AD599" s="1"/>
      <c r="AE599" s="1"/>
      <c r="AF599" s="1"/>
      <c r="AG599" s="1"/>
      <c r="AH599" s="1"/>
      <c r="AI599" s="1"/>
      <c r="AJ599" s="1"/>
      <c r="AK599" s="1"/>
      <c r="AL599" s="1"/>
      <c r="AM599" s="1"/>
    </row>
    <row r="600" spans="16:39" x14ac:dyDescent="0.25">
      <c r="P600" s="49"/>
      <c r="Q600" s="1"/>
      <c r="S600" s="1"/>
      <c r="T600" s="1"/>
      <c r="U600" s="1"/>
      <c r="V600" s="1"/>
      <c r="W600" s="1"/>
      <c r="X600" s="1"/>
      <c r="Y600" s="1"/>
      <c r="AB600" s="1"/>
      <c r="AC600" s="1"/>
      <c r="AD600" s="1"/>
      <c r="AE600" s="1"/>
      <c r="AF600" s="1"/>
      <c r="AG600" s="1"/>
      <c r="AH600" s="1"/>
      <c r="AI600" s="1"/>
      <c r="AJ600" s="1"/>
      <c r="AK600" s="1"/>
      <c r="AL600" s="1"/>
      <c r="AM600" s="1"/>
    </row>
    <row r="601" spans="16:39" x14ac:dyDescent="0.25">
      <c r="P601" s="49"/>
      <c r="Q601" s="1"/>
      <c r="S601" s="1"/>
      <c r="T601" s="1"/>
      <c r="U601" s="1"/>
      <c r="V601" s="1"/>
      <c r="W601" s="1"/>
      <c r="X601" s="1"/>
      <c r="Y601" s="1"/>
      <c r="AB601" s="1"/>
      <c r="AC601" s="1"/>
      <c r="AD601" s="1"/>
      <c r="AE601" s="1"/>
      <c r="AF601" s="1"/>
      <c r="AG601" s="1"/>
      <c r="AH601" s="1"/>
      <c r="AI601" s="1"/>
      <c r="AJ601" s="1"/>
      <c r="AK601" s="1"/>
      <c r="AL601" s="1"/>
      <c r="AM601" s="1"/>
    </row>
    <row r="602" spans="16:39" x14ac:dyDescent="0.25">
      <c r="P602" s="49"/>
      <c r="Q602" s="1"/>
      <c r="S602" s="1"/>
      <c r="T602" s="1"/>
      <c r="U602" s="1"/>
      <c r="V602" s="1"/>
      <c r="W602" s="1"/>
      <c r="X602" s="1"/>
      <c r="Y602" s="1"/>
      <c r="AB602" s="1"/>
      <c r="AC602" s="1"/>
      <c r="AD602" s="1"/>
      <c r="AE602" s="1"/>
      <c r="AF602" s="1"/>
      <c r="AG602" s="1"/>
      <c r="AH602" s="1"/>
      <c r="AI602" s="1"/>
      <c r="AJ602" s="1"/>
      <c r="AK602" s="1"/>
      <c r="AL602" s="1"/>
      <c r="AM602" s="1"/>
    </row>
    <row r="603" spans="16:39" x14ac:dyDescent="0.25">
      <c r="P603" s="49"/>
      <c r="Q603" s="1"/>
      <c r="S603" s="1"/>
      <c r="T603" s="1"/>
      <c r="U603" s="1"/>
      <c r="V603" s="1"/>
      <c r="W603" s="1"/>
      <c r="X603" s="1"/>
      <c r="Y603" s="1"/>
      <c r="AB603" s="1"/>
      <c r="AC603" s="1"/>
      <c r="AD603" s="1"/>
      <c r="AE603" s="1"/>
      <c r="AF603" s="1"/>
      <c r="AG603" s="1"/>
      <c r="AH603" s="1"/>
      <c r="AI603" s="1"/>
      <c r="AJ603" s="1"/>
      <c r="AK603" s="1"/>
      <c r="AL603" s="1"/>
      <c r="AM603" s="1"/>
    </row>
    <row r="604" spans="16:39" x14ac:dyDescent="0.25">
      <c r="P604" s="49"/>
      <c r="Q604" s="1"/>
      <c r="S604" s="1"/>
      <c r="T604" s="1"/>
      <c r="U604" s="1"/>
      <c r="V604" s="1"/>
      <c r="W604" s="1"/>
      <c r="X604" s="1"/>
      <c r="Y604" s="1"/>
      <c r="AB604" s="1"/>
      <c r="AC604" s="1"/>
      <c r="AD604" s="1"/>
      <c r="AE604" s="1"/>
      <c r="AF604" s="1"/>
      <c r="AG604" s="1"/>
      <c r="AH604" s="1"/>
      <c r="AI604" s="1"/>
      <c r="AJ604" s="1"/>
      <c r="AK604" s="1"/>
      <c r="AL604" s="1"/>
      <c r="AM604" s="1"/>
    </row>
    <row r="605" spans="16:39" x14ac:dyDescent="0.25">
      <c r="P605" s="49"/>
      <c r="Q605" s="1"/>
      <c r="S605" s="1"/>
      <c r="T605" s="1"/>
      <c r="U605" s="1"/>
      <c r="V605" s="1"/>
      <c r="W605" s="1"/>
      <c r="X605" s="1"/>
      <c r="Y605" s="1"/>
      <c r="AB605" s="1"/>
      <c r="AC605" s="1"/>
      <c r="AD605" s="1"/>
      <c r="AE605" s="1"/>
      <c r="AF605" s="1"/>
      <c r="AG605" s="1"/>
      <c r="AH605" s="1"/>
      <c r="AI605" s="1"/>
      <c r="AJ605" s="1"/>
      <c r="AK605" s="1"/>
      <c r="AL605" s="1"/>
      <c r="AM605" s="1"/>
    </row>
    <row r="606" spans="16:39" x14ac:dyDescent="0.25">
      <c r="P606" s="49"/>
      <c r="Q606" s="1"/>
      <c r="S606" s="1"/>
      <c r="T606" s="1"/>
      <c r="U606" s="1"/>
      <c r="V606" s="1"/>
      <c r="W606" s="1"/>
      <c r="X606" s="1"/>
      <c r="Y606" s="1"/>
      <c r="AB606" s="1"/>
      <c r="AC606" s="1"/>
      <c r="AD606" s="1"/>
      <c r="AE606" s="1"/>
      <c r="AF606" s="1"/>
      <c r="AG606" s="1"/>
      <c r="AH606" s="1"/>
      <c r="AI606" s="1"/>
      <c r="AJ606" s="1"/>
      <c r="AK606" s="1"/>
      <c r="AL606" s="1"/>
      <c r="AM606" s="1"/>
    </row>
    <row r="607" spans="16:39" x14ac:dyDescent="0.25">
      <c r="P607" s="49"/>
      <c r="Q607" s="1"/>
      <c r="S607" s="1"/>
      <c r="T607" s="1"/>
      <c r="U607" s="1"/>
      <c r="V607" s="1"/>
      <c r="W607" s="1"/>
      <c r="X607" s="1"/>
      <c r="Y607" s="1"/>
      <c r="AB607" s="1"/>
      <c r="AC607" s="1"/>
      <c r="AD607" s="1"/>
      <c r="AE607" s="1"/>
      <c r="AF607" s="1"/>
      <c r="AG607" s="1"/>
      <c r="AH607" s="1"/>
      <c r="AI607" s="1"/>
      <c r="AJ607" s="1"/>
      <c r="AK607" s="1"/>
      <c r="AL607" s="1"/>
      <c r="AM607" s="1"/>
    </row>
    <row r="608" spans="16:39" x14ac:dyDescent="0.25">
      <c r="P608" s="49"/>
      <c r="Q608" s="1"/>
      <c r="S608" s="1"/>
      <c r="T608" s="1"/>
      <c r="U608" s="1"/>
      <c r="V608" s="1"/>
      <c r="W608" s="1"/>
      <c r="X608" s="1"/>
      <c r="Y608" s="1"/>
      <c r="AB608" s="1"/>
      <c r="AC608" s="1"/>
      <c r="AD608" s="1"/>
      <c r="AE608" s="1"/>
      <c r="AF608" s="1"/>
      <c r="AG608" s="1"/>
      <c r="AH608" s="1"/>
      <c r="AI608" s="1"/>
      <c r="AJ608" s="1"/>
      <c r="AK608" s="1"/>
      <c r="AL608" s="1"/>
      <c r="AM608" s="1"/>
    </row>
    <row r="609" spans="16:39" x14ac:dyDescent="0.25">
      <c r="P609" s="49"/>
      <c r="Q609" s="1"/>
      <c r="S609" s="1"/>
      <c r="T609" s="1"/>
      <c r="U609" s="1"/>
      <c r="V609" s="1"/>
      <c r="W609" s="1"/>
      <c r="X609" s="1"/>
      <c r="Y609" s="1"/>
      <c r="AB609" s="1"/>
      <c r="AC609" s="1"/>
      <c r="AD609" s="1"/>
      <c r="AE609" s="1"/>
      <c r="AF609" s="1"/>
      <c r="AG609" s="1"/>
      <c r="AH609" s="1"/>
      <c r="AI609" s="1"/>
      <c r="AJ609" s="1"/>
      <c r="AK609" s="1"/>
      <c r="AL609" s="1"/>
      <c r="AM609" s="1"/>
    </row>
    <row r="610" spans="16:39" x14ac:dyDescent="0.25">
      <c r="P610" s="49"/>
      <c r="Q610" s="1"/>
      <c r="S610" s="1"/>
      <c r="T610" s="1"/>
      <c r="U610" s="1"/>
      <c r="V610" s="1"/>
      <c r="W610" s="1"/>
      <c r="X610" s="1"/>
      <c r="Y610" s="1"/>
      <c r="AB610" s="1"/>
      <c r="AC610" s="1"/>
      <c r="AD610" s="1"/>
      <c r="AE610" s="1"/>
      <c r="AF610" s="1"/>
      <c r="AG610" s="1"/>
      <c r="AH610" s="1"/>
      <c r="AI610" s="1"/>
      <c r="AJ610" s="1"/>
      <c r="AK610" s="1"/>
      <c r="AL610" s="1"/>
      <c r="AM610" s="1"/>
    </row>
    <row r="611" spans="16:39" x14ac:dyDescent="0.25">
      <c r="P611" s="49"/>
      <c r="Q611" s="1"/>
      <c r="S611" s="1"/>
      <c r="T611" s="1"/>
      <c r="U611" s="1"/>
      <c r="V611" s="1"/>
      <c r="W611" s="1"/>
      <c r="X611" s="1"/>
      <c r="Y611" s="1"/>
      <c r="AB611" s="1"/>
      <c r="AC611" s="1"/>
      <c r="AD611" s="1"/>
      <c r="AE611" s="1"/>
      <c r="AF611" s="1"/>
      <c r="AG611" s="1"/>
      <c r="AH611" s="1"/>
      <c r="AI611" s="1"/>
      <c r="AJ611" s="1"/>
      <c r="AK611" s="1"/>
      <c r="AL611" s="1"/>
      <c r="AM611" s="1"/>
    </row>
    <row r="612" spans="16:39" x14ac:dyDescent="0.25">
      <c r="P612" s="49"/>
      <c r="Q612" s="1"/>
      <c r="S612" s="1"/>
      <c r="T612" s="1"/>
      <c r="U612" s="1"/>
      <c r="V612" s="1"/>
      <c r="W612" s="1"/>
      <c r="X612" s="1"/>
      <c r="Y612" s="1"/>
      <c r="AB612" s="1"/>
      <c r="AC612" s="1"/>
      <c r="AD612" s="1"/>
      <c r="AE612" s="1"/>
      <c r="AF612" s="1"/>
      <c r="AG612" s="1"/>
      <c r="AH612" s="1"/>
      <c r="AI612" s="1"/>
      <c r="AJ612" s="1"/>
      <c r="AK612" s="1"/>
      <c r="AL612" s="1"/>
      <c r="AM612" s="1"/>
    </row>
    <row r="613" spans="16:39" x14ac:dyDescent="0.25">
      <c r="P613" s="49"/>
      <c r="Q613" s="1"/>
      <c r="S613" s="1"/>
      <c r="T613" s="1"/>
      <c r="U613" s="1"/>
      <c r="V613" s="1"/>
      <c r="W613" s="1"/>
      <c r="X613" s="1"/>
      <c r="Y613" s="1"/>
      <c r="AB613" s="1"/>
      <c r="AC613" s="1"/>
      <c r="AD613" s="1"/>
      <c r="AE613" s="1"/>
      <c r="AF613" s="1"/>
      <c r="AG613" s="1"/>
      <c r="AH613" s="1"/>
      <c r="AI613" s="1"/>
      <c r="AJ613" s="1"/>
      <c r="AK613" s="1"/>
      <c r="AL613" s="1"/>
      <c r="AM613" s="1"/>
    </row>
    <row r="614" spans="16:39" x14ac:dyDescent="0.25">
      <c r="P614" s="49"/>
      <c r="Q614" s="1"/>
      <c r="S614" s="1"/>
      <c r="T614" s="1"/>
      <c r="U614" s="1"/>
      <c r="V614" s="1"/>
      <c r="W614" s="1"/>
      <c r="X614" s="1"/>
      <c r="Y614" s="1"/>
      <c r="AB614" s="1"/>
      <c r="AC614" s="1"/>
      <c r="AD614" s="1"/>
      <c r="AE614" s="1"/>
      <c r="AF614" s="1"/>
      <c r="AG614" s="1"/>
      <c r="AH614" s="1"/>
      <c r="AI614" s="1"/>
      <c r="AJ614" s="1"/>
      <c r="AK614" s="1"/>
      <c r="AL614" s="1"/>
      <c r="AM614" s="1"/>
    </row>
    <row r="615" spans="16:39" x14ac:dyDescent="0.25">
      <c r="P615" s="49"/>
      <c r="Q615" s="1"/>
      <c r="S615" s="1"/>
      <c r="T615" s="1"/>
      <c r="U615" s="1"/>
      <c r="V615" s="1"/>
      <c r="W615" s="1"/>
      <c r="X615" s="1"/>
      <c r="Y615" s="1"/>
      <c r="AB615" s="1"/>
      <c r="AC615" s="1"/>
      <c r="AD615" s="1"/>
      <c r="AE615" s="1"/>
      <c r="AF615" s="1"/>
      <c r="AG615" s="1"/>
      <c r="AH615" s="1"/>
      <c r="AI615" s="1"/>
      <c r="AJ615" s="1"/>
      <c r="AK615" s="1"/>
      <c r="AL615" s="1"/>
      <c r="AM615" s="1"/>
    </row>
    <row r="616" spans="16:39" x14ac:dyDescent="0.25">
      <c r="P616" s="49"/>
      <c r="Q616" s="1"/>
      <c r="S616" s="1"/>
      <c r="T616" s="1"/>
      <c r="U616" s="1"/>
      <c r="V616" s="1"/>
      <c r="W616" s="1"/>
      <c r="X616" s="1"/>
      <c r="Y616" s="1"/>
      <c r="AB616" s="1"/>
      <c r="AC616" s="1"/>
      <c r="AD616" s="1"/>
      <c r="AE616" s="1"/>
      <c r="AF616" s="1"/>
      <c r="AG616" s="1"/>
      <c r="AH616" s="1"/>
      <c r="AI616" s="1"/>
      <c r="AJ616" s="1"/>
      <c r="AK616" s="1"/>
      <c r="AL616" s="1"/>
      <c r="AM616" s="1"/>
    </row>
    <row r="617" spans="16:39" x14ac:dyDescent="0.25">
      <c r="P617" s="49"/>
      <c r="Q617" s="1"/>
      <c r="S617" s="1"/>
      <c r="T617" s="1"/>
      <c r="U617" s="1"/>
      <c r="V617" s="1"/>
      <c r="W617" s="1"/>
      <c r="X617" s="1"/>
      <c r="Y617" s="1"/>
      <c r="AB617" s="1"/>
      <c r="AC617" s="1"/>
      <c r="AD617" s="1"/>
      <c r="AE617" s="1"/>
      <c r="AF617" s="1"/>
      <c r="AG617" s="1"/>
      <c r="AH617" s="1"/>
      <c r="AI617" s="1"/>
      <c r="AJ617" s="1"/>
      <c r="AK617" s="1"/>
      <c r="AL617" s="1"/>
      <c r="AM617" s="1"/>
    </row>
    <row r="618" spans="16:39" x14ac:dyDescent="0.25">
      <c r="P618" s="49"/>
      <c r="Q618" s="1"/>
      <c r="S618" s="1"/>
      <c r="T618" s="1"/>
      <c r="U618" s="1"/>
      <c r="V618" s="1"/>
      <c r="W618" s="1"/>
      <c r="X618" s="1"/>
      <c r="Y618" s="1"/>
      <c r="AB618" s="1"/>
      <c r="AC618" s="1"/>
      <c r="AD618" s="1"/>
      <c r="AE618" s="1"/>
      <c r="AF618" s="1"/>
      <c r="AG618" s="1"/>
      <c r="AH618" s="1"/>
      <c r="AI618" s="1"/>
      <c r="AJ618" s="1"/>
      <c r="AK618" s="1"/>
      <c r="AL618" s="1"/>
      <c r="AM618" s="1"/>
    </row>
    <row r="619" spans="16:39" x14ac:dyDescent="0.25">
      <c r="P619" s="49"/>
      <c r="Q619" s="1"/>
      <c r="S619" s="1"/>
      <c r="T619" s="1"/>
      <c r="U619" s="1"/>
      <c r="V619" s="1"/>
      <c r="W619" s="1"/>
      <c r="X619" s="1"/>
      <c r="Y619" s="1"/>
      <c r="AB619" s="1"/>
      <c r="AC619" s="1"/>
      <c r="AD619" s="1"/>
      <c r="AE619" s="1"/>
      <c r="AF619" s="1"/>
      <c r="AG619" s="1"/>
      <c r="AH619" s="1"/>
      <c r="AI619" s="1"/>
      <c r="AJ619" s="1"/>
      <c r="AK619" s="1"/>
      <c r="AL619" s="1"/>
      <c r="AM619" s="1"/>
    </row>
    <row r="620" spans="16:39" x14ac:dyDescent="0.25">
      <c r="P620" s="49"/>
      <c r="Q620" s="1"/>
      <c r="S620" s="1"/>
      <c r="T620" s="1"/>
      <c r="U620" s="1"/>
      <c r="V620" s="1"/>
      <c r="W620" s="1"/>
      <c r="X620" s="1"/>
      <c r="Y620" s="1"/>
      <c r="AB620" s="1"/>
      <c r="AC620" s="1"/>
      <c r="AD620" s="1"/>
      <c r="AE620" s="1"/>
      <c r="AF620" s="1"/>
      <c r="AG620" s="1"/>
      <c r="AH620" s="1"/>
      <c r="AI620" s="1"/>
      <c r="AJ620" s="1"/>
      <c r="AK620" s="1"/>
      <c r="AL620" s="1"/>
      <c r="AM620" s="1"/>
    </row>
    <row r="621" spans="16:39" x14ac:dyDescent="0.25">
      <c r="P621" s="49"/>
      <c r="Q621" s="1"/>
      <c r="S621" s="1"/>
      <c r="T621" s="1"/>
      <c r="U621" s="1"/>
      <c r="V621" s="1"/>
      <c r="W621" s="1"/>
      <c r="X621" s="1"/>
      <c r="Y621" s="1"/>
      <c r="AB621" s="1"/>
      <c r="AC621" s="1"/>
      <c r="AD621" s="1"/>
      <c r="AE621" s="1"/>
      <c r="AF621" s="1"/>
      <c r="AG621" s="1"/>
      <c r="AH621" s="1"/>
      <c r="AI621" s="1"/>
      <c r="AJ621" s="1"/>
      <c r="AK621" s="1"/>
      <c r="AL621" s="1"/>
      <c r="AM621" s="1"/>
    </row>
    <row r="622" spans="16:39" x14ac:dyDescent="0.25">
      <c r="P622" s="49"/>
      <c r="Q622" s="1"/>
      <c r="S622" s="1"/>
      <c r="T622" s="1"/>
      <c r="U622" s="1"/>
      <c r="V622" s="1"/>
      <c r="W622" s="1"/>
      <c r="X622" s="1"/>
      <c r="Y622" s="1"/>
      <c r="AB622" s="1"/>
      <c r="AC622" s="1"/>
      <c r="AD622" s="1"/>
      <c r="AE622" s="1"/>
      <c r="AF622" s="1"/>
      <c r="AG622" s="1"/>
      <c r="AH622" s="1"/>
      <c r="AI622" s="1"/>
      <c r="AJ622" s="1"/>
      <c r="AK622" s="1"/>
      <c r="AL622" s="1"/>
      <c r="AM622" s="1"/>
    </row>
    <row r="623" spans="16:39" x14ac:dyDescent="0.25">
      <c r="P623" s="49"/>
      <c r="Q623" s="1"/>
      <c r="S623" s="1"/>
      <c r="T623" s="1"/>
      <c r="U623" s="1"/>
      <c r="V623" s="1"/>
      <c r="W623" s="1"/>
      <c r="X623" s="1"/>
      <c r="Y623" s="1"/>
      <c r="AB623" s="1"/>
      <c r="AC623" s="1"/>
      <c r="AD623" s="1"/>
      <c r="AE623" s="1"/>
      <c r="AF623" s="1"/>
      <c r="AG623" s="1"/>
      <c r="AH623" s="1"/>
      <c r="AI623" s="1"/>
      <c r="AJ623" s="1"/>
      <c r="AK623" s="1"/>
      <c r="AL623" s="1"/>
      <c r="AM623" s="1"/>
    </row>
    <row r="624" spans="16:39" x14ac:dyDescent="0.25">
      <c r="P624" s="49"/>
      <c r="Q624" s="1"/>
      <c r="S624" s="1"/>
      <c r="T624" s="1"/>
      <c r="U624" s="1"/>
      <c r="V624" s="1"/>
      <c r="W624" s="1"/>
      <c r="X624" s="1"/>
      <c r="Y624" s="1"/>
      <c r="AB624" s="1"/>
      <c r="AC624" s="1"/>
      <c r="AD624" s="1"/>
      <c r="AE624" s="1"/>
      <c r="AF624" s="1"/>
      <c r="AG624" s="1"/>
      <c r="AH624" s="1"/>
      <c r="AI624" s="1"/>
      <c r="AJ624" s="1"/>
      <c r="AK624" s="1"/>
      <c r="AL624" s="1"/>
      <c r="AM624" s="1"/>
    </row>
    <row r="625" spans="16:39" x14ac:dyDescent="0.25">
      <c r="P625" s="49"/>
      <c r="Q625" s="1"/>
      <c r="S625" s="1"/>
      <c r="T625" s="1"/>
      <c r="U625" s="1"/>
      <c r="V625" s="1"/>
      <c r="W625" s="1"/>
      <c r="X625" s="1"/>
      <c r="Y625" s="1"/>
      <c r="AB625" s="1"/>
      <c r="AC625" s="1"/>
      <c r="AD625" s="1"/>
      <c r="AE625" s="1"/>
      <c r="AF625" s="1"/>
      <c r="AG625" s="1"/>
      <c r="AH625" s="1"/>
      <c r="AI625" s="1"/>
      <c r="AJ625" s="1"/>
      <c r="AK625" s="1"/>
      <c r="AL625" s="1"/>
      <c r="AM625" s="1"/>
    </row>
    <row r="626" spans="16:39" x14ac:dyDescent="0.25">
      <c r="P626" s="49"/>
      <c r="Q626" s="1"/>
      <c r="S626" s="1"/>
      <c r="T626" s="1"/>
      <c r="U626" s="1"/>
      <c r="V626" s="1"/>
      <c r="W626" s="1"/>
      <c r="X626" s="1"/>
      <c r="Y626" s="1"/>
      <c r="AB626" s="1"/>
      <c r="AC626" s="1"/>
      <c r="AD626" s="1"/>
      <c r="AE626" s="1"/>
      <c r="AF626" s="1"/>
      <c r="AG626" s="1"/>
      <c r="AH626" s="1"/>
      <c r="AI626" s="1"/>
      <c r="AJ626" s="1"/>
      <c r="AK626" s="1"/>
      <c r="AL626" s="1"/>
      <c r="AM626" s="1"/>
    </row>
    <row r="627" spans="16:39" x14ac:dyDescent="0.25">
      <c r="P627" s="49"/>
      <c r="Q627" s="1"/>
      <c r="S627" s="1"/>
      <c r="T627" s="1"/>
      <c r="U627" s="1"/>
      <c r="V627" s="1"/>
      <c r="W627" s="1"/>
      <c r="X627" s="1"/>
      <c r="Y627" s="1"/>
      <c r="AB627" s="1"/>
      <c r="AC627" s="1"/>
      <c r="AD627" s="1"/>
      <c r="AE627" s="1"/>
      <c r="AF627" s="1"/>
      <c r="AG627" s="1"/>
      <c r="AH627" s="1"/>
      <c r="AI627" s="1"/>
      <c r="AJ627" s="1"/>
      <c r="AK627" s="1"/>
      <c r="AL627" s="1"/>
      <c r="AM627" s="1"/>
    </row>
    <row r="628" spans="16:39" x14ac:dyDescent="0.25">
      <c r="P628" s="49"/>
      <c r="Q628" s="1"/>
      <c r="S628" s="1"/>
      <c r="T628" s="1"/>
      <c r="U628" s="1"/>
      <c r="V628" s="1"/>
      <c r="W628" s="1"/>
      <c r="X628" s="1"/>
      <c r="Y628" s="1"/>
      <c r="AB628" s="1"/>
      <c r="AC628" s="1"/>
      <c r="AD628" s="1"/>
      <c r="AE628" s="1"/>
      <c r="AF628" s="1"/>
      <c r="AG628" s="1"/>
      <c r="AH628" s="1"/>
      <c r="AI628" s="1"/>
      <c r="AJ628" s="1"/>
      <c r="AK628" s="1"/>
      <c r="AL628" s="1"/>
      <c r="AM628" s="1"/>
    </row>
    <row r="629" spans="16:39" x14ac:dyDescent="0.25">
      <c r="P629" s="49"/>
      <c r="Q629" s="1"/>
      <c r="S629" s="1"/>
      <c r="T629" s="1"/>
      <c r="U629" s="1"/>
      <c r="V629" s="1"/>
      <c r="W629" s="1"/>
      <c r="X629" s="1"/>
      <c r="Y629" s="1"/>
      <c r="AB629" s="1"/>
      <c r="AC629" s="1"/>
      <c r="AD629" s="1"/>
      <c r="AE629" s="1"/>
      <c r="AF629" s="1"/>
      <c r="AG629" s="1"/>
      <c r="AH629" s="1"/>
      <c r="AI629" s="1"/>
      <c r="AJ629" s="1"/>
      <c r="AK629" s="1"/>
      <c r="AL629" s="1"/>
      <c r="AM629" s="1"/>
    </row>
    <row r="630" spans="16:39" x14ac:dyDescent="0.25">
      <c r="P630" s="49"/>
      <c r="Q630" s="1"/>
      <c r="S630" s="1"/>
      <c r="T630" s="1"/>
      <c r="U630" s="1"/>
      <c r="V630" s="1"/>
      <c r="W630" s="1"/>
      <c r="X630" s="1"/>
      <c r="Y630" s="1"/>
      <c r="AB630" s="1"/>
      <c r="AC630" s="1"/>
      <c r="AD630" s="1"/>
      <c r="AE630" s="1"/>
      <c r="AF630" s="1"/>
      <c r="AG630" s="1"/>
      <c r="AH630" s="1"/>
      <c r="AI630" s="1"/>
      <c r="AJ630" s="1"/>
      <c r="AK630" s="1"/>
      <c r="AL630" s="1"/>
      <c r="AM630" s="1"/>
    </row>
    <row r="631" spans="16:39" x14ac:dyDescent="0.25">
      <c r="P631" s="49"/>
      <c r="Q631" s="1"/>
      <c r="S631" s="1"/>
      <c r="T631" s="1"/>
      <c r="U631" s="1"/>
      <c r="V631" s="1"/>
      <c r="W631" s="1"/>
      <c r="X631" s="1"/>
      <c r="Y631" s="1"/>
      <c r="AB631" s="1"/>
      <c r="AC631" s="1"/>
      <c r="AD631" s="1"/>
      <c r="AE631" s="1"/>
      <c r="AF631" s="1"/>
      <c r="AG631" s="1"/>
      <c r="AH631" s="1"/>
      <c r="AI631" s="1"/>
      <c r="AJ631" s="1"/>
      <c r="AK631" s="1"/>
      <c r="AL631" s="1"/>
      <c r="AM631" s="1"/>
    </row>
    <row r="632" spans="16:39" x14ac:dyDescent="0.25">
      <c r="P632" s="49"/>
      <c r="Q632" s="1"/>
      <c r="S632" s="1"/>
      <c r="T632" s="1"/>
      <c r="U632" s="1"/>
      <c r="V632" s="1"/>
      <c r="W632" s="1"/>
      <c r="X632" s="1"/>
      <c r="Y632" s="1"/>
      <c r="AB632" s="1"/>
      <c r="AC632" s="1"/>
      <c r="AD632" s="1"/>
      <c r="AE632" s="1"/>
      <c r="AF632" s="1"/>
      <c r="AG632" s="1"/>
      <c r="AH632" s="1"/>
      <c r="AI632" s="1"/>
      <c r="AJ632" s="1"/>
      <c r="AK632" s="1"/>
      <c r="AL632" s="1"/>
      <c r="AM632" s="1"/>
    </row>
    <row r="633" spans="16:39" x14ac:dyDescent="0.25">
      <c r="P633" s="49"/>
      <c r="Q633" s="1"/>
      <c r="S633" s="1"/>
      <c r="T633" s="1"/>
      <c r="U633" s="1"/>
      <c r="V633" s="1"/>
      <c r="W633" s="1"/>
      <c r="X633" s="1"/>
      <c r="Y633" s="1"/>
      <c r="AB633" s="1"/>
      <c r="AC633" s="1"/>
      <c r="AD633" s="1"/>
      <c r="AE633" s="1"/>
      <c r="AF633" s="1"/>
      <c r="AG633" s="1"/>
      <c r="AH633" s="1"/>
      <c r="AI633" s="1"/>
      <c r="AJ633" s="1"/>
      <c r="AK633" s="1"/>
      <c r="AL633" s="1"/>
      <c r="AM633" s="1"/>
    </row>
    <row r="634" spans="16:39" x14ac:dyDescent="0.25">
      <c r="P634" s="49"/>
      <c r="Q634" s="1"/>
      <c r="S634" s="1"/>
      <c r="T634" s="1"/>
      <c r="U634" s="1"/>
      <c r="V634" s="1"/>
      <c r="W634" s="1"/>
      <c r="X634" s="1"/>
      <c r="Y634" s="1"/>
      <c r="AB634" s="1"/>
      <c r="AC634" s="1"/>
      <c r="AD634" s="1"/>
      <c r="AE634" s="1"/>
      <c r="AF634" s="1"/>
      <c r="AG634" s="1"/>
      <c r="AH634" s="1"/>
      <c r="AI634" s="1"/>
      <c r="AJ634" s="1"/>
      <c r="AK634" s="1"/>
      <c r="AL634" s="1"/>
      <c r="AM634" s="1"/>
    </row>
    <row r="635" spans="16:39" x14ac:dyDescent="0.25">
      <c r="P635" s="49"/>
      <c r="Q635" s="1"/>
      <c r="S635" s="1"/>
      <c r="T635" s="1"/>
      <c r="U635" s="1"/>
      <c r="V635" s="1"/>
      <c r="W635" s="1"/>
      <c r="X635" s="1"/>
      <c r="Y635" s="1"/>
      <c r="AB635" s="1"/>
      <c r="AC635" s="1"/>
      <c r="AD635" s="1"/>
      <c r="AE635" s="1"/>
      <c r="AF635" s="1"/>
      <c r="AG635" s="1"/>
      <c r="AH635" s="1"/>
      <c r="AI635" s="1"/>
      <c r="AJ635" s="1"/>
      <c r="AK635" s="1"/>
      <c r="AL635" s="1"/>
      <c r="AM635" s="1"/>
    </row>
    <row r="636" spans="16:39" x14ac:dyDescent="0.25">
      <c r="P636" s="49"/>
      <c r="Q636" s="1"/>
      <c r="S636" s="1"/>
      <c r="T636" s="1"/>
      <c r="U636" s="1"/>
      <c r="V636" s="1"/>
      <c r="W636" s="1"/>
      <c r="X636" s="1"/>
      <c r="Y636" s="1"/>
      <c r="AB636" s="1"/>
      <c r="AC636" s="1"/>
      <c r="AD636" s="1"/>
      <c r="AE636" s="1"/>
      <c r="AF636" s="1"/>
      <c r="AG636" s="1"/>
      <c r="AH636" s="1"/>
      <c r="AI636" s="1"/>
      <c r="AJ636" s="1"/>
      <c r="AK636" s="1"/>
      <c r="AL636" s="1"/>
      <c r="AM636" s="1"/>
    </row>
    <row r="637" spans="16:39" x14ac:dyDescent="0.25">
      <c r="P637" s="49"/>
      <c r="Q637" s="1"/>
      <c r="S637" s="1"/>
      <c r="T637" s="1"/>
      <c r="U637" s="1"/>
      <c r="V637" s="1"/>
      <c r="W637" s="1"/>
      <c r="X637" s="1"/>
      <c r="Y637" s="1"/>
      <c r="AB637" s="1"/>
      <c r="AC637" s="1"/>
      <c r="AD637" s="1"/>
      <c r="AE637" s="1"/>
      <c r="AF637" s="1"/>
      <c r="AG637" s="1"/>
      <c r="AH637" s="1"/>
      <c r="AI637" s="1"/>
      <c r="AJ637" s="1"/>
      <c r="AK637" s="1"/>
      <c r="AL637" s="1"/>
      <c r="AM637" s="1"/>
    </row>
    <row r="638" spans="16:39" x14ac:dyDescent="0.25">
      <c r="P638" s="49"/>
      <c r="Q638" s="1"/>
      <c r="S638" s="1"/>
      <c r="T638" s="1"/>
      <c r="U638" s="1"/>
      <c r="V638" s="1"/>
      <c r="W638" s="1"/>
      <c r="X638" s="1"/>
      <c r="Y638" s="1"/>
      <c r="AB638" s="1"/>
      <c r="AC638" s="1"/>
      <c r="AD638" s="1"/>
      <c r="AE638" s="1"/>
      <c r="AF638" s="1"/>
      <c r="AG638" s="1"/>
      <c r="AH638" s="1"/>
      <c r="AI638" s="1"/>
      <c r="AJ638" s="1"/>
      <c r="AK638" s="1"/>
      <c r="AL638" s="1"/>
      <c r="AM638" s="1"/>
    </row>
    <row r="639" spans="16:39" x14ac:dyDescent="0.25">
      <c r="P639" s="49"/>
      <c r="Q639" s="1"/>
      <c r="S639" s="1"/>
      <c r="T639" s="1"/>
      <c r="U639" s="1"/>
      <c r="V639" s="1"/>
      <c r="W639" s="1"/>
      <c r="X639" s="1"/>
      <c r="Y639" s="1"/>
      <c r="AB639" s="1"/>
      <c r="AC639" s="1"/>
      <c r="AD639" s="1"/>
      <c r="AE639" s="1"/>
      <c r="AF639" s="1"/>
      <c r="AG639" s="1"/>
      <c r="AH639" s="1"/>
      <c r="AI639" s="1"/>
      <c r="AJ639" s="1"/>
      <c r="AK639" s="1"/>
      <c r="AL639" s="1"/>
      <c r="AM639" s="1"/>
    </row>
    <row r="640" spans="16:39" x14ac:dyDescent="0.25">
      <c r="P640" s="49"/>
      <c r="Q640" s="1"/>
      <c r="S640" s="1"/>
      <c r="T640" s="1"/>
      <c r="U640" s="1"/>
      <c r="V640" s="1"/>
      <c r="W640" s="1"/>
      <c r="X640" s="1"/>
      <c r="Y640" s="1"/>
      <c r="AB640" s="1"/>
      <c r="AC640" s="1"/>
      <c r="AD640" s="1"/>
      <c r="AE640" s="1"/>
      <c r="AF640" s="1"/>
      <c r="AG640" s="1"/>
      <c r="AH640" s="1"/>
      <c r="AI640" s="1"/>
      <c r="AJ640" s="1"/>
      <c r="AK640" s="1"/>
      <c r="AL640" s="1"/>
      <c r="AM640" s="1"/>
    </row>
    <row r="641" spans="16:39" x14ac:dyDescent="0.25">
      <c r="P641" s="49"/>
      <c r="Q641" s="1"/>
      <c r="S641" s="1"/>
      <c r="T641" s="1"/>
      <c r="U641" s="1"/>
      <c r="V641" s="1"/>
      <c r="W641" s="1"/>
      <c r="X641" s="1"/>
      <c r="Y641" s="1"/>
      <c r="AB641" s="1"/>
      <c r="AC641" s="1"/>
      <c r="AD641" s="1"/>
      <c r="AE641" s="1"/>
      <c r="AF641" s="1"/>
      <c r="AG641" s="1"/>
      <c r="AH641" s="1"/>
      <c r="AI641" s="1"/>
      <c r="AJ641" s="1"/>
      <c r="AK641" s="1"/>
      <c r="AL641" s="1"/>
      <c r="AM641" s="1"/>
    </row>
    <row r="642" spans="16:39" x14ac:dyDescent="0.25">
      <c r="P642" s="49"/>
      <c r="Q642" s="1"/>
      <c r="S642" s="1"/>
      <c r="T642" s="1"/>
      <c r="U642" s="1"/>
      <c r="V642" s="1"/>
      <c r="W642" s="1"/>
      <c r="X642" s="1"/>
      <c r="Y642" s="1"/>
      <c r="AB642" s="1"/>
      <c r="AC642" s="1"/>
      <c r="AD642" s="1"/>
      <c r="AE642" s="1"/>
      <c r="AF642" s="1"/>
      <c r="AG642" s="1"/>
      <c r="AH642" s="1"/>
      <c r="AI642" s="1"/>
      <c r="AJ642" s="1"/>
      <c r="AK642" s="1"/>
      <c r="AL642" s="1"/>
      <c r="AM642" s="1"/>
    </row>
    <row r="643" spans="16:39" x14ac:dyDescent="0.25">
      <c r="P643" s="49"/>
      <c r="Q643" s="1"/>
      <c r="S643" s="1"/>
      <c r="T643" s="1"/>
      <c r="U643" s="1"/>
      <c r="V643" s="1"/>
      <c r="W643" s="1"/>
      <c r="X643" s="1"/>
      <c r="Y643" s="1"/>
      <c r="AB643" s="1"/>
      <c r="AC643" s="1"/>
      <c r="AD643" s="1"/>
      <c r="AE643" s="1"/>
      <c r="AF643" s="1"/>
      <c r="AG643" s="1"/>
      <c r="AH643" s="1"/>
      <c r="AI643" s="1"/>
      <c r="AJ643" s="1"/>
      <c r="AK643" s="1"/>
      <c r="AL643" s="1"/>
      <c r="AM643" s="1"/>
    </row>
    <row r="644" spans="16:39" x14ac:dyDescent="0.25">
      <c r="P644" s="49"/>
      <c r="Q644" s="1"/>
      <c r="S644" s="1"/>
      <c r="T644" s="1"/>
      <c r="U644" s="1"/>
      <c r="V644" s="1"/>
      <c r="W644" s="1"/>
      <c r="X644" s="1"/>
      <c r="Y644" s="1"/>
      <c r="AB644" s="1"/>
      <c r="AC644" s="1"/>
      <c r="AD644" s="1"/>
      <c r="AE644" s="1"/>
      <c r="AF644" s="1"/>
      <c r="AG644" s="1"/>
      <c r="AH644" s="1"/>
      <c r="AI644" s="1"/>
      <c r="AJ644" s="1"/>
      <c r="AK644" s="1"/>
      <c r="AL644" s="1"/>
      <c r="AM644" s="1"/>
    </row>
    <row r="645" spans="16:39" x14ac:dyDescent="0.25">
      <c r="P645" s="49"/>
      <c r="Q645" s="1"/>
      <c r="S645" s="1"/>
      <c r="T645" s="1"/>
      <c r="U645" s="1"/>
      <c r="V645" s="1"/>
      <c r="W645" s="1"/>
      <c r="X645" s="1"/>
      <c r="Y645" s="1"/>
      <c r="AB645" s="1"/>
      <c r="AC645" s="1"/>
      <c r="AD645" s="1"/>
      <c r="AE645" s="1"/>
      <c r="AF645" s="1"/>
      <c r="AG645" s="1"/>
      <c r="AH645" s="1"/>
      <c r="AI645" s="1"/>
      <c r="AJ645" s="1"/>
      <c r="AK645" s="1"/>
      <c r="AL645" s="1"/>
      <c r="AM645" s="1"/>
    </row>
    <row r="646" spans="16:39" x14ac:dyDescent="0.25">
      <c r="P646" s="49"/>
      <c r="Q646" s="1"/>
      <c r="S646" s="1"/>
      <c r="T646" s="1"/>
      <c r="U646" s="1"/>
      <c r="V646" s="1"/>
      <c r="W646" s="1"/>
      <c r="X646" s="1"/>
      <c r="Y646" s="1"/>
      <c r="AB646" s="1"/>
      <c r="AC646" s="1"/>
      <c r="AD646" s="1"/>
      <c r="AE646" s="1"/>
      <c r="AF646" s="1"/>
      <c r="AG646" s="1"/>
      <c r="AH646" s="1"/>
      <c r="AI646" s="1"/>
      <c r="AJ646" s="1"/>
      <c r="AK646" s="1"/>
      <c r="AL646" s="1"/>
      <c r="AM646" s="1"/>
    </row>
    <row r="647" spans="16:39" x14ac:dyDescent="0.25">
      <c r="P647" s="49"/>
      <c r="Q647" s="1"/>
      <c r="S647" s="1"/>
      <c r="T647" s="1"/>
      <c r="U647" s="1"/>
      <c r="V647" s="1"/>
      <c r="W647" s="1"/>
      <c r="X647" s="1"/>
      <c r="Y647" s="1"/>
      <c r="AB647" s="1"/>
      <c r="AC647" s="1"/>
      <c r="AD647" s="1"/>
      <c r="AE647" s="1"/>
      <c r="AF647" s="1"/>
      <c r="AG647" s="1"/>
      <c r="AH647" s="1"/>
      <c r="AI647" s="1"/>
      <c r="AJ647" s="1"/>
      <c r="AK647" s="1"/>
      <c r="AL647" s="1"/>
      <c r="AM647" s="1"/>
    </row>
    <row r="648" spans="16:39" x14ac:dyDescent="0.25">
      <c r="P648" s="49"/>
      <c r="Q648" s="1"/>
      <c r="S648" s="1"/>
      <c r="T648" s="1"/>
      <c r="U648" s="1"/>
      <c r="V648" s="1"/>
      <c r="W648" s="1"/>
      <c r="X648" s="1"/>
      <c r="Y648" s="1"/>
      <c r="AB648" s="1"/>
      <c r="AC648" s="1"/>
      <c r="AD648" s="1"/>
      <c r="AE648" s="1"/>
      <c r="AF648" s="1"/>
      <c r="AG648" s="1"/>
      <c r="AH648" s="1"/>
      <c r="AI648" s="1"/>
      <c r="AJ648" s="1"/>
      <c r="AK648" s="1"/>
      <c r="AL648" s="1"/>
      <c r="AM648" s="1"/>
    </row>
    <row r="649" spans="16:39" x14ac:dyDescent="0.25">
      <c r="P649" s="49"/>
      <c r="Q649" s="1"/>
      <c r="S649" s="1"/>
      <c r="T649" s="1"/>
      <c r="U649" s="1"/>
      <c r="V649" s="1"/>
      <c r="W649" s="1"/>
      <c r="X649" s="1"/>
      <c r="Y649" s="1"/>
      <c r="AB649" s="1"/>
      <c r="AC649" s="1"/>
      <c r="AD649" s="1"/>
      <c r="AE649" s="1"/>
      <c r="AF649" s="1"/>
      <c r="AG649" s="1"/>
      <c r="AH649" s="1"/>
      <c r="AI649" s="1"/>
      <c r="AJ649" s="1"/>
      <c r="AK649" s="1"/>
      <c r="AL649" s="1"/>
      <c r="AM649" s="1"/>
    </row>
    <row r="650" spans="16:39" x14ac:dyDescent="0.25">
      <c r="P650" s="49"/>
      <c r="Q650" s="1"/>
      <c r="S650" s="1"/>
      <c r="T650" s="1"/>
      <c r="U650" s="1"/>
      <c r="V650" s="1"/>
      <c r="W650" s="1"/>
      <c r="X650" s="1"/>
      <c r="Y650" s="1"/>
      <c r="AB650" s="1"/>
      <c r="AC650" s="1"/>
      <c r="AD650" s="1"/>
      <c r="AE650" s="1"/>
      <c r="AF650" s="1"/>
      <c r="AG650" s="1"/>
      <c r="AH650" s="1"/>
      <c r="AI650" s="1"/>
      <c r="AJ650" s="1"/>
      <c r="AK650" s="1"/>
      <c r="AL650" s="1"/>
      <c r="AM650" s="1"/>
    </row>
    <row r="651" spans="16:39" x14ac:dyDescent="0.25">
      <c r="P651" s="49"/>
      <c r="Q651" s="1"/>
      <c r="S651" s="1"/>
      <c r="T651" s="1"/>
      <c r="U651" s="1"/>
      <c r="V651" s="1"/>
      <c r="W651" s="1"/>
      <c r="X651" s="1"/>
      <c r="Y651" s="1"/>
      <c r="AB651" s="1"/>
      <c r="AC651" s="1"/>
      <c r="AD651" s="1"/>
      <c r="AE651" s="1"/>
      <c r="AF651" s="1"/>
      <c r="AG651" s="1"/>
      <c r="AH651" s="1"/>
      <c r="AI651" s="1"/>
      <c r="AJ651" s="1"/>
      <c r="AK651" s="1"/>
      <c r="AL651" s="1"/>
      <c r="AM651" s="1"/>
    </row>
    <row r="652" spans="16:39" x14ac:dyDescent="0.25">
      <c r="P652" s="49"/>
      <c r="Q652" s="1"/>
      <c r="S652" s="1"/>
      <c r="T652" s="1"/>
      <c r="U652" s="1"/>
      <c r="V652" s="1"/>
      <c r="W652" s="1"/>
      <c r="X652" s="1"/>
      <c r="Y652" s="1"/>
      <c r="AB652" s="1"/>
      <c r="AC652" s="1"/>
      <c r="AD652" s="1"/>
      <c r="AE652" s="1"/>
      <c r="AF652" s="1"/>
      <c r="AG652" s="1"/>
      <c r="AH652" s="1"/>
      <c r="AI652" s="1"/>
      <c r="AJ652" s="1"/>
      <c r="AK652" s="1"/>
      <c r="AL652" s="1"/>
      <c r="AM652" s="1"/>
    </row>
    <row r="653" spans="16:39" x14ac:dyDescent="0.25">
      <c r="P653" s="49"/>
      <c r="Q653" s="1"/>
      <c r="S653" s="1"/>
      <c r="T653" s="1"/>
      <c r="U653" s="1"/>
      <c r="V653" s="1"/>
      <c r="W653" s="1"/>
      <c r="X653" s="1"/>
      <c r="Y653" s="1"/>
      <c r="AB653" s="1"/>
      <c r="AC653" s="1"/>
      <c r="AD653" s="1"/>
      <c r="AE653" s="1"/>
      <c r="AF653" s="1"/>
      <c r="AG653" s="1"/>
      <c r="AH653" s="1"/>
      <c r="AI653" s="1"/>
      <c r="AJ653" s="1"/>
      <c r="AK653" s="1"/>
      <c r="AL653" s="1"/>
      <c r="AM653" s="1"/>
    </row>
    <row r="654" spans="16:39" x14ac:dyDescent="0.25">
      <c r="P654" s="49"/>
      <c r="Q654" s="1"/>
      <c r="S654" s="1"/>
      <c r="T654" s="1"/>
      <c r="U654" s="1"/>
      <c r="V654" s="1"/>
      <c r="W654" s="1"/>
      <c r="X654" s="1"/>
      <c r="Y654" s="1"/>
      <c r="AB654" s="1"/>
      <c r="AC654" s="1"/>
      <c r="AD654" s="1"/>
      <c r="AE654" s="1"/>
      <c r="AF654" s="1"/>
      <c r="AG654" s="1"/>
      <c r="AH654" s="1"/>
      <c r="AI654" s="1"/>
      <c r="AJ654" s="1"/>
      <c r="AK654" s="1"/>
      <c r="AL654" s="1"/>
      <c r="AM654" s="1"/>
    </row>
    <row r="655" spans="16:39" x14ac:dyDescent="0.25">
      <c r="P655" s="49"/>
      <c r="Q655" s="1"/>
      <c r="S655" s="1"/>
      <c r="T655" s="1"/>
      <c r="U655" s="1"/>
      <c r="V655" s="1"/>
      <c r="W655" s="1"/>
      <c r="X655" s="1"/>
      <c r="Y655" s="1"/>
      <c r="AB655" s="1"/>
      <c r="AC655" s="1"/>
      <c r="AD655" s="1"/>
      <c r="AE655" s="1"/>
      <c r="AF655" s="1"/>
      <c r="AG655" s="1"/>
      <c r="AH655" s="1"/>
      <c r="AI655" s="1"/>
      <c r="AJ655" s="1"/>
      <c r="AK655" s="1"/>
      <c r="AL655" s="1"/>
      <c r="AM655" s="1"/>
    </row>
    <row r="656" spans="16:39" x14ac:dyDescent="0.25">
      <c r="P656" s="49"/>
      <c r="Q656" s="1"/>
      <c r="S656" s="1"/>
      <c r="T656" s="1"/>
      <c r="U656" s="1"/>
      <c r="V656" s="1"/>
      <c r="W656" s="1"/>
      <c r="X656" s="1"/>
      <c r="Y656" s="1"/>
      <c r="AB656" s="1"/>
      <c r="AC656" s="1"/>
      <c r="AD656" s="1"/>
      <c r="AE656" s="1"/>
      <c r="AF656" s="1"/>
      <c r="AG656" s="1"/>
      <c r="AH656" s="1"/>
      <c r="AI656" s="1"/>
      <c r="AJ656" s="1"/>
      <c r="AK656" s="1"/>
      <c r="AL656" s="1"/>
      <c r="AM656" s="1"/>
    </row>
    <row r="657" spans="16:39" x14ac:dyDescent="0.25">
      <c r="P657" s="49"/>
      <c r="Q657" s="1"/>
      <c r="S657" s="1"/>
      <c r="T657" s="1"/>
      <c r="U657" s="1"/>
      <c r="V657" s="1"/>
      <c r="W657" s="1"/>
      <c r="X657" s="1"/>
      <c r="Y657" s="1"/>
      <c r="AB657" s="1"/>
      <c r="AC657" s="1"/>
      <c r="AD657" s="1"/>
      <c r="AE657" s="1"/>
      <c r="AF657" s="1"/>
      <c r="AG657" s="1"/>
      <c r="AH657" s="1"/>
      <c r="AI657" s="1"/>
      <c r="AJ657" s="1"/>
      <c r="AK657" s="1"/>
      <c r="AL657" s="1"/>
      <c r="AM657" s="1"/>
    </row>
    <row r="658" spans="16:39" x14ac:dyDescent="0.25">
      <c r="P658" s="49"/>
      <c r="Q658" s="1"/>
      <c r="S658" s="1"/>
      <c r="T658" s="1"/>
      <c r="U658" s="1"/>
      <c r="V658" s="1"/>
      <c r="W658" s="1"/>
      <c r="X658" s="1"/>
      <c r="Y658" s="1"/>
      <c r="AB658" s="1"/>
      <c r="AC658" s="1"/>
      <c r="AD658" s="1"/>
      <c r="AE658" s="1"/>
      <c r="AF658" s="1"/>
      <c r="AG658" s="1"/>
      <c r="AH658" s="1"/>
      <c r="AI658" s="1"/>
      <c r="AJ658" s="1"/>
      <c r="AK658" s="1"/>
      <c r="AL658" s="1"/>
      <c r="AM658" s="1"/>
    </row>
    <row r="659" spans="16:39" x14ac:dyDescent="0.25">
      <c r="P659" s="49"/>
      <c r="Q659" s="1"/>
      <c r="S659" s="1"/>
      <c r="T659" s="1"/>
      <c r="U659" s="1"/>
      <c r="V659" s="1"/>
      <c r="W659" s="1"/>
      <c r="X659" s="1"/>
      <c r="Y659" s="1"/>
      <c r="AB659" s="1"/>
      <c r="AC659" s="1"/>
      <c r="AD659" s="1"/>
      <c r="AE659" s="1"/>
      <c r="AF659" s="1"/>
      <c r="AG659" s="1"/>
      <c r="AH659" s="1"/>
      <c r="AI659" s="1"/>
      <c r="AJ659" s="1"/>
      <c r="AK659" s="1"/>
      <c r="AL659" s="1"/>
      <c r="AM659" s="1"/>
    </row>
    <row r="660" spans="16:39" x14ac:dyDescent="0.25">
      <c r="P660" s="49"/>
      <c r="Q660" s="1"/>
      <c r="S660" s="1"/>
      <c r="T660" s="1"/>
      <c r="U660" s="1"/>
      <c r="V660" s="1"/>
      <c r="W660" s="1"/>
      <c r="X660" s="1"/>
      <c r="Y660" s="1"/>
      <c r="AB660" s="1"/>
      <c r="AC660" s="1"/>
      <c r="AD660" s="1"/>
      <c r="AE660" s="1"/>
      <c r="AF660" s="1"/>
      <c r="AG660" s="1"/>
      <c r="AH660" s="1"/>
      <c r="AI660" s="1"/>
      <c r="AJ660" s="1"/>
      <c r="AK660" s="1"/>
      <c r="AL660" s="1"/>
      <c r="AM660" s="1"/>
    </row>
    <row r="661" spans="16:39" x14ac:dyDescent="0.25">
      <c r="P661" s="49"/>
      <c r="Q661" s="1"/>
      <c r="S661" s="1"/>
      <c r="T661" s="1"/>
      <c r="U661" s="1"/>
      <c r="V661" s="1"/>
      <c r="W661" s="1"/>
      <c r="X661" s="1"/>
      <c r="Y661" s="1"/>
      <c r="AB661" s="1"/>
      <c r="AC661" s="1"/>
      <c r="AD661" s="1"/>
      <c r="AE661" s="1"/>
      <c r="AF661" s="1"/>
      <c r="AG661" s="1"/>
      <c r="AH661" s="1"/>
      <c r="AI661" s="1"/>
      <c r="AJ661" s="1"/>
      <c r="AK661" s="1"/>
      <c r="AL661" s="1"/>
      <c r="AM661" s="1"/>
    </row>
    <row r="662" spans="16:39" x14ac:dyDescent="0.25">
      <c r="P662" s="49"/>
      <c r="Q662" s="1"/>
      <c r="S662" s="1"/>
      <c r="T662" s="1"/>
      <c r="U662" s="1"/>
      <c r="V662" s="1"/>
      <c r="W662" s="1"/>
      <c r="X662" s="1"/>
      <c r="Y662" s="1"/>
      <c r="AB662" s="1"/>
      <c r="AC662" s="1"/>
      <c r="AD662" s="1"/>
      <c r="AE662" s="1"/>
      <c r="AF662" s="1"/>
      <c r="AG662" s="1"/>
      <c r="AH662" s="1"/>
      <c r="AI662" s="1"/>
      <c r="AJ662" s="1"/>
      <c r="AK662" s="1"/>
      <c r="AL662" s="1"/>
      <c r="AM662" s="1"/>
    </row>
    <row r="663" spans="16:39" x14ac:dyDescent="0.25">
      <c r="P663" s="49"/>
      <c r="Q663" s="1"/>
      <c r="S663" s="1"/>
      <c r="T663" s="1"/>
      <c r="U663" s="1"/>
      <c r="V663" s="1"/>
      <c r="W663" s="1"/>
      <c r="X663" s="1"/>
      <c r="Y663" s="1"/>
      <c r="AB663" s="1"/>
      <c r="AC663" s="1"/>
      <c r="AD663" s="1"/>
      <c r="AE663" s="1"/>
      <c r="AF663" s="1"/>
      <c r="AG663" s="1"/>
      <c r="AH663" s="1"/>
      <c r="AI663" s="1"/>
      <c r="AJ663" s="1"/>
      <c r="AK663" s="1"/>
      <c r="AL663" s="1"/>
      <c r="AM663" s="1"/>
    </row>
    <row r="664" spans="16:39" x14ac:dyDescent="0.25">
      <c r="P664" s="49"/>
      <c r="Q664" s="1"/>
      <c r="S664" s="1"/>
      <c r="T664" s="1"/>
      <c r="U664" s="1"/>
      <c r="V664" s="1"/>
      <c r="W664" s="1"/>
      <c r="X664" s="1"/>
      <c r="Y664" s="1"/>
      <c r="AB664" s="1"/>
      <c r="AC664" s="1"/>
      <c r="AD664" s="1"/>
      <c r="AE664" s="1"/>
      <c r="AF664" s="1"/>
      <c r="AG664" s="1"/>
      <c r="AH664" s="1"/>
      <c r="AI664" s="1"/>
      <c r="AJ664" s="1"/>
      <c r="AK664" s="1"/>
      <c r="AL664" s="1"/>
      <c r="AM664" s="1"/>
    </row>
    <row r="665" spans="16:39" x14ac:dyDescent="0.25">
      <c r="P665" s="49"/>
      <c r="Q665" s="1"/>
      <c r="S665" s="1"/>
      <c r="T665" s="1"/>
      <c r="U665" s="1"/>
      <c r="V665" s="1"/>
      <c r="W665" s="1"/>
      <c r="X665" s="1"/>
      <c r="Y665" s="1"/>
      <c r="AB665" s="1"/>
      <c r="AC665" s="1"/>
      <c r="AD665" s="1"/>
      <c r="AE665" s="1"/>
      <c r="AF665" s="1"/>
      <c r="AG665" s="1"/>
      <c r="AH665" s="1"/>
      <c r="AI665" s="1"/>
      <c r="AJ665" s="1"/>
      <c r="AK665" s="1"/>
      <c r="AL665" s="1"/>
      <c r="AM665" s="1"/>
    </row>
    <row r="666" spans="16:39" x14ac:dyDescent="0.25">
      <c r="P666" s="49"/>
      <c r="Q666" s="1"/>
      <c r="S666" s="1"/>
      <c r="T666" s="1"/>
      <c r="U666" s="1"/>
      <c r="V666" s="1"/>
      <c r="W666" s="1"/>
      <c r="X666" s="1"/>
      <c r="Y666" s="1"/>
      <c r="AB666" s="1"/>
      <c r="AC666" s="1"/>
      <c r="AD666" s="1"/>
      <c r="AE666" s="1"/>
      <c r="AF666" s="1"/>
      <c r="AG666" s="1"/>
      <c r="AH666" s="1"/>
      <c r="AI666" s="1"/>
      <c r="AJ666" s="1"/>
      <c r="AK666" s="1"/>
      <c r="AL666" s="1"/>
      <c r="AM666" s="1"/>
    </row>
    <row r="667" spans="16:39" x14ac:dyDescent="0.25">
      <c r="P667" s="49"/>
      <c r="Q667" s="1"/>
      <c r="S667" s="1"/>
      <c r="T667" s="1"/>
      <c r="U667" s="1"/>
      <c r="V667" s="1"/>
      <c r="W667" s="1"/>
      <c r="X667" s="1"/>
      <c r="Y667" s="1"/>
      <c r="AB667" s="1"/>
      <c r="AC667" s="1"/>
      <c r="AD667" s="1"/>
      <c r="AE667" s="1"/>
      <c r="AF667" s="1"/>
      <c r="AG667" s="1"/>
      <c r="AH667" s="1"/>
      <c r="AI667" s="1"/>
      <c r="AJ667" s="1"/>
      <c r="AK667" s="1"/>
      <c r="AL667" s="1"/>
      <c r="AM667" s="1"/>
    </row>
    <row r="668" spans="16:39" x14ac:dyDescent="0.25">
      <c r="P668" s="49"/>
      <c r="Q668" s="1"/>
      <c r="S668" s="1"/>
      <c r="T668" s="1"/>
      <c r="U668" s="1"/>
      <c r="V668" s="1"/>
      <c r="W668" s="1"/>
      <c r="X668" s="1"/>
      <c r="Y668" s="1"/>
      <c r="AB668" s="1"/>
      <c r="AC668" s="1"/>
      <c r="AD668" s="1"/>
      <c r="AE668" s="1"/>
      <c r="AF668" s="1"/>
      <c r="AG668" s="1"/>
      <c r="AH668" s="1"/>
      <c r="AI668" s="1"/>
      <c r="AJ668" s="1"/>
      <c r="AK668" s="1"/>
      <c r="AL668" s="1"/>
      <c r="AM668" s="1"/>
    </row>
    <row r="669" spans="16:39" x14ac:dyDescent="0.25">
      <c r="P669" s="49"/>
      <c r="Q669" s="1"/>
      <c r="S669" s="1"/>
      <c r="T669" s="1"/>
      <c r="U669" s="1"/>
      <c r="V669" s="1"/>
      <c r="W669" s="1"/>
      <c r="X669" s="1"/>
      <c r="Y669" s="1"/>
      <c r="AB669" s="1"/>
      <c r="AC669" s="1"/>
      <c r="AD669" s="1"/>
      <c r="AE669" s="1"/>
      <c r="AF669" s="1"/>
      <c r="AG669" s="1"/>
      <c r="AH669" s="1"/>
      <c r="AI669" s="1"/>
      <c r="AJ669" s="1"/>
      <c r="AK669" s="1"/>
      <c r="AL669" s="1"/>
      <c r="AM669" s="1"/>
    </row>
    <row r="670" spans="16:39" x14ac:dyDescent="0.25">
      <c r="P670" s="49"/>
      <c r="Q670" s="1"/>
      <c r="S670" s="1"/>
      <c r="T670" s="1"/>
      <c r="U670" s="1"/>
      <c r="V670" s="1"/>
      <c r="W670" s="1"/>
      <c r="X670" s="1"/>
      <c r="Y670" s="1"/>
      <c r="AB670" s="1"/>
      <c r="AC670" s="1"/>
      <c r="AD670" s="1"/>
      <c r="AE670" s="1"/>
      <c r="AF670" s="1"/>
      <c r="AG670" s="1"/>
      <c r="AH670" s="1"/>
      <c r="AI670" s="1"/>
      <c r="AJ670" s="1"/>
      <c r="AK670" s="1"/>
      <c r="AL670" s="1"/>
      <c r="AM670" s="1"/>
    </row>
    <row r="671" spans="16:39" x14ac:dyDescent="0.25">
      <c r="P671" s="49"/>
      <c r="Q671" s="1"/>
      <c r="S671" s="1"/>
      <c r="T671" s="1"/>
      <c r="U671" s="1"/>
      <c r="V671" s="1"/>
      <c r="W671" s="1"/>
      <c r="X671" s="1"/>
      <c r="Y671" s="1"/>
      <c r="AB671" s="1"/>
      <c r="AC671" s="1"/>
      <c r="AD671" s="1"/>
      <c r="AE671" s="1"/>
      <c r="AF671" s="1"/>
      <c r="AG671" s="1"/>
      <c r="AH671" s="1"/>
      <c r="AI671" s="1"/>
      <c r="AJ671" s="1"/>
      <c r="AK671" s="1"/>
      <c r="AL671" s="1"/>
      <c r="AM671" s="1"/>
    </row>
    <row r="672" spans="16:39" x14ac:dyDescent="0.25">
      <c r="P672" s="49"/>
      <c r="Q672" s="1"/>
      <c r="S672" s="1"/>
      <c r="T672" s="1"/>
      <c r="U672" s="1"/>
      <c r="V672" s="1"/>
      <c r="W672" s="1"/>
      <c r="X672" s="1"/>
      <c r="Y672" s="1"/>
      <c r="AB672" s="1"/>
      <c r="AC672" s="1"/>
      <c r="AD672" s="1"/>
      <c r="AE672" s="1"/>
      <c r="AF672" s="1"/>
      <c r="AG672" s="1"/>
      <c r="AH672" s="1"/>
      <c r="AI672" s="1"/>
      <c r="AJ672" s="1"/>
      <c r="AK672" s="1"/>
      <c r="AL672" s="1"/>
      <c r="AM672" s="1"/>
    </row>
    <row r="673" spans="16:39" x14ac:dyDescent="0.25">
      <c r="P673" s="49"/>
      <c r="Q673" s="1"/>
      <c r="S673" s="1"/>
      <c r="T673" s="1"/>
      <c r="U673" s="1"/>
      <c r="V673" s="1"/>
      <c r="W673" s="1"/>
      <c r="X673" s="1"/>
      <c r="Y673" s="1"/>
      <c r="AB673" s="1"/>
      <c r="AC673" s="1"/>
      <c r="AD673" s="1"/>
      <c r="AE673" s="1"/>
      <c r="AF673" s="1"/>
      <c r="AG673" s="1"/>
      <c r="AH673" s="1"/>
      <c r="AI673" s="1"/>
      <c r="AJ673" s="1"/>
      <c r="AK673" s="1"/>
      <c r="AL673" s="1"/>
      <c r="AM673" s="1"/>
    </row>
    <row r="674" spans="16:39" x14ac:dyDescent="0.25">
      <c r="P674" s="49"/>
      <c r="Q674" s="1"/>
      <c r="S674" s="1"/>
      <c r="T674" s="1"/>
      <c r="U674" s="1"/>
      <c r="V674" s="1"/>
      <c r="W674" s="1"/>
      <c r="X674" s="1"/>
      <c r="Y674" s="1"/>
      <c r="AB674" s="1"/>
      <c r="AC674" s="1"/>
      <c r="AD674" s="1"/>
      <c r="AE674" s="1"/>
      <c r="AF674" s="1"/>
      <c r="AG674" s="1"/>
      <c r="AH674" s="1"/>
      <c r="AI674" s="1"/>
      <c r="AJ674" s="1"/>
      <c r="AK674" s="1"/>
      <c r="AL674" s="1"/>
      <c r="AM674" s="1"/>
    </row>
    <row r="675" spans="16:39" x14ac:dyDescent="0.25">
      <c r="P675" s="49"/>
      <c r="Q675" s="1"/>
      <c r="S675" s="1"/>
      <c r="T675" s="1"/>
      <c r="U675" s="1"/>
      <c r="V675" s="1"/>
      <c r="W675" s="1"/>
      <c r="X675" s="1"/>
      <c r="Y675" s="1"/>
      <c r="AB675" s="1"/>
      <c r="AC675" s="1"/>
      <c r="AD675" s="1"/>
      <c r="AE675" s="1"/>
      <c r="AF675" s="1"/>
      <c r="AG675" s="1"/>
      <c r="AH675" s="1"/>
      <c r="AI675" s="1"/>
      <c r="AJ675" s="1"/>
      <c r="AK675" s="1"/>
      <c r="AL675" s="1"/>
      <c r="AM675" s="1"/>
    </row>
    <row r="676" spans="16:39" x14ac:dyDescent="0.25">
      <c r="P676" s="49"/>
      <c r="Q676" s="1"/>
      <c r="S676" s="1"/>
      <c r="T676" s="1"/>
      <c r="U676" s="1"/>
      <c r="V676" s="1"/>
      <c r="W676" s="1"/>
      <c r="X676" s="1"/>
      <c r="Y676" s="1"/>
      <c r="AB676" s="1"/>
      <c r="AC676" s="1"/>
      <c r="AD676" s="1"/>
      <c r="AE676" s="1"/>
      <c r="AF676" s="1"/>
      <c r="AG676" s="1"/>
      <c r="AH676" s="1"/>
      <c r="AI676" s="1"/>
      <c r="AJ676" s="1"/>
      <c r="AK676" s="1"/>
      <c r="AL676" s="1"/>
      <c r="AM676" s="1"/>
    </row>
    <row r="677" spans="16:39" x14ac:dyDescent="0.25">
      <c r="P677" s="49"/>
      <c r="Q677" s="1"/>
      <c r="S677" s="1"/>
      <c r="T677" s="1"/>
      <c r="U677" s="1"/>
      <c r="V677" s="1"/>
      <c r="W677" s="1"/>
      <c r="X677" s="1"/>
      <c r="Y677" s="1"/>
      <c r="AB677" s="1"/>
      <c r="AC677" s="1"/>
      <c r="AD677" s="1"/>
      <c r="AE677" s="1"/>
      <c r="AF677" s="1"/>
      <c r="AG677" s="1"/>
      <c r="AH677" s="1"/>
      <c r="AI677" s="1"/>
      <c r="AJ677" s="1"/>
      <c r="AK677" s="1"/>
      <c r="AL677" s="1"/>
      <c r="AM677" s="1"/>
    </row>
    <row r="678" spans="16:39" x14ac:dyDescent="0.25">
      <c r="P678" s="49"/>
      <c r="Q678" s="1"/>
      <c r="S678" s="1"/>
      <c r="T678" s="1"/>
      <c r="U678" s="1"/>
      <c r="V678" s="1"/>
      <c r="W678" s="1"/>
      <c r="X678" s="1"/>
      <c r="Y678" s="1"/>
      <c r="AB678" s="1"/>
      <c r="AC678" s="1"/>
      <c r="AD678" s="1"/>
      <c r="AE678" s="1"/>
      <c r="AF678" s="1"/>
      <c r="AG678" s="1"/>
      <c r="AH678" s="1"/>
      <c r="AI678" s="1"/>
      <c r="AJ678" s="1"/>
      <c r="AK678" s="1"/>
      <c r="AL678" s="1"/>
      <c r="AM678" s="1"/>
    </row>
    <row r="679" spans="16:39" x14ac:dyDescent="0.25">
      <c r="P679" s="49"/>
      <c r="Q679" s="1"/>
      <c r="S679" s="1"/>
      <c r="T679" s="1"/>
      <c r="U679" s="1"/>
      <c r="V679" s="1"/>
      <c r="W679" s="1"/>
      <c r="X679" s="1"/>
      <c r="Y679" s="1"/>
      <c r="AB679" s="1"/>
      <c r="AC679" s="1"/>
      <c r="AD679" s="1"/>
      <c r="AE679" s="1"/>
      <c r="AF679" s="1"/>
      <c r="AG679" s="1"/>
      <c r="AH679" s="1"/>
      <c r="AI679" s="1"/>
      <c r="AJ679" s="1"/>
      <c r="AK679" s="1"/>
      <c r="AL679" s="1"/>
      <c r="AM679" s="1"/>
    </row>
    <row r="680" spans="16:39" x14ac:dyDescent="0.25">
      <c r="P680" s="49"/>
      <c r="Q680" s="1"/>
      <c r="S680" s="1"/>
      <c r="T680" s="1"/>
      <c r="U680" s="1"/>
      <c r="V680" s="1"/>
      <c r="W680" s="1"/>
      <c r="X680" s="1"/>
      <c r="Y680" s="1"/>
      <c r="AB680" s="1"/>
      <c r="AC680" s="1"/>
      <c r="AD680" s="1"/>
      <c r="AE680" s="1"/>
      <c r="AF680" s="1"/>
      <c r="AG680" s="1"/>
      <c r="AH680" s="1"/>
      <c r="AI680" s="1"/>
      <c r="AJ680" s="1"/>
      <c r="AK680" s="1"/>
      <c r="AL680" s="1"/>
      <c r="AM680" s="1"/>
    </row>
    <row r="681" spans="16:39" x14ac:dyDescent="0.25">
      <c r="P681" s="49"/>
      <c r="Q681" s="1"/>
      <c r="S681" s="1"/>
      <c r="T681" s="1"/>
      <c r="U681" s="1"/>
      <c r="V681" s="1"/>
      <c r="W681" s="1"/>
      <c r="X681" s="1"/>
      <c r="Y681" s="1"/>
      <c r="AB681" s="1"/>
      <c r="AC681" s="1"/>
      <c r="AD681" s="1"/>
      <c r="AE681" s="1"/>
      <c r="AF681" s="1"/>
      <c r="AG681" s="1"/>
      <c r="AH681" s="1"/>
      <c r="AI681" s="1"/>
      <c r="AJ681" s="1"/>
      <c r="AK681" s="1"/>
      <c r="AL681" s="1"/>
      <c r="AM681" s="1"/>
    </row>
    <row r="682" spans="16:39" x14ac:dyDescent="0.25">
      <c r="P682" s="49"/>
      <c r="Q682" s="1"/>
      <c r="S682" s="1"/>
      <c r="T682" s="1"/>
      <c r="U682" s="1"/>
      <c r="V682" s="1"/>
      <c r="W682" s="1"/>
      <c r="X682" s="1"/>
      <c r="Y682" s="1"/>
      <c r="AB682" s="1"/>
      <c r="AC682" s="1"/>
      <c r="AD682" s="1"/>
      <c r="AE682" s="1"/>
      <c r="AF682" s="1"/>
      <c r="AG682" s="1"/>
      <c r="AH682" s="1"/>
      <c r="AI682" s="1"/>
      <c r="AJ682" s="1"/>
      <c r="AK682" s="1"/>
      <c r="AL682" s="1"/>
      <c r="AM682" s="1"/>
    </row>
    <row r="683" spans="16:39" x14ac:dyDescent="0.25">
      <c r="P683" s="49"/>
      <c r="Q683" s="1"/>
      <c r="S683" s="1"/>
      <c r="T683" s="1"/>
      <c r="U683" s="1"/>
      <c r="V683" s="1"/>
      <c r="W683" s="1"/>
      <c r="X683" s="1"/>
      <c r="Y683" s="1"/>
      <c r="AB683" s="1"/>
      <c r="AC683" s="1"/>
      <c r="AD683" s="1"/>
      <c r="AE683" s="1"/>
      <c r="AF683" s="1"/>
      <c r="AG683" s="1"/>
      <c r="AH683" s="1"/>
      <c r="AI683" s="1"/>
      <c r="AJ683" s="1"/>
      <c r="AK683" s="1"/>
      <c r="AL683" s="1"/>
      <c r="AM683" s="1"/>
    </row>
    <row r="684" spans="16:39" x14ac:dyDescent="0.25">
      <c r="P684" s="49"/>
      <c r="Q684" s="1"/>
      <c r="S684" s="1"/>
      <c r="T684" s="1"/>
      <c r="U684" s="1"/>
      <c r="V684" s="1"/>
      <c r="W684" s="1"/>
      <c r="X684" s="1"/>
      <c r="Y684" s="1"/>
      <c r="AB684" s="1"/>
      <c r="AC684" s="1"/>
      <c r="AD684" s="1"/>
      <c r="AE684" s="1"/>
      <c r="AF684" s="1"/>
      <c r="AG684" s="1"/>
      <c r="AH684" s="1"/>
      <c r="AI684" s="1"/>
      <c r="AJ684" s="1"/>
      <c r="AK684" s="1"/>
      <c r="AL684" s="1"/>
      <c r="AM684" s="1"/>
    </row>
    <row r="685" spans="16:39" x14ac:dyDescent="0.25">
      <c r="P685" s="49"/>
      <c r="Q685" s="1"/>
      <c r="S685" s="1"/>
      <c r="T685" s="1"/>
      <c r="U685" s="1"/>
      <c r="V685" s="1"/>
      <c r="W685" s="1"/>
      <c r="X685" s="1"/>
      <c r="Y685" s="1"/>
      <c r="AB685" s="1"/>
      <c r="AC685" s="1"/>
      <c r="AD685" s="1"/>
      <c r="AE685" s="1"/>
      <c r="AF685" s="1"/>
      <c r="AG685" s="1"/>
      <c r="AH685" s="1"/>
      <c r="AI685" s="1"/>
      <c r="AJ685" s="1"/>
      <c r="AK685" s="1"/>
      <c r="AL685" s="1"/>
      <c r="AM685" s="1"/>
    </row>
    <row r="686" spans="16:39" x14ac:dyDescent="0.25">
      <c r="P686" s="49"/>
      <c r="Q686" s="1"/>
      <c r="S686" s="1"/>
      <c r="T686" s="1"/>
      <c r="U686" s="1"/>
      <c r="V686" s="1"/>
      <c r="W686" s="1"/>
      <c r="X686" s="1"/>
      <c r="Y686" s="1"/>
      <c r="AB686" s="1"/>
      <c r="AC686" s="1"/>
      <c r="AD686" s="1"/>
      <c r="AE686" s="1"/>
      <c r="AF686" s="1"/>
      <c r="AG686" s="1"/>
      <c r="AH686" s="1"/>
      <c r="AI686" s="1"/>
      <c r="AJ686" s="1"/>
      <c r="AK686" s="1"/>
      <c r="AL686" s="1"/>
      <c r="AM686" s="1"/>
    </row>
    <row r="687" spans="16:39" x14ac:dyDescent="0.25">
      <c r="P687" s="49"/>
      <c r="Q687" s="1"/>
      <c r="S687" s="1"/>
      <c r="T687" s="1"/>
      <c r="U687" s="1"/>
      <c r="V687" s="1"/>
      <c r="W687" s="1"/>
      <c r="X687" s="1"/>
      <c r="Y687" s="1"/>
      <c r="AB687" s="1"/>
      <c r="AC687" s="1"/>
      <c r="AD687" s="1"/>
      <c r="AE687" s="1"/>
      <c r="AF687" s="1"/>
      <c r="AG687" s="1"/>
      <c r="AH687" s="1"/>
      <c r="AI687" s="1"/>
      <c r="AJ687" s="1"/>
      <c r="AK687" s="1"/>
      <c r="AL687" s="1"/>
      <c r="AM687" s="1"/>
    </row>
    <row r="688" spans="16:39" x14ac:dyDescent="0.25">
      <c r="P688" s="49"/>
      <c r="Q688" s="1"/>
      <c r="S688" s="1"/>
      <c r="T688" s="1"/>
      <c r="U688" s="1"/>
      <c r="V688" s="1"/>
      <c r="W688" s="1"/>
      <c r="X688" s="1"/>
      <c r="Y688" s="1"/>
      <c r="AB688" s="1"/>
      <c r="AC688" s="1"/>
      <c r="AD688" s="1"/>
      <c r="AE688" s="1"/>
      <c r="AF688" s="1"/>
      <c r="AG688" s="1"/>
      <c r="AH688" s="1"/>
      <c r="AI688" s="1"/>
      <c r="AJ688" s="1"/>
      <c r="AK688" s="1"/>
      <c r="AL688" s="1"/>
      <c r="AM688" s="1"/>
    </row>
    <row r="689" spans="16:39" x14ac:dyDescent="0.25">
      <c r="P689" s="49"/>
      <c r="Q689" s="1"/>
      <c r="S689" s="1"/>
      <c r="T689" s="1"/>
      <c r="U689" s="1"/>
      <c r="V689" s="1"/>
      <c r="W689" s="1"/>
      <c r="X689" s="1"/>
      <c r="Y689" s="1"/>
      <c r="AB689" s="1"/>
      <c r="AC689" s="1"/>
      <c r="AD689" s="1"/>
      <c r="AE689" s="1"/>
      <c r="AF689" s="1"/>
      <c r="AG689" s="1"/>
      <c r="AH689" s="1"/>
      <c r="AI689" s="1"/>
      <c r="AJ689" s="1"/>
      <c r="AK689" s="1"/>
      <c r="AL689" s="1"/>
      <c r="AM689" s="1"/>
    </row>
    <row r="690" spans="16:39" x14ac:dyDescent="0.25">
      <c r="P690" s="49"/>
      <c r="Q690" s="1"/>
      <c r="S690" s="1"/>
      <c r="T690" s="1"/>
      <c r="U690" s="1"/>
      <c r="V690" s="1"/>
      <c r="W690" s="1"/>
      <c r="X690" s="1"/>
      <c r="Y690" s="1"/>
      <c r="AB690" s="1"/>
      <c r="AC690" s="1"/>
      <c r="AD690" s="1"/>
      <c r="AE690" s="1"/>
      <c r="AF690" s="1"/>
      <c r="AG690" s="1"/>
      <c r="AH690" s="1"/>
      <c r="AI690" s="1"/>
      <c r="AJ690" s="1"/>
      <c r="AK690" s="1"/>
      <c r="AL690" s="1"/>
      <c r="AM690" s="1"/>
    </row>
    <row r="691" spans="16:39" x14ac:dyDescent="0.25">
      <c r="P691" s="49"/>
      <c r="Q691" s="1"/>
      <c r="S691" s="1"/>
      <c r="T691" s="1"/>
      <c r="U691" s="1"/>
      <c r="V691" s="1"/>
      <c r="W691" s="1"/>
      <c r="X691" s="1"/>
      <c r="Y691" s="1"/>
      <c r="AB691" s="1"/>
      <c r="AC691" s="1"/>
      <c r="AD691" s="1"/>
      <c r="AE691" s="1"/>
      <c r="AF691" s="1"/>
      <c r="AG691" s="1"/>
      <c r="AH691" s="1"/>
      <c r="AI691" s="1"/>
      <c r="AJ691" s="1"/>
      <c r="AK691" s="1"/>
      <c r="AL691" s="1"/>
      <c r="AM691" s="1"/>
    </row>
    <row r="692" spans="16:39" x14ac:dyDescent="0.25">
      <c r="P692" s="49"/>
      <c r="Q692" s="1"/>
      <c r="S692" s="1"/>
      <c r="T692" s="1"/>
      <c r="U692" s="1"/>
      <c r="V692" s="1"/>
      <c r="W692" s="1"/>
      <c r="X692" s="1"/>
      <c r="Y692" s="1"/>
      <c r="AB692" s="1"/>
      <c r="AC692" s="1"/>
      <c r="AD692" s="1"/>
      <c r="AE692" s="1"/>
      <c r="AF692" s="1"/>
      <c r="AG692" s="1"/>
      <c r="AH692" s="1"/>
      <c r="AI692" s="1"/>
      <c r="AJ692" s="1"/>
      <c r="AK692" s="1"/>
      <c r="AL692" s="1"/>
      <c r="AM692" s="1"/>
    </row>
    <row r="693" spans="16:39" x14ac:dyDescent="0.25">
      <c r="P693" s="49"/>
      <c r="Q693" s="1"/>
      <c r="S693" s="1"/>
      <c r="T693" s="1"/>
      <c r="U693" s="1"/>
      <c r="V693" s="1"/>
      <c r="W693" s="1"/>
      <c r="X693" s="1"/>
      <c r="Y693" s="1"/>
      <c r="AB693" s="1"/>
      <c r="AC693" s="1"/>
      <c r="AD693" s="1"/>
      <c r="AE693" s="1"/>
      <c r="AF693" s="1"/>
      <c r="AG693" s="1"/>
      <c r="AH693" s="1"/>
      <c r="AI693" s="1"/>
      <c r="AJ693" s="1"/>
      <c r="AK693" s="1"/>
      <c r="AL693" s="1"/>
      <c r="AM693" s="1"/>
    </row>
    <row r="694" spans="16:39" x14ac:dyDescent="0.25">
      <c r="P694" s="49"/>
      <c r="Q694" s="1"/>
      <c r="S694" s="1"/>
      <c r="T694" s="1"/>
      <c r="U694" s="1"/>
      <c r="V694" s="1"/>
      <c r="W694" s="1"/>
      <c r="X694" s="1"/>
      <c r="Y694" s="1"/>
      <c r="AB694" s="1"/>
      <c r="AC694" s="1"/>
      <c r="AD694" s="1"/>
      <c r="AE694" s="1"/>
      <c r="AF694" s="1"/>
      <c r="AG694" s="1"/>
      <c r="AH694" s="1"/>
      <c r="AI694" s="1"/>
      <c r="AJ694" s="1"/>
      <c r="AK694" s="1"/>
      <c r="AL694" s="1"/>
      <c r="AM694" s="1"/>
    </row>
    <row r="695" spans="16:39" x14ac:dyDescent="0.25">
      <c r="P695" s="49"/>
      <c r="Q695" s="1"/>
      <c r="S695" s="1"/>
      <c r="T695" s="1"/>
      <c r="U695" s="1"/>
      <c r="V695" s="1"/>
      <c r="W695" s="1"/>
      <c r="X695" s="1"/>
      <c r="Y695" s="1"/>
      <c r="AB695" s="1"/>
      <c r="AC695" s="1"/>
      <c r="AD695" s="1"/>
      <c r="AE695" s="1"/>
      <c r="AF695" s="1"/>
      <c r="AG695" s="1"/>
      <c r="AH695" s="1"/>
      <c r="AI695" s="1"/>
      <c r="AJ695" s="1"/>
      <c r="AK695" s="1"/>
      <c r="AL695" s="1"/>
      <c r="AM695" s="1"/>
    </row>
    <row r="696" spans="16:39" x14ac:dyDescent="0.25">
      <c r="P696" s="49"/>
      <c r="Q696" s="1"/>
      <c r="S696" s="1"/>
      <c r="T696" s="1"/>
      <c r="U696" s="1"/>
      <c r="V696" s="1"/>
      <c r="W696" s="1"/>
      <c r="X696" s="1"/>
      <c r="Y696" s="1"/>
      <c r="AB696" s="1"/>
      <c r="AC696" s="1"/>
      <c r="AD696" s="1"/>
      <c r="AE696" s="1"/>
      <c r="AF696" s="1"/>
      <c r="AG696" s="1"/>
      <c r="AH696" s="1"/>
      <c r="AI696" s="1"/>
      <c r="AJ696" s="1"/>
      <c r="AK696" s="1"/>
      <c r="AL696" s="1"/>
      <c r="AM696" s="1"/>
    </row>
    <row r="697" spans="16:39" x14ac:dyDescent="0.25">
      <c r="P697" s="49"/>
      <c r="Q697" s="1"/>
      <c r="S697" s="1"/>
      <c r="T697" s="1"/>
      <c r="U697" s="1"/>
      <c r="V697" s="1"/>
      <c r="W697" s="1"/>
      <c r="X697" s="1"/>
      <c r="Y697" s="1"/>
      <c r="AB697" s="1"/>
      <c r="AC697" s="1"/>
      <c r="AD697" s="1"/>
      <c r="AE697" s="1"/>
      <c r="AF697" s="1"/>
      <c r="AG697" s="1"/>
      <c r="AH697" s="1"/>
      <c r="AI697" s="1"/>
      <c r="AJ697" s="1"/>
      <c r="AK697" s="1"/>
      <c r="AL697" s="1"/>
      <c r="AM697" s="1"/>
    </row>
    <row r="698" spans="16:39" x14ac:dyDescent="0.25">
      <c r="P698" s="49"/>
      <c r="Q698" s="1"/>
      <c r="S698" s="1"/>
      <c r="T698" s="1"/>
      <c r="U698" s="1"/>
      <c r="V698" s="1"/>
      <c r="W698" s="1"/>
      <c r="X698" s="1"/>
      <c r="Y698" s="1"/>
      <c r="AB698" s="1"/>
      <c r="AC698" s="1"/>
      <c r="AD698" s="1"/>
      <c r="AE698" s="1"/>
      <c r="AF698" s="1"/>
      <c r="AG698" s="1"/>
      <c r="AH698" s="1"/>
      <c r="AI698" s="1"/>
      <c r="AJ698" s="1"/>
      <c r="AK698" s="1"/>
      <c r="AL698" s="1"/>
      <c r="AM698" s="1"/>
    </row>
    <row r="699" spans="16:39" x14ac:dyDescent="0.25">
      <c r="P699" s="49"/>
      <c r="Q699" s="1"/>
      <c r="S699" s="1"/>
      <c r="T699" s="1"/>
      <c r="U699" s="1"/>
      <c r="V699" s="1"/>
      <c r="W699" s="1"/>
      <c r="X699" s="1"/>
      <c r="Y699" s="1"/>
      <c r="AB699" s="1"/>
      <c r="AC699" s="1"/>
      <c r="AD699" s="1"/>
      <c r="AE699" s="1"/>
      <c r="AF699" s="1"/>
      <c r="AG699" s="1"/>
      <c r="AH699" s="1"/>
      <c r="AI699" s="1"/>
      <c r="AJ699" s="1"/>
      <c r="AK699" s="1"/>
      <c r="AL699" s="1"/>
      <c r="AM699" s="1"/>
    </row>
    <row r="700" spans="16:39" x14ac:dyDescent="0.25">
      <c r="P700" s="49"/>
      <c r="Q700" s="1"/>
      <c r="S700" s="1"/>
      <c r="T700" s="1"/>
      <c r="U700" s="1"/>
      <c r="V700" s="1"/>
      <c r="W700" s="1"/>
      <c r="X700" s="1"/>
      <c r="Y700" s="1"/>
      <c r="AB700" s="1"/>
      <c r="AC700" s="1"/>
      <c r="AD700" s="1"/>
      <c r="AE700" s="1"/>
      <c r="AF700" s="1"/>
      <c r="AG700" s="1"/>
      <c r="AH700" s="1"/>
      <c r="AI700" s="1"/>
      <c r="AJ700" s="1"/>
      <c r="AK700" s="1"/>
      <c r="AL700" s="1"/>
      <c r="AM700" s="1"/>
    </row>
    <row r="701" spans="16:39" x14ac:dyDescent="0.25">
      <c r="P701" s="49"/>
      <c r="Q701" s="1"/>
      <c r="S701" s="1"/>
      <c r="T701" s="1"/>
      <c r="U701" s="1"/>
      <c r="V701" s="1"/>
      <c r="W701" s="1"/>
      <c r="X701" s="1"/>
      <c r="Y701" s="1"/>
      <c r="AB701" s="1"/>
      <c r="AC701" s="1"/>
      <c r="AD701" s="1"/>
      <c r="AE701" s="1"/>
      <c r="AF701" s="1"/>
      <c r="AG701" s="1"/>
      <c r="AH701" s="1"/>
      <c r="AI701" s="1"/>
      <c r="AJ701" s="1"/>
      <c r="AK701" s="1"/>
      <c r="AL701" s="1"/>
      <c r="AM701" s="1"/>
    </row>
    <row r="702" spans="16:39" x14ac:dyDescent="0.25">
      <c r="P702" s="49"/>
      <c r="Q702" s="1"/>
      <c r="S702" s="1"/>
      <c r="T702" s="1"/>
      <c r="U702" s="1"/>
      <c r="V702" s="1"/>
      <c r="W702" s="1"/>
      <c r="X702" s="1"/>
      <c r="Y702" s="1"/>
      <c r="AB702" s="1"/>
      <c r="AC702" s="1"/>
      <c r="AD702" s="1"/>
      <c r="AE702" s="1"/>
      <c r="AF702" s="1"/>
      <c r="AG702" s="1"/>
      <c r="AH702" s="1"/>
      <c r="AI702" s="1"/>
      <c r="AJ702" s="1"/>
      <c r="AK702" s="1"/>
      <c r="AL702" s="1"/>
      <c r="AM702" s="1"/>
    </row>
    <row r="703" spans="16:39" x14ac:dyDescent="0.25">
      <c r="P703" s="49"/>
      <c r="Q703" s="1"/>
      <c r="S703" s="1"/>
      <c r="T703" s="1"/>
      <c r="U703" s="1"/>
      <c r="V703" s="1"/>
      <c r="W703" s="1"/>
      <c r="X703" s="1"/>
      <c r="Y703" s="1"/>
      <c r="AB703" s="1"/>
      <c r="AC703" s="1"/>
      <c r="AD703" s="1"/>
      <c r="AE703" s="1"/>
      <c r="AF703" s="1"/>
      <c r="AG703" s="1"/>
      <c r="AH703" s="1"/>
      <c r="AI703" s="1"/>
      <c r="AJ703" s="1"/>
      <c r="AK703" s="1"/>
      <c r="AL703" s="1"/>
      <c r="AM703" s="1"/>
    </row>
    <row r="704" spans="16:39" x14ac:dyDescent="0.25">
      <c r="P704" s="49"/>
      <c r="Q704" s="1"/>
      <c r="S704" s="1"/>
      <c r="T704" s="1"/>
      <c r="U704" s="1"/>
      <c r="V704" s="1"/>
      <c r="W704" s="1"/>
      <c r="X704" s="1"/>
      <c r="Y704" s="1"/>
      <c r="AB704" s="1"/>
      <c r="AC704" s="1"/>
      <c r="AD704" s="1"/>
      <c r="AE704" s="1"/>
      <c r="AF704" s="1"/>
      <c r="AG704" s="1"/>
      <c r="AH704" s="1"/>
      <c r="AI704" s="1"/>
      <c r="AJ704" s="1"/>
      <c r="AK704" s="1"/>
      <c r="AL704" s="1"/>
      <c r="AM704" s="1"/>
    </row>
    <row r="705" spans="16:39" x14ac:dyDescent="0.25">
      <c r="P705" s="49"/>
      <c r="Q705" s="1"/>
      <c r="S705" s="1"/>
      <c r="T705" s="1"/>
      <c r="U705" s="1"/>
      <c r="V705" s="1"/>
      <c r="W705" s="1"/>
      <c r="X705" s="1"/>
      <c r="Y705" s="1"/>
      <c r="AB705" s="1"/>
      <c r="AC705" s="1"/>
      <c r="AD705" s="1"/>
      <c r="AE705" s="1"/>
      <c r="AF705" s="1"/>
      <c r="AG705" s="1"/>
      <c r="AH705" s="1"/>
      <c r="AI705" s="1"/>
      <c r="AJ705" s="1"/>
      <c r="AK705" s="1"/>
      <c r="AL705" s="1"/>
      <c r="AM705" s="1"/>
    </row>
    <row r="706" spans="16:39" x14ac:dyDescent="0.25">
      <c r="P706" s="49"/>
      <c r="Q706" s="1"/>
      <c r="S706" s="1"/>
      <c r="T706" s="1"/>
      <c r="U706" s="1"/>
      <c r="V706" s="1"/>
      <c r="W706" s="1"/>
      <c r="X706" s="1"/>
      <c r="Y706" s="1"/>
      <c r="AB706" s="1"/>
      <c r="AC706" s="1"/>
      <c r="AD706" s="1"/>
      <c r="AE706" s="1"/>
      <c r="AF706" s="1"/>
      <c r="AG706" s="1"/>
      <c r="AH706" s="1"/>
      <c r="AI706" s="1"/>
      <c r="AJ706" s="1"/>
      <c r="AK706" s="1"/>
      <c r="AL706" s="1"/>
      <c r="AM706" s="1"/>
    </row>
    <row r="707" spans="16:39" x14ac:dyDescent="0.25">
      <c r="P707" s="49"/>
      <c r="Q707" s="1"/>
      <c r="S707" s="1"/>
      <c r="T707" s="1"/>
      <c r="U707" s="1"/>
      <c r="V707" s="1"/>
      <c r="W707" s="1"/>
      <c r="X707" s="1"/>
      <c r="Y707" s="1"/>
      <c r="AB707" s="1"/>
      <c r="AC707" s="1"/>
      <c r="AD707" s="1"/>
      <c r="AE707" s="1"/>
      <c r="AF707" s="1"/>
      <c r="AG707" s="1"/>
      <c r="AH707" s="1"/>
      <c r="AI707" s="1"/>
      <c r="AJ707" s="1"/>
      <c r="AK707" s="1"/>
      <c r="AL707" s="1"/>
      <c r="AM707" s="1"/>
    </row>
    <row r="708" spans="16:39" x14ac:dyDescent="0.25">
      <c r="P708" s="49"/>
      <c r="Q708" s="1"/>
      <c r="S708" s="1"/>
      <c r="T708" s="1"/>
      <c r="U708" s="1"/>
      <c r="V708" s="1"/>
      <c r="W708" s="1"/>
      <c r="X708" s="1"/>
      <c r="Y708" s="1"/>
      <c r="AB708" s="1"/>
      <c r="AC708" s="1"/>
      <c r="AD708" s="1"/>
      <c r="AE708" s="1"/>
      <c r="AF708" s="1"/>
      <c r="AG708" s="1"/>
      <c r="AH708" s="1"/>
      <c r="AI708" s="1"/>
      <c r="AJ708" s="1"/>
      <c r="AK708" s="1"/>
      <c r="AL708" s="1"/>
      <c r="AM708" s="1"/>
    </row>
    <row r="709" spans="16:39" x14ac:dyDescent="0.25">
      <c r="P709" s="49"/>
      <c r="Q709" s="1"/>
      <c r="S709" s="1"/>
      <c r="T709" s="1"/>
      <c r="U709" s="1"/>
      <c r="V709" s="1"/>
      <c r="W709" s="1"/>
      <c r="X709" s="1"/>
      <c r="Y709" s="1"/>
      <c r="AB709" s="1"/>
      <c r="AC709" s="1"/>
      <c r="AD709" s="1"/>
      <c r="AE709" s="1"/>
      <c r="AF709" s="1"/>
      <c r="AG709" s="1"/>
      <c r="AH709" s="1"/>
      <c r="AI709" s="1"/>
      <c r="AJ709" s="1"/>
      <c r="AK709" s="1"/>
      <c r="AL709" s="1"/>
      <c r="AM709" s="1"/>
    </row>
    <row r="710" spans="16:39" x14ac:dyDescent="0.25">
      <c r="P710" s="49"/>
      <c r="Q710" s="1"/>
      <c r="S710" s="1"/>
      <c r="T710" s="1"/>
      <c r="U710" s="1"/>
      <c r="V710" s="1"/>
      <c r="W710" s="1"/>
      <c r="X710" s="1"/>
      <c r="Y710" s="1"/>
      <c r="AB710" s="1"/>
      <c r="AC710" s="1"/>
      <c r="AD710" s="1"/>
      <c r="AE710" s="1"/>
      <c r="AF710" s="1"/>
      <c r="AG710" s="1"/>
      <c r="AH710" s="1"/>
      <c r="AI710" s="1"/>
      <c r="AJ710" s="1"/>
      <c r="AK710" s="1"/>
      <c r="AL710" s="1"/>
      <c r="AM710" s="1"/>
    </row>
    <row r="711" spans="16:39" x14ac:dyDescent="0.25">
      <c r="P711" s="49"/>
      <c r="Q711" s="1"/>
      <c r="S711" s="1"/>
      <c r="T711" s="1"/>
      <c r="U711" s="1"/>
      <c r="V711" s="1"/>
      <c r="W711" s="1"/>
      <c r="X711" s="1"/>
      <c r="Y711" s="1"/>
      <c r="AB711" s="1"/>
      <c r="AC711" s="1"/>
      <c r="AD711" s="1"/>
      <c r="AE711" s="1"/>
      <c r="AF711" s="1"/>
      <c r="AG711" s="1"/>
      <c r="AH711" s="1"/>
      <c r="AI711" s="1"/>
      <c r="AJ711" s="1"/>
      <c r="AK711" s="1"/>
      <c r="AL711" s="1"/>
      <c r="AM711" s="1"/>
    </row>
    <row r="712" spans="16:39" x14ac:dyDescent="0.25">
      <c r="P712" s="49"/>
      <c r="Q712" s="1"/>
      <c r="S712" s="1"/>
      <c r="T712" s="1"/>
      <c r="U712" s="1"/>
      <c r="V712" s="1"/>
      <c r="W712" s="1"/>
      <c r="X712" s="1"/>
      <c r="Y712" s="1"/>
      <c r="AB712" s="1"/>
      <c r="AC712" s="1"/>
      <c r="AD712" s="1"/>
      <c r="AE712" s="1"/>
      <c r="AF712" s="1"/>
      <c r="AG712" s="1"/>
      <c r="AH712" s="1"/>
      <c r="AI712" s="1"/>
      <c r="AJ712" s="1"/>
      <c r="AK712" s="1"/>
      <c r="AL712" s="1"/>
      <c r="AM712" s="1"/>
    </row>
    <row r="713" spans="16:39" x14ac:dyDescent="0.25">
      <c r="P713" s="49"/>
      <c r="Q713" s="1"/>
      <c r="S713" s="1"/>
      <c r="T713" s="1"/>
      <c r="U713" s="1"/>
      <c r="V713" s="1"/>
      <c r="W713" s="1"/>
      <c r="X713" s="1"/>
      <c r="Y713" s="1"/>
      <c r="AB713" s="1"/>
      <c r="AC713" s="1"/>
      <c r="AD713" s="1"/>
      <c r="AE713" s="1"/>
      <c r="AF713" s="1"/>
      <c r="AG713" s="1"/>
      <c r="AH713" s="1"/>
      <c r="AI713" s="1"/>
      <c r="AJ713" s="1"/>
      <c r="AK713" s="1"/>
      <c r="AL713" s="1"/>
      <c r="AM713" s="1"/>
    </row>
    <row r="714" spans="16:39" x14ac:dyDescent="0.25">
      <c r="P714" s="49"/>
      <c r="Q714" s="1"/>
      <c r="S714" s="1"/>
      <c r="T714" s="1"/>
      <c r="U714" s="1"/>
      <c r="V714" s="1"/>
      <c r="W714" s="1"/>
      <c r="X714" s="1"/>
      <c r="Y714" s="1"/>
      <c r="AB714" s="1"/>
      <c r="AC714" s="1"/>
      <c r="AD714" s="1"/>
      <c r="AE714" s="1"/>
      <c r="AF714" s="1"/>
      <c r="AG714" s="1"/>
      <c r="AH714" s="1"/>
      <c r="AI714" s="1"/>
      <c r="AJ714" s="1"/>
      <c r="AK714" s="1"/>
      <c r="AL714" s="1"/>
      <c r="AM714" s="1"/>
    </row>
    <row r="715" spans="16:39" x14ac:dyDescent="0.25">
      <c r="P715" s="49"/>
      <c r="Q715" s="1"/>
      <c r="S715" s="1"/>
      <c r="T715" s="1"/>
      <c r="U715" s="1"/>
      <c r="V715" s="1"/>
      <c r="W715" s="1"/>
      <c r="X715" s="1"/>
      <c r="Y715" s="1"/>
      <c r="AB715" s="1"/>
      <c r="AC715" s="1"/>
      <c r="AD715" s="1"/>
      <c r="AE715" s="1"/>
      <c r="AF715" s="1"/>
      <c r="AG715" s="1"/>
      <c r="AH715" s="1"/>
      <c r="AI715" s="1"/>
      <c r="AJ715" s="1"/>
      <c r="AK715" s="1"/>
      <c r="AL715" s="1"/>
      <c r="AM715" s="1"/>
    </row>
    <row r="716" spans="16:39" x14ac:dyDescent="0.25">
      <c r="P716" s="49"/>
      <c r="Q716" s="1"/>
      <c r="S716" s="1"/>
      <c r="T716" s="1"/>
      <c r="U716" s="1"/>
      <c r="V716" s="1"/>
      <c r="W716" s="1"/>
      <c r="X716" s="1"/>
      <c r="Y716" s="1"/>
      <c r="AB716" s="1"/>
      <c r="AC716" s="1"/>
      <c r="AD716" s="1"/>
      <c r="AE716" s="1"/>
      <c r="AF716" s="1"/>
      <c r="AG716" s="1"/>
      <c r="AH716" s="1"/>
      <c r="AI716" s="1"/>
      <c r="AJ716" s="1"/>
      <c r="AK716" s="1"/>
      <c r="AL716" s="1"/>
      <c r="AM716" s="1"/>
    </row>
    <row r="717" spans="16:39" x14ac:dyDescent="0.25">
      <c r="P717" s="49"/>
      <c r="Q717" s="1"/>
      <c r="S717" s="1"/>
      <c r="T717" s="1"/>
      <c r="U717" s="1"/>
      <c r="V717" s="1"/>
      <c r="W717" s="1"/>
      <c r="X717" s="1"/>
      <c r="Y717" s="1"/>
      <c r="AB717" s="1"/>
      <c r="AC717" s="1"/>
      <c r="AD717" s="1"/>
      <c r="AE717" s="1"/>
      <c r="AF717" s="1"/>
      <c r="AG717" s="1"/>
      <c r="AH717" s="1"/>
      <c r="AI717" s="1"/>
      <c r="AJ717" s="1"/>
      <c r="AK717" s="1"/>
      <c r="AL717" s="1"/>
      <c r="AM717" s="1"/>
    </row>
    <row r="718" spans="16:39" x14ac:dyDescent="0.25">
      <c r="P718" s="49"/>
      <c r="Q718" s="1"/>
      <c r="S718" s="1"/>
      <c r="T718" s="1"/>
      <c r="U718" s="1"/>
      <c r="V718" s="1"/>
      <c r="W718" s="1"/>
      <c r="X718" s="1"/>
      <c r="Y718" s="1"/>
      <c r="AB718" s="1"/>
      <c r="AC718" s="1"/>
      <c r="AD718" s="1"/>
      <c r="AE718" s="1"/>
      <c r="AF718" s="1"/>
      <c r="AG718" s="1"/>
      <c r="AH718" s="1"/>
      <c r="AI718" s="1"/>
      <c r="AJ718" s="1"/>
      <c r="AK718" s="1"/>
      <c r="AL718" s="1"/>
      <c r="AM718" s="1"/>
    </row>
    <row r="719" spans="16:39" x14ac:dyDescent="0.25">
      <c r="P719" s="49"/>
      <c r="Q719" s="1"/>
      <c r="S719" s="1"/>
      <c r="T719" s="1"/>
      <c r="U719" s="1"/>
      <c r="V719" s="1"/>
      <c r="W719" s="1"/>
      <c r="X719" s="1"/>
      <c r="Y719" s="1"/>
      <c r="AB719" s="1"/>
      <c r="AC719" s="1"/>
      <c r="AD719" s="1"/>
      <c r="AE719" s="1"/>
      <c r="AF719" s="1"/>
      <c r="AG719" s="1"/>
      <c r="AH719" s="1"/>
      <c r="AI719" s="1"/>
      <c r="AJ719" s="1"/>
      <c r="AK719" s="1"/>
      <c r="AL719" s="1"/>
      <c r="AM719" s="1"/>
    </row>
    <row r="720" spans="16:39" x14ac:dyDescent="0.25">
      <c r="P720" s="49"/>
      <c r="Q720" s="1"/>
      <c r="S720" s="1"/>
      <c r="T720" s="1"/>
      <c r="U720" s="1"/>
      <c r="V720" s="1"/>
      <c r="W720" s="1"/>
      <c r="X720" s="1"/>
      <c r="Y720" s="1"/>
      <c r="AB720" s="1"/>
      <c r="AC720" s="1"/>
      <c r="AD720" s="1"/>
      <c r="AE720" s="1"/>
      <c r="AF720" s="1"/>
      <c r="AG720" s="1"/>
      <c r="AH720" s="1"/>
      <c r="AI720" s="1"/>
      <c r="AJ720" s="1"/>
      <c r="AK720" s="1"/>
      <c r="AL720" s="1"/>
      <c r="AM720" s="1"/>
    </row>
    <row r="721" spans="16:39" x14ac:dyDescent="0.25">
      <c r="P721" s="49"/>
      <c r="Q721" s="1"/>
      <c r="S721" s="1"/>
      <c r="T721" s="1"/>
      <c r="U721" s="1"/>
      <c r="V721" s="1"/>
      <c r="W721" s="1"/>
      <c r="X721" s="1"/>
      <c r="Y721" s="1"/>
      <c r="AB721" s="1"/>
      <c r="AC721" s="1"/>
      <c r="AD721" s="1"/>
      <c r="AE721" s="1"/>
      <c r="AF721" s="1"/>
      <c r="AG721" s="1"/>
      <c r="AH721" s="1"/>
      <c r="AI721" s="1"/>
      <c r="AJ721" s="1"/>
      <c r="AK721" s="1"/>
      <c r="AL721" s="1"/>
      <c r="AM721" s="1"/>
    </row>
    <row r="722" spans="16:39" x14ac:dyDescent="0.25">
      <c r="P722" s="49"/>
      <c r="Q722" s="1"/>
      <c r="S722" s="1"/>
      <c r="T722" s="1"/>
      <c r="U722" s="1"/>
      <c r="V722" s="1"/>
      <c r="W722" s="1"/>
      <c r="X722" s="1"/>
      <c r="Y722" s="1"/>
      <c r="AB722" s="1"/>
      <c r="AC722" s="1"/>
      <c r="AD722" s="1"/>
      <c r="AE722" s="1"/>
      <c r="AF722" s="1"/>
      <c r="AG722" s="1"/>
      <c r="AH722" s="1"/>
      <c r="AI722" s="1"/>
      <c r="AJ722" s="1"/>
      <c r="AK722" s="1"/>
      <c r="AL722" s="1"/>
      <c r="AM722" s="1"/>
    </row>
    <row r="723" spans="16:39" x14ac:dyDescent="0.25">
      <c r="P723" s="49"/>
      <c r="Q723" s="1"/>
      <c r="S723" s="1"/>
      <c r="T723" s="1"/>
      <c r="U723" s="1"/>
      <c r="V723" s="1"/>
      <c r="W723" s="1"/>
      <c r="X723" s="1"/>
      <c r="Y723" s="1"/>
      <c r="AB723" s="1"/>
      <c r="AC723" s="1"/>
      <c r="AD723" s="1"/>
      <c r="AE723" s="1"/>
      <c r="AF723" s="1"/>
      <c r="AG723" s="1"/>
      <c r="AH723" s="1"/>
      <c r="AI723" s="1"/>
      <c r="AJ723" s="1"/>
      <c r="AK723" s="1"/>
      <c r="AL723" s="1"/>
      <c r="AM723" s="1"/>
    </row>
    <row r="724" spans="16:39" x14ac:dyDescent="0.25">
      <c r="P724" s="49"/>
      <c r="Q724" s="1"/>
      <c r="S724" s="1"/>
      <c r="T724" s="1"/>
      <c r="U724" s="1"/>
      <c r="V724" s="1"/>
      <c r="W724" s="1"/>
      <c r="X724" s="1"/>
      <c r="Y724" s="1"/>
      <c r="AB724" s="1"/>
      <c r="AC724" s="1"/>
      <c r="AD724" s="1"/>
      <c r="AE724" s="1"/>
      <c r="AF724" s="1"/>
      <c r="AG724" s="1"/>
      <c r="AH724" s="1"/>
      <c r="AI724" s="1"/>
      <c r="AJ724" s="1"/>
      <c r="AK724" s="1"/>
      <c r="AL724" s="1"/>
      <c r="AM724" s="1"/>
    </row>
    <row r="725" spans="16:39" x14ac:dyDescent="0.25">
      <c r="P725" s="49"/>
      <c r="Q725" s="1"/>
      <c r="S725" s="1"/>
      <c r="T725" s="1"/>
      <c r="U725" s="1"/>
      <c r="V725" s="1"/>
      <c r="W725" s="1"/>
      <c r="X725" s="1"/>
      <c r="Y725" s="1"/>
      <c r="AB725" s="1"/>
      <c r="AC725" s="1"/>
      <c r="AD725" s="1"/>
      <c r="AE725" s="1"/>
      <c r="AF725" s="1"/>
      <c r="AG725" s="1"/>
      <c r="AH725" s="1"/>
      <c r="AI725" s="1"/>
      <c r="AJ725" s="1"/>
      <c r="AK725" s="1"/>
      <c r="AL725" s="1"/>
      <c r="AM725" s="1"/>
    </row>
    <row r="726" spans="16:39" x14ac:dyDescent="0.25">
      <c r="P726" s="49"/>
      <c r="Q726" s="1"/>
      <c r="S726" s="1"/>
      <c r="T726" s="1"/>
      <c r="U726" s="1"/>
      <c r="V726" s="1"/>
      <c r="W726" s="1"/>
      <c r="X726" s="1"/>
      <c r="Y726" s="1"/>
      <c r="AB726" s="1"/>
      <c r="AC726" s="1"/>
      <c r="AD726" s="1"/>
      <c r="AE726" s="1"/>
      <c r="AF726" s="1"/>
      <c r="AG726" s="1"/>
      <c r="AH726" s="1"/>
      <c r="AI726" s="1"/>
      <c r="AJ726" s="1"/>
      <c r="AK726" s="1"/>
      <c r="AL726" s="1"/>
      <c r="AM726" s="1"/>
    </row>
    <row r="727" spans="16:39" x14ac:dyDescent="0.25">
      <c r="P727" s="49"/>
      <c r="Q727" s="1"/>
      <c r="S727" s="1"/>
      <c r="T727" s="1"/>
      <c r="U727" s="1"/>
      <c r="V727" s="1"/>
      <c r="W727" s="1"/>
      <c r="X727" s="1"/>
      <c r="Y727" s="1"/>
      <c r="AB727" s="1"/>
      <c r="AC727" s="1"/>
      <c r="AD727" s="1"/>
      <c r="AE727" s="1"/>
      <c r="AF727" s="1"/>
      <c r="AG727" s="1"/>
      <c r="AH727" s="1"/>
      <c r="AI727" s="1"/>
      <c r="AJ727" s="1"/>
      <c r="AK727" s="1"/>
      <c r="AL727" s="1"/>
      <c r="AM727" s="1"/>
    </row>
    <row r="728" spans="16:39" x14ac:dyDescent="0.25">
      <c r="P728" s="49"/>
      <c r="Q728" s="1"/>
      <c r="S728" s="1"/>
      <c r="T728" s="1"/>
      <c r="U728" s="1"/>
      <c r="V728" s="1"/>
      <c r="W728" s="1"/>
      <c r="X728" s="1"/>
      <c r="Y728" s="1"/>
      <c r="AB728" s="1"/>
      <c r="AC728" s="1"/>
      <c r="AD728" s="1"/>
      <c r="AE728" s="1"/>
      <c r="AF728" s="1"/>
      <c r="AG728" s="1"/>
      <c r="AH728" s="1"/>
      <c r="AI728" s="1"/>
      <c r="AJ728" s="1"/>
      <c r="AK728" s="1"/>
      <c r="AL728" s="1"/>
      <c r="AM728" s="1"/>
    </row>
    <row r="729" spans="16:39" x14ac:dyDescent="0.25">
      <c r="P729" s="49"/>
      <c r="Q729" s="1"/>
      <c r="S729" s="1"/>
      <c r="T729" s="1"/>
      <c r="U729" s="1"/>
      <c r="V729" s="1"/>
      <c r="W729" s="1"/>
      <c r="X729" s="1"/>
      <c r="Y729" s="1"/>
      <c r="AB729" s="1"/>
      <c r="AC729" s="1"/>
      <c r="AD729" s="1"/>
      <c r="AE729" s="1"/>
      <c r="AF729" s="1"/>
      <c r="AG729" s="1"/>
      <c r="AH729" s="1"/>
      <c r="AI729" s="1"/>
      <c r="AJ729" s="1"/>
      <c r="AK729" s="1"/>
      <c r="AL729" s="1"/>
      <c r="AM729" s="1"/>
    </row>
    <row r="730" spans="16:39" x14ac:dyDescent="0.25">
      <c r="P730" s="49"/>
      <c r="Q730" s="1"/>
      <c r="S730" s="1"/>
      <c r="T730" s="1"/>
      <c r="U730" s="1"/>
      <c r="V730" s="1"/>
      <c r="W730" s="1"/>
      <c r="X730" s="1"/>
      <c r="Y730" s="1"/>
      <c r="AB730" s="1"/>
      <c r="AC730" s="1"/>
      <c r="AD730" s="1"/>
      <c r="AE730" s="1"/>
      <c r="AF730" s="1"/>
      <c r="AG730" s="1"/>
      <c r="AH730" s="1"/>
      <c r="AI730" s="1"/>
      <c r="AJ730" s="1"/>
      <c r="AK730" s="1"/>
      <c r="AL730" s="1"/>
      <c r="AM730" s="1"/>
    </row>
    <row r="731" spans="16:39" x14ac:dyDescent="0.25">
      <c r="P731" s="49"/>
      <c r="Q731" s="1"/>
      <c r="S731" s="1"/>
      <c r="T731" s="1"/>
      <c r="U731" s="1"/>
      <c r="V731" s="1"/>
      <c r="W731" s="1"/>
      <c r="X731" s="1"/>
      <c r="Y731" s="1"/>
      <c r="AB731" s="1"/>
      <c r="AC731" s="1"/>
      <c r="AD731" s="1"/>
      <c r="AE731" s="1"/>
      <c r="AF731" s="1"/>
      <c r="AG731" s="1"/>
      <c r="AH731" s="1"/>
      <c r="AI731" s="1"/>
      <c r="AJ731" s="1"/>
      <c r="AK731" s="1"/>
      <c r="AL731" s="1"/>
      <c r="AM731" s="1"/>
    </row>
    <row r="732" spans="16:39" x14ac:dyDescent="0.25">
      <c r="P732" s="49"/>
      <c r="Q732" s="1"/>
      <c r="S732" s="1"/>
      <c r="T732" s="1"/>
      <c r="U732" s="1"/>
      <c r="V732" s="1"/>
      <c r="W732" s="1"/>
      <c r="X732" s="1"/>
      <c r="Y732" s="1"/>
      <c r="AB732" s="1"/>
      <c r="AC732" s="1"/>
      <c r="AD732" s="1"/>
      <c r="AE732" s="1"/>
      <c r="AF732" s="1"/>
      <c r="AG732" s="1"/>
      <c r="AH732" s="1"/>
      <c r="AI732" s="1"/>
      <c r="AJ732" s="1"/>
      <c r="AK732" s="1"/>
      <c r="AL732" s="1"/>
      <c r="AM732" s="1"/>
    </row>
    <row r="733" spans="16:39" x14ac:dyDescent="0.25">
      <c r="P733" s="49"/>
      <c r="Q733" s="1"/>
      <c r="S733" s="1"/>
      <c r="T733" s="1"/>
      <c r="U733" s="1"/>
      <c r="V733" s="1"/>
      <c r="W733" s="1"/>
      <c r="X733" s="1"/>
      <c r="Y733" s="1"/>
      <c r="AB733" s="1"/>
      <c r="AC733" s="1"/>
      <c r="AD733" s="1"/>
      <c r="AE733" s="1"/>
      <c r="AF733" s="1"/>
      <c r="AG733" s="1"/>
      <c r="AH733" s="1"/>
      <c r="AI733" s="1"/>
      <c r="AJ733" s="1"/>
      <c r="AK733" s="1"/>
      <c r="AL733" s="1"/>
      <c r="AM733" s="1"/>
    </row>
    <row r="734" spans="16:39" x14ac:dyDescent="0.25">
      <c r="P734" s="49"/>
      <c r="Q734" s="1"/>
      <c r="S734" s="1"/>
      <c r="T734" s="1"/>
      <c r="U734" s="1"/>
      <c r="V734" s="1"/>
      <c r="W734" s="1"/>
      <c r="X734" s="1"/>
      <c r="Y734" s="1"/>
      <c r="AB734" s="1"/>
      <c r="AC734" s="1"/>
      <c r="AD734" s="1"/>
      <c r="AE734" s="1"/>
      <c r="AF734" s="1"/>
      <c r="AG734" s="1"/>
      <c r="AH734" s="1"/>
      <c r="AI734" s="1"/>
      <c r="AJ734" s="1"/>
      <c r="AK734" s="1"/>
      <c r="AL734" s="1"/>
      <c r="AM734" s="1"/>
    </row>
    <row r="735" spans="16:39" x14ac:dyDescent="0.25">
      <c r="P735" s="49"/>
      <c r="Q735" s="1"/>
      <c r="S735" s="1"/>
      <c r="T735" s="1"/>
      <c r="U735" s="1"/>
      <c r="V735" s="1"/>
      <c r="W735" s="1"/>
      <c r="X735" s="1"/>
      <c r="Y735" s="1"/>
      <c r="AB735" s="1"/>
      <c r="AC735" s="1"/>
      <c r="AD735" s="1"/>
      <c r="AE735" s="1"/>
      <c r="AF735" s="1"/>
      <c r="AG735" s="1"/>
      <c r="AH735" s="1"/>
      <c r="AI735" s="1"/>
      <c r="AJ735" s="1"/>
      <c r="AK735" s="1"/>
      <c r="AL735" s="1"/>
      <c r="AM735" s="1"/>
    </row>
    <row r="736" spans="16:39" x14ac:dyDescent="0.25">
      <c r="P736" s="49"/>
      <c r="Q736" s="1"/>
      <c r="S736" s="1"/>
      <c r="T736" s="1"/>
      <c r="U736" s="1"/>
      <c r="V736" s="1"/>
      <c r="W736" s="1"/>
      <c r="X736" s="1"/>
      <c r="Y736" s="1"/>
      <c r="AB736" s="1"/>
      <c r="AC736" s="1"/>
      <c r="AD736" s="1"/>
      <c r="AE736" s="1"/>
      <c r="AF736" s="1"/>
      <c r="AG736" s="1"/>
      <c r="AH736" s="1"/>
      <c r="AI736" s="1"/>
      <c r="AJ736" s="1"/>
      <c r="AK736" s="1"/>
      <c r="AL736" s="1"/>
      <c r="AM736" s="1"/>
    </row>
    <row r="737" spans="16:39" x14ac:dyDescent="0.25">
      <c r="P737" s="49"/>
      <c r="Q737" s="1"/>
      <c r="S737" s="1"/>
      <c r="T737" s="1"/>
      <c r="U737" s="1"/>
      <c r="V737" s="1"/>
      <c r="W737" s="1"/>
      <c r="X737" s="1"/>
      <c r="Y737" s="1"/>
      <c r="AB737" s="1"/>
      <c r="AC737" s="1"/>
      <c r="AD737" s="1"/>
      <c r="AE737" s="1"/>
      <c r="AF737" s="1"/>
      <c r="AG737" s="1"/>
      <c r="AH737" s="1"/>
      <c r="AI737" s="1"/>
      <c r="AJ737" s="1"/>
      <c r="AK737" s="1"/>
      <c r="AL737" s="1"/>
      <c r="AM737" s="1"/>
    </row>
    <row r="738" spans="16:39" x14ac:dyDescent="0.25">
      <c r="P738" s="49"/>
      <c r="Q738" s="1"/>
      <c r="S738" s="1"/>
      <c r="T738" s="1"/>
      <c r="U738" s="1"/>
      <c r="V738" s="1"/>
      <c r="W738" s="1"/>
      <c r="X738" s="1"/>
      <c r="Y738" s="1"/>
      <c r="AB738" s="1"/>
      <c r="AC738" s="1"/>
      <c r="AD738" s="1"/>
      <c r="AE738" s="1"/>
      <c r="AF738" s="1"/>
      <c r="AG738" s="1"/>
      <c r="AH738" s="1"/>
      <c r="AI738" s="1"/>
      <c r="AJ738" s="1"/>
      <c r="AK738" s="1"/>
      <c r="AL738" s="1"/>
      <c r="AM738" s="1"/>
    </row>
    <row r="739" spans="16:39" x14ac:dyDescent="0.25">
      <c r="P739" s="49"/>
      <c r="Q739" s="1"/>
      <c r="S739" s="1"/>
      <c r="T739" s="1"/>
      <c r="U739" s="1"/>
      <c r="V739" s="1"/>
      <c r="W739" s="1"/>
      <c r="X739" s="1"/>
      <c r="Y739" s="1"/>
      <c r="AB739" s="1"/>
      <c r="AC739" s="1"/>
      <c r="AD739" s="1"/>
      <c r="AE739" s="1"/>
      <c r="AF739" s="1"/>
      <c r="AG739" s="1"/>
      <c r="AH739" s="1"/>
      <c r="AI739" s="1"/>
      <c r="AJ739" s="1"/>
      <c r="AK739" s="1"/>
      <c r="AL739" s="1"/>
      <c r="AM739" s="1"/>
    </row>
    <row r="740" spans="16:39" x14ac:dyDescent="0.25">
      <c r="P740" s="49"/>
      <c r="Q740" s="1"/>
      <c r="S740" s="1"/>
      <c r="T740" s="1"/>
      <c r="U740" s="1"/>
      <c r="V740" s="1"/>
      <c r="W740" s="1"/>
      <c r="X740" s="1"/>
      <c r="Y740" s="1"/>
      <c r="AB740" s="1"/>
      <c r="AC740" s="1"/>
      <c r="AD740" s="1"/>
      <c r="AE740" s="1"/>
      <c r="AF740" s="1"/>
      <c r="AG740" s="1"/>
      <c r="AH740" s="1"/>
      <c r="AI740" s="1"/>
      <c r="AJ740" s="1"/>
      <c r="AK740" s="1"/>
      <c r="AL740" s="1"/>
      <c r="AM740" s="1"/>
    </row>
    <row r="741" spans="16:39" x14ac:dyDescent="0.25">
      <c r="P741" s="49"/>
      <c r="Q741" s="1"/>
      <c r="S741" s="1"/>
      <c r="T741" s="1"/>
      <c r="U741" s="1"/>
      <c r="V741" s="1"/>
      <c r="W741" s="1"/>
      <c r="X741" s="1"/>
      <c r="Y741" s="1"/>
      <c r="AB741" s="1"/>
      <c r="AC741" s="1"/>
      <c r="AD741" s="1"/>
      <c r="AE741" s="1"/>
      <c r="AF741" s="1"/>
      <c r="AG741" s="1"/>
      <c r="AH741" s="1"/>
      <c r="AI741" s="1"/>
      <c r="AJ741" s="1"/>
      <c r="AK741" s="1"/>
      <c r="AL741" s="1"/>
      <c r="AM741" s="1"/>
    </row>
    <row r="742" spans="16:39" x14ac:dyDescent="0.25">
      <c r="P742" s="49"/>
      <c r="Q742" s="1"/>
      <c r="S742" s="1"/>
      <c r="T742" s="1"/>
      <c r="U742" s="1"/>
      <c r="V742" s="1"/>
      <c r="W742" s="1"/>
      <c r="X742" s="1"/>
      <c r="Y742" s="1"/>
      <c r="AB742" s="1"/>
      <c r="AC742" s="1"/>
      <c r="AD742" s="1"/>
      <c r="AE742" s="1"/>
      <c r="AF742" s="1"/>
      <c r="AG742" s="1"/>
      <c r="AH742" s="1"/>
      <c r="AI742" s="1"/>
      <c r="AJ742" s="1"/>
      <c r="AK742" s="1"/>
      <c r="AL742" s="1"/>
      <c r="AM742" s="1"/>
    </row>
    <row r="743" spans="16:39" x14ac:dyDescent="0.25">
      <c r="P743" s="49"/>
      <c r="Q743" s="1"/>
      <c r="S743" s="1"/>
      <c r="T743" s="1"/>
      <c r="U743" s="1"/>
      <c r="V743" s="1"/>
      <c r="W743" s="1"/>
      <c r="X743" s="1"/>
      <c r="Y743" s="1"/>
      <c r="AB743" s="1"/>
      <c r="AC743" s="1"/>
      <c r="AD743" s="1"/>
      <c r="AE743" s="1"/>
      <c r="AF743" s="1"/>
      <c r="AG743" s="1"/>
      <c r="AH743" s="1"/>
      <c r="AI743" s="1"/>
      <c r="AJ743" s="1"/>
      <c r="AK743" s="1"/>
      <c r="AL743" s="1"/>
      <c r="AM743" s="1"/>
    </row>
    <row r="744" spans="16:39" x14ac:dyDescent="0.25">
      <c r="P744" s="49"/>
      <c r="Q744" s="1"/>
      <c r="S744" s="1"/>
      <c r="T744" s="1"/>
      <c r="U744" s="1"/>
      <c r="V744" s="1"/>
      <c r="W744" s="1"/>
      <c r="X744" s="1"/>
      <c r="Y744" s="1"/>
      <c r="AB744" s="1"/>
      <c r="AC744" s="1"/>
      <c r="AD744" s="1"/>
      <c r="AE744" s="1"/>
      <c r="AF744" s="1"/>
      <c r="AG744" s="1"/>
      <c r="AH744" s="1"/>
      <c r="AI744" s="1"/>
      <c r="AJ744" s="1"/>
      <c r="AK744" s="1"/>
      <c r="AL744" s="1"/>
      <c r="AM744" s="1"/>
    </row>
    <row r="745" spans="16:39" x14ac:dyDescent="0.25">
      <c r="P745" s="49"/>
      <c r="Q745" s="1"/>
      <c r="S745" s="1"/>
      <c r="T745" s="1"/>
      <c r="U745" s="1"/>
      <c r="V745" s="1"/>
      <c r="W745" s="1"/>
      <c r="X745" s="1"/>
      <c r="Y745" s="1"/>
      <c r="AB745" s="1"/>
      <c r="AC745" s="1"/>
      <c r="AD745" s="1"/>
      <c r="AE745" s="1"/>
      <c r="AF745" s="1"/>
      <c r="AG745" s="1"/>
      <c r="AH745" s="1"/>
      <c r="AI745" s="1"/>
      <c r="AJ745" s="1"/>
      <c r="AK745" s="1"/>
      <c r="AL745" s="1"/>
      <c r="AM745" s="1"/>
    </row>
    <row r="746" spans="16:39" x14ac:dyDescent="0.25">
      <c r="P746" s="49"/>
      <c r="Q746" s="1"/>
      <c r="S746" s="1"/>
      <c r="T746" s="1"/>
      <c r="U746" s="1"/>
      <c r="V746" s="1"/>
      <c r="W746" s="1"/>
      <c r="X746" s="1"/>
      <c r="Y746" s="1"/>
      <c r="AB746" s="1"/>
      <c r="AC746" s="1"/>
      <c r="AD746" s="1"/>
      <c r="AE746" s="1"/>
      <c r="AF746" s="1"/>
      <c r="AG746" s="1"/>
      <c r="AH746" s="1"/>
      <c r="AI746" s="1"/>
      <c r="AJ746" s="1"/>
      <c r="AK746" s="1"/>
      <c r="AL746" s="1"/>
      <c r="AM746" s="1"/>
    </row>
    <row r="747" spans="16:39" x14ac:dyDescent="0.25">
      <c r="P747" s="49"/>
      <c r="Q747" s="1"/>
      <c r="S747" s="1"/>
      <c r="T747" s="1"/>
      <c r="U747" s="1"/>
      <c r="V747" s="1"/>
      <c r="W747" s="1"/>
      <c r="X747" s="1"/>
      <c r="Y747" s="1"/>
      <c r="AB747" s="1"/>
      <c r="AC747" s="1"/>
      <c r="AD747" s="1"/>
      <c r="AE747" s="1"/>
      <c r="AF747" s="1"/>
      <c r="AG747" s="1"/>
      <c r="AH747" s="1"/>
      <c r="AI747" s="1"/>
      <c r="AJ747" s="1"/>
      <c r="AK747" s="1"/>
      <c r="AL747" s="1"/>
      <c r="AM747" s="1"/>
    </row>
    <row r="748" spans="16:39" x14ac:dyDescent="0.25">
      <c r="P748" s="49"/>
      <c r="Q748" s="1"/>
      <c r="S748" s="1"/>
      <c r="T748" s="1"/>
      <c r="U748" s="1"/>
      <c r="V748" s="1"/>
      <c r="W748" s="1"/>
      <c r="X748" s="1"/>
      <c r="Y748" s="1"/>
      <c r="AB748" s="1"/>
      <c r="AC748" s="1"/>
      <c r="AD748" s="1"/>
      <c r="AE748" s="1"/>
      <c r="AF748" s="1"/>
      <c r="AG748" s="1"/>
      <c r="AH748" s="1"/>
      <c r="AI748" s="1"/>
      <c r="AJ748" s="1"/>
      <c r="AK748" s="1"/>
      <c r="AL748" s="1"/>
      <c r="AM748" s="1"/>
    </row>
    <row r="749" spans="16:39" x14ac:dyDescent="0.25">
      <c r="P749" s="49"/>
      <c r="Q749" s="1"/>
      <c r="S749" s="1"/>
      <c r="T749" s="1"/>
      <c r="U749" s="1"/>
      <c r="V749" s="1"/>
      <c r="W749" s="1"/>
      <c r="X749" s="1"/>
      <c r="Y749" s="1"/>
      <c r="AB749" s="1"/>
      <c r="AC749" s="1"/>
      <c r="AD749" s="1"/>
      <c r="AE749" s="1"/>
      <c r="AF749" s="1"/>
      <c r="AG749" s="1"/>
      <c r="AH749" s="1"/>
      <c r="AI749" s="1"/>
      <c r="AJ749" s="1"/>
      <c r="AK749" s="1"/>
      <c r="AL749" s="1"/>
      <c r="AM749" s="1"/>
    </row>
    <row r="750" spans="16:39" x14ac:dyDescent="0.25">
      <c r="P750" s="49"/>
      <c r="Q750" s="1"/>
      <c r="S750" s="1"/>
      <c r="T750" s="1"/>
      <c r="U750" s="1"/>
      <c r="V750" s="1"/>
      <c r="W750" s="1"/>
      <c r="X750" s="1"/>
      <c r="Y750" s="1"/>
      <c r="AB750" s="1"/>
      <c r="AC750" s="1"/>
      <c r="AD750" s="1"/>
      <c r="AE750" s="1"/>
      <c r="AF750" s="1"/>
      <c r="AG750" s="1"/>
      <c r="AH750" s="1"/>
      <c r="AI750" s="1"/>
      <c r="AJ750" s="1"/>
      <c r="AK750" s="1"/>
      <c r="AL750" s="1"/>
      <c r="AM750" s="1"/>
    </row>
    <row r="751" spans="16:39" x14ac:dyDescent="0.25">
      <c r="P751" s="49"/>
      <c r="Q751" s="1"/>
      <c r="S751" s="1"/>
      <c r="T751" s="1"/>
      <c r="U751" s="1"/>
      <c r="V751" s="1"/>
      <c r="W751" s="1"/>
      <c r="X751" s="1"/>
      <c r="Y751" s="1"/>
      <c r="AB751" s="1"/>
      <c r="AC751" s="1"/>
      <c r="AD751" s="1"/>
      <c r="AE751" s="1"/>
      <c r="AF751" s="1"/>
      <c r="AG751" s="1"/>
      <c r="AH751" s="1"/>
      <c r="AI751" s="1"/>
      <c r="AJ751" s="1"/>
      <c r="AK751" s="1"/>
      <c r="AL751" s="1"/>
      <c r="AM751" s="1"/>
    </row>
    <row r="752" spans="16:39" x14ac:dyDescent="0.25">
      <c r="P752" s="49"/>
      <c r="Q752" s="1"/>
      <c r="S752" s="1"/>
      <c r="T752" s="1"/>
      <c r="U752" s="1"/>
      <c r="V752" s="1"/>
      <c r="W752" s="1"/>
      <c r="X752" s="1"/>
      <c r="Y752" s="1"/>
      <c r="AB752" s="1"/>
      <c r="AC752" s="1"/>
      <c r="AD752" s="1"/>
      <c r="AE752" s="1"/>
      <c r="AF752" s="1"/>
      <c r="AG752" s="1"/>
      <c r="AH752" s="1"/>
      <c r="AI752" s="1"/>
      <c r="AJ752" s="1"/>
      <c r="AK752" s="1"/>
      <c r="AL752" s="1"/>
      <c r="AM752" s="1"/>
    </row>
    <row r="753" spans="16:39" x14ac:dyDescent="0.25">
      <c r="P753" s="49"/>
      <c r="Q753" s="1"/>
      <c r="S753" s="1"/>
      <c r="T753" s="1"/>
      <c r="U753" s="1"/>
      <c r="V753" s="1"/>
      <c r="W753" s="1"/>
      <c r="X753" s="1"/>
      <c r="Y753" s="1"/>
      <c r="AB753" s="1"/>
      <c r="AC753" s="1"/>
      <c r="AD753" s="1"/>
      <c r="AE753" s="1"/>
      <c r="AF753" s="1"/>
      <c r="AG753" s="1"/>
      <c r="AH753" s="1"/>
      <c r="AI753" s="1"/>
      <c r="AJ753" s="1"/>
      <c r="AK753" s="1"/>
      <c r="AL753" s="1"/>
      <c r="AM753" s="1"/>
    </row>
    <row r="754" spans="16:39" x14ac:dyDescent="0.25">
      <c r="P754" s="49"/>
      <c r="Q754" s="1"/>
      <c r="S754" s="1"/>
      <c r="T754" s="1"/>
      <c r="U754" s="1"/>
      <c r="V754" s="1"/>
      <c r="W754" s="1"/>
      <c r="X754" s="1"/>
      <c r="Y754" s="1"/>
      <c r="AB754" s="1"/>
      <c r="AC754" s="1"/>
      <c r="AD754" s="1"/>
      <c r="AE754" s="1"/>
      <c r="AF754" s="1"/>
      <c r="AG754" s="1"/>
      <c r="AH754" s="1"/>
      <c r="AI754" s="1"/>
      <c r="AJ754" s="1"/>
      <c r="AK754" s="1"/>
      <c r="AL754" s="1"/>
      <c r="AM754" s="1"/>
    </row>
    <row r="755" spans="16:39" x14ac:dyDescent="0.25">
      <c r="P755" s="49"/>
      <c r="Q755" s="1"/>
      <c r="S755" s="1"/>
      <c r="T755" s="1"/>
      <c r="U755" s="1"/>
      <c r="V755" s="1"/>
      <c r="W755" s="1"/>
      <c r="X755" s="1"/>
      <c r="Y755" s="1"/>
      <c r="AB755" s="1"/>
      <c r="AC755" s="1"/>
      <c r="AD755" s="1"/>
      <c r="AE755" s="1"/>
      <c r="AF755" s="1"/>
      <c r="AG755" s="1"/>
      <c r="AH755" s="1"/>
      <c r="AI755" s="1"/>
      <c r="AJ755" s="1"/>
      <c r="AK755" s="1"/>
      <c r="AL755" s="1"/>
      <c r="AM755" s="1"/>
    </row>
    <row r="756" spans="16:39" x14ac:dyDescent="0.25">
      <c r="P756" s="49"/>
      <c r="Q756" s="1"/>
      <c r="S756" s="1"/>
      <c r="T756" s="1"/>
      <c r="U756" s="1"/>
      <c r="V756" s="1"/>
      <c r="W756" s="1"/>
      <c r="X756" s="1"/>
      <c r="Y756" s="1"/>
      <c r="AB756" s="1"/>
      <c r="AC756" s="1"/>
      <c r="AD756" s="1"/>
      <c r="AE756" s="1"/>
      <c r="AF756" s="1"/>
      <c r="AG756" s="1"/>
      <c r="AH756" s="1"/>
      <c r="AI756" s="1"/>
      <c r="AJ756" s="1"/>
      <c r="AK756" s="1"/>
      <c r="AL756" s="1"/>
      <c r="AM756" s="1"/>
    </row>
    <row r="757" spans="16:39" x14ac:dyDescent="0.25">
      <c r="P757" s="49"/>
      <c r="Q757" s="1"/>
      <c r="S757" s="1"/>
      <c r="T757" s="1"/>
      <c r="U757" s="1"/>
      <c r="V757" s="1"/>
      <c r="W757" s="1"/>
      <c r="X757" s="1"/>
      <c r="Y757" s="1"/>
      <c r="AB757" s="1"/>
      <c r="AC757" s="1"/>
      <c r="AD757" s="1"/>
      <c r="AE757" s="1"/>
      <c r="AF757" s="1"/>
      <c r="AG757" s="1"/>
      <c r="AH757" s="1"/>
      <c r="AI757" s="1"/>
      <c r="AJ757" s="1"/>
      <c r="AK757" s="1"/>
      <c r="AL757" s="1"/>
      <c r="AM757" s="1"/>
    </row>
    <row r="758" spans="16:39" x14ac:dyDescent="0.25">
      <c r="P758" s="49"/>
      <c r="Q758" s="1"/>
      <c r="S758" s="1"/>
      <c r="T758" s="1"/>
      <c r="U758" s="1"/>
      <c r="V758" s="1"/>
      <c r="W758" s="1"/>
      <c r="X758" s="1"/>
      <c r="Y758" s="1"/>
      <c r="AB758" s="1"/>
      <c r="AC758" s="1"/>
      <c r="AD758" s="1"/>
      <c r="AE758" s="1"/>
      <c r="AF758" s="1"/>
      <c r="AG758" s="1"/>
      <c r="AH758" s="1"/>
      <c r="AI758" s="1"/>
      <c r="AJ758" s="1"/>
      <c r="AK758" s="1"/>
      <c r="AL758" s="1"/>
      <c r="AM758" s="1"/>
    </row>
    <row r="759" spans="16:39" x14ac:dyDescent="0.25">
      <c r="P759" s="49"/>
      <c r="Q759" s="1"/>
      <c r="S759" s="1"/>
      <c r="T759" s="1"/>
      <c r="U759" s="1"/>
      <c r="V759" s="1"/>
      <c r="W759" s="1"/>
      <c r="X759" s="1"/>
      <c r="Y759" s="1"/>
      <c r="AB759" s="1"/>
      <c r="AC759" s="1"/>
      <c r="AD759" s="1"/>
      <c r="AE759" s="1"/>
      <c r="AF759" s="1"/>
      <c r="AG759" s="1"/>
      <c r="AH759" s="1"/>
      <c r="AI759" s="1"/>
      <c r="AJ759" s="1"/>
      <c r="AK759" s="1"/>
      <c r="AL759" s="1"/>
      <c r="AM759" s="1"/>
    </row>
    <row r="760" spans="16:39" x14ac:dyDescent="0.25">
      <c r="P760" s="49"/>
      <c r="Q760" s="1"/>
      <c r="S760" s="1"/>
      <c r="T760" s="1"/>
      <c r="U760" s="1"/>
      <c r="V760" s="1"/>
      <c r="W760" s="1"/>
      <c r="X760" s="1"/>
      <c r="Y760" s="1"/>
      <c r="AB760" s="1"/>
      <c r="AC760" s="1"/>
      <c r="AD760" s="1"/>
      <c r="AE760" s="1"/>
      <c r="AF760" s="1"/>
      <c r="AG760" s="1"/>
      <c r="AH760" s="1"/>
      <c r="AI760" s="1"/>
      <c r="AJ760" s="1"/>
      <c r="AK760" s="1"/>
      <c r="AL760" s="1"/>
      <c r="AM760" s="1"/>
    </row>
    <row r="761" spans="16:39" x14ac:dyDescent="0.25">
      <c r="P761" s="49"/>
      <c r="Q761" s="1"/>
      <c r="S761" s="1"/>
      <c r="T761" s="1"/>
      <c r="U761" s="1"/>
      <c r="V761" s="1"/>
      <c r="W761" s="1"/>
      <c r="X761" s="1"/>
      <c r="Y761" s="1"/>
      <c r="AB761" s="1"/>
      <c r="AC761" s="1"/>
      <c r="AD761" s="1"/>
      <c r="AE761" s="1"/>
      <c r="AF761" s="1"/>
      <c r="AG761" s="1"/>
      <c r="AH761" s="1"/>
      <c r="AI761" s="1"/>
      <c r="AJ761" s="1"/>
      <c r="AK761" s="1"/>
      <c r="AL761" s="1"/>
      <c r="AM761" s="1"/>
    </row>
    <row r="762" spans="16:39" x14ac:dyDescent="0.25">
      <c r="P762" s="49"/>
      <c r="Q762" s="1"/>
      <c r="S762" s="1"/>
      <c r="T762" s="1"/>
      <c r="U762" s="1"/>
      <c r="V762" s="1"/>
      <c r="W762" s="1"/>
      <c r="X762" s="1"/>
      <c r="Y762" s="1"/>
      <c r="AB762" s="1"/>
      <c r="AC762" s="1"/>
      <c r="AD762" s="1"/>
      <c r="AE762" s="1"/>
      <c r="AF762" s="1"/>
      <c r="AG762" s="1"/>
      <c r="AH762" s="1"/>
      <c r="AI762" s="1"/>
      <c r="AJ762" s="1"/>
      <c r="AK762" s="1"/>
      <c r="AL762" s="1"/>
      <c r="AM762" s="1"/>
    </row>
    <row r="763" spans="16:39" x14ac:dyDescent="0.25">
      <c r="P763" s="49"/>
      <c r="Q763" s="1"/>
      <c r="S763" s="1"/>
      <c r="T763" s="1"/>
      <c r="U763" s="1"/>
      <c r="V763" s="1"/>
      <c r="W763" s="1"/>
      <c r="X763" s="1"/>
      <c r="Y763" s="1"/>
      <c r="AB763" s="1"/>
      <c r="AC763" s="1"/>
      <c r="AD763" s="1"/>
      <c r="AE763" s="1"/>
      <c r="AF763" s="1"/>
      <c r="AG763" s="1"/>
      <c r="AH763" s="1"/>
      <c r="AI763" s="1"/>
      <c r="AJ763" s="1"/>
      <c r="AK763" s="1"/>
      <c r="AL763" s="1"/>
      <c r="AM763" s="1"/>
    </row>
    <row r="764" spans="16:39" x14ac:dyDescent="0.25">
      <c r="P764" s="49"/>
      <c r="Q764" s="1"/>
      <c r="S764" s="1"/>
      <c r="T764" s="1"/>
      <c r="U764" s="1"/>
      <c r="V764" s="1"/>
      <c r="W764" s="1"/>
      <c r="X764" s="1"/>
      <c r="Y764" s="1"/>
      <c r="AB764" s="1"/>
      <c r="AC764" s="1"/>
      <c r="AD764" s="1"/>
      <c r="AE764" s="1"/>
      <c r="AF764" s="1"/>
      <c r="AG764" s="1"/>
      <c r="AH764" s="1"/>
      <c r="AI764" s="1"/>
      <c r="AJ764" s="1"/>
      <c r="AK764" s="1"/>
      <c r="AL764" s="1"/>
      <c r="AM764" s="1"/>
    </row>
    <row r="765" spans="16:39" x14ac:dyDescent="0.25">
      <c r="P765" s="49"/>
      <c r="Q765" s="1"/>
      <c r="S765" s="1"/>
      <c r="T765" s="1"/>
      <c r="U765" s="1"/>
      <c r="V765" s="1"/>
      <c r="W765" s="1"/>
      <c r="X765" s="1"/>
      <c r="Y765" s="1"/>
      <c r="AB765" s="1"/>
      <c r="AC765" s="1"/>
      <c r="AD765" s="1"/>
      <c r="AE765" s="1"/>
      <c r="AF765" s="1"/>
      <c r="AG765" s="1"/>
      <c r="AH765" s="1"/>
      <c r="AI765" s="1"/>
      <c r="AJ765" s="1"/>
      <c r="AK765" s="1"/>
      <c r="AL765" s="1"/>
      <c r="AM765" s="1"/>
    </row>
    <row r="766" spans="16:39" x14ac:dyDescent="0.25">
      <c r="P766" s="49"/>
      <c r="Q766" s="1"/>
      <c r="S766" s="1"/>
      <c r="T766" s="1"/>
      <c r="U766" s="1"/>
      <c r="V766" s="1"/>
      <c r="W766" s="1"/>
      <c r="X766" s="1"/>
      <c r="Y766" s="1"/>
      <c r="AB766" s="1"/>
      <c r="AC766" s="1"/>
      <c r="AD766" s="1"/>
      <c r="AE766" s="1"/>
      <c r="AF766" s="1"/>
      <c r="AG766" s="1"/>
      <c r="AH766" s="1"/>
      <c r="AI766" s="1"/>
      <c r="AJ766" s="1"/>
      <c r="AK766" s="1"/>
      <c r="AL766" s="1"/>
      <c r="AM766" s="1"/>
    </row>
    <row r="767" spans="16:39" x14ac:dyDescent="0.25">
      <c r="P767" s="49"/>
      <c r="Q767" s="1"/>
      <c r="S767" s="1"/>
      <c r="T767" s="1"/>
      <c r="U767" s="1"/>
      <c r="V767" s="1"/>
      <c r="W767" s="1"/>
      <c r="X767" s="1"/>
      <c r="Y767" s="1"/>
      <c r="AB767" s="1"/>
      <c r="AC767" s="1"/>
      <c r="AD767" s="1"/>
      <c r="AE767" s="1"/>
      <c r="AF767" s="1"/>
      <c r="AG767" s="1"/>
      <c r="AH767" s="1"/>
      <c r="AI767" s="1"/>
      <c r="AJ767" s="1"/>
      <c r="AK767" s="1"/>
      <c r="AL767" s="1"/>
      <c r="AM767" s="1"/>
    </row>
    <row r="768" spans="16:39" x14ac:dyDescent="0.25">
      <c r="P768" s="49"/>
      <c r="Q768" s="1"/>
      <c r="S768" s="1"/>
      <c r="T768" s="1"/>
      <c r="U768" s="1"/>
      <c r="V768" s="1"/>
      <c r="W768" s="1"/>
      <c r="X768" s="1"/>
      <c r="Y768" s="1"/>
      <c r="AB768" s="1"/>
      <c r="AC768" s="1"/>
      <c r="AD768" s="1"/>
      <c r="AE768" s="1"/>
      <c r="AF768" s="1"/>
      <c r="AG768" s="1"/>
      <c r="AH768" s="1"/>
      <c r="AI768" s="1"/>
      <c r="AJ768" s="1"/>
      <c r="AK768" s="1"/>
      <c r="AL768" s="1"/>
      <c r="AM768" s="1"/>
    </row>
    <row r="769" spans="16:39" x14ac:dyDescent="0.25">
      <c r="P769" s="49"/>
      <c r="Q769" s="1"/>
      <c r="S769" s="1"/>
      <c r="T769" s="1"/>
      <c r="U769" s="1"/>
      <c r="V769" s="1"/>
      <c r="W769" s="1"/>
      <c r="X769" s="1"/>
      <c r="Y769" s="1"/>
      <c r="AB769" s="1"/>
      <c r="AC769" s="1"/>
      <c r="AD769" s="1"/>
      <c r="AE769" s="1"/>
      <c r="AF769" s="1"/>
      <c r="AG769" s="1"/>
      <c r="AH769" s="1"/>
      <c r="AI769" s="1"/>
      <c r="AJ769" s="1"/>
      <c r="AK769" s="1"/>
      <c r="AL769" s="1"/>
      <c r="AM769" s="1"/>
    </row>
    <row r="770" spans="16:39" x14ac:dyDescent="0.25">
      <c r="P770" s="49"/>
      <c r="Q770" s="1"/>
      <c r="S770" s="1"/>
      <c r="T770" s="1"/>
      <c r="U770" s="1"/>
      <c r="V770" s="1"/>
      <c r="W770" s="1"/>
      <c r="X770" s="1"/>
      <c r="Y770" s="1"/>
      <c r="AB770" s="1"/>
      <c r="AC770" s="1"/>
      <c r="AD770" s="1"/>
      <c r="AE770" s="1"/>
      <c r="AF770" s="1"/>
      <c r="AG770" s="1"/>
      <c r="AH770" s="1"/>
      <c r="AI770" s="1"/>
      <c r="AJ770" s="1"/>
      <c r="AK770" s="1"/>
      <c r="AL770" s="1"/>
      <c r="AM770" s="1"/>
    </row>
    <row r="771" spans="16:39" x14ac:dyDescent="0.25">
      <c r="P771" s="49"/>
      <c r="Q771" s="1"/>
      <c r="S771" s="1"/>
      <c r="T771" s="1"/>
      <c r="U771" s="1"/>
      <c r="V771" s="1"/>
      <c r="W771" s="1"/>
      <c r="X771" s="1"/>
      <c r="Y771" s="1"/>
      <c r="AB771" s="1"/>
      <c r="AC771" s="1"/>
      <c r="AD771" s="1"/>
      <c r="AE771" s="1"/>
      <c r="AF771" s="1"/>
      <c r="AG771" s="1"/>
      <c r="AH771" s="1"/>
      <c r="AI771" s="1"/>
      <c r="AJ771" s="1"/>
      <c r="AK771" s="1"/>
      <c r="AL771" s="1"/>
      <c r="AM771" s="1"/>
    </row>
    <row r="772" spans="16:39" x14ac:dyDescent="0.25">
      <c r="P772" s="49"/>
      <c r="Q772" s="1"/>
      <c r="S772" s="1"/>
      <c r="T772" s="1"/>
      <c r="U772" s="1"/>
      <c r="V772" s="1"/>
      <c r="W772" s="1"/>
      <c r="X772" s="1"/>
      <c r="Y772" s="1"/>
      <c r="AB772" s="1"/>
      <c r="AC772" s="1"/>
      <c r="AD772" s="1"/>
      <c r="AE772" s="1"/>
      <c r="AF772" s="1"/>
      <c r="AG772" s="1"/>
      <c r="AH772" s="1"/>
      <c r="AI772" s="1"/>
      <c r="AJ772" s="1"/>
      <c r="AK772" s="1"/>
      <c r="AL772" s="1"/>
      <c r="AM772" s="1"/>
    </row>
    <row r="773" spans="16:39" x14ac:dyDescent="0.25">
      <c r="P773" s="49"/>
      <c r="Q773" s="1"/>
      <c r="S773" s="1"/>
      <c r="T773" s="1"/>
      <c r="U773" s="1"/>
      <c r="V773" s="1"/>
      <c r="W773" s="1"/>
      <c r="X773" s="1"/>
      <c r="Y773" s="1"/>
      <c r="AB773" s="1"/>
      <c r="AC773" s="1"/>
      <c r="AD773" s="1"/>
      <c r="AE773" s="1"/>
      <c r="AF773" s="1"/>
      <c r="AG773" s="1"/>
      <c r="AH773" s="1"/>
      <c r="AI773" s="1"/>
      <c r="AJ773" s="1"/>
      <c r="AK773" s="1"/>
      <c r="AL773" s="1"/>
      <c r="AM773" s="1"/>
    </row>
    <row r="774" spans="16:39" x14ac:dyDescent="0.25">
      <c r="P774" s="49"/>
      <c r="Q774" s="1"/>
      <c r="S774" s="1"/>
      <c r="T774" s="1"/>
      <c r="U774" s="1"/>
      <c r="V774" s="1"/>
      <c r="W774" s="1"/>
      <c r="X774" s="1"/>
      <c r="Y774" s="1"/>
      <c r="AB774" s="1"/>
      <c r="AC774" s="1"/>
      <c r="AD774" s="1"/>
      <c r="AE774" s="1"/>
      <c r="AF774" s="1"/>
      <c r="AG774" s="1"/>
      <c r="AH774" s="1"/>
      <c r="AI774" s="1"/>
      <c r="AJ774" s="1"/>
      <c r="AK774" s="1"/>
      <c r="AL774" s="1"/>
      <c r="AM774" s="1"/>
    </row>
    <row r="775" spans="16:39" x14ac:dyDescent="0.25">
      <c r="P775" s="49"/>
      <c r="Q775" s="1"/>
      <c r="S775" s="1"/>
      <c r="T775" s="1"/>
      <c r="U775" s="1"/>
      <c r="V775" s="1"/>
      <c r="W775" s="1"/>
      <c r="X775" s="1"/>
      <c r="Y775" s="1"/>
      <c r="AB775" s="1"/>
      <c r="AC775" s="1"/>
      <c r="AD775" s="1"/>
      <c r="AE775" s="1"/>
      <c r="AF775" s="1"/>
      <c r="AG775" s="1"/>
      <c r="AH775" s="1"/>
      <c r="AI775" s="1"/>
      <c r="AJ775" s="1"/>
      <c r="AK775" s="1"/>
      <c r="AL775" s="1"/>
      <c r="AM775" s="1"/>
    </row>
    <row r="776" spans="16:39" x14ac:dyDescent="0.25">
      <c r="P776" s="49"/>
      <c r="Q776" s="1"/>
      <c r="S776" s="1"/>
      <c r="T776" s="1"/>
      <c r="U776" s="1"/>
      <c r="V776" s="1"/>
      <c r="W776" s="1"/>
      <c r="X776" s="1"/>
      <c r="Y776" s="1"/>
      <c r="AB776" s="1"/>
      <c r="AC776" s="1"/>
      <c r="AD776" s="1"/>
      <c r="AE776" s="1"/>
      <c r="AF776" s="1"/>
      <c r="AG776" s="1"/>
      <c r="AH776" s="1"/>
      <c r="AI776" s="1"/>
      <c r="AJ776" s="1"/>
      <c r="AK776" s="1"/>
      <c r="AL776" s="1"/>
      <c r="AM776" s="1"/>
    </row>
    <row r="777" spans="16:39" x14ac:dyDescent="0.25">
      <c r="P777" s="49"/>
      <c r="Q777" s="1"/>
      <c r="S777" s="1"/>
      <c r="T777" s="1"/>
      <c r="U777" s="1"/>
      <c r="V777" s="1"/>
      <c r="W777" s="1"/>
      <c r="X777" s="1"/>
      <c r="Y777" s="1"/>
      <c r="AB777" s="1"/>
      <c r="AC777" s="1"/>
      <c r="AD777" s="1"/>
      <c r="AE777" s="1"/>
      <c r="AF777" s="1"/>
      <c r="AG777" s="1"/>
      <c r="AH777" s="1"/>
      <c r="AI777" s="1"/>
      <c r="AJ777" s="1"/>
      <c r="AK777" s="1"/>
      <c r="AL777" s="1"/>
      <c r="AM777" s="1"/>
    </row>
    <row r="778" spans="16:39" x14ac:dyDescent="0.25">
      <c r="P778" s="49"/>
      <c r="Q778" s="1"/>
      <c r="S778" s="1"/>
      <c r="T778" s="1"/>
      <c r="U778" s="1"/>
      <c r="V778" s="1"/>
      <c r="W778" s="1"/>
      <c r="X778" s="1"/>
      <c r="Y778" s="1"/>
      <c r="AB778" s="1"/>
      <c r="AC778" s="1"/>
      <c r="AD778" s="1"/>
      <c r="AE778" s="1"/>
      <c r="AF778" s="1"/>
      <c r="AG778" s="1"/>
      <c r="AH778" s="1"/>
      <c r="AI778" s="1"/>
      <c r="AJ778" s="1"/>
      <c r="AK778" s="1"/>
      <c r="AL778" s="1"/>
      <c r="AM778" s="1"/>
    </row>
    <row r="779" spans="16:39" x14ac:dyDescent="0.25">
      <c r="P779" s="49"/>
      <c r="Q779" s="1"/>
      <c r="S779" s="1"/>
      <c r="T779" s="1"/>
      <c r="U779" s="1"/>
      <c r="V779" s="1"/>
      <c r="W779" s="1"/>
      <c r="X779" s="1"/>
      <c r="Y779" s="1"/>
      <c r="AB779" s="1"/>
      <c r="AC779" s="1"/>
      <c r="AD779" s="1"/>
      <c r="AE779" s="1"/>
      <c r="AF779" s="1"/>
      <c r="AG779" s="1"/>
      <c r="AH779" s="1"/>
      <c r="AI779" s="1"/>
      <c r="AJ779" s="1"/>
      <c r="AK779" s="1"/>
      <c r="AL779" s="1"/>
      <c r="AM779" s="1"/>
    </row>
    <row r="780" spans="16:39" x14ac:dyDescent="0.25">
      <c r="P780" s="49"/>
      <c r="Q780" s="1"/>
      <c r="S780" s="1"/>
      <c r="T780" s="1"/>
      <c r="U780" s="1"/>
      <c r="V780" s="1"/>
      <c r="W780" s="1"/>
      <c r="X780" s="1"/>
      <c r="Y780" s="1"/>
      <c r="AB780" s="1"/>
      <c r="AC780" s="1"/>
      <c r="AD780" s="1"/>
      <c r="AE780" s="1"/>
      <c r="AF780" s="1"/>
      <c r="AG780" s="1"/>
      <c r="AH780" s="1"/>
      <c r="AI780" s="1"/>
      <c r="AJ780" s="1"/>
      <c r="AK780" s="1"/>
      <c r="AL780" s="1"/>
      <c r="AM780" s="1"/>
    </row>
    <row r="781" spans="16:39" x14ac:dyDescent="0.25">
      <c r="P781" s="49"/>
      <c r="Q781" s="1"/>
      <c r="S781" s="1"/>
      <c r="T781" s="1"/>
      <c r="U781" s="1"/>
      <c r="V781" s="1"/>
      <c r="W781" s="1"/>
      <c r="X781" s="1"/>
      <c r="Y781" s="1"/>
      <c r="AB781" s="1"/>
      <c r="AC781" s="1"/>
      <c r="AD781" s="1"/>
      <c r="AE781" s="1"/>
      <c r="AF781" s="1"/>
      <c r="AG781" s="1"/>
      <c r="AH781" s="1"/>
      <c r="AI781" s="1"/>
      <c r="AJ781" s="1"/>
      <c r="AK781" s="1"/>
      <c r="AL781" s="1"/>
      <c r="AM781" s="1"/>
    </row>
    <row r="782" spans="16:39" x14ac:dyDescent="0.25">
      <c r="P782" s="49"/>
      <c r="Q782" s="1"/>
      <c r="S782" s="1"/>
      <c r="T782" s="1"/>
      <c r="U782" s="1"/>
      <c r="V782" s="1"/>
      <c r="W782" s="1"/>
      <c r="X782" s="1"/>
      <c r="Y782" s="1"/>
      <c r="AB782" s="1"/>
      <c r="AC782" s="1"/>
      <c r="AD782" s="1"/>
      <c r="AE782" s="1"/>
      <c r="AF782" s="1"/>
      <c r="AG782" s="1"/>
      <c r="AH782" s="1"/>
      <c r="AI782" s="1"/>
      <c r="AJ782" s="1"/>
      <c r="AK782" s="1"/>
      <c r="AL782" s="1"/>
      <c r="AM782" s="1"/>
    </row>
    <row r="783" spans="16:39" x14ac:dyDescent="0.25">
      <c r="P783" s="49"/>
      <c r="Q783" s="1"/>
      <c r="S783" s="1"/>
      <c r="T783" s="1"/>
      <c r="U783" s="1"/>
      <c r="V783" s="1"/>
      <c r="W783" s="1"/>
      <c r="X783" s="1"/>
      <c r="Y783" s="1"/>
      <c r="AB783" s="1"/>
      <c r="AC783" s="1"/>
      <c r="AD783" s="1"/>
      <c r="AE783" s="1"/>
      <c r="AF783" s="1"/>
      <c r="AG783" s="1"/>
      <c r="AH783" s="1"/>
      <c r="AI783" s="1"/>
      <c r="AJ783" s="1"/>
      <c r="AK783" s="1"/>
      <c r="AL783" s="1"/>
      <c r="AM783" s="1"/>
    </row>
    <row r="784" spans="16:39" x14ac:dyDescent="0.25">
      <c r="P784" s="49"/>
      <c r="Q784" s="1"/>
      <c r="S784" s="1"/>
      <c r="T784" s="1"/>
      <c r="U784" s="1"/>
      <c r="V784" s="1"/>
      <c r="W784" s="1"/>
      <c r="X784" s="1"/>
      <c r="Y784" s="1"/>
      <c r="AB784" s="1"/>
      <c r="AC784" s="1"/>
      <c r="AD784" s="1"/>
      <c r="AE784" s="1"/>
      <c r="AF784" s="1"/>
      <c r="AG784" s="1"/>
      <c r="AH784" s="1"/>
      <c r="AI784" s="1"/>
      <c r="AJ784" s="1"/>
      <c r="AK784" s="1"/>
      <c r="AL784" s="1"/>
      <c r="AM784" s="1"/>
    </row>
    <row r="785" spans="16:39" x14ac:dyDescent="0.25">
      <c r="P785" s="49"/>
      <c r="Q785" s="1"/>
      <c r="S785" s="1"/>
      <c r="T785" s="1"/>
      <c r="U785" s="1"/>
      <c r="V785" s="1"/>
      <c r="W785" s="1"/>
      <c r="X785" s="1"/>
      <c r="Y785" s="1"/>
      <c r="AB785" s="1"/>
      <c r="AC785" s="1"/>
      <c r="AD785" s="1"/>
      <c r="AE785" s="1"/>
      <c r="AF785" s="1"/>
      <c r="AG785" s="1"/>
      <c r="AH785" s="1"/>
      <c r="AI785" s="1"/>
      <c r="AJ785" s="1"/>
      <c r="AK785" s="1"/>
      <c r="AL785" s="1"/>
      <c r="AM785" s="1"/>
    </row>
    <row r="786" spans="16:39" x14ac:dyDescent="0.25">
      <c r="P786" s="49"/>
      <c r="Q786" s="1"/>
      <c r="S786" s="1"/>
      <c r="T786" s="1"/>
      <c r="U786" s="1"/>
      <c r="V786" s="1"/>
      <c r="W786" s="1"/>
      <c r="X786" s="1"/>
      <c r="Y786" s="1"/>
      <c r="AB786" s="1"/>
      <c r="AC786" s="1"/>
      <c r="AD786" s="1"/>
      <c r="AE786" s="1"/>
      <c r="AF786" s="1"/>
      <c r="AG786" s="1"/>
      <c r="AH786" s="1"/>
      <c r="AI786" s="1"/>
      <c r="AJ786" s="1"/>
      <c r="AK786" s="1"/>
      <c r="AL786" s="1"/>
      <c r="AM786" s="1"/>
    </row>
    <row r="787" spans="16:39" x14ac:dyDescent="0.25">
      <c r="P787" s="49"/>
      <c r="Q787" s="1"/>
      <c r="S787" s="1"/>
      <c r="T787" s="1"/>
      <c r="U787" s="1"/>
      <c r="V787" s="1"/>
      <c r="W787" s="1"/>
      <c r="X787" s="1"/>
      <c r="Y787" s="1"/>
      <c r="AB787" s="1"/>
      <c r="AC787" s="1"/>
      <c r="AD787" s="1"/>
      <c r="AE787" s="1"/>
      <c r="AF787" s="1"/>
      <c r="AG787" s="1"/>
      <c r="AH787" s="1"/>
      <c r="AI787" s="1"/>
      <c r="AJ787" s="1"/>
      <c r="AK787" s="1"/>
      <c r="AL787" s="1"/>
      <c r="AM787" s="1"/>
    </row>
    <row r="788" spans="16:39" x14ac:dyDescent="0.25">
      <c r="P788" s="49"/>
      <c r="Q788" s="1"/>
      <c r="S788" s="1"/>
      <c r="T788" s="1"/>
      <c r="U788" s="1"/>
      <c r="V788" s="1"/>
      <c r="W788" s="1"/>
      <c r="X788" s="1"/>
      <c r="Y788" s="1"/>
      <c r="AB788" s="1"/>
      <c r="AC788" s="1"/>
      <c r="AD788" s="1"/>
      <c r="AE788" s="1"/>
      <c r="AF788" s="1"/>
      <c r="AG788" s="1"/>
      <c r="AH788" s="1"/>
      <c r="AI788" s="1"/>
      <c r="AJ788" s="1"/>
      <c r="AK788" s="1"/>
      <c r="AL788" s="1"/>
      <c r="AM788" s="1"/>
    </row>
    <row r="789" spans="16:39" x14ac:dyDescent="0.25">
      <c r="P789" s="49"/>
      <c r="Q789" s="1"/>
      <c r="S789" s="1"/>
      <c r="T789" s="1"/>
      <c r="U789" s="1"/>
      <c r="V789" s="1"/>
      <c r="W789" s="1"/>
      <c r="X789" s="1"/>
      <c r="Y789" s="1"/>
      <c r="AB789" s="1"/>
      <c r="AC789" s="1"/>
      <c r="AD789" s="1"/>
      <c r="AE789" s="1"/>
      <c r="AF789" s="1"/>
      <c r="AG789" s="1"/>
      <c r="AH789" s="1"/>
      <c r="AI789" s="1"/>
      <c r="AJ789" s="1"/>
      <c r="AK789" s="1"/>
      <c r="AL789" s="1"/>
      <c r="AM789" s="1"/>
    </row>
    <row r="790" spans="16:39" x14ac:dyDescent="0.25">
      <c r="P790" s="49"/>
      <c r="Q790" s="1"/>
      <c r="S790" s="1"/>
      <c r="T790" s="1"/>
      <c r="U790" s="1"/>
      <c r="V790" s="1"/>
      <c r="W790" s="1"/>
      <c r="X790" s="1"/>
      <c r="Y790" s="1"/>
      <c r="AB790" s="1"/>
      <c r="AC790" s="1"/>
      <c r="AD790" s="1"/>
      <c r="AE790" s="1"/>
      <c r="AF790" s="1"/>
      <c r="AG790" s="1"/>
      <c r="AH790" s="1"/>
      <c r="AI790" s="1"/>
      <c r="AJ790" s="1"/>
      <c r="AK790" s="1"/>
      <c r="AL790" s="1"/>
      <c r="AM790" s="1"/>
    </row>
    <row r="791" spans="16:39" x14ac:dyDescent="0.25">
      <c r="P791" s="49"/>
      <c r="Q791" s="1"/>
      <c r="S791" s="1"/>
      <c r="T791" s="1"/>
      <c r="U791" s="1"/>
      <c r="V791" s="1"/>
      <c r="W791" s="1"/>
      <c r="X791" s="1"/>
      <c r="Y791" s="1"/>
      <c r="AB791" s="1"/>
      <c r="AC791" s="1"/>
      <c r="AD791" s="1"/>
      <c r="AE791" s="1"/>
      <c r="AF791" s="1"/>
      <c r="AG791" s="1"/>
      <c r="AH791" s="1"/>
      <c r="AI791" s="1"/>
      <c r="AJ791" s="1"/>
      <c r="AK791" s="1"/>
      <c r="AL791" s="1"/>
      <c r="AM791" s="1"/>
    </row>
    <row r="792" spans="16:39" x14ac:dyDescent="0.25">
      <c r="P792" s="49"/>
      <c r="Q792" s="1"/>
      <c r="S792" s="1"/>
      <c r="T792" s="1"/>
      <c r="U792" s="1"/>
      <c r="V792" s="1"/>
      <c r="W792" s="1"/>
      <c r="X792" s="1"/>
      <c r="Y792" s="1"/>
      <c r="AB792" s="1"/>
      <c r="AC792" s="1"/>
      <c r="AD792" s="1"/>
      <c r="AE792" s="1"/>
      <c r="AF792" s="1"/>
      <c r="AG792" s="1"/>
      <c r="AH792" s="1"/>
      <c r="AI792" s="1"/>
      <c r="AJ792" s="1"/>
      <c r="AK792" s="1"/>
      <c r="AL792" s="1"/>
      <c r="AM792" s="1"/>
    </row>
    <row r="793" spans="16:39" x14ac:dyDescent="0.25">
      <c r="P793" s="49"/>
      <c r="Q793" s="1"/>
      <c r="S793" s="1"/>
      <c r="T793" s="1"/>
      <c r="U793" s="1"/>
      <c r="V793" s="1"/>
      <c r="W793" s="1"/>
      <c r="X793" s="1"/>
      <c r="Y793" s="1"/>
      <c r="AB793" s="1"/>
      <c r="AC793" s="1"/>
      <c r="AD793" s="1"/>
      <c r="AE793" s="1"/>
      <c r="AF793" s="1"/>
      <c r="AG793" s="1"/>
      <c r="AH793" s="1"/>
      <c r="AI793" s="1"/>
      <c r="AJ793" s="1"/>
      <c r="AK793" s="1"/>
      <c r="AL793" s="1"/>
      <c r="AM793" s="1"/>
    </row>
    <row r="794" spans="16:39" x14ac:dyDescent="0.25">
      <c r="P794" s="49"/>
      <c r="Q794" s="1"/>
      <c r="S794" s="1"/>
      <c r="T794" s="1"/>
      <c r="U794" s="1"/>
      <c r="V794" s="1"/>
      <c r="W794" s="1"/>
      <c r="X794" s="1"/>
      <c r="Y794" s="1"/>
      <c r="AB794" s="1"/>
      <c r="AC794" s="1"/>
      <c r="AD794" s="1"/>
      <c r="AE794" s="1"/>
      <c r="AF794" s="1"/>
      <c r="AG794" s="1"/>
      <c r="AH794" s="1"/>
      <c r="AI794" s="1"/>
      <c r="AJ794" s="1"/>
      <c r="AK794" s="1"/>
      <c r="AL794" s="1"/>
      <c r="AM794" s="1"/>
    </row>
    <row r="795" spans="16:39" x14ac:dyDescent="0.25">
      <c r="P795" s="49"/>
      <c r="Q795" s="1"/>
      <c r="S795" s="1"/>
      <c r="T795" s="1"/>
      <c r="U795" s="1"/>
      <c r="V795" s="1"/>
      <c r="W795" s="1"/>
      <c r="X795" s="1"/>
      <c r="Y795" s="1"/>
      <c r="AB795" s="1"/>
      <c r="AC795" s="1"/>
      <c r="AD795" s="1"/>
      <c r="AE795" s="1"/>
      <c r="AF795" s="1"/>
      <c r="AG795" s="1"/>
      <c r="AH795" s="1"/>
      <c r="AI795" s="1"/>
      <c r="AJ795" s="1"/>
      <c r="AK795" s="1"/>
      <c r="AL795" s="1"/>
      <c r="AM795" s="1"/>
    </row>
    <row r="796" spans="16:39" x14ac:dyDescent="0.25">
      <c r="P796" s="49"/>
      <c r="Q796" s="1"/>
      <c r="S796" s="1"/>
      <c r="T796" s="1"/>
      <c r="U796" s="1"/>
      <c r="V796" s="1"/>
      <c r="W796" s="1"/>
      <c r="X796" s="1"/>
      <c r="Y796" s="1"/>
      <c r="AB796" s="1"/>
      <c r="AC796" s="1"/>
      <c r="AD796" s="1"/>
      <c r="AE796" s="1"/>
      <c r="AF796" s="1"/>
      <c r="AG796" s="1"/>
      <c r="AH796" s="1"/>
      <c r="AI796" s="1"/>
      <c r="AJ796" s="1"/>
      <c r="AK796" s="1"/>
      <c r="AL796" s="1"/>
      <c r="AM796" s="1"/>
    </row>
    <row r="797" spans="16:39" x14ac:dyDescent="0.25">
      <c r="P797" s="49"/>
      <c r="Q797" s="1"/>
      <c r="S797" s="1"/>
      <c r="T797" s="1"/>
      <c r="U797" s="1"/>
      <c r="V797" s="1"/>
      <c r="W797" s="1"/>
      <c r="X797" s="1"/>
      <c r="Y797" s="1"/>
      <c r="AB797" s="1"/>
      <c r="AC797" s="1"/>
      <c r="AD797" s="1"/>
      <c r="AE797" s="1"/>
      <c r="AF797" s="1"/>
      <c r="AG797" s="1"/>
      <c r="AH797" s="1"/>
      <c r="AI797" s="1"/>
      <c r="AJ797" s="1"/>
      <c r="AK797" s="1"/>
      <c r="AL797" s="1"/>
      <c r="AM797" s="1"/>
    </row>
    <row r="798" spans="16:39" x14ac:dyDescent="0.25">
      <c r="P798" s="49"/>
      <c r="Q798" s="1"/>
      <c r="S798" s="1"/>
      <c r="T798" s="1"/>
      <c r="U798" s="1"/>
      <c r="V798" s="1"/>
      <c r="W798" s="1"/>
      <c r="X798" s="1"/>
      <c r="Y798" s="1"/>
      <c r="AB798" s="1"/>
      <c r="AC798" s="1"/>
      <c r="AD798" s="1"/>
      <c r="AE798" s="1"/>
      <c r="AF798" s="1"/>
      <c r="AG798" s="1"/>
      <c r="AH798" s="1"/>
      <c r="AI798" s="1"/>
      <c r="AJ798" s="1"/>
      <c r="AK798" s="1"/>
      <c r="AL798" s="1"/>
      <c r="AM798" s="1"/>
    </row>
    <row r="799" spans="16:39" x14ac:dyDescent="0.25">
      <c r="P799" s="49"/>
      <c r="Q799" s="1"/>
      <c r="S799" s="1"/>
      <c r="T799" s="1"/>
      <c r="U799" s="1"/>
      <c r="V799" s="1"/>
      <c r="W799" s="1"/>
      <c r="X799" s="1"/>
      <c r="Y799" s="1"/>
      <c r="AB799" s="1"/>
      <c r="AC799" s="1"/>
      <c r="AD799" s="1"/>
      <c r="AE799" s="1"/>
      <c r="AF799" s="1"/>
      <c r="AG799" s="1"/>
      <c r="AH799" s="1"/>
      <c r="AI799" s="1"/>
      <c r="AJ799" s="1"/>
      <c r="AK799" s="1"/>
      <c r="AL799" s="1"/>
      <c r="AM799" s="1"/>
    </row>
    <row r="800" spans="16:39" x14ac:dyDescent="0.25">
      <c r="P800" s="49"/>
      <c r="Q800" s="1"/>
      <c r="S800" s="1"/>
      <c r="T800" s="1"/>
      <c r="U800" s="1"/>
      <c r="V800" s="1"/>
      <c r="W800" s="1"/>
      <c r="X800" s="1"/>
      <c r="Y800" s="1"/>
      <c r="AB800" s="1"/>
      <c r="AC800" s="1"/>
      <c r="AD800" s="1"/>
      <c r="AE800" s="1"/>
      <c r="AF800" s="1"/>
      <c r="AG800" s="1"/>
      <c r="AH800" s="1"/>
      <c r="AI800" s="1"/>
      <c r="AJ800" s="1"/>
      <c r="AK800" s="1"/>
      <c r="AL800" s="1"/>
      <c r="AM800" s="1"/>
    </row>
    <row r="801" spans="16:39" x14ac:dyDescent="0.25">
      <c r="P801" s="49"/>
      <c r="Q801" s="1"/>
      <c r="S801" s="1"/>
      <c r="T801" s="1"/>
      <c r="U801" s="1"/>
      <c r="V801" s="1"/>
      <c r="W801" s="1"/>
      <c r="X801" s="1"/>
      <c r="Y801" s="1"/>
      <c r="AB801" s="1"/>
      <c r="AC801" s="1"/>
      <c r="AD801" s="1"/>
      <c r="AE801" s="1"/>
      <c r="AF801" s="1"/>
      <c r="AG801" s="1"/>
      <c r="AH801" s="1"/>
      <c r="AI801" s="1"/>
      <c r="AJ801" s="1"/>
      <c r="AK801" s="1"/>
      <c r="AL801" s="1"/>
      <c r="AM801" s="1"/>
    </row>
    <row r="802" spans="16:39" x14ac:dyDescent="0.25">
      <c r="P802" s="49"/>
      <c r="Q802" s="1"/>
      <c r="S802" s="1"/>
      <c r="T802" s="1"/>
      <c r="U802" s="1"/>
      <c r="V802" s="1"/>
      <c r="W802" s="1"/>
      <c r="X802" s="1"/>
      <c r="Y802" s="1"/>
      <c r="AB802" s="1"/>
      <c r="AC802" s="1"/>
      <c r="AD802" s="1"/>
      <c r="AE802" s="1"/>
      <c r="AF802" s="1"/>
      <c r="AG802" s="1"/>
      <c r="AH802" s="1"/>
      <c r="AI802" s="1"/>
      <c r="AJ802" s="1"/>
      <c r="AK802" s="1"/>
      <c r="AL802" s="1"/>
      <c r="AM802" s="1"/>
    </row>
    <row r="803" spans="16:39" x14ac:dyDescent="0.25">
      <c r="P803" s="49"/>
      <c r="Q803" s="1"/>
      <c r="S803" s="1"/>
      <c r="T803" s="1"/>
      <c r="U803" s="1"/>
      <c r="V803" s="1"/>
      <c r="W803" s="1"/>
      <c r="X803" s="1"/>
      <c r="Y803" s="1"/>
      <c r="AB803" s="1"/>
      <c r="AC803" s="1"/>
      <c r="AD803" s="1"/>
      <c r="AE803" s="1"/>
      <c r="AF803" s="1"/>
      <c r="AG803" s="1"/>
      <c r="AH803" s="1"/>
      <c r="AI803" s="1"/>
      <c r="AJ803" s="1"/>
      <c r="AK803" s="1"/>
      <c r="AL803" s="1"/>
      <c r="AM803" s="1"/>
    </row>
    <row r="804" spans="16:39" x14ac:dyDescent="0.25">
      <c r="P804" s="49"/>
      <c r="Q804" s="1"/>
      <c r="S804" s="1"/>
      <c r="T804" s="1"/>
      <c r="U804" s="1"/>
      <c r="V804" s="1"/>
      <c r="W804" s="1"/>
      <c r="X804" s="1"/>
      <c r="Y804" s="1"/>
      <c r="AB804" s="1"/>
      <c r="AC804" s="1"/>
      <c r="AD804" s="1"/>
      <c r="AE804" s="1"/>
      <c r="AF804" s="1"/>
      <c r="AG804" s="1"/>
      <c r="AH804" s="1"/>
      <c r="AI804" s="1"/>
      <c r="AJ804" s="1"/>
      <c r="AK804" s="1"/>
      <c r="AL804" s="1"/>
      <c r="AM804" s="1"/>
    </row>
    <row r="805" spans="16:39" x14ac:dyDescent="0.25">
      <c r="P805" s="49"/>
      <c r="Q805" s="1"/>
      <c r="S805" s="1"/>
      <c r="T805" s="1"/>
      <c r="U805" s="1"/>
      <c r="V805" s="1"/>
      <c r="W805" s="1"/>
      <c r="X805" s="1"/>
      <c r="Y805" s="1"/>
      <c r="AB805" s="1"/>
      <c r="AC805" s="1"/>
      <c r="AD805" s="1"/>
      <c r="AE805" s="1"/>
      <c r="AF805" s="1"/>
      <c r="AG805" s="1"/>
      <c r="AH805" s="1"/>
      <c r="AI805" s="1"/>
      <c r="AJ805" s="1"/>
      <c r="AK805" s="1"/>
      <c r="AL805" s="1"/>
      <c r="AM805" s="1"/>
    </row>
    <row r="806" spans="16:39" x14ac:dyDescent="0.25">
      <c r="P806" s="49"/>
      <c r="Q806" s="1"/>
      <c r="S806" s="1"/>
      <c r="T806" s="1"/>
      <c r="U806" s="1"/>
      <c r="V806" s="1"/>
      <c r="W806" s="1"/>
      <c r="X806" s="1"/>
      <c r="Y806" s="1"/>
      <c r="AB806" s="1"/>
      <c r="AC806" s="1"/>
      <c r="AD806" s="1"/>
      <c r="AE806" s="1"/>
      <c r="AF806" s="1"/>
      <c r="AG806" s="1"/>
      <c r="AH806" s="1"/>
      <c r="AI806" s="1"/>
      <c r="AJ806" s="1"/>
      <c r="AK806" s="1"/>
      <c r="AL806" s="1"/>
      <c r="AM806" s="1"/>
    </row>
    <row r="807" spans="16:39" x14ac:dyDescent="0.25">
      <c r="P807" s="49"/>
      <c r="Q807" s="1"/>
      <c r="S807" s="1"/>
      <c r="T807" s="1"/>
      <c r="U807" s="1"/>
      <c r="V807" s="1"/>
      <c r="W807" s="1"/>
      <c r="X807" s="1"/>
      <c r="Y807" s="1"/>
      <c r="AB807" s="1"/>
      <c r="AC807" s="1"/>
      <c r="AD807" s="1"/>
      <c r="AE807" s="1"/>
      <c r="AF807" s="1"/>
      <c r="AG807" s="1"/>
      <c r="AH807" s="1"/>
      <c r="AI807" s="1"/>
      <c r="AJ807" s="1"/>
      <c r="AK807" s="1"/>
      <c r="AL807" s="1"/>
      <c r="AM807" s="1"/>
    </row>
    <row r="808" spans="16:39" x14ac:dyDescent="0.25">
      <c r="P808" s="49"/>
      <c r="Q808" s="1"/>
      <c r="S808" s="1"/>
      <c r="T808" s="1"/>
      <c r="U808" s="1"/>
      <c r="V808" s="1"/>
      <c r="W808" s="1"/>
      <c r="X808" s="1"/>
      <c r="Y808" s="1"/>
      <c r="AB808" s="1"/>
      <c r="AC808" s="1"/>
      <c r="AD808" s="1"/>
      <c r="AE808" s="1"/>
      <c r="AF808" s="1"/>
      <c r="AG808" s="1"/>
      <c r="AH808" s="1"/>
      <c r="AI808" s="1"/>
      <c r="AJ808" s="1"/>
      <c r="AK808" s="1"/>
      <c r="AL808" s="1"/>
      <c r="AM808" s="1"/>
    </row>
    <row r="809" spans="16:39" x14ac:dyDescent="0.25">
      <c r="P809" s="49"/>
      <c r="Q809" s="1"/>
      <c r="S809" s="1"/>
      <c r="T809" s="1"/>
      <c r="U809" s="1"/>
      <c r="V809" s="1"/>
      <c r="W809" s="1"/>
      <c r="X809" s="1"/>
      <c r="Y809" s="1"/>
      <c r="AB809" s="1"/>
      <c r="AC809" s="1"/>
      <c r="AD809" s="1"/>
      <c r="AE809" s="1"/>
      <c r="AF809" s="1"/>
      <c r="AG809" s="1"/>
      <c r="AH809" s="1"/>
      <c r="AI809" s="1"/>
      <c r="AJ809" s="1"/>
      <c r="AK809" s="1"/>
      <c r="AL809" s="1"/>
      <c r="AM809" s="1"/>
    </row>
    <row r="810" spans="16:39" x14ac:dyDescent="0.25">
      <c r="P810" s="49"/>
      <c r="Q810" s="1"/>
      <c r="S810" s="1"/>
      <c r="T810" s="1"/>
      <c r="U810" s="1"/>
      <c r="V810" s="1"/>
      <c r="W810" s="1"/>
      <c r="X810" s="1"/>
      <c r="Y810" s="1"/>
      <c r="AB810" s="1"/>
      <c r="AC810" s="1"/>
      <c r="AD810" s="1"/>
      <c r="AE810" s="1"/>
      <c r="AF810" s="1"/>
      <c r="AG810" s="1"/>
      <c r="AH810" s="1"/>
      <c r="AI810" s="1"/>
      <c r="AJ810" s="1"/>
      <c r="AK810" s="1"/>
      <c r="AL810" s="1"/>
      <c r="AM810" s="1"/>
    </row>
    <row r="811" spans="16:39" x14ac:dyDescent="0.25">
      <c r="P811" s="49"/>
      <c r="Q811" s="1"/>
      <c r="S811" s="1"/>
      <c r="T811" s="1"/>
      <c r="U811" s="1"/>
      <c r="V811" s="1"/>
      <c r="W811" s="1"/>
      <c r="X811" s="1"/>
      <c r="Y811" s="1"/>
      <c r="AB811" s="1"/>
      <c r="AC811" s="1"/>
      <c r="AD811" s="1"/>
      <c r="AE811" s="1"/>
      <c r="AF811" s="1"/>
      <c r="AG811" s="1"/>
      <c r="AH811" s="1"/>
      <c r="AI811" s="1"/>
      <c r="AJ811" s="1"/>
      <c r="AK811" s="1"/>
      <c r="AL811" s="1"/>
      <c r="AM811" s="1"/>
    </row>
    <row r="812" spans="16:39" x14ac:dyDescent="0.25">
      <c r="P812" s="49"/>
      <c r="Q812" s="1"/>
      <c r="S812" s="1"/>
      <c r="T812" s="1"/>
      <c r="U812" s="1"/>
      <c r="V812" s="1"/>
      <c r="W812" s="1"/>
      <c r="X812" s="1"/>
      <c r="Y812" s="1"/>
      <c r="AB812" s="1"/>
      <c r="AC812" s="1"/>
      <c r="AD812" s="1"/>
      <c r="AE812" s="1"/>
      <c r="AF812" s="1"/>
      <c r="AG812" s="1"/>
      <c r="AH812" s="1"/>
      <c r="AI812" s="1"/>
      <c r="AJ812" s="1"/>
      <c r="AK812" s="1"/>
      <c r="AL812" s="1"/>
      <c r="AM812" s="1"/>
    </row>
    <row r="813" spans="16:39" x14ac:dyDescent="0.25">
      <c r="P813" s="49"/>
      <c r="Q813" s="1"/>
      <c r="S813" s="1"/>
      <c r="T813" s="1"/>
      <c r="U813" s="1"/>
      <c r="V813" s="1"/>
      <c r="W813" s="1"/>
      <c r="X813" s="1"/>
      <c r="Y813" s="1"/>
      <c r="AB813" s="1"/>
      <c r="AC813" s="1"/>
      <c r="AD813" s="1"/>
      <c r="AE813" s="1"/>
      <c r="AF813" s="1"/>
      <c r="AG813" s="1"/>
      <c r="AH813" s="1"/>
      <c r="AI813" s="1"/>
      <c r="AJ813" s="1"/>
      <c r="AK813" s="1"/>
      <c r="AL813" s="1"/>
      <c r="AM813" s="1"/>
    </row>
    <row r="814" spans="16:39" x14ac:dyDescent="0.25">
      <c r="P814" s="49"/>
      <c r="Q814" s="1"/>
      <c r="S814" s="1"/>
      <c r="T814" s="1"/>
      <c r="U814" s="1"/>
      <c r="V814" s="1"/>
      <c r="W814" s="1"/>
      <c r="X814" s="1"/>
      <c r="Y814" s="1"/>
      <c r="AB814" s="1"/>
      <c r="AC814" s="1"/>
      <c r="AD814" s="1"/>
      <c r="AE814" s="1"/>
      <c r="AF814" s="1"/>
      <c r="AG814" s="1"/>
      <c r="AH814" s="1"/>
      <c r="AI814" s="1"/>
      <c r="AJ814" s="1"/>
      <c r="AK814" s="1"/>
      <c r="AL814" s="1"/>
      <c r="AM814" s="1"/>
    </row>
    <row r="815" spans="16:39" x14ac:dyDescent="0.25">
      <c r="P815" s="49"/>
      <c r="Q815" s="1"/>
      <c r="S815" s="1"/>
      <c r="T815" s="1"/>
      <c r="U815" s="1"/>
      <c r="V815" s="1"/>
      <c r="W815" s="1"/>
      <c r="X815" s="1"/>
      <c r="Y815" s="1"/>
      <c r="AB815" s="1"/>
      <c r="AC815" s="1"/>
      <c r="AD815" s="1"/>
      <c r="AE815" s="1"/>
      <c r="AF815" s="1"/>
      <c r="AG815" s="1"/>
      <c r="AH815" s="1"/>
      <c r="AI815" s="1"/>
      <c r="AJ815" s="1"/>
      <c r="AK815" s="1"/>
      <c r="AL815" s="1"/>
      <c r="AM815" s="1"/>
    </row>
    <row r="816" spans="16:39" x14ac:dyDescent="0.25">
      <c r="P816" s="49"/>
      <c r="Q816" s="1"/>
      <c r="S816" s="1"/>
      <c r="T816" s="1"/>
      <c r="U816" s="1"/>
      <c r="V816" s="1"/>
      <c r="W816" s="1"/>
      <c r="X816" s="1"/>
      <c r="Y816" s="1"/>
      <c r="AB816" s="1"/>
      <c r="AC816" s="1"/>
      <c r="AD816" s="1"/>
      <c r="AE816" s="1"/>
      <c r="AF816" s="1"/>
      <c r="AG816" s="1"/>
      <c r="AH816" s="1"/>
      <c r="AI816" s="1"/>
      <c r="AJ816" s="1"/>
      <c r="AK816" s="1"/>
      <c r="AL816" s="1"/>
      <c r="AM816" s="1"/>
    </row>
    <row r="817" spans="16:39" x14ac:dyDescent="0.25">
      <c r="P817" s="49"/>
      <c r="Q817" s="1"/>
      <c r="S817" s="1"/>
      <c r="T817" s="1"/>
      <c r="U817" s="1"/>
      <c r="V817" s="1"/>
      <c r="W817" s="1"/>
      <c r="X817" s="1"/>
      <c r="Y817" s="1"/>
      <c r="AB817" s="1"/>
      <c r="AC817" s="1"/>
      <c r="AD817" s="1"/>
      <c r="AE817" s="1"/>
      <c r="AF817" s="1"/>
      <c r="AG817" s="1"/>
      <c r="AH817" s="1"/>
      <c r="AI817" s="1"/>
      <c r="AJ817" s="1"/>
      <c r="AK817" s="1"/>
      <c r="AL817" s="1"/>
      <c r="AM817" s="1"/>
    </row>
    <row r="818" spans="16:39" x14ac:dyDescent="0.25">
      <c r="P818" s="49"/>
      <c r="Q818" s="1"/>
      <c r="S818" s="1"/>
      <c r="T818" s="1"/>
      <c r="U818" s="1"/>
      <c r="V818" s="1"/>
      <c r="W818" s="1"/>
      <c r="X818" s="1"/>
      <c r="Y818" s="1"/>
      <c r="AB818" s="1"/>
      <c r="AC818" s="1"/>
      <c r="AD818" s="1"/>
      <c r="AE818" s="1"/>
      <c r="AF818" s="1"/>
      <c r="AG818" s="1"/>
      <c r="AH818" s="1"/>
      <c r="AI818" s="1"/>
      <c r="AJ818" s="1"/>
      <c r="AK818" s="1"/>
      <c r="AL818" s="1"/>
      <c r="AM818" s="1"/>
    </row>
    <row r="819" spans="16:39" x14ac:dyDescent="0.25">
      <c r="P819" s="49"/>
      <c r="Q819" s="1"/>
      <c r="S819" s="1"/>
      <c r="T819" s="1"/>
      <c r="U819" s="1"/>
      <c r="V819" s="1"/>
      <c r="W819" s="1"/>
      <c r="X819" s="1"/>
      <c r="Y819" s="1"/>
      <c r="AB819" s="1"/>
      <c r="AC819" s="1"/>
      <c r="AD819" s="1"/>
      <c r="AE819" s="1"/>
      <c r="AF819" s="1"/>
      <c r="AG819" s="1"/>
      <c r="AH819" s="1"/>
      <c r="AI819" s="1"/>
      <c r="AJ819" s="1"/>
      <c r="AK819" s="1"/>
      <c r="AL819" s="1"/>
      <c r="AM819" s="1"/>
    </row>
    <row r="820" spans="16:39" x14ac:dyDescent="0.25">
      <c r="P820" s="49"/>
      <c r="Q820" s="1"/>
      <c r="S820" s="1"/>
      <c r="T820" s="1"/>
      <c r="U820" s="1"/>
      <c r="V820" s="1"/>
      <c r="W820" s="1"/>
      <c r="X820" s="1"/>
      <c r="Y820" s="1"/>
      <c r="AB820" s="1"/>
      <c r="AC820" s="1"/>
      <c r="AD820" s="1"/>
      <c r="AE820" s="1"/>
      <c r="AF820" s="1"/>
      <c r="AG820" s="1"/>
      <c r="AH820" s="1"/>
      <c r="AI820" s="1"/>
      <c r="AJ820" s="1"/>
      <c r="AK820" s="1"/>
      <c r="AL820" s="1"/>
      <c r="AM820" s="1"/>
    </row>
    <row r="821" spans="16:39" x14ac:dyDescent="0.25">
      <c r="P821" s="49"/>
      <c r="Q821" s="1"/>
      <c r="S821" s="1"/>
      <c r="T821" s="1"/>
      <c r="U821" s="1"/>
      <c r="V821" s="1"/>
      <c r="W821" s="1"/>
      <c r="X821" s="1"/>
      <c r="Y821" s="1"/>
      <c r="AB821" s="1"/>
      <c r="AC821" s="1"/>
      <c r="AD821" s="1"/>
      <c r="AE821" s="1"/>
      <c r="AF821" s="1"/>
      <c r="AG821" s="1"/>
      <c r="AH821" s="1"/>
      <c r="AI821" s="1"/>
      <c r="AJ821" s="1"/>
      <c r="AK821" s="1"/>
      <c r="AL821" s="1"/>
      <c r="AM821" s="1"/>
    </row>
    <row r="822" spans="16:39" x14ac:dyDescent="0.25">
      <c r="P822" s="49"/>
      <c r="Q822" s="1"/>
      <c r="S822" s="1"/>
      <c r="T822" s="1"/>
      <c r="U822" s="1"/>
      <c r="V822" s="1"/>
      <c r="W822" s="1"/>
      <c r="X822" s="1"/>
      <c r="Y822" s="1"/>
      <c r="AB822" s="1"/>
      <c r="AC822" s="1"/>
      <c r="AD822" s="1"/>
      <c r="AE822" s="1"/>
      <c r="AF822" s="1"/>
      <c r="AG822" s="1"/>
      <c r="AH822" s="1"/>
      <c r="AI822" s="1"/>
      <c r="AJ822" s="1"/>
      <c r="AK822" s="1"/>
      <c r="AL822" s="1"/>
      <c r="AM822" s="1"/>
    </row>
    <row r="823" spans="16:39" x14ac:dyDescent="0.25">
      <c r="P823" s="49"/>
      <c r="Q823" s="1"/>
      <c r="S823" s="1"/>
      <c r="T823" s="1"/>
      <c r="U823" s="1"/>
      <c r="V823" s="1"/>
      <c r="W823" s="1"/>
      <c r="X823" s="1"/>
      <c r="Y823" s="1"/>
      <c r="AB823" s="1"/>
      <c r="AC823" s="1"/>
      <c r="AD823" s="1"/>
      <c r="AE823" s="1"/>
      <c r="AF823" s="1"/>
      <c r="AG823" s="1"/>
      <c r="AH823" s="1"/>
      <c r="AI823" s="1"/>
      <c r="AJ823" s="1"/>
      <c r="AK823" s="1"/>
      <c r="AL823" s="1"/>
      <c r="AM823" s="1"/>
    </row>
    <row r="824" spans="16:39" x14ac:dyDescent="0.25">
      <c r="P824" s="49"/>
      <c r="Q824" s="1"/>
      <c r="S824" s="1"/>
      <c r="T824" s="1"/>
      <c r="U824" s="1"/>
      <c r="V824" s="1"/>
      <c r="W824" s="1"/>
      <c r="X824" s="1"/>
      <c r="Y824" s="1"/>
      <c r="AB824" s="1"/>
      <c r="AC824" s="1"/>
      <c r="AD824" s="1"/>
      <c r="AE824" s="1"/>
      <c r="AF824" s="1"/>
      <c r="AG824" s="1"/>
      <c r="AH824" s="1"/>
      <c r="AI824" s="1"/>
      <c r="AJ824" s="1"/>
      <c r="AK824" s="1"/>
      <c r="AL824" s="1"/>
      <c r="AM824" s="1"/>
    </row>
    <row r="825" spans="16:39" x14ac:dyDescent="0.25">
      <c r="P825" s="49"/>
      <c r="Q825" s="1"/>
      <c r="S825" s="1"/>
      <c r="T825" s="1"/>
      <c r="U825" s="1"/>
      <c r="V825" s="1"/>
      <c r="W825" s="1"/>
      <c r="X825" s="1"/>
      <c r="Y825" s="1"/>
      <c r="AB825" s="1"/>
      <c r="AC825" s="1"/>
      <c r="AD825" s="1"/>
      <c r="AE825" s="1"/>
      <c r="AF825" s="1"/>
      <c r="AG825" s="1"/>
      <c r="AH825" s="1"/>
      <c r="AI825" s="1"/>
      <c r="AJ825" s="1"/>
      <c r="AK825" s="1"/>
      <c r="AL825" s="1"/>
      <c r="AM825" s="1"/>
    </row>
    <row r="826" spans="16:39" x14ac:dyDescent="0.25">
      <c r="P826" s="49"/>
      <c r="Q826" s="1"/>
      <c r="S826" s="1"/>
      <c r="T826" s="1"/>
      <c r="U826" s="1"/>
      <c r="V826" s="1"/>
      <c r="W826" s="1"/>
      <c r="X826" s="1"/>
      <c r="Y826" s="1"/>
      <c r="AB826" s="1"/>
      <c r="AC826" s="1"/>
      <c r="AD826" s="1"/>
      <c r="AE826" s="1"/>
      <c r="AF826" s="1"/>
      <c r="AG826" s="1"/>
      <c r="AH826" s="1"/>
      <c r="AI826" s="1"/>
      <c r="AJ826" s="1"/>
      <c r="AK826" s="1"/>
      <c r="AL826" s="1"/>
      <c r="AM826" s="1"/>
    </row>
    <row r="827" spans="16:39" x14ac:dyDescent="0.25">
      <c r="P827" s="49"/>
      <c r="Q827" s="1"/>
      <c r="S827" s="1"/>
      <c r="T827" s="1"/>
      <c r="U827" s="1"/>
      <c r="V827" s="1"/>
      <c r="W827" s="1"/>
      <c r="X827" s="1"/>
      <c r="Y827" s="1"/>
      <c r="AB827" s="1"/>
      <c r="AC827" s="1"/>
      <c r="AD827" s="1"/>
      <c r="AE827" s="1"/>
      <c r="AF827" s="1"/>
      <c r="AG827" s="1"/>
      <c r="AH827" s="1"/>
      <c r="AI827" s="1"/>
      <c r="AJ827" s="1"/>
      <c r="AK827" s="1"/>
      <c r="AL827" s="1"/>
      <c r="AM827" s="1"/>
    </row>
    <row r="828" spans="16:39" x14ac:dyDescent="0.25">
      <c r="P828" s="49"/>
      <c r="Q828" s="1"/>
      <c r="S828" s="1"/>
      <c r="T828" s="1"/>
      <c r="U828" s="1"/>
      <c r="V828" s="1"/>
      <c r="W828" s="1"/>
      <c r="X828" s="1"/>
      <c r="Y828" s="1"/>
      <c r="AB828" s="1"/>
      <c r="AC828" s="1"/>
      <c r="AD828" s="1"/>
      <c r="AE828" s="1"/>
      <c r="AF828" s="1"/>
      <c r="AG828" s="1"/>
      <c r="AH828" s="1"/>
      <c r="AI828" s="1"/>
      <c r="AJ828" s="1"/>
      <c r="AK828" s="1"/>
      <c r="AL828" s="1"/>
      <c r="AM828" s="1"/>
    </row>
    <row r="829" spans="16:39" x14ac:dyDescent="0.25">
      <c r="P829" s="49"/>
      <c r="Q829" s="1"/>
      <c r="S829" s="1"/>
      <c r="T829" s="1"/>
      <c r="U829" s="1"/>
      <c r="V829" s="1"/>
      <c r="W829" s="1"/>
      <c r="X829" s="1"/>
      <c r="Y829" s="1"/>
      <c r="AB829" s="1"/>
      <c r="AC829" s="1"/>
      <c r="AD829" s="1"/>
      <c r="AE829" s="1"/>
      <c r="AF829" s="1"/>
      <c r="AG829" s="1"/>
      <c r="AH829" s="1"/>
      <c r="AI829" s="1"/>
      <c r="AJ829" s="1"/>
      <c r="AK829" s="1"/>
      <c r="AL829" s="1"/>
      <c r="AM829" s="1"/>
    </row>
    <row r="830" spans="16:39" x14ac:dyDescent="0.25">
      <c r="P830" s="49"/>
      <c r="Q830" s="1"/>
      <c r="S830" s="1"/>
      <c r="T830" s="1"/>
      <c r="U830" s="1"/>
      <c r="V830" s="1"/>
      <c r="W830" s="1"/>
      <c r="X830" s="1"/>
      <c r="Y830" s="1"/>
      <c r="AB830" s="1"/>
      <c r="AC830" s="1"/>
      <c r="AD830" s="1"/>
      <c r="AE830" s="1"/>
      <c r="AF830" s="1"/>
      <c r="AG830" s="1"/>
      <c r="AH830" s="1"/>
      <c r="AI830" s="1"/>
      <c r="AJ830" s="1"/>
      <c r="AK830" s="1"/>
      <c r="AL830" s="1"/>
      <c r="AM830" s="1"/>
    </row>
    <row r="831" spans="16:39" x14ac:dyDescent="0.25">
      <c r="P831" s="49"/>
      <c r="Q831" s="1"/>
      <c r="S831" s="1"/>
      <c r="T831" s="1"/>
      <c r="U831" s="1"/>
      <c r="V831" s="1"/>
      <c r="W831" s="1"/>
      <c r="X831" s="1"/>
      <c r="Y831" s="1"/>
      <c r="AB831" s="1"/>
      <c r="AC831" s="1"/>
      <c r="AD831" s="1"/>
      <c r="AE831" s="1"/>
      <c r="AF831" s="1"/>
      <c r="AG831" s="1"/>
      <c r="AH831" s="1"/>
      <c r="AI831" s="1"/>
      <c r="AJ831" s="1"/>
      <c r="AK831" s="1"/>
      <c r="AL831" s="1"/>
      <c r="AM831" s="1"/>
    </row>
    <row r="832" spans="16:39" x14ac:dyDescent="0.25">
      <c r="P832" s="49"/>
      <c r="Q832" s="1"/>
      <c r="S832" s="1"/>
      <c r="T832" s="1"/>
      <c r="U832" s="1"/>
      <c r="V832" s="1"/>
      <c r="W832" s="1"/>
      <c r="X832" s="1"/>
      <c r="Y832" s="1"/>
      <c r="AB832" s="1"/>
      <c r="AC832" s="1"/>
      <c r="AD832" s="1"/>
      <c r="AE832" s="1"/>
      <c r="AF832" s="1"/>
      <c r="AG832" s="1"/>
      <c r="AH832" s="1"/>
      <c r="AI832" s="1"/>
      <c r="AJ832" s="1"/>
      <c r="AK832" s="1"/>
      <c r="AL832" s="1"/>
      <c r="AM832" s="1"/>
    </row>
    <row r="833" spans="16:39" x14ac:dyDescent="0.25">
      <c r="P833" s="49"/>
      <c r="Q833" s="1"/>
      <c r="S833" s="1"/>
      <c r="T833" s="1"/>
      <c r="U833" s="1"/>
      <c r="V833" s="1"/>
      <c r="W833" s="1"/>
      <c r="X833" s="1"/>
      <c r="Y833" s="1"/>
      <c r="AB833" s="1"/>
      <c r="AC833" s="1"/>
      <c r="AD833" s="1"/>
      <c r="AE833" s="1"/>
      <c r="AF833" s="1"/>
      <c r="AG833" s="1"/>
      <c r="AH833" s="1"/>
      <c r="AI833" s="1"/>
      <c r="AJ833" s="1"/>
      <c r="AK833" s="1"/>
      <c r="AL833" s="1"/>
      <c r="AM833" s="1"/>
    </row>
    <row r="834" spans="16:39" x14ac:dyDescent="0.25">
      <c r="P834" s="49"/>
      <c r="Q834" s="1"/>
      <c r="S834" s="1"/>
      <c r="T834" s="1"/>
      <c r="U834" s="1"/>
      <c r="V834" s="1"/>
      <c r="W834" s="1"/>
      <c r="X834" s="1"/>
      <c r="Y834" s="1"/>
      <c r="AB834" s="1"/>
      <c r="AC834" s="1"/>
      <c r="AD834" s="1"/>
      <c r="AE834" s="1"/>
      <c r="AF834" s="1"/>
      <c r="AG834" s="1"/>
      <c r="AH834" s="1"/>
      <c r="AI834" s="1"/>
      <c r="AJ834" s="1"/>
      <c r="AK834" s="1"/>
      <c r="AL834" s="1"/>
      <c r="AM834" s="1"/>
    </row>
    <row r="835" spans="16:39" x14ac:dyDescent="0.25">
      <c r="P835" s="49"/>
      <c r="Q835" s="1"/>
      <c r="S835" s="1"/>
      <c r="T835" s="1"/>
      <c r="U835" s="1"/>
      <c r="V835" s="1"/>
      <c r="W835" s="1"/>
      <c r="X835" s="1"/>
      <c r="Y835" s="1"/>
      <c r="AB835" s="1"/>
      <c r="AC835" s="1"/>
      <c r="AD835" s="1"/>
      <c r="AE835" s="1"/>
      <c r="AF835" s="1"/>
      <c r="AG835" s="1"/>
      <c r="AH835" s="1"/>
      <c r="AI835" s="1"/>
      <c r="AJ835" s="1"/>
      <c r="AK835" s="1"/>
      <c r="AL835" s="1"/>
      <c r="AM835" s="1"/>
    </row>
    <row r="836" spans="16:39" x14ac:dyDescent="0.25">
      <c r="P836" s="49"/>
      <c r="Q836" s="1"/>
      <c r="S836" s="1"/>
      <c r="T836" s="1"/>
      <c r="U836" s="1"/>
      <c r="V836" s="1"/>
      <c r="W836" s="1"/>
      <c r="X836" s="1"/>
      <c r="Y836" s="1"/>
      <c r="AB836" s="1"/>
      <c r="AC836" s="1"/>
      <c r="AD836" s="1"/>
      <c r="AE836" s="1"/>
      <c r="AF836" s="1"/>
      <c r="AG836" s="1"/>
      <c r="AH836" s="1"/>
      <c r="AI836" s="1"/>
      <c r="AJ836" s="1"/>
      <c r="AK836" s="1"/>
      <c r="AL836" s="1"/>
      <c r="AM836" s="1"/>
    </row>
    <row r="837" spans="16:39" x14ac:dyDescent="0.25">
      <c r="P837" s="49"/>
      <c r="Q837" s="1"/>
      <c r="S837" s="1"/>
      <c r="T837" s="1"/>
      <c r="U837" s="1"/>
      <c r="V837" s="1"/>
      <c r="W837" s="1"/>
      <c r="X837" s="1"/>
      <c r="Y837" s="1"/>
      <c r="AB837" s="1"/>
      <c r="AC837" s="1"/>
      <c r="AD837" s="1"/>
      <c r="AE837" s="1"/>
      <c r="AF837" s="1"/>
      <c r="AG837" s="1"/>
      <c r="AH837" s="1"/>
      <c r="AI837" s="1"/>
      <c r="AJ837" s="1"/>
      <c r="AK837" s="1"/>
      <c r="AL837" s="1"/>
      <c r="AM837" s="1"/>
    </row>
    <row r="838" spans="16:39" x14ac:dyDescent="0.25">
      <c r="P838" s="49"/>
      <c r="Q838" s="1"/>
      <c r="S838" s="1"/>
      <c r="T838" s="1"/>
      <c r="U838" s="1"/>
      <c r="V838" s="1"/>
      <c r="W838" s="1"/>
      <c r="X838" s="1"/>
      <c r="Y838" s="1"/>
      <c r="AB838" s="1"/>
      <c r="AC838" s="1"/>
      <c r="AD838" s="1"/>
      <c r="AE838" s="1"/>
      <c r="AF838" s="1"/>
      <c r="AG838" s="1"/>
      <c r="AH838" s="1"/>
      <c r="AI838" s="1"/>
      <c r="AJ838" s="1"/>
      <c r="AK838" s="1"/>
      <c r="AL838" s="1"/>
      <c r="AM838" s="1"/>
    </row>
    <row r="839" spans="16:39" x14ac:dyDescent="0.25">
      <c r="P839" s="49"/>
      <c r="Q839" s="1"/>
      <c r="S839" s="1"/>
      <c r="T839" s="1"/>
      <c r="U839" s="1"/>
      <c r="V839" s="1"/>
      <c r="W839" s="1"/>
      <c r="X839" s="1"/>
      <c r="Y839" s="1"/>
      <c r="AB839" s="1"/>
      <c r="AC839" s="1"/>
      <c r="AD839" s="1"/>
      <c r="AE839" s="1"/>
      <c r="AF839" s="1"/>
      <c r="AG839" s="1"/>
      <c r="AH839" s="1"/>
      <c r="AI839" s="1"/>
      <c r="AJ839" s="1"/>
      <c r="AK839" s="1"/>
      <c r="AL839" s="1"/>
      <c r="AM839" s="1"/>
    </row>
    <row r="840" spans="16:39" x14ac:dyDescent="0.25">
      <c r="P840" s="49"/>
      <c r="Q840" s="1"/>
      <c r="S840" s="1"/>
      <c r="T840" s="1"/>
      <c r="U840" s="1"/>
      <c r="V840" s="1"/>
      <c r="W840" s="1"/>
      <c r="X840" s="1"/>
      <c r="Y840" s="1"/>
      <c r="AB840" s="1"/>
      <c r="AC840" s="1"/>
      <c r="AD840" s="1"/>
      <c r="AE840" s="1"/>
      <c r="AF840" s="1"/>
      <c r="AG840" s="1"/>
      <c r="AH840" s="1"/>
      <c r="AI840" s="1"/>
      <c r="AJ840" s="1"/>
      <c r="AK840" s="1"/>
      <c r="AL840" s="1"/>
      <c r="AM840" s="1"/>
    </row>
    <row r="841" spans="16:39" x14ac:dyDescent="0.25">
      <c r="P841" s="49"/>
      <c r="Q841" s="1"/>
      <c r="S841" s="1"/>
      <c r="T841" s="1"/>
      <c r="U841" s="1"/>
      <c r="V841" s="1"/>
      <c r="W841" s="1"/>
      <c r="X841" s="1"/>
      <c r="Y841" s="1"/>
      <c r="AB841" s="1"/>
      <c r="AC841" s="1"/>
      <c r="AD841" s="1"/>
      <c r="AE841" s="1"/>
      <c r="AF841" s="1"/>
      <c r="AG841" s="1"/>
      <c r="AH841" s="1"/>
      <c r="AI841" s="1"/>
      <c r="AJ841" s="1"/>
      <c r="AK841" s="1"/>
      <c r="AL841" s="1"/>
      <c r="AM841" s="1"/>
    </row>
    <row r="842" spans="16:39" x14ac:dyDescent="0.25">
      <c r="P842" s="49"/>
      <c r="Q842" s="1"/>
      <c r="S842" s="1"/>
      <c r="T842" s="1"/>
      <c r="U842" s="1"/>
      <c r="V842" s="1"/>
      <c r="W842" s="1"/>
      <c r="X842" s="1"/>
      <c r="Y842" s="1"/>
      <c r="AB842" s="1"/>
      <c r="AC842" s="1"/>
      <c r="AD842" s="1"/>
      <c r="AE842" s="1"/>
      <c r="AF842" s="1"/>
      <c r="AG842" s="1"/>
      <c r="AH842" s="1"/>
      <c r="AI842" s="1"/>
      <c r="AJ842" s="1"/>
      <c r="AK842" s="1"/>
      <c r="AL842" s="1"/>
      <c r="AM842" s="1"/>
    </row>
    <row r="843" spans="16:39" x14ac:dyDescent="0.25">
      <c r="P843" s="49"/>
      <c r="Q843" s="1"/>
      <c r="S843" s="1"/>
      <c r="T843" s="1"/>
      <c r="U843" s="1"/>
      <c r="V843" s="1"/>
      <c r="W843" s="1"/>
      <c r="X843" s="1"/>
      <c r="Y843" s="1"/>
      <c r="AB843" s="1"/>
      <c r="AC843" s="1"/>
      <c r="AD843" s="1"/>
      <c r="AE843" s="1"/>
      <c r="AF843" s="1"/>
      <c r="AG843" s="1"/>
      <c r="AH843" s="1"/>
      <c r="AI843" s="1"/>
      <c r="AJ843" s="1"/>
      <c r="AK843" s="1"/>
      <c r="AL843" s="1"/>
      <c r="AM843" s="1"/>
    </row>
    <row r="844" spans="16:39" x14ac:dyDescent="0.25">
      <c r="P844" s="49"/>
      <c r="Q844" s="1"/>
      <c r="S844" s="1"/>
      <c r="T844" s="1"/>
      <c r="U844" s="1"/>
      <c r="V844" s="1"/>
      <c r="W844" s="1"/>
      <c r="X844" s="1"/>
      <c r="Y844" s="1"/>
      <c r="AB844" s="1"/>
      <c r="AC844" s="1"/>
      <c r="AD844" s="1"/>
      <c r="AE844" s="1"/>
      <c r="AF844" s="1"/>
      <c r="AG844" s="1"/>
      <c r="AH844" s="1"/>
      <c r="AI844" s="1"/>
      <c r="AJ844" s="1"/>
      <c r="AK844" s="1"/>
      <c r="AL844" s="1"/>
      <c r="AM844" s="1"/>
    </row>
    <row r="845" spans="16:39" x14ac:dyDescent="0.25">
      <c r="P845" s="49"/>
      <c r="Q845" s="1"/>
      <c r="S845" s="1"/>
      <c r="T845" s="1"/>
      <c r="U845" s="1"/>
      <c r="V845" s="1"/>
      <c r="W845" s="1"/>
      <c r="X845" s="1"/>
      <c r="Y845" s="1"/>
      <c r="AB845" s="1"/>
      <c r="AC845" s="1"/>
      <c r="AD845" s="1"/>
      <c r="AE845" s="1"/>
      <c r="AF845" s="1"/>
      <c r="AG845" s="1"/>
      <c r="AH845" s="1"/>
      <c r="AI845" s="1"/>
      <c r="AJ845" s="1"/>
      <c r="AK845" s="1"/>
      <c r="AL845" s="1"/>
      <c r="AM845" s="1"/>
    </row>
    <row r="846" spans="16:39" x14ac:dyDescent="0.25">
      <c r="P846" s="49"/>
      <c r="Q846" s="1"/>
      <c r="S846" s="1"/>
      <c r="T846" s="1"/>
      <c r="U846" s="1"/>
      <c r="V846" s="1"/>
      <c r="W846" s="1"/>
      <c r="X846" s="1"/>
      <c r="Y846" s="1"/>
      <c r="AB846" s="1"/>
      <c r="AC846" s="1"/>
      <c r="AD846" s="1"/>
      <c r="AE846" s="1"/>
      <c r="AF846" s="1"/>
      <c r="AG846" s="1"/>
      <c r="AH846" s="1"/>
      <c r="AI846" s="1"/>
      <c r="AJ846" s="1"/>
      <c r="AK846" s="1"/>
      <c r="AL846" s="1"/>
      <c r="AM846" s="1"/>
    </row>
    <row r="847" spans="16:39" x14ac:dyDescent="0.25">
      <c r="P847" s="49"/>
      <c r="Q847" s="1"/>
      <c r="S847" s="1"/>
      <c r="T847" s="1"/>
      <c r="U847" s="1"/>
      <c r="V847" s="1"/>
      <c r="W847" s="1"/>
      <c r="X847" s="1"/>
      <c r="Y847" s="1"/>
      <c r="AB847" s="1"/>
      <c r="AC847" s="1"/>
      <c r="AD847" s="1"/>
      <c r="AE847" s="1"/>
      <c r="AF847" s="1"/>
      <c r="AG847" s="1"/>
      <c r="AH847" s="1"/>
      <c r="AI847" s="1"/>
      <c r="AJ847" s="1"/>
      <c r="AK847" s="1"/>
      <c r="AL847" s="1"/>
      <c r="AM847" s="1"/>
    </row>
    <row r="848" spans="16:39" x14ac:dyDescent="0.25">
      <c r="P848" s="49"/>
      <c r="Q848" s="1"/>
      <c r="S848" s="1"/>
      <c r="T848" s="1"/>
      <c r="U848" s="1"/>
      <c r="V848" s="1"/>
      <c r="W848" s="1"/>
      <c r="X848" s="1"/>
      <c r="Y848" s="1"/>
      <c r="AB848" s="1"/>
      <c r="AC848" s="1"/>
      <c r="AD848" s="1"/>
      <c r="AE848" s="1"/>
      <c r="AF848" s="1"/>
      <c r="AG848" s="1"/>
      <c r="AH848" s="1"/>
      <c r="AI848" s="1"/>
      <c r="AJ848" s="1"/>
      <c r="AK848" s="1"/>
      <c r="AL848" s="1"/>
      <c r="AM848" s="1"/>
    </row>
    <row r="849" spans="16:39" x14ac:dyDescent="0.25">
      <c r="P849" s="49"/>
      <c r="Q849" s="1"/>
      <c r="S849" s="1"/>
      <c r="T849" s="1"/>
      <c r="U849" s="1"/>
      <c r="V849" s="1"/>
      <c r="W849" s="1"/>
      <c r="X849" s="1"/>
      <c r="Y849" s="1"/>
      <c r="AB849" s="1"/>
      <c r="AC849" s="1"/>
      <c r="AD849" s="1"/>
      <c r="AE849" s="1"/>
      <c r="AF849" s="1"/>
      <c r="AG849" s="1"/>
      <c r="AH849" s="1"/>
      <c r="AI849" s="1"/>
      <c r="AJ849" s="1"/>
      <c r="AK849" s="1"/>
      <c r="AL849" s="1"/>
      <c r="AM849" s="1"/>
    </row>
    <row r="850" spans="16:39" x14ac:dyDescent="0.25">
      <c r="P850" s="49"/>
      <c r="Q850" s="1"/>
      <c r="S850" s="1"/>
      <c r="T850" s="1"/>
      <c r="U850" s="1"/>
      <c r="V850" s="1"/>
      <c r="W850" s="1"/>
      <c r="X850" s="1"/>
      <c r="Y850" s="1"/>
      <c r="AB850" s="1"/>
      <c r="AC850" s="1"/>
      <c r="AD850" s="1"/>
      <c r="AE850" s="1"/>
      <c r="AF850" s="1"/>
      <c r="AG850" s="1"/>
      <c r="AH850" s="1"/>
      <c r="AI850" s="1"/>
      <c r="AJ850" s="1"/>
      <c r="AK850" s="1"/>
      <c r="AL850" s="1"/>
      <c r="AM850" s="1"/>
    </row>
    <row r="851" spans="16:39" x14ac:dyDescent="0.25">
      <c r="P851" s="49"/>
      <c r="Q851" s="1"/>
      <c r="S851" s="1"/>
      <c r="T851" s="1"/>
      <c r="U851" s="1"/>
      <c r="V851" s="1"/>
      <c r="W851" s="1"/>
      <c r="X851" s="1"/>
      <c r="Y851" s="1"/>
      <c r="AB851" s="1"/>
      <c r="AC851" s="1"/>
      <c r="AD851" s="1"/>
      <c r="AE851" s="1"/>
      <c r="AF851" s="1"/>
      <c r="AG851" s="1"/>
      <c r="AH851" s="1"/>
      <c r="AI851" s="1"/>
      <c r="AJ851" s="1"/>
      <c r="AK851" s="1"/>
      <c r="AL851" s="1"/>
      <c r="AM851" s="1"/>
    </row>
    <row r="852" spans="16:39" x14ac:dyDescent="0.25">
      <c r="P852" s="49"/>
      <c r="Q852" s="1"/>
      <c r="S852" s="1"/>
      <c r="T852" s="1"/>
      <c r="U852" s="1"/>
      <c r="V852" s="1"/>
      <c r="W852" s="1"/>
      <c r="X852" s="1"/>
      <c r="Y852" s="1"/>
      <c r="AB852" s="1"/>
      <c r="AC852" s="1"/>
      <c r="AD852" s="1"/>
      <c r="AE852" s="1"/>
      <c r="AF852" s="1"/>
      <c r="AG852" s="1"/>
      <c r="AH852" s="1"/>
      <c r="AI852" s="1"/>
      <c r="AJ852" s="1"/>
      <c r="AK852" s="1"/>
      <c r="AL852" s="1"/>
      <c r="AM852" s="1"/>
    </row>
    <row r="853" spans="16:39" x14ac:dyDescent="0.25">
      <c r="P853" s="49"/>
      <c r="Q853" s="1"/>
      <c r="S853" s="1"/>
      <c r="T853" s="1"/>
      <c r="U853" s="1"/>
      <c r="V853" s="1"/>
      <c r="W853" s="1"/>
      <c r="X853" s="1"/>
      <c r="Y853" s="1"/>
      <c r="AB853" s="1"/>
      <c r="AC853" s="1"/>
      <c r="AD853" s="1"/>
      <c r="AE853" s="1"/>
      <c r="AF853" s="1"/>
      <c r="AG853" s="1"/>
      <c r="AH853" s="1"/>
      <c r="AI853" s="1"/>
      <c r="AJ853" s="1"/>
      <c r="AK853" s="1"/>
      <c r="AL853" s="1"/>
      <c r="AM853" s="1"/>
    </row>
    <row r="854" spans="16:39" x14ac:dyDescent="0.25">
      <c r="P854" s="49"/>
      <c r="Q854" s="1"/>
      <c r="S854" s="1"/>
      <c r="T854" s="1"/>
      <c r="U854" s="1"/>
      <c r="V854" s="1"/>
      <c r="W854" s="1"/>
      <c r="X854" s="1"/>
      <c r="Y854" s="1"/>
      <c r="AB854" s="1"/>
      <c r="AC854" s="1"/>
      <c r="AD854" s="1"/>
      <c r="AE854" s="1"/>
      <c r="AF854" s="1"/>
      <c r="AG854" s="1"/>
      <c r="AH854" s="1"/>
      <c r="AI854" s="1"/>
      <c r="AJ854" s="1"/>
      <c r="AK854" s="1"/>
      <c r="AL854" s="1"/>
      <c r="AM854" s="1"/>
    </row>
    <row r="855" spans="16:39" x14ac:dyDescent="0.25">
      <c r="P855" s="49"/>
      <c r="Q855" s="1"/>
      <c r="S855" s="1"/>
      <c r="T855" s="1"/>
      <c r="U855" s="1"/>
      <c r="V855" s="1"/>
      <c r="W855" s="1"/>
      <c r="X855" s="1"/>
      <c r="Y855" s="1"/>
      <c r="AB855" s="1"/>
      <c r="AC855" s="1"/>
      <c r="AD855" s="1"/>
      <c r="AE855" s="1"/>
      <c r="AF855" s="1"/>
      <c r="AG855" s="1"/>
      <c r="AH855" s="1"/>
      <c r="AI855" s="1"/>
      <c r="AJ855" s="1"/>
      <c r="AK855" s="1"/>
      <c r="AL855" s="1"/>
      <c r="AM855" s="1"/>
    </row>
    <row r="856" spans="16:39" x14ac:dyDescent="0.25">
      <c r="P856" s="49"/>
      <c r="Q856" s="1"/>
      <c r="S856" s="1"/>
      <c r="T856" s="1"/>
      <c r="U856" s="1"/>
      <c r="V856" s="1"/>
      <c r="W856" s="1"/>
      <c r="X856" s="1"/>
      <c r="Y856" s="1"/>
      <c r="AB856" s="1"/>
      <c r="AC856" s="1"/>
      <c r="AD856" s="1"/>
      <c r="AE856" s="1"/>
      <c r="AF856" s="1"/>
      <c r="AG856" s="1"/>
      <c r="AH856" s="1"/>
      <c r="AI856" s="1"/>
      <c r="AJ856" s="1"/>
      <c r="AK856" s="1"/>
      <c r="AL856" s="1"/>
      <c r="AM856" s="1"/>
    </row>
    <row r="857" spans="16:39" x14ac:dyDescent="0.25">
      <c r="P857" s="49"/>
      <c r="Q857" s="1"/>
      <c r="S857" s="1"/>
      <c r="T857" s="1"/>
      <c r="U857" s="1"/>
      <c r="V857" s="1"/>
      <c r="W857" s="1"/>
      <c r="X857" s="1"/>
      <c r="Y857" s="1"/>
      <c r="AB857" s="1"/>
      <c r="AC857" s="1"/>
      <c r="AD857" s="1"/>
      <c r="AE857" s="1"/>
      <c r="AF857" s="1"/>
      <c r="AG857" s="1"/>
      <c r="AH857" s="1"/>
      <c r="AI857" s="1"/>
      <c r="AJ857" s="1"/>
      <c r="AK857" s="1"/>
      <c r="AL857" s="1"/>
      <c r="AM857" s="1"/>
    </row>
    <row r="858" spans="16:39" x14ac:dyDescent="0.25">
      <c r="P858" s="49"/>
      <c r="Q858" s="1"/>
      <c r="S858" s="1"/>
      <c r="T858" s="1"/>
      <c r="U858" s="1"/>
      <c r="V858" s="1"/>
      <c r="W858" s="1"/>
      <c r="X858" s="1"/>
      <c r="Y858" s="1"/>
      <c r="AB858" s="1"/>
      <c r="AC858" s="1"/>
      <c r="AD858" s="1"/>
      <c r="AE858" s="1"/>
      <c r="AF858" s="1"/>
      <c r="AG858" s="1"/>
      <c r="AH858" s="1"/>
      <c r="AI858" s="1"/>
      <c r="AJ858" s="1"/>
      <c r="AK858" s="1"/>
      <c r="AL858" s="1"/>
      <c r="AM858" s="1"/>
    </row>
    <row r="859" spans="16:39" x14ac:dyDescent="0.25">
      <c r="P859" s="49"/>
      <c r="Q859" s="1"/>
      <c r="S859" s="1"/>
      <c r="T859" s="1"/>
      <c r="U859" s="1"/>
      <c r="V859" s="1"/>
      <c r="W859" s="1"/>
      <c r="X859" s="1"/>
      <c r="Y859" s="1"/>
      <c r="AB859" s="1"/>
      <c r="AC859" s="1"/>
      <c r="AD859" s="1"/>
      <c r="AE859" s="1"/>
      <c r="AF859" s="1"/>
      <c r="AG859" s="1"/>
      <c r="AH859" s="1"/>
      <c r="AI859" s="1"/>
      <c r="AJ859" s="1"/>
      <c r="AK859" s="1"/>
      <c r="AL859" s="1"/>
      <c r="AM859" s="1"/>
    </row>
    <row r="860" spans="16:39" x14ac:dyDescent="0.25">
      <c r="P860" s="49"/>
      <c r="Q860" s="1"/>
      <c r="S860" s="1"/>
      <c r="T860" s="1"/>
      <c r="U860" s="1"/>
      <c r="V860" s="1"/>
      <c r="W860" s="1"/>
      <c r="X860" s="1"/>
      <c r="Y860" s="1"/>
      <c r="AB860" s="1"/>
      <c r="AC860" s="1"/>
      <c r="AD860" s="1"/>
      <c r="AE860" s="1"/>
      <c r="AF860" s="1"/>
      <c r="AG860" s="1"/>
      <c r="AH860" s="1"/>
      <c r="AI860" s="1"/>
      <c r="AJ860" s="1"/>
      <c r="AK860" s="1"/>
      <c r="AL860" s="1"/>
      <c r="AM860" s="1"/>
    </row>
    <row r="861" spans="16:39" x14ac:dyDescent="0.25">
      <c r="P861" s="49"/>
      <c r="Q861" s="1"/>
      <c r="S861" s="1"/>
      <c r="T861" s="1"/>
      <c r="U861" s="1"/>
      <c r="V861" s="1"/>
      <c r="W861" s="1"/>
      <c r="X861" s="1"/>
      <c r="Y861" s="1"/>
      <c r="AB861" s="1"/>
      <c r="AC861" s="1"/>
      <c r="AD861" s="1"/>
      <c r="AE861" s="1"/>
      <c r="AF861" s="1"/>
      <c r="AG861" s="1"/>
      <c r="AH861" s="1"/>
      <c r="AI861" s="1"/>
      <c r="AJ861" s="1"/>
      <c r="AK861" s="1"/>
      <c r="AL861" s="1"/>
      <c r="AM861" s="1"/>
    </row>
    <row r="862" spans="16:39" x14ac:dyDescent="0.25">
      <c r="P862" s="49"/>
      <c r="Q862" s="1"/>
      <c r="S862" s="1"/>
      <c r="T862" s="1"/>
      <c r="U862" s="1"/>
      <c r="V862" s="1"/>
      <c r="W862" s="1"/>
      <c r="X862" s="1"/>
      <c r="Y862" s="1"/>
      <c r="AB862" s="1"/>
      <c r="AC862" s="1"/>
      <c r="AD862" s="1"/>
      <c r="AE862" s="1"/>
      <c r="AF862" s="1"/>
      <c r="AG862" s="1"/>
      <c r="AH862" s="1"/>
      <c r="AI862" s="1"/>
      <c r="AJ862" s="1"/>
      <c r="AK862" s="1"/>
      <c r="AL862" s="1"/>
      <c r="AM862" s="1"/>
    </row>
    <row r="863" spans="16:39" x14ac:dyDescent="0.25">
      <c r="P863" s="49"/>
      <c r="Q863" s="1"/>
      <c r="S863" s="1"/>
      <c r="T863" s="1"/>
      <c r="U863" s="1"/>
      <c r="V863" s="1"/>
      <c r="W863" s="1"/>
      <c r="X863" s="1"/>
      <c r="Y863" s="1"/>
      <c r="AB863" s="1"/>
      <c r="AC863" s="1"/>
      <c r="AD863" s="1"/>
      <c r="AE863" s="1"/>
      <c r="AF863" s="1"/>
      <c r="AG863" s="1"/>
      <c r="AH863" s="1"/>
      <c r="AI863" s="1"/>
      <c r="AJ863" s="1"/>
      <c r="AK863" s="1"/>
      <c r="AL863" s="1"/>
      <c r="AM863" s="1"/>
    </row>
    <row r="864" spans="16:39" x14ac:dyDescent="0.25">
      <c r="P864" s="49"/>
      <c r="Q864" s="1"/>
      <c r="S864" s="1"/>
      <c r="T864" s="1"/>
      <c r="U864" s="1"/>
      <c r="V864" s="1"/>
      <c r="W864" s="1"/>
      <c r="X864" s="1"/>
      <c r="Y864" s="1"/>
      <c r="AB864" s="1"/>
      <c r="AC864" s="1"/>
      <c r="AD864" s="1"/>
      <c r="AE864" s="1"/>
      <c r="AF864" s="1"/>
      <c r="AG864" s="1"/>
      <c r="AH864" s="1"/>
      <c r="AI864" s="1"/>
      <c r="AJ864" s="1"/>
      <c r="AK864" s="1"/>
      <c r="AL864" s="1"/>
      <c r="AM864" s="1"/>
    </row>
    <row r="865" spans="16:39" x14ac:dyDescent="0.25">
      <c r="P865" s="49"/>
      <c r="Q865" s="1"/>
      <c r="S865" s="1"/>
      <c r="T865" s="1"/>
      <c r="U865" s="1"/>
      <c r="V865" s="1"/>
      <c r="W865" s="1"/>
      <c r="X865" s="1"/>
      <c r="Y865" s="1"/>
      <c r="AB865" s="1"/>
      <c r="AC865" s="1"/>
      <c r="AD865" s="1"/>
      <c r="AE865" s="1"/>
      <c r="AF865" s="1"/>
      <c r="AG865" s="1"/>
      <c r="AH865" s="1"/>
      <c r="AI865" s="1"/>
      <c r="AJ865" s="1"/>
      <c r="AK865" s="1"/>
      <c r="AL865" s="1"/>
      <c r="AM865" s="1"/>
    </row>
    <row r="866" spans="16:39" x14ac:dyDescent="0.25">
      <c r="P866" s="49"/>
      <c r="Q866" s="1"/>
      <c r="S866" s="1"/>
      <c r="T866" s="1"/>
      <c r="U866" s="1"/>
      <c r="V866" s="1"/>
      <c r="W866" s="1"/>
      <c r="X866" s="1"/>
      <c r="Y866" s="1"/>
      <c r="AB866" s="1"/>
      <c r="AC866" s="1"/>
      <c r="AD866" s="1"/>
      <c r="AE866" s="1"/>
      <c r="AF866" s="1"/>
      <c r="AG866" s="1"/>
      <c r="AH866" s="1"/>
      <c r="AI866" s="1"/>
      <c r="AJ866" s="1"/>
      <c r="AK866" s="1"/>
      <c r="AL866" s="1"/>
      <c r="AM866" s="1"/>
    </row>
    <row r="867" spans="16:39" x14ac:dyDescent="0.25">
      <c r="P867" s="49"/>
      <c r="Q867" s="1"/>
      <c r="S867" s="1"/>
      <c r="T867" s="1"/>
      <c r="U867" s="1"/>
      <c r="V867" s="1"/>
      <c r="W867" s="1"/>
      <c r="X867" s="1"/>
      <c r="Y867" s="1"/>
      <c r="AB867" s="1"/>
      <c r="AC867" s="1"/>
      <c r="AD867" s="1"/>
      <c r="AE867" s="1"/>
      <c r="AF867" s="1"/>
      <c r="AG867" s="1"/>
      <c r="AH867" s="1"/>
      <c r="AI867" s="1"/>
      <c r="AJ867" s="1"/>
      <c r="AK867" s="1"/>
      <c r="AL867" s="1"/>
      <c r="AM867" s="1"/>
    </row>
    <row r="868" spans="16:39" x14ac:dyDescent="0.25">
      <c r="P868" s="49"/>
      <c r="Q868" s="1"/>
      <c r="S868" s="1"/>
      <c r="T868" s="1"/>
      <c r="U868" s="1"/>
      <c r="V868" s="1"/>
      <c r="W868" s="1"/>
      <c r="X868" s="1"/>
      <c r="Y868" s="1"/>
      <c r="AB868" s="1"/>
      <c r="AC868" s="1"/>
      <c r="AD868" s="1"/>
      <c r="AE868" s="1"/>
      <c r="AF868" s="1"/>
      <c r="AG868" s="1"/>
      <c r="AH868" s="1"/>
      <c r="AI868" s="1"/>
      <c r="AJ868" s="1"/>
      <c r="AK868" s="1"/>
      <c r="AL868" s="1"/>
      <c r="AM868" s="1"/>
    </row>
    <row r="869" spans="16:39" x14ac:dyDescent="0.25">
      <c r="P869" s="49"/>
      <c r="Q869" s="1"/>
      <c r="S869" s="1"/>
      <c r="T869" s="1"/>
      <c r="U869" s="1"/>
      <c r="V869" s="1"/>
      <c r="W869" s="1"/>
      <c r="X869" s="1"/>
      <c r="Y869" s="1"/>
      <c r="AB869" s="1"/>
      <c r="AC869" s="1"/>
      <c r="AD869" s="1"/>
      <c r="AE869" s="1"/>
      <c r="AF869" s="1"/>
      <c r="AG869" s="1"/>
      <c r="AH869" s="1"/>
      <c r="AI869" s="1"/>
      <c r="AJ869" s="1"/>
      <c r="AK869" s="1"/>
      <c r="AL869" s="1"/>
      <c r="AM869" s="1"/>
    </row>
    <row r="870" spans="16:39" x14ac:dyDescent="0.25">
      <c r="P870" s="49"/>
      <c r="Q870" s="1"/>
      <c r="S870" s="1"/>
      <c r="T870" s="1"/>
      <c r="U870" s="1"/>
      <c r="V870" s="1"/>
      <c r="W870" s="1"/>
      <c r="X870" s="1"/>
      <c r="Y870" s="1"/>
      <c r="AB870" s="1"/>
      <c r="AC870" s="1"/>
      <c r="AD870" s="1"/>
      <c r="AE870" s="1"/>
      <c r="AF870" s="1"/>
      <c r="AG870" s="1"/>
      <c r="AH870" s="1"/>
      <c r="AI870" s="1"/>
      <c r="AJ870" s="1"/>
      <c r="AK870" s="1"/>
      <c r="AL870" s="1"/>
      <c r="AM870" s="1"/>
    </row>
    <row r="871" spans="16:39" x14ac:dyDescent="0.25">
      <c r="P871" s="49"/>
      <c r="Q871" s="1"/>
      <c r="S871" s="1"/>
      <c r="T871" s="1"/>
      <c r="U871" s="1"/>
      <c r="V871" s="1"/>
      <c r="W871" s="1"/>
      <c r="X871" s="1"/>
      <c r="Y871" s="1"/>
      <c r="AB871" s="1"/>
      <c r="AC871" s="1"/>
      <c r="AD871" s="1"/>
      <c r="AE871" s="1"/>
      <c r="AF871" s="1"/>
      <c r="AG871" s="1"/>
      <c r="AH871" s="1"/>
      <c r="AI871" s="1"/>
      <c r="AJ871" s="1"/>
      <c r="AK871" s="1"/>
      <c r="AL871" s="1"/>
      <c r="AM871" s="1"/>
    </row>
    <row r="872" spans="16:39" x14ac:dyDescent="0.25">
      <c r="P872" s="49"/>
      <c r="Q872" s="1"/>
      <c r="S872" s="1"/>
      <c r="T872" s="1"/>
      <c r="U872" s="1"/>
      <c r="V872" s="1"/>
      <c r="W872" s="1"/>
      <c r="X872" s="1"/>
      <c r="Y872" s="1"/>
      <c r="AB872" s="1"/>
      <c r="AC872" s="1"/>
      <c r="AD872" s="1"/>
      <c r="AE872" s="1"/>
      <c r="AF872" s="1"/>
      <c r="AG872" s="1"/>
      <c r="AH872" s="1"/>
      <c r="AI872" s="1"/>
      <c r="AJ872" s="1"/>
      <c r="AK872" s="1"/>
      <c r="AL872" s="1"/>
      <c r="AM872" s="1"/>
    </row>
    <row r="873" spans="16:39" x14ac:dyDescent="0.25">
      <c r="P873" s="49"/>
      <c r="Q873" s="1"/>
      <c r="S873" s="1"/>
      <c r="T873" s="1"/>
      <c r="U873" s="1"/>
      <c r="V873" s="1"/>
      <c r="W873" s="1"/>
      <c r="X873" s="1"/>
      <c r="Y873" s="1"/>
      <c r="AB873" s="1"/>
      <c r="AC873" s="1"/>
      <c r="AD873" s="1"/>
      <c r="AE873" s="1"/>
      <c r="AF873" s="1"/>
      <c r="AG873" s="1"/>
      <c r="AH873" s="1"/>
      <c r="AI873" s="1"/>
      <c r="AJ873" s="1"/>
      <c r="AK873" s="1"/>
      <c r="AL873" s="1"/>
      <c r="AM873" s="1"/>
    </row>
    <row r="874" spans="16:39" x14ac:dyDescent="0.25">
      <c r="P874" s="49"/>
      <c r="Q874" s="1"/>
      <c r="S874" s="1"/>
      <c r="T874" s="1"/>
      <c r="U874" s="1"/>
      <c r="V874" s="1"/>
      <c r="W874" s="1"/>
      <c r="X874" s="1"/>
      <c r="Y874" s="1"/>
      <c r="AB874" s="1"/>
      <c r="AC874" s="1"/>
      <c r="AD874" s="1"/>
      <c r="AE874" s="1"/>
      <c r="AF874" s="1"/>
      <c r="AG874" s="1"/>
      <c r="AH874" s="1"/>
      <c r="AI874" s="1"/>
      <c r="AJ874" s="1"/>
      <c r="AK874" s="1"/>
      <c r="AL874" s="1"/>
      <c r="AM874" s="1"/>
    </row>
    <row r="875" spans="16:39" x14ac:dyDescent="0.25">
      <c r="P875" s="49"/>
      <c r="Q875" s="1"/>
      <c r="S875" s="1"/>
      <c r="T875" s="1"/>
      <c r="U875" s="1"/>
      <c r="V875" s="1"/>
      <c r="W875" s="1"/>
      <c r="X875" s="1"/>
      <c r="Y875" s="1"/>
      <c r="AB875" s="1"/>
      <c r="AC875" s="1"/>
      <c r="AD875" s="1"/>
      <c r="AE875" s="1"/>
      <c r="AF875" s="1"/>
      <c r="AG875" s="1"/>
      <c r="AH875" s="1"/>
      <c r="AI875" s="1"/>
      <c r="AJ875" s="1"/>
      <c r="AK875" s="1"/>
      <c r="AL875" s="1"/>
      <c r="AM875" s="1"/>
    </row>
    <row r="876" spans="16:39" x14ac:dyDescent="0.25">
      <c r="P876" s="49"/>
      <c r="Q876" s="1"/>
      <c r="S876" s="1"/>
      <c r="T876" s="1"/>
      <c r="U876" s="1"/>
      <c r="V876" s="1"/>
      <c r="W876" s="1"/>
      <c r="X876" s="1"/>
      <c r="Y876" s="1"/>
      <c r="AB876" s="1"/>
      <c r="AC876" s="1"/>
      <c r="AD876" s="1"/>
      <c r="AE876" s="1"/>
      <c r="AF876" s="1"/>
      <c r="AG876" s="1"/>
      <c r="AH876" s="1"/>
      <c r="AI876" s="1"/>
      <c r="AJ876" s="1"/>
      <c r="AK876" s="1"/>
      <c r="AL876" s="1"/>
      <c r="AM876" s="1"/>
    </row>
    <row r="877" spans="16:39" x14ac:dyDescent="0.25">
      <c r="P877" s="49"/>
      <c r="Q877" s="1"/>
      <c r="S877" s="1"/>
      <c r="T877" s="1"/>
      <c r="U877" s="1"/>
      <c r="V877" s="1"/>
      <c r="W877" s="1"/>
      <c r="X877" s="1"/>
      <c r="Y877" s="1"/>
      <c r="AB877" s="1"/>
      <c r="AC877" s="1"/>
      <c r="AD877" s="1"/>
      <c r="AE877" s="1"/>
      <c r="AF877" s="1"/>
      <c r="AG877" s="1"/>
      <c r="AH877" s="1"/>
      <c r="AI877" s="1"/>
      <c r="AJ877" s="1"/>
      <c r="AK877" s="1"/>
      <c r="AL877" s="1"/>
      <c r="AM877" s="1"/>
    </row>
    <row r="878" spans="16:39" x14ac:dyDescent="0.25">
      <c r="P878" s="49"/>
      <c r="Q878" s="1"/>
      <c r="S878" s="1"/>
      <c r="T878" s="1"/>
      <c r="U878" s="1"/>
      <c r="V878" s="1"/>
      <c r="W878" s="1"/>
      <c r="X878" s="1"/>
      <c r="Y878" s="1"/>
      <c r="AB878" s="1"/>
      <c r="AC878" s="1"/>
      <c r="AD878" s="1"/>
      <c r="AE878" s="1"/>
      <c r="AF878" s="1"/>
      <c r="AG878" s="1"/>
      <c r="AH878" s="1"/>
      <c r="AI878" s="1"/>
      <c r="AJ878" s="1"/>
      <c r="AK878" s="1"/>
      <c r="AL878" s="1"/>
      <c r="AM878" s="1"/>
    </row>
    <row r="879" spans="16:39" x14ac:dyDescent="0.25">
      <c r="P879" s="49"/>
      <c r="Q879" s="1"/>
      <c r="S879" s="1"/>
      <c r="T879" s="1"/>
      <c r="U879" s="1"/>
      <c r="V879" s="1"/>
      <c r="W879" s="1"/>
      <c r="X879" s="1"/>
      <c r="Y879" s="1"/>
      <c r="AB879" s="1"/>
      <c r="AC879" s="1"/>
      <c r="AD879" s="1"/>
      <c r="AE879" s="1"/>
      <c r="AF879" s="1"/>
      <c r="AG879" s="1"/>
      <c r="AH879" s="1"/>
      <c r="AI879" s="1"/>
      <c r="AJ879" s="1"/>
      <c r="AK879" s="1"/>
      <c r="AL879" s="1"/>
      <c r="AM879" s="1"/>
    </row>
    <row r="880" spans="16:39" x14ac:dyDescent="0.25">
      <c r="P880" s="49"/>
      <c r="Q880" s="1"/>
      <c r="S880" s="1"/>
      <c r="T880" s="1"/>
      <c r="U880" s="1"/>
      <c r="V880" s="1"/>
      <c r="W880" s="1"/>
      <c r="X880" s="1"/>
      <c r="Y880" s="1"/>
      <c r="AB880" s="1"/>
      <c r="AC880" s="1"/>
      <c r="AD880" s="1"/>
      <c r="AE880" s="1"/>
      <c r="AF880" s="1"/>
      <c r="AG880" s="1"/>
      <c r="AH880" s="1"/>
      <c r="AI880" s="1"/>
      <c r="AJ880" s="1"/>
      <c r="AK880" s="1"/>
      <c r="AL880" s="1"/>
      <c r="AM880" s="1"/>
    </row>
    <row r="881" spans="16:39" x14ac:dyDescent="0.25">
      <c r="P881" s="49"/>
      <c r="Q881" s="1"/>
      <c r="S881" s="1"/>
      <c r="T881" s="1"/>
      <c r="U881" s="1"/>
      <c r="V881" s="1"/>
      <c r="W881" s="1"/>
      <c r="X881" s="1"/>
      <c r="Y881" s="1"/>
      <c r="AB881" s="1"/>
      <c r="AC881" s="1"/>
      <c r="AD881" s="1"/>
      <c r="AE881" s="1"/>
      <c r="AF881" s="1"/>
      <c r="AG881" s="1"/>
      <c r="AH881" s="1"/>
      <c r="AI881" s="1"/>
      <c r="AJ881" s="1"/>
      <c r="AK881" s="1"/>
      <c r="AL881" s="1"/>
      <c r="AM881" s="1"/>
    </row>
    <row r="882" spans="16:39" x14ac:dyDescent="0.25">
      <c r="P882" s="49"/>
      <c r="Q882" s="1"/>
      <c r="S882" s="1"/>
      <c r="T882" s="1"/>
      <c r="U882" s="1"/>
      <c r="V882" s="1"/>
      <c r="W882" s="1"/>
      <c r="X882" s="1"/>
      <c r="Y882" s="1"/>
      <c r="AB882" s="1"/>
      <c r="AC882" s="1"/>
      <c r="AD882" s="1"/>
      <c r="AE882" s="1"/>
      <c r="AF882" s="1"/>
      <c r="AG882" s="1"/>
      <c r="AH882" s="1"/>
      <c r="AI882" s="1"/>
      <c r="AJ882" s="1"/>
      <c r="AK882" s="1"/>
      <c r="AL882" s="1"/>
      <c r="AM882" s="1"/>
    </row>
    <row r="883" spans="16:39" x14ac:dyDescent="0.25">
      <c r="P883" s="49"/>
      <c r="Q883" s="1"/>
      <c r="S883" s="1"/>
      <c r="T883" s="1"/>
      <c r="U883" s="1"/>
      <c r="V883" s="1"/>
      <c r="W883" s="1"/>
      <c r="X883" s="1"/>
      <c r="Y883" s="1"/>
      <c r="AB883" s="1"/>
      <c r="AC883" s="1"/>
      <c r="AD883" s="1"/>
      <c r="AE883" s="1"/>
      <c r="AF883" s="1"/>
      <c r="AG883" s="1"/>
      <c r="AH883" s="1"/>
      <c r="AI883" s="1"/>
      <c r="AJ883" s="1"/>
      <c r="AK883" s="1"/>
      <c r="AL883" s="1"/>
      <c r="AM883" s="1"/>
    </row>
    <row r="884" spans="16:39" x14ac:dyDescent="0.25">
      <c r="P884" s="49"/>
      <c r="Q884" s="1"/>
      <c r="S884" s="1"/>
      <c r="T884" s="1"/>
      <c r="U884" s="1"/>
      <c r="V884" s="1"/>
      <c r="W884" s="1"/>
      <c r="X884" s="1"/>
      <c r="Y884" s="1"/>
      <c r="AB884" s="1"/>
      <c r="AC884" s="1"/>
      <c r="AD884" s="1"/>
      <c r="AE884" s="1"/>
      <c r="AF884" s="1"/>
      <c r="AG884" s="1"/>
      <c r="AH884" s="1"/>
      <c r="AI884" s="1"/>
      <c r="AJ884" s="1"/>
      <c r="AK884" s="1"/>
      <c r="AL884" s="1"/>
      <c r="AM884" s="1"/>
    </row>
    <row r="885" spans="16:39" x14ac:dyDescent="0.25">
      <c r="P885" s="49"/>
      <c r="Q885" s="1"/>
      <c r="S885" s="1"/>
      <c r="T885" s="1"/>
      <c r="U885" s="1"/>
      <c r="V885" s="1"/>
      <c r="W885" s="1"/>
      <c r="X885" s="1"/>
      <c r="Y885" s="1"/>
      <c r="AB885" s="1"/>
      <c r="AC885" s="1"/>
      <c r="AD885" s="1"/>
      <c r="AE885" s="1"/>
      <c r="AF885" s="1"/>
      <c r="AG885" s="1"/>
      <c r="AH885" s="1"/>
      <c r="AI885" s="1"/>
      <c r="AJ885" s="1"/>
      <c r="AK885" s="1"/>
      <c r="AL885" s="1"/>
      <c r="AM885" s="1"/>
    </row>
    <row r="886" spans="16:39" x14ac:dyDescent="0.25">
      <c r="P886" s="49"/>
      <c r="Q886" s="1"/>
      <c r="S886" s="1"/>
      <c r="T886" s="1"/>
      <c r="U886" s="1"/>
      <c r="V886" s="1"/>
      <c r="W886" s="1"/>
      <c r="X886" s="1"/>
      <c r="Y886" s="1"/>
      <c r="AB886" s="1"/>
      <c r="AC886" s="1"/>
      <c r="AD886" s="1"/>
      <c r="AE886" s="1"/>
      <c r="AF886" s="1"/>
      <c r="AG886" s="1"/>
      <c r="AH886" s="1"/>
      <c r="AI886" s="1"/>
      <c r="AJ886" s="1"/>
      <c r="AK886" s="1"/>
      <c r="AL886" s="1"/>
      <c r="AM886" s="1"/>
    </row>
    <row r="887" spans="16:39" x14ac:dyDescent="0.25">
      <c r="P887" s="49"/>
      <c r="Q887" s="1"/>
      <c r="S887" s="1"/>
      <c r="T887" s="1"/>
      <c r="U887" s="1"/>
      <c r="V887" s="1"/>
      <c r="W887" s="1"/>
      <c r="X887" s="1"/>
      <c r="Y887" s="1"/>
      <c r="AB887" s="1"/>
      <c r="AC887" s="1"/>
      <c r="AD887" s="1"/>
      <c r="AE887" s="1"/>
      <c r="AF887" s="1"/>
      <c r="AG887" s="1"/>
      <c r="AH887" s="1"/>
      <c r="AI887" s="1"/>
      <c r="AJ887" s="1"/>
      <c r="AK887" s="1"/>
      <c r="AL887" s="1"/>
      <c r="AM887" s="1"/>
    </row>
    <row r="888" spans="16:39" x14ac:dyDescent="0.25">
      <c r="P888" s="49"/>
      <c r="Q888" s="1"/>
      <c r="S888" s="1"/>
      <c r="T888" s="1"/>
      <c r="U888" s="1"/>
      <c r="V888" s="1"/>
      <c r="W888" s="1"/>
      <c r="X888" s="1"/>
      <c r="Y888" s="1"/>
      <c r="AB888" s="1"/>
      <c r="AC888" s="1"/>
      <c r="AD888" s="1"/>
      <c r="AE888" s="1"/>
      <c r="AF888" s="1"/>
      <c r="AG888" s="1"/>
      <c r="AH888" s="1"/>
      <c r="AI888" s="1"/>
      <c r="AJ888" s="1"/>
      <c r="AK888" s="1"/>
      <c r="AL888" s="1"/>
      <c r="AM888" s="1"/>
    </row>
    <row r="889" spans="16:39" x14ac:dyDescent="0.25">
      <c r="P889" s="49"/>
      <c r="Q889" s="1"/>
      <c r="S889" s="1"/>
      <c r="T889" s="1"/>
      <c r="U889" s="1"/>
      <c r="V889" s="1"/>
      <c r="W889" s="1"/>
      <c r="X889" s="1"/>
      <c r="Y889" s="1"/>
      <c r="AB889" s="1"/>
      <c r="AC889" s="1"/>
      <c r="AD889" s="1"/>
      <c r="AE889" s="1"/>
      <c r="AF889" s="1"/>
      <c r="AG889" s="1"/>
      <c r="AH889" s="1"/>
      <c r="AI889" s="1"/>
      <c r="AJ889" s="1"/>
      <c r="AK889" s="1"/>
      <c r="AL889" s="1"/>
      <c r="AM889" s="1"/>
    </row>
    <row r="890" spans="16:39" x14ac:dyDescent="0.25">
      <c r="P890" s="49"/>
      <c r="Q890" s="1"/>
      <c r="S890" s="1"/>
      <c r="T890" s="1"/>
      <c r="U890" s="1"/>
      <c r="V890" s="1"/>
      <c r="W890" s="1"/>
      <c r="X890" s="1"/>
      <c r="Y890" s="1"/>
      <c r="AB890" s="1"/>
      <c r="AC890" s="1"/>
      <c r="AD890" s="1"/>
      <c r="AE890" s="1"/>
      <c r="AF890" s="1"/>
      <c r="AG890" s="1"/>
      <c r="AH890" s="1"/>
      <c r="AI890" s="1"/>
      <c r="AJ890" s="1"/>
      <c r="AK890" s="1"/>
      <c r="AL890" s="1"/>
      <c r="AM890" s="1"/>
    </row>
    <row r="891" spans="16:39" x14ac:dyDescent="0.25">
      <c r="P891" s="49"/>
      <c r="Q891" s="1"/>
      <c r="S891" s="1"/>
      <c r="T891" s="1"/>
      <c r="U891" s="1"/>
      <c r="V891" s="1"/>
      <c r="W891" s="1"/>
      <c r="X891" s="1"/>
      <c r="Y891" s="1"/>
      <c r="AB891" s="1"/>
      <c r="AC891" s="1"/>
      <c r="AD891" s="1"/>
      <c r="AE891" s="1"/>
      <c r="AF891" s="1"/>
      <c r="AG891" s="1"/>
      <c r="AH891" s="1"/>
      <c r="AI891" s="1"/>
      <c r="AJ891" s="1"/>
      <c r="AK891" s="1"/>
      <c r="AL891" s="1"/>
      <c r="AM891" s="1"/>
    </row>
    <row r="892" spans="16:39" x14ac:dyDescent="0.25">
      <c r="P892" s="49"/>
      <c r="Q892" s="1"/>
      <c r="S892" s="1"/>
      <c r="T892" s="1"/>
      <c r="U892" s="1"/>
      <c r="V892" s="1"/>
      <c r="W892" s="1"/>
      <c r="X892" s="1"/>
      <c r="Y892" s="1"/>
      <c r="AB892" s="1"/>
      <c r="AC892" s="1"/>
      <c r="AD892" s="1"/>
      <c r="AE892" s="1"/>
      <c r="AF892" s="1"/>
      <c r="AG892" s="1"/>
      <c r="AH892" s="1"/>
      <c r="AI892" s="1"/>
      <c r="AJ892" s="1"/>
      <c r="AK892" s="1"/>
      <c r="AL892" s="1"/>
      <c r="AM892" s="1"/>
    </row>
    <row r="893" spans="16:39" x14ac:dyDescent="0.25">
      <c r="P893" s="49"/>
      <c r="Q893" s="1"/>
      <c r="S893" s="1"/>
      <c r="T893" s="1"/>
      <c r="U893" s="1"/>
      <c r="V893" s="1"/>
      <c r="W893" s="1"/>
      <c r="X893" s="1"/>
      <c r="Y893" s="1"/>
      <c r="AB893" s="1"/>
      <c r="AC893" s="1"/>
      <c r="AD893" s="1"/>
      <c r="AE893" s="1"/>
      <c r="AF893" s="1"/>
      <c r="AG893" s="1"/>
      <c r="AH893" s="1"/>
      <c r="AI893" s="1"/>
      <c r="AJ893" s="1"/>
      <c r="AK893" s="1"/>
      <c r="AL893" s="1"/>
      <c r="AM893" s="1"/>
    </row>
    <row r="894" spans="16:39" x14ac:dyDescent="0.25">
      <c r="P894" s="49"/>
      <c r="Q894" s="1"/>
      <c r="S894" s="1"/>
      <c r="T894" s="1"/>
      <c r="U894" s="1"/>
      <c r="V894" s="1"/>
      <c r="W894" s="1"/>
      <c r="X894" s="1"/>
      <c r="Y894" s="1"/>
      <c r="AB894" s="1"/>
      <c r="AC894" s="1"/>
      <c r="AD894" s="1"/>
      <c r="AE894" s="1"/>
      <c r="AF894" s="1"/>
      <c r="AG894" s="1"/>
      <c r="AH894" s="1"/>
      <c r="AI894" s="1"/>
      <c r="AJ894" s="1"/>
      <c r="AK894" s="1"/>
      <c r="AL894" s="1"/>
      <c r="AM894" s="1"/>
    </row>
    <row r="895" spans="16:39" x14ac:dyDescent="0.25">
      <c r="P895" s="49"/>
      <c r="Q895" s="1"/>
      <c r="S895" s="1"/>
      <c r="T895" s="1"/>
      <c r="U895" s="1"/>
      <c r="V895" s="1"/>
      <c r="W895" s="1"/>
      <c r="X895" s="1"/>
      <c r="Y895" s="1"/>
      <c r="AB895" s="1"/>
      <c r="AC895" s="1"/>
      <c r="AD895" s="1"/>
      <c r="AE895" s="1"/>
      <c r="AF895" s="1"/>
      <c r="AG895" s="1"/>
      <c r="AH895" s="1"/>
      <c r="AI895" s="1"/>
      <c r="AJ895" s="1"/>
      <c r="AK895" s="1"/>
      <c r="AL895" s="1"/>
      <c r="AM895" s="1"/>
    </row>
    <row r="896" spans="16:39" x14ac:dyDescent="0.25">
      <c r="P896" s="49"/>
      <c r="Q896" s="1"/>
      <c r="S896" s="1"/>
      <c r="T896" s="1"/>
      <c r="U896" s="1"/>
      <c r="V896" s="1"/>
      <c r="W896" s="1"/>
      <c r="X896" s="1"/>
      <c r="Y896" s="1"/>
      <c r="AB896" s="1"/>
      <c r="AC896" s="1"/>
      <c r="AD896" s="1"/>
      <c r="AE896" s="1"/>
      <c r="AF896" s="1"/>
      <c r="AG896" s="1"/>
      <c r="AH896" s="1"/>
      <c r="AI896" s="1"/>
      <c r="AJ896" s="1"/>
      <c r="AK896" s="1"/>
      <c r="AL896" s="1"/>
      <c r="AM896" s="1"/>
    </row>
    <row r="897" spans="16:39" x14ac:dyDescent="0.25">
      <c r="P897" s="49"/>
      <c r="Q897" s="1"/>
      <c r="S897" s="1"/>
      <c r="T897" s="1"/>
      <c r="U897" s="1"/>
      <c r="V897" s="1"/>
      <c r="W897" s="1"/>
      <c r="X897" s="1"/>
      <c r="Y897" s="1"/>
      <c r="AB897" s="1"/>
      <c r="AC897" s="1"/>
      <c r="AD897" s="1"/>
      <c r="AE897" s="1"/>
      <c r="AF897" s="1"/>
      <c r="AG897" s="1"/>
      <c r="AH897" s="1"/>
      <c r="AI897" s="1"/>
      <c r="AJ897" s="1"/>
      <c r="AK897" s="1"/>
      <c r="AL897" s="1"/>
      <c r="AM897" s="1"/>
    </row>
    <row r="898" spans="16:39" x14ac:dyDescent="0.25">
      <c r="P898" s="49"/>
      <c r="Q898" s="1"/>
      <c r="S898" s="1"/>
      <c r="T898" s="1"/>
      <c r="U898" s="1"/>
      <c r="V898" s="1"/>
      <c r="W898" s="1"/>
      <c r="X898" s="1"/>
      <c r="Y898" s="1"/>
      <c r="AB898" s="1"/>
      <c r="AC898" s="1"/>
      <c r="AD898" s="1"/>
      <c r="AE898" s="1"/>
      <c r="AF898" s="1"/>
      <c r="AG898" s="1"/>
      <c r="AH898" s="1"/>
      <c r="AI898" s="1"/>
      <c r="AJ898" s="1"/>
      <c r="AK898" s="1"/>
      <c r="AL898" s="1"/>
      <c r="AM898" s="1"/>
    </row>
    <row r="899" spans="16:39" x14ac:dyDescent="0.25">
      <c r="P899" s="49"/>
      <c r="Q899" s="1"/>
      <c r="S899" s="1"/>
      <c r="T899" s="1"/>
      <c r="U899" s="1"/>
      <c r="V899" s="1"/>
      <c r="W899" s="1"/>
      <c r="X899" s="1"/>
      <c r="Y899" s="1"/>
      <c r="AB899" s="1"/>
      <c r="AC899" s="1"/>
      <c r="AD899" s="1"/>
      <c r="AE899" s="1"/>
      <c r="AF899" s="1"/>
      <c r="AG899" s="1"/>
      <c r="AH899" s="1"/>
      <c r="AI899" s="1"/>
      <c r="AJ899" s="1"/>
      <c r="AK899" s="1"/>
      <c r="AL899" s="1"/>
      <c r="AM899" s="1"/>
    </row>
    <row r="900" spans="16:39" x14ac:dyDescent="0.25">
      <c r="P900" s="49"/>
      <c r="Q900" s="1"/>
      <c r="S900" s="1"/>
      <c r="T900" s="1"/>
      <c r="U900" s="1"/>
      <c r="V900" s="1"/>
      <c r="W900" s="1"/>
      <c r="X900" s="1"/>
      <c r="Y900" s="1"/>
      <c r="AB900" s="1"/>
      <c r="AC900" s="1"/>
      <c r="AD900" s="1"/>
      <c r="AE900" s="1"/>
      <c r="AF900" s="1"/>
      <c r="AG900" s="1"/>
      <c r="AH900" s="1"/>
      <c r="AI900" s="1"/>
      <c r="AJ900" s="1"/>
      <c r="AK900" s="1"/>
      <c r="AL900" s="1"/>
      <c r="AM900" s="1"/>
    </row>
    <row r="901" spans="16:39" x14ac:dyDescent="0.25">
      <c r="P901" s="49"/>
      <c r="Q901" s="1"/>
      <c r="S901" s="1"/>
      <c r="T901" s="1"/>
      <c r="U901" s="1"/>
      <c r="V901" s="1"/>
      <c r="W901" s="1"/>
      <c r="X901" s="1"/>
      <c r="Y901" s="1"/>
      <c r="AB901" s="1"/>
      <c r="AC901" s="1"/>
      <c r="AD901" s="1"/>
      <c r="AE901" s="1"/>
      <c r="AF901" s="1"/>
      <c r="AG901" s="1"/>
      <c r="AH901" s="1"/>
      <c r="AI901" s="1"/>
      <c r="AJ901" s="1"/>
      <c r="AK901" s="1"/>
      <c r="AL901" s="1"/>
      <c r="AM901" s="1"/>
    </row>
    <row r="902" spans="16:39" x14ac:dyDescent="0.25">
      <c r="P902" s="49"/>
      <c r="Q902" s="1"/>
      <c r="S902" s="1"/>
      <c r="T902" s="1"/>
      <c r="U902" s="1"/>
      <c r="V902" s="1"/>
      <c r="W902" s="1"/>
      <c r="X902" s="1"/>
      <c r="Y902" s="1"/>
      <c r="AB902" s="1"/>
      <c r="AC902" s="1"/>
      <c r="AD902" s="1"/>
      <c r="AE902" s="1"/>
      <c r="AF902" s="1"/>
      <c r="AG902" s="1"/>
      <c r="AH902" s="1"/>
      <c r="AI902" s="1"/>
      <c r="AJ902" s="1"/>
      <c r="AK902" s="1"/>
      <c r="AL902" s="1"/>
      <c r="AM902" s="1"/>
    </row>
    <row r="903" spans="16:39" x14ac:dyDescent="0.25">
      <c r="P903" s="49"/>
      <c r="Q903" s="1"/>
      <c r="S903" s="1"/>
      <c r="T903" s="1"/>
      <c r="U903" s="1"/>
      <c r="V903" s="1"/>
      <c r="W903" s="1"/>
      <c r="X903" s="1"/>
      <c r="Y903" s="1"/>
      <c r="AB903" s="1"/>
      <c r="AC903" s="1"/>
      <c r="AD903" s="1"/>
      <c r="AE903" s="1"/>
      <c r="AF903" s="1"/>
      <c r="AG903" s="1"/>
      <c r="AH903" s="1"/>
      <c r="AI903" s="1"/>
      <c r="AJ903" s="1"/>
      <c r="AK903" s="1"/>
      <c r="AL903" s="1"/>
      <c r="AM903" s="1"/>
    </row>
    <row r="904" spans="16:39" x14ac:dyDescent="0.25">
      <c r="P904" s="49"/>
      <c r="Q904" s="1"/>
      <c r="S904" s="1"/>
      <c r="T904" s="1"/>
      <c r="U904" s="1"/>
      <c r="V904" s="1"/>
      <c r="W904" s="1"/>
      <c r="X904" s="1"/>
      <c r="Y904" s="1"/>
      <c r="AB904" s="1"/>
      <c r="AC904" s="1"/>
      <c r="AD904" s="1"/>
      <c r="AE904" s="1"/>
      <c r="AF904" s="1"/>
      <c r="AG904" s="1"/>
      <c r="AH904" s="1"/>
      <c r="AI904" s="1"/>
      <c r="AJ904" s="1"/>
      <c r="AK904" s="1"/>
      <c r="AL904" s="1"/>
      <c r="AM904" s="1"/>
    </row>
    <row r="905" spans="16:39" x14ac:dyDescent="0.25">
      <c r="P905" s="49"/>
      <c r="Q905" s="1"/>
      <c r="S905" s="1"/>
      <c r="T905" s="1"/>
      <c r="U905" s="1"/>
      <c r="V905" s="1"/>
      <c r="W905" s="1"/>
      <c r="X905" s="1"/>
      <c r="Y905" s="1"/>
      <c r="AB905" s="1"/>
      <c r="AC905" s="1"/>
      <c r="AD905" s="1"/>
      <c r="AE905" s="1"/>
      <c r="AF905" s="1"/>
      <c r="AG905" s="1"/>
      <c r="AH905" s="1"/>
      <c r="AI905" s="1"/>
      <c r="AJ905" s="1"/>
      <c r="AK905" s="1"/>
      <c r="AL905" s="1"/>
      <c r="AM905" s="1"/>
    </row>
    <row r="906" spans="16:39" x14ac:dyDescent="0.25">
      <c r="P906" s="49"/>
      <c r="Q906" s="1"/>
      <c r="S906" s="1"/>
      <c r="T906" s="1"/>
      <c r="U906" s="1"/>
      <c r="V906" s="1"/>
      <c r="W906" s="1"/>
      <c r="X906" s="1"/>
      <c r="Y906" s="1"/>
      <c r="AB906" s="1"/>
      <c r="AC906" s="1"/>
      <c r="AD906" s="1"/>
      <c r="AE906" s="1"/>
      <c r="AF906" s="1"/>
      <c r="AG906" s="1"/>
      <c r="AH906" s="1"/>
      <c r="AI906" s="1"/>
      <c r="AJ906" s="1"/>
      <c r="AK906" s="1"/>
      <c r="AL906" s="1"/>
      <c r="AM906" s="1"/>
    </row>
    <row r="907" spans="16:39" x14ac:dyDescent="0.25">
      <c r="P907" s="49"/>
      <c r="Q907" s="1"/>
      <c r="S907" s="1"/>
      <c r="T907" s="1"/>
      <c r="U907" s="1"/>
      <c r="V907" s="1"/>
      <c r="W907" s="1"/>
      <c r="X907" s="1"/>
      <c r="Y907" s="1"/>
      <c r="AB907" s="1"/>
      <c r="AC907" s="1"/>
      <c r="AD907" s="1"/>
      <c r="AE907" s="1"/>
      <c r="AF907" s="1"/>
      <c r="AG907" s="1"/>
      <c r="AH907" s="1"/>
      <c r="AI907" s="1"/>
      <c r="AJ907" s="1"/>
      <c r="AK907" s="1"/>
      <c r="AL907" s="1"/>
      <c r="AM907" s="1"/>
    </row>
    <row r="908" spans="16:39" x14ac:dyDescent="0.25">
      <c r="P908" s="49"/>
      <c r="Q908" s="1"/>
      <c r="S908" s="1"/>
      <c r="T908" s="1"/>
      <c r="U908" s="1"/>
      <c r="V908" s="1"/>
      <c r="W908" s="1"/>
      <c r="X908" s="1"/>
      <c r="Y908" s="1"/>
      <c r="AB908" s="1"/>
      <c r="AC908" s="1"/>
      <c r="AD908" s="1"/>
      <c r="AE908" s="1"/>
      <c r="AF908" s="1"/>
      <c r="AG908" s="1"/>
      <c r="AH908" s="1"/>
      <c r="AI908" s="1"/>
      <c r="AJ908" s="1"/>
      <c r="AK908" s="1"/>
      <c r="AL908" s="1"/>
      <c r="AM908" s="1"/>
    </row>
    <row r="909" spans="16:39" x14ac:dyDescent="0.25">
      <c r="P909" s="49"/>
      <c r="Q909" s="1"/>
      <c r="S909" s="1"/>
      <c r="T909" s="1"/>
      <c r="U909" s="1"/>
      <c r="V909" s="1"/>
      <c r="W909" s="1"/>
      <c r="X909" s="1"/>
      <c r="Y909" s="1"/>
      <c r="AB909" s="1"/>
      <c r="AC909" s="1"/>
      <c r="AD909" s="1"/>
      <c r="AE909" s="1"/>
      <c r="AF909" s="1"/>
      <c r="AG909" s="1"/>
      <c r="AH909" s="1"/>
      <c r="AI909" s="1"/>
      <c r="AJ909" s="1"/>
      <c r="AK909" s="1"/>
      <c r="AL909" s="1"/>
      <c r="AM909" s="1"/>
    </row>
    <row r="910" spans="16:39" x14ac:dyDescent="0.25">
      <c r="P910" s="49"/>
      <c r="Q910" s="1"/>
      <c r="S910" s="1"/>
      <c r="T910" s="1"/>
      <c r="U910" s="1"/>
      <c r="V910" s="1"/>
      <c r="W910" s="1"/>
      <c r="X910" s="1"/>
      <c r="Y910" s="1"/>
      <c r="AB910" s="1"/>
      <c r="AC910" s="1"/>
      <c r="AD910" s="1"/>
      <c r="AE910" s="1"/>
      <c r="AF910" s="1"/>
      <c r="AG910" s="1"/>
      <c r="AH910" s="1"/>
      <c r="AI910" s="1"/>
      <c r="AJ910" s="1"/>
      <c r="AK910" s="1"/>
      <c r="AL910" s="1"/>
      <c r="AM910" s="1"/>
    </row>
    <row r="911" spans="16:39" x14ac:dyDescent="0.25">
      <c r="P911" s="49"/>
      <c r="Q911" s="1"/>
      <c r="S911" s="1"/>
      <c r="T911" s="1"/>
      <c r="U911" s="1"/>
      <c r="V911" s="1"/>
      <c r="W911" s="1"/>
      <c r="X911" s="1"/>
      <c r="Y911" s="1"/>
      <c r="AB911" s="1"/>
      <c r="AC911" s="1"/>
      <c r="AD911" s="1"/>
      <c r="AE911" s="1"/>
      <c r="AF911" s="1"/>
      <c r="AG911" s="1"/>
      <c r="AH911" s="1"/>
      <c r="AI911" s="1"/>
      <c r="AJ911" s="1"/>
      <c r="AK911" s="1"/>
      <c r="AL911" s="1"/>
      <c r="AM911" s="1"/>
    </row>
    <row r="912" spans="16:39" x14ac:dyDescent="0.25">
      <c r="P912" s="49"/>
      <c r="Q912" s="1"/>
      <c r="S912" s="1"/>
      <c r="T912" s="1"/>
      <c r="U912" s="1"/>
      <c r="V912" s="1"/>
      <c r="W912" s="1"/>
      <c r="X912" s="1"/>
      <c r="Y912" s="1"/>
      <c r="AB912" s="1"/>
      <c r="AC912" s="1"/>
      <c r="AD912" s="1"/>
      <c r="AE912" s="1"/>
      <c r="AF912" s="1"/>
      <c r="AG912" s="1"/>
      <c r="AH912" s="1"/>
      <c r="AI912" s="1"/>
      <c r="AJ912" s="1"/>
      <c r="AK912" s="1"/>
      <c r="AL912" s="1"/>
      <c r="AM912" s="1"/>
    </row>
    <row r="913" spans="16:39" x14ac:dyDescent="0.25">
      <c r="P913" s="49"/>
      <c r="Q913" s="1"/>
      <c r="S913" s="1"/>
      <c r="T913" s="1"/>
      <c r="U913" s="1"/>
      <c r="V913" s="1"/>
      <c r="W913" s="1"/>
      <c r="X913" s="1"/>
      <c r="Y913" s="1"/>
      <c r="AB913" s="1"/>
      <c r="AC913" s="1"/>
      <c r="AD913" s="1"/>
      <c r="AE913" s="1"/>
      <c r="AF913" s="1"/>
      <c r="AG913" s="1"/>
      <c r="AH913" s="1"/>
      <c r="AI913" s="1"/>
      <c r="AJ913" s="1"/>
      <c r="AK913" s="1"/>
      <c r="AL913" s="1"/>
      <c r="AM913" s="1"/>
    </row>
    <row r="914" spans="16:39" x14ac:dyDescent="0.25">
      <c r="P914" s="49"/>
      <c r="Q914" s="1"/>
      <c r="S914" s="1"/>
      <c r="T914" s="1"/>
      <c r="U914" s="1"/>
      <c r="V914" s="1"/>
      <c r="W914" s="1"/>
      <c r="X914" s="1"/>
      <c r="Y914" s="1"/>
      <c r="AB914" s="1"/>
      <c r="AC914" s="1"/>
      <c r="AD914" s="1"/>
      <c r="AE914" s="1"/>
      <c r="AF914" s="1"/>
      <c r="AG914" s="1"/>
      <c r="AH914" s="1"/>
      <c r="AI914" s="1"/>
      <c r="AJ914" s="1"/>
      <c r="AK914" s="1"/>
      <c r="AL914" s="1"/>
      <c r="AM914" s="1"/>
    </row>
    <row r="915" spans="16:39" x14ac:dyDescent="0.25">
      <c r="P915" s="49"/>
      <c r="Q915" s="1"/>
      <c r="S915" s="1"/>
      <c r="T915" s="1"/>
      <c r="U915" s="1"/>
      <c r="V915" s="1"/>
      <c r="W915" s="1"/>
      <c r="X915" s="1"/>
      <c r="Y915" s="1"/>
      <c r="AB915" s="1"/>
      <c r="AC915" s="1"/>
      <c r="AD915" s="1"/>
      <c r="AE915" s="1"/>
      <c r="AF915" s="1"/>
      <c r="AG915" s="1"/>
      <c r="AH915" s="1"/>
      <c r="AI915" s="1"/>
      <c r="AJ915" s="1"/>
      <c r="AK915" s="1"/>
      <c r="AL915" s="1"/>
      <c r="AM915" s="1"/>
    </row>
    <row r="916" spans="16:39" x14ac:dyDescent="0.25">
      <c r="P916" s="49"/>
      <c r="Q916" s="1"/>
      <c r="S916" s="1"/>
      <c r="T916" s="1"/>
      <c r="U916" s="1"/>
      <c r="V916" s="1"/>
      <c r="W916" s="1"/>
      <c r="X916" s="1"/>
      <c r="Y916" s="1"/>
      <c r="AB916" s="1"/>
      <c r="AC916" s="1"/>
      <c r="AD916" s="1"/>
      <c r="AE916" s="1"/>
      <c r="AF916" s="1"/>
      <c r="AG916" s="1"/>
      <c r="AH916" s="1"/>
      <c r="AI916" s="1"/>
      <c r="AJ916" s="1"/>
      <c r="AK916" s="1"/>
      <c r="AL916" s="1"/>
      <c r="AM916" s="1"/>
    </row>
    <row r="917" spans="16:39" x14ac:dyDescent="0.25">
      <c r="P917" s="49"/>
      <c r="Q917" s="1"/>
      <c r="S917" s="1"/>
      <c r="T917" s="1"/>
      <c r="U917" s="1"/>
      <c r="V917" s="1"/>
      <c r="W917" s="1"/>
      <c r="X917" s="1"/>
      <c r="Y917" s="1"/>
      <c r="AB917" s="1"/>
      <c r="AC917" s="1"/>
      <c r="AD917" s="1"/>
      <c r="AE917" s="1"/>
      <c r="AF917" s="1"/>
      <c r="AG917" s="1"/>
      <c r="AH917" s="1"/>
      <c r="AI917" s="1"/>
      <c r="AJ917" s="1"/>
      <c r="AK917" s="1"/>
      <c r="AL917" s="1"/>
      <c r="AM917" s="1"/>
    </row>
    <row r="918" spans="16:39" x14ac:dyDescent="0.25">
      <c r="P918" s="49"/>
      <c r="Q918" s="1"/>
      <c r="S918" s="1"/>
      <c r="T918" s="1"/>
      <c r="U918" s="1"/>
      <c r="V918" s="1"/>
      <c r="W918" s="1"/>
      <c r="X918" s="1"/>
      <c r="Y918" s="1"/>
      <c r="AB918" s="1"/>
      <c r="AC918" s="1"/>
      <c r="AD918" s="1"/>
      <c r="AE918" s="1"/>
      <c r="AF918" s="1"/>
      <c r="AG918" s="1"/>
      <c r="AH918" s="1"/>
      <c r="AI918" s="1"/>
      <c r="AJ918" s="1"/>
      <c r="AK918" s="1"/>
      <c r="AL918" s="1"/>
      <c r="AM918" s="1"/>
    </row>
    <row r="919" spans="16:39" x14ac:dyDescent="0.25">
      <c r="P919" s="49"/>
      <c r="Q919" s="1"/>
      <c r="S919" s="1"/>
      <c r="T919" s="1"/>
      <c r="U919" s="1"/>
      <c r="V919" s="1"/>
      <c r="W919" s="1"/>
      <c r="X919" s="1"/>
      <c r="Y919" s="1"/>
      <c r="AB919" s="1"/>
      <c r="AC919" s="1"/>
      <c r="AD919" s="1"/>
      <c r="AE919" s="1"/>
      <c r="AF919" s="1"/>
      <c r="AG919" s="1"/>
      <c r="AH919" s="1"/>
      <c r="AI919" s="1"/>
      <c r="AJ919" s="1"/>
      <c r="AK919" s="1"/>
      <c r="AL919" s="1"/>
      <c r="AM919" s="1"/>
    </row>
    <row r="920" spans="16:39" x14ac:dyDescent="0.25">
      <c r="P920" s="49"/>
      <c r="Q920" s="1"/>
      <c r="S920" s="1"/>
      <c r="T920" s="1"/>
      <c r="U920" s="1"/>
      <c r="V920" s="1"/>
      <c r="W920" s="1"/>
      <c r="X920" s="1"/>
      <c r="Y920" s="1"/>
      <c r="AB920" s="1"/>
      <c r="AC920" s="1"/>
      <c r="AD920" s="1"/>
      <c r="AE920" s="1"/>
      <c r="AF920" s="1"/>
      <c r="AG920" s="1"/>
      <c r="AH920" s="1"/>
      <c r="AI920" s="1"/>
      <c r="AJ920" s="1"/>
      <c r="AK920" s="1"/>
      <c r="AL920" s="1"/>
      <c r="AM920" s="1"/>
    </row>
    <row r="921" spans="16:39" x14ac:dyDescent="0.25">
      <c r="P921" s="49"/>
      <c r="Q921" s="1"/>
      <c r="S921" s="1"/>
      <c r="T921" s="1"/>
      <c r="U921" s="1"/>
      <c r="V921" s="1"/>
      <c r="W921" s="1"/>
      <c r="X921" s="1"/>
      <c r="Y921" s="1"/>
      <c r="AB921" s="1"/>
      <c r="AC921" s="1"/>
      <c r="AD921" s="1"/>
      <c r="AE921" s="1"/>
      <c r="AF921" s="1"/>
      <c r="AG921" s="1"/>
      <c r="AH921" s="1"/>
      <c r="AI921" s="1"/>
      <c r="AJ921" s="1"/>
      <c r="AK921" s="1"/>
      <c r="AL921" s="1"/>
      <c r="AM921" s="1"/>
    </row>
    <row r="922" spans="16:39" x14ac:dyDescent="0.25">
      <c r="P922" s="49"/>
      <c r="Q922" s="1"/>
      <c r="S922" s="1"/>
      <c r="T922" s="1"/>
      <c r="U922" s="1"/>
      <c r="V922" s="1"/>
      <c r="W922" s="1"/>
      <c r="X922" s="1"/>
      <c r="Y922" s="1"/>
      <c r="AB922" s="1"/>
      <c r="AC922" s="1"/>
      <c r="AD922" s="1"/>
      <c r="AE922" s="1"/>
      <c r="AF922" s="1"/>
      <c r="AG922" s="1"/>
      <c r="AH922" s="1"/>
      <c r="AI922" s="1"/>
      <c r="AJ922" s="1"/>
      <c r="AK922" s="1"/>
      <c r="AL922" s="1"/>
      <c r="AM922" s="1"/>
    </row>
    <row r="923" spans="16:39" x14ac:dyDescent="0.25">
      <c r="P923" s="49"/>
      <c r="Q923" s="1"/>
      <c r="S923" s="1"/>
      <c r="T923" s="1"/>
      <c r="U923" s="1"/>
      <c r="V923" s="1"/>
      <c r="W923" s="1"/>
      <c r="X923" s="1"/>
      <c r="Y923" s="1"/>
      <c r="AB923" s="1"/>
      <c r="AC923" s="1"/>
      <c r="AD923" s="1"/>
      <c r="AE923" s="1"/>
      <c r="AF923" s="1"/>
      <c r="AG923" s="1"/>
      <c r="AH923" s="1"/>
      <c r="AI923" s="1"/>
      <c r="AJ923" s="1"/>
      <c r="AK923" s="1"/>
      <c r="AL923" s="1"/>
      <c r="AM923" s="1"/>
    </row>
    <row r="924" spans="16:39" x14ac:dyDescent="0.25">
      <c r="P924" s="49"/>
      <c r="Q924" s="1"/>
      <c r="S924" s="1"/>
      <c r="T924" s="1"/>
      <c r="U924" s="1"/>
      <c r="V924" s="1"/>
      <c r="W924" s="1"/>
      <c r="X924" s="1"/>
      <c r="Y924" s="1"/>
      <c r="AB924" s="1"/>
      <c r="AC924" s="1"/>
      <c r="AD924" s="1"/>
      <c r="AE924" s="1"/>
      <c r="AF924" s="1"/>
      <c r="AG924" s="1"/>
      <c r="AH924" s="1"/>
      <c r="AI924" s="1"/>
      <c r="AJ924" s="1"/>
      <c r="AK924" s="1"/>
      <c r="AL924" s="1"/>
      <c r="AM924" s="1"/>
    </row>
    <row r="925" spans="16:39" x14ac:dyDescent="0.25">
      <c r="P925" s="49"/>
      <c r="Q925" s="1"/>
      <c r="S925" s="1"/>
      <c r="T925" s="1"/>
      <c r="U925" s="1"/>
      <c r="V925" s="1"/>
      <c r="W925" s="1"/>
      <c r="X925" s="1"/>
      <c r="Y925" s="1"/>
      <c r="AB925" s="1"/>
      <c r="AC925" s="1"/>
      <c r="AD925" s="1"/>
      <c r="AE925" s="1"/>
      <c r="AF925" s="1"/>
      <c r="AG925" s="1"/>
      <c r="AH925" s="1"/>
      <c r="AI925" s="1"/>
      <c r="AJ925" s="1"/>
      <c r="AK925" s="1"/>
      <c r="AL925" s="1"/>
      <c r="AM925" s="1"/>
    </row>
    <row r="926" spans="16:39" x14ac:dyDescent="0.25">
      <c r="P926" s="49"/>
      <c r="Q926" s="1"/>
      <c r="S926" s="1"/>
      <c r="T926" s="1"/>
      <c r="U926" s="1"/>
      <c r="V926" s="1"/>
      <c r="W926" s="1"/>
      <c r="X926" s="1"/>
      <c r="Y926" s="1"/>
      <c r="AB926" s="1"/>
      <c r="AC926" s="1"/>
      <c r="AD926" s="1"/>
      <c r="AE926" s="1"/>
      <c r="AF926" s="1"/>
      <c r="AG926" s="1"/>
      <c r="AH926" s="1"/>
      <c r="AI926" s="1"/>
      <c r="AJ926" s="1"/>
      <c r="AK926" s="1"/>
      <c r="AL926" s="1"/>
      <c r="AM926" s="1"/>
    </row>
    <row r="927" spans="16:39" x14ac:dyDescent="0.25">
      <c r="P927" s="49"/>
      <c r="Q927" s="1"/>
      <c r="S927" s="1"/>
      <c r="T927" s="1"/>
      <c r="U927" s="1"/>
      <c r="V927" s="1"/>
      <c r="W927" s="1"/>
      <c r="X927" s="1"/>
      <c r="Y927" s="1"/>
      <c r="AB927" s="1"/>
      <c r="AC927" s="1"/>
      <c r="AD927" s="1"/>
      <c r="AE927" s="1"/>
      <c r="AF927" s="1"/>
      <c r="AG927" s="1"/>
      <c r="AH927" s="1"/>
      <c r="AI927" s="1"/>
      <c r="AJ927" s="1"/>
      <c r="AK927" s="1"/>
      <c r="AL927" s="1"/>
      <c r="AM927" s="1"/>
    </row>
    <row r="928" spans="16:39" x14ac:dyDescent="0.25">
      <c r="P928" s="49"/>
      <c r="Q928" s="1"/>
      <c r="S928" s="1"/>
      <c r="T928" s="1"/>
      <c r="U928" s="1"/>
      <c r="V928" s="1"/>
      <c r="W928" s="1"/>
      <c r="X928" s="1"/>
      <c r="Y928" s="1"/>
      <c r="AB928" s="1"/>
      <c r="AC928" s="1"/>
      <c r="AD928" s="1"/>
      <c r="AE928" s="1"/>
      <c r="AF928" s="1"/>
      <c r="AG928" s="1"/>
      <c r="AH928" s="1"/>
      <c r="AI928" s="1"/>
      <c r="AJ928" s="1"/>
      <c r="AK928" s="1"/>
      <c r="AL928" s="1"/>
      <c r="AM928" s="1"/>
    </row>
    <row r="929" spans="16:39" x14ac:dyDescent="0.25">
      <c r="P929" s="49"/>
      <c r="Q929" s="1"/>
      <c r="S929" s="1"/>
      <c r="T929" s="1"/>
      <c r="U929" s="1"/>
      <c r="V929" s="1"/>
      <c r="W929" s="1"/>
      <c r="X929" s="1"/>
      <c r="Y929" s="1"/>
      <c r="AB929" s="1"/>
      <c r="AC929" s="1"/>
      <c r="AD929" s="1"/>
      <c r="AE929" s="1"/>
      <c r="AF929" s="1"/>
      <c r="AG929" s="1"/>
      <c r="AH929" s="1"/>
      <c r="AI929" s="1"/>
      <c r="AJ929" s="1"/>
      <c r="AK929" s="1"/>
      <c r="AL929" s="1"/>
      <c r="AM929" s="1"/>
    </row>
    <row r="930" spans="16:39" x14ac:dyDescent="0.25">
      <c r="P930" s="49"/>
      <c r="Q930" s="1"/>
      <c r="S930" s="1"/>
      <c r="T930" s="1"/>
      <c r="U930" s="1"/>
      <c r="V930" s="1"/>
      <c r="W930" s="1"/>
      <c r="X930" s="1"/>
      <c r="Y930" s="1"/>
      <c r="AB930" s="1"/>
      <c r="AC930" s="1"/>
      <c r="AD930" s="1"/>
      <c r="AE930" s="1"/>
      <c r="AF930" s="1"/>
      <c r="AG930" s="1"/>
      <c r="AH930" s="1"/>
      <c r="AI930" s="1"/>
      <c r="AJ930" s="1"/>
      <c r="AK930" s="1"/>
      <c r="AL930" s="1"/>
      <c r="AM930" s="1"/>
    </row>
    <row r="931" spans="16:39" x14ac:dyDescent="0.25">
      <c r="P931" s="49"/>
      <c r="Q931" s="1"/>
      <c r="S931" s="1"/>
      <c r="T931" s="1"/>
      <c r="U931" s="1"/>
      <c r="V931" s="1"/>
      <c r="W931" s="1"/>
      <c r="X931" s="1"/>
      <c r="Y931" s="1"/>
      <c r="AB931" s="1"/>
      <c r="AC931" s="1"/>
      <c r="AD931" s="1"/>
      <c r="AE931" s="1"/>
      <c r="AF931" s="1"/>
      <c r="AG931" s="1"/>
      <c r="AH931" s="1"/>
      <c r="AI931" s="1"/>
      <c r="AJ931" s="1"/>
      <c r="AK931" s="1"/>
      <c r="AL931" s="1"/>
      <c r="AM931" s="1"/>
    </row>
    <row r="932" spans="16:39" x14ac:dyDescent="0.25">
      <c r="P932" s="49"/>
      <c r="Q932" s="1"/>
      <c r="S932" s="1"/>
      <c r="T932" s="1"/>
      <c r="U932" s="1"/>
      <c r="V932" s="1"/>
      <c r="W932" s="1"/>
      <c r="X932" s="1"/>
      <c r="Y932" s="1"/>
      <c r="AB932" s="1"/>
      <c r="AC932" s="1"/>
      <c r="AD932" s="1"/>
      <c r="AE932" s="1"/>
      <c r="AF932" s="1"/>
      <c r="AG932" s="1"/>
      <c r="AH932" s="1"/>
      <c r="AI932" s="1"/>
      <c r="AJ932" s="1"/>
      <c r="AK932" s="1"/>
      <c r="AL932" s="1"/>
      <c r="AM932" s="1"/>
    </row>
    <row r="933" spans="16:39" x14ac:dyDescent="0.25">
      <c r="P933" s="49"/>
      <c r="Q933" s="1"/>
      <c r="S933" s="1"/>
      <c r="T933" s="1"/>
      <c r="U933" s="1"/>
      <c r="V933" s="1"/>
      <c r="W933" s="1"/>
      <c r="X933" s="1"/>
      <c r="Y933" s="1"/>
      <c r="AB933" s="1"/>
      <c r="AC933" s="1"/>
      <c r="AD933" s="1"/>
      <c r="AE933" s="1"/>
      <c r="AF933" s="1"/>
      <c r="AG933" s="1"/>
      <c r="AH933" s="1"/>
      <c r="AI933" s="1"/>
      <c r="AJ933" s="1"/>
      <c r="AK933" s="1"/>
      <c r="AL933" s="1"/>
      <c r="AM933" s="1"/>
    </row>
    <row r="934" spans="16:39" x14ac:dyDescent="0.25">
      <c r="P934" s="49"/>
      <c r="Q934" s="1"/>
      <c r="S934" s="1"/>
      <c r="T934" s="1"/>
      <c r="U934" s="1"/>
      <c r="V934" s="1"/>
      <c r="W934" s="1"/>
      <c r="X934" s="1"/>
      <c r="Y934" s="1"/>
      <c r="AB934" s="1"/>
      <c r="AC934" s="1"/>
      <c r="AD934" s="1"/>
      <c r="AE934" s="1"/>
      <c r="AF934" s="1"/>
      <c r="AG934" s="1"/>
      <c r="AH934" s="1"/>
      <c r="AI934" s="1"/>
      <c r="AJ934" s="1"/>
      <c r="AK934" s="1"/>
      <c r="AL934" s="1"/>
      <c r="AM934" s="1"/>
    </row>
    <row r="935" spans="16:39" x14ac:dyDescent="0.25">
      <c r="P935" s="49"/>
      <c r="Q935" s="1"/>
      <c r="S935" s="1"/>
      <c r="T935" s="1"/>
      <c r="U935" s="1"/>
      <c r="V935" s="1"/>
      <c r="W935" s="1"/>
      <c r="X935" s="1"/>
      <c r="Y935" s="1"/>
      <c r="AB935" s="1"/>
      <c r="AC935" s="1"/>
      <c r="AD935" s="1"/>
      <c r="AE935" s="1"/>
      <c r="AF935" s="1"/>
      <c r="AG935" s="1"/>
      <c r="AH935" s="1"/>
      <c r="AI935" s="1"/>
      <c r="AJ935" s="1"/>
      <c r="AK935" s="1"/>
      <c r="AL935" s="1"/>
      <c r="AM935" s="1"/>
    </row>
    <row r="936" spans="16:39" x14ac:dyDescent="0.25">
      <c r="P936" s="49"/>
      <c r="Q936" s="1"/>
      <c r="S936" s="1"/>
      <c r="T936" s="1"/>
      <c r="U936" s="1"/>
      <c r="V936" s="1"/>
      <c r="W936" s="1"/>
      <c r="X936" s="1"/>
      <c r="Y936" s="1"/>
      <c r="AB936" s="1"/>
      <c r="AC936" s="1"/>
      <c r="AD936" s="1"/>
      <c r="AE936" s="1"/>
      <c r="AF936" s="1"/>
      <c r="AG936" s="1"/>
      <c r="AH936" s="1"/>
      <c r="AI936" s="1"/>
      <c r="AJ936" s="1"/>
      <c r="AK936" s="1"/>
      <c r="AL936" s="1"/>
      <c r="AM936" s="1"/>
    </row>
    <row r="937" spans="16:39" x14ac:dyDescent="0.25">
      <c r="P937" s="49"/>
      <c r="Q937" s="1"/>
      <c r="S937" s="1"/>
      <c r="T937" s="1"/>
      <c r="U937" s="1"/>
      <c r="V937" s="1"/>
      <c r="W937" s="1"/>
      <c r="X937" s="1"/>
      <c r="Y937" s="1"/>
      <c r="AB937" s="1"/>
      <c r="AC937" s="1"/>
      <c r="AD937" s="1"/>
      <c r="AE937" s="1"/>
      <c r="AF937" s="1"/>
      <c r="AG937" s="1"/>
      <c r="AH937" s="1"/>
      <c r="AI937" s="1"/>
      <c r="AJ937" s="1"/>
      <c r="AK937" s="1"/>
      <c r="AL937" s="1"/>
      <c r="AM937" s="1"/>
    </row>
    <row r="938" spans="16:39" x14ac:dyDescent="0.25">
      <c r="P938" s="49"/>
      <c r="Q938" s="1"/>
      <c r="S938" s="1"/>
      <c r="T938" s="1"/>
      <c r="U938" s="1"/>
      <c r="V938" s="1"/>
      <c r="W938" s="1"/>
      <c r="X938" s="1"/>
      <c r="Y938" s="1"/>
      <c r="AB938" s="1"/>
      <c r="AC938" s="1"/>
      <c r="AD938" s="1"/>
      <c r="AE938" s="1"/>
      <c r="AF938" s="1"/>
      <c r="AG938" s="1"/>
      <c r="AH938" s="1"/>
      <c r="AI938" s="1"/>
      <c r="AJ938" s="1"/>
      <c r="AK938" s="1"/>
      <c r="AL938" s="1"/>
      <c r="AM938" s="1"/>
    </row>
    <row r="939" spans="16:39" x14ac:dyDescent="0.25">
      <c r="P939" s="49"/>
      <c r="Q939" s="1"/>
      <c r="S939" s="1"/>
      <c r="T939" s="1"/>
      <c r="U939" s="1"/>
      <c r="V939" s="1"/>
      <c r="W939" s="1"/>
      <c r="X939" s="1"/>
      <c r="Y939" s="1"/>
      <c r="AB939" s="1"/>
      <c r="AC939" s="1"/>
      <c r="AD939" s="1"/>
      <c r="AE939" s="1"/>
      <c r="AF939" s="1"/>
      <c r="AG939" s="1"/>
      <c r="AH939" s="1"/>
      <c r="AI939" s="1"/>
      <c r="AJ939" s="1"/>
      <c r="AK939" s="1"/>
      <c r="AL939" s="1"/>
      <c r="AM939" s="1"/>
    </row>
    <row r="940" spans="16:39" x14ac:dyDescent="0.25">
      <c r="P940" s="49"/>
      <c r="Q940" s="1"/>
      <c r="S940" s="1"/>
      <c r="T940" s="1"/>
      <c r="U940" s="1"/>
      <c r="V940" s="1"/>
      <c r="W940" s="1"/>
      <c r="X940" s="1"/>
      <c r="Y940" s="1"/>
      <c r="AB940" s="1"/>
      <c r="AC940" s="1"/>
      <c r="AD940" s="1"/>
      <c r="AE940" s="1"/>
      <c r="AF940" s="1"/>
      <c r="AG940" s="1"/>
      <c r="AH940" s="1"/>
      <c r="AI940" s="1"/>
      <c r="AJ940" s="1"/>
      <c r="AK940" s="1"/>
      <c r="AL940" s="1"/>
      <c r="AM940" s="1"/>
    </row>
    <row r="941" spans="16:39" x14ac:dyDescent="0.25">
      <c r="P941" s="49"/>
      <c r="Q941" s="1"/>
      <c r="S941" s="1"/>
      <c r="T941" s="1"/>
      <c r="U941" s="1"/>
      <c r="V941" s="1"/>
      <c r="W941" s="1"/>
      <c r="X941" s="1"/>
      <c r="Y941" s="1"/>
      <c r="AB941" s="1"/>
      <c r="AC941" s="1"/>
      <c r="AD941" s="1"/>
      <c r="AE941" s="1"/>
      <c r="AF941" s="1"/>
      <c r="AG941" s="1"/>
      <c r="AH941" s="1"/>
      <c r="AI941" s="1"/>
      <c r="AJ941" s="1"/>
      <c r="AK941" s="1"/>
      <c r="AL941" s="1"/>
      <c r="AM941" s="1"/>
    </row>
    <row r="942" spans="16:39" x14ac:dyDescent="0.25">
      <c r="P942" s="49"/>
      <c r="Q942" s="1"/>
      <c r="S942" s="1"/>
      <c r="T942" s="1"/>
      <c r="U942" s="1"/>
      <c r="V942" s="1"/>
      <c r="W942" s="1"/>
      <c r="X942" s="1"/>
      <c r="Y942" s="1"/>
      <c r="AB942" s="1"/>
      <c r="AC942" s="1"/>
      <c r="AD942" s="1"/>
      <c r="AE942" s="1"/>
      <c r="AF942" s="1"/>
      <c r="AG942" s="1"/>
      <c r="AH942" s="1"/>
      <c r="AI942" s="1"/>
      <c r="AJ942" s="1"/>
      <c r="AK942" s="1"/>
      <c r="AL942" s="1"/>
      <c r="AM942" s="1"/>
    </row>
    <row r="943" spans="16:39" x14ac:dyDescent="0.25">
      <c r="P943" s="49"/>
      <c r="Q943" s="1"/>
      <c r="S943" s="1"/>
      <c r="T943" s="1"/>
      <c r="U943" s="1"/>
      <c r="V943" s="1"/>
      <c r="W943" s="1"/>
      <c r="X943" s="1"/>
      <c r="Y943" s="1"/>
      <c r="AB943" s="1"/>
      <c r="AC943" s="1"/>
      <c r="AD943" s="1"/>
      <c r="AE943" s="1"/>
      <c r="AF943" s="1"/>
      <c r="AG943" s="1"/>
      <c r="AH943" s="1"/>
      <c r="AI943" s="1"/>
      <c r="AJ943" s="1"/>
      <c r="AK943" s="1"/>
      <c r="AL943" s="1"/>
      <c r="AM943" s="1"/>
    </row>
    <row r="944" spans="16:39" x14ac:dyDescent="0.25">
      <c r="P944" s="49"/>
      <c r="Q944" s="1"/>
      <c r="S944" s="1"/>
      <c r="T944" s="1"/>
      <c r="U944" s="1"/>
      <c r="V944" s="1"/>
      <c r="W944" s="1"/>
      <c r="X944" s="1"/>
      <c r="Y944" s="1"/>
      <c r="AB944" s="1"/>
      <c r="AC944" s="1"/>
      <c r="AD944" s="1"/>
      <c r="AE944" s="1"/>
      <c r="AF944" s="1"/>
      <c r="AG944" s="1"/>
      <c r="AH944" s="1"/>
      <c r="AI944" s="1"/>
      <c r="AJ944" s="1"/>
      <c r="AK944" s="1"/>
      <c r="AL944" s="1"/>
      <c r="AM944" s="1"/>
    </row>
    <row r="945" spans="16:39" x14ac:dyDescent="0.25">
      <c r="P945" s="49"/>
      <c r="Q945" s="1"/>
      <c r="S945" s="1"/>
      <c r="T945" s="1"/>
      <c r="U945" s="1"/>
      <c r="V945" s="1"/>
      <c r="W945" s="1"/>
      <c r="X945" s="1"/>
      <c r="Y945" s="1"/>
      <c r="AB945" s="1"/>
      <c r="AC945" s="1"/>
      <c r="AD945" s="1"/>
      <c r="AE945" s="1"/>
      <c r="AF945" s="1"/>
      <c r="AG945" s="1"/>
      <c r="AH945" s="1"/>
      <c r="AI945" s="1"/>
      <c r="AJ945" s="1"/>
      <c r="AK945" s="1"/>
      <c r="AL945" s="1"/>
      <c r="AM945" s="1"/>
    </row>
    <row r="946" spans="16:39" x14ac:dyDescent="0.25">
      <c r="P946" s="49"/>
      <c r="Q946" s="1"/>
      <c r="S946" s="1"/>
      <c r="T946" s="1"/>
      <c r="U946" s="1"/>
      <c r="V946" s="1"/>
      <c r="W946" s="1"/>
      <c r="X946" s="1"/>
      <c r="Y946" s="1"/>
      <c r="AB946" s="1"/>
      <c r="AC946" s="1"/>
      <c r="AD946" s="1"/>
      <c r="AE946" s="1"/>
      <c r="AF946" s="1"/>
      <c r="AG946" s="1"/>
      <c r="AH946" s="1"/>
      <c r="AI946" s="1"/>
      <c r="AJ946" s="1"/>
      <c r="AK946" s="1"/>
      <c r="AL946" s="1"/>
      <c r="AM946" s="1"/>
    </row>
    <row r="947" spans="16:39" x14ac:dyDescent="0.25">
      <c r="P947" s="49"/>
      <c r="Q947" s="1"/>
      <c r="S947" s="1"/>
      <c r="T947" s="1"/>
      <c r="U947" s="1"/>
      <c r="V947" s="1"/>
      <c r="W947" s="1"/>
      <c r="X947" s="1"/>
      <c r="Y947" s="1"/>
      <c r="AB947" s="1"/>
      <c r="AC947" s="1"/>
      <c r="AD947" s="1"/>
      <c r="AE947" s="1"/>
      <c r="AF947" s="1"/>
      <c r="AG947" s="1"/>
      <c r="AH947" s="1"/>
      <c r="AI947" s="1"/>
      <c r="AJ947" s="1"/>
      <c r="AK947" s="1"/>
      <c r="AL947" s="1"/>
      <c r="AM947" s="1"/>
    </row>
    <row r="948" spans="16:39" x14ac:dyDescent="0.25">
      <c r="P948" s="49"/>
      <c r="Q948" s="1"/>
      <c r="S948" s="1"/>
      <c r="T948" s="1"/>
      <c r="U948" s="1"/>
      <c r="V948" s="1"/>
      <c r="W948" s="1"/>
      <c r="X948" s="1"/>
      <c r="Y948" s="1"/>
      <c r="AB948" s="1"/>
      <c r="AC948" s="1"/>
      <c r="AD948" s="1"/>
      <c r="AE948" s="1"/>
      <c r="AF948" s="1"/>
      <c r="AG948" s="1"/>
      <c r="AH948" s="1"/>
      <c r="AI948" s="1"/>
      <c r="AJ948" s="1"/>
      <c r="AK948" s="1"/>
      <c r="AL948" s="1"/>
      <c r="AM948" s="1"/>
    </row>
    <row r="949" spans="16:39" x14ac:dyDescent="0.25">
      <c r="P949" s="49"/>
      <c r="Q949" s="1"/>
      <c r="S949" s="1"/>
      <c r="T949" s="1"/>
      <c r="U949" s="1"/>
      <c r="V949" s="1"/>
      <c r="W949" s="1"/>
      <c r="X949" s="1"/>
      <c r="Y949" s="1"/>
      <c r="AB949" s="1"/>
      <c r="AC949" s="1"/>
      <c r="AD949" s="1"/>
      <c r="AE949" s="1"/>
      <c r="AF949" s="1"/>
      <c r="AG949" s="1"/>
      <c r="AH949" s="1"/>
      <c r="AI949" s="1"/>
      <c r="AJ949" s="1"/>
      <c r="AK949" s="1"/>
      <c r="AL949" s="1"/>
      <c r="AM949" s="1"/>
    </row>
    <row r="950" spans="16:39" x14ac:dyDescent="0.25">
      <c r="P950" s="49"/>
      <c r="Q950" s="1"/>
      <c r="S950" s="1"/>
      <c r="T950" s="1"/>
      <c r="U950" s="1"/>
      <c r="V950" s="1"/>
      <c r="W950" s="1"/>
      <c r="X950" s="1"/>
      <c r="Y950" s="1"/>
      <c r="AB950" s="1"/>
      <c r="AC950" s="1"/>
      <c r="AD950" s="1"/>
      <c r="AE950" s="1"/>
      <c r="AF950" s="1"/>
      <c r="AG950" s="1"/>
      <c r="AH950" s="1"/>
      <c r="AI950" s="1"/>
      <c r="AJ950" s="1"/>
      <c r="AK950" s="1"/>
      <c r="AL950" s="1"/>
      <c r="AM950" s="1"/>
    </row>
    <row r="951" spans="16:39" x14ac:dyDescent="0.25">
      <c r="P951" s="49"/>
      <c r="Q951" s="1"/>
      <c r="S951" s="1"/>
      <c r="T951" s="1"/>
      <c r="U951" s="1"/>
      <c r="V951" s="1"/>
      <c r="W951" s="1"/>
      <c r="X951" s="1"/>
      <c r="Y951" s="1"/>
      <c r="AB951" s="1"/>
      <c r="AC951" s="1"/>
      <c r="AD951" s="1"/>
      <c r="AE951" s="1"/>
      <c r="AF951" s="1"/>
      <c r="AG951" s="1"/>
      <c r="AH951" s="1"/>
      <c r="AI951" s="1"/>
      <c r="AJ951" s="1"/>
      <c r="AK951" s="1"/>
      <c r="AL951" s="1"/>
      <c r="AM951" s="1"/>
    </row>
    <row r="952" spans="16:39" x14ac:dyDescent="0.25">
      <c r="P952" s="49"/>
      <c r="Q952" s="1"/>
      <c r="S952" s="1"/>
      <c r="T952" s="1"/>
      <c r="U952" s="1"/>
      <c r="V952" s="1"/>
      <c r="W952" s="1"/>
      <c r="X952" s="1"/>
      <c r="Y952" s="1"/>
      <c r="AB952" s="1"/>
      <c r="AC952" s="1"/>
      <c r="AD952" s="1"/>
      <c r="AE952" s="1"/>
      <c r="AF952" s="1"/>
      <c r="AG952" s="1"/>
      <c r="AH952" s="1"/>
      <c r="AI952" s="1"/>
      <c r="AJ952" s="1"/>
      <c r="AK952" s="1"/>
      <c r="AL952" s="1"/>
      <c r="AM952" s="1"/>
    </row>
    <row r="953" spans="16:39" x14ac:dyDescent="0.25">
      <c r="P953" s="49"/>
      <c r="Q953" s="1"/>
      <c r="S953" s="1"/>
      <c r="T953" s="1"/>
      <c r="U953" s="1"/>
      <c r="V953" s="1"/>
      <c r="W953" s="1"/>
      <c r="X953" s="1"/>
      <c r="Y953" s="1"/>
      <c r="AB953" s="1"/>
      <c r="AC953" s="1"/>
      <c r="AD953" s="1"/>
      <c r="AE953" s="1"/>
      <c r="AF953" s="1"/>
      <c r="AG953" s="1"/>
      <c r="AH953" s="1"/>
      <c r="AI953" s="1"/>
      <c r="AJ953" s="1"/>
      <c r="AK953" s="1"/>
      <c r="AL953" s="1"/>
      <c r="AM953" s="1"/>
    </row>
    <row r="954" spans="16:39" x14ac:dyDescent="0.25">
      <c r="P954" s="49"/>
      <c r="Q954" s="1"/>
      <c r="S954" s="1"/>
      <c r="T954" s="1"/>
      <c r="U954" s="1"/>
      <c r="V954" s="1"/>
      <c r="W954" s="1"/>
      <c r="X954" s="1"/>
      <c r="Y954" s="1"/>
      <c r="AB954" s="1"/>
      <c r="AC954" s="1"/>
      <c r="AD954" s="1"/>
      <c r="AE954" s="1"/>
      <c r="AF954" s="1"/>
      <c r="AG954" s="1"/>
      <c r="AH954" s="1"/>
      <c r="AI954" s="1"/>
      <c r="AJ954" s="1"/>
      <c r="AK954" s="1"/>
      <c r="AL954" s="1"/>
      <c r="AM954" s="1"/>
    </row>
    <row r="955" spans="16:39" x14ac:dyDescent="0.25">
      <c r="P955" s="49"/>
      <c r="Q955" s="1"/>
      <c r="S955" s="1"/>
      <c r="T955" s="1"/>
      <c r="U955" s="1"/>
      <c r="V955" s="1"/>
      <c r="W955" s="1"/>
      <c r="X955" s="1"/>
      <c r="Y955" s="1"/>
      <c r="AB955" s="1"/>
      <c r="AC955" s="1"/>
      <c r="AD955" s="1"/>
      <c r="AE955" s="1"/>
      <c r="AF955" s="1"/>
      <c r="AG955" s="1"/>
      <c r="AH955" s="1"/>
      <c r="AI955" s="1"/>
      <c r="AJ955" s="1"/>
      <c r="AK955" s="1"/>
      <c r="AL955" s="1"/>
      <c r="AM955" s="1"/>
    </row>
    <row r="956" spans="16:39" x14ac:dyDescent="0.25">
      <c r="P956" s="49"/>
      <c r="Q956" s="1"/>
      <c r="S956" s="1"/>
      <c r="T956" s="1"/>
      <c r="U956" s="1"/>
      <c r="V956" s="1"/>
      <c r="W956" s="1"/>
      <c r="X956" s="1"/>
      <c r="Y956" s="1"/>
      <c r="AB956" s="1"/>
      <c r="AC956" s="1"/>
      <c r="AD956" s="1"/>
      <c r="AE956" s="1"/>
      <c r="AF956" s="1"/>
      <c r="AG956" s="1"/>
      <c r="AH956" s="1"/>
      <c r="AI956" s="1"/>
      <c r="AJ956" s="1"/>
      <c r="AK956" s="1"/>
      <c r="AL956" s="1"/>
      <c r="AM956" s="1"/>
    </row>
    <row r="957" spans="16:39" x14ac:dyDescent="0.25">
      <c r="P957" s="49"/>
      <c r="Q957" s="1"/>
      <c r="S957" s="1"/>
      <c r="T957" s="1"/>
      <c r="U957" s="1"/>
      <c r="V957" s="1"/>
      <c r="W957" s="1"/>
      <c r="X957" s="1"/>
      <c r="Y957" s="1"/>
      <c r="AB957" s="1"/>
      <c r="AC957" s="1"/>
      <c r="AD957" s="1"/>
      <c r="AE957" s="1"/>
      <c r="AF957" s="1"/>
      <c r="AG957" s="1"/>
      <c r="AH957" s="1"/>
      <c r="AI957" s="1"/>
      <c r="AJ957" s="1"/>
      <c r="AK957" s="1"/>
      <c r="AL957" s="1"/>
      <c r="AM957" s="1"/>
    </row>
    <row r="958" spans="16:39" x14ac:dyDescent="0.25">
      <c r="P958" s="49"/>
      <c r="Q958" s="1"/>
      <c r="S958" s="1"/>
      <c r="T958" s="1"/>
      <c r="U958" s="1"/>
      <c r="V958" s="1"/>
      <c r="W958" s="1"/>
      <c r="X958" s="1"/>
      <c r="Y958" s="1"/>
      <c r="AB958" s="1"/>
      <c r="AC958" s="1"/>
      <c r="AD958" s="1"/>
      <c r="AE958" s="1"/>
      <c r="AF958" s="1"/>
      <c r="AG958" s="1"/>
      <c r="AH958" s="1"/>
      <c r="AI958" s="1"/>
      <c r="AJ958" s="1"/>
      <c r="AK958" s="1"/>
      <c r="AL958" s="1"/>
      <c r="AM958" s="1"/>
    </row>
    <row r="959" spans="16:39" x14ac:dyDescent="0.25">
      <c r="P959" s="49"/>
      <c r="Q959" s="1"/>
      <c r="S959" s="1"/>
      <c r="T959" s="1"/>
      <c r="U959" s="1"/>
      <c r="V959" s="1"/>
      <c r="W959" s="1"/>
      <c r="X959" s="1"/>
      <c r="Y959" s="1"/>
      <c r="AB959" s="1"/>
      <c r="AC959" s="1"/>
      <c r="AD959" s="1"/>
      <c r="AE959" s="1"/>
      <c r="AF959" s="1"/>
      <c r="AG959" s="1"/>
      <c r="AH959" s="1"/>
      <c r="AI959" s="1"/>
      <c r="AJ959" s="1"/>
      <c r="AK959" s="1"/>
      <c r="AL959" s="1"/>
      <c r="AM959" s="1"/>
    </row>
    <row r="960" spans="16:39" x14ac:dyDescent="0.25">
      <c r="P960" s="49"/>
      <c r="Q960" s="1"/>
      <c r="S960" s="1"/>
      <c r="T960" s="1"/>
      <c r="U960" s="1"/>
      <c r="V960" s="1"/>
      <c r="W960" s="1"/>
      <c r="X960" s="1"/>
      <c r="Y960" s="1"/>
      <c r="AB960" s="1"/>
      <c r="AC960" s="1"/>
      <c r="AD960" s="1"/>
      <c r="AE960" s="1"/>
      <c r="AF960" s="1"/>
      <c r="AG960" s="1"/>
      <c r="AH960" s="1"/>
      <c r="AI960" s="1"/>
      <c r="AJ960" s="1"/>
      <c r="AK960" s="1"/>
      <c r="AL960" s="1"/>
      <c r="AM960" s="1"/>
    </row>
    <row r="961" spans="16:39" x14ac:dyDescent="0.25">
      <c r="P961" s="49"/>
      <c r="Q961" s="1"/>
      <c r="S961" s="1"/>
      <c r="T961" s="1"/>
      <c r="U961" s="1"/>
      <c r="V961" s="1"/>
      <c r="W961" s="1"/>
      <c r="X961" s="1"/>
      <c r="Y961" s="1"/>
      <c r="AB961" s="1"/>
      <c r="AC961" s="1"/>
      <c r="AD961" s="1"/>
      <c r="AE961" s="1"/>
      <c r="AF961" s="1"/>
      <c r="AG961" s="1"/>
      <c r="AH961" s="1"/>
      <c r="AI961" s="1"/>
      <c r="AJ961" s="1"/>
      <c r="AK961" s="1"/>
      <c r="AL961" s="1"/>
      <c r="AM961" s="1"/>
    </row>
    <row r="962" spans="16:39" x14ac:dyDescent="0.25">
      <c r="P962" s="49"/>
      <c r="Q962" s="1"/>
      <c r="S962" s="1"/>
      <c r="T962" s="1"/>
      <c r="U962" s="1"/>
      <c r="V962" s="1"/>
      <c r="W962" s="1"/>
      <c r="X962" s="1"/>
      <c r="Y962" s="1"/>
      <c r="AB962" s="1"/>
      <c r="AC962" s="1"/>
      <c r="AD962" s="1"/>
      <c r="AE962" s="1"/>
      <c r="AF962" s="1"/>
      <c r="AG962" s="1"/>
      <c r="AH962" s="1"/>
      <c r="AI962" s="1"/>
      <c r="AJ962" s="1"/>
      <c r="AK962" s="1"/>
      <c r="AL962" s="1"/>
      <c r="AM962" s="1"/>
    </row>
    <row r="963" spans="16:39" x14ac:dyDescent="0.25">
      <c r="P963" s="49"/>
      <c r="Q963" s="1"/>
      <c r="S963" s="1"/>
      <c r="T963" s="1"/>
      <c r="U963" s="1"/>
      <c r="V963" s="1"/>
      <c r="W963" s="1"/>
      <c r="X963" s="1"/>
      <c r="Y963" s="1"/>
      <c r="AB963" s="1"/>
      <c r="AC963" s="1"/>
      <c r="AD963" s="1"/>
      <c r="AE963" s="1"/>
      <c r="AF963" s="1"/>
      <c r="AG963" s="1"/>
      <c r="AH963" s="1"/>
      <c r="AI963" s="1"/>
      <c r="AJ963" s="1"/>
      <c r="AK963" s="1"/>
      <c r="AL963" s="1"/>
      <c r="AM963" s="1"/>
    </row>
    <row r="964" spans="16:39" x14ac:dyDescent="0.25">
      <c r="P964" s="49"/>
      <c r="Q964" s="1"/>
      <c r="S964" s="1"/>
      <c r="T964" s="1"/>
      <c r="U964" s="1"/>
      <c r="V964" s="1"/>
      <c r="W964" s="1"/>
      <c r="X964" s="1"/>
      <c r="Y964" s="1"/>
      <c r="AB964" s="1"/>
      <c r="AC964" s="1"/>
      <c r="AD964" s="1"/>
      <c r="AE964" s="1"/>
      <c r="AF964" s="1"/>
      <c r="AG964" s="1"/>
      <c r="AH964" s="1"/>
      <c r="AI964" s="1"/>
      <c r="AJ964" s="1"/>
      <c r="AK964" s="1"/>
      <c r="AL964" s="1"/>
      <c r="AM964" s="1"/>
    </row>
    <row r="965" spans="16:39" x14ac:dyDescent="0.25">
      <c r="P965" s="49"/>
      <c r="Q965" s="1"/>
      <c r="S965" s="1"/>
      <c r="T965" s="1"/>
      <c r="U965" s="1"/>
      <c r="V965" s="1"/>
      <c r="W965" s="1"/>
      <c r="X965" s="1"/>
      <c r="Y965" s="1"/>
      <c r="AB965" s="1"/>
      <c r="AC965" s="1"/>
      <c r="AD965" s="1"/>
      <c r="AE965" s="1"/>
      <c r="AF965" s="1"/>
      <c r="AG965" s="1"/>
      <c r="AH965" s="1"/>
      <c r="AI965" s="1"/>
      <c r="AJ965" s="1"/>
      <c r="AK965" s="1"/>
      <c r="AL965" s="1"/>
      <c r="AM965" s="1"/>
    </row>
    <row r="966" spans="16:39" x14ac:dyDescent="0.25">
      <c r="P966" s="49"/>
      <c r="Q966" s="1"/>
      <c r="S966" s="1"/>
      <c r="T966" s="1"/>
      <c r="U966" s="1"/>
      <c r="V966" s="1"/>
      <c r="W966" s="1"/>
      <c r="X966" s="1"/>
      <c r="Y966" s="1"/>
      <c r="AB966" s="1"/>
      <c r="AC966" s="1"/>
      <c r="AD966" s="1"/>
      <c r="AE966" s="1"/>
      <c r="AF966" s="1"/>
      <c r="AG966" s="1"/>
      <c r="AH966" s="1"/>
      <c r="AI966" s="1"/>
      <c r="AJ966" s="1"/>
      <c r="AK966" s="1"/>
      <c r="AL966" s="1"/>
      <c r="AM966" s="1"/>
    </row>
    <row r="967" spans="16:39" x14ac:dyDescent="0.25">
      <c r="P967" s="49"/>
      <c r="Q967" s="1"/>
      <c r="S967" s="1"/>
      <c r="T967" s="1"/>
      <c r="U967" s="1"/>
      <c r="V967" s="1"/>
      <c r="W967" s="1"/>
      <c r="X967" s="1"/>
      <c r="Y967" s="1"/>
      <c r="AB967" s="1"/>
      <c r="AC967" s="1"/>
      <c r="AD967" s="1"/>
      <c r="AE967" s="1"/>
      <c r="AF967" s="1"/>
      <c r="AG967" s="1"/>
      <c r="AH967" s="1"/>
      <c r="AI967" s="1"/>
      <c r="AJ967" s="1"/>
      <c r="AK967" s="1"/>
      <c r="AL967" s="1"/>
      <c r="AM967" s="1"/>
    </row>
    <row r="968" spans="16:39" x14ac:dyDescent="0.25">
      <c r="P968" s="49"/>
      <c r="Q968" s="1"/>
      <c r="S968" s="1"/>
      <c r="T968" s="1"/>
      <c r="U968" s="1"/>
      <c r="V968" s="1"/>
      <c r="W968" s="1"/>
      <c r="X968" s="1"/>
      <c r="Y968" s="1"/>
      <c r="AB968" s="1"/>
      <c r="AC968" s="1"/>
      <c r="AD968" s="1"/>
      <c r="AE968" s="1"/>
      <c r="AF968" s="1"/>
      <c r="AG968" s="1"/>
      <c r="AH968" s="1"/>
      <c r="AI968" s="1"/>
      <c r="AJ968" s="1"/>
      <c r="AK968" s="1"/>
      <c r="AL968" s="1"/>
      <c r="AM968" s="1"/>
    </row>
    <row r="969" spans="16:39" x14ac:dyDescent="0.25">
      <c r="P969" s="49"/>
      <c r="Q969" s="1"/>
      <c r="S969" s="1"/>
      <c r="T969" s="1"/>
      <c r="U969" s="1"/>
      <c r="V969" s="1"/>
      <c r="W969" s="1"/>
      <c r="X969" s="1"/>
      <c r="Y969" s="1"/>
      <c r="AB969" s="1"/>
      <c r="AC969" s="1"/>
      <c r="AD969" s="1"/>
      <c r="AE969" s="1"/>
      <c r="AF969" s="1"/>
      <c r="AG969" s="1"/>
      <c r="AH969" s="1"/>
      <c r="AI969" s="1"/>
      <c r="AJ969" s="1"/>
      <c r="AK969" s="1"/>
      <c r="AL969" s="1"/>
      <c r="AM969" s="1"/>
    </row>
    <row r="970" spans="16:39" x14ac:dyDescent="0.25">
      <c r="P970" s="49"/>
      <c r="Q970" s="1"/>
      <c r="S970" s="1"/>
      <c r="T970" s="1"/>
      <c r="U970" s="1"/>
      <c r="V970" s="1"/>
      <c r="W970" s="1"/>
      <c r="X970" s="1"/>
      <c r="Y970" s="1"/>
      <c r="AB970" s="1"/>
      <c r="AC970" s="1"/>
      <c r="AD970" s="1"/>
      <c r="AE970" s="1"/>
      <c r="AF970" s="1"/>
      <c r="AG970" s="1"/>
      <c r="AH970" s="1"/>
      <c r="AI970" s="1"/>
      <c r="AJ970" s="1"/>
      <c r="AK970" s="1"/>
      <c r="AL970" s="1"/>
      <c r="AM970" s="1"/>
    </row>
    <row r="971" spans="16:39" x14ac:dyDescent="0.25">
      <c r="P971" s="49"/>
      <c r="Q971" s="1"/>
      <c r="S971" s="1"/>
      <c r="T971" s="1"/>
      <c r="U971" s="1"/>
      <c r="V971" s="1"/>
      <c r="W971" s="1"/>
      <c r="X971" s="1"/>
      <c r="Y971" s="1"/>
      <c r="AB971" s="1"/>
      <c r="AC971" s="1"/>
      <c r="AD971" s="1"/>
      <c r="AE971" s="1"/>
      <c r="AF971" s="1"/>
      <c r="AG971" s="1"/>
      <c r="AH971" s="1"/>
      <c r="AI971" s="1"/>
      <c r="AJ971" s="1"/>
      <c r="AK971" s="1"/>
      <c r="AL971" s="1"/>
      <c r="AM971" s="1"/>
    </row>
    <row r="972" spans="16:39" x14ac:dyDescent="0.25">
      <c r="P972" s="49"/>
      <c r="Q972" s="1"/>
      <c r="S972" s="1"/>
      <c r="T972" s="1"/>
      <c r="U972" s="1"/>
      <c r="V972" s="1"/>
      <c r="W972" s="1"/>
      <c r="X972" s="1"/>
      <c r="Y972" s="1"/>
      <c r="AB972" s="1"/>
      <c r="AC972" s="1"/>
      <c r="AD972" s="1"/>
      <c r="AE972" s="1"/>
      <c r="AF972" s="1"/>
      <c r="AG972" s="1"/>
      <c r="AH972" s="1"/>
      <c r="AI972" s="1"/>
      <c r="AJ972" s="1"/>
      <c r="AK972" s="1"/>
      <c r="AL972" s="1"/>
      <c r="AM972" s="1"/>
    </row>
    <row r="973" spans="16:39" x14ac:dyDescent="0.25">
      <c r="P973" s="49"/>
      <c r="Q973" s="1"/>
      <c r="S973" s="1"/>
      <c r="T973" s="1"/>
      <c r="U973" s="1"/>
      <c r="V973" s="1"/>
      <c r="W973" s="1"/>
      <c r="X973" s="1"/>
      <c r="Y973" s="1"/>
      <c r="AB973" s="1"/>
      <c r="AC973" s="1"/>
      <c r="AD973" s="1"/>
      <c r="AE973" s="1"/>
      <c r="AF973" s="1"/>
      <c r="AG973" s="1"/>
      <c r="AH973" s="1"/>
      <c r="AI973" s="1"/>
      <c r="AJ973" s="1"/>
      <c r="AK973" s="1"/>
      <c r="AL973" s="1"/>
      <c r="AM973" s="1"/>
    </row>
    <row r="974" spans="16:39" x14ac:dyDescent="0.25">
      <c r="P974" s="49"/>
      <c r="Q974" s="1"/>
      <c r="S974" s="1"/>
      <c r="T974" s="1"/>
      <c r="U974" s="1"/>
      <c r="V974" s="1"/>
      <c r="W974" s="1"/>
      <c r="X974" s="1"/>
      <c r="Y974" s="1"/>
      <c r="AB974" s="1"/>
      <c r="AC974" s="1"/>
      <c r="AD974" s="1"/>
      <c r="AE974" s="1"/>
      <c r="AF974" s="1"/>
      <c r="AG974" s="1"/>
      <c r="AH974" s="1"/>
      <c r="AI974" s="1"/>
      <c r="AJ974" s="1"/>
      <c r="AK974" s="1"/>
      <c r="AL974" s="1"/>
      <c r="AM974" s="1"/>
    </row>
    <row r="975" spans="16:39" x14ac:dyDescent="0.25">
      <c r="P975" s="49"/>
      <c r="Q975" s="1"/>
      <c r="S975" s="1"/>
      <c r="T975" s="1"/>
      <c r="U975" s="1"/>
      <c r="V975" s="1"/>
      <c r="W975" s="1"/>
      <c r="X975" s="1"/>
      <c r="Y975" s="1"/>
      <c r="AB975" s="1"/>
      <c r="AC975" s="1"/>
      <c r="AD975" s="1"/>
      <c r="AE975" s="1"/>
      <c r="AF975" s="1"/>
      <c r="AG975" s="1"/>
      <c r="AH975" s="1"/>
      <c r="AI975" s="1"/>
      <c r="AJ975" s="1"/>
      <c r="AK975" s="1"/>
      <c r="AL975" s="1"/>
      <c r="AM975" s="1"/>
    </row>
    <row r="976" spans="16:39" x14ac:dyDescent="0.25">
      <c r="P976" s="49"/>
      <c r="Q976" s="1"/>
      <c r="S976" s="1"/>
      <c r="T976" s="1"/>
      <c r="U976" s="1"/>
      <c r="V976" s="1"/>
      <c r="W976" s="1"/>
      <c r="X976" s="1"/>
      <c r="Y976" s="1"/>
      <c r="AB976" s="1"/>
      <c r="AC976" s="1"/>
      <c r="AD976" s="1"/>
      <c r="AE976" s="1"/>
      <c r="AF976" s="1"/>
      <c r="AG976" s="1"/>
      <c r="AH976" s="1"/>
      <c r="AI976" s="1"/>
      <c r="AJ976" s="1"/>
      <c r="AK976" s="1"/>
      <c r="AL976" s="1"/>
      <c r="AM976" s="1"/>
    </row>
    <row r="977" spans="16:39" x14ac:dyDescent="0.25">
      <c r="P977" s="49"/>
      <c r="Q977" s="1"/>
      <c r="S977" s="1"/>
      <c r="T977" s="1"/>
      <c r="U977" s="1"/>
      <c r="V977" s="1"/>
      <c r="W977" s="1"/>
      <c r="X977" s="1"/>
      <c r="Y977" s="1"/>
      <c r="AB977" s="1"/>
      <c r="AC977" s="1"/>
      <c r="AD977" s="1"/>
      <c r="AE977" s="1"/>
      <c r="AF977" s="1"/>
      <c r="AG977" s="1"/>
      <c r="AH977" s="1"/>
      <c r="AI977" s="1"/>
      <c r="AJ977" s="1"/>
      <c r="AK977" s="1"/>
      <c r="AL977" s="1"/>
      <c r="AM977" s="1"/>
    </row>
    <row r="978" spans="16:39" x14ac:dyDescent="0.25">
      <c r="P978" s="49"/>
      <c r="Q978" s="1"/>
      <c r="S978" s="1"/>
      <c r="T978" s="1"/>
      <c r="U978" s="1"/>
      <c r="V978" s="1"/>
      <c r="W978" s="1"/>
      <c r="X978" s="1"/>
      <c r="Y978" s="1"/>
      <c r="AB978" s="1"/>
      <c r="AC978" s="1"/>
      <c r="AD978" s="1"/>
      <c r="AE978" s="1"/>
      <c r="AF978" s="1"/>
      <c r="AG978" s="1"/>
      <c r="AH978" s="1"/>
      <c r="AI978" s="1"/>
      <c r="AJ978" s="1"/>
      <c r="AK978" s="1"/>
      <c r="AL978" s="1"/>
      <c r="AM978" s="1"/>
    </row>
    <row r="979" spans="16:39" x14ac:dyDescent="0.25">
      <c r="P979" s="49"/>
      <c r="Q979" s="1"/>
      <c r="S979" s="1"/>
      <c r="T979" s="1"/>
      <c r="U979" s="1"/>
      <c r="V979" s="1"/>
      <c r="W979" s="1"/>
      <c r="X979" s="1"/>
      <c r="Y979" s="1"/>
      <c r="AB979" s="1"/>
      <c r="AC979" s="1"/>
      <c r="AD979" s="1"/>
      <c r="AE979" s="1"/>
      <c r="AF979" s="1"/>
      <c r="AG979" s="1"/>
      <c r="AH979" s="1"/>
      <c r="AI979" s="1"/>
      <c r="AJ979" s="1"/>
      <c r="AK979" s="1"/>
      <c r="AL979" s="1"/>
      <c r="AM979" s="1"/>
    </row>
    <row r="980" spans="16:39" x14ac:dyDescent="0.25">
      <c r="P980" s="49"/>
      <c r="Q980" s="1"/>
      <c r="S980" s="1"/>
      <c r="T980" s="1"/>
      <c r="U980" s="1"/>
      <c r="V980" s="1"/>
      <c r="W980" s="1"/>
      <c r="X980" s="1"/>
      <c r="Y980" s="1"/>
      <c r="AB980" s="1"/>
      <c r="AC980" s="1"/>
      <c r="AD980" s="1"/>
      <c r="AE980" s="1"/>
      <c r="AF980" s="1"/>
      <c r="AG980" s="1"/>
      <c r="AH980" s="1"/>
      <c r="AI980" s="1"/>
      <c r="AJ980" s="1"/>
      <c r="AK980" s="1"/>
      <c r="AL980" s="1"/>
      <c r="AM980" s="1"/>
    </row>
    <row r="981" spans="16:39" x14ac:dyDescent="0.25">
      <c r="P981" s="49"/>
      <c r="Q981" s="1"/>
      <c r="S981" s="1"/>
      <c r="T981" s="1"/>
      <c r="U981" s="1"/>
      <c r="V981" s="1"/>
      <c r="W981" s="1"/>
      <c r="X981" s="1"/>
      <c r="Y981" s="1"/>
      <c r="AB981" s="1"/>
      <c r="AC981" s="1"/>
      <c r="AD981" s="1"/>
      <c r="AE981" s="1"/>
      <c r="AF981" s="1"/>
      <c r="AG981" s="1"/>
      <c r="AH981" s="1"/>
      <c r="AI981" s="1"/>
      <c r="AJ981" s="1"/>
      <c r="AK981" s="1"/>
      <c r="AL981" s="1"/>
      <c r="AM981" s="1"/>
    </row>
    <row r="982" spans="16:39" x14ac:dyDescent="0.25">
      <c r="P982" s="49"/>
      <c r="Q982" s="1"/>
      <c r="S982" s="1"/>
      <c r="T982" s="1"/>
      <c r="U982" s="1"/>
      <c r="V982" s="1"/>
      <c r="W982" s="1"/>
      <c r="X982" s="1"/>
      <c r="Y982" s="1"/>
      <c r="AB982" s="1"/>
      <c r="AC982" s="1"/>
      <c r="AD982" s="1"/>
      <c r="AE982" s="1"/>
      <c r="AF982" s="1"/>
      <c r="AG982" s="1"/>
      <c r="AH982" s="1"/>
      <c r="AI982" s="1"/>
      <c r="AJ982" s="1"/>
      <c r="AK982" s="1"/>
      <c r="AL982" s="1"/>
      <c r="AM982" s="1"/>
    </row>
    <row r="983" spans="16:39" x14ac:dyDescent="0.25">
      <c r="P983" s="49"/>
      <c r="Q983" s="1"/>
      <c r="S983" s="1"/>
      <c r="T983" s="1"/>
      <c r="U983" s="1"/>
      <c r="V983" s="1"/>
      <c r="W983" s="1"/>
      <c r="X983" s="1"/>
      <c r="Y983" s="1"/>
      <c r="AB983" s="1"/>
      <c r="AC983" s="1"/>
      <c r="AD983" s="1"/>
      <c r="AE983" s="1"/>
      <c r="AF983" s="1"/>
      <c r="AG983" s="1"/>
      <c r="AH983" s="1"/>
      <c r="AI983" s="1"/>
      <c r="AJ983" s="1"/>
      <c r="AK983" s="1"/>
      <c r="AL983" s="1"/>
      <c r="AM983" s="1"/>
    </row>
    <row r="984" spans="16:39" x14ac:dyDescent="0.25">
      <c r="P984" s="49"/>
      <c r="Q984" s="1"/>
      <c r="S984" s="1"/>
      <c r="T984" s="1"/>
      <c r="U984" s="1"/>
      <c r="V984" s="1"/>
      <c r="W984" s="1"/>
      <c r="X984" s="1"/>
      <c r="Y984" s="1"/>
      <c r="AB984" s="1"/>
      <c r="AC984" s="1"/>
      <c r="AD984" s="1"/>
      <c r="AE984" s="1"/>
      <c r="AF984" s="1"/>
      <c r="AG984" s="1"/>
      <c r="AH984" s="1"/>
      <c r="AI984" s="1"/>
      <c r="AJ984" s="1"/>
      <c r="AK984" s="1"/>
      <c r="AL984" s="1"/>
      <c r="AM984" s="1"/>
    </row>
    <row r="985" spans="16:39" x14ac:dyDescent="0.25">
      <c r="P985" s="49"/>
      <c r="Q985" s="1"/>
      <c r="S985" s="1"/>
      <c r="T985" s="1"/>
      <c r="U985" s="1"/>
      <c r="V985" s="1"/>
      <c r="W985" s="1"/>
      <c r="X985" s="1"/>
      <c r="Y985" s="1"/>
      <c r="AB985" s="1"/>
      <c r="AC985" s="1"/>
      <c r="AD985" s="1"/>
      <c r="AE985" s="1"/>
      <c r="AF985" s="1"/>
      <c r="AG985" s="1"/>
      <c r="AH985" s="1"/>
      <c r="AI985" s="1"/>
      <c r="AJ985" s="1"/>
      <c r="AK985" s="1"/>
      <c r="AL985" s="1"/>
      <c r="AM985" s="1"/>
    </row>
    <row r="986" spans="16:39" x14ac:dyDescent="0.25">
      <c r="P986" s="49"/>
      <c r="Q986" s="1"/>
      <c r="S986" s="1"/>
      <c r="T986" s="1"/>
      <c r="U986" s="1"/>
      <c r="V986" s="1"/>
      <c r="W986" s="1"/>
      <c r="X986" s="1"/>
      <c r="Y986" s="1"/>
      <c r="AB986" s="1"/>
      <c r="AC986" s="1"/>
      <c r="AD986" s="1"/>
      <c r="AE986" s="1"/>
      <c r="AF986" s="1"/>
      <c r="AG986" s="1"/>
      <c r="AH986" s="1"/>
      <c r="AI986" s="1"/>
      <c r="AJ986" s="1"/>
      <c r="AK986" s="1"/>
      <c r="AL986" s="1"/>
      <c r="AM986" s="1"/>
    </row>
    <row r="987" spans="16:39" x14ac:dyDescent="0.25">
      <c r="P987" s="49"/>
      <c r="Q987" s="1"/>
      <c r="S987" s="1"/>
      <c r="T987" s="1"/>
      <c r="U987" s="1"/>
      <c r="V987" s="1"/>
      <c r="W987" s="1"/>
      <c r="X987" s="1"/>
      <c r="Y987" s="1"/>
      <c r="AB987" s="1"/>
      <c r="AC987" s="1"/>
      <c r="AD987" s="1"/>
      <c r="AE987" s="1"/>
      <c r="AF987" s="1"/>
      <c r="AG987" s="1"/>
      <c r="AH987" s="1"/>
      <c r="AI987" s="1"/>
      <c r="AJ987" s="1"/>
      <c r="AK987" s="1"/>
      <c r="AL987" s="1"/>
      <c r="AM987" s="1"/>
    </row>
    <row r="988" spans="16:39" x14ac:dyDescent="0.25">
      <c r="P988" s="49"/>
      <c r="Q988" s="1"/>
      <c r="S988" s="1"/>
      <c r="T988" s="1"/>
      <c r="U988" s="1"/>
      <c r="V988" s="1"/>
      <c r="W988" s="1"/>
      <c r="X988" s="1"/>
      <c r="Y988" s="1"/>
      <c r="AB988" s="1"/>
      <c r="AC988" s="1"/>
      <c r="AD988" s="1"/>
      <c r="AE988" s="1"/>
      <c r="AF988" s="1"/>
      <c r="AG988" s="1"/>
      <c r="AH988" s="1"/>
      <c r="AI988" s="1"/>
      <c r="AJ988" s="1"/>
      <c r="AK988" s="1"/>
      <c r="AL988" s="1"/>
      <c r="AM988" s="1"/>
    </row>
    <row r="989" spans="16:39" x14ac:dyDescent="0.25">
      <c r="P989" s="49"/>
      <c r="Q989" s="1"/>
      <c r="S989" s="1"/>
      <c r="T989" s="1"/>
      <c r="U989" s="1"/>
      <c r="V989" s="1"/>
      <c r="W989" s="1"/>
      <c r="X989" s="1"/>
      <c r="Y989" s="1"/>
      <c r="AB989" s="1"/>
      <c r="AC989" s="1"/>
      <c r="AD989" s="1"/>
      <c r="AE989" s="1"/>
      <c r="AF989" s="1"/>
      <c r="AG989" s="1"/>
      <c r="AH989" s="1"/>
      <c r="AI989" s="1"/>
      <c r="AJ989" s="1"/>
      <c r="AK989" s="1"/>
      <c r="AL989" s="1"/>
      <c r="AM989" s="1"/>
    </row>
    <row r="990" spans="16:39" x14ac:dyDescent="0.25">
      <c r="P990" s="49"/>
      <c r="Q990" s="1"/>
      <c r="S990" s="1"/>
      <c r="T990" s="1"/>
      <c r="U990" s="1"/>
      <c r="V990" s="1"/>
      <c r="W990" s="1"/>
      <c r="X990" s="1"/>
      <c r="Y990" s="1"/>
      <c r="AB990" s="1"/>
      <c r="AC990" s="1"/>
      <c r="AD990" s="1"/>
      <c r="AE990" s="1"/>
      <c r="AF990" s="1"/>
      <c r="AG990" s="1"/>
      <c r="AH990" s="1"/>
      <c r="AI990" s="1"/>
      <c r="AJ990" s="1"/>
      <c r="AK990" s="1"/>
      <c r="AL990" s="1"/>
      <c r="AM990" s="1"/>
    </row>
    <row r="991" spans="16:39" x14ac:dyDescent="0.25">
      <c r="P991" s="49"/>
      <c r="Q991" s="1"/>
      <c r="S991" s="1"/>
      <c r="T991" s="1"/>
      <c r="U991" s="1"/>
      <c r="V991" s="1"/>
      <c r="W991" s="1"/>
      <c r="X991" s="1"/>
      <c r="Y991" s="1"/>
      <c r="AB991" s="1"/>
      <c r="AC991" s="1"/>
      <c r="AD991" s="1"/>
      <c r="AE991" s="1"/>
      <c r="AF991" s="1"/>
      <c r="AG991" s="1"/>
      <c r="AH991" s="1"/>
      <c r="AI991" s="1"/>
      <c r="AJ991" s="1"/>
      <c r="AK991" s="1"/>
      <c r="AL991" s="1"/>
      <c r="AM991" s="1"/>
    </row>
    <row r="992" spans="16:39" x14ac:dyDescent="0.25">
      <c r="P992" s="49"/>
      <c r="Q992" s="1"/>
      <c r="S992" s="1"/>
      <c r="T992" s="1"/>
      <c r="U992" s="1"/>
      <c r="V992" s="1"/>
      <c r="W992" s="1"/>
      <c r="X992" s="1"/>
      <c r="Y992" s="1"/>
      <c r="AB992" s="1"/>
      <c r="AC992" s="1"/>
      <c r="AD992" s="1"/>
      <c r="AE992" s="1"/>
      <c r="AF992" s="1"/>
      <c r="AG992" s="1"/>
      <c r="AH992" s="1"/>
      <c r="AI992" s="1"/>
      <c r="AJ992" s="1"/>
      <c r="AK992" s="1"/>
      <c r="AL992" s="1"/>
      <c r="AM992" s="1"/>
    </row>
    <row r="993" spans="16:39" x14ac:dyDescent="0.25">
      <c r="P993" s="49"/>
      <c r="Q993" s="1"/>
      <c r="S993" s="1"/>
      <c r="T993" s="1"/>
      <c r="U993" s="1"/>
      <c r="V993" s="1"/>
      <c r="W993" s="1"/>
      <c r="X993" s="1"/>
      <c r="Y993" s="1"/>
      <c r="AB993" s="1"/>
      <c r="AC993" s="1"/>
      <c r="AD993" s="1"/>
      <c r="AE993" s="1"/>
      <c r="AF993" s="1"/>
      <c r="AG993" s="1"/>
      <c r="AH993" s="1"/>
      <c r="AI993" s="1"/>
      <c r="AJ993" s="1"/>
      <c r="AK993" s="1"/>
      <c r="AL993" s="1"/>
      <c r="AM993" s="1"/>
    </row>
    <row r="994" spans="16:39" x14ac:dyDescent="0.25">
      <c r="P994" s="49"/>
      <c r="Q994" s="1"/>
      <c r="S994" s="1"/>
      <c r="T994" s="1"/>
      <c r="U994" s="1"/>
      <c r="V994" s="1"/>
      <c r="W994" s="1"/>
      <c r="X994" s="1"/>
      <c r="Y994" s="1"/>
      <c r="AB994" s="1"/>
      <c r="AC994" s="1"/>
      <c r="AD994" s="1"/>
      <c r="AE994" s="1"/>
      <c r="AF994" s="1"/>
      <c r="AG994" s="1"/>
      <c r="AH994" s="1"/>
      <c r="AI994" s="1"/>
      <c r="AJ994" s="1"/>
      <c r="AK994" s="1"/>
      <c r="AL994" s="1"/>
      <c r="AM994" s="1"/>
    </row>
    <row r="995" spans="16:39" x14ac:dyDescent="0.25">
      <c r="P995" s="49"/>
      <c r="Q995" s="1"/>
      <c r="S995" s="1"/>
      <c r="T995" s="1"/>
      <c r="U995" s="1"/>
      <c r="V995" s="1"/>
      <c r="W995" s="1"/>
      <c r="X995" s="1"/>
      <c r="Y995" s="1"/>
      <c r="AB995" s="1"/>
      <c r="AC995" s="1"/>
      <c r="AD995" s="1"/>
      <c r="AE995" s="1"/>
      <c r="AF995" s="1"/>
      <c r="AG995" s="1"/>
      <c r="AH995" s="1"/>
      <c r="AI995" s="1"/>
      <c r="AJ995" s="1"/>
      <c r="AK995" s="1"/>
      <c r="AL995" s="1"/>
      <c r="AM995" s="1"/>
    </row>
    <row r="996" spans="16:39" x14ac:dyDescent="0.25">
      <c r="P996" s="49"/>
      <c r="Q996" s="1"/>
      <c r="S996" s="1"/>
      <c r="T996" s="1"/>
      <c r="U996" s="1"/>
      <c r="V996" s="1"/>
      <c r="W996" s="1"/>
      <c r="X996" s="1"/>
      <c r="Y996" s="1"/>
      <c r="AB996" s="1"/>
      <c r="AC996" s="1"/>
      <c r="AD996" s="1"/>
      <c r="AE996" s="1"/>
      <c r="AF996" s="1"/>
      <c r="AG996" s="1"/>
      <c r="AH996" s="1"/>
      <c r="AI996" s="1"/>
      <c r="AJ996" s="1"/>
      <c r="AK996" s="1"/>
      <c r="AL996" s="1"/>
      <c r="AM996" s="1"/>
    </row>
    <row r="997" spans="16:39" x14ac:dyDescent="0.25">
      <c r="P997" s="49"/>
      <c r="Q997" s="1"/>
      <c r="S997" s="1"/>
      <c r="T997" s="1"/>
      <c r="U997" s="1"/>
      <c r="V997" s="1"/>
      <c r="W997" s="1"/>
      <c r="X997" s="1"/>
      <c r="Y997" s="1"/>
      <c r="AB997" s="1"/>
      <c r="AC997" s="1"/>
      <c r="AD997" s="1"/>
      <c r="AE997" s="1"/>
      <c r="AF997" s="1"/>
      <c r="AG997" s="1"/>
      <c r="AH997" s="1"/>
      <c r="AI997" s="1"/>
      <c r="AJ997" s="1"/>
      <c r="AK997" s="1"/>
      <c r="AL997" s="1"/>
      <c r="AM997" s="1"/>
    </row>
    <row r="998" spans="16:39" x14ac:dyDescent="0.25">
      <c r="P998" s="49"/>
      <c r="Q998" s="1"/>
      <c r="S998" s="1"/>
      <c r="T998" s="1"/>
      <c r="U998" s="1"/>
      <c r="V998" s="1"/>
      <c r="W998" s="1"/>
      <c r="X998" s="1"/>
      <c r="Y998" s="1"/>
      <c r="AB998" s="1"/>
      <c r="AC998" s="1"/>
      <c r="AD998" s="1"/>
      <c r="AE998" s="1"/>
      <c r="AF998" s="1"/>
      <c r="AG998" s="1"/>
      <c r="AH998" s="1"/>
      <c r="AI998" s="1"/>
      <c r="AJ998" s="1"/>
      <c r="AK998" s="1"/>
      <c r="AL998" s="1"/>
      <c r="AM998" s="1"/>
    </row>
    <row r="999" spans="16:39" x14ac:dyDescent="0.25">
      <c r="P999" s="49"/>
      <c r="Q999" s="1"/>
      <c r="S999" s="1"/>
      <c r="T999" s="1"/>
      <c r="U999" s="1"/>
      <c r="V999" s="1"/>
      <c r="W999" s="1"/>
      <c r="X999" s="1"/>
      <c r="Y999" s="1"/>
      <c r="AB999" s="1"/>
      <c r="AC999" s="1"/>
      <c r="AD999" s="1"/>
      <c r="AE999" s="1"/>
      <c r="AF999" s="1"/>
      <c r="AG999" s="1"/>
      <c r="AH999" s="1"/>
      <c r="AI999" s="1"/>
      <c r="AJ999" s="1"/>
      <c r="AK999" s="1"/>
      <c r="AL999" s="1"/>
      <c r="AM999" s="1"/>
    </row>
    <row r="1000" spans="16:39" x14ac:dyDescent="0.25">
      <c r="P1000" s="49"/>
      <c r="Q1000" s="1"/>
      <c r="S1000" s="1"/>
      <c r="T1000" s="1"/>
      <c r="U1000" s="1"/>
      <c r="V1000" s="1"/>
      <c r="W1000" s="1"/>
      <c r="X1000" s="1"/>
      <c r="Y1000" s="1"/>
      <c r="AB1000" s="1"/>
      <c r="AC1000" s="1"/>
      <c r="AD1000" s="1"/>
      <c r="AE1000" s="1"/>
      <c r="AF1000" s="1"/>
      <c r="AG1000" s="1"/>
      <c r="AH1000" s="1"/>
      <c r="AI1000" s="1"/>
      <c r="AJ1000" s="1"/>
      <c r="AK1000" s="1"/>
      <c r="AL1000" s="1"/>
      <c r="AM1000" s="1"/>
    </row>
    <row r="1001" spans="16:39" x14ac:dyDescent="0.25">
      <c r="P1001" s="49"/>
      <c r="Q1001" s="1"/>
      <c r="S1001" s="1"/>
      <c r="T1001" s="1"/>
      <c r="U1001" s="1"/>
      <c r="V1001" s="1"/>
      <c r="W1001" s="1"/>
      <c r="X1001" s="1"/>
      <c r="Y1001" s="1"/>
      <c r="AB1001" s="1"/>
      <c r="AC1001" s="1"/>
      <c r="AD1001" s="1"/>
      <c r="AE1001" s="1"/>
      <c r="AF1001" s="1"/>
      <c r="AG1001" s="1"/>
      <c r="AH1001" s="1"/>
      <c r="AI1001" s="1"/>
      <c r="AJ1001" s="1"/>
      <c r="AK1001" s="1"/>
      <c r="AL1001" s="1"/>
      <c r="AM1001" s="1"/>
    </row>
    <row r="1002" spans="16:39" x14ac:dyDescent="0.25">
      <c r="P1002" s="49"/>
      <c r="Q1002" s="1"/>
      <c r="S1002" s="1"/>
      <c r="T1002" s="1"/>
      <c r="U1002" s="1"/>
      <c r="V1002" s="1"/>
      <c r="W1002" s="1"/>
      <c r="X1002" s="1"/>
      <c r="Y1002" s="1"/>
      <c r="AB1002" s="1"/>
      <c r="AC1002" s="1"/>
      <c r="AD1002" s="1"/>
      <c r="AE1002" s="1"/>
      <c r="AF1002" s="1"/>
      <c r="AG1002" s="1"/>
      <c r="AH1002" s="1"/>
      <c r="AI1002" s="1"/>
      <c r="AJ1002" s="1"/>
      <c r="AK1002" s="1"/>
      <c r="AL1002" s="1"/>
      <c r="AM1002" s="1"/>
    </row>
    <row r="1003" spans="16:39" x14ac:dyDescent="0.25">
      <c r="P1003" s="49"/>
      <c r="Q1003" s="1"/>
      <c r="S1003" s="1"/>
      <c r="T1003" s="1"/>
      <c r="U1003" s="1"/>
      <c r="V1003" s="1"/>
      <c r="W1003" s="1"/>
      <c r="X1003" s="1"/>
      <c r="Y1003" s="1"/>
      <c r="AB1003" s="1"/>
      <c r="AC1003" s="1"/>
      <c r="AD1003" s="1"/>
      <c r="AE1003" s="1"/>
      <c r="AF1003" s="1"/>
      <c r="AG1003" s="1"/>
      <c r="AH1003" s="1"/>
      <c r="AI1003" s="1"/>
      <c r="AJ1003" s="1"/>
      <c r="AK1003" s="1"/>
      <c r="AL1003" s="1"/>
      <c r="AM1003" s="1"/>
    </row>
    <row r="1004" spans="16:39" x14ac:dyDescent="0.25">
      <c r="P1004" s="49"/>
      <c r="Q1004" s="1"/>
      <c r="S1004" s="1"/>
      <c r="T1004" s="1"/>
      <c r="U1004" s="1"/>
      <c r="V1004" s="1"/>
      <c r="W1004" s="1"/>
      <c r="X1004" s="1"/>
      <c r="Y1004" s="1"/>
      <c r="AB1004" s="1"/>
      <c r="AC1004" s="1"/>
      <c r="AD1004" s="1"/>
      <c r="AE1004" s="1"/>
      <c r="AF1004" s="1"/>
      <c r="AG1004" s="1"/>
      <c r="AH1004" s="1"/>
      <c r="AI1004" s="1"/>
      <c r="AJ1004" s="1"/>
      <c r="AK1004" s="1"/>
      <c r="AL1004" s="1"/>
      <c r="AM1004" s="1"/>
    </row>
    <row r="1005" spans="16:39" x14ac:dyDescent="0.25">
      <c r="P1005" s="49"/>
      <c r="Q1005" s="1"/>
      <c r="S1005" s="1"/>
      <c r="T1005" s="1"/>
      <c r="U1005" s="1"/>
      <c r="V1005" s="1"/>
      <c r="W1005" s="1"/>
      <c r="X1005" s="1"/>
      <c r="Y1005" s="1"/>
      <c r="AB1005" s="1"/>
      <c r="AC1005" s="1"/>
      <c r="AD1005" s="1"/>
      <c r="AE1005" s="1"/>
      <c r="AF1005" s="1"/>
      <c r="AG1005" s="1"/>
      <c r="AH1005" s="1"/>
      <c r="AI1005" s="1"/>
      <c r="AJ1005" s="1"/>
      <c r="AK1005" s="1"/>
      <c r="AL1005" s="1"/>
      <c r="AM1005" s="1"/>
    </row>
    <row r="1006" spans="16:39" x14ac:dyDescent="0.25">
      <c r="P1006" s="49"/>
      <c r="Q1006" s="1"/>
      <c r="S1006" s="1"/>
      <c r="T1006" s="1"/>
      <c r="U1006" s="1"/>
      <c r="V1006" s="1"/>
      <c r="W1006" s="1"/>
      <c r="X1006" s="1"/>
      <c r="Y1006" s="1"/>
      <c r="AB1006" s="1"/>
      <c r="AC1006" s="1"/>
      <c r="AD1006" s="1"/>
      <c r="AE1006" s="1"/>
      <c r="AF1006" s="1"/>
      <c r="AG1006" s="1"/>
      <c r="AH1006" s="1"/>
      <c r="AI1006" s="1"/>
      <c r="AJ1006" s="1"/>
      <c r="AK1006" s="1"/>
      <c r="AL1006" s="1"/>
      <c r="AM1006" s="1"/>
    </row>
    <row r="1007" spans="16:39" x14ac:dyDescent="0.25">
      <c r="P1007" s="49"/>
      <c r="Q1007" s="1"/>
      <c r="S1007" s="1"/>
      <c r="T1007" s="1"/>
      <c r="U1007" s="1"/>
      <c r="V1007" s="1"/>
      <c r="W1007" s="1"/>
      <c r="X1007" s="1"/>
      <c r="Y1007" s="1"/>
      <c r="AB1007" s="1"/>
      <c r="AC1007" s="1"/>
      <c r="AD1007" s="1"/>
      <c r="AE1007" s="1"/>
      <c r="AF1007" s="1"/>
      <c r="AG1007" s="1"/>
      <c r="AH1007" s="1"/>
      <c r="AI1007" s="1"/>
      <c r="AJ1007" s="1"/>
      <c r="AK1007" s="1"/>
      <c r="AL1007" s="1"/>
      <c r="AM1007" s="1"/>
    </row>
    <row r="1008" spans="16:39" x14ac:dyDescent="0.25">
      <c r="P1008" s="49"/>
      <c r="Q1008" s="1"/>
      <c r="S1008" s="1"/>
      <c r="T1008" s="1"/>
      <c r="U1008" s="1"/>
      <c r="V1008" s="1"/>
      <c r="W1008" s="1"/>
      <c r="X1008" s="1"/>
      <c r="Y1008" s="1"/>
      <c r="AB1008" s="1"/>
      <c r="AC1008" s="1"/>
      <c r="AD1008" s="1"/>
      <c r="AE1008" s="1"/>
      <c r="AF1008" s="1"/>
      <c r="AG1008" s="1"/>
      <c r="AH1008" s="1"/>
      <c r="AI1008" s="1"/>
      <c r="AJ1008" s="1"/>
      <c r="AK1008" s="1"/>
      <c r="AL1008" s="1"/>
      <c r="AM1008" s="1"/>
    </row>
    <row r="1009" spans="16:39" x14ac:dyDescent="0.25">
      <c r="P1009" s="49"/>
      <c r="Q1009" s="1"/>
      <c r="S1009" s="1"/>
      <c r="T1009" s="1"/>
      <c r="U1009" s="1"/>
      <c r="V1009" s="1"/>
      <c r="W1009" s="1"/>
      <c r="X1009" s="1"/>
      <c r="Y1009" s="1"/>
      <c r="AB1009" s="1"/>
      <c r="AC1009" s="1"/>
      <c r="AD1009" s="1"/>
      <c r="AE1009" s="1"/>
      <c r="AF1009" s="1"/>
      <c r="AG1009" s="1"/>
      <c r="AH1009" s="1"/>
      <c r="AI1009" s="1"/>
      <c r="AJ1009" s="1"/>
      <c r="AK1009" s="1"/>
      <c r="AL1009" s="1"/>
      <c r="AM1009" s="1"/>
    </row>
    <row r="1010" spans="16:39" x14ac:dyDescent="0.25">
      <c r="P1010" s="49"/>
      <c r="Q1010" s="1"/>
      <c r="S1010" s="1"/>
      <c r="T1010" s="1"/>
      <c r="U1010" s="1"/>
      <c r="V1010" s="1"/>
      <c r="W1010" s="1"/>
      <c r="X1010" s="1"/>
      <c r="Y1010" s="1"/>
      <c r="AB1010" s="1"/>
      <c r="AC1010" s="1"/>
      <c r="AD1010" s="1"/>
      <c r="AE1010" s="1"/>
      <c r="AF1010" s="1"/>
      <c r="AG1010" s="1"/>
      <c r="AH1010" s="1"/>
      <c r="AI1010" s="1"/>
      <c r="AJ1010" s="1"/>
      <c r="AK1010" s="1"/>
      <c r="AL1010" s="1"/>
      <c r="AM1010" s="1"/>
    </row>
    <row r="1011" spans="16:39" x14ac:dyDescent="0.25">
      <c r="P1011" s="49"/>
      <c r="Q1011" s="1"/>
      <c r="S1011" s="1"/>
      <c r="T1011" s="1"/>
      <c r="U1011" s="1"/>
      <c r="V1011" s="1"/>
      <c r="W1011" s="1"/>
      <c r="X1011" s="1"/>
      <c r="Y1011" s="1"/>
      <c r="AB1011" s="1"/>
      <c r="AC1011" s="1"/>
      <c r="AD1011" s="1"/>
      <c r="AE1011" s="1"/>
      <c r="AF1011" s="1"/>
      <c r="AG1011" s="1"/>
      <c r="AH1011" s="1"/>
      <c r="AI1011" s="1"/>
      <c r="AJ1011" s="1"/>
      <c r="AK1011" s="1"/>
      <c r="AL1011" s="1"/>
      <c r="AM1011" s="1"/>
    </row>
    <row r="1012" spans="16:39" x14ac:dyDescent="0.25">
      <c r="P1012" s="49"/>
      <c r="Q1012" s="1"/>
      <c r="S1012" s="1"/>
      <c r="T1012" s="1"/>
      <c r="U1012" s="1"/>
      <c r="V1012" s="1"/>
      <c r="W1012" s="1"/>
      <c r="X1012" s="1"/>
      <c r="Y1012" s="1"/>
      <c r="AB1012" s="1"/>
      <c r="AC1012" s="1"/>
      <c r="AD1012" s="1"/>
      <c r="AE1012" s="1"/>
      <c r="AF1012" s="1"/>
      <c r="AG1012" s="1"/>
      <c r="AH1012" s="1"/>
      <c r="AI1012" s="1"/>
      <c r="AJ1012" s="1"/>
      <c r="AK1012" s="1"/>
      <c r="AL1012" s="1"/>
      <c r="AM1012" s="1"/>
    </row>
    <row r="1013" spans="16:39" x14ac:dyDescent="0.25">
      <c r="P1013" s="49"/>
      <c r="Q1013" s="1"/>
      <c r="S1013" s="1"/>
      <c r="T1013" s="1"/>
      <c r="U1013" s="1"/>
      <c r="V1013" s="1"/>
      <c r="W1013" s="1"/>
      <c r="X1013" s="1"/>
      <c r="Y1013" s="1"/>
      <c r="AB1013" s="1"/>
      <c r="AC1013" s="1"/>
      <c r="AD1013" s="1"/>
      <c r="AE1013" s="1"/>
      <c r="AF1013" s="1"/>
      <c r="AG1013" s="1"/>
      <c r="AH1013" s="1"/>
      <c r="AI1013" s="1"/>
      <c r="AJ1013" s="1"/>
      <c r="AK1013" s="1"/>
      <c r="AL1013" s="1"/>
      <c r="AM1013" s="1"/>
    </row>
    <row r="1014" spans="16:39" x14ac:dyDescent="0.25">
      <c r="P1014" s="49"/>
      <c r="Q1014" s="1"/>
      <c r="S1014" s="1"/>
      <c r="T1014" s="1"/>
      <c r="U1014" s="1"/>
      <c r="V1014" s="1"/>
      <c r="W1014" s="1"/>
      <c r="X1014" s="1"/>
      <c r="Y1014" s="1"/>
      <c r="AB1014" s="1"/>
      <c r="AC1014" s="1"/>
      <c r="AD1014" s="1"/>
      <c r="AE1014" s="1"/>
      <c r="AF1014" s="1"/>
      <c r="AG1014" s="1"/>
      <c r="AH1014" s="1"/>
      <c r="AI1014" s="1"/>
      <c r="AJ1014" s="1"/>
      <c r="AK1014" s="1"/>
      <c r="AL1014" s="1"/>
      <c r="AM1014" s="1"/>
    </row>
    <row r="1015" spans="16:39" x14ac:dyDescent="0.25">
      <c r="P1015" s="49"/>
      <c r="Q1015" s="1"/>
      <c r="S1015" s="1"/>
      <c r="T1015" s="1"/>
      <c r="U1015" s="1"/>
      <c r="V1015" s="1"/>
      <c r="W1015" s="1"/>
      <c r="X1015" s="1"/>
      <c r="Y1015" s="1"/>
      <c r="AB1015" s="1"/>
      <c r="AC1015" s="1"/>
      <c r="AD1015" s="1"/>
      <c r="AE1015" s="1"/>
      <c r="AF1015" s="1"/>
      <c r="AG1015" s="1"/>
      <c r="AH1015" s="1"/>
      <c r="AI1015" s="1"/>
      <c r="AJ1015" s="1"/>
      <c r="AK1015" s="1"/>
      <c r="AL1015" s="1"/>
      <c r="AM1015" s="1"/>
    </row>
    <row r="1016" spans="16:39" x14ac:dyDescent="0.25">
      <c r="P1016" s="49"/>
      <c r="Q1016" s="1"/>
      <c r="S1016" s="1"/>
      <c r="T1016" s="1"/>
      <c r="U1016" s="1"/>
      <c r="V1016" s="1"/>
      <c r="W1016" s="1"/>
      <c r="X1016" s="1"/>
      <c r="Y1016" s="1"/>
      <c r="AB1016" s="1"/>
      <c r="AC1016" s="1"/>
      <c r="AD1016" s="1"/>
      <c r="AE1016" s="1"/>
      <c r="AF1016" s="1"/>
      <c r="AG1016" s="1"/>
      <c r="AH1016" s="1"/>
      <c r="AI1016" s="1"/>
      <c r="AJ1016" s="1"/>
      <c r="AK1016" s="1"/>
      <c r="AL1016" s="1"/>
      <c r="AM1016" s="1"/>
    </row>
    <row r="1017" spans="16:39" x14ac:dyDescent="0.25">
      <c r="P1017" s="49"/>
      <c r="Q1017" s="1"/>
      <c r="S1017" s="1"/>
      <c r="T1017" s="1"/>
      <c r="U1017" s="1"/>
      <c r="V1017" s="1"/>
      <c r="W1017" s="1"/>
      <c r="X1017" s="1"/>
      <c r="Y1017" s="1"/>
      <c r="AB1017" s="1"/>
      <c r="AC1017" s="1"/>
      <c r="AD1017" s="1"/>
      <c r="AE1017" s="1"/>
      <c r="AF1017" s="1"/>
      <c r="AG1017" s="1"/>
      <c r="AH1017" s="1"/>
      <c r="AI1017" s="1"/>
      <c r="AJ1017" s="1"/>
      <c r="AK1017" s="1"/>
      <c r="AL1017" s="1"/>
      <c r="AM1017" s="1"/>
    </row>
    <row r="1018" spans="16:39" x14ac:dyDescent="0.25">
      <c r="P1018" s="49"/>
      <c r="Q1018" s="1"/>
      <c r="S1018" s="1"/>
      <c r="T1018" s="1"/>
      <c r="U1018" s="1"/>
      <c r="V1018" s="1"/>
      <c r="W1018" s="1"/>
      <c r="X1018" s="1"/>
      <c r="Y1018" s="1"/>
      <c r="AB1018" s="1"/>
      <c r="AC1018" s="1"/>
      <c r="AD1018" s="1"/>
      <c r="AE1018" s="1"/>
      <c r="AF1018" s="1"/>
      <c r="AG1018" s="1"/>
      <c r="AH1018" s="1"/>
      <c r="AI1018" s="1"/>
      <c r="AJ1018" s="1"/>
      <c r="AK1018" s="1"/>
      <c r="AL1018" s="1"/>
      <c r="AM1018" s="1"/>
    </row>
    <row r="1019" spans="16:39" x14ac:dyDescent="0.25">
      <c r="P1019" s="49"/>
      <c r="Q1019" s="1"/>
      <c r="S1019" s="1"/>
      <c r="T1019" s="1"/>
      <c r="U1019" s="1"/>
      <c r="V1019" s="1"/>
      <c r="W1019" s="1"/>
      <c r="X1019" s="1"/>
      <c r="Y1019" s="1"/>
      <c r="AB1019" s="1"/>
      <c r="AC1019" s="1"/>
      <c r="AD1019" s="1"/>
      <c r="AE1019" s="1"/>
      <c r="AF1019" s="1"/>
      <c r="AG1019" s="1"/>
      <c r="AH1019" s="1"/>
      <c r="AI1019" s="1"/>
      <c r="AJ1019" s="1"/>
      <c r="AK1019" s="1"/>
      <c r="AL1019" s="1"/>
      <c r="AM1019" s="1"/>
    </row>
    <row r="1020" spans="16:39" x14ac:dyDescent="0.25">
      <c r="P1020" s="49"/>
      <c r="Q1020" s="1"/>
      <c r="S1020" s="1"/>
      <c r="T1020" s="1"/>
      <c r="U1020" s="1"/>
      <c r="V1020" s="1"/>
      <c r="W1020" s="1"/>
      <c r="X1020" s="1"/>
      <c r="Y1020" s="1"/>
      <c r="AB1020" s="1"/>
      <c r="AC1020" s="1"/>
      <c r="AD1020" s="1"/>
      <c r="AE1020" s="1"/>
      <c r="AF1020" s="1"/>
      <c r="AG1020" s="1"/>
      <c r="AH1020" s="1"/>
      <c r="AI1020" s="1"/>
      <c r="AJ1020" s="1"/>
      <c r="AK1020" s="1"/>
      <c r="AL1020" s="1"/>
      <c r="AM1020" s="1"/>
    </row>
    <row r="1021" spans="16:39" x14ac:dyDescent="0.25">
      <c r="P1021" s="49"/>
      <c r="Q1021" s="1"/>
      <c r="S1021" s="1"/>
      <c r="T1021" s="1"/>
      <c r="U1021" s="1"/>
      <c r="V1021" s="1"/>
      <c r="W1021" s="1"/>
      <c r="X1021" s="1"/>
      <c r="Y1021" s="1"/>
      <c r="AB1021" s="1"/>
      <c r="AC1021" s="1"/>
      <c r="AD1021" s="1"/>
      <c r="AE1021" s="1"/>
      <c r="AF1021" s="1"/>
      <c r="AG1021" s="1"/>
      <c r="AH1021" s="1"/>
      <c r="AI1021" s="1"/>
      <c r="AJ1021" s="1"/>
      <c r="AK1021" s="1"/>
      <c r="AL1021" s="1"/>
      <c r="AM1021" s="1"/>
    </row>
    <row r="1022" spans="16:39" x14ac:dyDescent="0.25">
      <c r="P1022" s="49"/>
      <c r="Q1022" s="1"/>
      <c r="S1022" s="1"/>
      <c r="T1022" s="1"/>
      <c r="U1022" s="1"/>
      <c r="V1022" s="1"/>
      <c r="W1022" s="1"/>
      <c r="X1022" s="1"/>
      <c r="Y1022" s="1"/>
      <c r="AB1022" s="1"/>
      <c r="AC1022" s="1"/>
      <c r="AD1022" s="1"/>
      <c r="AE1022" s="1"/>
      <c r="AF1022" s="1"/>
      <c r="AG1022" s="1"/>
      <c r="AH1022" s="1"/>
      <c r="AI1022" s="1"/>
      <c r="AJ1022" s="1"/>
      <c r="AK1022" s="1"/>
      <c r="AL1022" s="1"/>
      <c r="AM1022" s="1"/>
    </row>
    <row r="1023" spans="16:39" x14ac:dyDescent="0.25">
      <c r="P1023" s="49"/>
      <c r="Q1023" s="1"/>
      <c r="S1023" s="1"/>
      <c r="T1023" s="1"/>
      <c r="U1023" s="1"/>
      <c r="V1023" s="1"/>
      <c r="W1023" s="1"/>
      <c r="X1023" s="1"/>
      <c r="Y1023" s="1"/>
      <c r="AB1023" s="1"/>
      <c r="AC1023" s="1"/>
      <c r="AD1023" s="1"/>
      <c r="AE1023" s="1"/>
      <c r="AF1023" s="1"/>
      <c r="AG1023" s="1"/>
      <c r="AH1023" s="1"/>
      <c r="AI1023" s="1"/>
      <c r="AJ1023" s="1"/>
      <c r="AK1023" s="1"/>
      <c r="AL1023" s="1"/>
      <c r="AM1023" s="1"/>
    </row>
    <row r="1024" spans="16:39" x14ac:dyDescent="0.25">
      <c r="P1024" s="49"/>
      <c r="Q1024" s="1"/>
      <c r="S1024" s="1"/>
      <c r="T1024" s="1"/>
      <c r="U1024" s="1"/>
      <c r="V1024" s="1"/>
      <c r="W1024" s="1"/>
      <c r="X1024" s="1"/>
      <c r="Y1024" s="1"/>
      <c r="AB1024" s="1"/>
      <c r="AC1024" s="1"/>
      <c r="AD1024" s="1"/>
      <c r="AE1024" s="1"/>
      <c r="AF1024" s="1"/>
      <c r="AG1024" s="1"/>
      <c r="AH1024" s="1"/>
      <c r="AI1024" s="1"/>
      <c r="AJ1024" s="1"/>
      <c r="AK1024" s="1"/>
      <c r="AL1024" s="1"/>
      <c r="AM1024" s="1"/>
    </row>
    <row r="1025" spans="16:39" x14ac:dyDescent="0.25">
      <c r="P1025" s="49"/>
      <c r="Q1025" s="1"/>
      <c r="S1025" s="1"/>
      <c r="T1025" s="1"/>
      <c r="U1025" s="1"/>
      <c r="V1025" s="1"/>
      <c r="W1025" s="1"/>
      <c r="X1025" s="1"/>
      <c r="Y1025" s="1"/>
      <c r="AB1025" s="1"/>
      <c r="AC1025" s="1"/>
      <c r="AD1025" s="1"/>
      <c r="AE1025" s="1"/>
      <c r="AF1025" s="1"/>
      <c r="AG1025" s="1"/>
      <c r="AH1025" s="1"/>
      <c r="AI1025" s="1"/>
      <c r="AJ1025" s="1"/>
      <c r="AK1025" s="1"/>
      <c r="AL1025" s="1"/>
      <c r="AM1025" s="1"/>
    </row>
    <row r="1026" spans="16:39" x14ac:dyDescent="0.25">
      <c r="P1026" s="49"/>
      <c r="Q1026" s="1"/>
      <c r="S1026" s="1"/>
      <c r="T1026" s="1"/>
      <c r="U1026" s="1"/>
      <c r="V1026" s="1"/>
      <c r="W1026" s="1"/>
      <c r="X1026" s="1"/>
      <c r="Y1026" s="1"/>
      <c r="AB1026" s="1"/>
      <c r="AC1026" s="1"/>
      <c r="AD1026" s="1"/>
      <c r="AE1026" s="1"/>
      <c r="AF1026" s="1"/>
      <c r="AG1026" s="1"/>
      <c r="AH1026" s="1"/>
      <c r="AI1026" s="1"/>
      <c r="AJ1026" s="1"/>
      <c r="AK1026" s="1"/>
      <c r="AL1026" s="1"/>
      <c r="AM1026" s="1"/>
    </row>
    <row r="1027" spans="16:39" x14ac:dyDescent="0.25">
      <c r="P1027" s="49"/>
      <c r="Q1027" s="1"/>
      <c r="S1027" s="1"/>
      <c r="T1027" s="1"/>
      <c r="U1027" s="1"/>
      <c r="V1027" s="1"/>
      <c r="W1027" s="1"/>
      <c r="X1027" s="1"/>
      <c r="Y1027" s="1"/>
      <c r="AB1027" s="1"/>
      <c r="AC1027" s="1"/>
      <c r="AD1027" s="1"/>
      <c r="AE1027" s="1"/>
      <c r="AF1027" s="1"/>
      <c r="AG1027" s="1"/>
      <c r="AH1027" s="1"/>
      <c r="AI1027" s="1"/>
      <c r="AJ1027" s="1"/>
      <c r="AK1027" s="1"/>
      <c r="AL1027" s="1"/>
      <c r="AM1027" s="1"/>
    </row>
    <row r="1028" spans="16:39" x14ac:dyDescent="0.25">
      <c r="P1028" s="49"/>
      <c r="Q1028" s="1"/>
      <c r="S1028" s="1"/>
      <c r="T1028" s="1"/>
      <c r="U1028" s="1"/>
      <c r="V1028" s="1"/>
      <c r="W1028" s="1"/>
      <c r="X1028" s="1"/>
      <c r="Y1028" s="1"/>
      <c r="AB1028" s="1"/>
      <c r="AC1028" s="1"/>
      <c r="AD1028" s="1"/>
      <c r="AE1028" s="1"/>
      <c r="AF1028" s="1"/>
      <c r="AG1028" s="1"/>
      <c r="AH1028" s="1"/>
      <c r="AI1028" s="1"/>
      <c r="AJ1028" s="1"/>
      <c r="AK1028" s="1"/>
      <c r="AL1028" s="1"/>
      <c r="AM1028" s="1"/>
    </row>
    <row r="1029" spans="16:39" x14ac:dyDescent="0.25">
      <c r="P1029" s="49"/>
      <c r="Q1029" s="1"/>
      <c r="S1029" s="1"/>
      <c r="T1029" s="1"/>
      <c r="U1029" s="1"/>
      <c r="V1029" s="1"/>
      <c r="W1029" s="1"/>
      <c r="X1029" s="1"/>
      <c r="Y1029" s="1"/>
      <c r="AB1029" s="1"/>
      <c r="AC1029" s="1"/>
      <c r="AD1029" s="1"/>
      <c r="AE1029" s="1"/>
      <c r="AF1029" s="1"/>
      <c r="AG1029" s="1"/>
      <c r="AH1029" s="1"/>
      <c r="AI1029" s="1"/>
      <c r="AJ1029" s="1"/>
      <c r="AK1029" s="1"/>
      <c r="AL1029" s="1"/>
      <c r="AM1029" s="1"/>
    </row>
    <row r="1030" spans="16:39" x14ac:dyDescent="0.25">
      <c r="P1030" s="49"/>
      <c r="Q1030" s="1"/>
      <c r="S1030" s="1"/>
      <c r="T1030" s="1"/>
      <c r="U1030" s="1"/>
      <c r="V1030" s="1"/>
      <c r="W1030" s="1"/>
      <c r="X1030" s="1"/>
      <c r="Y1030" s="1"/>
      <c r="AB1030" s="1"/>
      <c r="AC1030" s="1"/>
      <c r="AD1030" s="1"/>
      <c r="AE1030" s="1"/>
      <c r="AF1030" s="1"/>
      <c r="AG1030" s="1"/>
      <c r="AH1030" s="1"/>
      <c r="AI1030" s="1"/>
      <c r="AJ1030" s="1"/>
      <c r="AK1030" s="1"/>
      <c r="AL1030" s="1"/>
      <c r="AM1030" s="1"/>
    </row>
    <row r="1031" spans="16:39" x14ac:dyDescent="0.25">
      <c r="P1031" s="49"/>
      <c r="Q1031" s="1"/>
      <c r="S1031" s="1"/>
      <c r="T1031" s="1"/>
      <c r="U1031" s="1"/>
      <c r="V1031" s="1"/>
      <c r="W1031" s="1"/>
      <c r="X1031" s="1"/>
      <c r="Y1031" s="1"/>
      <c r="AB1031" s="1"/>
      <c r="AC1031" s="1"/>
      <c r="AD1031" s="1"/>
      <c r="AE1031" s="1"/>
      <c r="AF1031" s="1"/>
      <c r="AG1031" s="1"/>
      <c r="AH1031" s="1"/>
      <c r="AI1031" s="1"/>
      <c r="AJ1031" s="1"/>
      <c r="AK1031" s="1"/>
      <c r="AL1031" s="1"/>
      <c r="AM1031" s="1"/>
    </row>
    <row r="1032" spans="16:39" x14ac:dyDescent="0.25">
      <c r="P1032" s="49"/>
      <c r="Q1032" s="1"/>
      <c r="S1032" s="1"/>
      <c r="T1032" s="1"/>
      <c r="U1032" s="1"/>
      <c r="V1032" s="1"/>
      <c r="W1032" s="1"/>
      <c r="X1032" s="1"/>
      <c r="Y1032" s="1"/>
      <c r="AB1032" s="1"/>
      <c r="AC1032" s="1"/>
      <c r="AD1032" s="1"/>
      <c r="AE1032" s="1"/>
      <c r="AF1032" s="1"/>
      <c r="AG1032" s="1"/>
      <c r="AH1032" s="1"/>
      <c r="AI1032" s="1"/>
      <c r="AJ1032" s="1"/>
      <c r="AK1032" s="1"/>
      <c r="AL1032" s="1"/>
      <c r="AM1032" s="1"/>
    </row>
    <row r="1033" spans="16:39" x14ac:dyDescent="0.25">
      <c r="P1033" s="49"/>
      <c r="Q1033" s="1"/>
      <c r="S1033" s="1"/>
      <c r="T1033" s="1"/>
      <c r="U1033" s="1"/>
      <c r="V1033" s="1"/>
      <c r="W1033" s="1"/>
      <c r="X1033" s="1"/>
      <c r="Y1033" s="1"/>
      <c r="AB1033" s="1"/>
      <c r="AC1033" s="1"/>
      <c r="AD1033" s="1"/>
      <c r="AE1033" s="1"/>
      <c r="AF1033" s="1"/>
      <c r="AG1033" s="1"/>
      <c r="AH1033" s="1"/>
      <c r="AI1033" s="1"/>
      <c r="AJ1033" s="1"/>
      <c r="AK1033" s="1"/>
      <c r="AL1033" s="1"/>
      <c r="AM1033" s="1"/>
    </row>
    <row r="1034" spans="16:39" x14ac:dyDescent="0.25">
      <c r="P1034" s="49"/>
      <c r="Q1034" s="1"/>
      <c r="S1034" s="1"/>
      <c r="T1034" s="1"/>
      <c r="U1034" s="1"/>
      <c r="V1034" s="1"/>
      <c r="W1034" s="1"/>
      <c r="X1034" s="1"/>
      <c r="Y1034" s="1"/>
      <c r="AB1034" s="1"/>
      <c r="AC1034" s="1"/>
      <c r="AD1034" s="1"/>
      <c r="AE1034" s="1"/>
      <c r="AF1034" s="1"/>
      <c r="AG1034" s="1"/>
      <c r="AH1034" s="1"/>
      <c r="AI1034" s="1"/>
      <c r="AJ1034" s="1"/>
      <c r="AK1034" s="1"/>
      <c r="AL1034" s="1"/>
      <c r="AM1034" s="1"/>
    </row>
    <row r="1035" spans="16:39" x14ac:dyDescent="0.25">
      <c r="P1035" s="49"/>
      <c r="Q1035" s="1"/>
      <c r="S1035" s="1"/>
      <c r="T1035" s="1"/>
      <c r="U1035" s="1"/>
      <c r="V1035" s="1"/>
      <c r="W1035" s="1"/>
      <c r="X1035" s="1"/>
      <c r="Y1035" s="1"/>
      <c r="AB1035" s="1"/>
      <c r="AC1035" s="1"/>
      <c r="AD1035" s="1"/>
      <c r="AE1035" s="1"/>
      <c r="AF1035" s="1"/>
      <c r="AG1035" s="1"/>
      <c r="AH1035" s="1"/>
      <c r="AI1035" s="1"/>
      <c r="AJ1035" s="1"/>
      <c r="AK1035" s="1"/>
      <c r="AL1035" s="1"/>
      <c r="AM1035" s="1"/>
    </row>
    <row r="1036" spans="16:39" x14ac:dyDescent="0.25">
      <c r="P1036" s="49"/>
      <c r="Q1036" s="1"/>
      <c r="S1036" s="1"/>
      <c r="T1036" s="1"/>
      <c r="U1036" s="1"/>
      <c r="V1036" s="1"/>
      <c r="W1036" s="1"/>
      <c r="X1036" s="1"/>
      <c r="Y1036" s="1"/>
      <c r="AB1036" s="1"/>
      <c r="AC1036" s="1"/>
      <c r="AD1036" s="1"/>
      <c r="AE1036" s="1"/>
      <c r="AF1036" s="1"/>
      <c r="AG1036" s="1"/>
      <c r="AH1036" s="1"/>
      <c r="AI1036" s="1"/>
      <c r="AJ1036" s="1"/>
      <c r="AK1036" s="1"/>
      <c r="AL1036" s="1"/>
      <c r="AM1036" s="1"/>
    </row>
    <row r="1037" spans="16:39" x14ac:dyDescent="0.25">
      <c r="P1037" s="49"/>
      <c r="Q1037" s="1"/>
      <c r="S1037" s="1"/>
      <c r="T1037" s="1"/>
      <c r="U1037" s="1"/>
      <c r="V1037" s="1"/>
      <c r="W1037" s="1"/>
      <c r="X1037" s="1"/>
      <c r="Y1037" s="1"/>
      <c r="AB1037" s="1"/>
      <c r="AC1037" s="1"/>
      <c r="AD1037" s="1"/>
      <c r="AE1037" s="1"/>
      <c r="AF1037" s="1"/>
      <c r="AG1037" s="1"/>
      <c r="AH1037" s="1"/>
      <c r="AI1037" s="1"/>
      <c r="AJ1037" s="1"/>
      <c r="AK1037" s="1"/>
      <c r="AL1037" s="1"/>
      <c r="AM1037" s="1"/>
    </row>
    <row r="1038" spans="16:39" x14ac:dyDescent="0.25">
      <c r="P1038" s="49"/>
      <c r="Q1038" s="1"/>
      <c r="S1038" s="1"/>
      <c r="T1038" s="1"/>
      <c r="U1038" s="1"/>
      <c r="V1038" s="1"/>
      <c r="W1038" s="1"/>
      <c r="X1038" s="1"/>
      <c r="Y1038" s="1"/>
      <c r="AB1038" s="1"/>
      <c r="AC1038" s="1"/>
      <c r="AD1038" s="1"/>
      <c r="AE1038" s="1"/>
      <c r="AF1038" s="1"/>
      <c r="AG1038" s="1"/>
      <c r="AH1038" s="1"/>
      <c r="AI1038" s="1"/>
      <c r="AJ1038" s="1"/>
      <c r="AK1038" s="1"/>
      <c r="AL1038" s="1"/>
      <c r="AM1038" s="1"/>
    </row>
    <row r="1039" spans="16:39" x14ac:dyDescent="0.25">
      <c r="P1039" s="49"/>
      <c r="Q1039" s="1"/>
      <c r="S1039" s="1"/>
      <c r="T1039" s="1"/>
      <c r="U1039" s="1"/>
      <c r="V1039" s="1"/>
      <c r="W1039" s="1"/>
      <c r="X1039" s="1"/>
      <c r="Y1039" s="1"/>
      <c r="AB1039" s="1"/>
      <c r="AC1039" s="1"/>
      <c r="AD1039" s="1"/>
      <c r="AE1039" s="1"/>
      <c r="AF1039" s="1"/>
      <c r="AG1039" s="1"/>
      <c r="AH1039" s="1"/>
      <c r="AI1039" s="1"/>
      <c r="AJ1039" s="1"/>
      <c r="AK1039" s="1"/>
      <c r="AL1039" s="1"/>
      <c r="AM1039" s="1"/>
    </row>
    <row r="1040" spans="16:39" x14ac:dyDescent="0.25">
      <c r="P1040" s="49"/>
      <c r="Q1040" s="1"/>
      <c r="S1040" s="1"/>
      <c r="T1040" s="1"/>
      <c r="U1040" s="1"/>
      <c r="V1040" s="1"/>
      <c r="W1040" s="1"/>
      <c r="X1040" s="1"/>
      <c r="Y1040" s="1"/>
      <c r="AB1040" s="1"/>
      <c r="AC1040" s="1"/>
      <c r="AD1040" s="1"/>
      <c r="AE1040" s="1"/>
      <c r="AF1040" s="1"/>
      <c r="AG1040" s="1"/>
      <c r="AH1040" s="1"/>
      <c r="AI1040" s="1"/>
      <c r="AJ1040" s="1"/>
      <c r="AK1040" s="1"/>
      <c r="AL1040" s="1"/>
      <c r="AM1040" s="1"/>
    </row>
    <row r="1041" spans="16:39" x14ac:dyDescent="0.25">
      <c r="P1041" s="49"/>
      <c r="Q1041" s="1"/>
      <c r="S1041" s="1"/>
      <c r="T1041" s="1"/>
      <c r="U1041" s="1"/>
      <c r="V1041" s="1"/>
      <c r="W1041" s="1"/>
      <c r="X1041" s="1"/>
      <c r="Y1041" s="1"/>
      <c r="AB1041" s="1"/>
      <c r="AC1041" s="1"/>
      <c r="AD1041" s="1"/>
      <c r="AE1041" s="1"/>
      <c r="AF1041" s="1"/>
      <c r="AG1041" s="1"/>
      <c r="AH1041" s="1"/>
      <c r="AI1041" s="1"/>
      <c r="AJ1041" s="1"/>
      <c r="AK1041" s="1"/>
      <c r="AL1041" s="1"/>
      <c r="AM1041" s="1"/>
    </row>
    <row r="1042" spans="16:39" x14ac:dyDescent="0.25">
      <c r="P1042" s="49"/>
      <c r="Q1042" s="1"/>
      <c r="S1042" s="1"/>
      <c r="T1042" s="1"/>
      <c r="U1042" s="1"/>
      <c r="V1042" s="1"/>
      <c r="W1042" s="1"/>
      <c r="X1042" s="1"/>
      <c r="Y1042" s="1"/>
      <c r="AB1042" s="1"/>
      <c r="AC1042" s="1"/>
      <c r="AD1042" s="1"/>
      <c r="AE1042" s="1"/>
      <c r="AF1042" s="1"/>
      <c r="AG1042" s="1"/>
      <c r="AH1042" s="1"/>
      <c r="AI1042" s="1"/>
      <c r="AJ1042" s="1"/>
      <c r="AK1042" s="1"/>
      <c r="AL1042" s="1"/>
      <c r="AM1042" s="1"/>
    </row>
    <row r="1043" spans="16:39" x14ac:dyDescent="0.25">
      <c r="P1043" s="49"/>
      <c r="Q1043" s="1"/>
      <c r="S1043" s="1"/>
      <c r="T1043" s="1"/>
      <c r="U1043" s="1"/>
      <c r="V1043" s="1"/>
      <c r="W1043" s="1"/>
      <c r="X1043" s="1"/>
      <c r="Y1043" s="1"/>
      <c r="AB1043" s="1"/>
      <c r="AC1043" s="1"/>
      <c r="AD1043" s="1"/>
      <c r="AE1043" s="1"/>
      <c r="AF1043" s="1"/>
      <c r="AG1043" s="1"/>
      <c r="AH1043" s="1"/>
      <c r="AI1043" s="1"/>
      <c r="AJ1043" s="1"/>
      <c r="AK1043" s="1"/>
      <c r="AL1043" s="1"/>
      <c r="AM1043" s="1"/>
    </row>
    <row r="1044" spans="16:39" x14ac:dyDescent="0.25">
      <c r="P1044" s="49"/>
      <c r="Q1044" s="1"/>
      <c r="S1044" s="1"/>
      <c r="T1044" s="1"/>
      <c r="U1044" s="1"/>
      <c r="V1044" s="1"/>
      <c r="W1044" s="1"/>
      <c r="X1044" s="1"/>
      <c r="Y1044" s="1"/>
      <c r="AB1044" s="1"/>
      <c r="AC1044" s="1"/>
      <c r="AD1044" s="1"/>
      <c r="AE1044" s="1"/>
      <c r="AF1044" s="1"/>
      <c r="AG1044" s="1"/>
      <c r="AH1044" s="1"/>
      <c r="AI1044" s="1"/>
      <c r="AJ1044" s="1"/>
      <c r="AK1044" s="1"/>
      <c r="AL1044" s="1"/>
      <c r="AM1044" s="1"/>
    </row>
    <row r="1045" spans="16:39" x14ac:dyDescent="0.25">
      <c r="P1045" s="49"/>
      <c r="Q1045" s="1"/>
      <c r="S1045" s="1"/>
      <c r="T1045" s="1"/>
      <c r="U1045" s="1"/>
      <c r="V1045" s="1"/>
      <c r="W1045" s="1"/>
      <c r="X1045" s="1"/>
      <c r="Y1045" s="1"/>
      <c r="AB1045" s="1"/>
      <c r="AC1045" s="1"/>
      <c r="AD1045" s="1"/>
      <c r="AE1045" s="1"/>
      <c r="AF1045" s="1"/>
      <c r="AG1045" s="1"/>
      <c r="AH1045" s="1"/>
      <c r="AI1045" s="1"/>
      <c r="AJ1045" s="1"/>
      <c r="AK1045" s="1"/>
      <c r="AL1045" s="1"/>
      <c r="AM1045" s="1"/>
    </row>
    <row r="1046" spans="16:39" x14ac:dyDescent="0.25">
      <c r="P1046" s="49"/>
      <c r="Q1046" s="1"/>
      <c r="S1046" s="1"/>
      <c r="T1046" s="1"/>
      <c r="U1046" s="1"/>
      <c r="V1046" s="1"/>
      <c r="W1046" s="1"/>
      <c r="X1046" s="1"/>
      <c r="Y1046" s="1"/>
      <c r="AB1046" s="1"/>
      <c r="AC1046" s="1"/>
      <c r="AD1046" s="1"/>
      <c r="AE1046" s="1"/>
      <c r="AF1046" s="1"/>
      <c r="AG1046" s="1"/>
      <c r="AH1046" s="1"/>
      <c r="AI1046" s="1"/>
      <c r="AJ1046" s="1"/>
      <c r="AK1046" s="1"/>
      <c r="AL1046" s="1"/>
      <c r="AM1046" s="1"/>
    </row>
    <row r="1047" spans="16:39" x14ac:dyDescent="0.25">
      <c r="P1047" s="49"/>
      <c r="Q1047" s="1"/>
      <c r="S1047" s="1"/>
      <c r="T1047" s="1"/>
      <c r="U1047" s="1"/>
      <c r="V1047" s="1"/>
      <c r="W1047" s="1"/>
      <c r="X1047" s="1"/>
      <c r="Y1047" s="1"/>
      <c r="AB1047" s="1"/>
      <c r="AC1047" s="1"/>
      <c r="AD1047" s="1"/>
      <c r="AE1047" s="1"/>
      <c r="AF1047" s="1"/>
      <c r="AG1047" s="1"/>
      <c r="AH1047" s="1"/>
      <c r="AI1047" s="1"/>
      <c r="AJ1047" s="1"/>
      <c r="AK1047" s="1"/>
      <c r="AL1047" s="1"/>
      <c r="AM1047" s="1"/>
    </row>
    <row r="1048" spans="16:39" x14ac:dyDescent="0.25">
      <c r="P1048" s="49"/>
      <c r="Q1048" s="1"/>
      <c r="S1048" s="1"/>
      <c r="T1048" s="1"/>
      <c r="U1048" s="1"/>
      <c r="V1048" s="1"/>
      <c r="W1048" s="1"/>
      <c r="X1048" s="1"/>
      <c r="Y1048" s="1"/>
      <c r="AB1048" s="1"/>
      <c r="AC1048" s="1"/>
      <c r="AD1048" s="1"/>
      <c r="AE1048" s="1"/>
      <c r="AF1048" s="1"/>
      <c r="AG1048" s="1"/>
      <c r="AH1048" s="1"/>
      <c r="AI1048" s="1"/>
      <c r="AJ1048" s="1"/>
      <c r="AK1048" s="1"/>
      <c r="AL1048" s="1"/>
      <c r="AM1048" s="1"/>
    </row>
    <row r="1049" spans="16:39" x14ac:dyDescent="0.25">
      <c r="P1049" s="49"/>
      <c r="Q1049" s="1"/>
      <c r="S1049" s="1"/>
      <c r="T1049" s="1"/>
      <c r="U1049" s="1"/>
      <c r="V1049" s="1"/>
      <c r="W1049" s="1"/>
      <c r="X1049" s="1"/>
      <c r="Y1049" s="1"/>
      <c r="AB1049" s="1"/>
      <c r="AC1049" s="1"/>
      <c r="AD1049" s="1"/>
      <c r="AE1049" s="1"/>
      <c r="AF1049" s="1"/>
      <c r="AG1049" s="1"/>
      <c r="AH1049" s="1"/>
      <c r="AI1049" s="1"/>
      <c r="AJ1049" s="1"/>
      <c r="AK1049" s="1"/>
      <c r="AL1049" s="1"/>
      <c r="AM1049" s="1"/>
    </row>
    <row r="1050" spans="16:39" x14ac:dyDescent="0.25">
      <c r="P1050" s="49"/>
      <c r="Q1050" s="1"/>
      <c r="S1050" s="1"/>
      <c r="T1050" s="1"/>
      <c r="U1050" s="1"/>
      <c r="V1050" s="1"/>
      <c r="W1050" s="1"/>
      <c r="X1050" s="1"/>
      <c r="Y1050" s="1"/>
      <c r="AB1050" s="1"/>
      <c r="AC1050" s="1"/>
      <c r="AD1050" s="1"/>
      <c r="AE1050" s="1"/>
      <c r="AF1050" s="1"/>
      <c r="AG1050" s="1"/>
      <c r="AH1050" s="1"/>
      <c r="AI1050" s="1"/>
      <c r="AJ1050" s="1"/>
      <c r="AK1050" s="1"/>
      <c r="AL1050" s="1"/>
      <c r="AM1050" s="1"/>
    </row>
    <row r="1051" spans="16:39" x14ac:dyDescent="0.25">
      <c r="P1051" s="49"/>
      <c r="Q1051" s="1"/>
      <c r="S1051" s="1"/>
      <c r="T1051" s="1"/>
      <c r="U1051" s="1"/>
      <c r="V1051" s="1"/>
      <c r="W1051" s="1"/>
      <c r="X1051" s="1"/>
      <c r="Y1051" s="1"/>
      <c r="AB1051" s="1"/>
      <c r="AC1051" s="1"/>
      <c r="AD1051" s="1"/>
      <c r="AE1051" s="1"/>
      <c r="AF1051" s="1"/>
      <c r="AG1051" s="1"/>
      <c r="AH1051" s="1"/>
      <c r="AI1051" s="1"/>
      <c r="AJ1051" s="1"/>
      <c r="AK1051" s="1"/>
      <c r="AL1051" s="1"/>
      <c r="AM1051" s="1"/>
    </row>
    <row r="1052" spans="16:39" x14ac:dyDescent="0.25">
      <c r="P1052" s="49"/>
      <c r="Q1052" s="1"/>
      <c r="S1052" s="1"/>
      <c r="T1052" s="1"/>
      <c r="U1052" s="1"/>
      <c r="V1052" s="1"/>
      <c r="W1052" s="1"/>
      <c r="X1052" s="1"/>
      <c r="Y1052" s="1"/>
      <c r="AB1052" s="1"/>
      <c r="AC1052" s="1"/>
      <c r="AD1052" s="1"/>
      <c r="AE1052" s="1"/>
      <c r="AF1052" s="1"/>
      <c r="AG1052" s="1"/>
      <c r="AH1052" s="1"/>
      <c r="AI1052" s="1"/>
      <c r="AJ1052" s="1"/>
      <c r="AK1052" s="1"/>
      <c r="AL1052" s="1"/>
      <c r="AM1052" s="1"/>
    </row>
    <row r="1053" spans="16:39" x14ac:dyDescent="0.25">
      <c r="P1053" s="49"/>
      <c r="Q1053" s="1"/>
      <c r="S1053" s="1"/>
      <c r="T1053" s="1"/>
      <c r="U1053" s="1"/>
      <c r="V1053" s="1"/>
      <c r="W1053" s="1"/>
      <c r="X1053" s="1"/>
      <c r="Y1053" s="1"/>
      <c r="AB1053" s="1"/>
      <c r="AC1053" s="1"/>
      <c r="AD1053" s="1"/>
      <c r="AE1053" s="1"/>
      <c r="AF1053" s="1"/>
      <c r="AG1053" s="1"/>
      <c r="AH1053" s="1"/>
      <c r="AI1053" s="1"/>
      <c r="AJ1053" s="1"/>
      <c r="AK1053" s="1"/>
      <c r="AL1053" s="1"/>
      <c r="AM1053" s="1"/>
    </row>
    <row r="1054" spans="16:39" x14ac:dyDescent="0.25">
      <c r="P1054" s="49"/>
      <c r="Q1054" s="1"/>
      <c r="S1054" s="1"/>
      <c r="T1054" s="1"/>
      <c r="U1054" s="1"/>
      <c r="V1054" s="1"/>
      <c r="W1054" s="1"/>
      <c r="X1054" s="1"/>
      <c r="Y1054" s="1"/>
      <c r="AB1054" s="1"/>
      <c r="AC1054" s="1"/>
      <c r="AD1054" s="1"/>
      <c r="AE1054" s="1"/>
      <c r="AF1054" s="1"/>
      <c r="AG1054" s="1"/>
      <c r="AH1054" s="1"/>
      <c r="AI1054" s="1"/>
      <c r="AJ1054" s="1"/>
      <c r="AK1054" s="1"/>
      <c r="AL1054" s="1"/>
      <c r="AM1054" s="1"/>
    </row>
    <row r="1055" spans="16:39" x14ac:dyDescent="0.25">
      <c r="P1055" s="49"/>
      <c r="Q1055" s="1"/>
      <c r="S1055" s="1"/>
      <c r="T1055" s="1"/>
      <c r="U1055" s="1"/>
      <c r="V1055" s="1"/>
      <c r="W1055" s="1"/>
      <c r="X1055" s="1"/>
      <c r="Y1055" s="1"/>
      <c r="AB1055" s="1"/>
      <c r="AC1055" s="1"/>
      <c r="AD1055" s="1"/>
      <c r="AE1055" s="1"/>
      <c r="AF1055" s="1"/>
      <c r="AG1055" s="1"/>
      <c r="AH1055" s="1"/>
      <c r="AI1055" s="1"/>
      <c r="AJ1055" s="1"/>
      <c r="AK1055" s="1"/>
      <c r="AL1055" s="1"/>
      <c r="AM1055" s="1"/>
    </row>
    <row r="1056" spans="16:39" x14ac:dyDescent="0.25">
      <c r="P1056" s="49"/>
      <c r="Q1056" s="1"/>
      <c r="S1056" s="1"/>
      <c r="T1056" s="1"/>
      <c r="U1056" s="1"/>
      <c r="V1056" s="1"/>
      <c r="W1056" s="1"/>
      <c r="X1056" s="1"/>
      <c r="Y1056" s="1"/>
      <c r="AB1056" s="1"/>
      <c r="AC1056" s="1"/>
      <c r="AD1056" s="1"/>
      <c r="AE1056" s="1"/>
      <c r="AF1056" s="1"/>
      <c r="AG1056" s="1"/>
      <c r="AH1056" s="1"/>
      <c r="AI1056" s="1"/>
      <c r="AJ1056" s="1"/>
      <c r="AK1056" s="1"/>
      <c r="AL1056" s="1"/>
      <c r="AM1056" s="1"/>
    </row>
    <row r="1057" spans="16:39" x14ac:dyDescent="0.25">
      <c r="P1057" s="49"/>
      <c r="Q1057" s="1"/>
      <c r="S1057" s="1"/>
      <c r="T1057" s="1"/>
      <c r="U1057" s="1"/>
      <c r="V1057" s="1"/>
      <c r="W1057" s="1"/>
      <c r="X1057" s="1"/>
      <c r="Y1057" s="1"/>
      <c r="AB1057" s="1"/>
      <c r="AC1057" s="1"/>
      <c r="AD1057" s="1"/>
      <c r="AE1057" s="1"/>
      <c r="AF1057" s="1"/>
      <c r="AG1057" s="1"/>
      <c r="AH1057" s="1"/>
      <c r="AI1057" s="1"/>
      <c r="AJ1057" s="1"/>
      <c r="AK1057" s="1"/>
      <c r="AL1057" s="1"/>
      <c r="AM1057" s="1"/>
    </row>
    <row r="1058" spans="16:39" x14ac:dyDescent="0.25">
      <c r="P1058" s="49"/>
      <c r="Q1058" s="1"/>
      <c r="S1058" s="1"/>
      <c r="T1058" s="1"/>
      <c r="U1058" s="1"/>
      <c r="V1058" s="1"/>
      <c r="W1058" s="1"/>
      <c r="X1058" s="1"/>
      <c r="Y1058" s="1"/>
      <c r="AB1058" s="1"/>
      <c r="AC1058" s="1"/>
      <c r="AD1058" s="1"/>
      <c r="AE1058" s="1"/>
      <c r="AF1058" s="1"/>
      <c r="AG1058" s="1"/>
      <c r="AH1058" s="1"/>
      <c r="AI1058" s="1"/>
      <c r="AJ1058" s="1"/>
      <c r="AK1058" s="1"/>
      <c r="AL1058" s="1"/>
      <c r="AM1058" s="1"/>
    </row>
    <row r="1059" spans="16:39" x14ac:dyDescent="0.25">
      <c r="P1059" s="49"/>
      <c r="Q1059" s="1"/>
      <c r="S1059" s="1"/>
      <c r="T1059" s="1"/>
      <c r="U1059" s="1"/>
      <c r="V1059" s="1"/>
      <c r="W1059" s="1"/>
      <c r="X1059" s="1"/>
      <c r="Y1059" s="1"/>
      <c r="AB1059" s="1"/>
      <c r="AC1059" s="1"/>
      <c r="AD1059" s="1"/>
      <c r="AE1059" s="1"/>
      <c r="AF1059" s="1"/>
      <c r="AG1059" s="1"/>
      <c r="AH1059" s="1"/>
      <c r="AI1059" s="1"/>
      <c r="AJ1059" s="1"/>
      <c r="AK1059" s="1"/>
      <c r="AL1059" s="1"/>
      <c r="AM1059" s="1"/>
    </row>
    <row r="1060" spans="16:39" x14ac:dyDescent="0.25">
      <c r="P1060" s="49"/>
      <c r="Q1060" s="1"/>
      <c r="S1060" s="1"/>
      <c r="T1060" s="1"/>
      <c r="U1060" s="1"/>
      <c r="V1060" s="1"/>
      <c r="W1060" s="1"/>
      <c r="X1060" s="1"/>
      <c r="Y1060" s="1"/>
      <c r="AB1060" s="1"/>
      <c r="AC1060" s="1"/>
      <c r="AD1060" s="1"/>
      <c r="AE1060" s="1"/>
      <c r="AF1060" s="1"/>
      <c r="AG1060" s="1"/>
      <c r="AH1060" s="1"/>
      <c r="AI1060" s="1"/>
      <c r="AJ1060" s="1"/>
      <c r="AK1060" s="1"/>
      <c r="AL1060" s="1"/>
      <c r="AM1060" s="1"/>
    </row>
    <row r="1061" spans="16:39" x14ac:dyDescent="0.25">
      <c r="P1061" s="49"/>
      <c r="Q1061" s="1"/>
      <c r="S1061" s="1"/>
      <c r="T1061" s="1"/>
      <c r="U1061" s="1"/>
      <c r="V1061" s="1"/>
      <c r="W1061" s="1"/>
      <c r="X1061" s="1"/>
      <c r="Y1061" s="1"/>
      <c r="AB1061" s="1"/>
      <c r="AC1061" s="1"/>
      <c r="AD1061" s="1"/>
      <c r="AE1061" s="1"/>
      <c r="AF1061" s="1"/>
      <c r="AG1061" s="1"/>
      <c r="AH1061" s="1"/>
      <c r="AI1061" s="1"/>
      <c r="AJ1061" s="1"/>
      <c r="AK1061" s="1"/>
      <c r="AL1061" s="1"/>
      <c r="AM1061" s="1"/>
    </row>
    <row r="1062" spans="16:39" x14ac:dyDescent="0.25">
      <c r="P1062" s="49"/>
      <c r="Q1062" s="1"/>
      <c r="S1062" s="1"/>
      <c r="T1062" s="1"/>
      <c r="U1062" s="1"/>
      <c r="V1062" s="1"/>
      <c r="W1062" s="1"/>
      <c r="X1062" s="1"/>
      <c r="Y1062" s="1"/>
      <c r="AB1062" s="1"/>
      <c r="AC1062" s="1"/>
      <c r="AD1062" s="1"/>
      <c r="AE1062" s="1"/>
      <c r="AF1062" s="1"/>
      <c r="AG1062" s="1"/>
      <c r="AH1062" s="1"/>
      <c r="AI1062" s="1"/>
      <c r="AJ1062" s="1"/>
      <c r="AK1062" s="1"/>
      <c r="AL1062" s="1"/>
      <c r="AM1062" s="1"/>
    </row>
    <row r="1063" spans="16:39" x14ac:dyDescent="0.25">
      <c r="P1063" s="49"/>
      <c r="Q1063" s="1"/>
      <c r="S1063" s="1"/>
      <c r="T1063" s="1"/>
      <c r="U1063" s="1"/>
      <c r="V1063" s="1"/>
      <c r="W1063" s="1"/>
      <c r="X1063" s="1"/>
      <c r="Y1063" s="1"/>
      <c r="AB1063" s="1"/>
      <c r="AC1063" s="1"/>
      <c r="AD1063" s="1"/>
      <c r="AE1063" s="1"/>
      <c r="AF1063" s="1"/>
      <c r="AG1063" s="1"/>
      <c r="AH1063" s="1"/>
      <c r="AI1063" s="1"/>
      <c r="AJ1063" s="1"/>
      <c r="AK1063" s="1"/>
      <c r="AL1063" s="1"/>
      <c r="AM1063" s="1"/>
    </row>
    <row r="1064" spans="16:39" x14ac:dyDescent="0.25">
      <c r="P1064" s="49"/>
      <c r="Q1064" s="1"/>
      <c r="S1064" s="1"/>
      <c r="T1064" s="1"/>
      <c r="U1064" s="1"/>
      <c r="V1064" s="1"/>
      <c r="W1064" s="1"/>
      <c r="X1064" s="1"/>
      <c r="Y1064" s="1"/>
      <c r="AB1064" s="1"/>
      <c r="AC1064" s="1"/>
      <c r="AD1064" s="1"/>
      <c r="AE1064" s="1"/>
      <c r="AF1064" s="1"/>
      <c r="AG1064" s="1"/>
      <c r="AH1064" s="1"/>
      <c r="AI1064" s="1"/>
      <c r="AJ1064" s="1"/>
      <c r="AK1064" s="1"/>
      <c r="AL1064" s="1"/>
      <c r="AM1064" s="1"/>
    </row>
    <row r="1065" spans="16:39" x14ac:dyDescent="0.25">
      <c r="P1065" s="49"/>
      <c r="Q1065" s="1"/>
      <c r="S1065" s="1"/>
      <c r="T1065" s="1"/>
      <c r="U1065" s="1"/>
      <c r="V1065" s="1"/>
      <c r="W1065" s="1"/>
      <c r="X1065" s="1"/>
      <c r="Y1065" s="1"/>
      <c r="AB1065" s="1"/>
      <c r="AC1065" s="1"/>
      <c r="AD1065" s="1"/>
      <c r="AE1065" s="1"/>
      <c r="AF1065" s="1"/>
      <c r="AG1065" s="1"/>
      <c r="AH1065" s="1"/>
      <c r="AI1065" s="1"/>
      <c r="AJ1065" s="1"/>
      <c r="AK1065" s="1"/>
      <c r="AL1065" s="1"/>
      <c r="AM1065" s="1"/>
    </row>
    <row r="1066" spans="16:39" x14ac:dyDescent="0.25">
      <c r="P1066" s="49"/>
      <c r="Q1066" s="1"/>
      <c r="S1066" s="1"/>
      <c r="T1066" s="1"/>
      <c r="U1066" s="1"/>
      <c r="V1066" s="1"/>
      <c r="W1066" s="1"/>
      <c r="X1066" s="1"/>
      <c r="Y1066" s="1"/>
      <c r="AB1066" s="1"/>
      <c r="AC1066" s="1"/>
      <c r="AD1066" s="1"/>
      <c r="AE1066" s="1"/>
      <c r="AF1066" s="1"/>
      <c r="AG1066" s="1"/>
      <c r="AH1066" s="1"/>
      <c r="AI1066" s="1"/>
      <c r="AJ1066" s="1"/>
      <c r="AK1066" s="1"/>
      <c r="AL1066" s="1"/>
      <c r="AM1066" s="1"/>
    </row>
    <row r="1067" spans="16:39" x14ac:dyDescent="0.25">
      <c r="P1067" s="49"/>
      <c r="Q1067" s="1"/>
      <c r="S1067" s="1"/>
      <c r="T1067" s="1"/>
      <c r="U1067" s="1"/>
      <c r="V1067" s="1"/>
      <c r="W1067" s="1"/>
      <c r="X1067" s="1"/>
      <c r="Y1067" s="1"/>
      <c r="AB1067" s="1"/>
      <c r="AC1067" s="1"/>
      <c r="AD1067" s="1"/>
      <c r="AE1067" s="1"/>
      <c r="AF1067" s="1"/>
      <c r="AG1067" s="1"/>
      <c r="AH1067" s="1"/>
      <c r="AI1067" s="1"/>
      <c r="AJ1067" s="1"/>
      <c r="AK1067" s="1"/>
      <c r="AL1067" s="1"/>
      <c r="AM1067" s="1"/>
    </row>
    <row r="1068" spans="16:39" x14ac:dyDescent="0.25">
      <c r="P1068" s="49"/>
      <c r="Q1068" s="1"/>
      <c r="S1068" s="1"/>
      <c r="T1068" s="1"/>
      <c r="U1068" s="1"/>
      <c r="V1068" s="1"/>
      <c r="W1068" s="1"/>
      <c r="X1068" s="1"/>
      <c r="Y1068" s="1"/>
      <c r="AB1068" s="1"/>
      <c r="AC1068" s="1"/>
      <c r="AD1068" s="1"/>
      <c r="AE1068" s="1"/>
      <c r="AF1068" s="1"/>
      <c r="AG1068" s="1"/>
      <c r="AH1068" s="1"/>
      <c r="AI1068" s="1"/>
      <c r="AJ1068" s="1"/>
      <c r="AK1068" s="1"/>
      <c r="AL1068" s="1"/>
      <c r="AM1068" s="1"/>
    </row>
    <row r="1069" spans="16:39" x14ac:dyDescent="0.25">
      <c r="P1069" s="49"/>
      <c r="Q1069" s="1"/>
      <c r="S1069" s="1"/>
      <c r="T1069" s="1"/>
      <c r="U1069" s="1"/>
      <c r="V1069" s="1"/>
      <c r="W1069" s="1"/>
      <c r="X1069" s="1"/>
      <c r="Y1069" s="1"/>
      <c r="AB1069" s="1"/>
      <c r="AC1069" s="1"/>
      <c r="AD1069" s="1"/>
      <c r="AE1069" s="1"/>
      <c r="AF1069" s="1"/>
      <c r="AG1069" s="1"/>
      <c r="AH1069" s="1"/>
      <c r="AI1069" s="1"/>
      <c r="AJ1069" s="1"/>
      <c r="AK1069" s="1"/>
      <c r="AL1069" s="1"/>
      <c r="AM1069" s="1"/>
    </row>
    <row r="1070" spans="16:39" x14ac:dyDescent="0.25">
      <c r="P1070" s="49"/>
      <c r="Q1070" s="1"/>
      <c r="S1070" s="1"/>
      <c r="T1070" s="1"/>
      <c r="U1070" s="1"/>
      <c r="V1070" s="1"/>
      <c r="W1070" s="1"/>
      <c r="X1070" s="1"/>
      <c r="Y1070" s="1"/>
      <c r="AB1070" s="1"/>
      <c r="AC1070" s="1"/>
      <c r="AD1070" s="1"/>
      <c r="AE1070" s="1"/>
      <c r="AF1070" s="1"/>
      <c r="AG1070" s="1"/>
      <c r="AH1070" s="1"/>
      <c r="AI1070" s="1"/>
      <c r="AJ1070" s="1"/>
      <c r="AK1070" s="1"/>
      <c r="AL1070" s="1"/>
      <c r="AM1070" s="1"/>
    </row>
    <row r="1071" spans="16:39" x14ac:dyDescent="0.25">
      <c r="P1071" s="49"/>
      <c r="Q1071" s="1"/>
      <c r="S1071" s="1"/>
      <c r="T1071" s="1"/>
      <c r="U1071" s="1"/>
      <c r="V1071" s="1"/>
      <c r="W1071" s="1"/>
      <c r="X1071" s="1"/>
      <c r="Y1071" s="1"/>
      <c r="AB1071" s="1"/>
      <c r="AC1071" s="1"/>
      <c r="AD1071" s="1"/>
      <c r="AE1071" s="1"/>
      <c r="AF1071" s="1"/>
      <c r="AG1071" s="1"/>
      <c r="AH1071" s="1"/>
      <c r="AI1071" s="1"/>
      <c r="AJ1071" s="1"/>
      <c r="AK1071" s="1"/>
      <c r="AL1071" s="1"/>
      <c r="AM1071" s="1"/>
    </row>
    <row r="1072" spans="16:39" x14ac:dyDescent="0.25">
      <c r="P1072" s="49"/>
      <c r="Q1072" s="1"/>
      <c r="S1072" s="1"/>
      <c r="T1072" s="1"/>
      <c r="U1072" s="1"/>
      <c r="V1072" s="1"/>
      <c r="W1072" s="1"/>
      <c r="X1072" s="1"/>
      <c r="Y1072" s="1"/>
      <c r="AB1072" s="1"/>
      <c r="AC1072" s="1"/>
      <c r="AD1072" s="1"/>
      <c r="AE1072" s="1"/>
      <c r="AF1072" s="1"/>
      <c r="AG1072" s="1"/>
      <c r="AH1072" s="1"/>
      <c r="AI1072" s="1"/>
      <c r="AJ1072" s="1"/>
      <c r="AK1072" s="1"/>
      <c r="AL1072" s="1"/>
      <c r="AM1072" s="1"/>
    </row>
    <row r="1073" spans="16:39" x14ac:dyDescent="0.25">
      <c r="P1073" s="49"/>
      <c r="Q1073" s="1"/>
      <c r="S1073" s="1"/>
      <c r="T1073" s="1"/>
      <c r="U1073" s="1"/>
      <c r="V1073" s="1"/>
      <c r="W1073" s="1"/>
      <c r="X1073" s="1"/>
      <c r="Y1073" s="1"/>
      <c r="AB1073" s="1"/>
      <c r="AC1073" s="1"/>
      <c r="AD1073" s="1"/>
      <c r="AE1073" s="1"/>
      <c r="AF1073" s="1"/>
      <c r="AG1073" s="1"/>
      <c r="AH1073" s="1"/>
      <c r="AI1073" s="1"/>
      <c r="AJ1073" s="1"/>
      <c r="AK1073" s="1"/>
      <c r="AL1073" s="1"/>
      <c r="AM1073" s="1"/>
    </row>
    <row r="1074" spans="16:39" x14ac:dyDescent="0.25">
      <c r="P1074" s="49"/>
      <c r="Q1074" s="1"/>
      <c r="S1074" s="1"/>
      <c r="T1074" s="1"/>
      <c r="U1074" s="1"/>
      <c r="V1074" s="1"/>
      <c r="W1074" s="1"/>
      <c r="X1074" s="1"/>
      <c r="Y1074" s="1"/>
      <c r="AB1074" s="1"/>
      <c r="AC1074" s="1"/>
      <c r="AD1074" s="1"/>
      <c r="AE1074" s="1"/>
      <c r="AF1074" s="1"/>
      <c r="AG1074" s="1"/>
      <c r="AH1074" s="1"/>
      <c r="AI1074" s="1"/>
      <c r="AJ1074" s="1"/>
      <c r="AK1074" s="1"/>
      <c r="AL1074" s="1"/>
      <c r="AM1074" s="1"/>
    </row>
    <row r="1075" spans="16:39" x14ac:dyDescent="0.25">
      <c r="P1075" s="49"/>
      <c r="Q1075" s="1"/>
      <c r="S1075" s="1"/>
      <c r="T1075" s="1"/>
      <c r="U1075" s="1"/>
      <c r="V1075" s="1"/>
      <c r="W1075" s="1"/>
      <c r="X1075" s="1"/>
      <c r="Y1075" s="1"/>
      <c r="AB1075" s="1"/>
      <c r="AC1075" s="1"/>
      <c r="AD1075" s="1"/>
      <c r="AE1075" s="1"/>
      <c r="AF1075" s="1"/>
      <c r="AG1075" s="1"/>
      <c r="AH1075" s="1"/>
      <c r="AI1075" s="1"/>
      <c r="AJ1075" s="1"/>
      <c r="AK1075" s="1"/>
      <c r="AL1075" s="1"/>
      <c r="AM1075" s="1"/>
    </row>
    <row r="1076" spans="16:39" x14ac:dyDescent="0.25">
      <c r="P1076" s="49"/>
      <c r="Q1076" s="1"/>
      <c r="S1076" s="1"/>
      <c r="T1076" s="1"/>
      <c r="U1076" s="1"/>
      <c r="V1076" s="1"/>
      <c r="W1076" s="1"/>
      <c r="X1076" s="1"/>
      <c r="Y1076" s="1"/>
      <c r="AB1076" s="1"/>
      <c r="AC1076" s="1"/>
      <c r="AD1076" s="1"/>
      <c r="AE1076" s="1"/>
      <c r="AF1076" s="1"/>
      <c r="AG1076" s="1"/>
      <c r="AH1076" s="1"/>
      <c r="AI1076" s="1"/>
      <c r="AJ1076" s="1"/>
      <c r="AK1076" s="1"/>
      <c r="AL1076" s="1"/>
      <c r="AM1076" s="1"/>
    </row>
    <row r="1077" spans="16:39" x14ac:dyDescent="0.25">
      <c r="P1077" s="49"/>
      <c r="Q1077" s="1"/>
      <c r="S1077" s="1"/>
      <c r="T1077" s="1"/>
      <c r="U1077" s="1"/>
      <c r="V1077" s="1"/>
      <c r="W1077" s="1"/>
      <c r="X1077" s="1"/>
      <c r="Y1077" s="1"/>
      <c r="AB1077" s="1"/>
      <c r="AC1077" s="1"/>
      <c r="AD1077" s="1"/>
      <c r="AE1077" s="1"/>
      <c r="AF1077" s="1"/>
      <c r="AG1077" s="1"/>
      <c r="AH1077" s="1"/>
      <c r="AI1077" s="1"/>
      <c r="AJ1077" s="1"/>
      <c r="AK1077" s="1"/>
      <c r="AL1077" s="1"/>
      <c r="AM1077" s="1"/>
    </row>
    <row r="1078" spans="16:39" x14ac:dyDescent="0.25">
      <c r="P1078" s="49"/>
      <c r="Q1078" s="1"/>
      <c r="S1078" s="1"/>
      <c r="T1078" s="1"/>
      <c r="U1078" s="1"/>
      <c r="V1078" s="1"/>
      <c r="W1078" s="1"/>
      <c r="X1078" s="1"/>
      <c r="Y1078" s="1"/>
      <c r="AB1078" s="1"/>
      <c r="AC1078" s="1"/>
      <c r="AD1078" s="1"/>
      <c r="AE1078" s="1"/>
      <c r="AF1078" s="1"/>
      <c r="AG1078" s="1"/>
      <c r="AH1078" s="1"/>
      <c r="AI1078" s="1"/>
      <c r="AJ1078" s="1"/>
      <c r="AK1078" s="1"/>
      <c r="AL1078" s="1"/>
      <c r="AM1078" s="1"/>
    </row>
    <row r="1079" spans="16:39" x14ac:dyDescent="0.25">
      <c r="P1079" s="49"/>
      <c r="Q1079" s="1"/>
      <c r="S1079" s="1"/>
      <c r="T1079" s="1"/>
      <c r="U1079" s="1"/>
      <c r="V1079" s="1"/>
      <c r="W1079" s="1"/>
      <c r="X1079" s="1"/>
      <c r="Y1079" s="1"/>
      <c r="AB1079" s="1"/>
      <c r="AC1079" s="1"/>
      <c r="AD1079" s="1"/>
      <c r="AE1079" s="1"/>
      <c r="AF1079" s="1"/>
      <c r="AG1079" s="1"/>
      <c r="AH1079" s="1"/>
      <c r="AI1079" s="1"/>
      <c r="AJ1079" s="1"/>
      <c r="AK1079" s="1"/>
      <c r="AL1079" s="1"/>
      <c r="AM1079" s="1"/>
    </row>
    <row r="1080" spans="16:39" x14ac:dyDescent="0.25">
      <c r="P1080" s="49"/>
      <c r="Q1080" s="1"/>
      <c r="S1080" s="1"/>
      <c r="T1080" s="1"/>
      <c r="U1080" s="1"/>
      <c r="V1080" s="1"/>
      <c r="W1080" s="1"/>
      <c r="X1080" s="1"/>
      <c r="Y1080" s="1"/>
      <c r="AB1080" s="1"/>
      <c r="AC1080" s="1"/>
      <c r="AD1080" s="1"/>
      <c r="AE1080" s="1"/>
      <c r="AF1080" s="1"/>
      <c r="AG1080" s="1"/>
      <c r="AH1080" s="1"/>
      <c r="AI1080" s="1"/>
      <c r="AJ1080" s="1"/>
      <c r="AK1080" s="1"/>
      <c r="AL1080" s="1"/>
      <c r="AM1080" s="1"/>
    </row>
    <row r="1081" spans="16:39" x14ac:dyDescent="0.25">
      <c r="P1081" s="49"/>
      <c r="Q1081" s="1"/>
      <c r="S1081" s="1"/>
      <c r="T1081" s="1"/>
      <c r="U1081" s="1"/>
      <c r="V1081" s="1"/>
      <c r="W1081" s="1"/>
      <c r="X1081" s="1"/>
      <c r="Y1081" s="1"/>
      <c r="AB1081" s="1"/>
      <c r="AC1081" s="1"/>
      <c r="AD1081" s="1"/>
      <c r="AE1081" s="1"/>
      <c r="AF1081" s="1"/>
      <c r="AG1081" s="1"/>
      <c r="AH1081" s="1"/>
      <c r="AI1081" s="1"/>
      <c r="AJ1081" s="1"/>
      <c r="AK1081" s="1"/>
      <c r="AL1081" s="1"/>
      <c r="AM1081" s="1"/>
    </row>
    <row r="1082" spans="16:39" x14ac:dyDescent="0.25">
      <c r="P1082" s="49"/>
      <c r="Q1082" s="1"/>
      <c r="S1082" s="1"/>
      <c r="T1082" s="1"/>
      <c r="U1082" s="1"/>
      <c r="V1082" s="1"/>
      <c r="W1082" s="1"/>
      <c r="X1082" s="1"/>
      <c r="Y1082" s="1"/>
      <c r="AB1082" s="1"/>
      <c r="AC1082" s="1"/>
      <c r="AD1082" s="1"/>
      <c r="AE1082" s="1"/>
      <c r="AF1082" s="1"/>
      <c r="AG1082" s="1"/>
      <c r="AH1082" s="1"/>
      <c r="AI1082" s="1"/>
      <c r="AJ1082" s="1"/>
      <c r="AK1082" s="1"/>
      <c r="AL1082" s="1"/>
      <c r="AM1082" s="1"/>
    </row>
    <row r="1083" spans="16:39" x14ac:dyDescent="0.25">
      <c r="P1083" s="49"/>
      <c r="Q1083" s="1"/>
      <c r="S1083" s="1"/>
      <c r="T1083" s="1"/>
      <c r="U1083" s="1"/>
      <c r="V1083" s="1"/>
      <c r="W1083" s="1"/>
      <c r="X1083" s="1"/>
      <c r="Y1083" s="1"/>
      <c r="AB1083" s="1"/>
      <c r="AC1083" s="1"/>
      <c r="AD1083" s="1"/>
      <c r="AE1083" s="1"/>
      <c r="AF1083" s="1"/>
      <c r="AG1083" s="1"/>
      <c r="AH1083" s="1"/>
      <c r="AI1083" s="1"/>
      <c r="AJ1083" s="1"/>
      <c r="AK1083" s="1"/>
      <c r="AL1083" s="1"/>
      <c r="AM1083" s="1"/>
    </row>
    <row r="1084" spans="16:39" x14ac:dyDescent="0.25">
      <c r="P1084" s="49"/>
      <c r="Q1084" s="1"/>
      <c r="S1084" s="1"/>
      <c r="T1084" s="1"/>
      <c r="U1084" s="1"/>
      <c r="V1084" s="1"/>
      <c r="W1084" s="1"/>
      <c r="X1084" s="1"/>
      <c r="Y1084" s="1"/>
      <c r="AB1084" s="1"/>
      <c r="AC1084" s="1"/>
      <c r="AD1084" s="1"/>
      <c r="AE1084" s="1"/>
      <c r="AF1084" s="1"/>
      <c r="AG1084" s="1"/>
      <c r="AH1084" s="1"/>
      <c r="AI1084" s="1"/>
      <c r="AJ1084" s="1"/>
      <c r="AK1084" s="1"/>
      <c r="AL1084" s="1"/>
      <c r="AM1084" s="1"/>
    </row>
    <row r="1085" spans="16:39" x14ac:dyDescent="0.25">
      <c r="P1085" s="49"/>
      <c r="Q1085" s="1"/>
      <c r="S1085" s="1"/>
      <c r="T1085" s="1"/>
      <c r="U1085" s="1"/>
      <c r="V1085" s="1"/>
      <c r="W1085" s="1"/>
      <c r="X1085" s="1"/>
      <c r="Y1085" s="1"/>
      <c r="AB1085" s="1"/>
      <c r="AC1085" s="1"/>
      <c r="AD1085" s="1"/>
      <c r="AE1085" s="1"/>
      <c r="AF1085" s="1"/>
      <c r="AG1085" s="1"/>
      <c r="AH1085" s="1"/>
      <c r="AI1085" s="1"/>
      <c r="AJ1085" s="1"/>
      <c r="AK1085" s="1"/>
      <c r="AL1085" s="1"/>
      <c r="AM1085" s="1"/>
    </row>
    <row r="1086" spans="16:39" x14ac:dyDescent="0.25">
      <c r="P1086" s="49"/>
      <c r="Q1086" s="1"/>
      <c r="S1086" s="1"/>
      <c r="T1086" s="1"/>
      <c r="U1086" s="1"/>
      <c r="V1086" s="1"/>
      <c r="W1086" s="1"/>
      <c r="X1086" s="1"/>
      <c r="Y1086" s="1"/>
      <c r="AB1086" s="1"/>
      <c r="AC1086" s="1"/>
      <c r="AD1086" s="1"/>
      <c r="AE1086" s="1"/>
      <c r="AF1086" s="1"/>
      <c r="AG1086" s="1"/>
      <c r="AH1086" s="1"/>
      <c r="AI1086" s="1"/>
      <c r="AJ1086" s="1"/>
      <c r="AK1086" s="1"/>
      <c r="AL1086" s="1"/>
      <c r="AM1086" s="1"/>
    </row>
    <row r="1087" spans="16:39" x14ac:dyDescent="0.25">
      <c r="P1087" s="49"/>
      <c r="Q1087" s="1"/>
      <c r="S1087" s="1"/>
      <c r="T1087" s="1"/>
      <c r="U1087" s="1"/>
      <c r="V1087" s="1"/>
      <c r="W1087" s="1"/>
      <c r="X1087" s="1"/>
      <c r="Y1087" s="1"/>
      <c r="AB1087" s="1"/>
      <c r="AC1087" s="1"/>
      <c r="AD1087" s="1"/>
      <c r="AE1087" s="1"/>
      <c r="AF1087" s="1"/>
      <c r="AG1087" s="1"/>
      <c r="AH1087" s="1"/>
      <c r="AI1087" s="1"/>
      <c r="AJ1087" s="1"/>
      <c r="AK1087" s="1"/>
      <c r="AL1087" s="1"/>
      <c r="AM1087" s="1"/>
    </row>
    <row r="1088" spans="16:39" x14ac:dyDescent="0.25">
      <c r="P1088" s="49"/>
      <c r="Q1088" s="1"/>
      <c r="S1088" s="1"/>
      <c r="T1088" s="1"/>
      <c r="U1088" s="1"/>
      <c r="V1088" s="1"/>
      <c r="W1088" s="1"/>
      <c r="X1088" s="1"/>
      <c r="Y1088" s="1"/>
      <c r="AB1088" s="1"/>
      <c r="AC1088" s="1"/>
      <c r="AD1088" s="1"/>
      <c r="AE1088" s="1"/>
      <c r="AF1088" s="1"/>
      <c r="AG1088" s="1"/>
      <c r="AH1088" s="1"/>
      <c r="AI1088" s="1"/>
      <c r="AJ1088" s="1"/>
      <c r="AK1088" s="1"/>
      <c r="AL1088" s="1"/>
      <c r="AM1088" s="1"/>
    </row>
    <row r="1089" spans="16:39" x14ac:dyDescent="0.25">
      <c r="P1089" s="49"/>
      <c r="Q1089" s="1"/>
      <c r="S1089" s="1"/>
      <c r="T1089" s="1"/>
      <c r="U1089" s="1"/>
      <c r="V1089" s="1"/>
      <c r="W1089" s="1"/>
      <c r="X1089" s="1"/>
      <c r="Y1089" s="1"/>
      <c r="AB1089" s="1"/>
      <c r="AC1089" s="1"/>
      <c r="AD1089" s="1"/>
      <c r="AE1089" s="1"/>
      <c r="AF1089" s="1"/>
      <c r="AG1089" s="1"/>
      <c r="AH1089" s="1"/>
      <c r="AI1089" s="1"/>
      <c r="AJ1089" s="1"/>
      <c r="AK1089" s="1"/>
      <c r="AL1089" s="1"/>
      <c r="AM1089" s="1"/>
    </row>
    <row r="1090" spans="16:39" x14ac:dyDescent="0.25">
      <c r="P1090" s="49"/>
      <c r="Q1090" s="1"/>
      <c r="S1090" s="1"/>
      <c r="T1090" s="1"/>
      <c r="U1090" s="1"/>
      <c r="V1090" s="1"/>
      <c r="W1090" s="1"/>
      <c r="X1090" s="1"/>
      <c r="Y1090" s="1"/>
      <c r="AB1090" s="1"/>
      <c r="AC1090" s="1"/>
      <c r="AD1090" s="1"/>
      <c r="AE1090" s="1"/>
      <c r="AF1090" s="1"/>
      <c r="AG1090" s="1"/>
      <c r="AH1090" s="1"/>
      <c r="AI1090" s="1"/>
      <c r="AJ1090" s="1"/>
      <c r="AK1090" s="1"/>
      <c r="AL1090" s="1"/>
      <c r="AM1090" s="1"/>
    </row>
    <row r="1091" spans="16:39" x14ac:dyDescent="0.25">
      <c r="P1091" s="49"/>
      <c r="Q1091" s="1"/>
      <c r="S1091" s="1"/>
      <c r="T1091" s="1"/>
      <c r="U1091" s="1"/>
      <c r="V1091" s="1"/>
      <c r="W1091" s="1"/>
      <c r="X1091" s="1"/>
      <c r="Y1091" s="1"/>
      <c r="AB1091" s="1"/>
      <c r="AC1091" s="1"/>
      <c r="AD1091" s="1"/>
      <c r="AE1091" s="1"/>
      <c r="AF1091" s="1"/>
      <c r="AG1091" s="1"/>
      <c r="AH1091" s="1"/>
      <c r="AI1091" s="1"/>
      <c r="AJ1091" s="1"/>
      <c r="AK1091" s="1"/>
      <c r="AL1091" s="1"/>
      <c r="AM1091" s="1"/>
    </row>
    <row r="1092" spans="16:39" x14ac:dyDescent="0.25">
      <c r="P1092" s="49"/>
      <c r="Q1092" s="1"/>
      <c r="S1092" s="1"/>
      <c r="T1092" s="1"/>
      <c r="U1092" s="1"/>
      <c r="V1092" s="1"/>
      <c r="W1092" s="1"/>
      <c r="X1092" s="1"/>
      <c r="Y1092" s="1"/>
      <c r="AB1092" s="1"/>
      <c r="AC1092" s="1"/>
      <c r="AD1092" s="1"/>
      <c r="AE1092" s="1"/>
      <c r="AF1092" s="1"/>
      <c r="AG1092" s="1"/>
      <c r="AH1092" s="1"/>
      <c r="AI1092" s="1"/>
      <c r="AJ1092" s="1"/>
      <c r="AK1092" s="1"/>
      <c r="AL1092" s="1"/>
      <c r="AM1092" s="1"/>
    </row>
    <row r="1093" spans="16:39" x14ac:dyDescent="0.25">
      <c r="P1093" s="49"/>
      <c r="Q1093" s="1"/>
      <c r="S1093" s="1"/>
      <c r="T1093" s="1"/>
      <c r="U1093" s="1"/>
      <c r="V1093" s="1"/>
      <c r="W1093" s="1"/>
      <c r="X1093" s="1"/>
      <c r="Y1093" s="1"/>
      <c r="AB1093" s="1"/>
      <c r="AC1093" s="1"/>
      <c r="AD1093" s="1"/>
      <c r="AE1093" s="1"/>
      <c r="AF1093" s="1"/>
      <c r="AG1093" s="1"/>
      <c r="AH1093" s="1"/>
      <c r="AI1093" s="1"/>
      <c r="AJ1093" s="1"/>
      <c r="AK1093" s="1"/>
      <c r="AL1093" s="1"/>
      <c r="AM1093" s="1"/>
    </row>
    <row r="1094" spans="16:39" x14ac:dyDescent="0.25">
      <c r="P1094" s="49"/>
      <c r="Q1094" s="1"/>
      <c r="S1094" s="1"/>
      <c r="T1094" s="1"/>
      <c r="U1094" s="1"/>
      <c r="V1094" s="1"/>
      <c r="W1094" s="1"/>
      <c r="X1094" s="1"/>
      <c r="Y1094" s="1"/>
      <c r="AB1094" s="1"/>
      <c r="AC1094" s="1"/>
      <c r="AD1094" s="1"/>
      <c r="AE1094" s="1"/>
      <c r="AF1094" s="1"/>
      <c r="AG1094" s="1"/>
      <c r="AH1094" s="1"/>
      <c r="AI1094" s="1"/>
      <c r="AJ1094" s="1"/>
      <c r="AK1094" s="1"/>
      <c r="AL1094" s="1"/>
      <c r="AM1094" s="1"/>
    </row>
    <row r="1095" spans="16:39" x14ac:dyDescent="0.25">
      <c r="P1095" s="49"/>
      <c r="Q1095" s="1"/>
      <c r="S1095" s="1"/>
      <c r="T1095" s="1"/>
      <c r="U1095" s="1"/>
      <c r="V1095" s="1"/>
      <c r="W1095" s="1"/>
      <c r="X1095" s="1"/>
      <c r="Y1095" s="1"/>
      <c r="AB1095" s="1"/>
      <c r="AC1095" s="1"/>
      <c r="AD1095" s="1"/>
      <c r="AE1095" s="1"/>
      <c r="AF1095" s="1"/>
      <c r="AG1095" s="1"/>
      <c r="AH1095" s="1"/>
      <c r="AI1095" s="1"/>
      <c r="AJ1095" s="1"/>
      <c r="AK1095" s="1"/>
      <c r="AL1095" s="1"/>
      <c r="AM1095" s="1"/>
    </row>
    <row r="1096" spans="16:39" x14ac:dyDescent="0.25">
      <c r="P1096" s="49"/>
      <c r="Q1096" s="1"/>
      <c r="S1096" s="1"/>
      <c r="T1096" s="1"/>
      <c r="U1096" s="1"/>
      <c r="V1096" s="1"/>
      <c r="W1096" s="1"/>
      <c r="X1096" s="1"/>
      <c r="Y1096" s="1"/>
      <c r="AB1096" s="1"/>
      <c r="AC1096" s="1"/>
      <c r="AD1096" s="1"/>
      <c r="AE1096" s="1"/>
      <c r="AF1096" s="1"/>
      <c r="AG1096" s="1"/>
      <c r="AH1096" s="1"/>
      <c r="AI1096" s="1"/>
      <c r="AJ1096" s="1"/>
      <c r="AK1096" s="1"/>
      <c r="AL1096" s="1"/>
      <c r="AM1096" s="1"/>
    </row>
    <row r="1097" spans="16:39" x14ac:dyDescent="0.25">
      <c r="P1097" s="49"/>
      <c r="Q1097" s="1"/>
      <c r="S1097" s="1"/>
      <c r="T1097" s="1"/>
      <c r="U1097" s="1"/>
      <c r="V1097" s="1"/>
      <c r="W1097" s="1"/>
      <c r="X1097" s="1"/>
      <c r="Y1097" s="1"/>
      <c r="AB1097" s="1"/>
      <c r="AC1097" s="1"/>
      <c r="AD1097" s="1"/>
      <c r="AE1097" s="1"/>
      <c r="AF1097" s="1"/>
      <c r="AG1097" s="1"/>
      <c r="AH1097" s="1"/>
      <c r="AI1097" s="1"/>
      <c r="AJ1097" s="1"/>
      <c r="AK1097" s="1"/>
      <c r="AL1097" s="1"/>
      <c r="AM1097" s="1"/>
    </row>
    <row r="1098" spans="16:39" x14ac:dyDescent="0.25">
      <c r="P1098" s="49"/>
      <c r="Q1098" s="1"/>
      <c r="S1098" s="1"/>
      <c r="T1098" s="1"/>
      <c r="U1098" s="1"/>
      <c r="V1098" s="1"/>
      <c r="W1098" s="1"/>
      <c r="X1098" s="1"/>
      <c r="Y1098" s="1"/>
      <c r="AB1098" s="1"/>
      <c r="AC1098" s="1"/>
      <c r="AD1098" s="1"/>
      <c r="AE1098" s="1"/>
      <c r="AF1098" s="1"/>
      <c r="AG1098" s="1"/>
      <c r="AH1098" s="1"/>
      <c r="AI1098" s="1"/>
      <c r="AJ1098" s="1"/>
      <c r="AK1098" s="1"/>
      <c r="AL1098" s="1"/>
      <c r="AM1098" s="1"/>
    </row>
    <row r="1099" spans="16:39" x14ac:dyDescent="0.25">
      <c r="P1099" s="49"/>
      <c r="Q1099" s="1"/>
      <c r="S1099" s="1"/>
      <c r="T1099" s="1"/>
      <c r="U1099" s="1"/>
      <c r="V1099" s="1"/>
      <c r="W1099" s="1"/>
      <c r="X1099" s="1"/>
      <c r="Y1099" s="1"/>
      <c r="AB1099" s="1"/>
      <c r="AC1099" s="1"/>
      <c r="AD1099" s="1"/>
      <c r="AE1099" s="1"/>
      <c r="AF1099" s="1"/>
      <c r="AG1099" s="1"/>
      <c r="AH1099" s="1"/>
      <c r="AI1099" s="1"/>
      <c r="AJ1099" s="1"/>
      <c r="AK1099" s="1"/>
      <c r="AL1099" s="1"/>
      <c r="AM1099" s="1"/>
    </row>
    <row r="1100" spans="16:39" x14ac:dyDescent="0.25">
      <c r="P1100" s="49"/>
      <c r="Q1100" s="1"/>
      <c r="S1100" s="1"/>
      <c r="T1100" s="1"/>
      <c r="U1100" s="1"/>
      <c r="V1100" s="1"/>
      <c r="W1100" s="1"/>
      <c r="X1100" s="1"/>
      <c r="Y1100" s="1"/>
      <c r="AB1100" s="1"/>
      <c r="AC1100" s="1"/>
      <c r="AD1100" s="1"/>
      <c r="AE1100" s="1"/>
      <c r="AF1100" s="1"/>
      <c r="AG1100" s="1"/>
      <c r="AH1100" s="1"/>
      <c r="AI1100" s="1"/>
      <c r="AJ1100" s="1"/>
      <c r="AK1100" s="1"/>
      <c r="AL1100" s="1"/>
      <c r="AM1100" s="1"/>
    </row>
    <row r="1101" spans="16:39" x14ac:dyDescent="0.25">
      <c r="P1101" s="49"/>
      <c r="Q1101" s="1"/>
      <c r="S1101" s="1"/>
      <c r="T1101" s="1"/>
      <c r="U1101" s="1"/>
      <c r="V1101" s="1"/>
      <c r="W1101" s="1"/>
      <c r="X1101" s="1"/>
      <c r="Y1101" s="1"/>
      <c r="AB1101" s="1"/>
      <c r="AC1101" s="1"/>
      <c r="AD1101" s="1"/>
      <c r="AE1101" s="1"/>
      <c r="AF1101" s="1"/>
      <c r="AG1101" s="1"/>
      <c r="AH1101" s="1"/>
      <c r="AI1101" s="1"/>
      <c r="AJ1101" s="1"/>
      <c r="AK1101" s="1"/>
      <c r="AL1101" s="1"/>
      <c r="AM1101" s="1"/>
    </row>
    <row r="1102" spans="16:39" x14ac:dyDescent="0.25">
      <c r="P1102" s="49"/>
      <c r="Q1102" s="1"/>
      <c r="S1102" s="1"/>
      <c r="T1102" s="1"/>
      <c r="U1102" s="1"/>
      <c r="V1102" s="1"/>
      <c r="W1102" s="1"/>
      <c r="X1102" s="1"/>
      <c r="Y1102" s="1"/>
      <c r="AB1102" s="1"/>
      <c r="AC1102" s="1"/>
      <c r="AD1102" s="1"/>
      <c r="AE1102" s="1"/>
      <c r="AF1102" s="1"/>
      <c r="AG1102" s="1"/>
      <c r="AH1102" s="1"/>
      <c r="AI1102" s="1"/>
      <c r="AJ1102" s="1"/>
      <c r="AK1102" s="1"/>
      <c r="AL1102" s="1"/>
      <c r="AM1102" s="1"/>
    </row>
    <row r="1103" spans="16:39" x14ac:dyDescent="0.25">
      <c r="P1103" s="49"/>
      <c r="Q1103" s="1"/>
      <c r="S1103" s="1"/>
      <c r="T1103" s="1"/>
      <c r="U1103" s="1"/>
      <c r="V1103" s="1"/>
      <c r="W1103" s="1"/>
      <c r="X1103" s="1"/>
      <c r="Y1103" s="1"/>
      <c r="AB1103" s="1"/>
      <c r="AC1103" s="1"/>
      <c r="AD1103" s="1"/>
      <c r="AE1103" s="1"/>
      <c r="AF1103" s="1"/>
      <c r="AG1103" s="1"/>
      <c r="AH1103" s="1"/>
      <c r="AI1103" s="1"/>
      <c r="AJ1103" s="1"/>
      <c r="AK1103" s="1"/>
      <c r="AL1103" s="1"/>
      <c r="AM1103" s="1"/>
    </row>
    <row r="1104" spans="16:39" x14ac:dyDescent="0.25">
      <c r="P1104" s="49"/>
      <c r="Q1104" s="1"/>
      <c r="S1104" s="1"/>
      <c r="T1104" s="1"/>
      <c r="U1104" s="1"/>
      <c r="V1104" s="1"/>
      <c r="W1104" s="1"/>
      <c r="X1104" s="1"/>
      <c r="Y1104" s="1"/>
      <c r="AB1104" s="1"/>
      <c r="AC1104" s="1"/>
      <c r="AD1104" s="1"/>
      <c r="AE1104" s="1"/>
      <c r="AF1104" s="1"/>
      <c r="AG1104" s="1"/>
      <c r="AH1104" s="1"/>
      <c r="AI1104" s="1"/>
      <c r="AJ1104" s="1"/>
      <c r="AK1104" s="1"/>
      <c r="AL1104" s="1"/>
      <c r="AM1104" s="1"/>
    </row>
    <row r="1105" spans="16:39" x14ac:dyDescent="0.25">
      <c r="P1105" s="49"/>
      <c r="Q1105" s="1"/>
      <c r="S1105" s="1"/>
      <c r="T1105" s="1"/>
      <c r="U1105" s="1"/>
      <c r="V1105" s="1"/>
      <c r="W1105" s="1"/>
      <c r="X1105" s="1"/>
      <c r="Y1105" s="1"/>
      <c r="AB1105" s="1"/>
      <c r="AC1105" s="1"/>
      <c r="AD1105" s="1"/>
      <c r="AE1105" s="1"/>
      <c r="AF1105" s="1"/>
      <c r="AG1105" s="1"/>
      <c r="AH1105" s="1"/>
      <c r="AI1105" s="1"/>
      <c r="AJ1105" s="1"/>
      <c r="AK1105" s="1"/>
      <c r="AL1105" s="1"/>
      <c r="AM1105" s="1"/>
    </row>
    <row r="1106" spans="16:39" x14ac:dyDescent="0.25">
      <c r="P1106" s="49"/>
      <c r="Q1106" s="1"/>
      <c r="S1106" s="1"/>
      <c r="T1106" s="1"/>
      <c r="U1106" s="1"/>
      <c r="V1106" s="1"/>
      <c r="W1106" s="1"/>
      <c r="X1106" s="1"/>
      <c r="Y1106" s="1"/>
      <c r="AB1106" s="1"/>
      <c r="AC1106" s="1"/>
      <c r="AD1106" s="1"/>
      <c r="AE1106" s="1"/>
      <c r="AF1106" s="1"/>
      <c r="AG1106" s="1"/>
      <c r="AH1106" s="1"/>
      <c r="AI1106" s="1"/>
      <c r="AJ1106" s="1"/>
      <c r="AK1106" s="1"/>
      <c r="AL1106" s="1"/>
      <c r="AM1106" s="1"/>
    </row>
    <row r="1107" spans="16:39" x14ac:dyDescent="0.25">
      <c r="P1107" s="49"/>
      <c r="Q1107" s="1"/>
      <c r="S1107" s="1"/>
      <c r="T1107" s="1"/>
      <c r="U1107" s="1"/>
      <c r="V1107" s="1"/>
      <c r="W1107" s="1"/>
      <c r="X1107" s="1"/>
      <c r="Y1107" s="1"/>
      <c r="AB1107" s="1"/>
      <c r="AC1107" s="1"/>
      <c r="AD1107" s="1"/>
      <c r="AE1107" s="1"/>
      <c r="AF1107" s="1"/>
      <c r="AG1107" s="1"/>
      <c r="AH1107" s="1"/>
      <c r="AI1107" s="1"/>
      <c r="AJ1107" s="1"/>
      <c r="AK1107" s="1"/>
      <c r="AL1107" s="1"/>
      <c r="AM1107" s="1"/>
    </row>
    <row r="1108" spans="16:39" x14ac:dyDescent="0.25">
      <c r="P1108" s="49"/>
      <c r="Q1108" s="1"/>
      <c r="S1108" s="1"/>
      <c r="T1108" s="1"/>
      <c r="U1108" s="1"/>
      <c r="V1108" s="1"/>
      <c r="W1108" s="1"/>
      <c r="X1108" s="1"/>
      <c r="Y1108" s="1"/>
      <c r="AB1108" s="1"/>
      <c r="AC1108" s="1"/>
      <c r="AD1108" s="1"/>
      <c r="AE1108" s="1"/>
      <c r="AF1108" s="1"/>
      <c r="AG1108" s="1"/>
      <c r="AH1108" s="1"/>
      <c r="AI1108" s="1"/>
      <c r="AJ1108" s="1"/>
      <c r="AK1108" s="1"/>
      <c r="AL1108" s="1"/>
      <c r="AM1108" s="1"/>
    </row>
    <row r="1109" spans="16:39" x14ac:dyDescent="0.25">
      <c r="P1109" s="49"/>
      <c r="Q1109" s="1"/>
      <c r="S1109" s="1"/>
      <c r="T1109" s="1"/>
      <c r="U1109" s="1"/>
      <c r="V1109" s="1"/>
      <c r="W1109" s="1"/>
      <c r="X1109" s="1"/>
      <c r="Y1109" s="1"/>
      <c r="AB1109" s="1"/>
      <c r="AC1109" s="1"/>
      <c r="AD1109" s="1"/>
      <c r="AE1109" s="1"/>
      <c r="AF1109" s="1"/>
      <c r="AG1109" s="1"/>
      <c r="AH1109" s="1"/>
      <c r="AI1109" s="1"/>
      <c r="AJ1109" s="1"/>
      <c r="AK1109" s="1"/>
      <c r="AL1109" s="1"/>
      <c r="AM1109" s="1"/>
    </row>
    <row r="1110" spans="16:39" x14ac:dyDescent="0.25">
      <c r="P1110" s="49"/>
      <c r="Q1110" s="1"/>
      <c r="S1110" s="1"/>
      <c r="T1110" s="1"/>
      <c r="U1110" s="1"/>
      <c r="V1110" s="1"/>
      <c r="W1110" s="1"/>
      <c r="X1110" s="1"/>
      <c r="Y1110" s="1"/>
      <c r="AB1110" s="1"/>
      <c r="AC1110" s="1"/>
      <c r="AD1110" s="1"/>
      <c r="AE1110" s="1"/>
      <c r="AF1110" s="1"/>
      <c r="AG1110" s="1"/>
      <c r="AH1110" s="1"/>
      <c r="AI1110" s="1"/>
      <c r="AJ1110" s="1"/>
      <c r="AK1110" s="1"/>
      <c r="AL1110" s="1"/>
      <c r="AM1110" s="1"/>
    </row>
    <row r="1111" spans="16:39" x14ac:dyDescent="0.25">
      <c r="P1111" s="49"/>
      <c r="Q1111" s="1"/>
      <c r="S1111" s="1"/>
      <c r="T1111" s="1"/>
      <c r="U1111" s="1"/>
      <c r="V1111" s="1"/>
      <c r="W1111" s="1"/>
      <c r="X1111" s="1"/>
      <c r="Y1111" s="1"/>
      <c r="AB1111" s="1"/>
      <c r="AC1111" s="1"/>
      <c r="AD1111" s="1"/>
      <c r="AE1111" s="1"/>
      <c r="AF1111" s="1"/>
      <c r="AG1111" s="1"/>
      <c r="AH1111" s="1"/>
      <c r="AI1111" s="1"/>
      <c r="AJ1111" s="1"/>
      <c r="AK1111" s="1"/>
      <c r="AL1111" s="1"/>
      <c r="AM1111" s="1"/>
    </row>
    <row r="1112" spans="16:39" x14ac:dyDescent="0.25">
      <c r="P1112" s="49"/>
      <c r="Q1112" s="1"/>
      <c r="S1112" s="1"/>
      <c r="T1112" s="1"/>
      <c r="U1112" s="1"/>
      <c r="V1112" s="1"/>
      <c r="W1112" s="1"/>
      <c r="X1112" s="1"/>
      <c r="Y1112" s="1"/>
      <c r="AB1112" s="1"/>
      <c r="AC1112" s="1"/>
      <c r="AD1112" s="1"/>
      <c r="AE1112" s="1"/>
      <c r="AF1112" s="1"/>
      <c r="AG1112" s="1"/>
      <c r="AH1112" s="1"/>
      <c r="AI1112" s="1"/>
      <c r="AJ1112" s="1"/>
      <c r="AK1112" s="1"/>
      <c r="AL1112" s="1"/>
      <c r="AM1112" s="1"/>
    </row>
    <row r="1113" spans="16:39" x14ac:dyDescent="0.25">
      <c r="P1113" s="49"/>
      <c r="Q1113" s="1"/>
      <c r="S1113" s="1"/>
      <c r="T1113" s="1"/>
      <c r="U1113" s="1"/>
      <c r="V1113" s="1"/>
      <c r="W1113" s="1"/>
      <c r="X1113" s="1"/>
      <c r="Y1113" s="1"/>
      <c r="AB1113" s="1"/>
      <c r="AC1113" s="1"/>
      <c r="AD1113" s="1"/>
      <c r="AE1113" s="1"/>
      <c r="AF1113" s="1"/>
      <c r="AG1113" s="1"/>
      <c r="AH1113" s="1"/>
      <c r="AI1113" s="1"/>
      <c r="AJ1113" s="1"/>
      <c r="AK1113" s="1"/>
      <c r="AL1113" s="1"/>
      <c r="AM1113" s="1"/>
    </row>
    <row r="1114" spans="16:39" x14ac:dyDescent="0.25">
      <c r="P1114" s="49"/>
      <c r="Q1114" s="1"/>
      <c r="S1114" s="1"/>
      <c r="T1114" s="1"/>
      <c r="U1114" s="1"/>
      <c r="V1114" s="1"/>
      <c r="W1114" s="1"/>
      <c r="X1114" s="1"/>
      <c r="Y1114" s="1"/>
      <c r="AB1114" s="1"/>
      <c r="AC1114" s="1"/>
      <c r="AD1114" s="1"/>
      <c r="AE1114" s="1"/>
      <c r="AF1114" s="1"/>
      <c r="AG1114" s="1"/>
      <c r="AH1114" s="1"/>
      <c r="AI1114" s="1"/>
      <c r="AJ1114" s="1"/>
      <c r="AK1114" s="1"/>
      <c r="AL1114" s="1"/>
      <c r="AM1114" s="1"/>
    </row>
    <row r="1115" spans="16:39" x14ac:dyDescent="0.25">
      <c r="P1115" s="49"/>
      <c r="Q1115" s="1"/>
      <c r="S1115" s="1"/>
      <c r="T1115" s="1"/>
      <c r="U1115" s="1"/>
      <c r="V1115" s="1"/>
      <c r="W1115" s="1"/>
      <c r="X1115" s="1"/>
      <c r="Y1115" s="1"/>
      <c r="AB1115" s="1"/>
      <c r="AC1115" s="1"/>
      <c r="AD1115" s="1"/>
      <c r="AE1115" s="1"/>
      <c r="AF1115" s="1"/>
      <c r="AG1115" s="1"/>
      <c r="AH1115" s="1"/>
      <c r="AI1115" s="1"/>
      <c r="AJ1115" s="1"/>
      <c r="AK1115" s="1"/>
      <c r="AL1115" s="1"/>
      <c r="AM1115" s="1"/>
    </row>
    <row r="1116" spans="16:39" x14ac:dyDescent="0.25">
      <c r="P1116" s="49"/>
      <c r="Q1116" s="1"/>
      <c r="S1116" s="1"/>
      <c r="T1116" s="1"/>
      <c r="U1116" s="1"/>
      <c r="V1116" s="1"/>
      <c r="W1116" s="1"/>
      <c r="X1116" s="1"/>
      <c r="Y1116" s="1"/>
      <c r="AB1116" s="1"/>
      <c r="AC1116" s="1"/>
      <c r="AD1116" s="1"/>
      <c r="AE1116" s="1"/>
      <c r="AF1116" s="1"/>
      <c r="AG1116" s="1"/>
      <c r="AH1116" s="1"/>
      <c r="AI1116" s="1"/>
      <c r="AJ1116" s="1"/>
      <c r="AK1116" s="1"/>
      <c r="AL1116" s="1"/>
      <c r="AM1116" s="1"/>
    </row>
    <row r="1117" spans="16:39" x14ac:dyDescent="0.25">
      <c r="P1117" s="49"/>
      <c r="Q1117" s="1"/>
      <c r="S1117" s="1"/>
      <c r="T1117" s="1"/>
      <c r="U1117" s="1"/>
      <c r="V1117" s="1"/>
      <c r="W1117" s="1"/>
      <c r="X1117" s="1"/>
      <c r="Y1117" s="1"/>
      <c r="AB1117" s="1"/>
      <c r="AC1117" s="1"/>
      <c r="AD1117" s="1"/>
      <c r="AE1117" s="1"/>
      <c r="AF1117" s="1"/>
      <c r="AG1117" s="1"/>
      <c r="AH1117" s="1"/>
      <c r="AI1117" s="1"/>
      <c r="AJ1117" s="1"/>
      <c r="AK1117" s="1"/>
      <c r="AL1117" s="1"/>
      <c r="AM1117" s="1"/>
    </row>
    <row r="1118" spans="16:39" x14ac:dyDescent="0.25">
      <c r="P1118" s="49"/>
      <c r="Q1118" s="1"/>
      <c r="S1118" s="1"/>
      <c r="T1118" s="1"/>
      <c r="U1118" s="1"/>
      <c r="V1118" s="1"/>
      <c r="W1118" s="1"/>
      <c r="X1118" s="1"/>
      <c r="Y1118" s="1"/>
      <c r="AB1118" s="1"/>
      <c r="AC1118" s="1"/>
      <c r="AD1118" s="1"/>
      <c r="AE1118" s="1"/>
      <c r="AF1118" s="1"/>
      <c r="AG1118" s="1"/>
      <c r="AH1118" s="1"/>
      <c r="AI1118" s="1"/>
      <c r="AJ1118" s="1"/>
      <c r="AK1118" s="1"/>
      <c r="AL1118" s="1"/>
      <c r="AM1118" s="1"/>
    </row>
    <row r="1119" spans="16:39" x14ac:dyDescent="0.25">
      <c r="P1119" s="49"/>
      <c r="Q1119" s="1"/>
      <c r="S1119" s="1"/>
      <c r="T1119" s="1"/>
      <c r="U1119" s="1"/>
      <c r="V1119" s="1"/>
      <c r="W1119" s="1"/>
      <c r="X1119" s="1"/>
      <c r="Y1119" s="1"/>
      <c r="AB1119" s="1"/>
      <c r="AC1119" s="1"/>
      <c r="AD1119" s="1"/>
      <c r="AE1119" s="1"/>
      <c r="AF1119" s="1"/>
      <c r="AG1119" s="1"/>
      <c r="AH1119" s="1"/>
      <c r="AI1119" s="1"/>
      <c r="AJ1119" s="1"/>
      <c r="AK1119" s="1"/>
      <c r="AL1119" s="1"/>
      <c r="AM1119" s="1"/>
    </row>
    <row r="1120" spans="16:39" x14ac:dyDescent="0.25">
      <c r="P1120" s="49"/>
      <c r="Q1120" s="1"/>
      <c r="S1120" s="1"/>
      <c r="T1120" s="1"/>
      <c r="U1120" s="1"/>
      <c r="V1120" s="1"/>
      <c r="W1120" s="1"/>
      <c r="X1120" s="1"/>
      <c r="Y1120" s="1"/>
      <c r="AB1120" s="1"/>
      <c r="AC1120" s="1"/>
      <c r="AD1120" s="1"/>
      <c r="AE1120" s="1"/>
      <c r="AF1120" s="1"/>
      <c r="AG1120" s="1"/>
      <c r="AH1120" s="1"/>
      <c r="AI1120" s="1"/>
      <c r="AJ1120" s="1"/>
      <c r="AK1120" s="1"/>
      <c r="AL1120" s="1"/>
      <c r="AM1120" s="1"/>
    </row>
    <row r="1121" spans="16:39" x14ac:dyDescent="0.25">
      <c r="P1121" s="49"/>
      <c r="Q1121" s="1"/>
      <c r="S1121" s="1"/>
      <c r="T1121" s="1"/>
      <c r="U1121" s="1"/>
      <c r="V1121" s="1"/>
      <c r="W1121" s="1"/>
      <c r="X1121" s="1"/>
      <c r="Y1121" s="1"/>
      <c r="AB1121" s="1"/>
      <c r="AC1121" s="1"/>
      <c r="AD1121" s="1"/>
      <c r="AE1121" s="1"/>
      <c r="AF1121" s="1"/>
      <c r="AG1121" s="1"/>
      <c r="AH1121" s="1"/>
      <c r="AI1121" s="1"/>
      <c r="AJ1121" s="1"/>
      <c r="AK1121" s="1"/>
      <c r="AL1121" s="1"/>
      <c r="AM1121" s="1"/>
    </row>
    <row r="1122" spans="16:39" x14ac:dyDescent="0.25">
      <c r="P1122" s="49"/>
      <c r="Q1122" s="1"/>
      <c r="S1122" s="1"/>
      <c r="T1122" s="1"/>
      <c r="U1122" s="1"/>
      <c r="V1122" s="1"/>
      <c r="W1122" s="1"/>
      <c r="X1122" s="1"/>
      <c r="Y1122" s="1"/>
      <c r="AB1122" s="1"/>
      <c r="AC1122" s="1"/>
      <c r="AD1122" s="1"/>
      <c r="AE1122" s="1"/>
      <c r="AF1122" s="1"/>
      <c r="AG1122" s="1"/>
      <c r="AH1122" s="1"/>
      <c r="AI1122" s="1"/>
      <c r="AJ1122" s="1"/>
      <c r="AK1122" s="1"/>
      <c r="AL1122" s="1"/>
      <c r="AM1122" s="1"/>
    </row>
    <row r="1123" spans="16:39" x14ac:dyDescent="0.25">
      <c r="P1123" s="49"/>
      <c r="Q1123" s="1"/>
      <c r="S1123" s="1"/>
      <c r="T1123" s="1"/>
      <c r="U1123" s="1"/>
      <c r="V1123" s="1"/>
      <c r="W1123" s="1"/>
      <c r="X1123" s="1"/>
      <c r="Y1123" s="1"/>
      <c r="AB1123" s="1"/>
      <c r="AC1123" s="1"/>
      <c r="AD1123" s="1"/>
      <c r="AE1123" s="1"/>
      <c r="AF1123" s="1"/>
      <c r="AG1123" s="1"/>
      <c r="AH1123" s="1"/>
      <c r="AI1123" s="1"/>
      <c r="AJ1123" s="1"/>
      <c r="AK1123" s="1"/>
      <c r="AL1123" s="1"/>
      <c r="AM1123" s="1"/>
    </row>
    <row r="1124" spans="16:39" x14ac:dyDescent="0.25">
      <c r="P1124" s="49"/>
      <c r="Q1124" s="1"/>
      <c r="S1124" s="1"/>
      <c r="T1124" s="1"/>
      <c r="U1124" s="1"/>
      <c r="V1124" s="1"/>
      <c r="W1124" s="1"/>
      <c r="X1124" s="1"/>
      <c r="Y1124" s="1"/>
      <c r="AB1124" s="1"/>
      <c r="AC1124" s="1"/>
      <c r="AD1124" s="1"/>
      <c r="AE1124" s="1"/>
      <c r="AF1124" s="1"/>
      <c r="AG1124" s="1"/>
      <c r="AH1124" s="1"/>
      <c r="AI1124" s="1"/>
      <c r="AJ1124" s="1"/>
      <c r="AK1124" s="1"/>
      <c r="AL1124" s="1"/>
      <c r="AM1124" s="1"/>
    </row>
    <row r="1125" spans="16:39" x14ac:dyDescent="0.25">
      <c r="P1125" s="49"/>
      <c r="Q1125" s="1"/>
      <c r="S1125" s="1"/>
      <c r="T1125" s="1"/>
      <c r="U1125" s="1"/>
      <c r="V1125" s="1"/>
      <c r="W1125" s="1"/>
      <c r="X1125" s="1"/>
      <c r="Y1125" s="1"/>
      <c r="AB1125" s="1"/>
      <c r="AC1125" s="1"/>
      <c r="AD1125" s="1"/>
      <c r="AE1125" s="1"/>
      <c r="AF1125" s="1"/>
      <c r="AG1125" s="1"/>
      <c r="AH1125" s="1"/>
      <c r="AI1125" s="1"/>
      <c r="AJ1125" s="1"/>
      <c r="AK1125" s="1"/>
      <c r="AL1125" s="1"/>
      <c r="AM1125" s="1"/>
    </row>
    <row r="1126" spans="16:39" x14ac:dyDescent="0.25">
      <c r="P1126" s="49"/>
      <c r="Q1126" s="1"/>
      <c r="S1126" s="1"/>
      <c r="T1126" s="1"/>
      <c r="U1126" s="1"/>
      <c r="V1126" s="1"/>
      <c r="W1126" s="1"/>
      <c r="X1126" s="1"/>
      <c r="Y1126" s="1"/>
      <c r="AB1126" s="1"/>
      <c r="AC1126" s="1"/>
      <c r="AD1126" s="1"/>
      <c r="AE1126" s="1"/>
      <c r="AF1126" s="1"/>
      <c r="AG1126" s="1"/>
      <c r="AH1126" s="1"/>
      <c r="AI1126" s="1"/>
      <c r="AJ1126" s="1"/>
      <c r="AK1126" s="1"/>
      <c r="AL1126" s="1"/>
      <c r="AM1126" s="1"/>
    </row>
    <row r="1127" spans="16:39" x14ac:dyDescent="0.25">
      <c r="P1127" s="49"/>
      <c r="Q1127" s="1"/>
      <c r="S1127" s="1"/>
      <c r="T1127" s="1"/>
      <c r="U1127" s="1"/>
      <c r="V1127" s="1"/>
      <c r="W1127" s="1"/>
      <c r="X1127" s="1"/>
      <c r="Y1127" s="1"/>
      <c r="AB1127" s="1"/>
      <c r="AC1127" s="1"/>
      <c r="AD1127" s="1"/>
      <c r="AE1127" s="1"/>
      <c r="AF1127" s="1"/>
      <c r="AG1127" s="1"/>
      <c r="AH1127" s="1"/>
      <c r="AI1127" s="1"/>
      <c r="AJ1127" s="1"/>
      <c r="AK1127" s="1"/>
      <c r="AL1127" s="1"/>
      <c r="AM1127" s="1"/>
    </row>
    <row r="1128" spans="16:39" x14ac:dyDescent="0.25">
      <c r="P1128" s="49"/>
      <c r="Q1128" s="1"/>
      <c r="S1128" s="1"/>
      <c r="T1128" s="1"/>
      <c r="U1128" s="1"/>
      <c r="V1128" s="1"/>
      <c r="W1128" s="1"/>
      <c r="X1128" s="1"/>
      <c r="Y1128" s="1"/>
      <c r="AB1128" s="1"/>
      <c r="AC1128" s="1"/>
      <c r="AD1128" s="1"/>
      <c r="AE1128" s="1"/>
      <c r="AF1128" s="1"/>
      <c r="AG1128" s="1"/>
      <c r="AH1128" s="1"/>
      <c r="AI1128" s="1"/>
      <c r="AJ1128" s="1"/>
      <c r="AK1128" s="1"/>
      <c r="AL1128" s="1"/>
      <c r="AM1128" s="1"/>
    </row>
    <row r="1129" spans="16:39" x14ac:dyDescent="0.25">
      <c r="P1129" s="49"/>
      <c r="Q1129" s="1"/>
      <c r="S1129" s="1"/>
      <c r="T1129" s="1"/>
      <c r="U1129" s="1"/>
      <c r="V1129" s="1"/>
      <c r="W1129" s="1"/>
      <c r="X1129" s="1"/>
      <c r="Y1129" s="1"/>
      <c r="AB1129" s="1"/>
      <c r="AC1129" s="1"/>
      <c r="AD1129" s="1"/>
      <c r="AE1129" s="1"/>
      <c r="AF1129" s="1"/>
      <c r="AG1129" s="1"/>
      <c r="AH1129" s="1"/>
      <c r="AI1129" s="1"/>
      <c r="AJ1129" s="1"/>
      <c r="AK1129" s="1"/>
      <c r="AL1129" s="1"/>
      <c r="AM1129" s="1"/>
    </row>
    <row r="1130" spans="16:39" x14ac:dyDescent="0.25">
      <c r="P1130" s="49"/>
      <c r="Q1130" s="1"/>
      <c r="S1130" s="1"/>
      <c r="T1130" s="1"/>
      <c r="U1130" s="1"/>
      <c r="V1130" s="1"/>
      <c r="W1130" s="1"/>
      <c r="X1130" s="1"/>
      <c r="Y1130" s="1"/>
      <c r="AB1130" s="1"/>
      <c r="AC1130" s="1"/>
      <c r="AD1130" s="1"/>
      <c r="AE1130" s="1"/>
      <c r="AF1130" s="1"/>
      <c r="AG1130" s="1"/>
      <c r="AH1130" s="1"/>
      <c r="AI1130" s="1"/>
      <c r="AJ1130" s="1"/>
      <c r="AK1130" s="1"/>
      <c r="AL1130" s="1"/>
      <c r="AM1130" s="1"/>
    </row>
    <row r="1131" spans="16:39" x14ac:dyDescent="0.25">
      <c r="P1131" s="49"/>
      <c r="Q1131" s="1"/>
      <c r="S1131" s="1"/>
      <c r="T1131" s="1"/>
      <c r="U1131" s="1"/>
      <c r="V1131" s="1"/>
      <c r="W1131" s="1"/>
      <c r="X1131" s="1"/>
      <c r="Y1131" s="1"/>
      <c r="AB1131" s="1"/>
      <c r="AC1131" s="1"/>
      <c r="AD1131" s="1"/>
      <c r="AE1131" s="1"/>
      <c r="AF1131" s="1"/>
      <c r="AG1131" s="1"/>
      <c r="AH1131" s="1"/>
      <c r="AI1131" s="1"/>
      <c r="AJ1131" s="1"/>
      <c r="AK1131" s="1"/>
      <c r="AL1131" s="1"/>
      <c r="AM1131" s="1"/>
    </row>
    <row r="1132" spans="16:39" x14ac:dyDescent="0.25">
      <c r="P1132" s="49"/>
      <c r="Q1132" s="1"/>
      <c r="S1132" s="1"/>
      <c r="T1132" s="1"/>
      <c r="U1132" s="1"/>
      <c r="V1132" s="1"/>
      <c r="W1132" s="1"/>
      <c r="X1132" s="1"/>
      <c r="Y1132" s="1"/>
      <c r="AB1132" s="1"/>
      <c r="AC1132" s="1"/>
      <c r="AD1132" s="1"/>
      <c r="AE1132" s="1"/>
      <c r="AF1132" s="1"/>
      <c r="AG1132" s="1"/>
      <c r="AH1132" s="1"/>
      <c r="AI1132" s="1"/>
      <c r="AJ1132" s="1"/>
      <c r="AK1132" s="1"/>
      <c r="AL1132" s="1"/>
      <c r="AM1132" s="1"/>
    </row>
    <row r="1133" spans="16:39" x14ac:dyDescent="0.25">
      <c r="P1133" s="49"/>
      <c r="Q1133" s="1"/>
      <c r="S1133" s="1"/>
      <c r="T1133" s="1"/>
      <c r="U1133" s="1"/>
      <c r="V1133" s="1"/>
      <c r="W1133" s="1"/>
      <c r="X1133" s="1"/>
      <c r="Y1133" s="1"/>
      <c r="AB1133" s="1"/>
      <c r="AC1133" s="1"/>
      <c r="AD1133" s="1"/>
      <c r="AE1133" s="1"/>
      <c r="AF1133" s="1"/>
      <c r="AG1133" s="1"/>
      <c r="AH1133" s="1"/>
      <c r="AI1133" s="1"/>
      <c r="AJ1133" s="1"/>
      <c r="AK1133" s="1"/>
      <c r="AL1133" s="1"/>
      <c r="AM1133" s="1"/>
    </row>
    <row r="1134" spans="16:39" x14ac:dyDescent="0.25">
      <c r="P1134" s="49"/>
      <c r="Q1134" s="1"/>
      <c r="S1134" s="1"/>
      <c r="T1134" s="1"/>
      <c r="U1134" s="1"/>
      <c r="V1134" s="1"/>
      <c r="W1134" s="1"/>
      <c r="X1134" s="1"/>
      <c r="Y1134" s="1"/>
      <c r="AB1134" s="1"/>
      <c r="AC1134" s="1"/>
      <c r="AD1134" s="1"/>
      <c r="AE1134" s="1"/>
      <c r="AF1134" s="1"/>
      <c r="AG1134" s="1"/>
      <c r="AH1134" s="1"/>
      <c r="AI1134" s="1"/>
      <c r="AJ1134" s="1"/>
      <c r="AK1134" s="1"/>
      <c r="AL1134" s="1"/>
      <c r="AM1134" s="1"/>
    </row>
    <row r="1135" spans="16:39" x14ac:dyDescent="0.25">
      <c r="P1135" s="49"/>
      <c r="Q1135" s="1"/>
      <c r="S1135" s="1"/>
      <c r="T1135" s="1"/>
      <c r="U1135" s="1"/>
      <c r="V1135" s="1"/>
      <c r="W1135" s="1"/>
      <c r="X1135" s="1"/>
      <c r="Y1135" s="1"/>
      <c r="AB1135" s="1"/>
      <c r="AC1135" s="1"/>
      <c r="AD1135" s="1"/>
      <c r="AE1135" s="1"/>
      <c r="AF1135" s="1"/>
      <c r="AG1135" s="1"/>
      <c r="AH1135" s="1"/>
      <c r="AI1135" s="1"/>
      <c r="AJ1135" s="1"/>
      <c r="AK1135" s="1"/>
      <c r="AL1135" s="1"/>
      <c r="AM1135" s="1"/>
    </row>
    <row r="1136" spans="16:39" x14ac:dyDescent="0.25">
      <c r="P1136" s="49"/>
      <c r="Q1136" s="1"/>
      <c r="S1136" s="1"/>
      <c r="T1136" s="1"/>
      <c r="U1136" s="1"/>
      <c r="V1136" s="1"/>
      <c r="W1136" s="1"/>
      <c r="X1136" s="1"/>
      <c r="Y1136" s="1"/>
      <c r="AB1136" s="1"/>
      <c r="AC1136" s="1"/>
      <c r="AD1136" s="1"/>
      <c r="AE1136" s="1"/>
      <c r="AF1136" s="1"/>
      <c r="AG1136" s="1"/>
      <c r="AH1136" s="1"/>
      <c r="AI1136" s="1"/>
      <c r="AJ1136" s="1"/>
      <c r="AK1136" s="1"/>
      <c r="AL1136" s="1"/>
      <c r="AM1136" s="1"/>
    </row>
    <row r="1137" spans="16:39" x14ac:dyDescent="0.25">
      <c r="P1137" s="49"/>
      <c r="Q1137" s="1"/>
      <c r="S1137" s="1"/>
      <c r="T1137" s="1"/>
      <c r="U1137" s="1"/>
      <c r="V1137" s="1"/>
      <c r="W1137" s="1"/>
      <c r="X1137" s="1"/>
      <c r="Y1137" s="1"/>
      <c r="AB1137" s="1"/>
      <c r="AC1137" s="1"/>
      <c r="AD1137" s="1"/>
      <c r="AE1137" s="1"/>
      <c r="AF1137" s="1"/>
      <c r="AG1137" s="1"/>
      <c r="AH1137" s="1"/>
      <c r="AI1137" s="1"/>
      <c r="AJ1137" s="1"/>
      <c r="AK1137" s="1"/>
      <c r="AL1137" s="1"/>
      <c r="AM1137" s="1"/>
    </row>
    <row r="1138" spans="16:39" x14ac:dyDescent="0.25">
      <c r="P1138" s="49"/>
      <c r="Q1138" s="1"/>
      <c r="S1138" s="1"/>
      <c r="T1138" s="1"/>
      <c r="U1138" s="1"/>
      <c r="V1138" s="1"/>
      <c r="W1138" s="1"/>
      <c r="X1138" s="1"/>
      <c r="Y1138" s="1"/>
      <c r="AB1138" s="1"/>
      <c r="AC1138" s="1"/>
      <c r="AD1138" s="1"/>
      <c r="AE1138" s="1"/>
      <c r="AF1138" s="1"/>
      <c r="AG1138" s="1"/>
      <c r="AH1138" s="1"/>
      <c r="AI1138" s="1"/>
      <c r="AJ1138" s="1"/>
      <c r="AK1138" s="1"/>
      <c r="AL1138" s="1"/>
      <c r="AM1138" s="1"/>
    </row>
    <row r="1139" spans="16:39" x14ac:dyDescent="0.25">
      <c r="P1139" s="49"/>
      <c r="Q1139" s="1"/>
      <c r="S1139" s="1"/>
      <c r="T1139" s="1"/>
      <c r="U1139" s="1"/>
      <c r="V1139" s="1"/>
      <c r="W1139" s="1"/>
      <c r="X1139" s="1"/>
      <c r="Y1139" s="1"/>
      <c r="AB1139" s="1"/>
      <c r="AC1139" s="1"/>
      <c r="AD1139" s="1"/>
      <c r="AE1139" s="1"/>
      <c r="AF1139" s="1"/>
      <c r="AG1139" s="1"/>
      <c r="AH1139" s="1"/>
      <c r="AI1139" s="1"/>
      <c r="AJ1139" s="1"/>
      <c r="AK1139" s="1"/>
      <c r="AL1139" s="1"/>
      <c r="AM1139" s="1"/>
    </row>
    <row r="1140" spans="16:39" x14ac:dyDescent="0.25">
      <c r="P1140" s="49"/>
      <c r="Q1140" s="1"/>
      <c r="S1140" s="1"/>
      <c r="T1140" s="1"/>
      <c r="U1140" s="1"/>
      <c r="V1140" s="1"/>
      <c r="W1140" s="1"/>
      <c r="X1140" s="1"/>
      <c r="Y1140" s="1"/>
      <c r="AB1140" s="1"/>
      <c r="AC1140" s="1"/>
      <c r="AD1140" s="1"/>
      <c r="AE1140" s="1"/>
      <c r="AF1140" s="1"/>
      <c r="AG1140" s="1"/>
      <c r="AH1140" s="1"/>
      <c r="AI1140" s="1"/>
      <c r="AJ1140" s="1"/>
      <c r="AK1140" s="1"/>
      <c r="AL1140" s="1"/>
      <c r="AM1140" s="1"/>
    </row>
    <row r="1141" spans="16:39" x14ac:dyDescent="0.25">
      <c r="P1141" s="49"/>
      <c r="Q1141" s="1"/>
      <c r="S1141" s="1"/>
      <c r="T1141" s="1"/>
      <c r="U1141" s="1"/>
      <c r="V1141" s="1"/>
      <c r="W1141" s="1"/>
      <c r="X1141" s="1"/>
      <c r="Y1141" s="1"/>
      <c r="AB1141" s="1"/>
      <c r="AC1141" s="1"/>
      <c r="AD1141" s="1"/>
      <c r="AE1141" s="1"/>
      <c r="AF1141" s="1"/>
      <c r="AG1141" s="1"/>
      <c r="AH1141" s="1"/>
      <c r="AI1141" s="1"/>
      <c r="AJ1141" s="1"/>
      <c r="AK1141" s="1"/>
      <c r="AL1141" s="1"/>
      <c r="AM1141" s="1"/>
    </row>
    <row r="1142" spans="16:39" x14ac:dyDescent="0.25">
      <c r="P1142" s="49"/>
      <c r="Q1142" s="1"/>
      <c r="S1142" s="1"/>
      <c r="T1142" s="1"/>
      <c r="U1142" s="1"/>
      <c r="V1142" s="1"/>
      <c r="W1142" s="1"/>
      <c r="X1142" s="1"/>
      <c r="Y1142" s="1"/>
      <c r="AB1142" s="1"/>
      <c r="AC1142" s="1"/>
      <c r="AD1142" s="1"/>
      <c r="AE1142" s="1"/>
      <c r="AF1142" s="1"/>
      <c r="AG1142" s="1"/>
      <c r="AH1142" s="1"/>
      <c r="AI1142" s="1"/>
      <c r="AJ1142" s="1"/>
      <c r="AK1142" s="1"/>
      <c r="AL1142" s="1"/>
      <c r="AM1142" s="1"/>
    </row>
    <row r="1143" spans="16:39" x14ac:dyDescent="0.25">
      <c r="P1143" s="49"/>
      <c r="Q1143" s="1"/>
      <c r="S1143" s="1"/>
      <c r="T1143" s="1"/>
      <c r="U1143" s="1"/>
      <c r="V1143" s="1"/>
      <c r="W1143" s="1"/>
      <c r="X1143" s="1"/>
      <c r="Y1143" s="1"/>
      <c r="AB1143" s="1"/>
      <c r="AC1143" s="1"/>
      <c r="AD1143" s="1"/>
      <c r="AE1143" s="1"/>
      <c r="AF1143" s="1"/>
      <c r="AG1143" s="1"/>
      <c r="AH1143" s="1"/>
      <c r="AI1143" s="1"/>
      <c r="AJ1143" s="1"/>
      <c r="AK1143" s="1"/>
      <c r="AL1143" s="1"/>
      <c r="AM1143" s="1"/>
    </row>
    <row r="1144" spans="16:39" x14ac:dyDescent="0.25">
      <c r="P1144" s="49"/>
      <c r="Q1144" s="1"/>
      <c r="S1144" s="1"/>
      <c r="T1144" s="1"/>
      <c r="U1144" s="1"/>
      <c r="V1144" s="1"/>
      <c r="W1144" s="1"/>
      <c r="X1144" s="1"/>
      <c r="Y1144" s="1"/>
      <c r="AB1144" s="1"/>
      <c r="AC1144" s="1"/>
      <c r="AD1144" s="1"/>
      <c r="AE1144" s="1"/>
      <c r="AF1144" s="1"/>
      <c r="AG1144" s="1"/>
      <c r="AH1144" s="1"/>
      <c r="AI1144" s="1"/>
      <c r="AJ1144" s="1"/>
      <c r="AK1144" s="1"/>
      <c r="AL1144" s="1"/>
      <c r="AM1144" s="1"/>
    </row>
    <row r="1145" spans="16:39" x14ac:dyDescent="0.25">
      <c r="P1145" s="49"/>
      <c r="Q1145" s="1"/>
      <c r="S1145" s="1"/>
      <c r="T1145" s="1"/>
      <c r="U1145" s="1"/>
      <c r="V1145" s="1"/>
      <c r="W1145" s="1"/>
      <c r="X1145" s="1"/>
      <c r="Y1145" s="1"/>
      <c r="AB1145" s="1"/>
      <c r="AC1145" s="1"/>
      <c r="AD1145" s="1"/>
      <c r="AE1145" s="1"/>
      <c r="AF1145" s="1"/>
      <c r="AG1145" s="1"/>
      <c r="AH1145" s="1"/>
      <c r="AI1145" s="1"/>
      <c r="AJ1145" s="1"/>
      <c r="AK1145" s="1"/>
      <c r="AL1145" s="1"/>
      <c r="AM1145" s="1"/>
    </row>
    <row r="1146" spans="16:39" x14ac:dyDescent="0.25">
      <c r="P1146" s="49"/>
      <c r="Q1146" s="1"/>
      <c r="S1146" s="1"/>
      <c r="T1146" s="1"/>
      <c r="U1146" s="1"/>
      <c r="V1146" s="1"/>
      <c r="W1146" s="1"/>
      <c r="X1146" s="1"/>
      <c r="Y1146" s="1"/>
      <c r="AB1146" s="1"/>
      <c r="AC1146" s="1"/>
      <c r="AD1146" s="1"/>
      <c r="AE1146" s="1"/>
      <c r="AF1146" s="1"/>
      <c r="AG1146" s="1"/>
      <c r="AH1146" s="1"/>
      <c r="AI1146" s="1"/>
      <c r="AJ1146" s="1"/>
      <c r="AK1146" s="1"/>
      <c r="AL1146" s="1"/>
      <c r="AM1146" s="1"/>
    </row>
    <row r="1147" spans="16:39" x14ac:dyDescent="0.25">
      <c r="P1147" s="49"/>
      <c r="Q1147" s="1"/>
      <c r="S1147" s="1"/>
      <c r="T1147" s="1"/>
      <c r="U1147" s="1"/>
      <c r="V1147" s="1"/>
      <c r="W1147" s="1"/>
      <c r="X1147" s="1"/>
      <c r="Y1147" s="1"/>
      <c r="AB1147" s="1"/>
      <c r="AC1147" s="1"/>
      <c r="AD1147" s="1"/>
      <c r="AE1147" s="1"/>
      <c r="AF1147" s="1"/>
      <c r="AG1147" s="1"/>
      <c r="AH1147" s="1"/>
      <c r="AI1147" s="1"/>
      <c r="AJ1147" s="1"/>
      <c r="AK1147" s="1"/>
      <c r="AL1147" s="1"/>
      <c r="AM1147" s="1"/>
    </row>
    <row r="1148" spans="16:39" x14ac:dyDescent="0.25">
      <c r="P1148" s="49"/>
      <c r="Q1148" s="1"/>
      <c r="S1148" s="1"/>
      <c r="T1148" s="1"/>
      <c r="U1148" s="1"/>
      <c r="V1148" s="1"/>
      <c r="W1148" s="1"/>
      <c r="X1148" s="1"/>
      <c r="Y1148" s="1"/>
      <c r="AB1148" s="1"/>
      <c r="AC1148" s="1"/>
      <c r="AD1148" s="1"/>
      <c r="AE1148" s="1"/>
      <c r="AF1148" s="1"/>
      <c r="AG1148" s="1"/>
      <c r="AH1148" s="1"/>
      <c r="AI1148" s="1"/>
      <c r="AJ1148" s="1"/>
      <c r="AK1148" s="1"/>
      <c r="AL1148" s="1"/>
      <c r="AM1148" s="1"/>
    </row>
    <row r="1149" spans="16:39" x14ac:dyDescent="0.25">
      <c r="P1149" s="49"/>
      <c r="Q1149" s="1"/>
      <c r="S1149" s="1"/>
      <c r="T1149" s="1"/>
      <c r="U1149" s="1"/>
      <c r="V1149" s="1"/>
      <c r="W1149" s="1"/>
      <c r="X1149" s="1"/>
      <c r="Y1149" s="1"/>
      <c r="AB1149" s="1"/>
      <c r="AC1149" s="1"/>
      <c r="AD1149" s="1"/>
      <c r="AE1149" s="1"/>
      <c r="AF1149" s="1"/>
      <c r="AG1149" s="1"/>
      <c r="AH1149" s="1"/>
      <c r="AI1149" s="1"/>
      <c r="AJ1149" s="1"/>
      <c r="AK1149" s="1"/>
      <c r="AL1149" s="1"/>
      <c r="AM1149" s="1"/>
    </row>
    <row r="1150" spans="16:39" x14ac:dyDescent="0.25">
      <c r="P1150" s="49"/>
      <c r="Q1150" s="1"/>
      <c r="S1150" s="1"/>
      <c r="T1150" s="1"/>
      <c r="U1150" s="1"/>
      <c r="V1150" s="1"/>
      <c r="W1150" s="1"/>
      <c r="X1150" s="1"/>
      <c r="Y1150" s="1"/>
      <c r="AB1150" s="1"/>
      <c r="AC1150" s="1"/>
      <c r="AD1150" s="1"/>
      <c r="AE1150" s="1"/>
      <c r="AF1150" s="1"/>
      <c r="AG1150" s="1"/>
      <c r="AH1150" s="1"/>
      <c r="AI1150" s="1"/>
      <c r="AJ1150" s="1"/>
      <c r="AK1150" s="1"/>
      <c r="AL1150" s="1"/>
      <c r="AM1150" s="1"/>
    </row>
    <row r="1151" spans="16:39" x14ac:dyDescent="0.25">
      <c r="P1151" s="49"/>
      <c r="Q1151" s="1"/>
      <c r="S1151" s="1"/>
      <c r="T1151" s="1"/>
      <c r="U1151" s="1"/>
      <c r="V1151" s="1"/>
      <c r="W1151" s="1"/>
      <c r="X1151" s="1"/>
      <c r="Y1151" s="1"/>
      <c r="AB1151" s="1"/>
      <c r="AC1151" s="1"/>
      <c r="AD1151" s="1"/>
      <c r="AE1151" s="1"/>
      <c r="AF1151" s="1"/>
      <c r="AG1151" s="1"/>
      <c r="AH1151" s="1"/>
      <c r="AI1151" s="1"/>
      <c r="AJ1151" s="1"/>
      <c r="AK1151" s="1"/>
      <c r="AL1151" s="1"/>
      <c r="AM1151" s="1"/>
    </row>
    <row r="1152" spans="16:39" x14ac:dyDescent="0.25">
      <c r="P1152" s="49"/>
      <c r="Q1152" s="1"/>
      <c r="S1152" s="1"/>
      <c r="T1152" s="1"/>
      <c r="U1152" s="1"/>
      <c r="V1152" s="1"/>
      <c r="W1152" s="1"/>
      <c r="X1152" s="1"/>
      <c r="Y1152" s="1"/>
      <c r="AB1152" s="1"/>
      <c r="AC1152" s="1"/>
      <c r="AD1152" s="1"/>
      <c r="AE1152" s="1"/>
      <c r="AF1152" s="1"/>
      <c r="AG1152" s="1"/>
      <c r="AH1152" s="1"/>
      <c r="AI1152" s="1"/>
      <c r="AJ1152" s="1"/>
      <c r="AK1152" s="1"/>
      <c r="AL1152" s="1"/>
      <c r="AM1152" s="1"/>
    </row>
    <row r="1153" spans="16:39" x14ac:dyDescent="0.25">
      <c r="P1153" s="49"/>
      <c r="Q1153" s="1"/>
      <c r="S1153" s="1"/>
      <c r="T1153" s="1"/>
      <c r="U1153" s="1"/>
      <c r="V1153" s="1"/>
      <c r="W1153" s="1"/>
      <c r="X1153" s="1"/>
      <c r="Y1153" s="1"/>
      <c r="AB1153" s="1"/>
      <c r="AC1153" s="1"/>
      <c r="AD1153" s="1"/>
      <c r="AE1153" s="1"/>
      <c r="AF1153" s="1"/>
      <c r="AG1153" s="1"/>
      <c r="AH1153" s="1"/>
      <c r="AI1153" s="1"/>
      <c r="AJ1153" s="1"/>
      <c r="AK1153" s="1"/>
      <c r="AL1153" s="1"/>
      <c r="AM1153" s="1"/>
    </row>
    <row r="1154" spans="16:39" x14ac:dyDescent="0.25">
      <c r="P1154" s="49"/>
      <c r="Q1154" s="1"/>
      <c r="S1154" s="1"/>
      <c r="T1154" s="1"/>
      <c r="U1154" s="1"/>
      <c r="V1154" s="1"/>
      <c r="W1154" s="1"/>
      <c r="X1154" s="1"/>
      <c r="Y1154" s="1"/>
      <c r="AB1154" s="1"/>
      <c r="AC1154" s="1"/>
      <c r="AD1154" s="1"/>
      <c r="AE1154" s="1"/>
      <c r="AF1154" s="1"/>
      <c r="AG1154" s="1"/>
      <c r="AH1154" s="1"/>
      <c r="AI1154" s="1"/>
      <c r="AJ1154" s="1"/>
      <c r="AK1154" s="1"/>
      <c r="AL1154" s="1"/>
      <c r="AM1154" s="1"/>
    </row>
    <row r="1155" spans="16:39" x14ac:dyDescent="0.25">
      <c r="P1155" s="49"/>
      <c r="Q1155" s="1"/>
      <c r="S1155" s="1"/>
      <c r="T1155" s="1"/>
      <c r="U1155" s="1"/>
      <c r="V1155" s="1"/>
      <c r="W1155" s="1"/>
      <c r="X1155" s="1"/>
      <c r="Y1155" s="1"/>
      <c r="AB1155" s="1"/>
      <c r="AC1155" s="1"/>
      <c r="AD1155" s="1"/>
      <c r="AE1155" s="1"/>
      <c r="AF1155" s="1"/>
      <c r="AG1155" s="1"/>
      <c r="AH1155" s="1"/>
      <c r="AI1155" s="1"/>
      <c r="AJ1155" s="1"/>
      <c r="AK1155" s="1"/>
      <c r="AL1155" s="1"/>
      <c r="AM1155" s="1"/>
    </row>
    <row r="1156" spans="16:39" x14ac:dyDescent="0.25">
      <c r="P1156" s="49"/>
      <c r="Q1156" s="1"/>
      <c r="S1156" s="1"/>
      <c r="T1156" s="1"/>
      <c r="U1156" s="1"/>
      <c r="V1156" s="1"/>
      <c r="W1156" s="1"/>
      <c r="X1156" s="1"/>
      <c r="Y1156" s="1"/>
      <c r="AB1156" s="1"/>
      <c r="AC1156" s="1"/>
      <c r="AD1156" s="1"/>
      <c r="AE1156" s="1"/>
      <c r="AF1156" s="1"/>
      <c r="AG1156" s="1"/>
      <c r="AH1156" s="1"/>
      <c r="AI1156" s="1"/>
      <c r="AJ1156" s="1"/>
      <c r="AK1156" s="1"/>
      <c r="AL1156" s="1"/>
      <c r="AM1156" s="1"/>
    </row>
    <row r="1157" spans="16:39" x14ac:dyDescent="0.25">
      <c r="P1157" s="49"/>
      <c r="Q1157" s="1"/>
      <c r="S1157" s="1"/>
      <c r="T1157" s="1"/>
      <c r="U1157" s="1"/>
      <c r="V1157" s="1"/>
      <c r="W1157" s="1"/>
      <c r="X1157" s="1"/>
      <c r="Y1157" s="1"/>
      <c r="AB1157" s="1"/>
      <c r="AC1157" s="1"/>
      <c r="AD1157" s="1"/>
      <c r="AE1157" s="1"/>
      <c r="AF1157" s="1"/>
      <c r="AG1157" s="1"/>
      <c r="AH1157" s="1"/>
      <c r="AI1157" s="1"/>
      <c r="AJ1157" s="1"/>
      <c r="AK1157" s="1"/>
      <c r="AL1157" s="1"/>
      <c r="AM1157" s="1"/>
    </row>
    <row r="1158" spans="16:39" x14ac:dyDescent="0.25">
      <c r="P1158" s="49"/>
      <c r="Q1158" s="1"/>
      <c r="S1158" s="1"/>
      <c r="T1158" s="1"/>
      <c r="U1158" s="1"/>
      <c r="V1158" s="1"/>
      <c r="W1158" s="1"/>
      <c r="X1158" s="1"/>
      <c r="Y1158" s="1"/>
      <c r="AB1158" s="1"/>
      <c r="AC1158" s="1"/>
      <c r="AD1158" s="1"/>
      <c r="AE1158" s="1"/>
      <c r="AF1158" s="1"/>
      <c r="AG1158" s="1"/>
      <c r="AH1158" s="1"/>
      <c r="AI1158" s="1"/>
      <c r="AJ1158" s="1"/>
      <c r="AK1158" s="1"/>
      <c r="AL1158" s="1"/>
      <c r="AM1158" s="1"/>
    </row>
    <row r="1159" spans="16:39" x14ac:dyDescent="0.25">
      <c r="P1159" s="49"/>
      <c r="Q1159" s="1"/>
      <c r="S1159" s="1"/>
      <c r="T1159" s="1"/>
      <c r="U1159" s="1"/>
      <c r="V1159" s="1"/>
      <c r="W1159" s="1"/>
      <c r="X1159" s="1"/>
      <c r="Y1159" s="1"/>
      <c r="AB1159" s="1"/>
      <c r="AC1159" s="1"/>
      <c r="AD1159" s="1"/>
      <c r="AE1159" s="1"/>
      <c r="AF1159" s="1"/>
      <c r="AG1159" s="1"/>
      <c r="AH1159" s="1"/>
      <c r="AI1159" s="1"/>
      <c r="AJ1159" s="1"/>
      <c r="AK1159" s="1"/>
      <c r="AL1159" s="1"/>
      <c r="AM1159" s="1"/>
    </row>
    <row r="1160" spans="16:39" x14ac:dyDescent="0.25">
      <c r="P1160" s="49"/>
      <c r="Q1160" s="1"/>
      <c r="S1160" s="1"/>
      <c r="T1160" s="1"/>
      <c r="U1160" s="1"/>
      <c r="V1160" s="1"/>
      <c r="W1160" s="1"/>
      <c r="X1160" s="1"/>
      <c r="Y1160" s="1"/>
      <c r="AB1160" s="1"/>
      <c r="AC1160" s="1"/>
      <c r="AD1160" s="1"/>
      <c r="AE1160" s="1"/>
      <c r="AF1160" s="1"/>
      <c r="AG1160" s="1"/>
      <c r="AH1160" s="1"/>
      <c r="AI1160" s="1"/>
      <c r="AJ1160" s="1"/>
      <c r="AK1160" s="1"/>
      <c r="AL1160" s="1"/>
      <c r="AM1160" s="1"/>
    </row>
    <row r="1161" spans="16:39" x14ac:dyDescent="0.25">
      <c r="P1161" s="49"/>
      <c r="Q1161" s="1"/>
      <c r="S1161" s="1"/>
      <c r="T1161" s="1"/>
      <c r="U1161" s="1"/>
      <c r="V1161" s="1"/>
      <c r="W1161" s="1"/>
      <c r="X1161" s="1"/>
      <c r="Y1161" s="1"/>
      <c r="AB1161" s="1"/>
      <c r="AC1161" s="1"/>
      <c r="AD1161" s="1"/>
      <c r="AE1161" s="1"/>
      <c r="AF1161" s="1"/>
      <c r="AG1161" s="1"/>
      <c r="AH1161" s="1"/>
      <c r="AI1161" s="1"/>
      <c r="AJ1161" s="1"/>
      <c r="AK1161" s="1"/>
      <c r="AL1161" s="1"/>
      <c r="AM1161" s="1"/>
    </row>
    <row r="1162" spans="16:39" x14ac:dyDescent="0.25">
      <c r="P1162" s="49"/>
      <c r="Q1162" s="1"/>
      <c r="S1162" s="1"/>
      <c r="T1162" s="1"/>
      <c r="U1162" s="1"/>
      <c r="V1162" s="1"/>
      <c r="W1162" s="1"/>
      <c r="X1162" s="1"/>
      <c r="Y1162" s="1"/>
      <c r="AB1162" s="1"/>
      <c r="AC1162" s="1"/>
      <c r="AD1162" s="1"/>
      <c r="AE1162" s="1"/>
      <c r="AF1162" s="1"/>
      <c r="AG1162" s="1"/>
      <c r="AH1162" s="1"/>
      <c r="AI1162" s="1"/>
      <c r="AJ1162" s="1"/>
      <c r="AK1162" s="1"/>
      <c r="AL1162" s="1"/>
      <c r="AM1162" s="1"/>
    </row>
    <row r="1163" spans="16:39" x14ac:dyDescent="0.25">
      <c r="P1163" s="49"/>
      <c r="Q1163" s="1"/>
      <c r="S1163" s="1"/>
      <c r="T1163" s="1"/>
      <c r="U1163" s="1"/>
      <c r="V1163" s="1"/>
      <c r="W1163" s="1"/>
      <c r="X1163" s="1"/>
      <c r="Y1163" s="1"/>
      <c r="AB1163" s="1"/>
      <c r="AC1163" s="1"/>
      <c r="AD1163" s="1"/>
      <c r="AE1163" s="1"/>
      <c r="AF1163" s="1"/>
      <c r="AG1163" s="1"/>
      <c r="AH1163" s="1"/>
      <c r="AI1163" s="1"/>
      <c r="AJ1163" s="1"/>
      <c r="AK1163" s="1"/>
      <c r="AL1163" s="1"/>
      <c r="AM1163" s="1"/>
    </row>
    <row r="1164" spans="16:39" x14ac:dyDescent="0.25">
      <c r="P1164" s="49"/>
      <c r="Q1164" s="1"/>
      <c r="S1164" s="1"/>
      <c r="T1164" s="1"/>
      <c r="U1164" s="1"/>
      <c r="V1164" s="1"/>
      <c r="W1164" s="1"/>
      <c r="X1164" s="1"/>
      <c r="Y1164" s="1"/>
      <c r="AB1164" s="1"/>
      <c r="AC1164" s="1"/>
      <c r="AD1164" s="1"/>
      <c r="AE1164" s="1"/>
      <c r="AF1164" s="1"/>
      <c r="AG1164" s="1"/>
      <c r="AH1164" s="1"/>
      <c r="AI1164" s="1"/>
      <c r="AJ1164" s="1"/>
      <c r="AK1164" s="1"/>
      <c r="AL1164" s="1"/>
      <c r="AM1164" s="1"/>
    </row>
    <row r="1165" spans="16:39" x14ac:dyDescent="0.25">
      <c r="P1165" s="49"/>
      <c r="Q1165" s="1"/>
      <c r="S1165" s="1"/>
      <c r="T1165" s="1"/>
      <c r="U1165" s="1"/>
      <c r="V1165" s="1"/>
      <c r="W1165" s="1"/>
      <c r="X1165" s="1"/>
      <c r="Y1165" s="1"/>
      <c r="AB1165" s="1"/>
      <c r="AC1165" s="1"/>
      <c r="AD1165" s="1"/>
      <c r="AE1165" s="1"/>
      <c r="AF1165" s="1"/>
      <c r="AG1165" s="1"/>
      <c r="AH1165" s="1"/>
      <c r="AI1165" s="1"/>
      <c r="AJ1165" s="1"/>
      <c r="AK1165" s="1"/>
      <c r="AL1165" s="1"/>
      <c r="AM1165" s="1"/>
    </row>
    <row r="1166" spans="16:39" x14ac:dyDescent="0.25">
      <c r="P1166" s="49"/>
      <c r="Q1166" s="1"/>
      <c r="S1166" s="1"/>
      <c r="T1166" s="1"/>
      <c r="U1166" s="1"/>
      <c r="V1166" s="1"/>
      <c r="W1166" s="1"/>
      <c r="X1166" s="1"/>
      <c r="Y1166" s="1"/>
      <c r="AB1166" s="1"/>
      <c r="AC1166" s="1"/>
      <c r="AD1166" s="1"/>
      <c r="AE1166" s="1"/>
      <c r="AF1166" s="1"/>
      <c r="AG1166" s="1"/>
      <c r="AH1166" s="1"/>
      <c r="AI1166" s="1"/>
      <c r="AJ1166" s="1"/>
      <c r="AK1166" s="1"/>
      <c r="AL1166" s="1"/>
      <c r="AM1166" s="1"/>
    </row>
    <row r="1167" spans="16:39" x14ac:dyDescent="0.25">
      <c r="P1167" s="49"/>
      <c r="Q1167" s="1"/>
      <c r="S1167" s="1"/>
      <c r="T1167" s="1"/>
      <c r="U1167" s="1"/>
      <c r="V1167" s="1"/>
      <c r="W1167" s="1"/>
      <c r="X1167" s="1"/>
      <c r="Y1167" s="1"/>
      <c r="AB1167" s="1"/>
      <c r="AC1167" s="1"/>
      <c r="AD1167" s="1"/>
      <c r="AE1167" s="1"/>
      <c r="AF1167" s="1"/>
      <c r="AG1167" s="1"/>
      <c r="AH1167" s="1"/>
      <c r="AI1167" s="1"/>
      <c r="AJ1167" s="1"/>
      <c r="AK1167" s="1"/>
      <c r="AL1167" s="1"/>
      <c r="AM1167" s="1"/>
    </row>
    <row r="1168" spans="16:39" x14ac:dyDescent="0.25">
      <c r="P1168" s="49"/>
      <c r="Q1168" s="1"/>
      <c r="S1168" s="1"/>
      <c r="T1168" s="1"/>
      <c r="U1168" s="1"/>
      <c r="V1168" s="1"/>
      <c r="W1168" s="1"/>
      <c r="X1168" s="1"/>
      <c r="Y1168" s="1"/>
      <c r="AB1168" s="1"/>
      <c r="AC1168" s="1"/>
      <c r="AD1168" s="1"/>
      <c r="AE1168" s="1"/>
      <c r="AF1168" s="1"/>
      <c r="AG1168" s="1"/>
      <c r="AH1168" s="1"/>
      <c r="AI1168" s="1"/>
      <c r="AJ1168" s="1"/>
      <c r="AK1168" s="1"/>
      <c r="AL1168" s="1"/>
      <c r="AM1168" s="1"/>
    </row>
    <row r="1169" spans="16:39" x14ac:dyDescent="0.25">
      <c r="P1169" s="49"/>
      <c r="Q1169" s="1"/>
      <c r="S1169" s="1"/>
      <c r="T1169" s="1"/>
      <c r="U1169" s="1"/>
      <c r="V1169" s="1"/>
      <c r="W1169" s="1"/>
      <c r="X1169" s="1"/>
      <c r="Y1169" s="1"/>
      <c r="AB1169" s="1"/>
      <c r="AC1169" s="1"/>
      <c r="AD1169" s="1"/>
      <c r="AE1169" s="1"/>
      <c r="AF1169" s="1"/>
      <c r="AG1169" s="1"/>
      <c r="AH1169" s="1"/>
      <c r="AI1169" s="1"/>
      <c r="AJ1169" s="1"/>
      <c r="AK1169" s="1"/>
      <c r="AL1169" s="1"/>
      <c r="AM1169" s="1"/>
    </row>
    <row r="1170" spans="16:39" x14ac:dyDescent="0.25">
      <c r="P1170" s="49"/>
      <c r="Q1170" s="1"/>
      <c r="S1170" s="1"/>
      <c r="T1170" s="1"/>
      <c r="U1170" s="1"/>
      <c r="V1170" s="1"/>
      <c r="W1170" s="1"/>
      <c r="X1170" s="1"/>
      <c r="Y1170" s="1"/>
      <c r="AB1170" s="1"/>
      <c r="AC1170" s="1"/>
      <c r="AD1170" s="1"/>
      <c r="AE1170" s="1"/>
      <c r="AF1170" s="1"/>
      <c r="AG1170" s="1"/>
      <c r="AH1170" s="1"/>
      <c r="AI1170" s="1"/>
      <c r="AJ1170" s="1"/>
      <c r="AK1170" s="1"/>
      <c r="AL1170" s="1"/>
      <c r="AM1170" s="1"/>
    </row>
    <row r="1171" spans="16:39" x14ac:dyDescent="0.25">
      <c r="P1171" s="49"/>
      <c r="Q1171" s="1"/>
      <c r="S1171" s="1"/>
      <c r="T1171" s="1"/>
      <c r="U1171" s="1"/>
      <c r="V1171" s="1"/>
      <c r="W1171" s="1"/>
      <c r="X1171" s="1"/>
      <c r="Y1171" s="1"/>
      <c r="AB1171" s="1"/>
      <c r="AC1171" s="1"/>
      <c r="AD1171" s="1"/>
      <c r="AE1171" s="1"/>
      <c r="AF1171" s="1"/>
      <c r="AG1171" s="1"/>
      <c r="AH1171" s="1"/>
      <c r="AI1171" s="1"/>
      <c r="AJ1171" s="1"/>
      <c r="AK1171" s="1"/>
      <c r="AL1171" s="1"/>
      <c r="AM1171" s="1"/>
    </row>
    <row r="1172" spans="16:39" x14ac:dyDescent="0.25">
      <c r="P1172" s="49"/>
      <c r="Q1172" s="1"/>
      <c r="S1172" s="1"/>
      <c r="T1172" s="1"/>
      <c r="U1172" s="1"/>
      <c r="V1172" s="1"/>
      <c r="W1172" s="1"/>
      <c r="X1172" s="1"/>
      <c r="Y1172" s="1"/>
      <c r="AB1172" s="1"/>
      <c r="AC1172" s="1"/>
      <c r="AD1172" s="1"/>
      <c r="AE1172" s="1"/>
      <c r="AF1172" s="1"/>
      <c r="AG1172" s="1"/>
      <c r="AH1172" s="1"/>
      <c r="AI1172" s="1"/>
      <c r="AJ1172" s="1"/>
      <c r="AK1172" s="1"/>
      <c r="AL1172" s="1"/>
      <c r="AM1172" s="1"/>
    </row>
    <row r="1173" spans="16:39" x14ac:dyDescent="0.25">
      <c r="P1173" s="49"/>
      <c r="Q1173" s="1"/>
      <c r="S1173" s="1"/>
      <c r="T1173" s="1"/>
      <c r="U1173" s="1"/>
      <c r="V1173" s="1"/>
      <c r="W1173" s="1"/>
      <c r="X1173" s="1"/>
      <c r="Y1173" s="1"/>
      <c r="AB1173" s="1"/>
      <c r="AC1173" s="1"/>
      <c r="AD1173" s="1"/>
      <c r="AE1173" s="1"/>
      <c r="AF1173" s="1"/>
      <c r="AG1173" s="1"/>
      <c r="AH1173" s="1"/>
      <c r="AI1173" s="1"/>
      <c r="AJ1173" s="1"/>
      <c r="AK1173" s="1"/>
      <c r="AL1173" s="1"/>
      <c r="AM1173" s="1"/>
    </row>
    <row r="1174" spans="16:39" x14ac:dyDescent="0.25">
      <c r="P1174" s="49"/>
      <c r="Q1174" s="1"/>
      <c r="S1174" s="1"/>
      <c r="T1174" s="1"/>
      <c r="U1174" s="1"/>
      <c r="V1174" s="1"/>
      <c r="W1174" s="1"/>
      <c r="X1174" s="1"/>
      <c r="Y1174" s="1"/>
      <c r="AB1174" s="1"/>
      <c r="AC1174" s="1"/>
      <c r="AD1174" s="1"/>
      <c r="AE1174" s="1"/>
      <c r="AF1174" s="1"/>
      <c r="AG1174" s="1"/>
      <c r="AH1174" s="1"/>
      <c r="AI1174" s="1"/>
      <c r="AJ1174" s="1"/>
      <c r="AK1174" s="1"/>
      <c r="AL1174" s="1"/>
      <c r="AM1174" s="1"/>
    </row>
    <row r="1175" spans="16:39" x14ac:dyDescent="0.25">
      <c r="P1175" s="49"/>
      <c r="Q1175" s="1"/>
      <c r="S1175" s="1"/>
      <c r="T1175" s="1"/>
      <c r="U1175" s="1"/>
      <c r="V1175" s="1"/>
      <c r="W1175" s="1"/>
      <c r="X1175" s="1"/>
      <c r="Y1175" s="1"/>
      <c r="AB1175" s="1"/>
      <c r="AC1175" s="1"/>
      <c r="AD1175" s="1"/>
      <c r="AE1175" s="1"/>
      <c r="AF1175" s="1"/>
      <c r="AG1175" s="1"/>
      <c r="AH1175" s="1"/>
      <c r="AI1175" s="1"/>
      <c r="AJ1175" s="1"/>
      <c r="AK1175" s="1"/>
      <c r="AL1175" s="1"/>
      <c r="AM1175" s="1"/>
    </row>
    <row r="1176" spans="16:39" x14ac:dyDescent="0.25">
      <c r="P1176" s="49"/>
      <c r="Q1176" s="1"/>
      <c r="S1176" s="1"/>
      <c r="T1176" s="1"/>
      <c r="U1176" s="1"/>
      <c r="V1176" s="1"/>
      <c r="W1176" s="1"/>
      <c r="X1176" s="1"/>
      <c r="Y1176" s="1"/>
      <c r="AB1176" s="1"/>
      <c r="AC1176" s="1"/>
      <c r="AD1176" s="1"/>
      <c r="AE1176" s="1"/>
      <c r="AF1176" s="1"/>
      <c r="AG1176" s="1"/>
      <c r="AH1176" s="1"/>
      <c r="AI1176" s="1"/>
      <c r="AJ1176" s="1"/>
      <c r="AK1176" s="1"/>
      <c r="AL1176" s="1"/>
      <c r="AM1176" s="1"/>
    </row>
    <row r="1177" spans="16:39" x14ac:dyDescent="0.25">
      <c r="P1177" s="49"/>
      <c r="Q1177" s="1"/>
      <c r="S1177" s="1"/>
      <c r="T1177" s="1"/>
      <c r="U1177" s="1"/>
      <c r="V1177" s="1"/>
      <c r="W1177" s="1"/>
      <c r="X1177" s="1"/>
      <c r="Y1177" s="1"/>
      <c r="AB1177" s="1"/>
      <c r="AC1177" s="1"/>
      <c r="AD1177" s="1"/>
      <c r="AE1177" s="1"/>
      <c r="AF1177" s="1"/>
      <c r="AG1177" s="1"/>
      <c r="AH1177" s="1"/>
      <c r="AI1177" s="1"/>
      <c r="AJ1177" s="1"/>
      <c r="AK1177" s="1"/>
      <c r="AL1177" s="1"/>
      <c r="AM1177" s="1"/>
    </row>
    <row r="1178" spans="16:39" x14ac:dyDescent="0.25">
      <c r="P1178" s="49"/>
      <c r="Q1178" s="1"/>
      <c r="S1178" s="1"/>
      <c r="T1178" s="1"/>
      <c r="U1178" s="1"/>
      <c r="V1178" s="1"/>
      <c r="W1178" s="1"/>
      <c r="X1178" s="1"/>
      <c r="Y1178" s="1"/>
      <c r="AB1178" s="1"/>
      <c r="AC1178" s="1"/>
      <c r="AD1178" s="1"/>
      <c r="AE1178" s="1"/>
      <c r="AF1178" s="1"/>
      <c r="AG1178" s="1"/>
      <c r="AH1178" s="1"/>
      <c r="AI1178" s="1"/>
      <c r="AJ1178" s="1"/>
      <c r="AK1178" s="1"/>
      <c r="AL1178" s="1"/>
      <c r="AM1178" s="1"/>
    </row>
    <row r="1179" spans="16:39" x14ac:dyDescent="0.25">
      <c r="P1179" s="49"/>
      <c r="Q1179" s="1"/>
      <c r="S1179" s="1"/>
      <c r="T1179" s="1"/>
      <c r="U1179" s="1"/>
      <c r="V1179" s="1"/>
      <c r="W1179" s="1"/>
      <c r="X1179" s="1"/>
      <c r="Y1179" s="1"/>
      <c r="AB1179" s="1"/>
      <c r="AC1179" s="1"/>
      <c r="AD1179" s="1"/>
      <c r="AE1179" s="1"/>
      <c r="AF1179" s="1"/>
      <c r="AG1179" s="1"/>
      <c r="AH1179" s="1"/>
      <c r="AI1179" s="1"/>
      <c r="AJ1179" s="1"/>
      <c r="AK1179" s="1"/>
      <c r="AL1179" s="1"/>
      <c r="AM1179" s="1"/>
    </row>
    <row r="1180" spans="16:39" x14ac:dyDescent="0.25">
      <c r="P1180" s="49"/>
      <c r="Q1180" s="1"/>
      <c r="S1180" s="1"/>
      <c r="T1180" s="1"/>
      <c r="U1180" s="1"/>
      <c r="V1180" s="1"/>
      <c r="W1180" s="1"/>
      <c r="X1180" s="1"/>
      <c r="Y1180" s="1"/>
      <c r="AB1180" s="1"/>
      <c r="AC1180" s="1"/>
      <c r="AD1180" s="1"/>
      <c r="AE1180" s="1"/>
      <c r="AF1180" s="1"/>
      <c r="AG1180" s="1"/>
      <c r="AH1180" s="1"/>
      <c r="AI1180" s="1"/>
      <c r="AJ1180" s="1"/>
      <c r="AK1180" s="1"/>
      <c r="AL1180" s="1"/>
      <c r="AM1180" s="1"/>
    </row>
    <row r="1181" spans="16:39" x14ac:dyDescent="0.25">
      <c r="P1181" s="49"/>
      <c r="Q1181" s="1"/>
      <c r="S1181" s="1"/>
      <c r="T1181" s="1"/>
      <c r="U1181" s="1"/>
      <c r="V1181" s="1"/>
      <c r="W1181" s="1"/>
      <c r="X1181" s="1"/>
      <c r="Y1181" s="1"/>
      <c r="AB1181" s="1"/>
      <c r="AC1181" s="1"/>
      <c r="AD1181" s="1"/>
      <c r="AE1181" s="1"/>
      <c r="AF1181" s="1"/>
      <c r="AG1181" s="1"/>
      <c r="AH1181" s="1"/>
      <c r="AI1181" s="1"/>
      <c r="AJ1181" s="1"/>
      <c r="AK1181" s="1"/>
      <c r="AL1181" s="1"/>
      <c r="AM1181" s="1"/>
    </row>
    <row r="1182" spans="16:39" x14ac:dyDescent="0.25">
      <c r="P1182" s="49"/>
      <c r="Q1182" s="1"/>
      <c r="S1182" s="1"/>
      <c r="T1182" s="1"/>
      <c r="U1182" s="1"/>
      <c r="V1182" s="1"/>
      <c r="W1182" s="1"/>
      <c r="X1182" s="1"/>
      <c r="Y1182" s="1"/>
      <c r="AB1182" s="1"/>
      <c r="AC1182" s="1"/>
      <c r="AD1182" s="1"/>
      <c r="AE1182" s="1"/>
      <c r="AF1182" s="1"/>
      <c r="AG1182" s="1"/>
      <c r="AH1182" s="1"/>
      <c r="AI1182" s="1"/>
      <c r="AJ1182" s="1"/>
      <c r="AK1182" s="1"/>
      <c r="AL1182" s="1"/>
      <c r="AM1182" s="1"/>
    </row>
    <row r="1183" spans="16:39" x14ac:dyDescent="0.25">
      <c r="P1183" s="49"/>
      <c r="Q1183" s="1"/>
      <c r="S1183" s="1"/>
      <c r="T1183" s="1"/>
      <c r="U1183" s="1"/>
      <c r="V1183" s="1"/>
      <c r="W1183" s="1"/>
      <c r="X1183" s="1"/>
      <c r="Y1183" s="1"/>
      <c r="AB1183" s="1"/>
      <c r="AC1183" s="1"/>
      <c r="AD1183" s="1"/>
      <c r="AE1183" s="1"/>
      <c r="AF1183" s="1"/>
      <c r="AG1183" s="1"/>
      <c r="AH1183" s="1"/>
      <c r="AI1183" s="1"/>
      <c r="AJ1183" s="1"/>
      <c r="AK1183" s="1"/>
      <c r="AL1183" s="1"/>
      <c r="AM1183" s="1"/>
    </row>
    <row r="1184" spans="16:39" x14ac:dyDescent="0.25">
      <c r="P1184" s="49"/>
      <c r="Q1184" s="1"/>
      <c r="S1184" s="1"/>
      <c r="T1184" s="1"/>
      <c r="U1184" s="1"/>
      <c r="V1184" s="1"/>
      <c r="W1184" s="1"/>
      <c r="X1184" s="1"/>
      <c r="Y1184" s="1"/>
      <c r="AB1184" s="1"/>
      <c r="AC1184" s="1"/>
      <c r="AD1184" s="1"/>
      <c r="AE1184" s="1"/>
      <c r="AF1184" s="1"/>
      <c r="AG1184" s="1"/>
      <c r="AH1184" s="1"/>
      <c r="AI1184" s="1"/>
      <c r="AJ1184" s="1"/>
      <c r="AK1184" s="1"/>
      <c r="AL1184" s="1"/>
      <c r="AM1184" s="1"/>
    </row>
    <row r="1185" spans="16:39" x14ac:dyDescent="0.25">
      <c r="P1185" s="49"/>
      <c r="Q1185" s="1"/>
      <c r="S1185" s="1"/>
      <c r="T1185" s="1"/>
      <c r="U1185" s="1"/>
      <c r="V1185" s="1"/>
      <c r="W1185" s="1"/>
      <c r="X1185" s="1"/>
      <c r="Y1185" s="1"/>
      <c r="AB1185" s="1"/>
      <c r="AC1185" s="1"/>
      <c r="AD1185" s="1"/>
      <c r="AE1185" s="1"/>
      <c r="AF1185" s="1"/>
      <c r="AG1185" s="1"/>
      <c r="AH1185" s="1"/>
      <c r="AI1185" s="1"/>
      <c r="AJ1185" s="1"/>
      <c r="AK1185" s="1"/>
      <c r="AL1185" s="1"/>
      <c r="AM1185" s="1"/>
    </row>
    <row r="1186" spans="16:39" x14ac:dyDescent="0.25">
      <c r="P1186" s="49"/>
      <c r="Q1186" s="1"/>
      <c r="S1186" s="1"/>
      <c r="T1186" s="1"/>
      <c r="U1186" s="1"/>
      <c r="V1186" s="1"/>
      <c r="W1186" s="1"/>
      <c r="X1186" s="1"/>
      <c r="Y1186" s="1"/>
      <c r="AB1186" s="1"/>
      <c r="AC1186" s="1"/>
      <c r="AD1186" s="1"/>
      <c r="AE1186" s="1"/>
      <c r="AF1186" s="1"/>
      <c r="AG1186" s="1"/>
      <c r="AH1186" s="1"/>
      <c r="AI1186" s="1"/>
      <c r="AJ1186" s="1"/>
      <c r="AK1186" s="1"/>
      <c r="AL1186" s="1"/>
      <c r="AM1186" s="1"/>
    </row>
    <row r="1187" spans="16:39" x14ac:dyDescent="0.25">
      <c r="P1187" s="49"/>
      <c r="Q1187" s="1"/>
      <c r="S1187" s="1"/>
      <c r="T1187" s="1"/>
      <c r="U1187" s="1"/>
      <c r="V1187" s="1"/>
      <c r="W1187" s="1"/>
      <c r="X1187" s="1"/>
      <c r="Y1187" s="1"/>
      <c r="AB1187" s="1"/>
      <c r="AC1187" s="1"/>
      <c r="AD1187" s="1"/>
      <c r="AE1187" s="1"/>
      <c r="AF1187" s="1"/>
      <c r="AG1187" s="1"/>
      <c r="AH1187" s="1"/>
      <c r="AI1187" s="1"/>
      <c r="AJ1187" s="1"/>
      <c r="AK1187" s="1"/>
      <c r="AL1187" s="1"/>
      <c r="AM1187" s="1"/>
    </row>
    <row r="1188" spans="16:39" x14ac:dyDescent="0.25">
      <c r="P1188" s="49"/>
      <c r="Q1188" s="1"/>
      <c r="S1188" s="1"/>
      <c r="T1188" s="1"/>
      <c r="U1188" s="1"/>
      <c r="V1188" s="1"/>
      <c r="W1188" s="1"/>
      <c r="X1188" s="1"/>
      <c r="Y1188" s="1"/>
      <c r="AB1188" s="1"/>
      <c r="AC1188" s="1"/>
      <c r="AD1188" s="1"/>
      <c r="AE1188" s="1"/>
      <c r="AF1188" s="1"/>
      <c r="AG1188" s="1"/>
      <c r="AH1188" s="1"/>
      <c r="AI1188" s="1"/>
      <c r="AJ1188" s="1"/>
      <c r="AK1188" s="1"/>
      <c r="AL1188" s="1"/>
      <c r="AM1188" s="1"/>
    </row>
    <row r="1189" spans="16:39" x14ac:dyDescent="0.25">
      <c r="P1189" s="49"/>
      <c r="Q1189" s="1"/>
      <c r="S1189" s="1"/>
      <c r="T1189" s="1"/>
      <c r="U1189" s="1"/>
      <c r="V1189" s="1"/>
      <c r="W1189" s="1"/>
      <c r="X1189" s="1"/>
      <c r="Y1189" s="1"/>
      <c r="AB1189" s="1"/>
      <c r="AC1189" s="1"/>
      <c r="AD1189" s="1"/>
      <c r="AE1189" s="1"/>
      <c r="AF1189" s="1"/>
      <c r="AG1189" s="1"/>
      <c r="AH1189" s="1"/>
      <c r="AI1189" s="1"/>
      <c r="AJ1189" s="1"/>
      <c r="AK1189" s="1"/>
      <c r="AL1189" s="1"/>
      <c r="AM1189" s="1"/>
    </row>
    <row r="1190" spans="16:39" x14ac:dyDescent="0.25">
      <c r="P1190" s="49"/>
      <c r="Q1190" s="1"/>
      <c r="S1190" s="1"/>
      <c r="T1190" s="1"/>
      <c r="U1190" s="1"/>
      <c r="V1190" s="1"/>
      <c r="W1190" s="1"/>
      <c r="X1190" s="1"/>
      <c r="Y1190" s="1"/>
      <c r="AB1190" s="1"/>
      <c r="AC1190" s="1"/>
      <c r="AD1190" s="1"/>
      <c r="AE1190" s="1"/>
      <c r="AF1190" s="1"/>
      <c r="AG1190" s="1"/>
      <c r="AH1190" s="1"/>
      <c r="AI1190" s="1"/>
      <c r="AJ1190" s="1"/>
      <c r="AK1190" s="1"/>
      <c r="AL1190" s="1"/>
      <c r="AM1190" s="1"/>
    </row>
    <row r="1191" spans="16:39" x14ac:dyDescent="0.25">
      <c r="P1191" s="49"/>
      <c r="Q1191" s="1"/>
      <c r="S1191" s="1"/>
      <c r="T1191" s="1"/>
      <c r="U1191" s="1"/>
      <c r="V1191" s="1"/>
      <c r="W1191" s="1"/>
      <c r="X1191" s="1"/>
      <c r="Y1191" s="1"/>
      <c r="AB1191" s="1"/>
      <c r="AC1191" s="1"/>
      <c r="AD1191" s="1"/>
      <c r="AE1191" s="1"/>
      <c r="AF1191" s="1"/>
      <c r="AG1191" s="1"/>
      <c r="AH1191" s="1"/>
      <c r="AI1191" s="1"/>
      <c r="AJ1191" s="1"/>
      <c r="AK1191" s="1"/>
      <c r="AL1191" s="1"/>
      <c r="AM1191" s="1"/>
    </row>
    <row r="1192" spans="16:39" x14ac:dyDescent="0.25">
      <c r="P1192" s="49"/>
      <c r="Q1192" s="1"/>
      <c r="S1192" s="1"/>
      <c r="T1192" s="1"/>
      <c r="U1192" s="1"/>
      <c r="V1192" s="1"/>
      <c r="W1192" s="1"/>
      <c r="X1192" s="1"/>
      <c r="Y1192" s="1"/>
      <c r="AB1192" s="1"/>
      <c r="AC1192" s="1"/>
      <c r="AD1192" s="1"/>
      <c r="AE1192" s="1"/>
      <c r="AF1192" s="1"/>
      <c r="AG1192" s="1"/>
      <c r="AH1192" s="1"/>
      <c r="AI1192" s="1"/>
      <c r="AJ1192" s="1"/>
      <c r="AK1192" s="1"/>
      <c r="AL1192" s="1"/>
      <c r="AM1192" s="1"/>
    </row>
    <row r="1193" spans="16:39" x14ac:dyDescent="0.25">
      <c r="P1193" s="49"/>
      <c r="Q1193" s="1"/>
      <c r="S1193" s="1"/>
      <c r="T1193" s="1"/>
      <c r="U1193" s="1"/>
      <c r="V1193" s="1"/>
      <c r="W1193" s="1"/>
      <c r="X1193" s="1"/>
      <c r="Y1193" s="1"/>
      <c r="AB1193" s="1"/>
      <c r="AC1193" s="1"/>
      <c r="AD1193" s="1"/>
      <c r="AE1193" s="1"/>
      <c r="AF1193" s="1"/>
      <c r="AG1193" s="1"/>
      <c r="AH1193" s="1"/>
      <c r="AI1193" s="1"/>
      <c r="AJ1193" s="1"/>
      <c r="AK1193" s="1"/>
      <c r="AL1193" s="1"/>
      <c r="AM1193" s="1"/>
    </row>
    <row r="1194" spans="16:39" x14ac:dyDescent="0.25">
      <c r="P1194" s="49"/>
      <c r="Q1194" s="1"/>
      <c r="S1194" s="1"/>
      <c r="T1194" s="1"/>
      <c r="U1194" s="1"/>
      <c r="V1194" s="1"/>
      <c r="W1194" s="1"/>
      <c r="X1194" s="1"/>
      <c r="Y1194" s="1"/>
      <c r="AB1194" s="1"/>
      <c r="AC1194" s="1"/>
      <c r="AD1194" s="1"/>
      <c r="AE1194" s="1"/>
      <c r="AF1194" s="1"/>
      <c r="AG1194" s="1"/>
      <c r="AH1194" s="1"/>
      <c r="AI1194" s="1"/>
      <c r="AJ1194" s="1"/>
      <c r="AK1194" s="1"/>
      <c r="AL1194" s="1"/>
      <c r="AM1194" s="1"/>
    </row>
    <row r="1195" spans="16:39" x14ac:dyDescent="0.25">
      <c r="P1195" s="49"/>
      <c r="Q1195" s="1"/>
      <c r="S1195" s="1"/>
      <c r="T1195" s="1"/>
      <c r="U1195" s="1"/>
      <c r="V1195" s="1"/>
      <c r="W1195" s="1"/>
      <c r="X1195" s="1"/>
      <c r="Y1195" s="1"/>
      <c r="AB1195" s="1"/>
      <c r="AC1195" s="1"/>
      <c r="AD1195" s="1"/>
      <c r="AE1195" s="1"/>
      <c r="AF1195" s="1"/>
      <c r="AG1195" s="1"/>
      <c r="AH1195" s="1"/>
      <c r="AI1195" s="1"/>
      <c r="AJ1195" s="1"/>
      <c r="AK1195" s="1"/>
      <c r="AL1195" s="1"/>
      <c r="AM1195" s="1"/>
    </row>
    <row r="1196" spans="16:39" x14ac:dyDescent="0.25">
      <c r="P1196" s="49"/>
      <c r="Q1196" s="1"/>
      <c r="S1196" s="1"/>
      <c r="T1196" s="1"/>
      <c r="U1196" s="1"/>
      <c r="V1196" s="1"/>
      <c r="W1196" s="1"/>
      <c r="X1196" s="1"/>
      <c r="Y1196" s="1"/>
      <c r="AB1196" s="1"/>
      <c r="AC1196" s="1"/>
      <c r="AD1196" s="1"/>
      <c r="AE1196" s="1"/>
      <c r="AF1196" s="1"/>
      <c r="AG1196" s="1"/>
      <c r="AH1196" s="1"/>
      <c r="AI1196" s="1"/>
      <c r="AJ1196" s="1"/>
      <c r="AK1196" s="1"/>
      <c r="AL1196" s="1"/>
      <c r="AM1196" s="1"/>
    </row>
    <row r="1197" spans="16:39" x14ac:dyDescent="0.25">
      <c r="P1197" s="49"/>
      <c r="Q1197" s="1"/>
      <c r="S1197" s="1"/>
      <c r="T1197" s="1"/>
      <c r="U1197" s="1"/>
      <c r="V1197" s="1"/>
      <c r="W1197" s="1"/>
      <c r="X1197" s="1"/>
      <c r="Y1197" s="1"/>
      <c r="AB1197" s="1"/>
      <c r="AC1197" s="1"/>
      <c r="AD1197" s="1"/>
      <c r="AE1197" s="1"/>
      <c r="AF1197" s="1"/>
      <c r="AG1197" s="1"/>
      <c r="AH1197" s="1"/>
      <c r="AI1197" s="1"/>
      <c r="AJ1197" s="1"/>
      <c r="AK1197" s="1"/>
      <c r="AL1197" s="1"/>
      <c r="AM1197" s="1"/>
    </row>
    <row r="1198" spans="16:39" x14ac:dyDescent="0.25">
      <c r="P1198" s="49"/>
      <c r="Q1198" s="1"/>
      <c r="S1198" s="1"/>
      <c r="T1198" s="1"/>
      <c r="U1198" s="1"/>
      <c r="V1198" s="1"/>
      <c r="W1198" s="1"/>
      <c r="X1198" s="1"/>
      <c r="Y1198" s="1"/>
      <c r="AB1198" s="1"/>
      <c r="AC1198" s="1"/>
      <c r="AD1198" s="1"/>
      <c r="AE1198" s="1"/>
      <c r="AF1198" s="1"/>
      <c r="AG1198" s="1"/>
      <c r="AH1198" s="1"/>
      <c r="AI1198" s="1"/>
      <c r="AJ1198" s="1"/>
      <c r="AK1198" s="1"/>
      <c r="AL1198" s="1"/>
      <c r="AM1198" s="1"/>
    </row>
    <row r="1199" spans="16:39" x14ac:dyDescent="0.25">
      <c r="P1199" s="49"/>
      <c r="Q1199" s="1"/>
      <c r="S1199" s="1"/>
      <c r="T1199" s="1"/>
      <c r="U1199" s="1"/>
      <c r="V1199" s="1"/>
      <c r="W1199" s="1"/>
      <c r="X1199" s="1"/>
      <c r="Y1199" s="1"/>
      <c r="AB1199" s="1"/>
      <c r="AC1199" s="1"/>
      <c r="AD1199" s="1"/>
      <c r="AE1199" s="1"/>
      <c r="AF1199" s="1"/>
      <c r="AG1199" s="1"/>
      <c r="AH1199" s="1"/>
      <c r="AI1199" s="1"/>
      <c r="AJ1199" s="1"/>
      <c r="AK1199" s="1"/>
      <c r="AL1199" s="1"/>
      <c r="AM1199" s="1"/>
    </row>
    <row r="1200" spans="16:39" x14ac:dyDescent="0.25">
      <c r="P1200" s="49"/>
      <c r="Q1200" s="1"/>
      <c r="S1200" s="1"/>
      <c r="T1200" s="1"/>
      <c r="U1200" s="1"/>
      <c r="V1200" s="1"/>
      <c r="W1200" s="1"/>
      <c r="X1200" s="1"/>
      <c r="Y1200" s="1"/>
      <c r="AB1200" s="1"/>
      <c r="AC1200" s="1"/>
      <c r="AD1200" s="1"/>
      <c r="AE1200" s="1"/>
      <c r="AF1200" s="1"/>
      <c r="AG1200" s="1"/>
      <c r="AH1200" s="1"/>
      <c r="AI1200" s="1"/>
      <c r="AJ1200" s="1"/>
      <c r="AK1200" s="1"/>
      <c r="AL1200" s="1"/>
      <c r="AM1200" s="1"/>
    </row>
    <row r="1201" spans="16:39" x14ac:dyDescent="0.25">
      <c r="P1201" s="49"/>
      <c r="Q1201" s="1"/>
      <c r="S1201" s="1"/>
      <c r="T1201" s="1"/>
      <c r="U1201" s="1"/>
      <c r="V1201" s="1"/>
      <c r="W1201" s="1"/>
      <c r="X1201" s="1"/>
      <c r="Y1201" s="1"/>
      <c r="AB1201" s="1"/>
      <c r="AC1201" s="1"/>
      <c r="AD1201" s="1"/>
      <c r="AE1201" s="1"/>
      <c r="AF1201" s="1"/>
      <c r="AG1201" s="1"/>
      <c r="AH1201" s="1"/>
      <c r="AI1201" s="1"/>
      <c r="AJ1201" s="1"/>
      <c r="AK1201" s="1"/>
      <c r="AL1201" s="1"/>
      <c r="AM1201" s="1"/>
    </row>
    <row r="1202" spans="16:39" x14ac:dyDescent="0.25">
      <c r="P1202" s="49"/>
      <c r="Q1202" s="1"/>
      <c r="S1202" s="1"/>
      <c r="T1202" s="1"/>
      <c r="U1202" s="1"/>
      <c r="V1202" s="1"/>
      <c r="W1202" s="1"/>
      <c r="X1202" s="1"/>
      <c r="Y1202" s="1"/>
      <c r="AB1202" s="1"/>
      <c r="AC1202" s="1"/>
      <c r="AD1202" s="1"/>
      <c r="AE1202" s="1"/>
      <c r="AF1202" s="1"/>
      <c r="AG1202" s="1"/>
      <c r="AH1202" s="1"/>
      <c r="AI1202" s="1"/>
      <c r="AJ1202" s="1"/>
      <c r="AK1202" s="1"/>
      <c r="AL1202" s="1"/>
      <c r="AM1202" s="1"/>
    </row>
    <row r="1203" spans="16:39" x14ac:dyDescent="0.25">
      <c r="P1203" s="49"/>
      <c r="Q1203" s="1"/>
      <c r="S1203" s="1"/>
      <c r="T1203" s="1"/>
      <c r="U1203" s="1"/>
      <c r="V1203" s="1"/>
      <c r="W1203" s="1"/>
      <c r="X1203" s="1"/>
      <c r="Y1203" s="1"/>
      <c r="AB1203" s="1"/>
      <c r="AC1203" s="1"/>
      <c r="AD1203" s="1"/>
      <c r="AE1203" s="1"/>
      <c r="AF1203" s="1"/>
      <c r="AG1203" s="1"/>
      <c r="AH1203" s="1"/>
      <c r="AI1203" s="1"/>
      <c r="AJ1203" s="1"/>
      <c r="AK1203" s="1"/>
      <c r="AL1203" s="1"/>
      <c r="AM1203" s="1"/>
    </row>
    <row r="1204" spans="16:39" x14ac:dyDescent="0.25">
      <c r="P1204" s="49"/>
      <c r="Q1204" s="1"/>
      <c r="S1204" s="1"/>
      <c r="T1204" s="1"/>
      <c r="U1204" s="1"/>
      <c r="V1204" s="1"/>
      <c r="W1204" s="1"/>
      <c r="X1204" s="1"/>
      <c r="Y1204" s="1"/>
      <c r="AB1204" s="1"/>
      <c r="AC1204" s="1"/>
      <c r="AD1204" s="1"/>
      <c r="AE1204" s="1"/>
      <c r="AF1204" s="1"/>
      <c r="AG1204" s="1"/>
      <c r="AH1204" s="1"/>
      <c r="AI1204" s="1"/>
      <c r="AJ1204" s="1"/>
      <c r="AK1204" s="1"/>
      <c r="AL1204" s="1"/>
      <c r="AM1204" s="1"/>
    </row>
    <row r="1205" spans="16:39" x14ac:dyDescent="0.25">
      <c r="P1205" s="49"/>
      <c r="Q1205" s="1"/>
      <c r="S1205" s="1"/>
      <c r="T1205" s="1"/>
      <c r="U1205" s="1"/>
      <c r="V1205" s="1"/>
      <c r="W1205" s="1"/>
      <c r="X1205" s="1"/>
      <c r="Y1205" s="1"/>
      <c r="AB1205" s="1"/>
      <c r="AC1205" s="1"/>
      <c r="AD1205" s="1"/>
      <c r="AE1205" s="1"/>
      <c r="AF1205" s="1"/>
      <c r="AG1205" s="1"/>
      <c r="AH1205" s="1"/>
      <c r="AI1205" s="1"/>
      <c r="AJ1205" s="1"/>
      <c r="AK1205" s="1"/>
      <c r="AL1205" s="1"/>
      <c r="AM1205" s="1"/>
    </row>
    <row r="1206" spans="16:39" x14ac:dyDescent="0.25">
      <c r="P1206" s="49"/>
      <c r="Q1206" s="1"/>
      <c r="S1206" s="1"/>
      <c r="T1206" s="1"/>
      <c r="U1206" s="1"/>
      <c r="V1206" s="1"/>
      <c r="W1206" s="1"/>
      <c r="X1206" s="1"/>
      <c r="Y1206" s="1"/>
      <c r="AB1206" s="1"/>
      <c r="AC1206" s="1"/>
      <c r="AD1206" s="1"/>
      <c r="AE1206" s="1"/>
      <c r="AF1206" s="1"/>
      <c r="AG1206" s="1"/>
      <c r="AH1206" s="1"/>
      <c r="AI1206" s="1"/>
      <c r="AJ1206" s="1"/>
      <c r="AK1206" s="1"/>
      <c r="AL1206" s="1"/>
      <c r="AM1206" s="1"/>
    </row>
    <row r="1207" spans="16:39" x14ac:dyDescent="0.25">
      <c r="P1207" s="49"/>
      <c r="Q1207" s="1"/>
      <c r="S1207" s="1"/>
      <c r="T1207" s="1"/>
      <c r="U1207" s="1"/>
      <c r="V1207" s="1"/>
      <c r="W1207" s="1"/>
      <c r="X1207" s="1"/>
      <c r="Y1207" s="1"/>
      <c r="AB1207" s="1"/>
      <c r="AC1207" s="1"/>
      <c r="AD1207" s="1"/>
      <c r="AE1207" s="1"/>
      <c r="AF1207" s="1"/>
      <c r="AG1207" s="1"/>
      <c r="AH1207" s="1"/>
      <c r="AI1207" s="1"/>
      <c r="AJ1207" s="1"/>
      <c r="AK1207" s="1"/>
      <c r="AL1207" s="1"/>
      <c r="AM1207" s="1"/>
    </row>
    <row r="1208" spans="16:39" x14ac:dyDescent="0.25">
      <c r="P1208" s="49"/>
      <c r="Q1208" s="1"/>
      <c r="S1208" s="1"/>
      <c r="T1208" s="1"/>
      <c r="U1208" s="1"/>
      <c r="V1208" s="1"/>
      <c r="W1208" s="1"/>
      <c r="X1208" s="1"/>
      <c r="Y1208" s="1"/>
      <c r="AB1208" s="1"/>
      <c r="AC1208" s="1"/>
      <c r="AD1208" s="1"/>
      <c r="AE1208" s="1"/>
      <c r="AF1208" s="1"/>
      <c r="AG1208" s="1"/>
      <c r="AH1208" s="1"/>
      <c r="AI1208" s="1"/>
      <c r="AJ1208" s="1"/>
      <c r="AK1208" s="1"/>
      <c r="AL1208" s="1"/>
      <c r="AM1208" s="1"/>
    </row>
    <row r="1209" spans="16:39" x14ac:dyDescent="0.25">
      <c r="P1209" s="49"/>
      <c r="Q1209" s="1"/>
      <c r="S1209" s="1"/>
      <c r="T1209" s="1"/>
      <c r="U1209" s="1"/>
      <c r="V1209" s="1"/>
      <c r="W1209" s="1"/>
      <c r="X1209" s="1"/>
      <c r="Y1209" s="1"/>
      <c r="AB1209" s="1"/>
      <c r="AC1209" s="1"/>
      <c r="AD1209" s="1"/>
      <c r="AE1209" s="1"/>
      <c r="AF1209" s="1"/>
      <c r="AG1209" s="1"/>
      <c r="AH1209" s="1"/>
      <c r="AI1209" s="1"/>
      <c r="AJ1209" s="1"/>
      <c r="AK1209" s="1"/>
      <c r="AL1209" s="1"/>
      <c r="AM1209" s="1"/>
    </row>
    <row r="1210" spans="16:39" x14ac:dyDescent="0.25">
      <c r="P1210" s="49"/>
      <c r="Q1210" s="1"/>
      <c r="S1210" s="1"/>
      <c r="T1210" s="1"/>
      <c r="U1210" s="1"/>
      <c r="V1210" s="1"/>
      <c r="W1210" s="1"/>
      <c r="X1210" s="1"/>
      <c r="Y1210" s="1"/>
      <c r="AB1210" s="1"/>
      <c r="AC1210" s="1"/>
      <c r="AD1210" s="1"/>
      <c r="AE1210" s="1"/>
      <c r="AF1210" s="1"/>
      <c r="AG1210" s="1"/>
      <c r="AH1210" s="1"/>
      <c r="AI1210" s="1"/>
      <c r="AJ1210" s="1"/>
      <c r="AK1210" s="1"/>
      <c r="AL1210" s="1"/>
      <c r="AM1210" s="1"/>
    </row>
    <row r="1211" spans="16:39" x14ac:dyDescent="0.25">
      <c r="P1211" s="49"/>
      <c r="Q1211" s="1"/>
      <c r="S1211" s="1"/>
      <c r="T1211" s="1"/>
      <c r="U1211" s="1"/>
      <c r="V1211" s="1"/>
      <c r="W1211" s="1"/>
      <c r="X1211" s="1"/>
      <c r="Y1211" s="1"/>
      <c r="AB1211" s="1"/>
      <c r="AC1211" s="1"/>
      <c r="AD1211" s="1"/>
      <c r="AE1211" s="1"/>
      <c r="AF1211" s="1"/>
      <c r="AG1211" s="1"/>
      <c r="AH1211" s="1"/>
      <c r="AI1211" s="1"/>
      <c r="AJ1211" s="1"/>
      <c r="AK1211" s="1"/>
      <c r="AL1211" s="1"/>
      <c r="AM1211" s="1"/>
    </row>
    <row r="1212" spans="16:39" x14ac:dyDescent="0.25">
      <c r="P1212" s="49"/>
      <c r="Q1212" s="1"/>
      <c r="S1212" s="1"/>
      <c r="T1212" s="1"/>
      <c r="U1212" s="1"/>
      <c r="V1212" s="1"/>
      <c r="W1212" s="1"/>
      <c r="X1212" s="1"/>
      <c r="Y1212" s="1"/>
      <c r="AB1212" s="1"/>
      <c r="AC1212" s="1"/>
      <c r="AD1212" s="1"/>
      <c r="AE1212" s="1"/>
      <c r="AF1212" s="1"/>
      <c r="AG1212" s="1"/>
      <c r="AH1212" s="1"/>
      <c r="AI1212" s="1"/>
      <c r="AJ1212" s="1"/>
      <c r="AK1212" s="1"/>
      <c r="AL1212" s="1"/>
      <c r="AM1212" s="1"/>
    </row>
    <row r="1213" spans="16:39" x14ac:dyDescent="0.25">
      <c r="P1213" s="49"/>
      <c r="Q1213" s="1"/>
      <c r="S1213" s="1"/>
      <c r="T1213" s="1"/>
      <c r="U1213" s="1"/>
      <c r="V1213" s="1"/>
      <c r="W1213" s="1"/>
      <c r="X1213" s="1"/>
      <c r="Y1213" s="1"/>
      <c r="AB1213" s="1"/>
      <c r="AC1213" s="1"/>
      <c r="AD1213" s="1"/>
      <c r="AE1213" s="1"/>
      <c r="AF1213" s="1"/>
      <c r="AG1213" s="1"/>
      <c r="AH1213" s="1"/>
      <c r="AI1213" s="1"/>
      <c r="AJ1213" s="1"/>
      <c r="AK1213" s="1"/>
      <c r="AL1213" s="1"/>
      <c r="AM1213" s="1"/>
    </row>
    <row r="1214" spans="16:39" x14ac:dyDescent="0.25">
      <c r="P1214" s="49"/>
      <c r="Q1214" s="1"/>
      <c r="S1214" s="1"/>
      <c r="T1214" s="1"/>
      <c r="U1214" s="1"/>
      <c r="V1214" s="1"/>
      <c r="W1214" s="1"/>
      <c r="X1214" s="1"/>
      <c r="Y1214" s="1"/>
      <c r="AB1214" s="1"/>
      <c r="AC1214" s="1"/>
      <c r="AD1214" s="1"/>
      <c r="AE1214" s="1"/>
      <c r="AF1214" s="1"/>
      <c r="AG1214" s="1"/>
      <c r="AH1214" s="1"/>
      <c r="AI1214" s="1"/>
      <c r="AJ1214" s="1"/>
      <c r="AK1214" s="1"/>
      <c r="AL1214" s="1"/>
      <c r="AM1214" s="1"/>
    </row>
    <row r="1215" spans="16:39" x14ac:dyDescent="0.25">
      <c r="P1215" s="49"/>
      <c r="Q1215" s="1"/>
      <c r="S1215" s="1"/>
      <c r="T1215" s="1"/>
      <c r="U1215" s="1"/>
      <c r="V1215" s="1"/>
      <c r="W1215" s="1"/>
      <c r="X1215" s="1"/>
      <c r="Y1215" s="1"/>
      <c r="AB1215" s="1"/>
      <c r="AC1215" s="1"/>
      <c r="AD1215" s="1"/>
      <c r="AE1215" s="1"/>
      <c r="AF1215" s="1"/>
      <c r="AG1215" s="1"/>
      <c r="AH1215" s="1"/>
      <c r="AI1215" s="1"/>
      <c r="AJ1215" s="1"/>
      <c r="AK1215" s="1"/>
      <c r="AL1215" s="1"/>
      <c r="AM1215" s="1"/>
    </row>
    <row r="1216" spans="16:39" x14ac:dyDescent="0.25">
      <c r="P1216" s="49"/>
      <c r="Q1216" s="1"/>
      <c r="S1216" s="1"/>
      <c r="T1216" s="1"/>
      <c r="U1216" s="1"/>
      <c r="V1216" s="1"/>
      <c r="W1216" s="1"/>
      <c r="X1216" s="1"/>
      <c r="Y1216" s="1"/>
      <c r="AB1216" s="1"/>
      <c r="AC1216" s="1"/>
      <c r="AD1216" s="1"/>
      <c r="AE1216" s="1"/>
      <c r="AF1216" s="1"/>
      <c r="AG1216" s="1"/>
      <c r="AH1216" s="1"/>
      <c r="AI1216" s="1"/>
      <c r="AJ1216" s="1"/>
      <c r="AK1216" s="1"/>
      <c r="AL1216" s="1"/>
      <c r="AM1216" s="1"/>
    </row>
    <row r="1217" spans="16:39" x14ac:dyDescent="0.25">
      <c r="P1217" s="49"/>
      <c r="Q1217" s="1"/>
      <c r="S1217" s="1"/>
      <c r="T1217" s="1"/>
      <c r="U1217" s="1"/>
      <c r="V1217" s="1"/>
      <c r="W1217" s="1"/>
      <c r="X1217" s="1"/>
      <c r="Y1217" s="1"/>
      <c r="AB1217" s="1"/>
      <c r="AC1217" s="1"/>
      <c r="AD1217" s="1"/>
      <c r="AE1217" s="1"/>
      <c r="AF1217" s="1"/>
      <c r="AG1217" s="1"/>
      <c r="AH1217" s="1"/>
      <c r="AI1217" s="1"/>
      <c r="AJ1217" s="1"/>
      <c r="AK1217" s="1"/>
      <c r="AL1217" s="1"/>
      <c r="AM1217" s="1"/>
    </row>
    <row r="1218" spans="16:39" x14ac:dyDescent="0.25">
      <c r="P1218" s="49"/>
      <c r="Q1218" s="1"/>
      <c r="S1218" s="1"/>
      <c r="T1218" s="1"/>
      <c r="U1218" s="1"/>
      <c r="V1218" s="1"/>
      <c r="W1218" s="1"/>
      <c r="X1218" s="1"/>
      <c r="Y1218" s="1"/>
      <c r="AB1218" s="1"/>
      <c r="AC1218" s="1"/>
      <c r="AD1218" s="1"/>
      <c r="AE1218" s="1"/>
      <c r="AF1218" s="1"/>
      <c r="AG1218" s="1"/>
      <c r="AH1218" s="1"/>
      <c r="AI1218" s="1"/>
      <c r="AJ1218" s="1"/>
      <c r="AK1218" s="1"/>
      <c r="AL1218" s="1"/>
      <c r="AM1218" s="1"/>
    </row>
    <row r="1219" spans="16:39" x14ac:dyDescent="0.25">
      <c r="P1219" s="49"/>
      <c r="Q1219" s="1"/>
      <c r="S1219" s="1"/>
      <c r="T1219" s="1"/>
      <c r="U1219" s="1"/>
      <c r="V1219" s="1"/>
      <c r="W1219" s="1"/>
      <c r="X1219" s="1"/>
      <c r="Y1219" s="1"/>
      <c r="AB1219" s="1"/>
      <c r="AC1219" s="1"/>
      <c r="AD1219" s="1"/>
      <c r="AE1219" s="1"/>
      <c r="AF1219" s="1"/>
      <c r="AG1219" s="1"/>
      <c r="AH1219" s="1"/>
      <c r="AI1219" s="1"/>
      <c r="AJ1219" s="1"/>
      <c r="AK1219" s="1"/>
      <c r="AL1219" s="1"/>
      <c r="AM1219" s="1"/>
    </row>
    <row r="1220" spans="16:39" x14ac:dyDescent="0.25">
      <c r="P1220" s="49"/>
      <c r="Q1220" s="1"/>
      <c r="S1220" s="1"/>
      <c r="T1220" s="1"/>
      <c r="U1220" s="1"/>
      <c r="V1220" s="1"/>
      <c r="W1220" s="1"/>
      <c r="X1220" s="1"/>
      <c r="Y1220" s="1"/>
      <c r="AB1220" s="1"/>
      <c r="AC1220" s="1"/>
      <c r="AD1220" s="1"/>
      <c r="AE1220" s="1"/>
      <c r="AF1220" s="1"/>
      <c r="AG1220" s="1"/>
      <c r="AH1220" s="1"/>
      <c r="AI1220" s="1"/>
      <c r="AJ1220" s="1"/>
      <c r="AK1220" s="1"/>
      <c r="AL1220" s="1"/>
      <c r="AM1220" s="1"/>
    </row>
    <row r="1221" spans="16:39" x14ac:dyDescent="0.25">
      <c r="P1221" s="49"/>
      <c r="Q1221" s="1"/>
      <c r="S1221" s="1"/>
      <c r="T1221" s="1"/>
      <c r="U1221" s="1"/>
      <c r="V1221" s="1"/>
      <c r="W1221" s="1"/>
      <c r="X1221" s="1"/>
      <c r="Y1221" s="1"/>
      <c r="AB1221" s="1"/>
      <c r="AC1221" s="1"/>
      <c r="AD1221" s="1"/>
      <c r="AE1221" s="1"/>
      <c r="AF1221" s="1"/>
      <c r="AG1221" s="1"/>
      <c r="AH1221" s="1"/>
      <c r="AI1221" s="1"/>
      <c r="AJ1221" s="1"/>
      <c r="AK1221" s="1"/>
      <c r="AL1221" s="1"/>
      <c r="AM1221" s="1"/>
    </row>
    <row r="1222" spans="16:39" x14ac:dyDescent="0.25">
      <c r="P1222" s="49"/>
      <c r="Q1222" s="1"/>
      <c r="S1222" s="1"/>
      <c r="T1222" s="1"/>
      <c r="U1222" s="1"/>
      <c r="V1222" s="1"/>
      <c r="W1222" s="1"/>
      <c r="X1222" s="1"/>
      <c r="Y1222" s="1"/>
      <c r="AB1222" s="1"/>
      <c r="AC1222" s="1"/>
      <c r="AD1222" s="1"/>
      <c r="AE1222" s="1"/>
      <c r="AF1222" s="1"/>
      <c r="AG1222" s="1"/>
      <c r="AH1222" s="1"/>
      <c r="AI1222" s="1"/>
      <c r="AJ1222" s="1"/>
      <c r="AK1222" s="1"/>
      <c r="AL1222" s="1"/>
      <c r="AM1222" s="1"/>
    </row>
    <row r="1223" spans="16:39" x14ac:dyDescent="0.25">
      <c r="P1223" s="49"/>
      <c r="Q1223" s="1"/>
      <c r="S1223" s="1"/>
      <c r="T1223" s="1"/>
      <c r="U1223" s="1"/>
      <c r="V1223" s="1"/>
      <c r="W1223" s="1"/>
      <c r="X1223" s="1"/>
      <c r="Y1223" s="1"/>
      <c r="AB1223" s="1"/>
      <c r="AC1223" s="1"/>
      <c r="AD1223" s="1"/>
      <c r="AE1223" s="1"/>
      <c r="AF1223" s="1"/>
      <c r="AG1223" s="1"/>
      <c r="AH1223" s="1"/>
      <c r="AI1223" s="1"/>
      <c r="AJ1223" s="1"/>
      <c r="AK1223" s="1"/>
      <c r="AL1223" s="1"/>
      <c r="AM1223" s="1"/>
    </row>
    <row r="1224" spans="16:39" x14ac:dyDescent="0.25">
      <c r="P1224" s="49"/>
      <c r="Q1224" s="1"/>
      <c r="S1224" s="1"/>
      <c r="T1224" s="1"/>
      <c r="U1224" s="1"/>
      <c r="V1224" s="1"/>
      <c r="W1224" s="1"/>
      <c r="X1224" s="1"/>
      <c r="Y1224" s="1"/>
      <c r="AB1224" s="1"/>
      <c r="AC1224" s="1"/>
      <c r="AD1224" s="1"/>
      <c r="AE1224" s="1"/>
      <c r="AF1224" s="1"/>
      <c r="AG1224" s="1"/>
      <c r="AH1224" s="1"/>
      <c r="AI1224" s="1"/>
      <c r="AJ1224" s="1"/>
      <c r="AK1224" s="1"/>
      <c r="AL1224" s="1"/>
      <c r="AM1224" s="1"/>
    </row>
    <row r="1225" spans="16:39" x14ac:dyDescent="0.25">
      <c r="P1225" s="49"/>
      <c r="Q1225" s="1"/>
      <c r="S1225" s="1"/>
      <c r="T1225" s="1"/>
      <c r="U1225" s="1"/>
      <c r="V1225" s="1"/>
      <c r="W1225" s="1"/>
      <c r="X1225" s="1"/>
      <c r="Y1225" s="1"/>
      <c r="AB1225" s="1"/>
      <c r="AC1225" s="1"/>
      <c r="AD1225" s="1"/>
      <c r="AE1225" s="1"/>
      <c r="AF1225" s="1"/>
      <c r="AG1225" s="1"/>
      <c r="AH1225" s="1"/>
      <c r="AI1225" s="1"/>
      <c r="AJ1225" s="1"/>
      <c r="AK1225" s="1"/>
      <c r="AL1225" s="1"/>
      <c r="AM1225" s="1"/>
    </row>
    <row r="1226" spans="16:39" x14ac:dyDescent="0.25">
      <c r="P1226" s="49"/>
      <c r="Q1226" s="1"/>
      <c r="S1226" s="1"/>
      <c r="T1226" s="1"/>
      <c r="U1226" s="1"/>
      <c r="V1226" s="1"/>
      <c r="W1226" s="1"/>
      <c r="X1226" s="1"/>
      <c r="Y1226" s="1"/>
      <c r="AB1226" s="1"/>
      <c r="AC1226" s="1"/>
      <c r="AD1226" s="1"/>
      <c r="AE1226" s="1"/>
      <c r="AF1226" s="1"/>
      <c r="AG1226" s="1"/>
      <c r="AH1226" s="1"/>
      <c r="AI1226" s="1"/>
      <c r="AJ1226" s="1"/>
      <c r="AK1226" s="1"/>
      <c r="AL1226" s="1"/>
      <c r="AM1226" s="1"/>
    </row>
    <row r="1227" spans="16:39" x14ac:dyDescent="0.25">
      <c r="P1227" s="49"/>
      <c r="Q1227" s="1"/>
      <c r="S1227" s="1"/>
      <c r="T1227" s="1"/>
      <c r="U1227" s="1"/>
      <c r="V1227" s="1"/>
      <c r="W1227" s="1"/>
      <c r="X1227" s="1"/>
      <c r="Y1227" s="1"/>
      <c r="AB1227" s="1"/>
      <c r="AC1227" s="1"/>
      <c r="AD1227" s="1"/>
      <c r="AE1227" s="1"/>
      <c r="AF1227" s="1"/>
      <c r="AG1227" s="1"/>
      <c r="AH1227" s="1"/>
      <c r="AI1227" s="1"/>
      <c r="AJ1227" s="1"/>
      <c r="AK1227" s="1"/>
      <c r="AL1227" s="1"/>
      <c r="AM1227" s="1"/>
    </row>
    <row r="1228" spans="16:39" x14ac:dyDescent="0.25">
      <c r="P1228" s="49"/>
      <c r="Q1228" s="1"/>
      <c r="S1228" s="1"/>
      <c r="T1228" s="1"/>
      <c r="U1228" s="1"/>
      <c r="V1228" s="1"/>
      <c r="W1228" s="1"/>
      <c r="X1228" s="1"/>
      <c r="Y1228" s="1"/>
      <c r="AB1228" s="1"/>
      <c r="AC1228" s="1"/>
      <c r="AD1228" s="1"/>
      <c r="AE1228" s="1"/>
      <c r="AF1228" s="1"/>
      <c r="AG1228" s="1"/>
      <c r="AH1228" s="1"/>
      <c r="AI1228" s="1"/>
      <c r="AJ1228" s="1"/>
      <c r="AK1228" s="1"/>
      <c r="AL1228" s="1"/>
      <c r="AM1228" s="1"/>
    </row>
    <row r="1229" spans="16:39" x14ac:dyDescent="0.25">
      <c r="P1229" s="49"/>
      <c r="Q1229" s="1"/>
      <c r="S1229" s="1"/>
      <c r="T1229" s="1"/>
      <c r="U1229" s="1"/>
      <c r="V1229" s="1"/>
      <c r="W1229" s="1"/>
      <c r="X1229" s="1"/>
      <c r="Y1229" s="1"/>
      <c r="AB1229" s="1"/>
      <c r="AC1229" s="1"/>
      <c r="AD1229" s="1"/>
      <c r="AE1229" s="1"/>
      <c r="AF1229" s="1"/>
      <c r="AG1229" s="1"/>
      <c r="AH1229" s="1"/>
      <c r="AI1229" s="1"/>
      <c r="AJ1229" s="1"/>
      <c r="AK1229" s="1"/>
      <c r="AL1229" s="1"/>
      <c r="AM1229" s="1"/>
    </row>
    <row r="1230" spans="16:39" x14ac:dyDescent="0.25">
      <c r="P1230" s="49"/>
      <c r="Q1230" s="1"/>
      <c r="S1230" s="1"/>
      <c r="T1230" s="1"/>
      <c r="U1230" s="1"/>
      <c r="V1230" s="1"/>
      <c r="W1230" s="1"/>
      <c r="X1230" s="1"/>
      <c r="Y1230" s="1"/>
      <c r="AB1230" s="1"/>
      <c r="AC1230" s="1"/>
      <c r="AD1230" s="1"/>
      <c r="AE1230" s="1"/>
      <c r="AF1230" s="1"/>
      <c r="AG1230" s="1"/>
      <c r="AH1230" s="1"/>
      <c r="AI1230" s="1"/>
      <c r="AJ1230" s="1"/>
      <c r="AK1230" s="1"/>
      <c r="AL1230" s="1"/>
      <c r="AM1230" s="1"/>
    </row>
    <row r="1231" spans="16:39" x14ac:dyDescent="0.25">
      <c r="P1231" s="49"/>
      <c r="Q1231" s="1"/>
      <c r="S1231" s="1"/>
      <c r="T1231" s="1"/>
      <c r="U1231" s="1"/>
      <c r="V1231" s="1"/>
      <c r="W1231" s="1"/>
      <c r="X1231" s="1"/>
      <c r="Y1231" s="1"/>
      <c r="AB1231" s="1"/>
      <c r="AC1231" s="1"/>
      <c r="AD1231" s="1"/>
      <c r="AE1231" s="1"/>
      <c r="AF1231" s="1"/>
      <c r="AG1231" s="1"/>
      <c r="AH1231" s="1"/>
      <c r="AI1231" s="1"/>
      <c r="AJ1231" s="1"/>
      <c r="AK1231" s="1"/>
      <c r="AL1231" s="1"/>
      <c r="AM1231" s="1"/>
    </row>
    <row r="1232" spans="16:39" x14ac:dyDescent="0.25">
      <c r="P1232" s="49"/>
      <c r="Q1232" s="1"/>
      <c r="S1232" s="1"/>
      <c r="T1232" s="1"/>
      <c r="U1232" s="1"/>
      <c r="V1232" s="1"/>
      <c r="W1232" s="1"/>
      <c r="X1232" s="1"/>
      <c r="Y1232" s="1"/>
      <c r="AB1232" s="1"/>
      <c r="AC1232" s="1"/>
      <c r="AD1232" s="1"/>
      <c r="AE1232" s="1"/>
      <c r="AF1232" s="1"/>
      <c r="AG1232" s="1"/>
      <c r="AH1232" s="1"/>
      <c r="AI1232" s="1"/>
      <c r="AJ1232" s="1"/>
      <c r="AK1232" s="1"/>
      <c r="AL1232" s="1"/>
      <c r="AM1232" s="1"/>
    </row>
    <row r="1233" spans="16:39" x14ac:dyDescent="0.25">
      <c r="P1233" s="49"/>
      <c r="Q1233" s="1"/>
      <c r="S1233" s="1"/>
      <c r="T1233" s="1"/>
      <c r="U1233" s="1"/>
      <c r="V1233" s="1"/>
      <c r="W1233" s="1"/>
      <c r="X1233" s="1"/>
      <c r="Y1233" s="1"/>
      <c r="AB1233" s="1"/>
      <c r="AC1233" s="1"/>
      <c r="AD1233" s="1"/>
      <c r="AE1233" s="1"/>
      <c r="AF1233" s="1"/>
      <c r="AG1233" s="1"/>
      <c r="AH1233" s="1"/>
      <c r="AI1233" s="1"/>
      <c r="AJ1233" s="1"/>
      <c r="AK1233" s="1"/>
      <c r="AL1233" s="1"/>
      <c r="AM1233" s="1"/>
    </row>
    <row r="1234" spans="16:39" x14ac:dyDescent="0.25">
      <c r="P1234" s="49"/>
      <c r="Q1234" s="1"/>
      <c r="S1234" s="1"/>
      <c r="T1234" s="1"/>
      <c r="U1234" s="1"/>
      <c r="V1234" s="1"/>
      <c r="W1234" s="1"/>
      <c r="X1234" s="1"/>
      <c r="Y1234" s="1"/>
      <c r="AB1234" s="1"/>
      <c r="AC1234" s="1"/>
      <c r="AD1234" s="1"/>
      <c r="AE1234" s="1"/>
      <c r="AF1234" s="1"/>
      <c r="AG1234" s="1"/>
      <c r="AH1234" s="1"/>
      <c r="AI1234" s="1"/>
      <c r="AJ1234" s="1"/>
      <c r="AK1234" s="1"/>
      <c r="AL1234" s="1"/>
      <c r="AM1234" s="1"/>
    </row>
    <row r="1235" spans="16:39" x14ac:dyDescent="0.25">
      <c r="P1235" s="49"/>
      <c r="Q1235" s="1"/>
      <c r="S1235" s="1"/>
      <c r="T1235" s="1"/>
      <c r="U1235" s="1"/>
      <c r="V1235" s="1"/>
      <c r="W1235" s="1"/>
      <c r="X1235" s="1"/>
      <c r="Y1235" s="1"/>
      <c r="AB1235" s="1"/>
      <c r="AC1235" s="1"/>
      <c r="AD1235" s="1"/>
      <c r="AE1235" s="1"/>
      <c r="AF1235" s="1"/>
      <c r="AG1235" s="1"/>
      <c r="AH1235" s="1"/>
      <c r="AI1235" s="1"/>
      <c r="AJ1235" s="1"/>
      <c r="AK1235" s="1"/>
      <c r="AL1235" s="1"/>
      <c r="AM1235" s="1"/>
    </row>
    <row r="1236" spans="16:39" x14ac:dyDescent="0.25">
      <c r="P1236" s="49"/>
      <c r="Q1236" s="1"/>
      <c r="S1236" s="1"/>
      <c r="T1236" s="1"/>
      <c r="U1236" s="1"/>
      <c r="V1236" s="1"/>
      <c r="W1236" s="1"/>
      <c r="X1236" s="1"/>
      <c r="Y1236" s="1"/>
      <c r="AB1236" s="1"/>
      <c r="AC1236" s="1"/>
      <c r="AD1236" s="1"/>
      <c r="AE1236" s="1"/>
      <c r="AF1236" s="1"/>
      <c r="AG1236" s="1"/>
      <c r="AH1236" s="1"/>
      <c r="AI1236" s="1"/>
      <c r="AJ1236" s="1"/>
      <c r="AK1236" s="1"/>
      <c r="AL1236" s="1"/>
      <c r="AM1236" s="1"/>
    </row>
    <row r="1237" spans="16:39" x14ac:dyDescent="0.25">
      <c r="P1237" s="49"/>
      <c r="Q1237" s="1"/>
      <c r="S1237" s="1"/>
      <c r="T1237" s="1"/>
      <c r="U1237" s="1"/>
      <c r="V1237" s="1"/>
      <c r="W1237" s="1"/>
      <c r="X1237" s="1"/>
      <c r="Y1237" s="1"/>
      <c r="AB1237" s="1"/>
      <c r="AC1237" s="1"/>
      <c r="AD1237" s="1"/>
      <c r="AE1237" s="1"/>
      <c r="AF1237" s="1"/>
      <c r="AG1237" s="1"/>
      <c r="AH1237" s="1"/>
      <c r="AI1237" s="1"/>
      <c r="AJ1237" s="1"/>
      <c r="AK1237" s="1"/>
      <c r="AL1237" s="1"/>
      <c r="AM1237" s="1"/>
    </row>
    <row r="1238" spans="16:39" x14ac:dyDescent="0.25">
      <c r="P1238" s="49"/>
      <c r="Q1238" s="1"/>
      <c r="S1238" s="1"/>
      <c r="T1238" s="1"/>
      <c r="U1238" s="1"/>
      <c r="V1238" s="1"/>
      <c r="W1238" s="1"/>
      <c r="X1238" s="1"/>
      <c r="Y1238" s="1"/>
      <c r="AB1238" s="1"/>
      <c r="AC1238" s="1"/>
      <c r="AD1238" s="1"/>
      <c r="AE1238" s="1"/>
      <c r="AF1238" s="1"/>
      <c r="AG1238" s="1"/>
      <c r="AH1238" s="1"/>
      <c r="AI1238" s="1"/>
      <c r="AJ1238" s="1"/>
      <c r="AK1238" s="1"/>
      <c r="AL1238" s="1"/>
      <c r="AM1238" s="1"/>
    </row>
    <row r="1239" spans="16:39" x14ac:dyDescent="0.25">
      <c r="P1239" s="49"/>
      <c r="Q1239" s="1"/>
      <c r="S1239" s="1"/>
      <c r="T1239" s="1"/>
      <c r="U1239" s="1"/>
      <c r="V1239" s="1"/>
      <c r="W1239" s="1"/>
      <c r="X1239" s="1"/>
      <c r="Y1239" s="1"/>
      <c r="AB1239" s="1"/>
      <c r="AC1239" s="1"/>
      <c r="AD1239" s="1"/>
      <c r="AE1239" s="1"/>
      <c r="AF1239" s="1"/>
      <c r="AG1239" s="1"/>
      <c r="AH1239" s="1"/>
      <c r="AI1239" s="1"/>
      <c r="AJ1239" s="1"/>
      <c r="AK1239" s="1"/>
      <c r="AL1239" s="1"/>
      <c r="AM1239" s="1"/>
    </row>
    <row r="1240" spans="16:39" x14ac:dyDescent="0.25">
      <c r="P1240" s="49"/>
      <c r="Q1240" s="1"/>
      <c r="S1240" s="1"/>
      <c r="T1240" s="1"/>
      <c r="U1240" s="1"/>
      <c r="V1240" s="1"/>
      <c r="W1240" s="1"/>
      <c r="X1240" s="1"/>
      <c r="Y1240" s="1"/>
      <c r="AB1240" s="1"/>
      <c r="AC1240" s="1"/>
      <c r="AD1240" s="1"/>
      <c r="AE1240" s="1"/>
      <c r="AF1240" s="1"/>
      <c r="AG1240" s="1"/>
      <c r="AH1240" s="1"/>
      <c r="AI1240" s="1"/>
      <c r="AJ1240" s="1"/>
      <c r="AK1240" s="1"/>
      <c r="AL1240" s="1"/>
      <c r="AM1240" s="1"/>
    </row>
    <row r="1241" spans="16:39" x14ac:dyDescent="0.25">
      <c r="P1241" s="49"/>
      <c r="Q1241" s="1"/>
      <c r="S1241" s="1"/>
      <c r="T1241" s="1"/>
      <c r="U1241" s="1"/>
      <c r="V1241" s="1"/>
      <c r="W1241" s="1"/>
      <c r="X1241" s="1"/>
      <c r="Y1241" s="1"/>
      <c r="AB1241" s="1"/>
      <c r="AC1241" s="1"/>
      <c r="AD1241" s="1"/>
      <c r="AE1241" s="1"/>
      <c r="AF1241" s="1"/>
      <c r="AG1241" s="1"/>
      <c r="AH1241" s="1"/>
      <c r="AI1241" s="1"/>
      <c r="AJ1241" s="1"/>
      <c r="AK1241" s="1"/>
      <c r="AL1241" s="1"/>
      <c r="AM1241" s="1"/>
    </row>
    <row r="1242" spans="16:39" x14ac:dyDescent="0.25">
      <c r="P1242" s="49"/>
      <c r="Q1242" s="1"/>
      <c r="S1242" s="1"/>
      <c r="T1242" s="1"/>
      <c r="U1242" s="1"/>
      <c r="V1242" s="1"/>
      <c r="W1242" s="1"/>
      <c r="X1242" s="1"/>
      <c r="Y1242" s="1"/>
      <c r="AB1242" s="1"/>
      <c r="AC1242" s="1"/>
      <c r="AD1242" s="1"/>
      <c r="AE1242" s="1"/>
      <c r="AF1242" s="1"/>
      <c r="AG1242" s="1"/>
      <c r="AH1242" s="1"/>
      <c r="AI1242" s="1"/>
      <c r="AJ1242" s="1"/>
      <c r="AK1242" s="1"/>
      <c r="AL1242" s="1"/>
      <c r="AM1242" s="1"/>
    </row>
    <row r="1243" spans="16:39" x14ac:dyDescent="0.25">
      <c r="P1243" s="49"/>
      <c r="Q1243" s="1"/>
      <c r="S1243" s="1"/>
      <c r="T1243" s="1"/>
      <c r="U1243" s="1"/>
      <c r="V1243" s="1"/>
      <c r="W1243" s="1"/>
      <c r="X1243" s="1"/>
      <c r="Y1243" s="1"/>
      <c r="AB1243" s="1"/>
      <c r="AC1243" s="1"/>
      <c r="AD1243" s="1"/>
      <c r="AE1243" s="1"/>
      <c r="AF1243" s="1"/>
      <c r="AG1243" s="1"/>
      <c r="AH1243" s="1"/>
      <c r="AI1243" s="1"/>
      <c r="AJ1243" s="1"/>
      <c r="AK1243" s="1"/>
      <c r="AL1243" s="1"/>
      <c r="AM1243" s="1"/>
    </row>
    <row r="1244" spans="16:39" x14ac:dyDescent="0.25">
      <c r="P1244" s="49"/>
      <c r="Q1244" s="1"/>
      <c r="S1244" s="1"/>
      <c r="T1244" s="1"/>
      <c r="U1244" s="1"/>
      <c r="V1244" s="1"/>
      <c r="W1244" s="1"/>
      <c r="X1244" s="1"/>
      <c r="Y1244" s="1"/>
      <c r="AB1244" s="1"/>
      <c r="AC1244" s="1"/>
      <c r="AD1244" s="1"/>
      <c r="AE1244" s="1"/>
      <c r="AF1244" s="1"/>
      <c r="AG1244" s="1"/>
      <c r="AH1244" s="1"/>
      <c r="AI1244" s="1"/>
      <c r="AJ1244" s="1"/>
      <c r="AK1244" s="1"/>
      <c r="AL1244" s="1"/>
      <c r="AM1244" s="1"/>
    </row>
    <row r="1245" spans="16:39" x14ac:dyDescent="0.25">
      <c r="P1245" s="49"/>
      <c r="Q1245" s="1"/>
      <c r="S1245" s="1"/>
      <c r="T1245" s="1"/>
      <c r="U1245" s="1"/>
      <c r="V1245" s="1"/>
      <c r="W1245" s="1"/>
      <c r="X1245" s="1"/>
      <c r="Y1245" s="1"/>
      <c r="AB1245" s="1"/>
      <c r="AC1245" s="1"/>
      <c r="AD1245" s="1"/>
      <c r="AE1245" s="1"/>
      <c r="AF1245" s="1"/>
      <c r="AG1245" s="1"/>
      <c r="AH1245" s="1"/>
      <c r="AI1245" s="1"/>
      <c r="AJ1245" s="1"/>
      <c r="AK1245" s="1"/>
      <c r="AL1245" s="1"/>
      <c r="AM1245" s="1"/>
    </row>
    <row r="1246" spans="16:39" x14ac:dyDescent="0.25">
      <c r="P1246" s="49"/>
      <c r="Q1246" s="1"/>
      <c r="S1246" s="1"/>
      <c r="T1246" s="1"/>
      <c r="U1246" s="1"/>
      <c r="V1246" s="1"/>
      <c r="W1246" s="1"/>
      <c r="X1246" s="1"/>
      <c r="Y1246" s="1"/>
      <c r="AB1246" s="1"/>
      <c r="AC1246" s="1"/>
      <c r="AD1246" s="1"/>
      <c r="AE1246" s="1"/>
      <c r="AF1246" s="1"/>
      <c r="AG1246" s="1"/>
      <c r="AH1246" s="1"/>
      <c r="AI1246" s="1"/>
      <c r="AJ1246" s="1"/>
      <c r="AK1246" s="1"/>
      <c r="AL1246" s="1"/>
      <c r="AM1246" s="1"/>
    </row>
    <row r="1247" spans="16:39" x14ac:dyDescent="0.25">
      <c r="P1247" s="49"/>
      <c r="Q1247" s="1"/>
      <c r="S1247" s="1"/>
      <c r="T1247" s="1"/>
      <c r="U1247" s="1"/>
      <c r="V1247" s="1"/>
      <c r="W1247" s="1"/>
      <c r="X1247" s="1"/>
      <c r="Y1247" s="1"/>
      <c r="AB1247" s="1"/>
      <c r="AC1247" s="1"/>
      <c r="AD1247" s="1"/>
      <c r="AE1247" s="1"/>
      <c r="AF1247" s="1"/>
      <c r="AG1247" s="1"/>
      <c r="AH1247" s="1"/>
      <c r="AI1247" s="1"/>
      <c r="AJ1247" s="1"/>
      <c r="AK1247" s="1"/>
      <c r="AL1247" s="1"/>
      <c r="AM1247" s="1"/>
    </row>
    <row r="1248" spans="16:39" x14ac:dyDescent="0.25">
      <c r="P1248" s="49"/>
      <c r="Q1248" s="1"/>
      <c r="S1248" s="1"/>
      <c r="T1248" s="1"/>
      <c r="U1248" s="1"/>
      <c r="V1248" s="1"/>
      <c r="W1248" s="1"/>
      <c r="X1248" s="1"/>
      <c r="Y1248" s="1"/>
      <c r="AB1248" s="1"/>
      <c r="AC1248" s="1"/>
      <c r="AD1248" s="1"/>
      <c r="AE1248" s="1"/>
      <c r="AF1248" s="1"/>
      <c r="AG1248" s="1"/>
      <c r="AH1248" s="1"/>
      <c r="AI1248" s="1"/>
      <c r="AJ1248" s="1"/>
      <c r="AK1248" s="1"/>
      <c r="AL1248" s="1"/>
      <c r="AM1248" s="1"/>
    </row>
    <row r="1249" spans="16:39" x14ac:dyDescent="0.25">
      <c r="P1249" s="49"/>
      <c r="Q1249" s="1"/>
      <c r="S1249" s="1"/>
      <c r="T1249" s="1"/>
      <c r="U1249" s="1"/>
      <c r="V1249" s="1"/>
      <c r="W1249" s="1"/>
      <c r="X1249" s="1"/>
      <c r="Y1249" s="1"/>
      <c r="AB1249" s="1"/>
      <c r="AC1249" s="1"/>
      <c r="AD1249" s="1"/>
      <c r="AE1249" s="1"/>
      <c r="AF1249" s="1"/>
      <c r="AG1249" s="1"/>
      <c r="AH1249" s="1"/>
      <c r="AI1249" s="1"/>
      <c r="AJ1249" s="1"/>
      <c r="AK1249" s="1"/>
      <c r="AL1249" s="1"/>
      <c r="AM1249" s="1"/>
    </row>
    <row r="1250" spans="16:39" x14ac:dyDescent="0.25">
      <c r="P1250" s="49"/>
      <c r="Q1250" s="1"/>
      <c r="S1250" s="1"/>
      <c r="T1250" s="1"/>
      <c r="U1250" s="1"/>
      <c r="V1250" s="1"/>
      <c r="W1250" s="1"/>
      <c r="X1250" s="1"/>
      <c r="Y1250" s="1"/>
      <c r="AB1250" s="1"/>
      <c r="AC1250" s="1"/>
      <c r="AD1250" s="1"/>
      <c r="AE1250" s="1"/>
      <c r="AF1250" s="1"/>
      <c r="AG1250" s="1"/>
      <c r="AH1250" s="1"/>
      <c r="AI1250" s="1"/>
      <c r="AJ1250" s="1"/>
      <c r="AK1250" s="1"/>
      <c r="AL1250" s="1"/>
      <c r="AM1250" s="1"/>
    </row>
    <row r="1251" spans="16:39" x14ac:dyDescent="0.25">
      <c r="P1251" s="49"/>
      <c r="Q1251" s="1"/>
      <c r="S1251" s="1"/>
      <c r="T1251" s="1"/>
      <c r="U1251" s="1"/>
      <c r="V1251" s="1"/>
      <c r="W1251" s="1"/>
      <c r="X1251" s="1"/>
      <c r="Y1251" s="1"/>
      <c r="AB1251" s="1"/>
      <c r="AC1251" s="1"/>
      <c r="AD1251" s="1"/>
      <c r="AE1251" s="1"/>
      <c r="AF1251" s="1"/>
      <c r="AG1251" s="1"/>
      <c r="AH1251" s="1"/>
      <c r="AI1251" s="1"/>
      <c r="AJ1251" s="1"/>
      <c r="AK1251" s="1"/>
      <c r="AL1251" s="1"/>
      <c r="AM1251" s="1"/>
    </row>
    <row r="1252" spans="16:39" x14ac:dyDescent="0.25">
      <c r="P1252" s="49"/>
      <c r="Q1252" s="1"/>
      <c r="S1252" s="1"/>
      <c r="T1252" s="1"/>
      <c r="U1252" s="1"/>
      <c r="V1252" s="1"/>
      <c r="W1252" s="1"/>
      <c r="X1252" s="1"/>
      <c r="Y1252" s="1"/>
      <c r="AB1252" s="1"/>
      <c r="AC1252" s="1"/>
      <c r="AD1252" s="1"/>
      <c r="AE1252" s="1"/>
      <c r="AF1252" s="1"/>
      <c r="AG1252" s="1"/>
      <c r="AH1252" s="1"/>
      <c r="AI1252" s="1"/>
      <c r="AJ1252" s="1"/>
      <c r="AK1252" s="1"/>
      <c r="AL1252" s="1"/>
      <c r="AM1252" s="1"/>
    </row>
    <row r="1253" spans="16:39" x14ac:dyDescent="0.25">
      <c r="P1253" s="49"/>
      <c r="Q1253" s="1"/>
      <c r="S1253" s="1"/>
      <c r="T1253" s="1"/>
      <c r="U1253" s="1"/>
      <c r="V1253" s="1"/>
      <c r="W1253" s="1"/>
      <c r="X1253" s="1"/>
      <c r="Y1253" s="1"/>
      <c r="AB1253" s="1"/>
      <c r="AC1253" s="1"/>
      <c r="AD1253" s="1"/>
      <c r="AE1253" s="1"/>
      <c r="AF1253" s="1"/>
      <c r="AG1253" s="1"/>
      <c r="AH1253" s="1"/>
      <c r="AI1253" s="1"/>
      <c r="AJ1253" s="1"/>
      <c r="AK1253" s="1"/>
      <c r="AL1253" s="1"/>
      <c r="AM1253" s="1"/>
    </row>
    <row r="1254" spans="16:39" x14ac:dyDescent="0.25">
      <c r="P1254" s="49"/>
      <c r="Q1254" s="1"/>
      <c r="S1254" s="1"/>
      <c r="T1254" s="1"/>
      <c r="U1254" s="1"/>
      <c r="V1254" s="1"/>
      <c r="W1254" s="1"/>
      <c r="X1254" s="1"/>
      <c r="Y1254" s="1"/>
      <c r="AB1254" s="1"/>
      <c r="AC1254" s="1"/>
      <c r="AD1254" s="1"/>
      <c r="AE1254" s="1"/>
      <c r="AF1254" s="1"/>
      <c r="AG1254" s="1"/>
      <c r="AH1254" s="1"/>
      <c r="AI1254" s="1"/>
      <c r="AJ1254" s="1"/>
      <c r="AK1254" s="1"/>
      <c r="AL1254" s="1"/>
      <c r="AM1254" s="1"/>
    </row>
    <row r="1255" spans="16:39" x14ac:dyDescent="0.25">
      <c r="P1255" s="49"/>
      <c r="Q1255" s="1"/>
      <c r="S1255" s="1"/>
      <c r="T1255" s="1"/>
      <c r="U1255" s="1"/>
      <c r="V1255" s="1"/>
      <c r="W1255" s="1"/>
      <c r="X1255" s="1"/>
      <c r="Y1255" s="1"/>
      <c r="AB1255" s="1"/>
      <c r="AC1255" s="1"/>
      <c r="AD1255" s="1"/>
      <c r="AE1255" s="1"/>
      <c r="AF1255" s="1"/>
      <c r="AG1255" s="1"/>
      <c r="AH1255" s="1"/>
      <c r="AI1255" s="1"/>
      <c r="AJ1255" s="1"/>
      <c r="AK1255" s="1"/>
      <c r="AL1255" s="1"/>
      <c r="AM1255" s="1"/>
    </row>
    <row r="1256" spans="16:39" x14ac:dyDescent="0.25">
      <c r="P1256" s="49"/>
      <c r="Q1256" s="1"/>
      <c r="S1256" s="1"/>
      <c r="T1256" s="1"/>
      <c r="U1256" s="1"/>
      <c r="V1256" s="1"/>
      <c r="W1256" s="1"/>
      <c r="X1256" s="1"/>
      <c r="Y1256" s="1"/>
      <c r="AB1256" s="1"/>
      <c r="AC1256" s="1"/>
      <c r="AD1256" s="1"/>
      <c r="AE1256" s="1"/>
      <c r="AF1256" s="1"/>
      <c r="AG1256" s="1"/>
      <c r="AH1256" s="1"/>
      <c r="AI1256" s="1"/>
      <c r="AJ1256" s="1"/>
      <c r="AK1256" s="1"/>
      <c r="AL1256" s="1"/>
      <c r="AM1256" s="1"/>
    </row>
    <row r="1257" spans="16:39" x14ac:dyDescent="0.25">
      <c r="P1257" s="49"/>
      <c r="Q1257" s="1"/>
      <c r="S1257" s="1"/>
      <c r="T1257" s="1"/>
      <c r="U1257" s="1"/>
      <c r="V1257" s="1"/>
      <c r="W1257" s="1"/>
      <c r="X1257" s="1"/>
      <c r="Y1257" s="1"/>
      <c r="AB1257" s="1"/>
      <c r="AC1257" s="1"/>
      <c r="AD1257" s="1"/>
      <c r="AE1257" s="1"/>
      <c r="AF1257" s="1"/>
      <c r="AG1257" s="1"/>
      <c r="AH1257" s="1"/>
      <c r="AI1257" s="1"/>
      <c r="AJ1257" s="1"/>
      <c r="AK1257" s="1"/>
      <c r="AL1257" s="1"/>
      <c r="AM1257" s="1"/>
    </row>
    <row r="1258" spans="16:39" x14ac:dyDescent="0.25">
      <c r="P1258" s="49"/>
      <c r="Q1258" s="1"/>
      <c r="S1258" s="1"/>
      <c r="T1258" s="1"/>
      <c r="U1258" s="1"/>
      <c r="V1258" s="1"/>
      <c r="W1258" s="1"/>
      <c r="X1258" s="1"/>
      <c r="Y1258" s="1"/>
      <c r="AB1258" s="1"/>
      <c r="AC1258" s="1"/>
      <c r="AD1258" s="1"/>
      <c r="AE1258" s="1"/>
      <c r="AF1258" s="1"/>
      <c r="AG1258" s="1"/>
      <c r="AH1258" s="1"/>
      <c r="AI1258" s="1"/>
      <c r="AJ1258" s="1"/>
      <c r="AK1258" s="1"/>
      <c r="AL1258" s="1"/>
      <c r="AM1258" s="1"/>
    </row>
    <row r="1259" spans="16:39" x14ac:dyDescent="0.25">
      <c r="P1259" s="49"/>
      <c r="Q1259" s="1"/>
      <c r="S1259" s="1"/>
      <c r="T1259" s="1"/>
      <c r="U1259" s="1"/>
      <c r="V1259" s="1"/>
      <c r="W1259" s="1"/>
      <c r="X1259" s="1"/>
      <c r="Y1259" s="1"/>
      <c r="AB1259" s="1"/>
      <c r="AC1259" s="1"/>
      <c r="AD1259" s="1"/>
      <c r="AE1259" s="1"/>
      <c r="AF1259" s="1"/>
      <c r="AG1259" s="1"/>
      <c r="AH1259" s="1"/>
      <c r="AI1259" s="1"/>
      <c r="AJ1259" s="1"/>
      <c r="AK1259" s="1"/>
      <c r="AL1259" s="1"/>
      <c r="AM1259" s="1"/>
    </row>
    <row r="1260" spans="16:39" x14ac:dyDescent="0.25">
      <c r="P1260" s="49"/>
      <c r="Q1260" s="1"/>
      <c r="S1260" s="1"/>
      <c r="T1260" s="1"/>
      <c r="U1260" s="1"/>
      <c r="V1260" s="1"/>
      <c r="W1260" s="1"/>
      <c r="X1260" s="1"/>
      <c r="Y1260" s="1"/>
      <c r="AB1260" s="1"/>
      <c r="AC1260" s="1"/>
      <c r="AD1260" s="1"/>
      <c r="AE1260" s="1"/>
      <c r="AF1260" s="1"/>
      <c r="AG1260" s="1"/>
      <c r="AH1260" s="1"/>
      <c r="AI1260" s="1"/>
      <c r="AJ1260" s="1"/>
      <c r="AK1260" s="1"/>
      <c r="AL1260" s="1"/>
      <c r="AM1260" s="1"/>
    </row>
    <row r="1261" spans="16:39" x14ac:dyDescent="0.25">
      <c r="P1261" s="49"/>
      <c r="Q1261" s="1"/>
      <c r="S1261" s="1"/>
      <c r="T1261" s="1"/>
      <c r="U1261" s="1"/>
      <c r="V1261" s="1"/>
      <c r="W1261" s="1"/>
      <c r="X1261" s="1"/>
      <c r="Y1261" s="1"/>
      <c r="AB1261" s="1"/>
      <c r="AC1261" s="1"/>
      <c r="AD1261" s="1"/>
      <c r="AE1261" s="1"/>
      <c r="AF1261" s="1"/>
      <c r="AG1261" s="1"/>
      <c r="AH1261" s="1"/>
      <c r="AI1261" s="1"/>
      <c r="AJ1261" s="1"/>
      <c r="AK1261" s="1"/>
      <c r="AL1261" s="1"/>
      <c r="AM1261" s="1"/>
    </row>
    <row r="1262" spans="16:39" x14ac:dyDescent="0.25">
      <c r="P1262" s="49"/>
      <c r="Q1262" s="1"/>
      <c r="S1262" s="1"/>
      <c r="T1262" s="1"/>
      <c r="U1262" s="1"/>
      <c r="V1262" s="1"/>
      <c r="W1262" s="1"/>
      <c r="X1262" s="1"/>
      <c r="Y1262" s="1"/>
      <c r="AB1262" s="1"/>
      <c r="AC1262" s="1"/>
      <c r="AD1262" s="1"/>
      <c r="AE1262" s="1"/>
      <c r="AF1262" s="1"/>
      <c r="AG1262" s="1"/>
      <c r="AH1262" s="1"/>
      <c r="AI1262" s="1"/>
      <c r="AJ1262" s="1"/>
      <c r="AK1262" s="1"/>
      <c r="AL1262" s="1"/>
      <c r="AM1262" s="1"/>
    </row>
    <row r="1263" spans="16:39" x14ac:dyDescent="0.25">
      <c r="P1263" s="49"/>
      <c r="Q1263" s="1"/>
      <c r="S1263" s="1"/>
      <c r="T1263" s="1"/>
      <c r="U1263" s="1"/>
      <c r="V1263" s="1"/>
      <c r="W1263" s="1"/>
      <c r="X1263" s="1"/>
      <c r="Y1263" s="1"/>
      <c r="AB1263" s="1"/>
      <c r="AC1263" s="1"/>
      <c r="AD1263" s="1"/>
      <c r="AE1263" s="1"/>
      <c r="AF1263" s="1"/>
      <c r="AG1263" s="1"/>
      <c r="AH1263" s="1"/>
      <c r="AI1263" s="1"/>
      <c r="AJ1263" s="1"/>
      <c r="AK1263" s="1"/>
      <c r="AL1263" s="1"/>
      <c r="AM1263" s="1"/>
    </row>
    <row r="1264" spans="16:39" x14ac:dyDescent="0.25">
      <c r="P1264" s="49"/>
      <c r="Q1264" s="1"/>
      <c r="S1264" s="1"/>
      <c r="T1264" s="1"/>
      <c r="U1264" s="1"/>
      <c r="V1264" s="1"/>
      <c r="W1264" s="1"/>
      <c r="X1264" s="1"/>
      <c r="Y1264" s="1"/>
      <c r="AB1264" s="1"/>
      <c r="AC1264" s="1"/>
      <c r="AD1264" s="1"/>
      <c r="AE1264" s="1"/>
      <c r="AF1264" s="1"/>
      <c r="AG1264" s="1"/>
      <c r="AH1264" s="1"/>
      <c r="AI1264" s="1"/>
      <c r="AJ1264" s="1"/>
      <c r="AK1264" s="1"/>
      <c r="AL1264" s="1"/>
      <c r="AM1264" s="1"/>
    </row>
    <row r="1265" spans="16:39" x14ac:dyDescent="0.25">
      <c r="P1265" s="49"/>
      <c r="Q1265" s="1"/>
      <c r="S1265" s="1"/>
      <c r="T1265" s="1"/>
      <c r="U1265" s="1"/>
      <c r="V1265" s="1"/>
      <c r="W1265" s="1"/>
      <c r="X1265" s="1"/>
      <c r="Y1265" s="1"/>
      <c r="AB1265" s="1"/>
      <c r="AC1265" s="1"/>
      <c r="AD1265" s="1"/>
      <c r="AE1265" s="1"/>
      <c r="AF1265" s="1"/>
      <c r="AG1265" s="1"/>
      <c r="AH1265" s="1"/>
      <c r="AI1265" s="1"/>
      <c r="AJ1265" s="1"/>
      <c r="AK1265" s="1"/>
      <c r="AL1265" s="1"/>
      <c r="AM1265" s="1"/>
    </row>
    <row r="1266" spans="16:39" x14ac:dyDescent="0.25">
      <c r="P1266" s="49"/>
      <c r="Q1266" s="1"/>
      <c r="S1266" s="1"/>
      <c r="T1266" s="1"/>
      <c r="U1266" s="1"/>
      <c r="V1266" s="1"/>
      <c r="W1266" s="1"/>
      <c r="X1266" s="1"/>
      <c r="Y1266" s="1"/>
      <c r="AB1266" s="1"/>
      <c r="AC1266" s="1"/>
      <c r="AD1266" s="1"/>
      <c r="AE1266" s="1"/>
      <c r="AF1266" s="1"/>
      <c r="AG1266" s="1"/>
      <c r="AH1266" s="1"/>
      <c r="AI1266" s="1"/>
      <c r="AJ1266" s="1"/>
      <c r="AK1266" s="1"/>
      <c r="AL1266" s="1"/>
      <c r="AM1266" s="1"/>
    </row>
    <row r="1267" spans="16:39" x14ac:dyDescent="0.25">
      <c r="P1267" s="49"/>
      <c r="Q1267" s="1"/>
      <c r="S1267" s="1"/>
      <c r="T1267" s="1"/>
      <c r="U1267" s="1"/>
      <c r="V1267" s="1"/>
      <c r="W1267" s="1"/>
      <c r="X1267" s="1"/>
      <c r="Y1267" s="1"/>
      <c r="AB1267" s="1"/>
      <c r="AC1267" s="1"/>
      <c r="AD1267" s="1"/>
      <c r="AE1267" s="1"/>
      <c r="AF1267" s="1"/>
      <c r="AG1267" s="1"/>
      <c r="AH1267" s="1"/>
      <c r="AI1267" s="1"/>
      <c r="AJ1267" s="1"/>
      <c r="AK1267" s="1"/>
      <c r="AL1267" s="1"/>
      <c r="AM1267" s="1"/>
    </row>
    <row r="1268" spans="16:39" x14ac:dyDescent="0.25">
      <c r="P1268" s="49"/>
      <c r="Q1268" s="1"/>
      <c r="S1268" s="1"/>
      <c r="T1268" s="1"/>
      <c r="U1268" s="1"/>
      <c r="V1268" s="1"/>
      <c r="W1268" s="1"/>
      <c r="X1268" s="1"/>
      <c r="Y1268" s="1"/>
      <c r="AB1268" s="1"/>
      <c r="AC1268" s="1"/>
      <c r="AD1268" s="1"/>
      <c r="AE1268" s="1"/>
      <c r="AF1268" s="1"/>
      <c r="AG1268" s="1"/>
      <c r="AH1268" s="1"/>
      <c r="AI1268" s="1"/>
      <c r="AJ1268" s="1"/>
      <c r="AK1268" s="1"/>
      <c r="AL1268" s="1"/>
      <c r="AM1268" s="1"/>
    </row>
    <row r="1269" spans="16:39" x14ac:dyDescent="0.25">
      <c r="P1269" s="49"/>
      <c r="Q1269" s="1"/>
      <c r="S1269" s="1"/>
      <c r="T1269" s="1"/>
      <c r="U1269" s="1"/>
      <c r="V1269" s="1"/>
      <c r="W1269" s="1"/>
      <c r="X1269" s="1"/>
      <c r="Y1269" s="1"/>
      <c r="AB1269" s="1"/>
      <c r="AC1269" s="1"/>
      <c r="AD1269" s="1"/>
      <c r="AE1269" s="1"/>
      <c r="AF1269" s="1"/>
      <c r="AG1269" s="1"/>
      <c r="AH1269" s="1"/>
      <c r="AI1269" s="1"/>
      <c r="AJ1269" s="1"/>
      <c r="AK1269" s="1"/>
      <c r="AL1269" s="1"/>
      <c r="AM1269" s="1"/>
    </row>
    <row r="1270" spans="16:39" x14ac:dyDescent="0.25">
      <c r="P1270" s="49"/>
      <c r="Q1270" s="1"/>
      <c r="S1270" s="1"/>
      <c r="T1270" s="1"/>
      <c r="U1270" s="1"/>
      <c r="V1270" s="1"/>
      <c r="W1270" s="1"/>
      <c r="X1270" s="1"/>
      <c r="Y1270" s="1"/>
      <c r="AB1270" s="1"/>
      <c r="AC1270" s="1"/>
      <c r="AD1270" s="1"/>
      <c r="AE1270" s="1"/>
      <c r="AF1270" s="1"/>
      <c r="AG1270" s="1"/>
      <c r="AH1270" s="1"/>
      <c r="AI1270" s="1"/>
      <c r="AJ1270" s="1"/>
      <c r="AK1270" s="1"/>
      <c r="AL1270" s="1"/>
      <c r="AM1270" s="1"/>
    </row>
    <row r="1271" spans="16:39" x14ac:dyDescent="0.25">
      <c r="P1271" s="49"/>
      <c r="Q1271" s="1"/>
      <c r="S1271" s="1"/>
      <c r="T1271" s="1"/>
      <c r="U1271" s="1"/>
      <c r="V1271" s="1"/>
      <c r="W1271" s="1"/>
      <c r="X1271" s="1"/>
      <c r="Y1271" s="1"/>
      <c r="AB1271" s="1"/>
      <c r="AC1271" s="1"/>
      <c r="AD1271" s="1"/>
      <c r="AE1271" s="1"/>
      <c r="AF1271" s="1"/>
      <c r="AG1271" s="1"/>
      <c r="AH1271" s="1"/>
      <c r="AI1271" s="1"/>
      <c r="AJ1271" s="1"/>
      <c r="AK1271" s="1"/>
      <c r="AL1271" s="1"/>
      <c r="AM1271" s="1"/>
    </row>
    <row r="1272" spans="16:39" x14ac:dyDescent="0.25">
      <c r="P1272" s="49"/>
      <c r="Q1272" s="1"/>
      <c r="S1272" s="1"/>
      <c r="T1272" s="1"/>
      <c r="U1272" s="1"/>
      <c r="V1272" s="1"/>
      <c r="W1272" s="1"/>
      <c r="X1272" s="1"/>
      <c r="Y1272" s="1"/>
      <c r="AB1272" s="1"/>
      <c r="AC1272" s="1"/>
      <c r="AD1272" s="1"/>
      <c r="AE1272" s="1"/>
      <c r="AF1272" s="1"/>
      <c r="AG1272" s="1"/>
      <c r="AH1272" s="1"/>
      <c r="AI1272" s="1"/>
      <c r="AJ1272" s="1"/>
      <c r="AK1272" s="1"/>
      <c r="AL1272" s="1"/>
      <c r="AM1272" s="1"/>
    </row>
    <row r="1273" spans="16:39" x14ac:dyDescent="0.25">
      <c r="P1273" s="49"/>
      <c r="Q1273" s="1"/>
      <c r="S1273" s="1"/>
      <c r="T1273" s="1"/>
      <c r="U1273" s="1"/>
      <c r="V1273" s="1"/>
      <c r="W1273" s="1"/>
      <c r="X1273" s="1"/>
      <c r="Y1273" s="1"/>
      <c r="AB1273" s="1"/>
      <c r="AC1273" s="1"/>
      <c r="AD1273" s="1"/>
      <c r="AE1273" s="1"/>
      <c r="AF1273" s="1"/>
      <c r="AG1273" s="1"/>
      <c r="AH1273" s="1"/>
      <c r="AI1273" s="1"/>
      <c r="AJ1273" s="1"/>
      <c r="AK1273" s="1"/>
      <c r="AL1273" s="1"/>
      <c r="AM1273" s="1"/>
    </row>
    <row r="1274" spans="16:39" x14ac:dyDescent="0.25">
      <c r="P1274" s="49"/>
      <c r="Q1274" s="1"/>
      <c r="S1274" s="1"/>
      <c r="T1274" s="1"/>
      <c r="U1274" s="1"/>
      <c r="V1274" s="1"/>
      <c r="W1274" s="1"/>
      <c r="X1274" s="1"/>
      <c r="Y1274" s="1"/>
      <c r="AB1274" s="1"/>
      <c r="AC1274" s="1"/>
      <c r="AD1274" s="1"/>
      <c r="AE1274" s="1"/>
      <c r="AF1274" s="1"/>
      <c r="AG1274" s="1"/>
      <c r="AH1274" s="1"/>
      <c r="AI1274" s="1"/>
      <c r="AJ1274" s="1"/>
      <c r="AK1274" s="1"/>
      <c r="AL1274" s="1"/>
      <c r="AM1274" s="1"/>
    </row>
    <row r="1275" spans="16:39" x14ac:dyDescent="0.25">
      <c r="P1275" s="49"/>
      <c r="Q1275" s="1"/>
      <c r="S1275" s="1"/>
      <c r="T1275" s="1"/>
      <c r="U1275" s="1"/>
      <c r="V1275" s="1"/>
      <c r="W1275" s="1"/>
      <c r="X1275" s="1"/>
      <c r="Y1275" s="1"/>
      <c r="AB1275" s="1"/>
      <c r="AC1275" s="1"/>
      <c r="AD1275" s="1"/>
      <c r="AE1275" s="1"/>
      <c r="AF1275" s="1"/>
      <c r="AG1275" s="1"/>
      <c r="AH1275" s="1"/>
      <c r="AI1275" s="1"/>
      <c r="AJ1275" s="1"/>
      <c r="AK1275" s="1"/>
      <c r="AL1275" s="1"/>
      <c r="AM1275" s="1"/>
    </row>
    <row r="1276" spans="16:39" x14ac:dyDescent="0.25">
      <c r="P1276" s="49"/>
      <c r="Q1276" s="1"/>
      <c r="S1276" s="1"/>
      <c r="T1276" s="1"/>
      <c r="U1276" s="1"/>
      <c r="V1276" s="1"/>
      <c r="W1276" s="1"/>
      <c r="X1276" s="1"/>
      <c r="Y1276" s="1"/>
      <c r="AB1276" s="1"/>
      <c r="AC1276" s="1"/>
      <c r="AD1276" s="1"/>
      <c r="AE1276" s="1"/>
      <c r="AF1276" s="1"/>
      <c r="AG1276" s="1"/>
      <c r="AH1276" s="1"/>
      <c r="AI1276" s="1"/>
      <c r="AJ1276" s="1"/>
      <c r="AK1276" s="1"/>
      <c r="AL1276" s="1"/>
      <c r="AM1276" s="1"/>
    </row>
    <row r="1277" spans="16:39" x14ac:dyDescent="0.25">
      <c r="P1277" s="49"/>
      <c r="Q1277" s="1"/>
      <c r="S1277" s="1"/>
      <c r="T1277" s="1"/>
      <c r="U1277" s="1"/>
      <c r="V1277" s="1"/>
      <c r="W1277" s="1"/>
      <c r="X1277" s="1"/>
      <c r="Y1277" s="1"/>
      <c r="AB1277" s="1"/>
      <c r="AC1277" s="1"/>
      <c r="AD1277" s="1"/>
      <c r="AE1277" s="1"/>
      <c r="AF1277" s="1"/>
      <c r="AG1277" s="1"/>
      <c r="AH1277" s="1"/>
      <c r="AI1277" s="1"/>
      <c r="AJ1277" s="1"/>
      <c r="AK1277" s="1"/>
      <c r="AL1277" s="1"/>
      <c r="AM1277" s="1"/>
    </row>
    <row r="1278" spans="16:39" x14ac:dyDescent="0.25">
      <c r="P1278" s="49"/>
      <c r="Q1278" s="1"/>
      <c r="S1278" s="1"/>
      <c r="T1278" s="1"/>
      <c r="U1278" s="1"/>
      <c r="V1278" s="1"/>
      <c r="W1278" s="1"/>
      <c r="X1278" s="1"/>
      <c r="Y1278" s="1"/>
      <c r="AB1278" s="1"/>
      <c r="AC1278" s="1"/>
      <c r="AD1278" s="1"/>
      <c r="AE1278" s="1"/>
      <c r="AF1278" s="1"/>
      <c r="AG1278" s="1"/>
      <c r="AH1278" s="1"/>
      <c r="AI1278" s="1"/>
      <c r="AJ1278" s="1"/>
      <c r="AK1278" s="1"/>
      <c r="AL1278" s="1"/>
      <c r="AM1278" s="1"/>
    </row>
    <row r="1279" spans="16:39" x14ac:dyDescent="0.25">
      <c r="P1279" s="49"/>
      <c r="Q1279" s="1"/>
      <c r="S1279" s="1"/>
      <c r="T1279" s="1"/>
      <c r="U1279" s="1"/>
      <c r="V1279" s="1"/>
      <c r="W1279" s="1"/>
      <c r="X1279" s="1"/>
      <c r="Y1279" s="1"/>
      <c r="AB1279" s="1"/>
      <c r="AC1279" s="1"/>
      <c r="AD1279" s="1"/>
      <c r="AE1279" s="1"/>
      <c r="AF1279" s="1"/>
      <c r="AG1279" s="1"/>
      <c r="AH1279" s="1"/>
      <c r="AI1279" s="1"/>
      <c r="AJ1279" s="1"/>
      <c r="AK1279" s="1"/>
      <c r="AL1279" s="1"/>
      <c r="AM1279" s="1"/>
    </row>
    <row r="1280" spans="16:39" x14ac:dyDescent="0.25">
      <c r="P1280" s="49"/>
      <c r="Q1280" s="1"/>
      <c r="S1280" s="1"/>
      <c r="T1280" s="1"/>
      <c r="U1280" s="1"/>
      <c r="V1280" s="1"/>
      <c r="W1280" s="1"/>
      <c r="X1280" s="1"/>
      <c r="Y1280" s="1"/>
      <c r="AB1280" s="1"/>
      <c r="AC1280" s="1"/>
      <c r="AD1280" s="1"/>
      <c r="AE1280" s="1"/>
      <c r="AF1280" s="1"/>
      <c r="AG1280" s="1"/>
      <c r="AH1280" s="1"/>
      <c r="AI1280" s="1"/>
      <c r="AJ1280" s="1"/>
      <c r="AK1280" s="1"/>
      <c r="AL1280" s="1"/>
      <c r="AM1280" s="1"/>
    </row>
    <row r="1281" spans="16:39" x14ac:dyDescent="0.25">
      <c r="P1281" s="49"/>
      <c r="Q1281" s="1"/>
      <c r="S1281" s="1"/>
      <c r="T1281" s="1"/>
      <c r="U1281" s="1"/>
      <c r="V1281" s="1"/>
      <c r="W1281" s="1"/>
      <c r="X1281" s="1"/>
      <c r="Y1281" s="1"/>
      <c r="AB1281" s="1"/>
      <c r="AC1281" s="1"/>
      <c r="AD1281" s="1"/>
      <c r="AE1281" s="1"/>
      <c r="AF1281" s="1"/>
      <c r="AG1281" s="1"/>
      <c r="AH1281" s="1"/>
      <c r="AI1281" s="1"/>
      <c r="AJ1281" s="1"/>
      <c r="AK1281" s="1"/>
      <c r="AL1281" s="1"/>
      <c r="AM1281" s="1"/>
    </row>
    <row r="1282" spans="16:39" x14ac:dyDescent="0.25">
      <c r="P1282" s="49"/>
      <c r="Q1282" s="1"/>
      <c r="S1282" s="1"/>
      <c r="T1282" s="1"/>
      <c r="U1282" s="1"/>
      <c r="V1282" s="1"/>
      <c r="W1282" s="1"/>
      <c r="X1282" s="1"/>
      <c r="Y1282" s="1"/>
      <c r="AB1282" s="1"/>
      <c r="AC1282" s="1"/>
      <c r="AD1282" s="1"/>
      <c r="AE1282" s="1"/>
      <c r="AF1282" s="1"/>
      <c r="AG1282" s="1"/>
      <c r="AH1282" s="1"/>
      <c r="AI1282" s="1"/>
      <c r="AJ1282" s="1"/>
      <c r="AK1282" s="1"/>
      <c r="AL1282" s="1"/>
      <c r="AM1282" s="1"/>
    </row>
    <row r="1283" spans="16:39" x14ac:dyDescent="0.25">
      <c r="P1283" s="49"/>
      <c r="Q1283" s="1"/>
      <c r="S1283" s="1"/>
      <c r="T1283" s="1"/>
      <c r="U1283" s="1"/>
      <c r="V1283" s="1"/>
      <c r="W1283" s="1"/>
      <c r="X1283" s="1"/>
      <c r="Y1283" s="1"/>
      <c r="AB1283" s="1"/>
      <c r="AC1283" s="1"/>
      <c r="AD1283" s="1"/>
      <c r="AE1283" s="1"/>
      <c r="AF1283" s="1"/>
      <c r="AG1283" s="1"/>
      <c r="AH1283" s="1"/>
      <c r="AI1283" s="1"/>
      <c r="AJ1283" s="1"/>
      <c r="AK1283" s="1"/>
      <c r="AL1283" s="1"/>
      <c r="AM1283" s="1"/>
    </row>
    <row r="1284" spans="16:39" x14ac:dyDescent="0.25">
      <c r="P1284" s="49"/>
      <c r="Q1284" s="1"/>
      <c r="S1284" s="1"/>
      <c r="T1284" s="1"/>
      <c r="U1284" s="1"/>
      <c r="V1284" s="1"/>
      <c r="W1284" s="1"/>
      <c r="X1284" s="1"/>
      <c r="Y1284" s="1"/>
      <c r="AB1284" s="1"/>
      <c r="AC1284" s="1"/>
      <c r="AD1284" s="1"/>
      <c r="AE1284" s="1"/>
      <c r="AF1284" s="1"/>
      <c r="AG1284" s="1"/>
      <c r="AH1284" s="1"/>
      <c r="AI1284" s="1"/>
      <c r="AJ1284" s="1"/>
      <c r="AK1284" s="1"/>
      <c r="AL1284" s="1"/>
      <c r="AM1284" s="1"/>
    </row>
    <row r="1285" spans="16:39" x14ac:dyDescent="0.25">
      <c r="P1285" s="49"/>
      <c r="Q1285" s="1"/>
      <c r="S1285" s="1"/>
      <c r="T1285" s="1"/>
      <c r="U1285" s="1"/>
      <c r="V1285" s="1"/>
      <c r="W1285" s="1"/>
      <c r="X1285" s="1"/>
      <c r="Y1285" s="1"/>
      <c r="AB1285" s="1"/>
      <c r="AC1285" s="1"/>
      <c r="AD1285" s="1"/>
      <c r="AE1285" s="1"/>
      <c r="AF1285" s="1"/>
      <c r="AG1285" s="1"/>
      <c r="AH1285" s="1"/>
      <c r="AI1285" s="1"/>
      <c r="AJ1285" s="1"/>
      <c r="AK1285" s="1"/>
      <c r="AL1285" s="1"/>
      <c r="AM1285" s="1"/>
    </row>
    <row r="1286" spans="16:39" x14ac:dyDescent="0.25">
      <c r="P1286" s="49"/>
      <c r="Q1286" s="1"/>
      <c r="S1286" s="1"/>
      <c r="T1286" s="1"/>
      <c r="U1286" s="1"/>
      <c r="V1286" s="1"/>
      <c r="W1286" s="1"/>
      <c r="X1286" s="1"/>
      <c r="Y1286" s="1"/>
      <c r="AB1286" s="1"/>
      <c r="AC1286" s="1"/>
      <c r="AD1286" s="1"/>
      <c r="AE1286" s="1"/>
      <c r="AF1286" s="1"/>
      <c r="AG1286" s="1"/>
      <c r="AH1286" s="1"/>
      <c r="AI1286" s="1"/>
      <c r="AJ1286" s="1"/>
      <c r="AK1286" s="1"/>
      <c r="AL1286" s="1"/>
      <c r="AM1286" s="1"/>
    </row>
    <row r="1287" spans="16:39" x14ac:dyDescent="0.25">
      <c r="P1287" s="49"/>
      <c r="Q1287" s="1"/>
      <c r="S1287" s="1"/>
      <c r="T1287" s="1"/>
      <c r="U1287" s="1"/>
      <c r="V1287" s="1"/>
      <c r="W1287" s="1"/>
      <c r="X1287" s="1"/>
      <c r="Y1287" s="1"/>
      <c r="AB1287" s="1"/>
      <c r="AC1287" s="1"/>
      <c r="AD1287" s="1"/>
      <c r="AE1287" s="1"/>
      <c r="AF1287" s="1"/>
      <c r="AG1287" s="1"/>
      <c r="AH1287" s="1"/>
      <c r="AI1287" s="1"/>
      <c r="AJ1287" s="1"/>
      <c r="AK1287" s="1"/>
      <c r="AL1287" s="1"/>
      <c r="AM1287" s="1"/>
    </row>
    <row r="1288" spans="16:39" x14ac:dyDescent="0.25">
      <c r="P1288" s="49"/>
      <c r="Q1288" s="1"/>
      <c r="S1288" s="1"/>
      <c r="T1288" s="1"/>
      <c r="U1288" s="1"/>
      <c r="V1288" s="1"/>
      <c r="W1288" s="1"/>
      <c r="X1288" s="1"/>
      <c r="Y1288" s="1"/>
      <c r="AB1288" s="1"/>
      <c r="AC1288" s="1"/>
      <c r="AD1288" s="1"/>
      <c r="AE1288" s="1"/>
      <c r="AF1288" s="1"/>
      <c r="AG1288" s="1"/>
      <c r="AH1288" s="1"/>
      <c r="AI1288" s="1"/>
      <c r="AJ1288" s="1"/>
      <c r="AK1288" s="1"/>
      <c r="AL1288" s="1"/>
      <c r="AM1288" s="1"/>
    </row>
    <row r="1289" spans="16:39" x14ac:dyDescent="0.25">
      <c r="P1289" s="49"/>
      <c r="Q1289" s="1"/>
      <c r="S1289" s="1"/>
      <c r="T1289" s="1"/>
      <c r="U1289" s="1"/>
      <c r="V1289" s="1"/>
      <c r="W1289" s="1"/>
      <c r="X1289" s="1"/>
      <c r="Y1289" s="1"/>
      <c r="AB1289" s="1"/>
      <c r="AC1289" s="1"/>
      <c r="AD1289" s="1"/>
      <c r="AE1289" s="1"/>
      <c r="AF1289" s="1"/>
      <c r="AG1289" s="1"/>
      <c r="AH1289" s="1"/>
      <c r="AI1289" s="1"/>
      <c r="AJ1289" s="1"/>
      <c r="AK1289" s="1"/>
      <c r="AL1289" s="1"/>
      <c r="AM1289" s="1"/>
    </row>
    <row r="1290" spans="16:39" x14ac:dyDescent="0.25">
      <c r="P1290" s="49"/>
      <c r="Q1290" s="1"/>
      <c r="S1290" s="1"/>
      <c r="T1290" s="1"/>
      <c r="U1290" s="1"/>
      <c r="V1290" s="1"/>
      <c r="W1290" s="1"/>
      <c r="X1290" s="1"/>
      <c r="Y1290" s="1"/>
      <c r="AB1290" s="1"/>
      <c r="AC1290" s="1"/>
      <c r="AD1290" s="1"/>
      <c r="AE1290" s="1"/>
      <c r="AF1290" s="1"/>
      <c r="AG1290" s="1"/>
      <c r="AH1290" s="1"/>
      <c r="AI1290" s="1"/>
      <c r="AJ1290" s="1"/>
      <c r="AK1290" s="1"/>
      <c r="AL1290" s="1"/>
      <c r="AM1290" s="1"/>
    </row>
    <row r="1291" spans="16:39" x14ac:dyDescent="0.25">
      <c r="P1291" s="49"/>
      <c r="Q1291" s="1"/>
      <c r="S1291" s="1"/>
      <c r="T1291" s="1"/>
      <c r="U1291" s="1"/>
      <c r="V1291" s="1"/>
      <c r="W1291" s="1"/>
      <c r="X1291" s="1"/>
      <c r="Y1291" s="1"/>
      <c r="AB1291" s="1"/>
      <c r="AC1291" s="1"/>
      <c r="AD1291" s="1"/>
      <c r="AE1291" s="1"/>
      <c r="AF1291" s="1"/>
      <c r="AG1291" s="1"/>
      <c r="AH1291" s="1"/>
      <c r="AI1291" s="1"/>
      <c r="AJ1291" s="1"/>
      <c r="AK1291" s="1"/>
      <c r="AL1291" s="1"/>
      <c r="AM1291" s="1"/>
    </row>
    <row r="1292" spans="16:39" x14ac:dyDescent="0.25">
      <c r="P1292" s="49"/>
      <c r="Q1292" s="1"/>
      <c r="S1292" s="1"/>
      <c r="T1292" s="1"/>
      <c r="U1292" s="1"/>
      <c r="V1292" s="1"/>
      <c r="W1292" s="1"/>
      <c r="X1292" s="1"/>
      <c r="Y1292" s="1"/>
      <c r="AB1292" s="1"/>
      <c r="AC1292" s="1"/>
      <c r="AD1292" s="1"/>
      <c r="AE1292" s="1"/>
      <c r="AF1292" s="1"/>
      <c r="AG1292" s="1"/>
      <c r="AH1292" s="1"/>
      <c r="AI1292" s="1"/>
      <c r="AJ1292" s="1"/>
      <c r="AK1292" s="1"/>
      <c r="AL1292" s="1"/>
      <c r="AM1292" s="1"/>
    </row>
    <row r="1293" spans="16:39" x14ac:dyDescent="0.25">
      <c r="P1293" s="49"/>
      <c r="Q1293" s="1"/>
      <c r="S1293" s="1"/>
      <c r="T1293" s="1"/>
      <c r="U1293" s="1"/>
      <c r="V1293" s="1"/>
      <c r="W1293" s="1"/>
      <c r="X1293" s="1"/>
      <c r="Y1293" s="1"/>
      <c r="AB1293" s="1"/>
      <c r="AC1293" s="1"/>
      <c r="AD1293" s="1"/>
      <c r="AE1293" s="1"/>
      <c r="AF1293" s="1"/>
      <c r="AG1293" s="1"/>
      <c r="AH1293" s="1"/>
      <c r="AI1293" s="1"/>
      <c r="AJ1293" s="1"/>
      <c r="AK1293" s="1"/>
      <c r="AL1293" s="1"/>
      <c r="AM1293" s="1"/>
    </row>
    <row r="1294" spans="16:39" x14ac:dyDescent="0.25">
      <c r="P1294" s="49"/>
      <c r="Q1294" s="1"/>
      <c r="S1294" s="1"/>
      <c r="T1294" s="1"/>
      <c r="U1294" s="1"/>
      <c r="V1294" s="1"/>
      <c r="W1294" s="1"/>
      <c r="X1294" s="1"/>
      <c r="Y1294" s="1"/>
      <c r="AB1294" s="1"/>
      <c r="AC1294" s="1"/>
      <c r="AD1294" s="1"/>
      <c r="AE1294" s="1"/>
      <c r="AF1294" s="1"/>
      <c r="AG1294" s="1"/>
      <c r="AH1294" s="1"/>
      <c r="AI1294" s="1"/>
      <c r="AJ1294" s="1"/>
      <c r="AK1294" s="1"/>
      <c r="AL1294" s="1"/>
      <c r="AM1294" s="1"/>
    </row>
    <row r="1295" spans="16:39" x14ac:dyDescent="0.25">
      <c r="P1295" s="49"/>
      <c r="Q1295" s="1"/>
      <c r="S1295" s="1"/>
      <c r="T1295" s="1"/>
      <c r="U1295" s="1"/>
      <c r="V1295" s="1"/>
      <c r="W1295" s="1"/>
      <c r="X1295" s="1"/>
      <c r="Y1295" s="1"/>
      <c r="AB1295" s="1"/>
      <c r="AC1295" s="1"/>
      <c r="AD1295" s="1"/>
      <c r="AE1295" s="1"/>
      <c r="AF1295" s="1"/>
      <c r="AG1295" s="1"/>
      <c r="AH1295" s="1"/>
      <c r="AI1295" s="1"/>
      <c r="AJ1295" s="1"/>
      <c r="AK1295" s="1"/>
      <c r="AL1295" s="1"/>
      <c r="AM1295" s="1"/>
    </row>
    <row r="1296" spans="16:39" x14ac:dyDescent="0.25">
      <c r="P1296" s="49"/>
      <c r="Q1296" s="1"/>
      <c r="S1296" s="1"/>
      <c r="T1296" s="1"/>
      <c r="U1296" s="1"/>
      <c r="V1296" s="1"/>
      <c r="W1296" s="1"/>
      <c r="X1296" s="1"/>
      <c r="Y1296" s="1"/>
      <c r="AB1296" s="1"/>
      <c r="AC1296" s="1"/>
      <c r="AD1296" s="1"/>
      <c r="AE1296" s="1"/>
      <c r="AF1296" s="1"/>
      <c r="AG1296" s="1"/>
      <c r="AH1296" s="1"/>
      <c r="AI1296" s="1"/>
      <c r="AJ1296" s="1"/>
      <c r="AK1296" s="1"/>
      <c r="AL1296" s="1"/>
      <c r="AM1296" s="1"/>
    </row>
    <row r="1297" spans="16:39" x14ac:dyDescent="0.25">
      <c r="P1297" s="49"/>
      <c r="Q1297" s="1"/>
      <c r="S1297" s="1"/>
      <c r="T1297" s="1"/>
      <c r="U1297" s="1"/>
      <c r="V1297" s="1"/>
      <c r="W1297" s="1"/>
      <c r="X1297" s="1"/>
      <c r="Y1297" s="1"/>
      <c r="AB1297" s="1"/>
      <c r="AC1297" s="1"/>
      <c r="AD1297" s="1"/>
      <c r="AE1297" s="1"/>
      <c r="AF1297" s="1"/>
      <c r="AG1297" s="1"/>
      <c r="AH1297" s="1"/>
      <c r="AI1297" s="1"/>
      <c r="AJ1297" s="1"/>
      <c r="AK1297" s="1"/>
      <c r="AL1297" s="1"/>
      <c r="AM1297" s="1"/>
    </row>
    <row r="1298" spans="16:39" x14ac:dyDescent="0.25">
      <c r="P1298" s="49"/>
      <c r="Q1298" s="1"/>
      <c r="S1298" s="1"/>
      <c r="T1298" s="1"/>
      <c r="U1298" s="1"/>
      <c r="V1298" s="1"/>
      <c r="W1298" s="1"/>
      <c r="X1298" s="1"/>
      <c r="Y1298" s="1"/>
      <c r="AB1298" s="1"/>
      <c r="AC1298" s="1"/>
      <c r="AD1298" s="1"/>
      <c r="AE1298" s="1"/>
      <c r="AF1298" s="1"/>
      <c r="AG1298" s="1"/>
      <c r="AH1298" s="1"/>
      <c r="AI1298" s="1"/>
      <c r="AJ1298" s="1"/>
      <c r="AK1298" s="1"/>
      <c r="AL1298" s="1"/>
      <c r="AM1298" s="1"/>
    </row>
    <row r="1299" spans="16:39" x14ac:dyDescent="0.25">
      <c r="P1299" s="49"/>
      <c r="Q1299" s="1"/>
      <c r="S1299" s="1"/>
      <c r="T1299" s="1"/>
      <c r="U1299" s="1"/>
      <c r="V1299" s="1"/>
      <c r="W1299" s="1"/>
      <c r="X1299" s="1"/>
      <c r="Y1299" s="1"/>
      <c r="AB1299" s="1"/>
      <c r="AC1299" s="1"/>
      <c r="AD1299" s="1"/>
      <c r="AE1299" s="1"/>
      <c r="AF1299" s="1"/>
      <c r="AG1299" s="1"/>
      <c r="AH1299" s="1"/>
      <c r="AI1299" s="1"/>
      <c r="AJ1299" s="1"/>
      <c r="AK1299" s="1"/>
      <c r="AL1299" s="1"/>
      <c r="AM1299" s="1"/>
    </row>
    <row r="1300" spans="16:39" x14ac:dyDescent="0.25">
      <c r="P1300" s="49"/>
      <c r="Q1300" s="1"/>
      <c r="S1300" s="1"/>
      <c r="T1300" s="1"/>
      <c r="U1300" s="1"/>
      <c r="V1300" s="1"/>
      <c r="W1300" s="1"/>
      <c r="X1300" s="1"/>
      <c r="Y1300" s="1"/>
      <c r="AB1300" s="1"/>
      <c r="AC1300" s="1"/>
      <c r="AD1300" s="1"/>
      <c r="AE1300" s="1"/>
      <c r="AF1300" s="1"/>
      <c r="AG1300" s="1"/>
      <c r="AH1300" s="1"/>
      <c r="AI1300" s="1"/>
      <c r="AJ1300" s="1"/>
      <c r="AK1300" s="1"/>
      <c r="AL1300" s="1"/>
      <c r="AM1300" s="1"/>
    </row>
    <row r="1301" spans="16:39" x14ac:dyDescent="0.25">
      <c r="P1301" s="49"/>
      <c r="Q1301" s="1"/>
      <c r="S1301" s="1"/>
      <c r="T1301" s="1"/>
      <c r="U1301" s="1"/>
      <c r="V1301" s="1"/>
      <c r="W1301" s="1"/>
      <c r="X1301" s="1"/>
      <c r="Y1301" s="1"/>
      <c r="AB1301" s="1"/>
      <c r="AC1301" s="1"/>
      <c r="AD1301" s="1"/>
      <c r="AE1301" s="1"/>
      <c r="AF1301" s="1"/>
      <c r="AG1301" s="1"/>
      <c r="AH1301" s="1"/>
      <c r="AI1301" s="1"/>
      <c r="AJ1301" s="1"/>
      <c r="AK1301" s="1"/>
      <c r="AL1301" s="1"/>
      <c r="AM1301" s="1"/>
    </row>
    <row r="1302" spans="16:39" x14ac:dyDescent="0.25">
      <c r="P1302" s="49"/>
      <c r="Q1302" s="1"/>
      <c r="S1302" s="1"/>
      <c r="T1302" s="1"/>
      <c r="U1302" s="1"/>
      <c r="V1302" s="1"/>
      <c r="W1302" s="1"/>
      <c r="X1302" s="1"/>
      <c r="Y1302" s="1"/>
      <c r="AB1302" s="1"/>
      <c r="AC1302" s="1"/>
      <c r="AD1302" s="1"/>
      <c r="AE1302" s="1"/>
      <c r="AF1302" s="1"/>
      <c r="AG1302" s="1"/>
      <c r="AH1302" s="1"/>
      <c r="AI1302" s="1"/>
      <c r="AJ1302" s="1"/>
      <c r="AK1302" s="1"/>
      <c r="AL1302" s="1"/>
      <c r="AM1302" s="1"/>
    </row>
    <row r="1303" spans="16:39" x14ac:dyDescent="0.25">
      <c r="P1303" s="49"/>
      <c r="Q1303" s="1"/>
      <c r="S1303" s="1"/>
      <c r="T1303" s="1"/>
      <c r="U1303" s="1"/>
      <c r="V1303" s="1"/>
      <c r="W1303" s="1"/>
      <c r="X1303" s="1"/>
      <c r="Y1303" s="1"/>
      <c r="AB1303" s="1"/>
      <c r="AC1303" s="1"/>
      <c r="AD1303" s="1"/>
      <c r="AE1303" s="1"/>
      <c r="AF1303" s="1"/>
      <c r="AG1303" s="1"/>
      <c r="AH1303" s="1"/>
      <c r="AI1303" s="1"/>
      <c r="AJ1303" s="1"/>
      <c r="AK1303" s="1"/>
      <c r="AL1303" s="1"/>
      <c r="AM1303" s="1"/>
    </row>
    <row r="1304" spans="16:39" x14ac:dyDescent="0.25">
      <c r="P1304" s="49"/>
      <c r="Q1304" s="1"/>
      <c r="S1304" s="1"/>
      <c r="T1304" s="1"/>
      <c r="U1304" s="1"/>
      <c r="V1304" s="1"/>
      <c r="W1304" s="1"/>
      <c r="X1304" s="1"/>
      <c r="Y1304" s="1"/>
      <c r="AB1304" s="1"/>
      <c r="AC1304" s="1"/>
      <c r="AD1304" s="1"/>
      <c r="AE1304" s="1"/>
      <c r="AF1304" s="1"/>
      <c r="AG1304" s="1"/>
      <c r="AH1304" s="1"/>
      <c r="AI1304" s="1"/>
      <c r="AJ1304" s="1"/>
      <c r="AK1304" s="1"/>
      <c r="AL1304" s="1"/>
      <c r="AM1304" s="1"/>
    </row>
    <row r="1305" spans="16:39" x14ac:dyDescent="0.25">
      <c r="P1305" s="49"/>
      <c r="Q1305" s="1"/>
      <c r="S1305" s="1"/>
      <c r="T1305" s="1"/>
      <c r="U1305" s="1"/>
      <c r="V1305" s="1"/>
      <c r="W1305" s="1"/>
      <c r="X1305" s="1"/>
      <c r="Y1305" s="1"/>
      <c r="AB1305" s="1"/>
      <c r="AC1305" s="1"/>
      <c r="AD1305" s="1"/>
      <c r="AE1305" s="1"/>
      <c r="AF1305" s="1"/>
      <c r="AG1305" s="1"/>
      <c r="AH1305" s="1"/>
      <c r="AI1305" s="1"/>
      <c r="AJ1305" s="1"/>
      <c r="AK1305" s="1"/>
      <c r="AL1305" s="1"/>
      <c r="AM1305" s="1"/>
    </row>
    <row r="1306" spans="16:39" x14ac:dyDescent="0.25">
      <c r="P1306" s="49"/>
      <c r="Q1306" s="1"/>
      <c r="S1306" s="1"/>
      <c r="T1306" s="1"/>
      <c r="U1306" s="1"/>
      <c r="V1306" s="1"/>
      <c r="W1306" s="1"/>
      <c r="X1306" s="1"/>
      <c r="Y1306" s="1"/>
      <c r="AB1306" s="1"/>
      <c r="AC1306" s="1"/>
      <c r="AD1306" s="1"/>
      <c r="AE1306" s="1"/>
      <c r="AF1306" s="1"/>
      <c r="AG1306" s="1"/>
      <c r="AH1306" s="1"/>
      <c r="AI1306" s="1"/>
      <c r="AJ1306" s="1"/>
      <c r="AK1306" s="1"/>
      <c r="AL1306" s="1"/>
      <c r="AM1306" s="1"/>
    </row>
    <row r="1307" spans="16:39" x14ac:dyDescent="0.25">
      <c r="P1307" s="49"/>
      <c r="Q1307" s="1"/>
      <c r="S1307" s="1"/>
      <c r="T1307" s="1"/>
      <c r="U1307" s="1"/>
      <c r="V1307" s="1"/>
      <c r="W1307" s="1"/>
      <c r="X1307" s="1"/>
      <c r="Y1307" s="1"/>
      <c r="AB1307" s="1"/>
      <c r="AC1307" s="1"/>
      <c r="AD1307" s="1"/>
      <c r="AE1307" s="1"/>
      <c r="AF1307" s="1"/>
      <c r="AG1307" s="1"/>
      <c r="AH1307" s="1"/>
      <c r="AI1307" s="1"/>
      <c r="AJ1307" s="1"/>
      <c r="AK1307" s="1"/>
      <c r="AL1307" s="1"/>
      <c r="AM1307" s="1"/>
    </row>
    <row r="1308" spans="16:39" x14ac:dyDescent="0.25">
      <c r="P1308" s="49"/>
      <c r="Q1308" s="1"/>
      <c r="S1308" s="1"/>
      <c r="T1308" s="1"/>
      <c r="U1308" s="1"/>
      <c r="V1308" s="1"/>
      <c r="W1308" s="1"/>
      <c r="X1308" s="1"/>
      <c r="Y1308" s="1"/>
      <c r="AB1308" s="1"/>
      <c r="AC1308" s="1"/>
      <c r="AD1308" s="1"/>
      <c r="AE1308" s="1"/>
      <c r="AF1308" s="1"/>
      <c r="AG1308" s="1"/>
      <c r="AH1308" s="1"/>
      <c r="AI1308" s="1"/>
      <c r="AJ1308" s="1"/>
      <c r="AK1308" s="1"/>
      <c r="AL1308" s="1"/>
      <c r="AM1308" s="1"/>
    </row>
    <row r="1309" spans="16:39" x14ac:dyDescent="0.25">
      <c r="P1309" s="49"/>
      <c r="Q1309" s="1"/>
      <c r="S1309" s="1"/>
      <c r="T1309" s="1"/>
      <c r="U1309" s="1"/>
      <c r="V1309" s="1"/>
      <c r="W1309" s="1"/>
      <c r="X1309" s="1"/>
      <c r="Y1309" s="1"/>
      <c r="AB1309" s="1"/>
      <c r="AC1309" s="1"/>
      <c r="AD1309" s="1"/>
      <c r="AE1309" s="1"/>
      <c r="AF1309" s="1"/>
      <c r="AG1309" s="1"/>
      <c r="AH1309" s="1"/>
      <c r="AI1309" s="1"/>
      <c r="AJ1309" s="1"/>
      <c r="AK1309" s="1"/>
      <c r="AL1309" s="1"/>
      <c r="AM1309" s="1"/>
    </row>
    <row r="1310" spans="16:39" x14ac:dyDescent="0.25">
      <c r="P1310" s="49"/>
      <c r="Q1310" s="1"/>
      <c r="S1310" s="1"/>
      <c r="T1310" s="1"/>
      <c r="U1310" s="1"/>
      <c r="V1310" s="1"/>
      <c r="W1310" s="1"/>
      <c r="X1310" s="1"/>
      <c r="Y1310" s="1"/>
      <c r="AB1310" s="1"/>
      <c r="AC1310" s="1"/>
      <c r="AD1310" s="1"/>
      <c r="AE1310" s="1"/>
      <c r="AF1310" s="1"/>
      <c r="AG1310" s="1"/>
      <c r="AH1310" s="1"/>
      <c r="AI1310" s="1"/>
      <c r="AJ1310" s="1"/>
      <c r="AK1310" s="1"/>
      <c r="AL1310" s="1"/>
      <c r="AM1310" s="1"/>
    </row>
    <row r="1311" spans="16:39" x14ac:dyDescent="0.25">
      <c r="P1311" s="49"/>
      <c r="Q1311" s="1"/>
      <c r="S1311" s="1"/>
      <c r="T1311" s="1"/>
      <c r="U1311" s="1"/>
      <c r="V1311" s="1"/>
      <c r="W1311" s="1"/>
      <c r="X1311" s="1"/>
      <c r="Y1311" s="1"/>
      <c r="AB1311" s="1"/>
      <c r="AC1311" s="1"/>
      <c r="AD1311" s="1"/>
      <c r="AE1311" s="1"/>
      <c r="AF1311" s="1"/>
      <c r="AG1311" s="1"/>
      <c r="AH1311" s="1"/>
      <c r="AI1311" s="1"/>
      <c r="AJ1311" s="1"/>
      <c r="AK1311" s="1"/>
      <c r="AL1311" s="1"/>
      <c r="AM1311" s="1"/>
    </row>
    <row r="1312" spans="16:39" x14ac:dyDescent="0.25">
      <c r="P1312" s="49"/>
      <c r="Q1312" s="1"/>
      <c r="S1312" s="1"/>
      <c r="T1312" s="1"/>
      <c r="U1312" s="1"/>
      <c r="V1312" s="1"/>
      <c r="W1312" s="1"/>
      <c r="X1312" s="1"/>
      <c r="Y1312" s="1"/>
      <c r="AB1312" s="1"/>
      <c r="AC1312" s="1"/>
      <c r="AD1312" s="1"/>
      <c r="AE1312" s="1"/>
      <c r="AF1312" s="1"/>
      <c r="AG1312" s="1"/>
      <c r="AH1312" s="1"/>
      <c r="AI1312" s="1"/>
      <c r="AJ1312" s="1"/>
      <c r="AK1312" s="1"/>
      <c r="AL1312" s="1"/>
      <c r="AM1312" s="1"/>
    </row>
    <row r="1313" spans="16:39" x14ac:dyDescent="0.25">
      <c r="P1313" s="49"/>
      <c r="Q1313" s="1"/>
      <c r="S1313" s="1"/>
      <c r="T1313" s="1"/>
      <c r="U1313" s="1"/>
      <c r="V1313" s="1"/>
      <c r="W1313" s="1"/>
      <c r="X1313" s="1"/>
      <c r="Y1313" s="1"/>
      <c r="AB1313" s="1"/>
      <c r="AC1313" s="1"/>
      <c r="AD1313" s="1"/>
      <c r="AE1313" s="1"/>
      <c r="AF1313" s="1"/>
      <c r="AG1313" s="1"/>
      <c r="AH1313" s="1"/>
      <c r="AI1313" s="1"/>
      <c r="AJ1313" s="1"/>
      <c r="AK1313" s="1"/>
      <c r="AL1313" s="1"/>
      <c r="AM1313" s="1"/>
    </row>
    <row r="1314" spans="16:39" x14ac:dyDescent="0.25">
      <c r="P1314" s="49"/>
      <c r="Q1314" s="1"/>
      <c r="S1314" s="1"/>
      <c r="T1314" s="1"/>
      <c r="U1314" s="1"/>
      <c r="V1314" s="1"/>
      <c r="W1314" s="1"/>
      <c r="X1314" s="1"/>
      <c r="Y1314" s="1"/>
      <c r="AB1314" s="1"/>
      <c r="AC1314" s="1"/>
      <c r="AD1314" s="1"/>
      <c r="AE1314" s="1"/>
      <c r="AF1314" s="1"/>
      <c r="AG1314" s="1"/>
      <c r="AH1314" s="1"/>
      <c r="AI1314" s="1"/>
      <c r="AJ1314" s="1"/>
      <c r="AK1314" s="1"/>
      <c r="AL1314" s="1"/>
      <c r="AM1314" s="1"/>
    </row>
    <row r="1315" spans="16:39" x14ac:dyDescent="0.25">
      <c r="P1315" s="49"/>
      <c r="Q1315" s="1"/>
      <c r="S1315" s="1"/>
      <c r="T1315" s="1"/>
      <c r="U1315" s="1"/>
      <c r="V1315" s="1"/>
      <c r="W1315" s="1"/>
      <c r="X1315" s="1"/>
      <c r="Y1315" s="1"/>
      <c r="AB1315" s="1"/>
      <c r="AC1315" s="1"/>
      <c r="AD1315" s="1"/>
      <c r="AE1315" s="1"/>
      <c r="AF1315" s="1"/>
      <c r="AG1315" s="1"/>
      <c r="AH1315" s="1"/>
      <c r="AI1315" s="1"/>
      <c r="AJ1315" s="1"/>
      <c r="AK1315" s="1"/>
      <c r="AL1315" s="1"/>
      <c r="AM1315" s="1"/>
    </row>
    <row r="1316" spans="16:39" x14ac:dyDescent="0.25">
      <c r="P1316" s="49"/>
      <c r="Q1316" s="1"/>
      <c r="S1316" s="1"/>
      <c r="T1316" s="1"/>
      <c r="U1316" s="1"/>
      <c r="V1316" s="1"/>
      <c r="W1316" s="1"/>
      <c r="X1316" s="1"/>
      <c r="Y1316" s="1"/>
      <c r="AB1316" s="1"/>
      <c r="AC1316" s="1"/>
      <c r="AD1316" s="1"/>
      <c r="AE1316" s="1"/>
      <c r="AF1316" s="1"/>
      <c r="AG1316" s="1"/>
      <c r="AH1316" s="1"/>
      <c r="AI1316" s="1"/>
      <c r="AJ1316" s="1"/>
      <c r="AK1316" s="1"/>
      <c r="AL1316" s="1"/>
      <c r="AM1316" s="1"/>
    </row>
    <row r="1317" spans="16:39" x14ac:dyDescent="0.25">
      <c r="P1317" s="49"/>
      <c r="Q1317" s="1"/>
      <c r="S1317" s="1"/>
      <c r="T1317" s="1"/>
      <c r="U1317" s="1"/>
      <c r="V1317" s="1"/>
      <c r="W1317" s="1"/>
      <c r="X1317" s="1"/>
      <c r="Y1317" s="1"/>
      <c r="AB1317" s="1"/>
      <c r="AC1317" s="1"/>
      <c r="AD1317" s="1"/>
      <c r="AE1317" s="1"/>
      <c r="AF1317" s="1"/>
      <c r="AG1317" s="1"/>
      <c r="AH1317" s="1"/>
      <c r="AI1317" s="1"/>
      <c r="AJ1317" s="1"/>
      <c r="AK1317" s="1"/>
      <c r="AL1317" s="1"/>
      <c r="AM1317" s="1"/>
    </row>
    <row r="1318" spans="16:39" x14ac:dyDescent="0.25">
      <c r="P1318" s="49"/>
      <c r="Q1318" s="1"/>
      <c r="S1318" s="1"/>
      <c r="T1318" s="1"/>
      <c r="U1318" s="1"/>
      <c r="V1318" s="1"/>
      <c r="W1318" s="1"/>
      <c r="X1318" s="1"/>
      <c r="Y1318" s="1"/>
      <c r="AB1318" s="1"/>
      <c r="AC1318" s="1"/>
      <c r="AD1318" s="1"/>
      <c r="AE1318" s="1"/>
      <c r="AF1318" s="1"/>
      <c r="AG1318" s="1"/>
      <c r="AH1318" s="1"/>
      <c r="AI1318" s="1"/>
      <c r="AJ1318" s="1"/>
      <c r="AK1318" s="1"/>
      <c r="AL1318" s="1"/>
      <c r="AM1318" s="1"/>
    </row>
    <row r="1319" spans="16:39" x14ac:dyDescent="0.25">
      <c r="P1319" s="49"/>
      <c r="Q1319" s="1"/>
      <c r="S1319" s="1"/>
      <c r="T1319" s="1"/>
      <c r="U1319" s="1"/>
      <c r="V1319" s="1"/>
      <c r="W1319" s="1"/>
      <c r="X1319" s="1"/>
      <c r="Y1319" s="1"/>
      <c r="AB1319" s="1"/>
      <c r="AC1319" s="1"/>
      <c r="AD1319" s="1"/>
      <c r="AE1319" s="1"/>
      <c r="AF1319" s="1"/>
      <c r="AG1319" s="1"/>
      <c r="AH1319" s="1"/>
      <c r="AI1319" s="1"/>
      <c r="AJ1319" s="1"/>
      <c r="AK1319" s="1"/>
      <c r="AL1319" s="1"/>
      <c r="AM1319" s="1"/>
    </row>
    <row r="1320" spans="16:39" x14ac:dyDescent="0.25">
      <c r="P1320" s="49"/>
      <c r="Q1320" s="1"/>
      <c r="S1320" s="1"/>
      <c r="T1320" s="1"/>
      <c r="U1320" s="1"/>
      <c r="V1320" s="1"/>
      <c r="W1320" s="1"/>
      <c r="X1320" s="1"/>
      <c r="Y1320" s="1"/>
      <c r="AB1320" s="1"/>
      <c r="AC1320" s="1"/>
      <c r="AD1320" s="1"/>
      <c r="AE1320" s="1"/>
      <c r="AF1320" s="1"/>
      <c r="AG1320" s="1"/>
      <c r="AH1320" s="1"/>
      <c r="AI1320" s="1"/>
      <c r="AJ1320" s="1"/>
      <c r="AK1320" s="1"/>
      <c r="AL1320" s="1"/>
      <c r="AM1320" s="1"/>
    </row>
    <row r="1321" spans="16:39" x14ac:dyDescent="0.25">
      <c r="P1321" s="49"/>
      <c r="Q1321" s="1"/>
      <c r="S1321" s="1"/>
      <c r="T1321" s="1"/>
      <c r="U1321" s="1"/>
      <c r="V1321" s="1"/>
      <c r="W1321" s="1"/>
      <c r="X1321" s="1"/>
      <c r="Y1321" s="1"/>
      <c r="AB1321" s="1"/>
      <c r="AC1321" s="1"/>
      <c r="AD1321" s="1"/>
      <c r="AE1321" s="1"/>
      <c r="AF1321" s="1"/>
      <c r="AG1321" s="1"/>
      <c r="AH1321" s="1"/>
      <c r="AI1321" s="1"/>
      <c r="AJ1321" s="1"/>
      <c r="AK1321" s="1"/>
      <c r="AL1321" s="1"/>
      <c r="AM1321" s="1"/>
    </row>
    <row r="1322" spans="16:39" x14ac:dyDescent="0.25">
      <c r="P1322" s="49"/>
      <c r="Q1322" s="1"/>
      <c r="S1322" s="1"/>
      <c r="T1322" s="1"/>
      <c r="U1322" s="1"/>
      <c r="V1322" s="1"/>
      <c r="W1322" s="1"/>
      <c r="X1322" s="1"/>
      <c r="Y1322" s="1"/>
      <c r="AB1322" s="1"/>
      <c r="AC1322" s="1"/>
      <c r="AD1322" s="1"/>
      <c r="AE1322" s="1"/>
      <c r="AF1322" s="1"/>
      <c r="AG1322" s="1"/>
      <c r="AH1322" s="1"/>
      <c r="AI1322" s="1"/>
      <c r="AJ1322" s="1"/>
      <c r="AK1322" s="1"/>
      <c r="AL1322" s="1"/>
      <c r="AM1322" s="1"/>
    </row>
    <row r="1323" spans="16:39" x14ac:dyDescent="0.25">
      <c r="P1323" s="49"/>
      <c r="Q1323" s="1"/>
      <c r="S1323" s="1"/>
      <c r="T1323" s="1"/>
      <c r="U1323" s="1"/>
      <c r="V1323" s="1"/>
      <c r="W1323" s="1"/>
      <c r="X1323" s="1"/>
      <c r="Y1323" s="1"/>
      <c r="AB1323" s="1"/>
      <c r="AC1323" s="1"/>
      <c r="AD1323" s="1"/>
      <c r="AE1323" s="1"/>
      <c r="AF1323" s="1"/>
      <c r="AG1323" s="1"/>
      <c r="AH1323" s="1"/>
      <c r="AI1323" s="1"/>
      <c r="AJ1323" s="1"/>
      <c r="AK1323" s="1"/>
      <c r="AL1323" s="1"/>
      <c r="AM1323" s="1"/>
    </row>
    <row r="1324" spans="16:39" x14ac:dyDescent="0.25">
      <c r="P1324" s="49"/>
      <c r="Q1324" s="1"/>
      <c r="S1324" s="1"/>
      <c r="T1324" s="1"/>
      <c r="U1324" s="1"/>
      <c r="V1324" s="1"/>
      <c r="W1324" s="1"/>
      <c r="X1324" s="1"/>
      <c r="Y1324" s="1"/>
      <c r="AB1324" s="1"/>
      <c r="AC1324" s="1"/>
      <c r="AD1324" s="1"/>
      <c r="AE1324" s="1"/>
      <c r="AF1324" s="1"/>
      <c r="AG1324" s="1"/>
      <c r="AH1324" s="1"/>
      <c r="AI1324" s="1"/>
      <c r="AJ1324" s="1"/>
      <c r="AK1324" s="1"/>
      <c r="AL1324" s="1"/>
      <c r="AM1324" s="1"/>
    </row>
    <row r="1325" spans="16:39" x14ac:dyDescent="0.25">
      <c r="P1325" s="49"/>
      <c r="Q1325" s="1"/>
      <c r="S1325" s="1"/>
      <c r="T1325" s="1"/>
      <c r="U1325" s="1"/>
      <c r="V1325" s="1"/>
      <c r="W1325" s="1"/>
      <c r="X1325" s="1"/>
      <c r="Y1325" s="1"/>
      <c r="AB1325" s="1"/>
      <c r="AC1325" s="1"/>
      <c r="AD1325" s="1"/>
      <c r="AE1325" s="1"/>
      <c r="AF1325" s="1"/>
      <c r="AG1325" s="1"/>
      <c r="AH1325" s="1"/>
      <c r="AI1325" s="1"/>
      <c r="AJ1325" s="1"/>
      <c r="AK1325" s="1"/>
      <c r="AL1325" s="1"/>
      <c r="AM1325" s="1"/>
    </row>
    <row r="1326" spans="16:39" x14ac:dyDescent="0.25">
      <c r="P1326" s="49"/>
      <c r="Q1326" s="1"/>
      <c r="S1326" s="1"/>
      <c r="T1326" s="1"/>
      <c r="U1326" s="1"/>
      <c r="V1326" s="1"/>
      <c r="W1326" s="1"/>
      <c r="X1326" s="1"/>
      <c r="Y1326" s="1"/>
      <c r="AB1326" s="1"/>
      <c r="AC1326" s="1"/>
      <c r="AD1326" s="1"/>
      <c r="AE1326" s="1"/>
      <c r="AF1326" s="1"/>
      <c r="AG1326" s="1"/>
      <c r="AH1326" s="1"/>
      <c r="AI1326" s="1"/>
      <c r="AJ1326" s="1"/>
      <c r="AK1326" s="1"/>
      <c r="AL1326" s="1"/>
      <c r="AM1326" s="1"/>
    </row>
    <row r="1327" spans="16:39" x14ac:dyDescent="0.25">
      <c r="P1327" s="49"/>
      <c r="Q1327" s="1"/>
      <c r="S1327" s="1"/>
      <c r="T1327" s="1"/>
      <c r="U1327" s="1"/>
      <c r="V1327" s="1"/>
      <c r="W1327" s="1"/>
      <c r="X1327" s="1"/>
      <c r="Y1327" s="1"/>
      <c r="AB1327" s="1"/>
      <c r="AC1327" s="1"/>
      <c r="AD1327" s="1"/>
      <c r="AE1327" s="1"/>
      <c r="AF1327" s="1"/>
      <c r="AG1327" s="1"/>
      <c r="AH1327" s="1"/>
      <c r="AI1327" s="1"/>
      <c r="AJ1327" s="1"/>
      <c r="AK1327" s="1"/>
      <c r="AL1327" s="1"/>
      <c r="AM1327" s="1"/>
    </row>
    <row r="1328" spans="16:39" x14ac:dyDescent="0.25">
      <c r="P1328" s="49"/>
      <c r="Q1328" s="1"/>
      <c r="S1328" s="1"/>
      <c r="T1328" s="1"/>
      <c r="U1328" s="1"/>
      <c r="V1328" s="1"/>
      <c r="W1328" s="1"/>
      <c r="X1328" s="1"/>
      <c r="Y1328" s="1"/>
      <c r="AB1328" s="1"/>
      <c r="AC1328" s="1"/>
      <c r="AD1328" s="1"/>
      <c r="AE1328" s="1"/>
      <c r="AF1328" s="1"/>
      <c r="AG1328" s="1"/>
      <c r="AH1328" s="1"/>
      <c r="AI1328" s="1"/>
      <c r="AJ1328" s="1"/>
      <c r="AK1328" s="1"/>
      <c r="AL1328" s="1"/>
      <c r="AM1328" s="1"/>
    </row>
    <row r="1329" spans="16:39" x14ac:dyDescent="0.25">
      <c r="P1329" s="49"/>
      <c r="Q1329" s="1"/>
      <c r="S1329" s="1"/>
      <c r="T1329" s="1"/>
      <c r="U1329" s="1"/>
      <c r="V1329" s="1"/>
      <c r="W1329" s="1"/>
      <c r="X1329" s="1"/>
      <c r="Y1329" s="1"/>
      <c r="AB1329" s="1"/>
      <c r="AC1329" s="1"/>
      <c r="AD1329" s="1"/>
      <c r="AE1329" s="1"/>
      <c r="AF1329" s="1"/>
      <c r="AG1329" s="1"/>
      <c r="AH1329" s="1"/>
      <c r="AI1329" s="1"/>
      <c r="AJ1329" s="1"/>
      <c r="AK1329" s="1"/>
      <c r="AL1329" s="1"/>
      <c r="AM1329" s="1"/>
    </row>
    <row r="1330" spans="16:39" x14ac:dyDescent="0.25">
      <c r="P1330" s="49"/>
      <c r="Q1330" s="1"/>
      <c r="S1330" s="1"/>
      <c r="T1330" s="1"/>
      <c r="U1330" s="1"/>
      <c r="V1330" s="1"/>
      <c r="W1330" s="1"/>
      <c r="X1330" s="1"/>
      <c r="Y1330" s="1"/>
      <c r="AB1330" s="1"/>
      <c r="AC1330" s="1"/>
      <c r="AD1330" s="1"/>
      <c r="AE1330" s="1"/>
      <c r="AF1330" s="1"/>
      <c r="AG1330" s="1"/>
      <c r="AH1330" s="1"/>
      <c r="AI1330" s="1"/>
      <c r="AJ1330" s="1"/>
      <c r="AK1330" s="1"/>
      <c r="AL1330" s="1"/>
      <c r="AM1330" s="1"/>
    </row>
    <row r="1331" spans="16:39" x14ac:dyDescent="0.25">
      <c r="P1331" s="49"/>
      <c r="Q1331" s="1"/>
      <c r="S1331" s="1"/>
      <c r="T1331" s="1"/>
      <c r="U1331" s="1"/>
      <c r="V1331" s="1"/>
      <c r="W1331" s="1"/>
      <c r="X1331" s="1"/>
      <c r="Y1331" s="1"/>
      <c r="AB1331" s="1"/>
      <c r="AC1331" s="1"/>
      <c r="AD1331" s="1"/>
      <c r="AE1331" s="1"/>
      <c r="AF1331" s="1"/>
      <c r="AG1331" s="1"/>
      <c r="AH1331" s="1"/>
      <c r="AI1331" s="1"/>
      <c r="AJ1331" s="1"/>
      <c r="AK1331" s="1"/>
      <c r="AL1331" s="1"/>
      <c r="AM1331" s="1"/>
    </row>
    <row r="1332" spans="16:39" x14ac:dyDescent="0.25">
      <c r="P1332" s="49"/>
      <c r="Q1332" s="1"/>
      <c r="S1332" s="1"/>
      <c r="T1332" s="1"/>
      <c r="U1332" s="1"/>
      <c r="V1332" s="1"/>
      <c r="W1332" s="1"/>
      <c r="X1332" s="1"/>
      <c r="Y1332" s="1"/>
      <c r="AB1332" s="1"/>
      <c r="AC1332" s="1"/>
      <c r="AD1332" s="1"/>
      <c r="AE1332" s="1"/>
      <c r="AF1332" s="1"/>
      <c r="AG1332" s="1"/>
      <c r="AH1332" s="1"/>
      <c r="AI1332" s="1"/>
      <c r="AJ1332" s="1"/>
      <c r="AK1332" s="1"/>
      <c r="AL1332" s="1"/>
      <c r="AM1332" s="1"/>
    </row>
    <row r="1333" spans="16:39" x14ac:dyDescent="0.25">
      <c r="P1333" s="49"/>
      <c r="Q1333" s="1"/>
      <c r="S1333" s="1"/>
      <c r="T1333" s="1"/>
      <c r="U1333" s="1"/>
      <c r="V1333" s="1"/>
      <c r="W1333" s="1"/>
      <c r="X1333" s="1"/>
      <c r="Y1333" s="1"/>
      <c r="AB1333" s="1"/>
      <c r="AC1333" s="1"/>
      <c r="AD1333" s="1"/>
      <c r="AE1333" s="1"/>
      <c r="AF1333" s="1"/>
      <c r="AG1333" s="1"/>
      <c r="AH1333" s="1"/>
      <c r="AI1333" s="1"/>
      <c r="AJ1333" s="1"/>
      <c r="AK1333" s="1"/>
      <c r="AL1333" s="1"/>
      <c r="AM1333" s="1"/>
    </row>
    <row r="1334" spans="16:39" x14ac:dyDescent="0.25">
      <c r="P1334" s="49"/>
      <c r="Q1334" s="1"/>
      <c r="S1334" s="1"/>
      <c r="T1334" s="1"/>
      <c r="U1334" s="1"/>
      <c r="V1334" s="1"/>
      <c r="W1334" s="1"/>
      <c r="X1334" s="1"/>
      <c r="Y1334" s="1"/>
      <c r="AB1334" s="1"/>
      <c r="AC1334" s="1"/>
      <c r="AD1334" s="1"/>
      <c r="AE1334" s="1"/>
      <c r="AF1334" s="1"/>
      <c r="AG1334" s="1"/>
      <c r="AH1334" s="1"/>
      <c r="AI1334" s="1"/>
      <c r="AJ1334" s="1"/>
      <c r="AK1334" s="1"/>
      <c r="AL1334" s="1"/>
      <c r="AM1334" s="1"/>
    </row>
    <row r="1335" spans="16:39" x14ac:dyDescent="0.25">
      <c r="P1335" s="49"/>
      <c r="Q1335" s="1"/>
      <c r="S1335" s="1"/>
      <c r="T1335" s="1"/>
      <c r="U1335" s="1"/>
      <c r="V1335" s="1"/>
      <c r="W1335" s="1"/>
      <c r="X1335" s="1"/>
      <c r="Y1335" s="1"/>
      <c r="AB1335" s="1"/>
      <c r="AC1335" s="1"/>
      <c r="AD1335" s="1"/>
      <c r="AE1335" s="1"/>
      <c r="AF1335" s="1"/>
      <c r="AG1335" s="1"/>
      <c r="AH1335" s="1"/>
      <c r="AI1335" s="1"/>
      <c r="AJ1335" s="1"/>
      <c r="AK1335" s="1"/>
      <c r="AL1335" s="1"/>
      <c r="AM1335" s="1"/>
    </row>
    <row r="1336" spans="16:39" x14ac:dyDescent="0.25">
      <c r="P1336" s="49"/>
      <c r="Q1336" s="1"/>
      <c r="S1336" s="1"/>
      <c r="T1336" s="1"/>
      <c r="U1336" s="1"/>
      <c r="V1336" s="1"/>
      <c r="W1336" s="1"/>
      <c r="X1336" s="1"/>
      <c r="Y1336" s="1"/>
      <c r="AB1336" s="1"/>
      <c r="AC1336" s="1"/>
      <c r="AD1336" s="1"/>
      <c r="AE1336" s="1"/>
      <c r="AF1336" s="1"/>
      <c r="AG1336" s="1"/>
      <c r="AH1336" s="1"/>
      <c r="AI1336" s="1"/>
      <c r="AJ1336" s="1"/>
      <c r="AK1336" s="1"/>
      <c r="AL1336" s="1"/>
      <c r="AM1336" s="1"/>
    </row>
    <row r="1337" spans="16:39" x14ac:dyDescent="0.25">
      <c r="P1337" s="49"/>
      <c r="Q1337" s="1"/>
      <c r="S1337" s="1"/>
      <c r="T1337" s="1"/>
      <c r="U1337" s="1"/>
      <c r="V1337" s="1"/>
      <c r="W1337" s="1"/>
      <c r="X1337" s="1"/>
      <c r="Y1337" s="1"/>
      <c r="AB1337" s="1"/>
      <c r="AC1337" s="1"/>
      <c r="AD1337" s="1"/>
      <c r="AE1337" s="1"/>
      <c r="AF1337" s="1"/>
      <c r="AG1337" s="1"/>
      <c r="AH1337" s="1"/>
      <c r="AI1337" s="1"/>
      <c r="AJ1337" s="1"/>
      <c r="AK1337" s="1"/>
      <c r="AL1337" s="1"/>
      <c r="AM1337" s="1"/>
    </row>
    <row r="1338" spans="16:39" x14ac:dyDescent="0.25">
      <c r="P1338" s="49"/>
      <c r="Q1338" s="1"/>
      <c r="S1338" s="1"/>
      <c r="T1338" s="1"/>
      <c r="U1338" s="1"/>
      <c r="V1338" s="1"/>
      <c r="W1338" s="1"/>
      <c r="X1338" s="1"/>
      <c r="Y1338" s="1"/>
      <c r="AB1338" s="1"/>
      <c r="AC1338" s="1"/>
      <c r="AD1338" s="1"/>
      <c r="AE1338" s="1"/>
      <c r="AF1338" s="1"/>
      <c r="AG1338" s="1"/>
      <c r="AH1338" s="1"/>
      <c r="AI1338" s="1"/>
      <c r="AJ1338" s="1"/>
      <c r="AK1338" s="1"/>
      <c r="AL1338" s="1"/>
      <c r="AM1338" s="1"/>
    </row>
    <row r="1339" spans="16:39" x14ac:dyDescent="0.25">
      <c r="P1339" s="49"/>
      <c r="Q1339" s="1"/>
      <c r="S1339" s="1"/>
      <c r="T1339" s="1"/>
      <c r="U1339" s="1"/>
      <c r="V1339" s="1"/>
      <c r="W1339" s="1"/>
      <c r="X1339" s="1"/>
      <c r="Y1339" s="1"/>
      <c r="AB1339" s="1"/>
      <c r="AC1339" s="1"/>
      <c r="AD1339" s="1"/>
      <c r="AE1339" s="1"/>
      <c r="AF1339" s="1"/>
      <c r="AG1339" s="1"/>
      <c r="AH1339" s="1"/>
      <c r="AI1339" s="1"/>
      <c r="AJ1339" s="1"/>
      <c r="AK1339" s="1"/>
      <c r="AL1339" s="1"/>
      <c r="AM1339" s="1"/>
    </row>
    <row r="1340" spans="16:39" x14ac:dyDescent="0.25">
      <c r="P1340" s="49"/>
      <c r="Q1340" s="1"/>
      <c r="S1340" s="1"/>
      <c r="T1340" s="1"/>
      <c r="U1340" s="1"/>
      <c r="V1340" s="1"/>
      <c r="W1340" s="1"/>
      <c r="X1340" s="1"/>
      <c r="Y1340" s="1"/>
      <c r="AB1340" s="1"/>
      <c r="AC1340" s="1"/>
      <c r="AD1340" s="1"/>
      <c r="AE1340" s="1"/>
      <c r="AF1340" s="1"/>
      <c r="AG1340" s="1"/>
      <c r="AH1340" s="1"/>
      <c r="AI1340" s="1"/>
      <c r="AJ1340" s="1"/>
      <c r="AK1340" s="1"/>
      <c r="AL1340" s="1"/>
      <c r="AM1340" s="1"/>
    </row>
    <row r="1341" spans="16:39" x14ac:dyDescent="0.25">
      <c r="P1341" s="49"/>
      <c r="Q1341" s="1"/>
      <c r="S1341" s="1"/>
      <c r="T1341" s="1"/>
      <c r="U1341" s="1"/>
      <c r="V1341" s="1"/>
      <c r="W1341" s="1"/>
      <c r="X1341" s="1"/>
      <c r="Y1341" s="1"/>
      <c r="AB1341" s="1"/>
      <c r="AC1341" s="1"/>
      <c r="AD1341" s="1"/>
      <c r="AE1341" s="1"/>
      <c r="AF1341" s="1"/>
      <c r="AG1341" s="1"/>
      <c r="AH1341" s="1"/>
      <c r="AI1341" s="1"/>
      <c r="AJ1341" s="1"/>
      <c r="AK1341" s="1"/>
      <c r="AL1341" s="1"/>
      <c r="AM1341" s="1"/>
    </row>
    <row r="1342" spans="16:39" x14ac:dyDescent="0.25">
      <c r="P1342" s="49"/>
      <c r="Q1342" s="1"/>
      <c r="S1342" s="1"/>
      <c r="T1342" s="1"/>
      <c r="U1342" s="1"/>
      <c r="V1342" s="1"/>
      <c r="W1342" s="1"/>
      <c r="X1342" s="1"/>
      <c r="Y1342" s="1"/>
      <c r="AB1342" s="1"/>
      <c r="AC1342" s="1"/>
      <c r="AD1342" s="1"/>
      <c r="AE1342" s="1"/>
      <c r="AF1342" s="1"/>
      <c r="AG1342" s="1"/>
      <c r="AH1342" s="1"/>
      <c r="AI1342" s="1"/>
      <c r="AJ1342" s="1"/>
      <c r="AK1342" s="1"/>
      <c r="AL1342" s="1"/>
      <c r="AM1342" s="1"/>
    </row>
    <row r="1343" spans="16:39" x14ac:dyDescent="0.25">
      <c r="P1343" s="49"/>
      <c r="Q1343" s="1"/>
      <c r="S1343" s="1"/>
      <c r="T1343" s="1"/>
      <c r="U1343" s="1"/>
      <c r="V1343" s="1"/>
      <c r="W1343" s="1"/>
      <c r="X1343" s="1"/>
      <c r="Y1343" s="1"/>
      <c r="AB1343" s="1"/>
      <c r="AC1343" s="1"/>
      <c r="AD1343" s="1"/>
      <c r="AE1343" s="1"/>
      <c r="AF1343" s="1"/>
      <c r="AG1343" s="1"/>
      <c r="AH1343" s="1"/>
      <c r="AI1343" s="1"/>
      <c r="AJ1343" s="1"/>
      <c r="AK1343" s="1"/>
      <c r="AL1343" s="1"/>
      <c r="AM1343" s="1"/>
    </row>
    <row r="1344" spans="16:39" x14ac:dyDescent="0.25">
      <c r="P1344" s="49"/>
      <c r="Q1344" s="1"/>
      <c r="S1344" s="1"/>
      <c r="T1344" s="1"/>
      <c r="U1344" s="1"/>
      <c r="V1344" s="1"/>
      <c r="W1344" s="1"/>
      <c r="X1344" s="1"/>
      <c r="Y1344" s="1"/>
      <c r="AB1344" s="1"/>
      <c r="AC1344" s="1"/>
      <c r="AD1344" s="1"/>
      <c r="AE1344" s="1"/>
      <c r="AF1344" s="1"/>
      <c r="AG1344" s="1"/>
      <c r="AH1344" s="1"/>
      <c r="AI1344" s="1"/>
      <c r="AJ1344" s="1"/>
      <c r="AK1344" s="1"/>
      <c r="AL1344" s="1"/>
      <c r="AM1344" s="1"/>
    </row>
    <row r="1345" spans="16:39" x14ac:dyDescent="0.25">
      <c r="P1345" s="49"/>
      <c r="Q1345" s="1"/>
      <c r="S1345" s="1"/>
      <c r="T1345" s="1"/>
      <c r="U1345" s="1"/>
      <c r="V1345" s="1"/>
      <c r="W1345" s="1"/>
      <c r="X1345" s="1"/>
      <c r="Y1345" s="1"/>
      <c r="AB1345" s="1"/>
      <c r="AC1345" s="1"/>
      <c r="AD1345" s="1"/>
      <c r="AE1345" s="1"/>
      <c r="AF1345" s="1"/>
      <c r="AG1345" s="1"/>
      <c r="AH1345" s="1"/>
      <c r="AI1345" s="1"/>
      <c r="AJ1345" s="1"/>
      <c r="AK1345" s="1"/>
      <c r="AL1345" s="1"/>
      <c r="AM1345" s="1"/>
    </row>
    <row r="1346" spans="16:39" x14ac:dyDescent="0.25">
      <c r="P1346" s="49"/>
      <c r="Q1346" s="1"/>
      <c r="S1346" s="1"/>
      <c r="T1346" s="1"/>
      <c r="U1346" s="1"/>
      <c r="V1346" s="1"/>
      <c r="W1346" s="1"/>
      <c r="X1346" s="1"/>
      <c r="Y1346" s="1"/>
      <c r="AB1346" s="1"/>
      <c r="AC1346" s="1"/>
      <c r="AD1346" s="1"/>
      <c r="AE1346" s="1"/>
      <c r="AF1346" s="1"/>
      <c r="AG1346" s="1"/>
      <c r="AH1346" s="1"/>
      <c r="AI1346" s="1"/>
      <c r="AJ1346" s="1"/>
      <c r="AK1346" s="1"/>
      <c r="AL1346" s="1"/>
      <c r="AM1346" s="1"/>
    </row>
    <row r="1347" spans="16:39" x14ac:dyDescent="0.25">
      <c r="P1347" s="49"/>
      <c r="Q1347" s="1"/>
      <c r="S1347" s="1"/>
      <c r="T1347" s="1"/>
      <c r="U1347" s="1"/>
      <c r="V1347" s="1"/>
      <c r="W1347" s="1"/>
      <c r="X1347" s="1"/>
      <c r="Y1347" s="1"/>
      <c r="AB1347" s="1"/>
      <c r="AC1347" s="1"/>
      <c r="AD1347" s="1"/>
      <c r="AE1347" s="1"/>
      <c r="AF1347" s="1"/>
      <c r="AG1347" s="1"/>
      <c r="AH1347" s="1"/>
      <c r="AI1347" s="1"/>
      <c r="AJ1347" s="1"/>
      <c r="AK1347" s="1"/>
      <c r="AL1347" s="1"/>
      <c r="AM1347" s="1"/>
    </row>
    <row r="1348" spans="16:39" x14ac:dyDescent="0.25">
      <c r="P1348" s="49"/>
      <c r="Q1348" s="1"/>
      <c r="S1348" s="1"/>
      <c r="T1348" s="1"/>
      <c r="U1348" s="1"/>
      <c r="V1348" s="1"/>
      <c r="W1348" s="1"/>
      <c r="X1348" s="1"/>
      <c r="Y1348" s="1"/>
      <c r="AB1348" s="1"/>
      <c r="AC1348" s="1"/>
      <c r="AD1348" s="1"/>
      <c r="AE1348" s="1"/>
      <c r="AF1348" s="1"/>
      <c r="AG1348" s="1"/>
      <c r="AH1348" s="1"/>
      <c r="AI1348" s="1"/>
      <c r="AJ1348" s="1"/>
      <c r="AK1348" s="1"/>
      <c r="AL1348" s="1"/>
      <c r="AM1348" s="1"/>
    </row>
    <row r="1349" spans="16:39" x14ac:dyDescent="0.25">
      <c r="P1349" s="49"/>
      <c r="Q1349" s="1"/>
      <c r="S1349" s="1"/>
      <c r="T1349" s="1"/>
      <c r="U1349" s="1"/>
      <c r="V1349" s="1"/>
      <c r="W1349" s="1"/>
      <c r="X1349" s="1"/>
      <c r="Y1349" s="1"/>
      <c r="AB1349" s="1"/>
      <c r="AC1349" s="1"/>
      <c r="AD1349" s="1"/>
      <c r="AE1349" s="1"/>
      <c r="AF1349" s="1"/>
      <c r="AG1349" s="1"/>
      <c r="AH1349" s="1"/>
      <c r="AI1349" s="1"/>
      <c r="AJ1349" s="1"/>
      <c r="AK1349" s="1"/>
      <c r="AL1349" s="1"/>
      <c r="AM1349" s="1"/>
    </row>
    <row r="1350" spans="16:39" x14ac:dyDescent="0.25">
      <c r="P1350" s="49"/>
      <c r="Q1350" s="1"/>
      <c r="S1350" s="1"/>
      <c r="T1350" s="1"/>
      <c r="U1350" s="1"/>
      <c r="V1350" s="1"/>
      <c r="W1350" s="1"/>
      <c r="X1350" s="1"/>
      <c r="Y1350" s="1"/>
      <c r="AB1350" s="1"/>
      <c r="AC1350" s="1"/>
      <c r="AD1350" s="1"/>
      <c r="AE1350" s="1"/>
      <c r="AF1350" s="1"/>
      <c r="AG1350" s="1"/>
      <c r="AH1350" s="1"/>
      <c r="AI1350" s="1"/>
      <c r="AJ1350" s="1"/>
      <c r="AK1350" s="1"/>
      <c r="AL1350" s="1"/>
      <c r="AM1350" s="1"/>
    </row>
    <row r="1351" spans="16:39" x14ac:dyDescent="0.25">
      <c r="P1351" s="49"/>
      <c r="Q1351" s="1"/>
      <c r="S1351" s="1"/>
      <c r="T1351" s="1"/>
      <c r="U1351" s="1"/>
      <c r="V1351" s="1"/>
      <c r="W1351" s="1"/>
      <c r="X1351" s="1"/>
      <c r="Y1351" s="1"/>
      <c r="AB1351" s="1"/>
      <c r="AC1351" s="1"/>
      <c r="AD1351" s="1"/>
      <c r="AE1351" s="1"/>
      <c r="AF1351" s="1"/>
      <c r="AG1351" s="1"/>
      <c r="AH1351" s="1"/>
      <c r="AI1351" s="1"/>
      <c r="AJ1351" s="1"/>
      <c r="AK1351" s="1"/>
      <c r="AL1351" s="1"/>
      <c r="AM1351" s="1"/>
    </row>
    <row r="1352" spans="16:39" x14ac:dyDescent="0.25">
      <c r="P1352" s="49"/>
      <c r="Q1352" s="1"/>
      <c r="S1352" s="1"/>
      <c r="T1352" s="1"/>
      <c r="U1352" s="1"/>
      <c r="V1352" s="1"/>
      <c r="W1352" s="1"/>
      <c r="X1352" s="1"/>
      <c r="Y1352" s="1"/>
      <c r="AB1352" s="1"/>
      <c r="AC1352" s="1"/>
      <c r="AD1352" s="1"/>
      <c r="AE1352" s="1"/>
      <c r="AF1352" s="1"/>
      <c r="AG1352" s="1"/>
      <c r="AH1352" s="1"/>
      <c r="AI1352" s="1"/>
      <c r="AJ1352" s="1"/>
      <c r="AK1352" s="1"/>
      <c r="AL1352" s="1"/>
      <c r="AM1352" s="1"/>
    </row>
    <row r="1353" spans="16:39" x14ac:dyDescent="0.25">
      <c r="P1353" s="49"/>
      <c r="Q1353" s="1"/>
      <c r="S1353" s="1"/>
      <c r="T1353" s="1"/>
      <c r="U1353" s="1"/>
      <c r="V1353" s="1"/>
      <c r="W1353" s="1"/>
      <c r="X1353" s="1"/>
      <c r="Y1353" s="1"/>
      <c r="AB1353" s="1"/>
      <c r="AC1353" s="1"/>
      <c r="AD1353" s="1"/>
      <c r="AE1353" s="1"/>
      <c r="AF1353" s="1"/>
      <c r="AG1353" s="1"/>
      <c r="AH1353" s="1"/>
      <c r="AI1353" s="1"/>
      <c r="AJ1353" s="1"/>
      <c r="AK1353" s="1"/>
      <c r="AL1353" s="1"/>
      <c r="AM1353" s="1"/>
    </row>
    <row r="1354" spans="16:39" x14ac:dyDescent="0.25">
      <c r="P1354" s="49"/>
      <c r="Q1354" s="1"/>
      <c r="S1354" s="1"/>
      <c r="T1354" s="1"/>
      <c r="U1354" s="1"/>
      <c r="V1354" s="1"/>
      <c r="W1354" s="1"/>
      <c r="X1354" s="1"/>
      <c r="Y1354" s="1"/>
      <c r="AB1354" s="1"/>
      <c r="AC1354" s="1"/>
      <c r="AD1354" s="1"/>
      <c r="AE1354" s="1"/>
      <c r="AF1354" s="1"/>
      <c r="AG1354" s="1"/>
      <c r="AH1354" s="1"/>
      <c r="AI1354" s="1"/>
      <c r="AJ1354" s="1"/>
      <c r="AK1354" s="1"/>
      <c r="AL1354" s="1"/>
      <c r="AM1354" s="1"/>
    </row>
    <row r="1355" spans="16:39" x14ac:dyDescent="0.25">
      <c r="P1355" s="49"/>
      <c r="Q1355" s="1"/>
      <c r="S1355" s="1"/>
      <c r="T1355" s="1"/>
      <c r="U1355" s="1"/>
      <c r="V1355" s="1"/>
      <c r="W1355" s="1"/>
      <c r="X1355" s="1"/>
      <c r="Y1355" s="1"/>
      <c r="AB1355" s="1"/>
      <c r="AC1355" s="1"/>
      <c r="AD1355" s="1"/>
      <c r="AE1355" s="1"/>
      <c r="AF1355" s="1"/>
      <c r="AG1355" s="1"/>
      <c r="AH1355" s="1"/>
      <c r="AI1355" s="1"/>
      <c r="AJ1355" s="1"/>
      <c r="AK1355" s="1"/>
      <c r="AL1355" s="1"/>
      <c r="AM1355" s="1"/>
    </row>
    <row r="1356" spans="16:39" x14ac:dyDescent="0.25">
      <c r="P1356" s="49"/>
      <c r="Q1356" s="1"/>
      <c r="S1356" s="1"/>
      <c r="T1356" s="1"/>
      <c r="U1356" s="1"/>
      <c r="V1356" s="1"/>
      <c r="W1356" s="1"/>
      <c r="X1356" s="1"/>
      <c r="Y1356" s="1"/>
      <c r="AB1356" s="1"/>
      <c r="AC1356" s="1"/>
      <c r="AD1356" s="1"/>
      <c r="AE1356" s="1"/>
      <c r="AF1356" s="1"/>
      <c r="AG1356" s="1"/>
      <c r="AH1356" s="1"/>
      <c r="AI1356" s="1"/>
      <c r="AJ1356" s="1"/>
      <c r="AK1356" s="1"/>
      <c r="AL1356" s="1"/>
      <c r="AM1356" s="1"/>
    </row>
    <row r="1357" spans="16:39" x14ac:dyDescent="0.25">
      <c r="P1357" s="49"/>
      <c r="Q1357" s="1"/>
      <c r="S1357" s="1"/>
      <c r="T1357" s="1"/>
      <c r="U1357" s="1"/>
      <c r="V1357" s="1"/>
      <c r="W1357" s="1"/>
      <c r="X1357" s="1"/>
      <c r="Y1357" s="1"/>
      <c r="AB1357" s="1"/>
      <c r="AC1357" s="1"/>
      <c r="AD1357" s="1"/>
      <c r="AE1357" s="1"/>
      <c r="AF1357" s="1"/>
      <c r="AG1357" s="1"/>
      <c r="AH1357" s="1"/>
      <c r="AI1357" s="1"/>
      <c r="AJ1357" s="1"/>
      <c r="AK1357" s="1"/>
      <c r="AL1357" s="1"/>
      <c r="AM1357" s="1"/>
    </row>
    <row r="1358" spans="16:39" x14ac:dyDescent="0.25">
      <c r="P1358" s="49"/>
      <c r="Q1358" s="1"/>
      <c r="S1358" s="1"/>
      <c r="T1358" s="1"/>
      <c r="U1358" s="1"/>
      <c r="V1358" s="1"/>
      <c r="W1358" s="1"/>
      <c r="X1358" s="1"/>
      <c r="Y1358" s="1"/>
      <c r="AB1358" s="1"/>
      <c r="AC1358" s="1"/>
      <c r="AD1358" s="1"/>
      <c r="AE1358" s="1"/>
      <c r="AF1358" s="1"/>
      <c r="AG1358" s="1"/>
      <c r="AH1358" s="1"/>
      <c r="AI1358" s="1"/>
      <c r="AJ1358" s="1"/>
      <c r="AK1358" s="1"/>
      <c r="AL1358" s="1"/>
      <c r="AM1358" s="1"/>
    </row>
    <row r="1359" spans="16:39" x14ac:dyDescent="0.25">
      <c r="P1359" s="49"/>
      <c r="Q1359" s="1"/>
      <c r="S1359" s="1"/>
      <c r="T1359" s="1"/>
      <c r="U1359" s="1"/>
      <c r="V1359" s="1"/>
      <c r="W1359" s="1"/>
      <c r="X1359" s="1"/>
      <c r="Y1359" s="1"/>
      <c r="AB1359" s="1"/>
      <c r="AC1359" s="1"/>
      <c r="AD1359" s="1"/>
      <c r="AE1359" s="1"/>
      <c r="AF1359" s="1"/>
      <c r="AG1359" s="1"/>
      <c r="AH1359" s="1"/>
      <c r="AI1359" s="1"/>
      <c r="AJ1359" s="1"/>
      <c r="AK1359" s="1"/>
      <c r="AL1359" s="1"/>
      <c r="AM1359" s="1"/>
    </row>
    <row r="1360" spans="16:39" x14ac:dyDescent="0.25">
      <c r="P1360" s="49"/>
      <c r="Q1360" s="1"/>
      <c r="S1360" s="1"/>
      <c r="T1360" s="1"/>
      <c r="U1360" s="1"/>
      <c r="V1360" s="1"/>
      <c r="W1360" s="1"/>
      <c r="X1360" s="1"/>
      <c r="Y1360" s="1"/>
      <c r="AB1360" s="1"/>
      <c r="AC1360" s="1"/>
      <c r="AD1360" s="1"/>
      <c r="AE1360" s="1"/>
      <c r="AF1360" s="1"/>
      <c r="AG1360" s="1"/>
      <c r="AH1360" s="1"/>
      <c r="AI1360" s="1"/>
      <c r="AJ1360" s="1"/>
      <c r="AK1360" s="1"/>
      <c r="AL1360" s="1"/>
      <c r="AM1360" s="1"/>
    </row>
    <row r="1361" spans="16:39" x14ac:dyDescent="0.25">
      <c r="P1361" s="49"/>
      <c r="Q1361" s="1"/>
      <c r="S1361" s="1"/>
      <c r="T1361" s="1"/>
      <c r="U1361" s="1"/>
      <c r="V1361" s="1"/>
      <c r="W1361" s="1"/>
      <c r="X1361" s="1"/>
      <c r="Y1361" s="1"/>
      <c r="AB1361" s="1"/>
      <c r="AC1361" s="1"/>
      <c r="AD1361" s="1"/>
      <c r="AE1361" s="1"/>
      <c r="AF1361" s="1"/>
      <c r="AG1361" s="1"/>
      <c r="AH1361" s="1"/>
      <c r="AI1361" s="1"/>
      <c r="AJ1361" s="1"/>
      <c r="AK1361" s="1"/>
      <c r="AL1361" s="1"/>
      <c r="AM1361" s="1"/>
    </row>
    <row r="1362" spans="16:39" x14ac:dyDescent="0.25">
      <c r="P1362" s="49"/>
      <c r="Q1362" s="1"/>
      <c r="S1362" s="1"/>
      <c r="T1362" s="1"/>
      <c r="U1362" s="1"/>
      <c r="V1362" s="1"/>
      <c r="W1362" s="1"/>
      <c r="X1362" s="1"/>
      <c r="Y1362" s="1"/>
      <c r="AB1362" s="1"/>
      <c r="AC1362" s="1"/>
      <c r="AD1362" s="1"/>
      <c r="AE1362" s="1"/>
      <c r="AF1362" s="1"/>
      <c r="AG1362" s="1"/>
      <c r="AH1362" s="1"/>
      <c r="AI1362" s="1"/>
      <c r="AJ1362" s="1"/>
      <c r="AK1362" s="1"/>
      <c r="AL1362" s="1"/>
      <c r="AM1362" s="1"/>
    </row>
    <row r="1363" spans="16:39" x14ac:dyDescent="0.25">
      <c r="P1363" s="49"/>
      <c r="Q1363" s="1"/>
      <c r="S1363" s="1"/>
      <c r="T1363" s="1"/>
      <c r="U1363" s="1"/>
      <c r="V1363" s="1"/>
      <c r="W1363" s="1"/>
      <c r="X1363" s="1"/>
      <c r="Y1363" s="1"/>
      <c r="AB1363" s="1"/>
      <c r="AC1363" s="1"/>
      <c r="AD1363" s="1"/>
      <c r="AE1363" s="1"/>
      <c r="AF1363" s="1"/>
      <c r="AG1363" s="1"/>
      <c r="AH1363" s="1"/>
      <c r="AI1363" s="1"/>
      <c r="AJ1363" s="1"/>
      <c r="AK1363" s="1"/>
      <c r="AL1363" s="1"/>
      <c r="AM1363" s="1"/>
    </row>
    <row r="1364" spans="16:39" x14ac:dyDescent="0.25">
      <c r="P1364" s="49"/>
      <c r="Q1364" s="1"/>
      <c r="S1364" s="1"/>
      <c r="T1364" s="1"/>
      <c r="U1364" s="1"/>
      <c r="V1364" s="1"/>
      <c r="W1364" s="1"/>
      <c r="X1364" s="1"/>
      <c r="Y1364" s="1"/>
      <c r="AB1364" s="1"/>
      <c r="AC1364" s="1"/>
      <c r="AD1364" s="1"/>
      <c r="AE1364" s="1"/>
      <c r="AF1364" s="1"/>
      <c r="AG1364" s="1"/>
      <c r="AH1364" s="1"/>
      <c r="AI1364" s="1"/>
      <c r="AJ1364" s="1"/>
      <c r="AK1364" s="1"/>
      <c r="AL1364" s="1"/>
      <c r="AM1364" s="1"/>
    </row>
    <row r="1365" spans="16:39" x14ac:dyDescent="0.25">
      <c r="P1365" s="49"/>
      <c r="Q1365" s="1"/>
      <c r="S1365" s="1"/>
      <c r="T1365" s="1"/>
      <c r="U1365" s="1"/>
      <c r="V1365" s="1"/>
      <c r="W1365" s="1"/>
      <c r="X1365" s="1"/>
      <c r="Y1365" s="1"/>
      <c r="AB1365" s="1"/>
      <c r="AC1365" s="1"/>
      <c r="AD1365" s="1"/>
      <c r="AE1365" s="1"/>
      <c r="AF1365" s="1"/>
      <c r="AG1365" s="1"/>
      <c r="AH1365" s="1"/>
      <c r="AI1365" s="1"/>
      <c r="AJ1365" s="1"/>
      <c r="AK1365" s="1"/>
      <c r="AL1365" s="1"/>
      <c r="AM1365" s="1"/>
    </row>
    <row r="1366" spans="16:39" x14ac:dyDescent="0.25">
      <c r="P1366" s="49"/>
      <c r="Q1366" s="1"/>
      <c r="S1366" s="1"/>
      <c r="T1366" s="1"/>
      <c r="U1366" s="1"/>
      <c r="V1366" s="1"/>
      <c r="W1366" s="1"/>
      <c r="X1366" s="1"/>
      <c r="Y1366" s="1"/>
      <c r="AB1366" s="1"/>
      <c r="AC1366" s="1"/>
      <c r="AD1366" s="1"/>
      <c r="AE1366" s="1"/>
      <c r="AF1366" s="1"/>
      <c r="AG1366" s="1"/>
      <c r="AH1366" s="1"/>
      <c r="AI1366" s="1"/>
      <c r="AJ1366" s="1"/>
      <c r="AK1366" s="1"/>
      <c r="AL1366" s="1"/>
      <c r="AM1366" s="1"/>
    </row>
    <row r="1367" spans="16:39" x14ac:dyDescent="0.25">
      <c r="P1367" s="49"/>
      <c r="Q1367" s="1"/>
      <c r="S1367" s="1"/>
      <c r="T1367" s="1"/>
      <c r="U1367" s="1"/>
      <c r="V1367" s="1"/>
      <c r="W1367" s="1"/>
      <c r="X1367" s="1"/>
      <c r="Y1367" s="1"/>
      <c r="AB1367" s="1"/>
      <c r="AC1367" s="1"/>
      <c r="AD1367" s="1"/>
      <c r="AE1367" s="1"/>
      <c r="AF1367" s="1"/>
      <c r="AG1367" s="1"/>
      <c r="AH1367" s="1"/>
      <c r="AI1367" s="1"/>
      <c r="AJ1367" s="1"/>
      <c r="AK1367" s="1"/>
      <c r="AL1367" s="1"/>
      <c r="AM1367" s="1"/>
    </row>
    <row r="1368" spans="16:39" x14ac:dyDescent="0.25">
      <c r="P1368" s="49"/>
      <c r="Q1368" s="1"/>
      <c r="S1368" s="1"/>
      <c r="T1368" s="1"/>
      <c r="U1368" s="1"/>
      <c r="V1368" s="1"/>
      <c r="W1368" s="1"/>
      <c r="X1368" s="1"/>
      <c r="Y1368" s="1"/>
      <c r="AB1368" s="1"/>
      <c r="AC1368" s="1"/>
      <c r="AD1368" s="1"/>
      <c r="AE1368" s="1"/>
      <c r="AF1368" s="1"/>
      <c r="AG1368" s="1"/>
      <c r="AH1368" s="1"/>
      <c r="AI1368" s="1"/>
      <c r="AJ1368" s="1"/>
      <c r="AK1368" s="1"/>
      <c r="AL1368" s="1"/>
      <c r="AM1368" s="1"/>
    </row>
    <row r="1369" spans="16:39" x14ac:dyDescent="0.25">
      <c r="P1369" s="49"/>
      <c r="Q1369" s="1"/>
      <c r="S1369" s="1"/>
      <c r="T1369" s="1"/>
      <c r="U1369" s="1"/>
      <c r="V1369" s="1"/>
      <c r="W1369" s="1"/>
      <c r="X1369" s="1"/>
      <c r="Y1369" s="1"/>
      <c r="AB1369" s="1"/>
      <c r="AC1369" s="1"/>
      <c r="AD1369" s="1"/>
      <c r="AE1369" s="1"/>
      <c r="AF1369" s="1"/>
      <c r="AG1369" s="1"/>
      <c r="AH1369" s="1"/>
      <c r="AI1369" s="1"/>
      <c r="AJ1369" s="1"/>
      <c r="AK1369" s="1"/>
      <c r="AL1369" s="1"/>
      <c r="AM1369" s="1"/>
    </row>
    <row r="1370" spans="16:39" x14ac:dyDescent="0.25">
      <c r="P1370" s="49"/>
      <c r="Q1370" s="1"/>
      <c r="S1370" s="1"/>
      <c r="T1370" s="1"/>
      <c r="U1370" s="1"/>
      <c r="V1370" s="1"/>
      <c r="W1370" s="1"/>
      <c r="X1370" s="1"/>
      <c r="Y1370" s="1"/>
      <c r="AB1370" s="1"/>
      <c r="AC1370" s="1"/>
      <c r="AD1370" s="1"/>
      <c r="AE1370" s="1"/>
      <c r="AF1370" s="1"/>
      <c r="AG1370" s="1"/>
      <c r="AH1370" s="1"/>
      <c r="AI1370" s="1"/>
      <c r="AJ1370" s="1"/>
      <c r="AK1370" s="1"/>
      <c r="AL1370" s="1"/>
      <c r="AM1370" s="1"/>
    </row>
    <row r="1371" spans="16:39" x14ac:dyDescent="0.25">
      <c r="P1371" s="49"/>
      <c r="Q1371" s="1"/>
      <c r="S1371" s="1"/>
      <c r="T1371" s="1"/>
      <c r="U1371" s="1"/>
      <c r="V1371" s="1"/>
      <c r="W1371" s="1"/>
      <c r="X1371" s="1"/>
      <c r="Y1371" s="1"/>
      <c r="AB1371" s="1"/>
      <c r="AC1371" s="1"/>
      <c r="AD1371" s="1"/>
      <c r="AE1371" s="1"/>
      <c r="AF1371" s="1"/>
      <c r="AG1371" s="1"/>
      <c r="AH1371" s="1"/>
      <c r="AI1371" s="1"/>
      <c r="AJ1371" s="1"/>
      <c r="AK1371" s="1"/>
      <c r="AL1371" s="1"/>
      <c r="AM1371" s="1"/>
    </row>
    <row r="1372" spans="16:39" x14ac:dyDescent="0.25">
      <c r="P1372" s="49"/>
      <c r="Q1372" s="1"/>
      <c r="S1372" s="1"/>
      <c r="T1372" s="1"/>
      <c r="U1372" s="1"/>
      <c r="V1372" s="1"/>
      <c r="W1372" s="1"/>
      <c r="X1372" s="1"/>
      <c r="Y1372" s="1"/>
      <c r="AB1372" s="1"/>
      <c r="AC1372" s="1"/>
      <c r="AD1372" s="1"/>
      <c r="AE1372" s="1"/>
      <c r="AF1372" s="1"/>
      <c r="AG1372" s="1"/>
      <c r="AH1372" s="1"/>
      <c r="AI1372" s="1"/>
      <c r="AJ1372" s="1"/>
      <c r="AK1372" s="1"/>
      <c r="AL1372" s="1"/>
      <c r="AM1372" s="1"/>
    </row>
    <row r="1373" spans="16:39" x14ac:dyDescent="0.25">
      <c r="P1373" s="49"/>
      <c r="Q1373" s="1"/>
      <c r="S1373" s="1"/>
      <c r="T1373" s="1"/>
      <c r="U1373" s="1"/>
      <c r="V1373" s="1"/>
      <c r="W1373" s="1"/>
      <c r="X1373" s="1"/>
      <c r="Y1373" s="1"/>
      <c r="AB1373" s="1"/>
      <c r="AC1373" s="1"/>
      <c r="AD1373" s="1"/>
      <c r="AE1373" s="1"/>
      <c r="AF1373" s="1"/>
      <c r="AG1373" s="1"/>
      <c r="AH1373" s="1"/>
      <c r="AI1373" s="1"/>
      <c r="AJ1373" s="1"/>
      <c r="AK1373" s="1"/>
      <c r="AL1373" s="1"/>
      <c r="AM1373" s="1"/>
    </row>
    <row r="1374" spans="16:39" x14ac:dyDescent="0.25">
      <c r="P1374" s="49"/>
      <c r="Q1374" s="1"/>
      <c r="S1374" s="1"/>
      <c r="T1374" s="1"/>
      <c r="U1374" s="1"/>
      <c r="V1374" s="1"/>
      <c r="W1374" s="1"/>
      <c r="X1374" s="1"/>
      <c r="Y1374" s="1"/>
      <c r="AB1374" s="1"/>
      <c r="AC1374" s="1"/>
      <c r="AD1374" s="1"/>
      <c r="AE1374" s="1"/>
      <c r="AF1374" s="1"/>
      <c r="AG1374" s="1"/>
      <c r="AH1374" s="1"/>
      <c r="AI1374" s="1"/>
      <c r="AJ1374" s="1"/>
      <c r="AK1374" s="1"/>
      <c r="AL1374" s="1"/>
      <c r="AM1374" s="1"/>
    </row>
    <row r="1375" spans="16:39" x14ac:dyDescent="0.25">
      <c r="P1375" s="49"/>
      <c r="Q1375" s="1"/>
      <c r="S1375" s="1"/>
      <c r="T1375" s="1"/>
      <c r="U1375" s="1"/>
      <c r="V1375" s="1"/>
      <c r="W1375" s="1"/>
      <c r="X1375" s="1"/>
      <c r="Y1375" s="1"/>
      <c r="AB1375" s="1"/>
      <c r="AC1375" s="1"/>
      <c r="AD1375" s="1"/>
      <c r="AE1375" s="1"/>
      <c r="AF1375" s="1"/>
      <c r="AG1375" s="1"/>
      <c r="AH1375" s="1"/>
      <c r="AI1375" s="1"/>
      <c r="AJ1375" s="1"/>
      <c r="AK1375" s="1"/>
      <c r="AL1375" s="1"/>
      <c r="AM1375" s="1"/>
    </row>
    <row r="1376" spans="16:39" x14ac:dyDescent="0.25">
      <c r="P1376" s="49"/>
      <c r="Q1376" s="1"/>
      <c r="S1376" s="1"/>
      <c r="T1376" s="1"/>
      <c r="U1376" s="1"/>
      <c r="V1376" s="1"/>
      <c r="W1376" s="1"/>
      <c r="X1376" s="1"/>
      <c r="Y1376" s="1"/>
      <c r="AB1376" s="1"/>
      <c r="AC1376" s="1"/>
      <c r="AD1376" s="1"/>
      <c r="AE1376" s="1"/>
      <c r="AF1376" s="1"/>
      <c r="AG1376" s="1"/>
      <c r="AH1376" s="1"/>
      <c r="AI1376" s="1"/>
      <c r="AJ1376" s="1"/>
      <c r="AK1376" s="1"/>
      <c r="AL1376" s="1"/>
      <c r="AM1376" s="1"/>
    </row>
    <row r="1377" spans="16:39" x14ac:dyDescent="0.25">
      <c r="P1377" s="49"/>
      <c r="Q1377" s="1"/>
      <c r="S1377" s="1"/>
      <c r="T1377" s="1"/>
      <c r="U1377" s="1"/>
      <c r="V1377" s="1"/>
      <c r="W1377" s="1"/>
      <c r="X1377" s="1"/>
      <c r="Y1377" s="1"/>
      <c r="AB1377" s="1"/>
      <c r="AC1377" s="1"/>
      <c r="AD1377" s="1"/>
      <c r="AE1377" s="1"/>
      <c r="AF1377" s="1"/>
      <c r="AG1377" s="1"/>
      <c r="AH1377" s="1"/>
      <c r="AI1377" s="1"/>
      <c r="AJ1377" s="1"/>
      <c r="AK1377" s="1"/>
      <c r="AL1377" s="1"/>
      <c r="AM1377" s="1"/>
    </row>
    <row r="1378" spans="16:39" x14ac:dyDescent="0.25">
      <c r="P1378" s="49"/>
      <c r="Q1378" s="1"/>
      <c r="S1378" s="1"/>
      <c r="T1378" s="1"/>
      <c r="U1378" s="1"/>
      <c r="V1378" s="1"/>
      <c r="W1378" s="1"/>
      <c r="X1378" s="1"/>
      <c r="Y1378" s="1"/>
      <c r="AB1378" s="1"/>
      <c r="AC1378" s="1"/>
      <c r="AD1378" s="1"/>
      <c r="AE1378" s="1"/>
      <c r="AF1378" s="1"/>
      <c r="AG1378" s="1"/>
      <c r="AH1378" s="1"/>
      <c r="AI1378" s="1"/>
      <c r="AJ1378" s="1"/>
      <c r="AK1378" s="1"/>
      <c r="AL1378" s="1"/>
      <c r="AM1378" s="1"/>
    </row>
    <row r="1379" spans="16:39" x14ac:dyDescent="0.25">
      <c r="P1379" s="49"/>
      <c r="Q1379" s="1"/>
      <c r="S1379" s="1"/>
      <c r="T1379" s="1"/>
      <c r="U1379" s="1"/>
      <c r="V1379" s="1"/>
      <c r="W1379" s="1"/>
      <c r="X1379" s="1"/>
      <c r="Y1379" s="1"/>
      <c r="AB1379" s="1"/>
      <c r="AC1379" s="1"/>
      <c r="AD1379" s="1"/>
      <c r="AE1379" s="1"/>
      <c r="AF1379" s="1"/>
      <c r="AG1379" s="1"/>
      <c r="AH1379" s="1"/>
      <c r="AI1379" s="1"/>
      <c r="AJ1379" s="1"/>
      <c r="AK1379" s="1"/>
      <c r="AL1379" s="1"/>
      <c r="AM1379" s="1"/>
    </row>
    <row r="1380" spans="16:39" x14ac:dyDescent="0.25">
      <c r="P1380" s="49"/>
      <c r="Q1380" s="1"/>
      <c r="S1380" s="1"/>
      <c r="T1380" s="1"/>
      <c r="U1380" s="1"/>
      <c r="V1380" s="1"/>
      <c r="W1380" s="1"/>
      <c r="X1380" s="1"/>
      <c r="Y1380" s="1"/>
      <c r="AB1380" s="1"/>
      <c r="AC1380" s="1"/>
      <c r="AD1380" s="1"/>
      <c r="AE1380" s="1"/>
      <c r="AF1380" s="1"/>
      <c r="AG1380" s="1"/>
      <c r="AH1380" s="1"/>
      <c r="AI1380" s="1"/>
      <c r="AJ1380" s="1"/>
      <c r="AK1380" s="1"/>
      <c r="AL1380" s="1"/>
      <c r="AM1380" s="1"/>
    </row>
    <row r="1381" spans="16:39" x14ac:dyDescent="0.25">
      <c r="P1381" s="49"/>
      <c r="Q1381" s="1"/>
      <c r="S1381" s="1"/>
      <c r="T1381" s="1"/>
      <c r="U1381" s="1"/>
      <c r="V1381" s="1"/>
      <c r="W1381" s="1"/>
      <c r="X1381" s="1"/>
      <c r="Y1381" s="1"/>
      <c r="AB1381" s="1"/>
      <c r="AC1381" s="1"/>
      <c r="AD1381" s="1"/>
      <c r="AE1381" s="1"/>
      <c r="AF1381" s="1"/>
      <c r="AG1381" s="1"/>
      <c r="AH1381" s="1"/>
      <c r="AI1381" s="1"/>
      <c r="AJ1381" s="1"/>
      <c r="AK1381" s="1"/>
      <c r="AL1381" s="1"/>
      <c r="AM1381" s="1"/>
    </row>
    <row r="1382" spans="16:39" x14ac:dyDescent="0.25">
      <c r="P1382" s="49"/>
      <c r="Q1382" s="1"/>
      <c r="S1382" s="1"/>
      <c r="T1382" s="1"/>
      <c r="U1382" s="1"/>
      <c r="V1382" s="1"/>
      <c r="W1382" s="1"/>
      <c r="X1382" s="1"/>
      <c r="Y1382" s="1"/>
      <c r="AB1382" s="1"/>
      <c r="AC1382" s="1"/>
      <c r="AD1382" s="1"/>
      <c r="AE1382" s="1"/>
      <c r="AF1382" s="1"/>
      <c r="AG1382" s="1"/>
      <c r="AH1382" s="1"/>
      <c r="AI1382" s="1"/>
      <c r="AJ1382" s="1"/>
      <c r="AK1382" s="1"/>
      <c r="AL1382" s="1"/>
      <c r="AM1382" s="1"/>
    </row>
    <row r="1383" spans="16:39" x14ac:dyDescent="0.25">
      <c r="P1383" s="49"/>
      <c r="Q1383" s="1"/>
      <c r="S1383" s="1"/>
      <c r="T1383" s="1"/>
      <c r="U1383" s="1"/>
      <c r="V1383" s="1"/>
      <c r="W1383" s="1"/>
      <c r="X1383" s="1"/>
      <c r="Y1383" s="1"/>
      <c r="AB1383" s="1"/>
      <c r="AC1383" s="1"/>
      <c r="AD1383" s="1"/>
      <c r="AE1383" s="1"/>
      <c r="AF1383" s="1"/>
      <c r="AG1383" s="1"/>
      <c r="AH1383" s="1"/>
      <c r="AI1383" s="1"/>
      <c r="AJ1383" s="1"/>
      <c r="AK1383" s="1"/>
      <c r="AL1383" s="1"/>
      <c r="AM1383" s="1"/>
    </row>
    <row r="1384" spans="16:39" x14ac:dyDescent="0.25">
      <c r="P1384" s="49"/>
      <c r="Q1384" s="1"/>
      <c r="S1384" s="1"/>
      <c r="T1384" s="1"/>
      <c r="U1384" s="1"/>
      <c r="V1384" s="1"/>
      <c r="W1384" s="1"/>
      <c r="X1384" s="1"/>
      <c r="Y1384" s="1"/>
      <c r="AB1384" s="1"/>
      <c r="AC1384" s="1"/>
      <c r="AD1384" s="1"/>
      <c r="AE1384" s="1"/>
      <c r="AF1384" s="1"/>
      <c r="AG1384" s="1"/>
      <c r="AH1384" s="1"/>
      <c r="AI1384" s="1"/>
      <c r="AJ1384" s="1"/>
      <c r="AK1384" s="1"/>
      <c r="AL1384" s="1"/>
      <c r="AM1384" s="1"/>
    </row>
    <row r="1385" spans="16:39" x14ac:dyDescent="0.25">
      <c r="P1385" s="49"/>
      <c r="Q1385" s="1"/>
      <c r="S1385" s="1"/>
      <c r="T1385" s="1"/>
      <c r="U1385" s="1"/>
      <c r="V1385" s="1"/>
      <c r="W1385" s="1"/>
      <c r="X1385" s="1"/>
      <c r="Y1385" s="1"/>
      <c r="AB1385" s="1"/>
      <c r="AC1385" s="1"/>
      <c r="AD1385" s="1"/>
      <c r="AE1385" s="1"/>
      <c r="AF1385" s="1"/>
      <c r="AG1385" s="1"/>
      <c r="AH1385" s="1"/>
      <c r="AI1385" s="1"/>
      <c r="AJ1385" s="1"/>
      <c r="AK1385" s="1"/>
      <c r="AL1385" s="1"/>
      <c r="AM1385" s="1"/>
    </row>
    <row r="1386" spans="16:39" x14ac:dyDescent="0.25">
      <c r="P1386" s="49"/>
      <c r="Q1386" s="1"/>
      <c r="S1386" s="1"/>
      <c r="T1386" s="1"/>
      <c r="U1386" s="1"/>
      <c r="V1386" s="1"/>
      <c r="W1386" s="1"/>
      <c r="X1386" s="1"/>
      <c r="Y1386" s="1"/>
      <c r="AB1386" s="1"/>
      <c r="AC1386" s="1"/>
      <c r="AD1386" s="1"/>
      <c r="AE1386" s="1"/>
      <c r="AF1386" s="1"/>
      <c r="AG1386" s="1"/>
      <c r="AH1386" s="1"/>
      <c r="AI1386" s="1"/>
      <c r="AJ1386" s="1"/>
      <c r="AK1386" s="1"/>
      <c r="AL1386" s="1"/>
      <c r="AM1386" s="1"/>
    </row>
    <row r="1387" spans="16:39" x14ac:dyDescent="0.25">
      <c r="P1387" s="49"/>
      <c r="Q1387" s="1"/>
      <c r="S1387" s="1"/>
      <c r="T1387" s="1"/>
      <c r="U1387" s="1"/>
      <c r="V1387" s="1"/>
      <c r="W1387" s="1"/>
      <c r="X1387" s="1"/>
      <c r="Y1387" s="1"/>
      <c r="AB1387" s="1"/>
      <c r="AC1387" s="1"/>
      <c r="AD1387" s="1"/>
      <c r="AE1387" s="1"/>
      <c r="AF1387" s="1"/>
      <c r="AG1387" s="1"/>
      <c r="AH1387" s="1"/>
      <c r="AI1387" s="1"/>
      <c r="AJ1387" s="1"/>
      <c r="AK1387" s="1"/>
      <c r="AL1387" s="1"/>
      <c r="AM1387" s="1"/>
    </row>
    <row r="1388" spans="16:39" x14ac:dyDescent="0.25">
      <c r="P1388" s="49"/>
      <c r="Q1388" s="1"/>
      <c r="S1388" s="1"/>
      <c r="T1388" s="1"/>
      <c r="U1388" s="1"/>
      <c r="V1388" s="1"/>
      <c r="W1388" s="1"/>
      <c r="X1388" s="1"/>
      <c r="Y1388" s="1"/>
      <c r="AB1388" s="1"/>
      <c r="AC1388" s="1"/>
      <c r="AD1388" s="1"/>
      <c r="AE1388" s="1"/>
      <c r="AF1388" s="1"/>
      <c r="AG1388" s="1"/>
      <c r="AH1388" s="1"/>
      <c r="AI1388" s="1"/>
      <c r="AJ1388" s="1"/>
      <c r="AK1388" s="1"/>
      <c r="AL1388" s="1"/>
      <c r="AM1388" s="1"/>
    </row>
    <row r="1389" spans="16:39" x14ac:dyDescent="0.25">
      <c r="P1389" s="49"/>
      <c r="Q1389" s="1"/>
      <c r="S1389" s="1"/>
      <c r="T1389" s="1"/>
      <c r="U1389" s="1"/>
      <c r="V1389" s="1"/>
      <c r="W1389" s="1"/>
      <c r="X1389" s="1"/>
      <c r="Y1389" s="1"/>
      <c r="AB1389" s="1"/>
      <c r="AC1389" s="1"/>
      <c r="AD1389" s="1"/>
      <c r="AE1389" s="1"/>
      <c r="AF1389" s="1"/>
      <c r="AG1389" s="1"/>
      <c r="AH1389" s="1"/>
      <c r="AI1389" s="1"/>
      <c r="AJ1389" s="1"/>
      <c r="AK1389" s="1"/>
      <c r="AL1389" s="1"/>
      <c r="AM1389" s="1"/>
    </row>
    <row r="1390" spans="16:39" x14ac:dyDescent="0.25">
      <c r="P1390" s="49"/>
      <c r="Q1390" s="1"/>
      <c r="S1390" s="1"/>
      <c r="T1390" s="1"/>
      <c r="U1390" s="1"/>
      <c r="V1390" s="1"/>
      <c r="W1390" s="1"/>
      <c r="X1390" s="1"/>
      <c r="Y1390" s="1"/>
      <c r="AB1390" s="1"/>
      <c r="AC1390" s="1"/>
      <c r="AD1390" s="1"/>
      <c r="AE1390" s="1"/>
      <c r="AF1390" s="1"/>
      <c r="AG1390" s="1"/>
      <c r="AH1390" s="1"/>
      <c r="AI1390" s="1"/>
      <c r="AJ1390" s="1"/>
      <c r="AK1390" s="1"/>
      <c r="AL1390" s="1"/>
      <c r="AM1390" s="1"/>
    </row>
    <row r="1391" spans="16:39" x14ac:dyDescent="0.25">
      <c r="P1391" s="49"/>
      <c r="Q1391" s="1"/>
      <c r="S1391" s="1"/>
      <c r="T1391" s="1"/>
      <c r="U1391" s="1"/>
      <c r="V1391" s="1"/>
      <c r="W1391" s="1"/>
      <c r="X1391" s="1"/>
      <c r="Y1391" s="1"/>
      <c r="AB1391" s="1"/>
      <c r="AC1391" s="1"/>
      <c r="AD1391" s="1"/>
      <c r="AE1391" s="1"/>
      <c r="AF1391" s="1"/>
      <c r="AG1391" s="1"/>
      <c r="AH1391" s="1"/>
      <c r="AI1391" s="1"/>
      <c r="AJ1391" s="1"/>
      <c r="AK1391" s="1"/>
      <c r="AL1391" s="1"/>
      <c r="AM1391" s="1"/>
    </row>
    <row r="1392" spans="16:39" x14ac:dyDescent="0.25">
      <c r="P1392" s="49"/>
      <c r="Q1392" s="1"/>
      <c r="S1392" s="1"/>
      <c r="T1392" s="1"/>
      <c r="U1392" s="1"/>
      <c r="V1392" s="1"/>
      <c r="W1392" s="1"/>
      <c r="X1392" s="1"/>
      <c r="Y1392" s="1"/>
      <c r="AB1392" s="1"/>
      <c r="AC1392" s="1"/>
      <c r="AD1392" s="1"/>
      <c r="AE1392" s="1"/>
      <c r="AF1392" s="1"/>
      <c r="AG1392" s="1"/>
      <c r="AH1392" s="1"/>
      <c r="AI1392" s="1"/>
      <c r="AJ1392" s="1"/>
      <c r="AK1392" s="1"/>
      <c r="AL1392" s="1"/>
      <c r="AM1392" s="1"/>
    </row>
    <row r="1393" spans="16:39" x14ac:dyDescent="0.25">
      <c r="P1393" s="49"/>
      <c r="Q1393" s="1"/>
      <c r="S1393" s="1"/>
      <c r="T1393" s="1"/>
      <c r="U1393" s="1"/>
      <c r="V1393" s="1"/>
      <c r="W1393" s="1"/>
      <c r="X1393" s="1"/>
      <c r="Y1393" s="1"/>
      <c r="AB1393" s="1"/>
      <c r="AC1393" s="1"/>
      <c r="AD1393" s="1"/>
      <c r="AE1393" s="1"/>
      <c r="AF1393" s="1"/>
      <c r="AG1393" s="1"/>
      <c r="AH1393" s="1"/>
      <c r="AI1393" s="1"/>
      <c r="AJ1393" s="1"/>
      <c r="AK1393" s="1"/>
      <c r="AL1393" s="1"/>
      <c r="AM1393" s="1"/>
    </row>
    <row r="1394" spans="16:39" x14ac:dyDescent="0.25">
      <c r="P1394" s="49"/>
      <c r="Q1394" s="1"/>
      <c r="S1394" s="1"/>
      <c r="T1394" s="1"/>
      <c r="U1394" s="1"/>
      <c r="V1394" s="1"/>
      <c r="W1394" s="1"/>
      <c r="X1394" s="1"/>
      <c r="Y1394" s="1"/>
      <c r="AB1394" s="1"/>
      <c r="AC1394" s="1"/>
      <c r="AD1394" s="1"/>
      <c r="AE1394" s="1"/>
      <c r="AF1394" s="1"/>
      <c r="AG1394" s="1"/>
      <c r="AH1394" s="1"/>
      <c r="AI1394" s="1"/>
      <c r="AJ1394" s="1"/>
      <c r="AK1394" s="1"/>
      <c r="AL1394" s="1"/>
      <c r="AM1394" s="1"/>
    </row>
    <row r="1395" spans="16:39" x14ac:dyDescent="0.25">
      <c r="P1395" s="49"/>
      <c r="Q1395" s="1"/>
      <c r="S1395" s="1"/>
      <c r="T1395" s="1"/>
      <c r="U1395" s="1"/>
      <c r="V1395" s="1"/>
      <c r="W1395" s="1"/>
      <c r="X1395" s="1"/>
      <c r="Y1395" s="1"/>
      <c r="AB1395" s="1"/>
      <c r="AC1395" s="1"/>
      <c r="AD1395" s="1"/>
      <c r="AE1395" s="1"/>
      <c r="AF1395" s="1"/>
      <c r="AG1395" s="1"/>
      <c r="AH1395" s="1"/>
      <c r="AI1395" s="1"/>
      <c r="AJ1395" s="1"/>
      <c r="AK1395" s="1"/>
      <c r="AL1395" s="1"/>
      <c r="AM1395" s="1"/>
    </row>
    <row r="1396" spans="16:39" x14ac:dyDescent="0.25">
      <c r="P1396" s="49"/>
      <c r="Q1396" s="1"/>
      <c r="S1396" s="1"/>
      <c r="T1396" s="1"/>
      <c r="U1396" s="1"/>
      <c r="V1396" s="1"/>
      <c r="W1396" s="1"/>
      <c r="X1396" s="1"/>
      <c r="Y1396" s="1"/>
      <c r="AB1396" s="1"/>
      <c r="AC1396" s="1"/>
      <c r="AD1396" s="1"/>
      <c r="AE1396" s="1"/>
      <c r="AF1396" s="1"/>
      <c r="AG1396" s="1"/>
      <c r="AH1396" s="1"/>
      <c r="AI1396" s="1"/>
      <c r="AJ1396" s="1"/>
      <c r="AK1396" s="1"/>
      <c r="AL1396" s="1"/>
      <c r="AM1396" s="1"/>
    </row>
    <row r="1397" spans="16:39" x14ac:dyDescent="0.25">
      <c r="P1397" s="49"/>
      <c r="Q1397" s="1"/>
      <c r="S1397" s="1"/>
      <c r="T1397" s="1"/>
      <c r="U1397" s="1"/>
      <c r="V1397" s="1"/>
      <c r="W1397" s="1"/>
      <c r="X1397" s="1"/>
      <c r="Y1397" s="1"/>
      <c r="AB1397" s="1"/>
      <c r="AC1397" s="1"/>
      <c r="AD1397" s="1"/>
      <c r="AE1397" s="1"/>
      <c r="AF1397" s="1"/>
      <c r="AG1397" s="1"/>
      <c r="AH1397" s="1"/>
      <c r="AI1397" s="1"/>
      <c r="AJ1397" s="1"/>
      <c r="AK1397" s="1"/>
      <c r="AL1397" s="1"/>
      <c r="AM1397" s="1"/>
    </row>
    <row r="1398" spans="16:39" x14ac:dyDescent="0.25">
      <c r="P1398" s="49"/>
      <c r="Q1398" s="1"/>
      <c r="S1398" s="1"/>
      <c r="T1398" s="1"/>
      <c r="U1398" s="1"/>
      <c r="V1398" s="1"/>
      <c r="W1398" s="1"/>
      <c r="X1398" s="1"/>
      <c r="Y1398" s="1"/>
      <c r="AB1398" s="1"/>
      <c r="AC1398" s="1"/>
      <c r="AD1398" s="1"/>
      <c r="AE1398" s="1"/>
      <c r="AF1398" s="1"/>
      <c r="AG1398" s="1"/>
      <c r="AH1398" s="1"/>
      <c r="AI1398" s="1"/>
      <c r="AJ1398" s="1"/>
      <c r="AK1398" s="1"/>
      <c r="AL1398" s="1"/>
      <c r="AM1398" s="1"/>
    </row>
    <row r="1399" spans="16:39" x14ac:dyDescent="0.25">
      <c r="P1399" s="49"/>
      <c r="Q1399" s="1"/>
      <c r="S1399" s="1"/>
      <c r="T1399" s="1"/>
      <c r="U1399" s="1"/>
      <c r="V1399" s="1"/>
      <c r="W1399" s="1"/>
      <c r="X1399" s="1"/>
      <c r="Y1399" s="1"/>
      <c r="AB1399" s="1"/>
      <c r="AC1399" s="1"/>
      <c r="AD1399" s="1"/>
      <c r="AE1399" s="1"/>
      <c r="AF1399" s="1"/>
      <c r="AG1399" s="1"/>
      <c r="AH1399" s="1"/>
      <c r="AI1399" s="1"/>
      <c r="AJ1399" s="1"/>
      <c r="AK1399" s="1"/>
      <c r="AL1399" s="1"/>
      <c r="AM1399" s="1"/>
    </row>
    <row r="1400" spans="16:39" x14ac:dyDescent="0.25">
      <c r="P1400" s="49"/>
      <c r="Q1400" s="1"/>
      <c r="S1400" s="1"/>
      <c r="T1400" s="1"/>
      <c r="U1400" s="1"/>
      <c r="V1400" s="1"/>
      <c r="W1400" s="1"/>
      <c r="X1400" s="1"/>
      <c r="Y1400" s="1"/>
      <c r="AB1400" s="1"/>
      <c r="AC1400" s="1"/>
      <c r="AD1400" s="1"/>
      <c r="AE1400" s="1"/>
      <c r="AF1400" s="1"/>
      <c r="AG1400" s="1"/>
      <c r="AH1400" s="1"/>
      <c r="AI1400" s="1"/>
      <c r="AJ1400" s="1"/>
      <c r="AK1400" s="1"/>
      <c r="AL1400" s="1"/>
      <c r="AM1400" s="1"/>
    </row>
    <row r="1401" spans="16:39" x14ac:dyDescent="0.25">
      <c r="P1401" s="49"/>
      <c r="Q1401" s="1"/>
      <c r="S1401" s="1"/>
      <c r="T1401" s="1"/>
      <c r="U1401" s="1"/>
      <c r="V1401" s="1"/>
      <c r="W1401" s="1"/>
      <c r="X1401" s="1"/>
      <c r="Y1401" s="1"/>
      <c r="AB1401" s="1"/>
      <c r="AC1401" s="1"/>
      <c r="AD1401" s="1"/>
      <c r="AE1401" s="1"/>
      <c r="AF1401" s="1"/>
      <c r="AG1401" s="1"/>
      <c r="AH1401" s="1"/>
      <c r="AI1401" s="1"/>
      <c r="AJ1401" s="1"/>
      <c r="AK1401" s="1"/>
      <c r="AL1401" s="1"/>
      <c r="AM1401" s="1"/>
    </row>
    <row r="1402" spans="16:39" x14ac:dyDescent="0.25">
      <c r="P1402" s="49"/>
      <c r="Q1402" s="1"/>
      <c r="S1402" s="1"/>
      <c r="T1402" s="1"/>
      <c r="U1402" s="1"/>
      <c r="V1402" s="1"/>
      <c r="W1402" s="1"/>
      <c r="X1402" s="1"/>
      <c r="Y1402" s="1"/>
      <c r="AB1402" s="1"/>
      <c r="AC1402" s="1"/>
      <c r="AD1402" s="1"/>
      <c r="AE1402" s="1"/>
      <c r="AF1402" s="1"/>
      <c r="AG1402" s="1"/>
      <c r="AH1402" s="1"/>
      <c r="AI1402" s="1"/>
      <c r="AJ1402" s="1"/>
      <c r="AK1402" s="1"/>
      <c r="AL1402" s="1"/>
      <c r="AM1402" s="1"/>
    </row>
    <row r="1403" spans="16:39" x14ac:dyDescent="0.25">
      <c r="P1403" s="49"/>
      <c r="Q1403" s="1"/>
      <c r="S1403" s="1"/>
      <c r="T1403" s="1"/>
      <c r="U1403" s="1"/>
      <c r="V1403" s="1"/>
      <c r="W1403" s="1"/>
      <c r="X1403" s="1"/>
      <c r="Y1403" s="1"/>
      <c r="AB1403" s="1"/>
      <c r="AC1403" s="1"/>
      <c r="AD1403" s="1"/>
      <c r="AE1403" s="1"/>
      <c r="AF1403" s="1"/>
      <c r="AG1403" s="1"/>
      <c r="AH1403" s="1"/>
      <c r="AI1403" s="1"/>
      <c r="AJ1403" s="1"/>
      <c r="AK1403" s="1"/>
      <c r="AL1403" s="1"/>
      <c r="AM1403" s="1"/>
    </row>
    <row r="1404" spans="16:39" x14ac:dyDescent="0.25">
      <c r="P1404" s="49"/>
      <c r="Q1404" s="1"/>
      <c r="S1404" s="1"/>
      <c r="T1404" s="1"/>
      <c r="U1404" s="1"/>
      <c r="V1404" s="1"/>
      <c r="W1404" s="1"/>
      <c r="X1404" s="1"/>
      <c r="Y1404" s="1"/>
      <c r="AB1404" s="1"/>
      <c r="AC1404" s="1"/>
      <c r="AD1404" s="1"/>
      <c r="AE1404" s="1"/>
      <c r="AF1404" s="1"/>
      <c r="AG1404" s="1"/>
      <c r="AH1404" s="1"/>
      <c r="AI1404" s="1"/>
      <c r="AJ1404" s="1"/>
      <c r="AK1404" s="1"/>
      <c r="AL1404" s="1"/>
      <c r="AM1404" s="1"/>
    </row>
    <row r="1405" spans="16:39" x14ac:dyDescent="0.25">
      <c r="P1405" s="49"/>
      <c r="Q1405" s="1"/>
      <c r="S1405" s="1"/>
      <c r="T1405" s="1"/>
      <c r="U1405" s="1"/>
      <c r="V1405" s="1"/>
      <c r="W1405" s="1"/>
      <c r="X1405" s="1"/>
      <c r="Y1405" s="1"/>
      <c r="AB1405" s="1"/>
      <c r="AC1405" s="1"/>
      <c r="AD1405" s="1"/>
      <c r="AE1405" s="1"/>
      <c r="AF1405" s="1"/>
      <c r="AG1405" s="1"/>
      <c r="AH1405" s="1"/>
      <c r="AI1405" s="1"/>
      <c r="AJ1405" s="1"/>
      <c r="AK1405" s="1"/>
      <c r="AL1405" s="1"/>
      <c r="AM1405" s="1"/>
    </row>
    <row r="1406" spans="16:39" x14ac:dyDescent="0.25">
      <c r="P1406" s="49"/>
      <c r="Q1406" s="1"/>
      <c r="S1406" s="1"/>
      <c r="T1406" s="1"/>
      <c r="U1406" s="1"/>
      <c r="V1406" s="1"/>
      <c r="W1406" s="1"/>
      <c r="X1406" s="1"/>
      <c r="Y1406" s="1"/>
      <c r="AB1406" s="1"/>
      <c r="AC1406" s="1"/>
      <c r="AD1406" s="1"/>
      <c r="AE1406" s="1"/>
      <c r="AF1406" s="1"/>
      <c r="AG1406" s="1"/>
      <c r="AH1406" s="1"/>
      <c r="AI1406" s="1"/>
      <c r="AJ1406" s="1"/>
      <c r="AK1406" s="1"/>
      <c r="AL1406" s="1"/>
      <c r="AM1406" s="1"/>
    </row>
    <row r="1407" spans="16:39" x14ac:dyDescent="0.25">
      <c r="P1407" s="49"/>
      <c r="Q1407" s="1"/>
      <c r="S1407" s="1"/>
      <c r="T1407" s="1"/>
      <c r="U1407" s="1"/>
      <c r="V1407" s="1"/>
      <c r="W1407" s="1"/>
      <c r="X1407" s="1"/>
      <c r="Y1407" s="1"/>
      <c r="AB1407" s="1"/>
      <c r="AC1407" s="1"/>
      <c r="AD1407" s="1"/>
      <c r="AE1407" s="1"/>
      <c r="AF1407" s="1"/>
      <c r="AG1407" s="1"/>
      <c r="AH1407" s="1"/>
      <c r="AI1407" s="1"/>
      <c r="AJ1407" s="1"/>
      <c r="AK1407" s="1"/>
      <c r="AL1407" s="1"/>
      <c r="AM1407" s="1"/>
    </row>
    <row r="1408" spans="16:39" x14ac:dyDescent="0.25">
      <c r="P1408" s="49"/>
      <c r="Q1408" s="1"/>
      <c r="S1408" s="1"/>
      <c r="T1408" s="1"/>
      <c r="U1408" s="1"/>
      <c r="V1408" s="1"/>
      <c r="W1408" s="1"/>
      <c r="X1408" s="1"/>
      <c r="Y1408" s="1"/>
      <c r="AB1408" s="1"/>
      <c r="AC1408" s="1"/>
      <c r="AD1408" s="1"/>
      <c r="AE1408" s="1"/>
      <c r="AF1408" s="1"/>
      <c r="AG1408" s="1"/>
      <c r="AH1408" s="1"/>
      <c r="AI1408" s="1"/>
      <c r="AJ1408" s="1"/>
      <c r="AK1408" s="1"/>
      <c r="AL1408" s="1"/>
      <c r="AM1408" s="1"/>
    </row>
    <row r="1409" spans="16:39" x14ac:dyDescent="0.25">
      <c r="P1409" s="49"/>
      <c r="Q1409" s="1"/>
      <c r="S1409" s="1"/>
      <c r="T1409" s="1"/>
      <c r="U1409" s="1"/>
      <c r="V1409" s="1"/>
      <c r="W1409" s="1"/>
      <c r="X1409" s="1"/>
      <c r="Y1409" s="1"/>
      <c r="AB1409" s="1"/>
      <c r="AC1409" s="1"/>
      <c r="AD1409" s="1"/>
      <c r="AE1409" s="1"/>
      <c r="AF1409" s="1"/>
      <c r="AG1409" s="1"/>
      <c r="AH1409" s="1"/>
      <c r="AI1409" s="1"/>
      <c r="AJ1409" s="1"/>
      <c r="AK1409" s="1"/>
      <c r="AL1409" s="1"/>
      <c r="AM1409" s="1"/>
    </row>
    <row r="1410" spans="16:39" x14ac:dyDescent="0.25">
      <c r="P1410" s="49"/>
      <c r="Q1410" s="1"/>
      <c r="S1410" s="1"/>
      <c r="T1410" s="1"/>
      <c r="U1410" s="1"/>
      <c r="V1410" s="1"/>
      <c r="W1410" s="1"/>
      <c r="X1410" s="1"/>
      <c r="Y1410" s="1"/>
      <c r="AB1410" s="1"/>
      <c r="AC1410" s="1"/>
      <c r="AD1410" s="1"/>
      <c r="AE1410" s="1"/>
      <c r="AF1410" s="1"/>
      <c r="AG1410" s="1"/>
      <c r="AH1410" s="1"/>
      <c r="AI1410" s="1"/>
      <c r="AJ1410" s="1"/>
      <c r="AK1410" s="1"/>
      <c r="AL1410" s="1"/>
      <c r="AM1410" s="1"/>
    </row>
    <row r="1411" spans="16:39" x14ac:dyDescent="0.25">
      <c r="P1411" s="49"/>
      <c r="Q1411" s="1"/>
      <c r="S1411" s="1"/>
      <c r="T1411" s="1"/>
      <c r="U1411" s="1"/>
      <c r="V1411" s="1"/>
      <c r="W1411" s="1"/>
      <c r="X1411" s="1"/>
      <c r="Y1411" s="1"/>
      <c r="AB1411" s="1"/>
      <c r="AC1411" s="1"/>
      <c r="AD1411" s="1"/>
      <c r="AE1411" s="1"/>
      <c r="AF1411" s="1"/>
      <c r="AG1411" s="1"/>
      <c r="AH1411" s="1"/>
      <c r="AI1411" s="1"/>
      <c r="AJ1411" s="1"/>
      <c r="AK1411" s="1"/>
      <c r="AL1411" s="1"/>
      <c r="AM1411" s="1"/>
    </row>
    <row r="1412" spans="16:39" x14ac:dyDescent="0.25">
      <c r="P1412" s="49"/>
      <c r="Q1412" s="1"/>
      <c r="S1412" s="1"/>
      <c r="T1412" s="1"/>
      <c r="U1412" s="1"/>
      <c r="V1412" s="1"/>
      <c r="W1412" s="1"/>
      <c r="X1412" s="1"/>
      <c r="Y1412" s="1"/>
      <c r="AB1412" s="1"/>
      <c r="AC1412" s="1"/>
      <c r="AD1412" s="1"/>
      <c r="AE1412" s="1"/>
      <c r="AF1412" s="1"/>
      <c r="AG1412" s="1"/>
      <c r="AH1412" s="1"/>
      <c r="AI1412" s="1"/>
      <c r="AJ1412" s="1"/>
      <c r="AK1412" s="1"/>
      <c r="AL1412" s="1"/>
      <c r="AM1412" s="1"/>
    </row>
    <row r="1413" spans="16:39" x14ac:dyDescent="0.25">
      <c r="P1413" s="49"/>
      <c r="Q1413" s="1"/>
      <c r="S1413" s="1"/>
      <c r="T1413" s="1"/>
      <c r="U1413" s="1"/>
      <c r="V1413" s="1"/>
      <c r="W1413" s="1"/>
      <c r="X1413" s="1"/>
      <c r="Y1413" s="1"/>
      <c r="AB1413" s="1"/>
      <c r="AC1413" s="1"/>
      <c r="AD1413" s="1"/>
      <c r="AE1413" s="1"/>
      <c r="AF1413" s="1"/>
      <c r="AG1413" s="1"/>
      <c r="AH1413" s="1"/>
      <c r="AI1413" s="1"/>
      <c r="AJ1413" s="1"/>
      <c r="AK1413" s="1"/>
      <c r="AL1413" s="1"/>
      <c r="AM1413" s="1"/>
    </row>
    <row r="1414" spans="16:39" x14ac:dyDescent="0.25">
      <c r="P1414" s="49"/>
      <c r="Q1414" s="1"/>
      <c r="S1414" s="1"/>
      <c r="T1414" s="1"/>
      <c r="U1414" s="1"/>
      <c r="V1414" s="1"/>
      <c r="W1414" s="1"/>
      <c r="X1414" s="1"/>
      <c r="Y1414" s="1"/>
      <c r="AB1414" s="1"/>
      <c r="AC1414" s="1"/>
      <c r="AD1414" s="1"/>
      <c r="AE1414" s="1"/>
      <c r="AF1414" s="1"/>
      <c r="AG1414" s="1"/>
      <c r="AH1414" s="1"/>
      <c r="AI1414" s="1"/>
      <c r="AJ1414" s="1"/>
      <c r="AK1414" s="1"/>
      <c r="AL1414" s="1"/>
      <c r="AM1414" s="1"/>
    </row>
    <row r="1415" spans="16:39" x14ac:dyDescent="0.25">
      <c r="P1415" s="49"/>
      <c r="Q1415" s="1"/>
      <c r="S1415" s="1"/>
      <c r="T1415" s="1"/>
      <c r="U1415" s="1"/>
      <c r="V1415" s="1"/>
      <c r="W1415" s="1"/>
      <c r="X1415" s="1"/>
      <c r="Y1415" s="1"/>
      <c r="AB1415" s="1"/>
      <c r="AC1415" s="1"/>
      <c r="AD1415" s="1"/>
      <c r="AE1415" s="1"/>
      <c r="AF1415" s="1"/>
      <c r="AG1415" s="1"/>
      <c r="AH1415" s="1"/>
      <c r="AI1415" s="1"/>
      <c r="AJ1415" s="1"/>
      <c r="AK1415" s="1"/>
      <c r="AL1415" s="1"/>
      <c r="AM1415" s="1"/>
    </row>
    <row r="1416" spans="16:39" x14ac:dyDescent="0.25">
      <c r="P1416" s="49"/>
      <c r="Q1416" s="1"/>
      <c r="S1416" s="1"/>
      <c r="T1416" s="1"/>
      <c r="U1416" s="1"/>
      <c r="V1416" s="1"/>
      <c r="W1416" s="1"/>
      <c r="X1416" s="1"/>
      <c r="Y1416" s="1"/>
      <c r="AB1416" s="1"/>
      <c r="AC1416" s="1"/>
      <c r="AD1416" s="1"/>
      <c r="AE1416" s="1"/>
      <c r="AF1416" s="1"/>
      <c r="AG1416" s="1"/>
      <c r="AH1416" s="1"/>
      <c r="AI1416" s="1"/>
      <c r="AJ1416" s="1"/>
      <c r="AK1416" s="1"/>
      <c r="AL1416" s="1"/>
      <c r="AM1416" s="1"/>
    </row>
    <row r="1417" spans="16:39" x14ac:dyDescent="0.25">
      <c r="P1417" s="49"/>
      <c r="Q1417" s="1"/>
      <c r="S1417" s="1"/>
      <c r="T1417" s="1"/>
      <c r="U1417" s="1"/>
      <c r="V1417" s="1"/>
      <c r="W1417" s="1"/>
      <c r="X1417" s="1"/>
      <c r="Y1417" s="1"/>
      <c r="AB1417" s="1"/>
      <c r="AC1417" s="1"/>
      <c r="AD1417" s="1"/>
      <c r="AE1417" s="1"/>
      <c r="AF1417" s="1"/>
      <c r="AG1417" s="1"/>
      <c r="AH1417" s="1"/>
      <c r="AI1417" s="1"/>
      <c r="AJ1417" s="1"/>
      <c r="AK1417" s="1"/>
      <c r="AL1417" s="1"/>
      <c r="AM1417" s="1"/>
    </row>
    <row r="1418" spans="16:39" x14ac:dyDescent="0.25">
      <c r="P1418" s="49"/>
      <c r="Q1418" s="1"/>
      <c r="S1418" s="1"/>
      <c r="T1418" s="1"/>
      <c r="U1418" s="1"/>
      <c r="V1418" s="1"/>
      <c r="W1418" s="1"/>
      <c r="X1418" s="1"/>
      <c r="Y1418" s="1"/>
      <c r="AB1418" s="1"/>
      <c r="AC1418" s="1"/>
      <c r="AD1418" s="1"/>
      <c r="AE1418" s="1"/>
      <c r="AF1418" s="1"/>
      <c r="AG1418" s="1"/>
      <c r="AH1418" s="1"/>
      <c r="AI1418" s="1"/>
      <c r="AJ1418" s="1"/>
      <c r="AK1418" s="1"/>
      <c r="AL1418" s="1"/>
      <c r="AM1418" s="1"/>
    </row>
    <row r="1419" spans="16:39" x14ac:dyDescent="0.25">
      <c r="P1419" s="49"/>
      <c r="Q1419" s="1"/>
      <c r="S1419" s="1"/>
      <c r="T1419" s="1"/>
      <c r="U1419" s="1"/>
      <c r="V1419" s="1"/>
      <c r="W1419" s="1"/>
      <c r="X1419" s="1"/>
      <c r="Y1419" s="1"/>
      <c r="AB1419" s="1"/>
      <c r="AC1419" s="1"/>
      <c r="AD1419" s="1"/>
      <c r="AE1419" s="1"/>
      <c r="AF1419" s="1"/>
      <c r="AG1419" s="1"/>
      <c r="AH1419" s="1"/>
      <c r="AI1419" s="1"/>
      <c r="AJ1419" s="1"/>
      <c r="AK1419" s="1"/>
      <c r="AL1419" s="1"/>
      <c r="AM1419" s="1"/>
    </row>
    <row r="1420" spans="16:39" x14ac:dyDescent="0.25">
      <c r="P1420" s="49"/>
      <c r="Q1420" s="1"/>
      <c r="S1420" s="1"/>
      <c r="T1420" s="1"/>
      <c r="U1420" s="1"/>
      <c r="V1420" s="1"/>
      <c r="W1420" s="1"/>
      <c r="X1420" s="1"/>
      <c r="Y1420" s="1"/>
      <c r="AB1420" s="1"/>
      <c r="AC1420" s="1"/>
      <c r="AD1420" s="1"/>
      <c r="AE1420" s="1"/>
      <c r="AF1420" s="1"/>
      <c r="AG1420" s="1"/>
      <c r="AH1420" s="1"/>
      <c r="AI1420" s="1"/>
      <c r="AJ1420" s="1"/>
      <c r="AK1420" s="1"/>
      <c r="AL1420" s="1"/>
      <c r="AM1420" s="1"/>
    </row>
    <row r="1421" spans="16:39" x14ac:dyDescent="0.25">
      <c r="P1421" s="49"/>
      <c r="Q1421" s="1"/>
      <c r="S1421" s="1"/>
      <c r="T1421" s="1"/>
      <c r="U1421" s="1"/>
      <c r="V1421" s="1"/>
      <c r="W1421" s="1"/>
      <c r="X1421" s="1"/>
      <c r="Y1421" s="1"/>
      <c r="AB1421" s="1"/>
      <c r="AC1421" s="1"/>
      <c r="AD1421" s="1"/>
      <c r="AE1421" s="1"/>
      <c r="AF1421" s="1"/>
      <c r="AG1421" s="1"/>
      <c r="AH1421" s="1"/>
      <c r="AI1421" s="1"/>
      <c r="AJ1421" s="1"/>
      <c r="AK1421" s="1"/>
      <c r="AL1421" s="1"/>
      <c r="AM1421" s="1"/>
    </row>
    <row r="1422" spans="16:39" x14ac:dyDescent="0.25">
      <c r="P1422" s="49"/>
      <c r="Q1422" s="1"/>
      <c r="S1422" s="1"/>
      <c r="T1422" s="1"/>
      <c r="U1422" s="1"/>
      <c r="V1422" s="1"/>
      <c r="W1422" s="1"/>
      <c r="X1422" s="1"/>
      <c r="Y1422" s="1"/>
      <c r="AB1422" s="1"/>
      <c r="AC1422" s="1"/>
      <c r="AD1422" s="1"/>
      <c r="AE1422" s="1"/>
      <c r="AF1422" s="1"/>
      <c r="AG1422" s="1"/>
      <c r="AH1422" s="1"/>
      <c r="AI1422" s="1"/>
      <c r="AJ1422" s="1"/>
      <c r="AK1422" s="1"/>
      <c r="AL1422" s="1"/>
      <c r="AM1422" s="1"/>
    </row>
    <row r="1423" spans="16:39" x14ac:dyDescent="0.25">
      <c r="P1423" s="49"/>
      <c r="Q1423" s="1"/>
      <c r="S1423" s="1"/>
      <c r="T1423" s="1"/>
      <c r="U1423" s="1"/>
      <c r="V1423" s="1"/>
      <c r="W1423" s="1"/>
      <c r="X1423" s="1"/>
      <c r="Y1423" s="1"/>
      <c r="AB1423" s="1"/>
      <c r="AC1423" s="1"/>
      <c r="AD1423" s="1"/>
      <c r="AE1423" s="1"/>
      <c r="AF1423" s="1"/>
      <c r="AG1423" s="1"/>
      <c r="AH1423" s="1"/>
      <c r="AI1423" s="1"/>
      <c r="AJ1423" s="1"/>
      <c r="AK1423" s="1"/>
      <c r="AL1423" s="1"/>
      <c r="AM1423" s="1"/>
    </row>
    <row r="1424" spans="16:39" x14ac:dyDescent="0.25">
      <c r="P1424" s="49"/>
      <c r="Q1424" s="1"/>
      <c r="S1424" s="1"/>
      <c r="T1424" s="1"/>
      <c r="U1424" s="1"/>
      <c r="V1424" s="1"/>
      <c r="W1424" s="1"/>
      <c r="X1424" s="1"/>
      <c r="Y1424" s="1"/>
      <c r="AB1424" s="1"/>
      <c r="AC1424" s="1"/>
      <c r="AD1424" s="1"/>
      <c r="AE1424" s="1"/>
      <c r="AF1424" s="1"/>
      <c r="AG1424" s="1"/>
      <c r="AH1424" s="1"/>
      <c r="AI1424" s="1"/>
      <c r="AJ1424" s="1"/>
      <c r="AK1424" s="1"/>
      <c r="AL1424" s="1"/>
      <c r="AM1424" s="1"/>
    </row>
    <row r="1425" spans="16:39" x14ac:dyDescent="0.25">
      <c r="P1425" s="49"/>
      <c r="Q1425" s="1"/>
      <c r="S1425" s="1"/>
      <c r="T1425" s="1"/>
      <c r="U1425" s="1"/>
      <c r="V1425" s="1"/>
      <c r="W1425" s="1"/>
      <c r="X1425" s="1"/>
      <c r="Y1425" s="1"/>
      <c r="AB1425" s="1"/>
      <c r="AC1425" s="1"/>
      <c r="AD1425" s="1"/>
      <c r="AE1425" s="1"/>
      <c r="AF1425" s="1"/>
      <c r="AG1425" s="1"/>
      <c r="AH1425" s="1"/>
      <c r="AI1425" s="1"/>
      <c r="AJ1425" s="1"/>
      <c r="AK1425" s="1"/>
      <c r="AL1425" s="1"/>
      <c r="AM1425" s="1"/>
    </row>
    <row r="1426" spans="16:39" x14ac:dyDescent="0.25">
      <c r="P1426" s="49"/>
      <c r="Q1426" s="1"/>
      <c r="S1426" s="1"/>
      <c r="T1426" s="1"/>
      <c r="U1426" s="1"/>
      <c r="V1426" s="1"/>
      <c r="W1426" s="1"/>
      <c r="X1426" s="1"/>
      <c r="Y1426" s="1"/>
      <c r="AB1426" s="1"/>
      <c r="AC1426" s="1"/>
      <c r="AD1426" s="1"/>
      <c r="AE1426" s="1"/>
      <c r="AF1426" s="1"/>
      <c r="AG1426" s="1"/>
      <c r="AH1426" s="1"/>
      <c r="AI1426" s="1"/>
      <c r="AJ1426" s="1"/>
      <c r="AK1426" s="1"/>
      <c r="AL1426" s="1"/>
      <c r="AM1426" s="1"/>
    </row>
    <row r="1427" spans="16:39" x14ac:dyDescent="0.25">
      <c r="P1427" s="49"/>
      <c r="Q1427" s="1"/>
      <c r="S1427" s="1"/>
      <c r="T1427" s="1"/>
      <c r="U1427" s="1"/>
      <c r="V1427" s="1"/>
      <c r="W1427" s="1"/>
      <c r="X1427" s="1"/>
      <c r="Y1427" s="1"/>
      <c r="AB1427" s="1"/>
      <c r="AC1427" s="1"/>
      <c r="AD1427" s="1"/>
      <c r="AE1427" s="1"/>
      <c r="AF1427" s="1"/>
      <c r="AG1427" s="1"/>
      <c r="AH1427" s="1"/>
      <c r="AI1427" s="1"/>
      <c r="AJ1427" s="1"/>
      <c r="AK1427" s="1"/>
      <c r="AL1427" s="1"/>
      <c r="AM1427" s="1"/>
    </row>
    <row r="1428" spans="16:39" x14ac:dyDescent="0.25">
      <c r="P1428" s="49"/>
      <c r="Q1428" s="1"/>
      <c r="S1428" s="1"/>
      <c r="T1428" s="1"/>
      <c r="U1428" s="1"/>
      <c r="V1428" s="1"/>
      <c r="W1428" s="1"/>
      <c r="X1428" s="1"/>
      <c r="Y1428" s="1"/>
      <c r="AB1428" s="1"/>
      <c r="AC1428" s="1"/>
      <c r="AD1428" s="1"/>
      <c r="AE1428" s="1"/>
      <c r="AF1428" s="1"/>
      <c r="AG1428" s="1"/>
      <c r="AH1428" s="1"/>
      <c r="AI1428" s="1"/>
      <c r="AJ1428" s="1"/>
      <c r="AK1428" s="1"/>
      <c r="AL1428" s="1"/>
      <c r="AM1428" s="1"/>
    </row>
    <row r="1429" spans="16:39" x14ac:dyDescent="0.25">
      <c r="P1429" s="49"/>
      <c r="Q1429" s="1"/>
      <c r="S1429" s="1"/>
      <c r="T1429" s="1"/>
      <c r="U1429" s="1"/>
      <c r="V1429" s="1"/>
      <c r="W1429" s="1"/>
      <c r="X1429" s="1"/>
      <c r="Y1429" s="1"/>
      <c r="AB1429" s="1"/>
      <c r="AC1429" s="1"/>
      <c r="AD1429" s="1"/>
      <c r="AE1429" s="1"/>
      <c r="AF1429" s="1"/>
      <c r="AG1429" s="1"/>
      <c r="AH1429" s="1"/>
      <c r="AI1429" s="1"/>
      <c r="AJ1429" s="1"/>
      <c r="AK1429" s="1"/>
      <c r="AL1429" s="1"/>
      <c r="AM1429" s="1"/>
    </row>
    <row r="1430" spans="16:39" x14ac:dyDescent="0.25">
      <c r="P1430" s="49"/>
      <c r="Q1430" s="1"/>
      <c r="S1430" s="1"/>
      <c r="T1430" s="1"/>
      <c r="U1430" s="1"/>
      <c r="V1430" s="1"/>
      <c r="W1430" s="1"/>
      <c r="X1430" s="1"/>
      <c r="Y1430" s="1"/>
      <c r="AB1430" s="1"/>
      <c r="AC1430" s="1"/>
      <c r="AD1430" s="1"/>
      <c r="AE1430" s="1"/>
      <c r="AF1430" s="1"/>
      <c r="AG1430" s="1"/>
      <c r="AH1430" s="1"/>
      <c r="AI1430" s="1"/>
      <c r="AJ1430" s="1"/>
      <c r="AK1430" s="1"/>
      <c r="AL1430" s="1"/>
      <c r="AM1430" s="1"/>
    </row>
    <row r="1431" spans="16:39" x14ac:dyDescent="0.25">
      <c r="P1431" s="49"/>
      <c r="Q1431" s="1"/>
      <c r="S1431" s="1"/>
      <c r="T1431" s="1"/>
      <c r="U1431" s="1"/>
      <c r="V1431" s="1"/>
      <c r="W1431" s="1"/>
      <c r="X1431" s="1"/>
      <c r="Y1431" s="1"/>
      <c r="AB1431" s="1"/>
      <c r="AC1431" s="1"/>
      <c r="AD1431" s="1"/>
      <c r="AE1431" s="1"/>
      <c r="AF1431" s="1"/>
      <c r="AG1431" s="1"/>
      <c r="AH1431" s="1"/>
      <c r="AI1431" s="1"/>
      <c r="AJ1431" s="1"/>
      <c r="AK1431" s="1"/>
      <c r="AL1431" s="1"/>
      <c r="AM1431" s="1"/>
    </row>
    <row r="1432" spans="16:39" x14ac:dyDescent="0.25">
      <c r="P1432" s="49"/>
      <c r="Q1432" s="1"/>
      <c r="S1432" s="1"/>
      <c r="T1432" s="1"/>
      <c r="U1432" s="1"/>
      <c r="V1432" s="1"/>
      <c r="W1432" s="1"/>
      <c r="X1432" s="1"/>
      <c r="Y1432" s="1"/>
      <c r="AB1432" s="1"/>
      <c r="AC1432" s="1"/>
      <c r="AD1432" s="1"/>
      <c r="AE1432" s="1"/>
      <c r="AF1432" s="1"/>
      <c r="AG1432" s="1"/>
      <c r="AH1432" s="1"/>
      <c r="AI1432" s="1"/>
      <c r="AJ1432" s="1"/>
      <c r="AK1432" s="1"/>
      <c r="AL1432" s="1"/>
      <c r="AM1432" s="1"/>
    </row>
    <row r="1433" spans="16:39" x14ac:dyDescent="0.25">
      <c r="P1433" s="49"/>
      <c r="Q1433" s="1"/>
      <c r="S1433" s="1"/>
      <c r="T1433" s="1"/>
      <c r="U1433" s="1"/>
      <c r="V1433" s="1"/>
      <c r="W1433" s="1"/>
      <c r="X1433" s="1"/>
      <c r="Y1433" s="1"/>
      <c r="AB1433" s="1"/>
      <c r="AC1433" s="1"/>
      <c r="AD1433" s="1"/>
      <c r="AE1433" s="1"/>
      <c r="AF1433" s="1"/>
      <c r="AG1433" s="1"/>
      <c r="AH1433" s="1"/>
      <c r="AI1433" s="1"/>
      <c r="AJ1433" s="1"/>
      <c r="AK1433" s="1"/>
      <c r="AL1433" s="1"/>
      <c r="AM1433" s="1"/>
    </row>
    <row r="1434" spans="16:39" x14ac:dyDescent="0.25">
      <c r="P1434" s="49"/>
      <c r="Q1434" s="1"/>
      <c r="S1434" s="1"/>
      <c r="T1434" s="1"/>
      <c r="U1434" s="1"/>
      <c r="V1434" s="1"/>
      <c r="W1434" s="1"/>
      <c r="X1434" s="1"/>
      <c r="Y1434" s="1"/>
      <c r="AB1434" s="1"/>
      <c r="AC1434" s="1"/>
      <c r="AD1434" s="1"/>
      <c r="AE1434" s="1"/>
      <c r="AF1434" s="1"/>
      <c r="AG1434" s="1"/>
      <c r="AH1434" s="1"/>
      <c r="AI1434" s="1"/>
      <c r="AJ1434" s="1"/>
      <c r="AK1434" s="1"/>
      <c r="AL1434" s="1"/>
      <c r="AM1434" s="1"/>
    </row>
    <row r="1435" spans="16:39" x14ac:dyDescent="0.25">
      <c r="P1435" s="49"/>
      <c r="Q1435" s="1"/>
      <c r="S1435" s="1"/>
      <c r="T1435" s="1"/>
      <c r="U1435" s="1"/>
      <c r="V1435" s="1"/>
      <c r="W1435" s="1"/>
      <c r="X1435" s="1"/>
      <c r="Y1435" s="1"/>
      <c r="AB1435" s="1"/>
      <c r="AC1435" s="1"/>
      <c r="AD1435" s="1"/>
      <c r="AE1435" s="1"/>
      <c r="AF1435" s="1"/>
      <c r="AG1435" s="1"/>
      <c r="AH1435" s="1"/>
      <c r="AI1435" s="1"/>
      <c r="AJ1435" s="1"/>
      <c r="AK1435" s="1"/>
      <c r="AL1435" s="1"/>
      <c r="AM1435" s="1"/>
    </row>
    <row r="1436" spans="16:39" x14ac:dyDescent="0.25">
      <c r="P1436" s="49"/>
      <c r="Q1436" s="1"/>
      <c r="S1436" s="1"/>
      <c r="T1436" s="1"/>
      <c r="U1436" s="1"/>
      <c r="V1436" s="1"/>
      <c r="W1436" s="1"/>
      <c r="X1436" s="1"/>
      <c r="Y1436" s="1"/>
      <c r="AB1436" s="1"/>
      <c r="AC1436" s="1"/>
      <c r="AD1436" s="1"/>
      <c r="AE1436" s="1"/>
      <c r="AF1436" s="1"/>
      <c r="AG1436" s="1"/>
      <c r="AH1436" s="1"/>
      <c r="AI1436" s="1"/>
      <c r="AJ1436" s="1"/>
      <c r="AK1436" s="1"/>
      <c r="AL1436" s="1"/>
      <c r="AM1436" s="1"/>
    </row>
    <row r="1437" spans="16:39" x14ac:dyDescent="0.25">
      <c r="P1437" s="49"/>
      <c r="Q1437" s="1"/>
      <c r="S1437" s="1"/>
      <c r="T1437" s="1"/>
      <c r="U1437" s="1"/>
      <c r="V1437" s="1"/>
      <c r="W1437" s="1"/>
      <c r="X1437" s="1"/>
      <c r="Y1437" s="1"/>
      <c r="AB1437" s="1"/>
      <c r="AC1437" s="1"/>
      <c r="AD1437" s="1"/>
      <c r="AE1437" s="1"/>
      <c r="AF1437" s="1"/>
      <c r="AG1437" s="1"/>
      <c r="AH1437" s="1"/>
      <c r="AI1437" s="1"/>
      <c r="AJ1437" s="1"/>
      <c r="AK1437" s="1"/>
      <c r="AL1437" s="1"/>
      <c r="AM1437" s="1"/>
    </row>
    <row r="1438" spans="16:39" x14ac:dyDescent="0.25">
      <c r="P1438" s="49"/>
      <c r="Q1438" s="1"/>
      <c r="S1438" s="1"/>
      <c r="T1438" s="1"/>
      <c r="U1438" s="1"/>
      <c r="V1438" s="1"/>
      <c r="W1438" s="1"/>
      <c r="X1438" s="1"/>
      <c r="Y1438" s="1"/>
      <c r="AB1438" s="1"/>
      <c r="AC1438" s="1"/>
      <c r="AD1438" s="1"/>
      <c r="AE1438" s="1"/>
      <c r="AF1438" s="1"/>
      <c r="AG1438" s="1"/>
      <c r="AH1438" s="1"/>
      <c r="AI1438" s="1"/>
      <c r="AJ1438" s="1"/>
      <c r="AK1438" s="1"/>
      <c r="AL1438" s="1"/>
      <c r="AM1438" s="1"/>
    </row>
    <row r="1439" spans="16:39" x14ac:dyDescent="0.25">
      <c r="P1439" s="49"/>
      <c r="Q1439" s="1"/>
      <c r="S1439" s="1"/>
      <c r="T1439" s="1"/>
      <c r="U1439" s="1"/>
      <c r="V1439" s="1"/>
      <c r="W1439" s="1"/>
      <c r="X1439" s="1"/>
      <c r="Y1439" s="1"/>
      <c r="AB1439" s="1"/>
      <c r="AC1439" s="1"/>
      <c r="AD1439" s="1"/>
      <c r="AE1439" s="1"/>
      <c r="AF1439" s="1"/>
      <c r="AG1439" s="1"/>
      <c r="AH1439" s="1"/>
      <c r="AI1439" s="1"/>
      <c r="AJ1439" s="1"/>
      <c r="AK1439" s="1"/>
      <c r="AL1439" s="1"/>
      <c r="AM1439" s="1"/>
    </row>
    <row r="1440" spans="16:39" x14ac:dyDescent="0.25">
      <c r="P1440" s="49"/>
      <c r="Q1440" s="1"/>
      <c r="S1440" s="1"/>
      <c r="T1440" s="1"/>
      <c r="U1440" s="1"/>
      <c r="V1440" s="1"/>
      <c r="W1440" s="1"/>
      <c r="X1440" s="1"/>
      <c r="Y1440" s="1"/>
      <c r="AB1440" s="1"/>
      <c r="AC1440" s="1"/>
      <c r="AD1440" s="1"/>
      <c r="AE1440" s="1"/>
      <c r="AF1440" s="1"/>
      <c r="AG1440" s="1"/>
      <c r="AH1440" s="1"/>
      <c r="AI1440" s="1"/>
      <c r="AJ1440" s="1"/>
      <c r="AK1440" s="1"/>
      <c r="AL1440" s="1"/>
      <c r="AM1440" s="1"/>
    </row>
    <row r="1441" spans="16:39" x14ac:dyDescent="0.25">
      <c r="P1441" s="49"/>
      <c r="Q1441" s="1"/>
      <c r="S1441" s="1"/>
      <c r="T1441" s="1"/>
      <c r="U1441" s="1"/>
      <c r="V1441" s="1"/>
      <c r="W1441" s="1"/>
      <c r="X1441" s="1"/>
      <c r="Y1441" s="1"/>
      <c r="AB1441" s="1"/>
      <c r="AC1441" s="1"/>
      <c r="AD1441" s="1"/>
      <c r="AE1441" s="1"/>
      <c r="AF1441" s="1"/>
      <c r="AG1441" s="1"/>
      <c r="AH1441" s="1"/>
      <c r="AI1441" s="1"/>
      <c r="AJ1441" s="1"/>
      <c r="AK1441" s="1"/>
      <c r="AL1441" s="1"/>
      <c r="AM1441" s="1"/>
    </row>
    <row r="1442" spans="16:39" x14ac:dyDescent="0.25">
      <c r="P1442" s="49"/>
      <c r="Q1442" s="1"/>
      <c r="S1442" s="1"/>
      <c r="T1442" s="1"/>
      <c r="U1442" s="1"/>
      <c r="V1442" s="1"/>
      <c r="W1442" s="1"/>
      <c r="X1442" s="1"/>
      <c r="Y1442" s="1"/>
      <c r="AB1442" s="1"/>
      <c r="AC1442" s="1"/>
      <c r="AD1442" s="1"/>
      <c r="AE1442" s="1"/>
      <c r="AF1442" s="1"/>
      <c r="AG1442" s="1"/>
      <c r="AH1442" s="1"/>
      <c r="AI1442" s="1"/>
      <c r="AJ1442" s="1"/>
      <c r="AK1442" s="1"/>
      <c r="AL1442" s="1"/>
      <c r="AM1442" s="1"/>
    </row>
    <row r="1443" spans="16:39" x14ac:dyDescent="0.25">
      <c r="P1443" s="49"/>
      <c r="Q1443" s="1"/>
      <c r="S1443" s="1"/>
      <c r="T1443" s="1"/>
      <c r="U1443" s="1"/>
      <c r="V1443" s="1"/>
      <c r="W1443" s="1"/>
      <c r="X1443" s="1"/>
      <c r="Y1443" s="1"/>
      <c r="AB1443" s="1"/>
      <c r="AC1443" s="1"/>
      <c r="AD1443" s="1"/>
      <c r="AE1443" s="1"/>
      <c r="AF1443" s="1"/>
      <c r="AG1443" s="1"/>
      <c r="AH1443" s="1"/>
      <c r="AI1443" s="1"/>
      <c r="AJ1443" s="1"/>
      <c r="AK1443" s="1"/>
      <c r="AL1443" s="1"/>
      <c r="AM1443" s="1"/>
    </row>
    <row r="1444" spans="16:39" x14ac:dyDescent="0.25">
      <c r="P1444" s="49"/>
      <c r="Q1444" s="1"/>
      <c r="S1444" s="1"/>
      <c r="T1444" s="1"/>
      <c r="U1444" s="1"/>
      <c r="V1444" s="1"/>
      <c r="W1444" s="1"/>
      <c r="X1444" s="1"/>
      <c r="Y1444" s="1"/>
      <c r="AB1444" s="1"/>
      <c r="AC1444" s="1"/>
      <c r="AD1444" s="1"/>
      <c r="AE1444" s="1"/>
      <c r="AF1444" s="1"/>
      <c r="AG1444" s="1"/>
      <c r="AH1444" s="1"/>
      <c r="AI1444" s="1"/>
      <c r="AJ1444" s="1"/>
      <c r="AK1444" s="1"/>
      <c r="AL1444" s="1"/>
      <c r="AM1444" s="1"/>
    </row>
    <row r="1445" spans="16:39" x14ac:dyDescent="0.25">
      <c r="P1445" s="49"/>
      <c r="Q1445" s="1"/>
      <c r="S1445" s="1"/>
      <c r="T1445" s="1"/>
      <c r="U1445" s="1"/>
      <c r="V1445" s="1"/>
      <c r="W1445" s="1"/>
      <c r="X1445" s="1"/>
      <c r="Y1445" s="1"/>
      <c r="AB1445" s="1"/>
      <c r="AC1445" s="1"/>
      <c r="AD1445" s="1"/>
      <c r="AE1445" s="1"/>
      <c r="AF1445" s="1"/>
      <c r="AG1445" s="1"/>
      <c r="AH1445" s="1"/>
      <c r="AI1445" s="1"/>
      <c r="AJ1445" s="1"/>
      <c r="AK1445" s="1"/>
      <c r="AL1445" s="1"/>
      <c r="AM1445" s="1"/>
    </row>
    <row r="1446" spans="16:39" x14ac:dyDescent="0.25">
      <c r="P1446" s="49"/>
      <c r="Q1446" s="1"/>
      <c r="S1446" s="1"/>
      <c r="T1446" s="1"/>
      <c r="U1446" s="1"/>
      <c r="V1446" s="1"/>
      <c r="W1446" s="1"/>
      <c r="X1446" s="1"/>
      <c r="Y1446" s="1"/>
      <c r="AB1446" s="1"/>
      <c r="AC1446" s="1"/>
      <c r="AD1446" s="1"/>
      <c r="AE1446" s="1"/>
      <c r="AF1446" s="1"/>
      <c r="AG1446" s="1"/>
      <c r="AH1446" s="1"/>
      <c r="AI1446" s="1"/>
      <c r="AJ1446" s="1"/>
      <c r="AK1446" s="1"/>
      <c r="AL1446" s="1"/>
      <c r="AM1446" s="1"/>
    </row>
    <row r="1447" spans="16:39" x14ac:dyDescent="0.25">
      <c r="P1447" s="49"/>
      <c r="Q1447" s="1"/>
      <c r="S1447" s="1"/>
      <c r="T1447" s="1"/>
      <c r="U1447" s="1"/>
      <c r="V1447" s="1"/>
      <c r="W1447" s="1"/>
      <c r="X1447" s="1"/>
      <c r="Y1447" s="1"/>
      <c r="AB1447" s="1"/>
      <c r="AC1447" s="1"/>
      <c r="AD1447" s="1"/>
      <c r="AE1447" s="1"/>
      <c r="AF1447" s="1"/>
      <c r="AG1447" s="1"/>
      <c r="AH1447" s="1"/>
      <c r="AI1447" s="1"/>
      <c r="AJ1447" s="1"/>
      <c r="AK1447" s="1"/>
      <c r="AL1447" s="1"/>
      <c r="AM1447" s="1"/>
    </row>
    <row r="1448" spans="16:39" x14ac:dyDescent="0.25">
      <c r="P1448" s="49"/>
      <c r="Q1448" s="1"/>
      <c r="S1448" s="1"/>
      <c r="T1448" s="1"/>
      <c r="U1448" s="1"/>
      <c r="V1448" s="1"/>
      <c r="W1448" s="1"/>
      <c r="X1448" s="1"/>
      <c r="Y1448" s="1"/>
      <c r="AB1448" s="1"/>
      <c r="AC1448" s="1"/>
      <c r="AD1448" s="1"/>
      <c r="AE1448" s="1"/>
      <c r="AF1448" s="1"/>
      <c r="AG1448" s="1"/>
      <c r="AH1448" s="1"/>
      <c r="AI1448" s="1"/>
      <c r="AJ1448" s="1"/>
      <c r="AK1448" s="1"/>
      <c r="AL1448" s="1"/>
      <c r="AM1448" s="1"/>
    </row>
    <row r="1449" spans="16:39" x14ac:dyDescent="0.25">
      <c r="P1449" s="49"/>
      <c r="Q1449" s="1"/>
      <c r="S1449" s="1"/>
      <c r="T1449" s="1"/>
      <c r="U1449" s="1"/>
      <c r="V1449" s="1"/>
      <c r="W1449" s="1"/>
      <c r="X1449" s="1"/>
      <c r="Y1449" s="1"/>
      <c r="AB1449" s="1"/>
      <c r="AC1449" s="1"/>
      <c r="AD1449" s="1"/>
      <c r="AE1449" s="1"/>
      <c r="AF1449" s="1"/>
      <c r="AG1449" s="1"/>
      <c r="AH1449" s="1"/>
      <c r="AI1449" s="1"/>
      <c r="AJ1449" s="1"/>
      <c r="AK1449" s="1"/>
      <c r="AL1449" s="1"/>
      <c r="AM1449" s="1"/>
    </row>
    <row r="1450" spans="16:39" x14ac:dyDescent="0.25">
      <c r="P1450" s="49"/>
      <c r="Q1450" s="1"/>
      <c r="S1450" s="1"/>
      <c r="T1450" s="1"/>
      <c r="U1450" s="1"/>
      <c r="V1450" s="1"/>
      <c r="W1450" s="1"/>
      <c r="X1450" s="1"/>
      <c r="Y1450" s="1"/>
      <c r="AB1450" s="1"/>
      <c r="AC1450" s="1"/>
      <c r="AD1450" s="1"/>
      <c r="AE1450" s="1"/>
      <c r="AF1450" s="1"/>
      <c r="AG1450" s="1"/>
      <c r="AH1450" s="1"/>
      <c r="AI1450" s="1"/>
      <c r="AJ1450" s="1"/>
      <c r="AK1450" s="1"/>
      <c r="AL1450" s="1"/>
      <c r="AM1450" s="1"/>
    </row>
    <row r="1451" spans="16:39" x14ac:dyDescent="0.25">
      <c r="P1451" s="49"/>
      <c r="Q1451" s="1"/>
      <c r="S1451" s="1"/>
      <c r="T1451" s="1"/>
      <c r="U1451" s="1"/>
      <c r="V1451" s="1"/>
      <c r="W1451" s="1"/>
      <c r="X1451" s="1"/>
      <c r="Y1451" s="1"/>
      <c r="AB1451" s="1"/>
      <c r="AC1451" s="1"/>
      <c r="AD1451" s="1"/>
      <c r="AE1451" s="1"/>
      <c r="AF1451" s="1"/>
      <c r="AG1451" s="1"/>
      <c r="AH1451" s="1"/>
      <c r="AI1451" s="1"/>
      <c r="AJ1451" s="1"/>
      <c r="AK1451" s="1"/>
      <c r="AL1451" s="1"/>
      <c r="AM1451" s="1"/>
    </row>
    <row r="1452" spans="16:39" x14ac:dyDescent="0.25">
      <c r="P1452" s="49"/>
      <c r="Q1452" s="1"/>
      <c r="S1452" s="1"/>
      <c r="T1452" s="1"/>
      <c r="U1452" s="1"/>
      <c r="V1452" s="1"/>
      <c r="W1452" s="1"/>
      <c r="X1452" s="1"/>
      <c r="Y1452" s="1"/>
      <c r="AB1452" s="1"/>
      <c r="AC1452" s="1"/>
      <c r="AD1452" s="1"/>
      <c r="AE1452" s="1"/>
      <c r="AF1452" s="1"/>
      <c r="AG1452" s="1"/>
      <c r="AH1452" s="1"/>
      <c r="AI1452" s="1"/>
      <c r="AJ1452" s="1"/>
      <c r="AK1452" s="1"/>
      <c r="AL1452" s="1"/>
      <c r="AM1452" s="1"/>
    </row>
    <row r="1453" spans="16:39" x14ac:dyDescent="0.25">
      <c r="P1453" s="49"/>
      <c r="Q1453" s="1"/>
      <c r="S1453" s="1"/>
      <c r="T1453" s="1"/>
      <c r="U1453" s="1"/>
      <c r="V1453" s="1"/>
      <c r="W1453" s="1"/>
      <c r="X1453" s="1"/>
      <c r="Y1453" s="1"/>
      <c r="AB1453" s="1"/>
      <c r="AC1453" s="1"/>
      <c r="AD1453" s="1"/>
      <c r="AE1453" s="1"/>
      <c r="AF1453" s="1"/>
      <c r="AG1453" s="1"/>
      <c r="AH1453" s="1"/>
      <c r="AI1453" s="1"/>
      <c r="AJ1453" s="1"/>
      <c r="AK1453" s="1"/>
      <c r="AL1453" s="1"/>
      <c r="AM1453" s="1"/>
    </row>
    <row r="1454" spans="16:39" x14ac:dyDescent="0.25">
      <c r="P1454" s="49"/>
      <c r="Q1454" s="1"/>
      <c r="S1454" s="1"/>
      <c r="T1454" s="1"/>
      <c r="U1454" s="1"/>
      <c r="V1454" s="1"/>
      <c r="W1454" s="1"/>
      <c r="X1454" s="1"/>
      <c r="Y1454" s="1"/>
      <c r="AB1454" s="1"/>
      <c r="AC1454" s="1"/>
      <c r="AD1454" s="1"/>
      <c r="AE1454" s="1"/>
      <c r="AF1454" s="1"/>
      <c r="AG1454" s="1"/>
      <c r="AH1454" s="1"/>
      <c r="AI1454" s="1"/>
      <c r="AJ1454" s="1"/>
      <c r="AK1454" s="1"/>
      <c r="AL1454" s="1"/>
      <c r="AM1454" s="1"/>
    </row>
    <row r="1455" spans="16:39" x14ac:dyDescent="0.25">
      <c r="P1455" s="49"/>
      <c r="Q1455" s="1"/>
      <c r="S1455" s="1"/>
      <c r="T1455" s="1"/>
      <c r="U1455" s="1"/>
      <c r="V1455" s="1"/>
      <c r="W1455" s="1"/>
      <c r="X1455" s="1"/>
      <c r="Y1455" s="1"/>
      <c r="AB1455" s="1"/>
      <c r="AC1455" s="1"/>
      <c r="AD1455" s="1"/>
      <c r="AE1455" s="1"/>
      <c r="AF1455" s="1"/>
      <c r="AG1455" s="1"/>
      <c r="AH1455" s="1"/>
      <c r="AI1455" s="1"/>
      <c r="AJ1455" s="1"/>
      <c r="AK1455" s="1"/>
      <c r="AL1455" s="1"/>
      <c r="AM1455" s="1"/>
    </row>
    <row r="1456" spans="16:39" x14ac:dyDescent="0.25">
      <c r="P1456" s="49"/>
      <c r="Q1456" s="1"/>
      <c r="S1456" s="1"/>
      <c r="T1456" s="1"/>
      <c r="U1456" s="1"/>
      <c r="V1456" s="1"/>
      <c r="W1456" s="1"/>
      <c r="X1456" s="1"/>
      <c r="Y1456" s="1"/>
      <c r="AB1456" s="1"/>
      <c r="AC1456" s="1"/>
      <c r="AD1456" s="1"/>
      <c r="AE1456" s="1"/>
      <c r="AF1456" s="1"/>
      <c r="AG1456" s="1"/>
      <c r="AH1456" s="1"/>
      <c r="AI1456" s="1"/>
      <c r="AJ1456" s="1"/>
      <c r="AK1456" s="1"/>
      <c r="AL1456" s="1"/>
      <c r="AM1456" s="1"/>
    </row>
    <row r="1457" spans="16:39" x14ac:dyDescent="0.25">
      <c r="P1457" s="49"/>
      <c r="Q1457" s="1"/>
      <c r="S1457" s="1"/>
      <c r="T1457" s="1"/>
      <c r="U1457" s="1"/>
      <c r="V1457" s="1"/>
      <c r="W1457" s="1"/>
      <c r="X1457" s="1"/>
      <c r="Y1457" s="1"/>
      <c r="AB1457" s="1"/>
      <c r="AC1457" s="1"/>
      <c r="AD1457" s="1"/>
      <c r="AE1457" s="1"/>
      <c r="AF1457" s="1"/>
      <c r="AG1457" s="1"/>
      <c r="AH1457" s="1"/>
      <c r="AI1457" s="1"/>
      <c r="AJ1457" s="1"/>
      <c r="AK1457" s="1"/>
      <c r="AL1457" s="1"/>
      <c r="AM1457" s="1"/>
    </row>
    <row r="1458" spans="16:39" x14ac:dyDescent="0.25">
      <c r="P1458" s="49"/>
      <c r="Q1458" s="1"/>
      <c r="S1458" s="1"/>
      <c r="T1458" s="1"/>
      <c r="U1458" s="1"/>
      <c r="V1458" s="1"/>
      <c r="W1458" s="1"/>
      <c r="X1458" s="1"/>
      <c r="Y1458" s="1"/>
      <c r="AB1458" s="1"/>
      <c r="AC1458" s="1"/>
      <c r="AD1458" s="1"/>
      <c r="AE1458" s="1"/>
      <c r="AF1458" s="1"/>
      <c r="AG1458" s="1"/>
      <c r="AH1458" s="1"/>
      <c r="AI1458" s="1"/>
      <c r="AJ1458" s="1"/>
      <c r="AK1458" s="1"/>
      <c r="AL1458" s="1"/>
      <c r="AM1458" s="1"/>
    </row>
    <row r="1459" spans="16:39" x14ac:dyDescent="0.25">
      <c r="P1459" s="49"/>
      <c r="Q1459" s="1"/>
      <c r="S1459" s="1"/>
      <c r="T1459" s="1"/>
      <c r="U1459" s="1"/>
      <c r="V1459" s="1"/>
      <c r="W1459" s="1"/>
      <c r="X1459" s="1"/>
      <c r="Y1459" s="1"/>
      <c r="AB1459" s="1"/>
      <c r="AC1459" s="1"/>
      <c r="AD1459" s="1"/>
      <c r="AE1459" s="1"/>
      <c r="AF1459" s="1"/>
      <c r="AG1459" s="1"/>
      <c r="AH1459" s="1"/>
      <c r="AI1459" s="1"/>
      <c r="AJ1459" s="1"/>
      <c r="AK1459" s="1"/>
      <c r="AL1459" s="1"/>
      <c r="AM1459" s="1"/>
    </row>
    <row r="1460" spans="16:39" x14ac:dyDescent="0.25">
      <c r="P1460" s="49"/>
      <c r="Q1460" s="1"/>
      <c r="S1460" s="1"/>
      <c r="T1460" s="1"/>
      <c r="U1460" s="1"/>
      <c r="V1460" s="1"/>
      <c r="W1460" s="1"/>
      <c r="X1460" s="1"/>
      <c r="Y1460" s="1"/>
      <c r="AB1460" s="1"/>
      <c r="AC1460" s="1"/>
      <c r="AD1460" s="1"/>
      <c r="AE1460" s="1"/>
      <c r="AF1460" s="1"/>
      <c r="AG1460" s="1"/>
      <c r="AH1460" s="1"/>
      <c r="AI1460" s="1"/>
      <c r="AJ1460" s="1"/>
      <c r="AK1460" s="1"/>
      <c r="AL1460" s="1"/>
      <c r="AM1460" s="1"/>
    </row>
    <row r="1461" spans="16:39" x14ac:dyDescent="0.25">
      <c r="P1461" s="49"/>
      <c r="Q1461" s="1"/>
      <c r="S1461" s="1"/>
      <c r="T1461" s="1"/>
      <c r="U1461" s="1"/>
      <c r="V1461" s="1"/>
      <c r="W1461" s="1"/>
      <c r="X1461" s="1"/>
      <c r="Y1461" s="1"/>
      <c r="AB1461" s="1"/>
      <c r="AC1461" s="1"/>
      <c r="AD1461" s="1"/>
      <c r="AE1461" s="1"/>
      <c r="AF1461" s="1"/>
      <c r="AG1461" s="1"/>
      <c r="AH1461" s="1"/>
      <c r="AI1461" s="1"/>
      <c r="AJ1461" s="1"/>
      <c r="AK1461" s="1"/>
      <c r="AL1461" s="1"/>
      <c r="AM1461" s="1"/>
    </row>
    <row r="1462" spans="16:39" x14ac:dyDescent="0.25">
      <c r="P1462" s="49"/>
      <c r="Q1462" s="1"/>
      <c r="S1462" s="1"/>
      <c r="T1462" s="1"/>
      <c r="U1462" s="1"/>
      <c r="V1462" s="1"/>
      <c r="W1462" s="1"/>
      <c r="X1462" s="1"/>
      <c r="Y1462" s="1"/>
      <c r="AB1462" s="1"/>
      <c r="AC1462" s="1"/>
      <c r="AD1462" s="1"/>
      <c r="AE1462" s="1"/>
      <c r="AF1462" s="1"/>
      <c r="AG1462" s="1"/>
      <c r="AH1462" s="1"/>
      <c r="AI1462" s="1"/>
      <c r="AJ1462" s="1"/>
      <c r="AK1462" s="1"/>
      <c r="AL1462" s="1"/>
      <c r="AM1462" s="1"/>
    </row>
    <row r="1463" spans="16:39" x14ac:dyDescent="0.25">
      <c r="P1463" s="49"/>
      <c r="Q1463" s="1"/>
      <c r="S1463" s="1"/>
      <c r="T1463" s="1"/>
      <c r="U1463" s="1"/>
      <c r="V1463" s="1"/>
      <c r="W1463" s="1"/>
      <c r="X1463" s="1"/>
      <c r="Y1463" s="1"/>
      <c r="AB1463" s="1"/>
      <c r="AC1463" s="1"/>
      <c r="AD1463" s="1"/>
      <c r="AE1463" s="1"/>
      <c r="AF1463" s="1"/>
      <c r="AG1463" s="1"/>
      <c r="AH1463" s="1"/>
      <c r="AI1463" s="1"/>
      <c r="AJ1463" s="1"/>
      <c r="AK1463" s="1"/>
      <c r="AL1463" s="1"/>
      <c r="AM1463" s="1"/>
    </row>
    <row r="1464" spans="16:39" x14ac:dyDescent="0.25">
      <c r="P1464" s="49"/>
      <c r="Q1464" s="1"/>
      <c r="S1464" s="1"/>
      <c r="T1464" s="1"/>
      <c r="U1464" s="1"/>
      <c r="V1464" s="1"/>
      <c r="W1464" s="1"/>
      <c r="X1464" s="1"/>
      <c r="Y1464" s="1"/>
      <c r="AB1464" s="1"/>
      <c r="AC1464" s="1"/>
      <c r="AD1464" s="1"/>
      <c r="AE1464" s="1"/>
      <c r="AF1464" s="1"/>
      <c r="AG1464" s="1"/>
      <c r="AH1464" s="1"/>
      <c r="AI1464" s="1"/>
      <c r="AJ1464" s="1"/>
      <c r="AK1464" s="1"/>
      <c r="AL1464" s="1"/>
      <c r="AM1464" s="1"/>
    </row>
    <row r="1465" spans="16:39" x14ac:dyDescent="0.25">
      <c r="P1465" s="49"/>
      <c r="Q1465" s="1"/>
      <c r="S1465" s="1"/>
      <c r="T1465" s="1"/>
      <c r="U1465" s="1"/>
      <c r="V1465" s="1"/>
      <c r="W1465" s="1"/>
      <c r="X1465" s="1"/>
      <c r="Y1465" s="1"/>
      <c r="AB1465" s="1"/>
      <c r="AC1465" s="1"/>
      <c r="AD1465" s="1"/>
      <c r="AE1465" s="1"/>
      <c r="AF1465" s="1"/>
      <c r="AG1465" s="1"/>
      <c r="AH1465" s="1"/>
      <c r="AI1465" s="1"/>
      <c r="AJ1465" s="1"/>
      <c r="AK1465" s="1"/>
      <c r="AL1465" s="1"/>
      <c r="AM1465" s="1"/>
    </row>
    <row r="1466" spans="16:39" x14ac:dyDescent="0.25">
      <c r="P1466" s="49"/>
      <c r="Q1466" s="1"/>
      <c r="S1466" s="1"/>
      <c r="T1466" s="1"/>
      <c r="U1466" s="1"/>
      <c r="V1466" s="1"/>
      <c r="W1466" s="1"/>
      <c r="X1466" s="1"/>
      <c r="Y1466" s="1"/>
      <c r="AB1466" s="1"/>
      <c r="AC1466" s="1"/>
      <c r="AD1466" s="1"/>
      <c r="AE1466" s="1"/>
      <c r="AF1466" s="1"/>
      <c r="AG1466" s="1"/>
      <c r="AH1466" s="1"/>
      <c r="AI1466" s="1"/>
      <c r="AJ1466" s="1"/>
      <c r="AK1466" s="1"/>
      <c r="AL1466" s="1"/>
      <c r="AM1466" s="1"/>
    </row>
    <row r="1467" spans="16:39" x14ac:dyDescent="0.25">
      <c r="P1467" s="49"/>
      <c r="Q1467" s="1"/>
      <c r="S1467" s="1"/>
      <c r="T1467" s="1"/>
      <c r="U1467" s="1"/>
      <c r="V1467" s="1"/>
      <c r="W1467" s="1"/>
      <c r="X1467" s="1"/>
      <c r="Y1467" s="1"/>
      <c r="AB1467" s="1"/>
      <c r="AC1467" s="1"/>
      <c r="AD1467" s="1"/>
      <c r="AE1467" s="1"/>
      <c r="AF1467" s="1"/>
      <c r="AG1467" s="1"/>
      <c r="AH1467" s="1"/>
      <c r="AI1467" s="1"/>
      <c r="AJ1467" s="1"/>
      <c r="AK1467" s="1"/>
      <c r="AL1467" s="1"/>
      <c r="AM1467" s="1"/>
    </row>
    <row r="1468" spans="16:39" x14ac:dyDescent="0.25">
      <c r="P1468" s="49"/>
      <c r="Q1468" s="1"/>
      <c r="S1468" s="1"/>
      <c r="T1468" s="1"/>
      <c r="U1468" s="1"/>
      <c r="V1468" s="1"/>
      <c r="W1468" s="1"/>
      <c r="X1468" s="1"/>
      <c r="Y1468" s="1"/>
      <c r="AB1468" s="1"/>
      <c r="AC1468" s="1"/>
      <c r="AD1468" s="1"/>
      <c r="AE1468" s="1"/>
      <c r="AF1468" s="1"/>
      <c r="AG1468" s="1"/>
      <c r="AH1468" s="1"/>
      <c r="AI1468" s="1"/>
      <c r="AJ1468" s="1"/>
      <c r="AK1468" s="1"/>
      <c r="AL1468" s="1"/>
      <c r="AM1468" s="1"/>
    </row>
    <row r="1469" spans="16:39" x14ac:dyDescent="0.25">
      <c r="P1469" s="49"/>
      <c r="Q1469" s="1"/>
      <c r="S1469" s="1"/>
      <c r="T1469" s="1"/>
      <c r="U1469" s="1"/>
      <c r="V1469" s="1"/>
      <c r="W1469" s="1"/>
      <c r="X1469" s="1"/>
      <c r="Y1469" s="1"/>
      <c r="AB1469" s="1"/>
      <c r="AC1469" s="1"/>
      <c r="AD1469" s="1"/>
      <c r="AE1469" s="1"/>
      <c r="AF1469" s="1"/>
      <c r="AG1469" s="1"/>
      <c r="AH1469" s="1"/>
      <c r="AI1469" s="1"/>
      <c r="AJ1469" s="1"/>
      <c r="AK1469" s="1"/>
      <c r="AL1469" s="1"/>
      <c r="AM1469" s="1"/>
    </row>
    <row r="1470" spans="16:39" x14ac:dyDescent="0.25">
      <c r="P1470" s="49"/>
      <c r="Q1470" s="1"/>
      <c r="S1470" s="1"/>
      <c r="T1470" s="1"/>
      <c r="U1470" s="1"/>
      <c r="V1470" s="1"/>
      <c r="W1470" s="1"/>
      <c r="X1470" s="1"/>
      <c r="Y1470" s="1"/>
      <c r="AB1470" s="1"/>
      <c r="AC1470" s="1"/>
      <c r="AD1470" s="1"/>
      <c r="AE1470" s="1"/>
      <c r="AF1470" s="1"/>
      <c r="AG1470" s="1"/>
      <c r="AH1470" s="1"/>
      <c r="AI1470" s="1"/>
      <c r="AJ1470" s="1"/>
      <c r="AK1470" s="1"/>
      <c r="AL1470" s="1"/>
      <c r="AM1470" s="1"/>
    </row>
    <row r="1471" spans="16:39" x14ac:dyDescent="0.25">
      <c r="P1471" s="49"/>
      <c r="Q1471" s="1"/>
      <c r="S1471" s="1"/>
      <c r="T1471" s="1"/>
      <c r="U1471" s="1"/>
      <c r="V1471" s="1"/>
      <c r="W1471" s="1"/>
      <c r="X1471" s="1"/>
      <c r="Y1471" s="1"/>
      <c r="AB1471" s="1"/>
      <c r="AC1471" s="1"/>
      <c r="AD1471" s="1"/>
      <c r="AE1471" s="1"/>
      <c r="AF1471" s="1"/>
      <c r="AG1471" s="1"/>
      <c r="AH1471" s="1"/>
      <c r="AI1471" s="1"/>
      <c r="AJ1471" s="1"/>
      <c r="AK1471" s="1"/>
      <c r="AL1471" s="1"/>
      <c r="AM1471" s="1"/>
    </row>
    <row r="1472" spans="16:39" x14ac:dyDescent="0.25">
      <c r="P1472" s="49"/>
      <c r="Q1472" s="1"/>
      <c r="S1472" s="1"/>
      <c r="T1472" s="1"/>
      <c r="U1472" s="1"/>
      <c r="V1472" s="1"/>
      <c r="W1472" s="1"/>
      <c r="X1472" s="1"/>
      <c r="Y1472" s="1"/>
      <c r="AB1472" s="1"/>
      <c r="AC1472" s="1"/>
      <c r="AD1472" s="1"/>
      <c r="AE1472" s="1"/>
      <c r="AF1472" s="1"/>
      <c r="AG1472" s="1"/>
      <c r="AH1472" s="1"/>
      <c r="AI1472" s="1"/>
      <c r="AJ1472" s="1"/>
      <c r="AK1472" s="1"/>
      <c r="AL1472" s="1"/>
      <c r="AM1472" s="1"/>
    </row>
    <row r="1473" spans="16:39" x14ac:dyDescent="0.25">
      <c r="P1473" s="49"/>
      <c r="Q1473" s="1"/>
      <c r="S1473" s="1"/>
      <c r="T1473" s="1"/>
      <c r="U1473" s="1"/>
      <c r="V1473" s="1"/>
      <c r="W1473" s="1"/>
      <c r="X1473" s="1"/>
      <c r="Y1473" s="1"/>
      <c r="AB1473" s="1"/>
      <c r="AC1473" s="1"/>
      <c r="AD1473" s="1"/>
      <c r="AE1473" s="1"/>
      <c r="AF1473" s="1"/>
      <c r="AG1473" s="1"/>
      <c r="AH1473" s="1"/>
      <c r="AI1473" s="1"/>
      <c r="AJ1473" s="1"/>
      <c r="AK1473" s="1"/>
      <c r="AL1473" s="1"/>
      <c r="AM1473" s="1"/>
    </row>
    <row r="1474" spans="16:39" x14ac:dyDescent="0.25">
      <c r="P1474" s="49"/>
      <c r="Q1474" s="1"/>
      <c r="S1474" s="1"/>
      <c r="T1474" s="1"/>
      <c r="U1474" s="1"/>
      <c r="V1474" s="1"/>
      <c r="W1474" s="1"/>
      <c r="X1474" s="1"/>
      <c r="Y1474" s="1"/>
      <c r="AB1474" s="1"/>
      <c r="AC1474" s="1"/>
      <c r="AD1474" s="1"/>
      <c r="AE1474" s="1"/>
      <c r="AF1474" s="1"/>
      <c r="AG1474" s="1"/>
      <c r="AH1474" s="1"/>
      <c r="AI1474" s="1"/>
      <c r="AJ1474" s="1"/>
      <c r="AK1474" s="1"/>
      <c r="AL1474" s="1"/>
      <c r="AM1474" s="1"/>
    </row>
    <row r="1475" spans="16:39" x14ac:dyDescent="0.25">
      <c r="P1475" s="49"/>
      <c r="Q1475" s="1"/>
      <c r="S1475" s="1"/>
      <c r="T1475" s="1"/>
      <c r="U1475" s="1"/>
      <c r="V1475" s="1"/>
      <c r="W1475" s="1"/>
      <c r="X1475" s="1"/>
      <c r="Y1475" s="1"/>
      <c r="AB1475" s="1"/>
      <c r="AC1475" s="1"/>
      <c r="AD1475" s="1"/>
      <c r="AE1475" s="1"/>
      <c r="AF1475" s="1"/>
      <c r="AG1475" s="1"/>
      <c r="AH1475" s="1"/>
      <c r="AI1475" s="1"/>
      <c r="AJ1475" s="1"/>
      <c r="AK1475" s="1"/>
      <c r="AL1475" s="1"/>
      <c r="AM1475" s="1"/>
    </row>
    <row r="1476" spans="16:39" x14ac:dyDescent="0.25">
      <c r="P1476" s="49"/>
      <c r="Q1476" s="1"/>
      <c r="S1476" s="1"/>
      <c r="T1476" s="1"/>
      <c r="U1476" s="1"/>
      <c r="V1476" s="1"/>
      <c r="W1476" s="1"/>
      <c r="X1476" s="1"/>
      <c r="Y1476" s="1"/>
      <c r="AB1476" s="1"/>
      <c r="AC1476" s="1"/>
      <c r="AD1476" s="1"/>
      <c r="AE1476" s="1"/>
      <c r="AF1476" s="1"/>
      <c r="AG1476" s="1"/>
      <c r="AH1476" s="1"/>
      <c r="AI1476" s="1"/>
      <c r="AJ1476" s="1"/>
      <c r="AK1476" s="1"/>
      <c r="AL1476" s="1"/>
      <c r="AM1476" s="1"/>
    </row>
    <row r="1477" spans="16:39" x14ac:dyDescent="0.25">
      <c r="P1477" s="49"/>
      <c r="Q1477" s="1"/>
      <c r="S1477" s="1"/>
      <c r="T1477" s="1"/>
      <c r="U1477" s="1"/>
      <c r="V1477" s="1"/>
      <c r="W1477" s="1"/>
      <c r="X1477" s="1"/>
      <c r="Y1477" s="1"/>
      <c r="AB1477" s="1"/>
      <c r="AC1477" s="1"/>
      <c r="AD1477" s="1"/>
      <c r="AE1477" s="1"/>
      <c r="AF1477" s="1"/>
      <c r="AG1477" s="1"/>
      <c r="AH1477" s="1"/>
      <c r="AI1477" s="1"/>
      <c r="AJ1477" s="1"/>
      <c r="AK1477" s="1"/>
      <c r="AL1477" s="1"/>
      <c r="AM1477" s="1"/>
    </row>
    <row r="1478" spans="16:39" x14ac:dyDescent="0.25">
      <c r="P1478" s="49"/>
      <c r="Q1478" s="1"/>
      <c r="S1478" s="1"/>
      <c r="T1478" s="1"/>
      <c r="U1478" s="1"/>
      <c r="V1478" s="1"/>
      <c r="W1478" s="1"/>
      <c r="X1478" s="1"/>
      <c r="Y1478" s="1"/>
      <c r="AB1478" s="1"/>
      <c r="AC1478" s="1"/>
      <c r="AD1478" s="1"/>
      <c r="AE1478" s="1"/>
      <c r="AF1478" s="1"/>
      <c r="AG1478" s="1"/>
      <c r="AH1478" s="1"/>
      <c r="AI1478" s="1"/>
      <c r="AJ1478" s="1"/>
      <c r="AK1478" s="1"/>
      <c r="AL1478" s="1"/>
      <c r="AM1478" s="1"/>
    </row>
    <row r="1479" spans="16:39" x14ac:dyDescent="0.25">
      <c r="P1479" s="49"/>
      <c r="Q1479" s="1"/>
      <c r="S1479" s="1"/>
      <c r="T1479" s="1"/>
      <c r="U1479" s="1"/>
      <c r="V1479" s="1"/>
      <c r="W1479" s="1"/>
      <c r="X1479" s="1"/>
      <c r="Y1479" s="1"/>
      <c r="AB1479" s="1"/>
      <c r="AC1479" s="1"/>
      <c r="AD1479" s="1"/>
      <c r="AE1479" s="1"/>
      <c r="AF1479" s="1"/>
      <c r="AG1479" s="1"/>
      <c r="AH1479" s="1"/>
      <c r="AI1479" s="1"/>
      <c r="AJ1479" s="1"/>
      <c r="AK1479" s="1"/>
      <c r="AL1479" s="1"/>
      <c r="AM1479" s="1"/>
    </row>
    <row r="1480" spans="16:39" x14ac:dyDescent="0.25">
      <c r="P1480" s="49"/>
      <c r="Q1480" s="1"/>
      <c r="S1480" s="1"/>
      <c r="T1480" s="1"/>
      <c r="U1480" s="1"/>
      <c r="V1480" s="1"/>
      <c r="W1480" s="1"/>
      <c r="X1480" s="1"/>
      <c r="Y1480" s="1"/>
      <c r="AB1480" s="1"/>
      <c r="AC1480" s="1"/>
      <c r="AD1480" s="1"/>
      <c r="AE1480" s="1"/>
      <c r="AF1480" s="1"/>
      <c r="AG1480" s="1"/>
      <c r="AH1480" s="1"/>
      <c r="AI1480" s="1"/>
      <c r="AJ1480" s="1"/>
      <c r="AK1480" s="1"/>
      <c r="AL1480" s="1"/>
      <c r="AM1480" s="1"/>
    </row>
    <row r="1481" spans="16:39" x14ac:dyDescent="0.25">
      <c r="P1481" s="49"/>
      <c r="Q1481" s="1"/>
      <c r="S1481" s="1"/>
      <c r="T1481" s="1"/>
      <c r="U1481" s="1"/>
      <c r="V1481" s="1"/>
      <c r="W1481" s="1"/>
      <c r="X1481" s="1"/>
      <c r="Y1481" s="1"/>
      <c r="AB1481" s="1"/>
      <c r="AC1481" s="1"/>
      <c r="AD1481" s="1"/>
      <c r="AE1481" s="1"/>
      <c r="AF1481" s="1"/>
      <c r="AG1481" s="1"/>
      <c r="AH1481" s="1"/>
      <c r="AI1481" s="1"/>
      <c r="AJ1481" s="1"/>
      <c r="AK1481" s="1"/>
      <c r="AL1481" s="1"/>
      <c r="AM1481" s="1"/>
    </row>
    <row r="1482" spans="16:39" x14ac:dyDescent="0.25">
      <c r="P1482" s="49"/>
      <c r="Q1482" s="1"/>
      <c r="S1482" s="1"/>
      <c r="T1482" s="1"/>
      <c r="U1482" s="1"/>
      <c r="V1482" s="1"/>
      <c r="W1482" s="1"/>
      <c r="X1482" s="1"/>
      <c r="Y1482" s="1"/>
      <c r="AB1482" s="1"/>
      <c r="AC1482" s="1"/>
      <c r="AD1482" s="1"/>
      <c r="AE1482" s="1"/>
      <c r="AF1482" s="1"/>
      <c r="AG1482" s="1"/>
      <c r="AH1482" s="1"/>
      <c r="AI1482" s="1"/>
      <c r="AJ1482" s="1"/>
      <c r="AK1482" s="1"/>
      <c r="AL1482" s="1"/>
      <c r="AM1482" s="1"/>
    </row>
    <row r="1483" spans="16:39" x14ac:dyDescent="0.25">
      <c r="P1483" s="49"/>
      <c r="Q1483" s="1"/>
      <c r="S1483" s="1"/>
      <c r="T1483" s="1"/>
      <c r="U1483" s="1"/>
      <c r="V1483" s="1"/>
      <c r="W1483" s="1"/>
      <c r="X1483" s="1"/>
      <c r="Y1483" s="1"/>
      <c r="AB1483" s="1"/>
      <c r="AC1483" s="1"/>
      <c r="AD1483" s="1"/>
      <c r="AE1483" s="1"/>
      <c r="AF1483" s="1"/>
      <c r="AG1483" s="1"/>
      <c r="AH1483" s="1"/>
      <c r="AI1483" s="1"/>
      <c r="AJ1483" s="1"/>
      <c r="AK1483" s="1"/>
      <c r="AL1483" s="1"/>
      <c r="AM1483" s="1"/>
    </row>
    <row r="1484" spans="16:39" x14ac:dyDescent="0.25">
      <c r="P1484" s="49"/>
      <c r="Q1484" s="1"/>
      <c r="S1484" s="1"/>
      <c r="T1484" s="1"/>
      <c r="U1484" s="1"/>
      <c r="V1484" s="1"/>
      <c r="W1484" s="1"/>
      <c r="X1484" s="1"/>
      <c r="Y1484" s="1"/>
      <c r="AB1484" s="1"/>
      <c r="AC1484" s="1"/>
      <c r="AD1484" s="1"/>
      <c r="AE1484" s="1"/>
      <c r="AF1484" s="1"/>
      <c r="AG1484" s="1"/>
      <c r="AH1484" s="1"/>
      <c r="AI1484" s="1"/>
      <c r="AJ1484" s="1"/>
      <c r="AK1484" s="1"/>
      <c r="AL1484" s="1"/>
      <c r="AM1484" s="1"/>
    </row>
    <row r="1485" spans="16:39" x14ac:dyDescent="0.25">
      <c r="P1485" s="49"/>
      <c r="Q1485" s="1"/>
      <c r="S1485" s="1"/>
      <c r="T1485" s="1"/>
      <c r="U1485" s="1"/>
      <c r="V1485" s="1"/>
      <c r="W1485" s="1"/>
      <c r="X1485" s="1"/>
      <c r="Y1485" s="1"/>
      <c r="AB1485" s="1"/>
      <c r="AC1485" s="1"/>
      <c r="AD1485" s="1"/>
      <c r="AE1485" s="1"/>
      <c r="AF1485" s="1"/>
      <c r="AG1485" s="1"/>
      <c r="AH1485" s="1"/>
      <c r="AI1485" s="1"/>
      <c r="AJ1485" s="1"/>
      <c r="AK1485" s="1"/>
      <c r="AL1485" s="1"/>
      <c r="AM1485" s="1"/>
    </row>
    <row r="1486" spans="16:39" x14ac:dyDescent="0.25">
      <c r="P1486" s="49"/>
      <c r="Q1486" s="1"/>
      <c r="S1486" s="1"/>
      <c r="T1486" s="1"/>
      <c r="U1486" s="1"/>
      <c r="V1486" s="1"/>
      <c r="W1486" s="1"/>
      <c r="X1486" s="1"/>
      <c r="Y1486" s="1"/>
      <c r="AB1486" s="1"/>
      <c r="AC1486" s="1"/>
      <c r="AD1486" s="1"/>
      <c r="AE1486" s="1"/>
      <c r="AF1486" s="1"/>
      <c r="AG1486" s="1"/>
      <c r="AH1486" s="1"/>
      <c r="AI1486" s="1"/>
      <c r="AJ1486" s="1"/>
      <c r="AK1486" s="1"/>
      <c r="AL1486" s="1"/>
      <c r="AM1486" s="1"/>
    </row>
    <row r="1487" spans="16:39" x14ac:dyDescent="0.25">
      <c r="P1487" s="49"/>
      <c r="Q1487" s="1"/>
      <c r="S1487" s="1"/>
      <c r="T1487" s="1"/>
      <c r="U1487" s="1"/>
      <c r="V1487" s="1"/>
      <c r="W1487" s="1"/>
      <c r="X1487" s="1"/>
      <c r="Y1487" s="1"/>
      <c r="AB1487" s="1"/>
      <c r="AC1487" s="1"/>
      <c r="AD1487" s="1"/>
      <c r="AE1487" s="1"/>
      <c r="AF1487" s="1"/>
      <c r="AG1487" s="1"/>
      <c r="AH1487" s="1"/>
      <c r="AI1487" s="1"/>
      <c r="AJ1487" s="1"/>
      <c r="AK1487" s="1"/>
      <c r="AL1487" s="1"/>
      <c r="AM1487" s="1"/>
    </row>
    <row r="1488" spans="16:39" x14ac:dyDescent="0.25">
      <c r="P1488" s="49"/>
      <c r="Q1488" s="1"/>
      <c r="S1488" s="1"/>
      <c r="T1488" s="1"/>
      <c r="U1488" s="1"/>
      <c r="V1488" s="1"/>
      <c r="W1488" s="1"/>
      <c r="X1488" s="1"/>
      <c r="Y1488" s="1"/>
      <c r="AB1488" s="1"/>
      <c r="AC1488" s="1"/>
      <c r="AD1488" s="1"/>
      <c r="AE1488" s="1"/>
      <c r="AF1488" s="1"/>
      <c r="AG1488" s="1"/>
      <c r="AH1488" s="1"/>
      <c r="AI1488" s="1"/>
      <c r="AJ1488" s="1"/>
      <c r="AK1488" s="1"/>
      <c r="AL1488" s="1"/>
      <c r="AM1488" s="1"/>
    </row>
    <row r="1489" spans="16:39" x14ac:dyDescent="0.25">
      <c r="P1489" s="49"/>
      <c r="Q1489" s="1"/>
      <c r="S1489" s="1"/>
      <c r="T1489" s="1"/>
      <c r="U1489" s="1"/>
      <c r="V1489" s="1"/>
      <c r="W1489" s="1"/>
      <c r="X1489" s="1"/>
      <c r="Y1489" s="1"/>
      <c r="AB1489" s="1"/>
      <c r="AC1489" s="1"/>
      <c r="AD1489" s="1"/>
      <c r="AE1489" s="1"/>
      <c r="AF1489" s="1"/>
      <c r="AG1489" s="1"/>
      <c r="AH1489" s="1"/>
      <c r="AI1489" s="1"/>
      <c r="AJ1489" s="1"/>
      <c r="AK1489" s="1"/>
      <c r="AL1489" s="1"/>
      <c r="AM1489" s="1"/>
    </row>
    <row r="1490" spans="16:39" x14ac:dyDescent="0.25">
      <c r="P1490" s="49"/>
      <c r="Q1490" s="1"/>
      <c r="S1490" s="1"/>
      <c r="T1490" s="1"/>
      <c r="U1490" s="1"/>
      <c r="V1490" s="1"/>
      <c r="W1490" s="1"/>
      <c r="X1490" s="1"/>
      <c r="Y1490" s="1"/>
      <c r="AB1490" s="1"/>
      <c r="AC1490" s="1"/>
      <c r="AD1490" s="1"/>
      <c r="AE1490" s="1"/>
      <c r="AF1490" s="1"/>
      <c r="AG1490" s="1"/>
      <c r="AH1490" s="1"/>
      <c r="AI1490" s="1"/>
      <c r="AJ1490" s="1"/>
      <c r="AK1490" s="1"/>
      <c r="AL1490" s="1"/>
      <c r="AM1490" s="1"/>
    </row>
    <row r="1491" spans="16:39" x14ac:dyDescent="0.25">
      <c r="P1491" s="49"/>
      <c r="Q1491" s="1"/>
      <c r="S1491" s="1"/>
      <c r="T1491" s="1"/>
      <c r="U1491" s="1"/>
      <c r="V1491" s="1"/>
      <c r="W1491" s="1"/>
      <c r="X1491" s="1"/>
      <c r="Y1491" s="1"/>
      <c r="AB1491" s="1"/>
      <c r="AC1491" s="1"/>
      <c r="AD1491" s="1"/>
      <c r="AE1491" s="1"/>
      <c r="AF1491" s="1"/>
      <c r="AG1491" s="1"/>
      <c r="AH1491" s="1"/>
      <c r="AI1491" s="1"/>
      <c r="AJ1491" s="1"/>
      <c r="AK1491" s="1"/>
      <c r="AL1491" s="1"/>
      <c r="AM1491" s="1"/>
    </row>
    <row r="1492" spans="16:39" x14ac:dyDescent="0.25">
      <c r="P1492" s="49"/>
      <c r="Q1492" s="1"/>
      <c r="S1492" s="1"/>
      <c r="T1492" s="1"/>
      <c r="U1492" s="1"/>
      <c r="V1492" s="1"/>
      <c r="W1492" s="1"/>
      <c r="X1492" s="1"/>
      <c r="Y1492" s="1"/>
      <c r="AB1492" s="1"/>
      <c r="AC1492" s="1"/>
      <c r="AD1492" s="1"/>
      <c r="AE1492" s="1"/>
      <c r="AF1492" s="1"/>
      <c r="AG1492" s="1"/>
      <c r="AH1492" s="1"/>
      <c r="AI1492" s="1"/>
      <c r="AJ1492" s="1"/>
      <c r="AK1492" s="1"/>
      <c r="AL1492" s="1"/>
      <c r="AM1492" s="1"/>
    </row>
    <row r="1493" spans="16:39" x14ac:dyDescent="0.25">
      <c r="P1493" s="49"/>
      <c r="Q1493" s="1"/>
      <c r="S1493" s="1"/>
      <c r="T1493" s="1"/>
      <c r="U1493" s="1"/>
      <c r="V1493" s="1"/>
      <c r="W1493" s="1"/>
      <c r="X1493" s="1"/>
      <c r="Y1493" s="1"/>
      <c r="AB1493" s="1"/>
      <c r="AC1493" s="1"/>
      <c r="AD1493" s="1"/>
      <c r="AE1493" s="1"/>
      <c r="AF1493" s="1"/>
      <c r="AG1493" s="1"/>
      <c r="AH1493" s="1"/>
      <c r="AI1493" s="1"/>
      <c r="AJ1493" s="1"/>
      <c r="AK1493" s="1"/>
      <c r="AL1493" s="1"/>
      <c r="AM1493" s="1"/>
    </row>
    <row r="1494" spans="16:39" x14ac:dyDescent="0.25">
      <c r="P1494" s="49"/>
      <c r="Q1494" s="1"/>
      <c r="S1494" s="1"/>
      <c r="T1494" s="1"/>
      <c r="U1494" s="1"/>
      <c r="V1494" s="1"/>
      <c r="W1494" s="1"/>
      <c r="X1494" s="1"/>
      <c r="Y1494" s="1"/>
      <c r="AB1494" s="1"/>
      <c r="AC1494" s="1"/>
      <c r="AD1494" s="1"/>
      <c r="AE1494" s="1"/>
      <c r="AF1494" s="1"/>
      <c r="AG1494" s="1"/>
      <c r="AH1494" s="1"/>
      <c r="AI1494" s="1"/>
      <c r="AJ1494" s="1"/>
      <c r="AK1494" s="1"/>
      <c r="AL1494" s="1"/>
      <c r="AM1494" s="1"/>
    </row>
    <row r="1495" spans="16:39" x14ac:dyDescent="0.25">
      <c r="P1495" s="49"/>
      <c r="Q1495" s="1"/>
      <c r="S1495" s="1"/>
      <c r="T1495" s="1"/>
      <c r="U1495" s="1"/>
      <c r="V1495" s="1"/>
      <c r="W1495" s="1"/>
      <c r="X1495" s="1"/>
      <c r="Y1495" s="1"/>
      <c r="AB1495" s="1"/>
      <c r="AC1495" s="1"/>
      <c r="AD1495" s="1"/>
      <c r="AE1495" s="1"/>
      <c r="AF1495" s="1"/>
      <c r="AG1495" s="1"/>
      <c r="AH1495" s="1"/>
      <c r="AI1495" s="1"/>
      <c r="AJ1495" s="1"/>
      <c r="AK1495" s="1"/>
      <c r="AL1495" s="1"/>
      <c r="AM1495" s="1"/>
    </row>
    <row r="1496" spans="16:39" x14ac:dyDescent="0.25">
      <c r="P1496" s="49"/>
      <c r="Q1496" s="1"/>
      <c r="S1496" s="1"/>
      <c r="T1496" s="1"/>
      <c r="U1496" s="1"/>
      <c r="V1496" s="1"/>
      <c r="W1496" s="1"/>
      <c r="X1496" s="1"/>
      <c r="Y1496" s="1"/>
      <c r="AB1496" s="1"/>
      <c r="AC1496" s="1"/>
      <c r="AD1496" s="1"/>
      <c r="AE1496" s="1"/>
      <c r="AF1496" s="1"/>
      <c r="AG1496" s="1"/>
      <c r="AH1496" s="1"/>
      <c r="AI1496" s="1"/>
      <c r="AJ1496" s="1"/>
      <c r="AK1496" s="1"/>
      <c r="AL1496" s="1"/>
      <c r="AM1496" s="1"/>
    </row>
    <row r="1497" spans="16:39" x14ac:dyDescent="0.25">
      <c r="P1497" s="49"/>
      <c r="Q1497" s="1"/>
      <c r="S1497" s="1"/>
      <c r="T1497" s="1"/>
      <c r="U1497" s="1"/>
      <c r="V1497" s="1"/>
      <c r="W1497" s="1"/>
      <c r="X1497" s="1"/>
      <c r="Y1497" s="1"/>
      <c r="AB1497" s="1"/>
      <c r="AC1497" s="1"/>
      <c r="AD1497" s="1"/>
      <c r="AE1497" s="1"/>
      <c r="AF1497" s="1"/>
      <c r="AG1497" s="1"/>
      <c r="AH1497" s="1"/>
      <c r="AI1497" s="1"/>
      <c r="AJ1497" s="1"/>
      <c r="AK1497" s="1"/>
      <c r="AL1497" s="1"/>
      <c r="AM1497" s="1"/>
    </row>
    <row r="1498" spans="16:39" x14ac:dyDescent="0.25">
      <c r="P1498" s="49"/>
      <c r="Q1498" s="1"/>
      <c r="S1498" s="1"/>
      <c r="T1498" s="1"/>
      <c r="U1498" s="1"/>
      <c r="V1498" s="1"/>
      <c r="W1498" s="1"/>
      <c r="X1498" s="1"/>
      <c r="Y1498" s="1"/>
      <c r="AB1498" s="1"/>
      <c r="AC1498" s="1"/>
      <c r="AD1498" s="1"/>
      <c r="AE1498" s="1"/>
      <c r="AF1498" s="1"/>
      <c r="AG1498" s="1"/>
      <c r="AH1498" s="1"/>
      <c r="AI1498" s="1"/>
      <c r="AJ1498" s="1"/>
      <c r="AK1498" s="1"/>
      <c r="AL1498" s="1"/>
      <c r="AM1498" s="1"/>
    </row>
    <row r="1499" spans="16:39" x14ac:dyDescent="0.25">
      <c r="P1499" s="49"/>
      <c r="Q1499" s="1"/>
      <c r="S1499" s="1"/>
      <c r="T1499" s="1"/>
      <c r="U1499" s="1"/>
      <c r="V1499" s="1"/>
      <c r="W1499" s="1"/>
      <c r="X1499" s="1"/>
      <c r="Y1499" s="1"/>
      <c r="AB1499" s="1"/>
      <c r="AC1499" s="1"/>
      <c r="AD1499" s="1"/>
      <c r="AE1499" s="1"/>
      <c r="AF1499" s="1"/>
      <c r="AG1499" s="1"/>
      <c r="AH1499" s="1"/>
      <c r="AI1499" s="1"/>
      <c r="AJ1499" s="1"/>
      <c r="AK1499" s="1"/>
      <c r="AL1499" s="1"/>
      <c r="AM1499" s="1"/>
    </row>
    <row r="1500" spans="16:39" x14ac:dyDescent="0.25">
      <c r="P1500" s="49"/>
      <c r="Q1500" s="1"/>
      <c r="S1500" s="1"/>
      <c r="T1500" s="1"/>
      <c r="U1500" s="1"/>
      <c r="V1500" s="1"/>
      <c r="W1500" s="1"/>
      <c r="X1500" s="1"/>
      <c r="Y1500" s="1"/>
      <c r="AB1500" s="1"/>
      <c r="AC1500" s="1"/>
      <c r="AD1500" s="1"/>
      <c r="AE1500" s="1"/>
      <c r="AF1500" s="1"/>
      <c r="AG1500" s="1"/>
      <c r="AH1500" s="1"/>
      <c r="AI1500" s="1"/>
      <c r="AJ1500" s="1"/>
      <c r="AK1500" s="1"/>
      <c r="AL1500" s="1"/>
      <c r="AM1500" s="1"/>
    </row>
    <row r="1501" spans="16:39" x14ac:dyDescent="0.25">
      <c r="P1501" s="49"/>
      <c r="Q1501" s="1"/>
      <c r="S1501" s="1"/>
      <c r="T1501" s="1"/>
      <c r="U1501" s="1"/>
      <c r="V1501" s="1"/>
      <c r="W1501" s="1"/>
      <c r="X1501" s="1"/>
      <c r="Y1501" s="1"/>
      <c r="AB1501" s="1"/>
      <c r="AC1501" s="1"/>
      <c r="AD1501" s="1"/>
      <c r="AE1501" s="1"/>
      <c r="AF1501" s="1"/>
      <c r="AG1501" s="1"/>
      <c r="AH1501" s="1"/>
      <c r="AI1501" s="1"/>
      <c r="AJ1501" s="1"/>
      <c r="AK1501" s="1"/>
      <c r="AL1501" s="1"/>
      <c r="AM1501" s="1"/>
    </row>
    <row r="1502" spans="16:39" x14ac:dyDescent="0.25">
      <c r="P1502" s="49"/>
      <c r="Q1502" s="1"/>
      <c r="S1502" s="1"/>
      <c r="T1502" s="1"/>
      <c r="U1502" s="1"/>
      <c r="V1502" s="1"/>
      <c r="W1502" s="1"/>
      <c r="X1502" s="1"/>
      <c r="Y1502" s="1"/>
      <c r="AB1502" s="1"/>
      <c r="AC1502" s="1"/>
      <c r="AD1502" s="1"/>
      <c r="AE1502" s="1"/>
      <c r="AF1502" s="1"/>
      <c r="AG1502" s="1"/>
      <c r="AH1502" s="1"/>
      <c r="AI1502" s="1"/>
      <c r="AJ1502" s="1"/>
      <c r="AK1502" s="1"/>
      <c r="AL1502" s="1"/>
      <c r="AM1502" s="1"/>
    </row>
    <row r="1503" spans="16:39" x14ac:dyDescent="0.25">
      <c r="P1503" s="49"/>
      <c r="Q1503" s="1"/>
      <c r="S1503" s="1"/>
      <c r="T1503" s="1"/>
      <c r="U1503" s="1"/>
      <c r="V1503" s="1"/>
      <c r="W1503" s="1"/>
      <c r="X1503" s="1"/>
      <c r="Y1503" s="1"/>
      <c r="AB1503" s="1"/>
      <c r="AC1503" s="1"/>
      <c r="AD1503" s="1"/>
      <c r="AE1503" s="1"/>
      <c r="AF1503" s="1"/>
      <c r="AG1503" s="1"/>
      <c r="AH1503" s="1"/>
      <c r="AI1503" s="1"/>
      <c r="AJ1503" s="1"/>
      <c r="AK1503" s="1"/>
      <c r="AL1503" s="1"/>
      <c r="AM1503" s="1"/>
    </row>
    <row r="1504" spans="16:39" x14ac:dyDescent="0.25">
      <c r="P1504" s="49"/>
      <c r="Q1504" s="1"/>
      <c r="S1504" s="1"/>
      <c r="T1504" s="1"/>
      <c r="U1504" s="1"/>
      <c r="V1504" s="1"/>
      <c r="W1504" s="1"/>
      <c r="X1504" s="1"/>
      <c r="Y1504" s="1"/>
      <c r="AB1504" s="1"/>
      <c r="AC1504" s="1"/>
      <c r="AD1504" s="1"/>
      <c r="AE1504" s="1"/>
      <c r="AF1504" s="1"/>
      <c r="AG1504" s="1"/>
      <c r="AH1504" s="1"/>
      <c r="AI1504" s="1"/>
      <c r="AJ1504" s="1"/>
      <c r="AK1504" s="1"/>
      <c r="AL1504" s="1"/>
      <c r="AM1504" s="1"/>
    </row>
    <row r="1505" spans="16:39" x14ac:dyDescent="0.25">
      <c r="P1505" s="49"/>
      <c r="Q1505" s="1"/>
      <c r="S1505" s="1"/>
      <c r="T1505" s="1"/>
      <c r="U1505" s="1"/>
      <c r="V1505" s="1"/>
      <c r="W1505" s="1"/>
      <c r="X1505" s="1"/>
      <c r="Y1505" s="1"/>
      <c r="AB1505" s="1"/>
      <c r="AC1505" s="1"/>
      <c r="AD1505" s="1"/>
      <c r="AE1505" s="1"/>
      <c r="AF1505" s="1"/>
      <c r="AG1505" s="1"/>
      <c r="AH1505" s="1"/>
      <c r="AI1505" s="1"/>
      <c r="AJ1505" s="1"/>
      <c r="AK1505" s="1"/>
      <c r="AL1505" s="1"/>
      <c r="AM1505" s="1"/>
    </row>
    <row r="1506" spans="16:39" x14ac:dyDescent="0.25">
      <c r="P1506" s="49"/>
      <c r="Q1506" s="1"/>
      <c r="S1506" s="1"/>
      <c r="T1506" s="1"/>
      <c r="U1506" s="1"/>
      <c r="V1506" s="1"/>
      <c r="W1506" s="1"/>
      <c r="X1506" s="1"/>
      <c r="Y1506" s="1"/>
      <c r="AB1506" s="1"/>
      <c r="AC1506" s="1"/>
      <c r="AD1506" s="1"/>
      <c r="AE1506" s="1"/>
      <c r="AF1506" s="1"/>
      <c r="AG1506" s="1"/>
      <c r="AH1506" s="1"/>
      <c r="AI1506" s="1"/>
      <c r="AJ1506" s="1"/>
      <c r="AK1506" s="1"/>
      <c r="AL1506" s="1"/>
      <c r="AM1506" s="1"/>
    </row>
    <row r="1507" spans="16:39" x14ac:dyDescent="0.25">
      <c r="P1507" s="49"/>
      <c r="Q1507" s="1"/>
      <c r="S1507" s="1"/>
      <c r="T1507" s="1"/>
      <c r="U1507" s="1"/>
      <c r="V1507" s="1"/>
      <c r="W1507" s="1"/>
      <c r="X1507" s="1"/>
      <c r="Y1507" s="1"/>
      <c r="AB1507" s="1"/>
      <c r="AC1507" s="1"/>
      <c r="AD1507" s="1"/>
      <c r="AE1507" s="1"/>
      <c r="AF1507" s="1"/>
      <c r="AG1507" s="1"/>
      <c r="AH1507" s="1"/>
      <c r="AI1507" s="1"/>
      <c r="AJ1507" s="1"/>
      <c r="AK1507" s="1"/>
      <c r="AL1507" s="1"/>
      <c r="AM1507" s="1"/>
    </row>
    <row r="1508" spans="16:39" x14ac:dyDescent="0.25">
      <c r="P1508" s="49"/>
      <c r="Q1508" s="1"/>
      <c r="S1508" s="1"/>
      <c r="T1508" s="1"/>
      <c r="U1508" s="1"/>
      <c r="V1508" s="1"/>
      <c r="W1508" s="1"/>
      <c r="X1508" s="1"/>
      <c r="Y1508" s="1"/>
      <c r="AB1508" s="1"/>
      <c r="AC1508" s="1"/>
      <c r="AD1508" s="1"/>
      <c r="AE1508" s="1"/>
      <c r="AF1508" s="1"/>
      <c r="AG1508" s="1"/>
      <c r="AH1508" s="1"/>
      <c r="AI1508" s="1"/>
      <c r="AJ1508" s="1"/>
      <c r="AK1508" s="1"/>
      <c r="AL1508" s="1"/>
      <c r="AM1508" s="1"/>
    </row>
    <row r="1509" spans="16:39" x14ac:dyDescent="0.25">
      <c r="P1509" s="49"/>
      <c r="Q1509" s="1"/>
      <c r="S1509" s="1"/>
      <c r="T1509" s="1"/>
      <c r="U1509" s="1"/>
      <c r="V1509" s="1"/>
      <c r="W1509" s="1"/>
      <c r="X1509" s="1"/>
      <c r="Y1509" s="1"/>
      <c r="AB1509" s="1"/>
      <c r="AC1509" s="1"/>
      <c r="AD1509" s="1"/>
      <c r="AE1509" s="1"/>
      <c r="AF1509" s="1"/>
      <c r="AG1509" s="1"/>
      <c r="AH1509" s="1"/>
      <c r="AI1509" s="1"/>
      <c r="AJ1509" s="1"/>
      <c r="AK1509" s="1"/>
      <c r="AL1509" s="1"/>
      <c r="AM1509" s="1"/>
    </row>
    <row r="1510" spans="16:39" x14ac:dyDescent="0.25">
      <c r="P1510" s="49"/>
      <c r="Q1510" s="1"/>
      <c r="S1510" s="1"/>
      <c r="T1510" s="1"/>
      <c r="U1510" s="1"/>
      <c r="V1510" s="1"/>
      <c r="W1510" s="1"/>
      <c r="X1510" s="1"/>
      <c r="Y1510" s="1"/>
      <c r="AB1510" s="1"/>
      <c r="AC1510" s="1"/>
      <c r="AD1510" s="1"/>
      <c r="AE1510" s="1"/>
      <c r="AF1510" s="1"/>
      <c r="AG1510" s="1"/>
      <c r="AH1510" s="1"/>
      <c r="AI1510" s="1"/>
      <c r="AJ1510" s="1"/>
      <c r="AK1510" s="1"/>
      <c r="AL1510" s="1"/>
      <c r="AM1510" s="1"/>
    </row>
    <row r="1511" spans="16:39" x14ac:dyDescent="0.25">
      <c r="P1511" s="49"/>
      <c r="Q1511" s="1"/>
      <c r="S1511" s="1"/>
      <c r="T1511" s="1"/>
      <c r="U1511" s="1"/>
      <c r="V1511" s="1"/>
      <c r="W1511" s="1"/>
      <c r="X1511" s="1"/>
      <c r="Y1511" s="1"/>
      <c r="AB1511" s="1"/>
      <c r="AC1511" s="1"/>
      <c r="AD1511" s="1"/>
      <c r="AE1511" s="1"/>
      <c r="AF1511" s="1"/>
      <c r="AG1511" s="1"/>
      <c r="AH1511" s="1"/>
      <c r="AI1511" s="1"/>
      <c r="AJ1511" s="1"/>
      <c r="AK1511" s="1"/>
      <c r="AL1511" s="1"/>
      <c r="AM1511" s="1"/>
    </row>
    <row r="1512" spans="16:39" x14ac:dyDescent="0.25">
      <c r="P1512" s="49"/>
      <c r="Q1512" s="1"/>
      <c r="S1512" s="1"/>
      <c r="T1512" s="1"/>
      <c r="U1512" s="1"/>
      <c r="V1512" s="1"/>
      <c r="W1512" s="1"/>
      <c r="X1512" s="1"/>
      <c r="Y1512" s="1"/>
      <c r="AB1512" s="1"/>
      <c r="AC1512" s="1"/>
      <c r="AD1512" s="1"/>
      <c r="AE1512" s="1"/>
      <c r="AF1512" s="1"/>
      <c r="AG1512" s="1"/>
      <c r="AH1512" s="1"/>
      <c r="AI1512" s="1"/>
      <c r="AJ1512" s="1"/>
      <c r="AK1512" s="1"/>
      <c r="AL1512" s="1"/>
      <c r="AM1512" s="1"/>
    </row>
    <row r="1513" spans="16:39" x14ac:dyDescent="0.25">
      <c r="P1513" s="49"/>
      <c r="Q1513" s="1"/>
      <c r="S1513" s="1"/>
      <c r="T1513" s="1"/>
      <c r="U1513" s="1"/>
      <c r="V1513" s="1"/>
      <c r="W1513" s="1"/>
      <c r="X1513" s="1"/>
      <c r="Y1513" s="1"/>
      <c r="AB1513" s="1"/>
      <c r="AC1513" s="1"/>
      <c r="AD1513" s="1"/>
      <c r="AE1513" s="1"/>
      <c r="AF1513" s="1"/>
      <c r="AG1513" s="1"/>
      <c r="AH1513" s="1"/>
      <c r="AI1513" s="1"/>
      <c r="AJ1513" s="1"/>
      <c r="AK1513" s="1"/>
      <c r="AL1513" s="1"/>
      <c r="AM1513" s="1"/>
    </row>
    <row r="1514" spans="16:39" x14ac:dyDescent="0.25">
      <c r="P1514" s="49"/>
      <c r="Q1514" s="1"/>
      <c r="S1514" s="1"/>
      <c r="T1514" s="1"/>
      <c r="U1514" s="1"/>
      <c r="V1514" s="1"/>
      <c r="W1514" s="1"/>
      <c r="X1514" s="1"/>
      <c r="Y1514" s="1"/>
      <c r="AB1514" s="1"/>
      <c r="AC1514" s="1"/>
      <c r="AD1514" s="1"/>
      <c r="AE1514" s="1"/>
      <c r="AF1514" s="1"/>
      <c r="AG1514" s="1"/>
      <c r="AH1514" s="1"/>
      <c r="AI1514" s="1"/>
      <c r="AJ1514" s="1"/>
      <c r="AK1514" s="1"/>
      <c r="AL1514" s="1"/>
      <c r="AM1514" s="1"/>
    </row>
    <row r="1515" spans="16:39" x14ac:dyDescent="0.25">
      <c r="P1515" s="49"/>
      <c r="Q1515" s="1"/>
      <c r="S1515" s="1"/>
      <c r="T1515" s="1"/>
      <c r="U1515" s="1"/>
      <c r="V1515" s="1"/>
      <c r="W1515" s="1"/>
      <c r="X1515" s="1"/>
      <c r="Y1515" s="1"/>
      <c r="AB1515" s="1"/>
      <c r="AC1515" s="1"/>
      <c r="AD1515" s="1"/>
      <c r="AE1515" s="1"/>
      <c r="AF1515" s="1"/>
      <c r="AG1515" s="1"/>
      <c r="AH1515" s="1"/>
      <c r="AI1515" s="1"/>
      <c r="AJ1515" s="1"/>
      <c r="AK1515" s="1"/>
      <c r="AL1515" s="1"/>
      <c r="AM1515" s="1"/>
    </row>
    <row r="1516" spans="16:39" x14ac:dyDescent="0.25">
      <c r="P1516" s="49"/>
      <c r="Q1516" s="1"/>
      <c r="S1516" s="1"/>
      <c r="T1516" s="1"/>
      <c r="U1516" s="1"/>
      <c r="V1516" s="1"/>
      <c r="W1516" s="1"/>
      <c r="X1516" s="1"/>
      <c r="Y1516" s="1"/>
      <c r="AB1516" s="1"/>
      <c r="AC1516" s="1"/>
      <c r="AD1516" s="1"/>
      <c r="AE1516" s="1"/>
      <c r="AF1516" s="1"/>
      <c r="AG1516" s="1"/>
      <c r="AH1516" s="1"/>
      <c r="AI1516" s="1"/>
      <c r="AJ1516" s="1"/>
      <c r="AK1516" s="1"/>
      <c r="AL1516" s="1"/>
      <c r="AM1516" s="1"/>
    </row>
    <row r="1517" spans="16:39" x14ac:dyDescent="0.25">
      <c r="P1517" s="49"/>
      <c r="Q1517" s="1"/>
      <c r="S1517" s="1"/>
      <c r="T1517" s="1"/>
      <c r="U1517" s="1"/>
      <c r="V1517" s="1"/>
      <c r="W1517" s="1"/>
      <c r="X1517" s="1"/>
      <c r="Y1517" s="1"/>
      <c r="AB1517" s="1"/>
      <c r="AC1517" s="1"/>
      <c r="AD1517" s="1"/>
      <c r="AE1517" s="1"/>
      <c r="AF1517" s="1"/>
      <c r="AG1517" s="1"/>
      <c r="AH1517" s="1"/>
      <c r="AI1517" s="1"/>
      <c r="AJ1517" s="1"/>
      <c r="AK1517" s="1"/>
      <c r="AL1517" s="1"/>
      <c r="AM1517" s="1"/>
    </row>
    <row r="1518" spans="16:39" x14ac:dyDescent="0.25">
      <c r="P1518" s="49"/>
      <c r="Q1518" s="1"/>
      <c r="S1518" s="1"/>
      <c r="T1518" s="1"/>
      <c r="U1518" s="1"/>
      <c r="V1518" s="1"/>
      <c r="W1518" s="1"/>
      <c r="X1518" s="1"/>
      <c r="Y1518" s="1"/>
      <c r="AB1518" s="1"/>
      <c r="AC1518" s="1"/>
      <c r="AD1518" s="1"/>
      <c r="AE1518" s="1"/>
      <c r="AF1518" s="1"/>
      <c r="AG1518" s="1"/>
      <c r="AH1518" s="1"/>
      <c r="AI1518" s="1"/>
      <c r="AJ1518" s="1"/>
      <c r="AK1518" s="1"/>
      <c r="AL1518" s="1"/>
      <c r="AM1518" s="1"/>
    </row>
    <row r="1519" spans="16:39" x14ac:dyDescent="0.25">
      <c r="P1519" s="49"/>
      <c r="Q1519" s="1"/>
      <c r="S1519" s="1"/>
      <c r="T1519" s="1"/>
      <c r="U1519" s="1"/>
      <c r="V1519" s="1"/>
      <c r="W1519" s="1"/>
      <c r="X1519" s="1"/>
      <c r="Y1519" s="1"/>
      <c r="AB1519" s="1"/>
      <c r="AC1519" s="1"/>
      <c r="AD1519" s="1"/>
      <c r="AE1519" s="1"/>
      <c r="AF1519" s="1"/>
      <c r="AG1519" s="1"/>
      <c r="AH1519" s="1"/>
      <c r="AI1519" s="1"/>
      <c r="AJ1519" s="1"/>
      <c r="AK1519" s="1"/>
      <c r="AL1519" s="1"/>
      <c r="AM1519" s="1"/>
    </row>
    <row r="1520" spans="16:39" x14ac:dyDescent="0.25">
      <c r="P1520" s="49"/>
      <c r="Q1520" s="1"/>
      <c r="S1520" s="1"/>
      <c r="T1520" s="1"/>
      <c r="U1520" s="1"/>
      <c r="V1520" s="1"/>
      <c r="W1520" s="1"/>
      <c r="X1520" s="1"/>
      <c r="Y1520" s="1"/>
      <c r="AB1520" s="1"/>
      <c r="AC1520" s="1"/>
      <c r="AD1520" s="1"/>
      <c r="AE1520" s="1"/>
      <c r="AF1520" s="1"/>
      <c r="AG1520" s="1"/>
      <c r="AH1520" s="1"/>
      <c r="AI1520" s="1"/>
      <c r="AJ1520" s="1"/>
      <c r="AK1520" s="1"/>
      <c r="AL1520" s="1"/>
      <c r="AM1520" s="1"/>
    </row>
    <row r="1521" spans="16:39" x14ac:dyDescent="0.25">
      <c r="P1521" s="49"/>
      <c r="Q1521" s="1"/>
      <c r="S1521" s="1"/>
      <c r="T1521" s="1"/>
      <c r="U1521" s="1"/>
      <c r="V1521" s="1"/>
      <c r="W1521" s="1"/>
      <c r="X1521" s="1"/>
      <c r="Y1521" s="1"/>
      <c r="AB1521" s="1"/>
      <c r="AC1521" s="1"/>
      <c r="AD1521" s="1"/>
      <c r="AE1521" s="1"/>
      <c r="AF1521" s="1"/>
      <c r="AG1521" s="1"/>
      <c r="AH1521" s="1"/>
      <c r="AI1521" s="1"/>
      <c r="AJ1521" s="1"/>
      <c r="AK1521" s="1"/>
      <c r="AL1521" s="1"/>
      <c r="AM1521" s="1"/>
    </row>
    <row r="1522" spans="16:39" x14ac:dyDescent="0.25">
      <c r="P1522" s="49"/>
      <c r="Q1522" s="1"/>
      <c r="S1522" s="1"/>
      <c r="T1522" s="1"/>
      <c r="U1522" s="1"/>
      <c r="V1522" s="1"/>
      <c r="W1522" s="1"/>
      <c r="X1522" s="1"/>
      <c r="Y1522" s="1"/>
      <c r="AB1522" s="1"/>
      <c r="AC1522" s="1"/>
      <c r="AD1522" s="1"/>
      <c r="AE1522" s="1"/>
      <c r="AF1522" s="1"/>
      <c r="AG1522" s="1"/>
      <c r="AH1522" s="1"/>
      <c r="AI1522" s="1"/>
      <c r="AJ1522" s="1"/>
      <c r="AK1522" s="1"/>
      <c r="AL1522" s="1"/>
      <c r="AM1522" s="1"/>
    </row>
    <row r="1523" spans="16:39" x14ac:dyDescent="0.25">
      <c r="P1523" s="49"/>
      <c r="Q1523" s="1"/>
      <c r="S1523" s="1"/>
      <c r="T1523" s="1"/>
      <c r="U1523" s="1"/>
      <c r="V1523" s="1"/>
      <c r="W1523" s="1"/>
      <c r="X1523" s="1"/>
      <c r="Y1523" s="1"/>
      <c r="AB1523" s="1"/>
      <c r="AC1523" s="1"/>
      <c r="AD1523" s="1"/>
      <c r="AE1523" s="1"/>
      <c r="AF1523" s="1"/>
      <c r="AG1523" s="1"/>
      <c r="AH1523" s="1"/>
      <c r="AI1523" s="1"/>
      <c r="AJ1523" s="1"/>
      <c r="AK1523" s="1"/>
      <c r="AL1523" s="1"/>
      <c r="AM1523" s="1"/>
    </row>
    <row r="1524" spans="16:39" x14ac:dyDescent="0.25">
      <c r="P1524" s="49"/>
      <c r="Q1524" s="1"/>
      <c r="S1524" s="1"/>
      <c r="T1524" s="1"/>
      <c r="U1524" s="1"/>
      <c r="V1524" s="1"/>
      <c r="W1524" s="1"/>
      <c r="X1524" s="1"/>
      <c r="Y1524" s="1"/>
      <c r="AB1524" s="1"/>
      <c r="AC1524" s="1"/>
      <c r="AD1524" s="1"/>
      <c r="AE1524" s="1"/>
      <c r="AF1524" s="1"/>
      <c r="AG1524" s="1"/>
      <c r="AH1524" s="1"/>
      <c r="AI1524" s="1"/>
      <c r="AJ1524" s="1"/>
      <c r="AK1524" s="1"/>
      <c r="AL1524" s="1"/>
      <c r="AM1524" s="1"/>
    </row>
    <row r="1525" spans="16:39" x14ac:dyDescent="0.25">
      <c r="P1525" s="49"/>
      <c r="Q1525" s="1"/>
      <c r="S1525" s="1"/>
      <c r="T1525" s="1"/>
      <c r="U1525" s="1"/>
      <c r="V1525" s="1"/>
      <c r="W1525" s="1"/>
      <c r="X1525" s="1"/>
      <c r="Y1525" s="1"/>
      <c r="AB1525" s="1"/>
      <c r="AC1525" s="1"/>
      <c r="AD1525" s="1"/>
      <c r="AE1525" s="1"/>
      <c r="AF1525" s="1"/>
      <c r="AG1525" s="1"/>
      <c r="AH1525" s="1"/>
      <c r="AI1525" s="1"/>
      <c r="AJ1525" s="1"/>
      <c r="AK1525" s="1"/>
      <c r="AL1525" s="1"/>
      <c r="AM1525" s="1"/>
    </row>
    <row r="1526" spans="16:39" x14ac:dyDescent="0.25">
      <c r="P1526" s="49"/>
      <c r="Q1526" s="1"/>
      <c r="S1526" s="1"/>
      <c r="T1526" s="1"/>
      <c r="U1526" s="1"/>
      <c r="V1526" s="1"/>
      <c r="W1526" s="1"/>
      <c r="X1526" s="1"/>
      <c r="Y1526" s="1"/>
      <c r="AB1526" s="1"/>
      <c r="AC1526" s="1"/>
      <c r="AD1526" s="1"/>
      <c r="AE1526" s="1"/>
      <c r="AF1526" s="1"/>
      <c r="AG1526" s="1"/>
      <c r="AH1526" s="1"/>
      <c r="AI1526" s="1"/>
      <c r="AJ1526" s="1"/>
      <c r="AK1526" s="1"/>
      <c r="AL1526" s="1"/>
      <c r="AM1526" s="1"/>
    </row>
    <row r="1527" spans="16:39" x14ac:dyDescent="0.25">
      <c r="P1527" s="49"/>
      <c r="Q1527" s="1"/>
      <c r="S1527" s="1"/>
      <c r="T1527" s="1"/>
      <c r="U1527" s="1"/>
      <c r="V1527" s="1"/>
      <c r="W1527" s="1"/>
      <c r="X1527" s="1"/>
      <c r="Y1527" s="1"/>
      <c r="AB1527" s="1"/>
      <c r="AC1527" s="1"/>
      <c r="AD1527" s="1"/>
      <c r="AE1527" s="1"/>
      <c r="AF1527" s="1"/>
      <c r="AG1527" s="1"/>
      <c r="AH1527" s="1"/>
      <c r="AI1527" s="1"/>
      <c r="AJ1527" s="1"/>
      <c r="AK1527" s="1"/>
      <c r="AL1527" s="1"/>
      <c r="AM1527" s="1"/>
    </row>
    <row r="1528" spans="16:39" x14ac:dyDescent="0.25">
      <c r="P1528" s="49"/>
      <c r="Q1528" s="1"/>
      <c r="S1528" s="1"/>
      <c r="T1528" s="1"/>
      <c r="U1528" s="1"/>
      <c r="V1528" s="1"/>
      <c r="W1528" s="1"/>
      <c r="X1528" s="1"/>
      <c r="Y1528" s="1"/>
      <c r="AB1528" s="1"/>
      <c r="AC1528" s="1"/>
      <c r="AD1528" s="1"/>
      <c r="AE1528" s="1"/>
      <c r="AF1528" s="1"/>
      <c r="AG1528" s="1"/>
      <c r="AH1528" s="1"/>
      <c r="AI1528" s="1"/>
      <c r="AJ1528" s="1"/>
      <c r="AK1528" s="1"/>
      <c r="AL1528" s="1"/>
      <c r="AM1528" s="1"/>
    </row>
    <row r="1529" spans="16:39" x14ac:dyDescent="0.25">
      <c r="P1529" s="49"/>
      <c r="Q1529" s="1"/>
      <c r="S1529" s="1"/>
      <c r="T1529" s="1"/>
      <c r="U1529" s="1"/>
      <c r="V1529" s="1"/>
      <c r="W1529" s="1"/>
      <c r="X1529" s="1"/>
      <c r="Y1529" s="1"/>
      <c r="AB1529" s="1"/>
      <c r="AC1529" s="1"/>
      <c r="AD1529" s="1"/>
      <c r="AE1529" s="1"/>
      <c r="AF1529" s="1"/>
      <c r="AG1529" s="1"/>
      <c r="AH1529" s="1"/>
      <c r="AI1529" s="1"/>
      <c r="AJ1529" s="1"/>
      <c r="AK1529" s="1"/>
      <c r="AL1529" s="1"/>
      <c r="AM1529" s="1"/>
    </row>
    <row r="1530" spans="16:39" x14ac:dyDescent="0.25">
      <c r="P1530" s="49"/>
      <c r="Q1530" s="1"/>
      <c r="S1530" s="1"/>
      <c r="T1530" s="1"/>
      <c r="U1530" s="1"/>
      <c r="V1530" s="1"/>
      <c r="W1530" s="1"/>
      <c r="X1530" s="1"/>
      <c r="Y1530" s="1"/>
      <c r="AB1530" s="1"/>
      <c r="AC1530" s="1"/>
      <c r="AD1530" s="1"/>
      <c r="AE1530" s="1"/>
      <c r="AF1530" s="1"/>
      <c r="AG1530" s="1"/>
      <c r="AH1530" s="1"/>
      <c r="AI1530" s="1"/>
      <c r="AJ1530" s="1"/>
      <c r="AK1530" s="1"/>
      <c r="AL1530" s="1"/>
      <c r="AM1530" s="1"/>
    </row>
    <row r="1531" spans="16:39" x14ac:dyDescent="0.25">
      <c r="P1531" s="49"/>
      <c r="Q1531" s="1"/>
      <c r="S1531" s="1"/>
      <c r="T1531" s="1"/>
      <c r="U1531" s="1"/>
      <c r="V1531" s="1"/>
      <c r="W1531" s="1"/>
      <c r="X1531" s="1"/>
      <c r="Y1531" s="1"/>
      <c r="AB1531" s="1"/>
      <c r="AC1531" s="1"/>
      <c r="AD1531" s="1"/>
      <c r="AE1531" s="1"/>
      <c r="AF1531" s="1"/>
      <c r="AG1531" s="1"/>
      <c r="AH1531" s="1"/>
      <c r="AI1531" s="1"/>
      <c r="AJ1531" s="1"/>
      <c r="AK1531" s="1"/>
      <c r="AL1531" s="1"/>
      <c r="AM1531" s="1"/>
    </row>
    <row r="1532" spans="16:39" x14ac:dyDescent="0.25">
      <c r="P1532" s="49"/>
      <c r="Q1532" s="1"/>
      <c r="S1532" s="1"/>
      <c r="T1532" s="1"/>
      <c r="U1532" s="1"/>
      <c r="V1532" s="1"/>
      <c r="W1532" s="1"/>
      <c r="X1532" s="1"/>
      <c r="Y1532" s="1"/>
      <c r="AB1532" s="1"/>
      <c r="AC1532" s="1"/>
      <c r="AD1532" s="1"/>
      <c r="AE1532" s="1"/>
      <c r="AF1532" s="1"/>
      <c r="AG1532" s="1"/>
      <c r="AH1532" s="1"/>
      <c r="AI1532" s="1"/>
      <c r="AJ1532" s="1"/>
      <c r="AK1532" s="1"/>
      <c r="AL1532" s="1"/>
      <c r="AM1532" s="1"/>
    </row>
    <row r="1533" spans="16:39" x14ac:dyDescent="0.25">
      <c r="P1533" s="49"/>
      <c r="Q1533" s="1"/>
      <c r="S1533" s="1"/>
      <c r="T1533" s="1"/>
      <c r="U1533" s="1"/>
      <c r="V1533" s="1"/>
      <c r="W1533" s="1"/>
      <c r="X1533" s="1"/>
      <c r="Y1533" s="1"/>
      <c r="AB1533" s="1"/>
      <c r="AC1533" s="1"/>
      <c r="AD1533" s="1"/>
      <c r="AE1533" s="1"/>
      <c r="AF1533" s="1"/>
      <c r="AG1533" s="1"/>
      <c r="AH1533" s="1"/>
      <c r="AI1533" s="1"/>
      <c r="AJ1533" s="1"/>
      <c r="AK1533" s="1"/>
      <c r="AL1533" s="1"/>
      <c r="AM1533" s="1"/>
    </row>
    <row r="1534" spans="16:39" x14ac:dyDescent="0.25">
      <c r="P1534" s="49"/>
      <c r="Q1534" s="1"/>
      <c r="S1534" s="1"/>
      <c r="T1534" s="1"/>
      <c r="U1534" s="1"/>
      <c r="V1534" s="1"/>
      <c r="W1534" s="1"/>
      <c r="X1534" s="1"/>
      <c r="Y1534" s="1"/>
      <c r="AB1534" s="1"/>
      <c r="AC1534" s="1"/>
      <c r="AD1534" s="1"/>
      <c r="AE1534" s="1"/>
      <c r="AF1534" s="1"/>
      <c r="AG1534" s="1"/>
      <c r="AH1534" s="1"/>
      <c r="AI1534" s="1"/>
      <c r="AJ1534" s="1"/>
      <c r="AK1534" s="1"/>
      <c r="AL1534" s="1"/>
      <c r="AM1534" s="1"/>
    </row>
    <row r="1535" spans="16:39" x14ac:dyDescent="0.25">
      <c r="P1535" s="49"/>
      <c r="Q1535" s="1"/>
      <c r="S1535" s="1"/>
      <c r="T1535" s="1"/>
      <c r="U1535" s="1"/>
      <c r="V1535" s="1"/>
      <c r="W1535" s="1"/>
      <c r="X1535" s="1"/>
      <c r="Y1535" s="1"/>
      <c r="AB1535" s="1"/>
      <c r="AC1535" s="1"/>
      <c r="AD1535" s="1"/>
      <c r="AE1535" s="1"/>
      <c r="AF1535" s="1"/>
      <c r="AG1535" s="1"/>
      <c r="AH1535" s="1"/>
      <c r="AI1535" s="1"/>
      <c r="AJ1535" s="1"/>
      <c r="AK1535" s="1"/>
      <c r="AL1535" s="1"/>
      <c r="AM1535" s="1"/>
    </row>
    <row r="1536" spans="16:39" x14ac:dyDescent="0.25">
      <c r="P1536" s="49"/>
      <c r="Q1536" s="1"/>
      <c r="S1536" s="1"/>
      <c r="T1536" s="1"/>
      <c r="U1536" s="1"/>
      <c r="V1536" s="1"/>
      <c r="W1536" s="1"/>
      <c r="X1536" s="1"/>
      <c r="Y1536" s="1"/>
      <c r="AB1536" s="1"/>
      <c r="AC1536" s="1"/>
      <c r="AD1536" s="1"/>
      <c r="AE1536" s="1"/>
      <c r="AF1536" s="1"/>
      <c r="AG1536" s="1"/>
      <c r="AH1536" s="1"/>
      <c r="AI1536" s="1"/>
      <c r="AJ1536" s="1"/>
      <c r="AK1536" s="1"/>
      <c r="AL1536" s="1"/>
      <c r="AM1536" s="1"/>
    </row>
    <row r="1537" spans="16:39" x14ac:dyDescent="0.25">
      <c r="P1537" s="49"/>
      <c r="Q1537" s="1"/>
      <c r="S1537" s="1"/>
      <c r="T1537" s="1"/>
      <c r="U1537" s="1"/>
      <c r="V1537" s="1"/>
      <c r="W1537" s="1"/>
      <c r="X1537" s="1"/>
      <c r="Y1537" s="1"/>
      <c r="AB1537" s="1"/>
      <c r="AC1537" s="1"/>
      <c r="AD1537" s="1"/>
      <c r="AE1537" s="1"/>
      <c r="AF1537" s="1"/>
      <c r="AG1537" s="1"/>
      <c r="AH1537" s="1"/>
      <c r="AI1537" s="1"/>
      <c r="AJ1537" s="1"/>
      <c r="AK1537" s="1"/>
      <c r="AL1537" s="1"/>
      <c r="AM1537" s="1"/>
    </row>
    <row r="1538" spans="16:39" x14ac:dyDescent="0.25">
      <c r="P1538" s="49"/>
      <c r="Q1538" s="1"/>
      <c r="S1538" s="1"/>
      <c r="T1538" s="1"/>
      <c r="U1538" s="1"/>
      <c r="V1538" s="1"/>
      <c r="W1538" s="1"/>
      <c r="X1538" s="1"/>
      <c r="Y1538" s="1"/>
      <c r="AB1538" s="1"/>
      <c r="AC1538" s="1"/>
      <c r="AD1538" s="1"/>
      <c r="AE1538" s="1"/>
      <c r="AF1538" s="1"/>
      <c r="AG1538" s="1"/>
      <c r="AH1538" s="1"/>
      <c r="AI1538" s="1"/>
      <c r="AJ1538" s="1"/>
      <c r="AK1538" s="1"/>
      <c r="AL1538" s="1"/>
      <c r="AM1538" s="1"/>
    </row>
    <row r="1539" spans="16:39" x14ac:dyDescent="0.25">
      <c r="P1539" s="49"/>
      <c r="Q1539" s="1"/>
      <c r="S1539" s="1"/>
      <c r="T1539" s="1"/>
      <c r="U1539" s="1"/>
      <c r="V1539" s="1"/>
      <c r="W1539" s="1"/>
      <c r="X1539" s="1"/>
      <c r="Y1539" s="1"/>
      <c r="AB1539" s="1"/>
      <c r="AC1539" s="1"/>
      <c r="AD1539" s="1"/>
      <c r="AE1539" s="1"/>
      <c r="AF1539" s="1"/>
      <c r="AG1539" s="1"/>
      <c r="AH1539" s="1"/>
      <c r="AI1539" s="1"/>
      <c r="AJ1539" s="1"/>
      <c r="AK1539" s="1"/>
      <c r="AL1539" s="1"/>
      <c r="AM1539" s="1"/>
    </row>
    <row r="1540" spans="16:39" x14ac:dyDescent="0.25">
      <c r="P1540" s="49"/>
      <c r="Q1540" s="1"/>
      <c r="S1540" s="1"/>
      <c r="T1540" s="1"/>
      <c r="U1540" s="1"/>
      <c r="V1540" s="1"/>
      <c r="W1540" s="1"/>
      <c r="X1540" s="1"/>
      <c r="Y1540" s="1"/>
      <c r="AB1540" s="1"/>
      <c r="AC1540" s="1"/>
      <c r="AD1540" s="1"/>
      <c r="AE1540" s="1"/>
      <c r="AF1540" s="1"/>
      <c r="AG1540" s="1"/>
      <c r="AH1540" s="1"/>
      <c r="AI1540" s="1"/>
      <c r="AJ1540" s="1"/>
      <c r="AK1540" s="1"/>
      <c r="AL1540" s="1"/>
      <c r="AM1540" s="1"/>
    </row>
    <row r="1541" spans="16:39" x14ac:dyDescent="0.25">
      <c r="P1541" s="49"/>
      <c r="Q1541" s="1"/>
      <c r="S1541" s="1"/>
      <c r="T1541" s="1"/>
      <c r="U1541" s="1"/>
      <c r="V1541" s="1"/>
      <c r="W1541" s="1"/>
      <c r="X1541" s="1"/>
      <c r="Y1541" s="1"/>
      <c r="AB1541" s="1"/>
      <c r="AC1541" s="1"/>
      <c r="AD1541" s="1"/>
      <c r="AE1541" s="1"/>
      <c r="AF1541" s="1"/>
      <c r="AG1541" s="1"/>
      <c r="AH1541" s="1"/>
      <c r="AI1541" s="1"/>
      <c r="AJ1541" s="1"/>
      <c r="AK1541" s="1"/>
      <c r="AL1541" s="1"/>
      <c r="AM1541" s="1"/>
    </row>
    <row r="1542" spans="16:39" x14ac:dyDescent="0.25">
      <c r="P1542" s="49"/>
      <c r="Q1542" s="1"/>
      <c r="S1542" s="1"/>
      <c r="T1542" s="1"/>
      <c r="U1542" s="1"/>
      <c r="V1542" s="1"/>
      <c r="W1542" s="1"/>
      <c r="X1542" s="1"/>
      <c r="Y1542" s="1"/>
      <c r="AB1542" s="1"/>
      <c r="AC1542" s="1"/>
      <c r="AD1542" s="1"/>
      <c r="AE1542" s="1"/>
      <c r="AF1542" s="1"/>
      <c r="AG1542" s="1"/>
      <c r="AH1542" s="1"/>
      <c r="AI1542" s="1"/>
      <c r="AJ1542" s="1"/>
      <c r="AK1542" s="1"/>
      <c r="AL1542" s="1"/>
      <c r="AM1542" s="1"/>
    </row>
    <row r="1543" spans="16:39" x14ac:dyDescent="0.25">
      <c r="P1543" s="49"/>
      <c r="Q1543" s="1"/>
      <c r="S1543" s="1"/>
      <c r="T1543" s="1"/>
      <c r="U1543" s="1"/>
      <c r="V1543" s="1"/>
      <c r="W1543" s="1"/>
      <c r="X1543" s="1"/>
      <c r="Y1543" s="1"/>
      <c r="AB1543" s="1"/>
      <c r="AC1543" s="1"/>
      <c r="AD1543" s="1"/>
      <c r="AE1543" s="1"/>
      <c r="AF1543" s="1"/>
      <c r="AG1543" s="1"/>
      <c r="AH1543" s="1"/>
      <c r="AI1543" s="1"/>
      <c r="AJ1543" s="1"/>
      <c r="AK1543" s="1"/>
      <c r="AL1543" s="1"/>
      <c r="AM1543" s="1"/>
    </row>
    <row r="1544" spans="16:39" x14ac:dyDescent="0.25">
      <c r="P1544" s="49"/>
      <c r="Q1544" s="1"/>
      <c r="S1544" s="1"/>
      <c r="T1544" s="1"/>
      <c r="U1544" s="1"/>
      <c r="V1544" s="1"/>
      <c r="W1544" s="1"/>
      <c r="X1544" s="1"/>
      <c r="Y1544" s="1"/>
      <c r="AB1544" s="1"/>
      <c r="AC1544" s="1"/>
      <c r="AD1544" s="1"/>
      <c r="AE1544" s="1"/>
      <c r="AF1544" s="1"/>
      <c r="AG1544" s="1"/>
      <c r="AH1544" s="1"/>
      <c r="AI1544" s="1"/>
      <c r="AJ1544" s="1"/>
      <c r="AK1544" s="1"/>
      <c r="AL1544" s="1"/>
      <c r="AM1544" s="1"/>
    </row>
    <row r="1545" spans="16:39" x14ac:dyDescent="0.25">
      <c r="P1545" s="49"/>
      <c r="Q1545" s="1"/>
      <c r="S1545" s="1"/>
      <c r="T1545" s="1"/>
      <c r="U1545" s="1"/>
      <c r="V1545" s="1"/>
      <c r="W1545" s="1"/>
      <c r="X1545" s="1"/>
      <c r="Y1545" s="1"/>
      <c r="AB1545" s="1"/>
      <c r="AC1545" s="1"/>
      <c r="AD1545" s="1"/>
      <c r="AE1545" s="1"/>
      <c r="AF1545" s="1"/>
      <c r="AG1545" s="1"/>
      <c r="AH1545" s="1"/>
      <c r="AI1545" s="1"/>
      <c r="AJ1545" s="1"/>
      <c r="AK1545" s="1"/>
      <c r="AL1545" s="1"/>
      <c r="AM1545" s="1"/>
    </row>
    <row r="1546" spans="16:39" x14ac:dyDescent="0.25">
      <c r="P1546" s="49"/>
      <c r="Q1546" s="1"/>
      <c r="S1546" s="1"/>
      <c r="T1546" s="1"/>
      <c r="U1546" s="1"/>
      <c r="V1546" s="1"/>
      <c r="W1546" s="1"/>
      <c r="X1546" s="1"/>
      <c r="Y1546" s="1"/>
      <c r="AB1546" s="1"/>
      <c r="AC1546" s="1"/>
      <c r="AD1546" s="1"/>
      <c r="AE1546" s="1"/>
      <c r="AF1546" s="1"/>
      <c r="AG1546" s="1"/>
      <c r="AH1546" s="1"/>
      <c r="AI1546" s="1"/>
      <c r="AJ1546" s="1"/>
      <c r="AK1546" s="1"/>
      <c r="AL1546" s="1"/>
      <c r="AM1546" s="1"/>
    </row>
    <row r="1547" spans="16:39" x14ac:dyDescent="0.25">
      <c r="P1547" s="49"/>
      <c r="Q1547" s="1"/>
      <c r="S1547" s="1"/>
      <c r="T1547" s="1"/>
      <c r="U1547" s="1"/>
      <c r="V1547" s="1"/>
      <c r="W1547" s="1"/>
      <c r="X1547" s="1"/>
      <c r="Y1547" s="1"/>
      <c r="AB1547" s="1"/>
      <c r="AC1547" s="1"/>
      <c r="AD1547" s="1"/>
      <c r="AE1547" s="1"/>
      <c r="AF1547" s="1"/>
      <c r="AG1547" s="1"/>
      <c r="AH1547" s="1"/>
      <c r="AI1547" s="1"/>
      <c r="AJ1547" s="1"/>
      <c r="AK1547" s="1"/>
      <c r="AL1547" s="1"/>
      <c r="AM1547" s="1"/>
    </row>
    <row r="1548" spans="16:39" x14ac:dyDescent="0.25">
      <c r="P1548" s="49"/>
      <c r="Q1548" s="1"/>
      <c r="S1548" s="1"/>
      <c r="T1548" s="1"/>
      <c r="U1548" s="1"/>
      <c r="V1548" s="1"/>
      <c r="W1548" s="1"/>
      <c r="X1548" s="1"/>
      <c r="Y1548" s="1"/>
      <c r="AB1548" s="1"/>
      <c r="AC1548" s="1"/>
      <c r="AD1548" s="1"/>
      <c r="AE1548" s="1"/>
      <c r="AF1548" s="1"/>
      <c r="AG1548" s="1"/>
      <c r="AH1548" s="1"/>
      <c r="AI1548" s="1"/>
      <c r="AJ1548" s="1"/>
      <c r="AK1548" s="1"/>
      <c r="AL1548" s="1"/>
      <c r="AM1548" s="1"/>
    </row>
    <row r="1549" spans="16:39" x14ac:dyDescent="0.25">
      <c r="P1549" s="49"/>
      <c r="Q1549" s="1"/>
      <c r="S1549" s="1"/>
      <c r="T1549" s="1"/>
      <c r="U1549" s="1"/>
      <c r="V1549" s="1"/>
      <c r="W1549" s="1"/>
      <c r="X1549" s="1"/>
      <c r="Y1549" s="1"/>
      <c r="AB1549" s="1"/>
      <c r="AC1549" s="1"/>
      <c r="AD1549" s="1"/>
      <c r="AE1549" s="1"/>
      <c r="AF1549" s="1"/>
      <c r="AG1549" s="1"/>
      <c r="AH1549" s="1"/>
      <c r="AI1549" s="1"/>
      <c r="AJ1549" s="1"/>
      <c r="AK1549" s="1"/>
      <c r="AL1549" s="1"/>
      <c r="AM1549" s="1"/>
    </row>
    <row r="1550" spans="16:39" x14ac:dyDescent="0.25">
      <c r="P1550" s="49"/>
      <c r="Q1550" s="1"/>
      <c r="S1550" s="1"/>
      <c r="T1550" s="1"/>
      <c r="U1550" s="1"/>
      <c r="V1550" s="1"/>
      <c r="W1550" s="1"/>
      <c r="X1550" s="1"/>
      <c r="Y1550" s="1"/>
      <c r="AB1550" s="1"/>
      <c r="AC1550" s="1"/>
      <c r="AD1550" s="1"/>
      <c r="AE1550" s="1"/>
      <c r="AF1550" s="1"/>
      <c r="AG1550" s="1"/>
      <c r="AH1550" s="1"/>
      <c r="AI1550" s="1"/>
      <c r="AJ1550" s="1"/>
      <c r="AK1550" s="1"/>
      <c r="AL1550" s="1"/>
      <c r="AM1550" s="1"/>
    </row>
    <row r="1551" spans="16:39" x14ac:dyDescent="0.25">
      <c r="P1551" s="49"/>
      <c r="Q1551" s="1"/>
      <c r="S1551" s="1"/>
      <c r="T1551" s="1"/>
      <c r="U1551" s="1"/>
      <c r="V1551" s="1"/>
      <c r="W1551" s="1"/>
      <c r="X1551" s="1"/>
      <c r="Y1551" s="1"/>
      <c r="AB1551" s="1"/>
      <c r="AC1551" s="1"/>
      <c r="AD1551" s="1"/>
      <c r="AE1551" s="1"/>
      <c r="AF1551" s="1"/>
      <c r="AG1551" s="1"/>
      <c r="AH1551" s="1"/>
      <c r="AI1551" s="1"/>
      <c r="AJ1551" s="1"/>
      <c r="AK1551" s="1"/>
      <c r="AL1551" s="1"/>
      <c r="AM1551" s="1"/>
    </row>
    <row r="1552" spans="16:39" x14ac:dyDescent="0.25">
      <c r="P1552" s="49"/>
      <c r="Q1552" s="1"/>
      <c r="S1552" s="1"/>
      <c r="T1552" s="1"/>
      <c r="U1552" s="1"/>
      <c r="V1552" s="1"/>
      <c r="W1552" s="1"/>
      <c r="X1552" s="1"/>
      <c r="Y1552" s="1"/>
      <c r="AB1552" s="1"/>
      <c r="AC1552" s="1"/>
      <c r="AD1552" s="1"/>
      <c r="AE1552" s="1"/>
      <c r="AF1552" s="1"/>
      <c r="AG1552" s="1"/>
      <c r="AH1552" s="1"/>
      <c r="AI1552" s="1"/>
      <c r="AJ1552" s="1"/>
      <c r="AK1552" s="1"/>
      <c r="AL1552" s="1"/>
      <c r="AM1552" s="1"/>
    </row>
    <row r="1553" spans="16:39" x14ac:dyDescent="0.25">
      <c r="P1553" s="49"/>
      <c r="Q1553" s="1"/>
      <c r="S1553" s="1"/>
      <c r="T1553" s="1"/>
      <c r="U1553" s="1"/>
      <c r="V1553" s="1"/>
      <c r="W1553" s="1"/>
      <c r="X1553" s="1"/>
      <c r="Y1553" s="1"/>
      <c r="AB1553" s="1"/>
      <c r="AC1553" s="1"/>
      <c r="AD1553" s="1"/>
      <c r="AE1553" s="1"/>
      <c r="AF1553" s="1"/>
      <c r="AG1553" s="1"/>
      <c r="AH1553" s="1"/>
      <c r="AI1553" s="1"/>
      <c r="AJ1553" s="1"/>
      <c r="AK1553" s="1"/>
      <c r="AL1553" s="1"/>
      <c r="AM1553" s="1"/>
    </row>
    <row r="1554" spans="16:39" x14ac:dyDescent="0.25">
      <c r="P1554" s="49"/>
      <c r="Q1554" s="1"/>
      <c r="S1554" s="1"/>
      <c r="T1554" s="1"/>
      <c r="U1554" s="1"/>
      <c r="V1554" s="1"/>
      <c r="W1554" s="1"/>
      <c r="X1554" s="1"/>
      <c r="Y1554" s="1"/>
      <c r="AB1554" s="1"/>
      <c r="AC1554" s="1"/>
      <c r="AD1554" s="1"/>
      <c r="AE1554" s="1"/>
      <c r="AF1554" s="1"/>
      <c r="AG1554" s="1"/>
      <c r="AH1554" s="1"/>
      <c r="AI1554" s="1"/>
      <c r="AJ1554" s="1"/>
      <c r="AK1554" s="1"/>
      <c r="AL1554" s="1"/>
      <c r="AM1554" s="1"/>
    </row>
    <row r="1555" spans="16:39" x14ac:dyDescent="0.25">
      <c r="P1555" s="49"/>
      <c r="Q1555" s="1"/>
      <c r="S1555" s="1"/>
      <c r="T1555" s="1"/>
      <c r="U1555" s="1"/>
      <c r="V1555" s="1"/>
      <c r="W1555" s="1"/>
      <c r="X1555" s="1"/>
      <c r="Y1555" s="1"/>
      <c r="AB1555" s="1"/>
      <c r="AC1555" s="1"/>
      <c r="AD1555" s="1"/>
      <c r="AE1555" s="1"/>
      <c r="AF1555" s="1"/>
      <c r="AG1555" s="1"/>
      <c r="AH1555" s="1"/>
      <c r="AI1555" s="1"/>
      <c r="AJ1555" s="1"/>
      <c r="AK1555" s="1"/>
      <c r="AL1555" s="1"/>
      <c r="AM1555" s="1"/>
    </row>
    <row r="1556" spans="16:39" x14ac:dyDescent="0.25">
      <c r="P1556" s="49"/>
      <c r="Q1556" s="1"/>
      <c r="S1556" s="1"/>
      <c r="T1556" s="1"/>
      <c r="U1556" s="1"/>
      <c r="V1556" s="1"/>
      <c r="W1556" s="1"/>
      <c r="X1556" s="1"/>
      <c r="Y1556" s="1"/>
      <c r="AB1556" s="1"/>
      <c r="AC1556" s="1"/>
      <c r="AD1556" s="1"/>
      <c r="AE1556" s="1"/>
      <c r="AF1556" s="1"/>
      <c r="AG1556" s="1"/>
      <c r="AH1556" s="1"/>
      <c r="AI1556" s="1"/>
      <c r="AJ1556" s="1"/>
      <c r="AK1556" s="1"/>
      <c r="AL1556" s="1"/>
      <c r="AM1556" s="1"/>
    </row>
    <row r="1557" spans="16:39" x14ac:dyDescent="0.25">
      <c r="P1557" s="49"/>
      <c r="Q1557" s="1"/>
      <c r="S1557" s="1"/>
      <c r="T1557" s="1"/>
      <c r="U1557" s="1"/>
      <c r="V1557" s="1"/>
      <c r="W1557" s="1"/>
      <c r="X1557" s="1"/>
      <c r="Y1557" s="1"/>
      <c r="AB1557" s="1"/>
      <c r="AC1557" s="1"/>
      <c r="AD1557" s="1"/>
      <c r="AE1557" s="1"/>
      <c r="AF1557" s="1"/>
      <c r="AG1557" s="1"/>
      <c r="AH1557" s="1"/>
      <c r="AI1557" s="1"/>
      <c r="AJ1557" s="1"/>
      <c r="AK1557" s="1"/>
      <c r="AL1557" s="1"/>
      <c r="AM1557" s="1"/>
    </row>
    <row r="1558" spans="16:39" x14ac:dyDescent="0.25">
      <c r="P1558" s="49"/>
      <c r="Q1558" s="1"/>
      <c r="S1558" s="1"/>
      <c r="T1558" s="1"/>
      <c r="U1558" s="1"/>
      <c r="V1558" s="1"/>
      <c r="W1558" s="1"/>
      <c r="X1558" s="1"/>
      <c r="Y1558" s="1"/>
      <c r="AB1558" s="1"/>
      <c r="AC1558" s="1"/>
      <c r="AD1558" s="1"/>
      <c r="AE1558" s="1"/>
      <c r="AF1558" s="1"/>
      <c r="AG1558" s="1"/>
      <c r="AH1558" s="1"/>
      <c r="AI1558" s="1"/>
      <c r="AJ1558" s="1"/>
      <c r="AK1558" s="1"/>
      <c r="AL1558" s="1"/>
      <c r="AM1558" s="1"/>
    </row>
    <row r="1559" spans="16:39" x14ac:dyDescent="0.25">
      <c r="P1559" s="49"/>
      <c r="Q1559" s="1"/>
      <c r="S1559" s="1"/>
      <c r="T1559" s="1"/>
      <c r="U1559" s="1"/>
      <c r="V1559" s="1"/>
      <c r="W1559" s="1"/>
      <c r="X1559" s="1"/>
      <c r="Y1559" s="1"/>
      <c r="AB1559" s="1"/>
      <c r="AC1559" s="1"/>
      <c r="AD1559" s="1"/>
      <c r="AE1559" s="1"/>
      <c r="AF1559" s="1"/>
      <c r="AG1559" s="1"/>
      <c r="AH1559" s="1"/>
      <c r="AI1559" s="1"/>
      <c r="AJ1559" s="1"/>
      <c r="AK1559" s="1"/>
      <c r="AL1559" s="1"/>
      <c r="AM1559" s="1"/>
    </row>
    <row r="1560" spans="16:39" x14ac:dyDescent="0.25">
      <c r="P1560" s="49"/>
      <c r="Q1560" s="1"/>
      <c r="S1560" s="1"/>
      <c r="T1560" s="1"/>
      <c r="U1560" s="1"/>
      <c r="V1560" s="1"/>
      <c r="W1560" s="1"/>
      <c r="X1560" s="1"/>
      <c r="Y1560" s="1"/>
      <c r="AB1560" s="1"/>
      <c r="AC1560" s="1"/>
      <c r="AD1560" s="1"/>
      <c r="AE1560" s="1"/>
      <c r="AF1560" s="1"/>
      <c r="AG1560" s="1"/>
      <c r="AH1560" s="1"/>
      <c r="AI1560" s="1"/>
      <c r="AJ1560" s="1"/>
      <c r="AK1560" s="1"/>
      <c r="AL1560" s="1"/>
      <c r="AM1560" s="1"/>
    </row>
    <row r="1561" spans="16:39" x14ac:dyDescent="0.25">
      <c r="P1561" s="49"/>
      <c r="Q1561" s="1"/>
      <c r="S1561" s="1"/>
      <c r="T1561" s="1"/>
      <c r="U1561" s="1"/>
      <c r="V1561" s="1"/>
      <c r="W1561" s="1"/>
      <c r="X1561" s="1"/>
      <c r="Y1561" s="1"/>
      <c r="AB1561" s="1"/>
      <c r="AC1561" s="1"/>
      <c r="AD1561" s="1"/>
      <c r="AE1561" s="1"/>
      <c r="AF1561" s="1"/>
      <c r="AG1561" s="1"/>
      <c r="AH1561" s="1"/>
      <c r="AI1561" s="1"/>
      <c r="AJ1561" s="1"/>
      <c r="AK1561" s="1"/>
      <c r="AL1561" s="1"/>
      <c r="AM1561" s="1"/>
    </row>
    <row r="1562" spans="16:39" x14ac:dyDescent="0.25">
      <c r="P1562" s="49"/>
      <c r="Q1562" s="1"/>
      <c r="S1562" s="1"/>
      <c r="T1562" s="1"/>
      <c r="U1562" s="1"/>
      <c r="V1562" s="1"/>
      <c r="W1562" s="1"/>
      <c r="X1562" s="1"/>
      <c r="Y1562" s="1"/>
      <c r="AB1562" s="1"/>
      <c r="AC1562" s="1"/>
      <c r="AD1562" s="1"/>
      <c r="AE1562" s="1"/>
      <c r="AF1562" s="1"/>
      <c r="AG1562" s="1"/>
      <c r="AH1562" s="1"/>
      <c r="AI1562" s="1"/>
      <c r="AJ1562" s="1"/>
      <c r="AK1562" s="1"/>
      <c r="AL1562" s="1"/>
      <c r="AM1562" s="1"/>
    </row>
    <row r="1563" spans="16:39" x14ac:dyDescent="0.25">
      <c r="P1563" s="49"/>
      <c r="Q1563" s="1"/>
      <c r="S1563" s="1"/>
      <c r="T1563" s="1"/>
      <c r="U1563" s="1"/>
      <c r="V1563" s="1"/>
      <c r="W1563" s="1"/>
      <c r="X1563" s="1"/>
      <c r="Y1563" s="1"/>
      <c r="AB1563" s="1"/>
      <c r="AC1563" s="1"/>
      <c r="AD1563" s="1"/>
      <c r="AE1563" s="1"/>
      <c r="AF1563" s="1"/>
      <c r="AG1563" s="1"/>
      <c r="AH1563" s="1"/>
      <c r="AI1563" s="1"/>
      <c r="AJ1563" s="1"/>
      <c r="AK1563" s="1"/>
      <c r="AL1563" s="1"/>
      <c r="AM1563" s="1"/>
    </row>
    <row r="1564" spans="16:39" x14ac:dyDescent="0.25">
      <c r="P1564" s="49"/>
      <c r="Q1564" s="1"/>
      <c r="S1564" s="1"/>
      <c r="T1564" s="1"/>
      <c r="U1564" s="1"/>
      <c r="V1564" s="1"/>
      <c r="W1564" s="1"/>
      <c r="X1564" s="1"/>
      <c r="Y1564" s="1"/>
      <c r="AB1564" s="1"/>
      <c r="AC1564" s="1"/>
      <c r="AD1564" s="1"/>
      <c r="AE1564" s="1"/>
      <c r="AF1564" s="1"/>
      <c r="AG1564" s="1"/>
      <c r="AH1564" s="1"/>
      <c r="AI1564" s="1"/>
      <c r="AJ1564" s="1"/>
      <c r="AK1564" s="1"/>
      <c r="AL1564" s="1"/>
      <c r="AM1564" s="1"/>
    </row>
    <row r="1565" spans="16:39" x14ac:dyDescent="0.25">
      <c r="P1565" s="49"/>
      <c r="Q1565" s="1"/>
      <c r="S1565" s="1"/>
      <c r="T1565" s="1"/>
      <c r="U1565" s="1"/>
      <c r="V1565" s="1"/>
      <c r="W1565" s="1"/>
      <c r="X1565" s="1"/>
      <c r="Y1565" s="1"/>
      <c r="AB1565" s="1"/>
      <c r="AC1565" s="1"/>
      <c r="AD1565" s="1"/>
      <c r="AE1565" s="1"/>
      <c r="AF1565" s="1"/>
      <c r="AG1565" s="1"/>
      <c r="AH1565" s="1"/>
      <c r="AI1565" s="1"/>
      <c r="AJ1565" s="1"/>
      <c r="AK1565" s="1"/>
      <c r="AL1565" s="1"/>
      <c r="AM1565" s="1"/>
    </row>
    <row r="1566" spans="16:39" x14ac:dyDescent="0.25">
      <c r="P1566" s="49"/>
      <c r="Q1566" s="1"/>
      <c r="S1566" s="1"/>
      <c r="T1566" s="1"/>
      <c r="U1566" s="1"/>
      <c r="V1566" s="1"/>
      <c r="W1566" s="1"/>
      <c r="X1566" s="1"/>
      <c r="Y1566" s="1"/>
      <c r="AB1566" s="1"/>
      <c r="AC1566" s="1"/>
      <c r="AD1566" s="1"/>
      <c r="AE1566" s="1"/>
      <c r="AF1566" s="1"/>
      <c r="AG1566" s="1"/>
      <c r="AH1566" s="1"/>
      <c r="AI1566" s="1"/>
      <c r="AJ1566" s="1"/>
      <c r="AK1566" s="1"/>
      <c r="AL1566" s="1"/>
      <c r="AM1566" s="1"/>
    </row>
    <row r="1567" spans="16:39" x14ac:dyDescent="0.25">
      <c r="P1567" s="49"/>
      <c r="Q1567" s="1"/>
      <c r="S1567" s="1"/>
      <c r="T1567" s="1"/>
      <c r="U1567" s="1"/>
      <c r="V1567" s="1"/>
      <c r="W1567" s="1"/>
      <c r="X1567" s="1"/>
      <c r="Y1567" s="1"/>
      <c r="AB1567" s="1"/>
      <c r="AC1567" s="1"/>
      <c r="AD1567" s="1"/>
      <c r="AE1567" s="1"/>
      <c r="AF1567" s="1"/>
      <c r="AG1567" s="1"/>
      <c r="AH1567" s="1"/>
      <c r="AI1567" s="1"/>
      <c r="AJ1567" s="1"/>
      <c r="AK1567" s="1"/>
      <c r="AL1567" s="1"/>
      <c r="AM1567" s="1"/>
    </row>
    <row r="1568" spans="16:39" x14ac:dyDescent="0.25">
      <c r="P1568" s="49"/>
      <c r="Q1568" s="1"/>
      <c r="S1568" s="1"/>
      <c r="T1568" s="1"/>
      <c r="U1568" s="1"/>
      <c r="V1568" s="1"/>
      <c r="W1568" s="1"/>
      <c r="X1568" s="1"/>
      <c r="Y1568" s="1"/>
      <c r="AB1568" s="1"/>
      <c r="AC1568" s="1"/>
      <c r="AD1568" s="1"/>
      <c r="AE1568" s="1"/>
      <c r="AF1568" s="1"/>
      <c r="AG1568" s="1"/>
      <c r="AH1568" s="1"/>
      <c r="AI1568" s="1"/>
      <c r="AJ1568" s="1"/>
      <c r="AK1568" s="1"/>
      <c r="AL1568" s="1"/>
      <c r="AM1568" s="1"/>
    </row>
    <row r="1569" spans="16:39" x14ac:dyDescent="0.25">
      <c r="P1569" s="49"/>
      <c r="Q1569" s="1"/>
      <c r="S1569" s="1"/>
      <c r="T1569" s="1"/>
      <c r="U1569" s="1"/>
      <c r="V1569" s="1"/>
      <c r="W1569" s="1"/>
      <c r="X1569" s="1"/>
      <c r="Y1569" s="1"/>
      <c r="AB1569" s="1"/>
      <c r="AC1569" s="1"/>
      <c r="AD1569" s="1"/>
      <c r="AE1569" s="1"/>
      <c r="AF1569" s="1"/>
      <c r="AG1569" s="1"/>
      <c r="AH1569" s="1"/>
      <c r="AI1569" s="1"/>
      <c r="AJ1569" s="1"/>
      <c r="AK1569" s="1"/>
      <c r="AL1569" s="1"/>
      <c r="AM1569" s="1"/>
    </row>
    <row r="1570" spans="16:39" x14ac:dyDescent="0.25">
      <c r="P1570" s="49"/>
      <c r="Q1570" s="1"/>
      <c r="S1570" s="1"/>
      <c r="T1570" s="1"/>
      <c r="U1570" s="1"/>
      <c r="V1570" s="1"/>
      <c r="W1570" s="1"/>
      <c r="X1570" s="1"/>
      <c r="Y1570" s="1"/>
      <c r="AB1570" s="1"/>
      <c r="AC1570" s="1"/>
      <c r="AD1570" s="1"/>
      <c r="AE1570" s="1"/>
      <c r="AF1570" s="1"/>
      <c r="AG1570" s="1"/>
      <c r="AH1570" s="1"/>
      <c r="AI1570" s="1"/>
      <c r="AJ1570" s="1"/>
      <c r="AK1570" s="1"/>
      <c r="AL1570" s="1"/>
      <c r="AM1570" s="1"/>
    </row>
    <row r="1571" spans="16:39" x14ac:dyDescent="0.25">
      <c r="P1571" s="49"/>
      <c r="Q1571" s="1"/>
      <c r="S1571" s="1"/>
      <c r="T1571" s="1"/>
      <c r="U1571" s="1"/>
      <c r="V1571" s="1"/>
      <c r="W1571" s="1"/>
      <c r="X1571" s="1"/>
      <c r="Y1571" s="1"/>
      <c r="AB1571" s="1"/>
      <c r="AC1571" s="1"/>
      <c r="AD1571" s="1"/>
      <c r="AE1571" s="1"/>
      <c r="AF1571" s="1"/>
      <c r="AG1571" s="1"/>
      <c r="AH1571" s="1"/>
      <c r="AI1571" s="1"/>
      <c r="AJ1571" s="1"/>
      <c r="AK1571" s="1"/>
      <c r="AL1571" s="1"/>
      <c r="AM1571" s="1"/>
    </row>
    <row r="1572" spans="16:39" x14ac:dyDescent="0.25">
      <c r="P1572" s="49"/>
      <c r="Q1572" s="1"/>
      <c r="S1572" s="1"/>
      <c r="T1572" s="1"/>
      <c r="U1572" s="1"/>
      <c r="V1572" s="1"/>
      <c r="W1572" s="1"/>
      <c r="X1572" s="1"/>
      <c r="Y1572" s="1"/>
      <c r="AB1572" s="1"/>
      <c r="AC1572" s="1"/>
      <c r="AD1572" s="1"/>
      <c r="AE1572" s="1"/>
      <c r="AF1572" s="1"/>
      <c r="AG1572" s="1"/>
      <c r="AH1572" s="1"/>
      <c r="AI1572" s="1"/>
      <c r="AJ1572" s="1"/>
      <c r="AK1572" s="1"/>
      <c r="AL1572" s="1"/>
      <c r="AM1572" s="1"/>
    </row>
    <row r="1573" spans="16:39" x14ac:dyDescent="0.25">
      <c r="P1573" s="49"/>
      <c r="Q1573" s="1"/>
      <c r="S1573" s="1"/>
      <c r="T1573" s="1"/>
      <c r="U1573" s="1"/>
      <c r="V1573" s="1"/>
      <c r="W1573" s="1"/>
      <c r="X1573" s="1"/>
      <c r="Y1573" s="1"/>
      <c r="AB1573" s="1"/>
      <c r="AC1573" s="1"/>
      <c r="AD1573" s="1"/>
      <c r="AE1573" s="1"/>
      <c r="AF1573" s="1"/>
      <c r="AG1573" s="1"/>
      <c r="AH1573" s="1"/>
      <c r="AI1573" s="1"/>
      <c r="AJ1573" s="1"/>
      <c r="AK1573" s="1"/>
      <c r="AL1573" s="1"/>
      <c r="AM1573" s="1"/>
    </row>
    <row r="1574" spans="16:39" x14ac:dyDescent="0.25">
      <c r="P1574" s="49"/>
      <c r="Q1574" s="1"/>
      <c r="S1574" s="1"/>
      <c r="T1574" s="1"/>
      <c r="U1574" s="1"/>
      <c r="V1574" s="1"/>
      <c r="W1574" s="1"/>
      <c r="X1574" s="1"/>
      <c r="Y1574" s="1"/>
      <c r="AB1574" s="1"/>
      <c r="AC1574" s="1"/>
      <c r="AD1574" s="1"/>
      <c r="AE1574" s="1"/>
      <c r="AF1574" s="1"/>
      <c r="AG1574" s="1"/>
      <c r="AH1574" s="1"/>
      <c r="AI1574" s="1"/>
      <c r="AJ1574" s="1"/>
      <c r="AK1574" s="1"/>
      <c r="AL1574" s="1"/>
      <c r="AM1574" s="1"/>
    </row>
    <row r="1575" spans="16:39" x14ac:dyDescent="0.25">
      <c r="P1575" s="49"/>
      <c r="Q1575" s="1"/>
      <c r="S1575" s="1"/>
      <c r="T1575" s="1"/>
      <c r="U1575" s="1"/>
      <c r="V1575" s="1"/>
      <c r="W1575" s="1"/>
      <c r="X1575" s="1"/>
      <c r="Y1575" s="1"/>
      <c r="AB1575" s="1"/>
      <c r="AC1575" s="1"/>
      <c r="AD1575" s="1"/>
      <c r="AE1575" s="1"/>
      <c r="AF1575" s="1"/>
      <c r="AG1575" s="1"/>
      <c r="AH1575" s="1"/>
      <c r="AI1575" s="1"/>
      <c r="AJ1575" s="1"/>
      <c r="AK1575" s="1"/>
      <c r="AL1575" s="1"/>
      <c r="AM1575" s="1"/>
    </row>
    <row r="1576" spans="16:39" x14ac:dyDescent="0.25">
      <c r="P1576" s="49"/>
      <c r="Q1576" s="1"/>
      <c r="S1576" s="1"/>
      <c r="T1576" s="1"/>
      <c r="U1576" s="1"/>
      <c r="V1576" s="1"/>
      <c r="W1576" s="1"/>
      <c r="X1576" s="1"/>
      <c r="Y1576" s="1"/>
      <c r="AB1576" s="1"/>
      <c r="AC1576" s="1"/>
      <c r="AD1576" s="1"/>
      <c r="AE1576" s="1"/>
      <c r="AF1576" s="1"/>
      <c r="AG1576" s="1"/>
      <c r="AH1576" s="1"/>
      <c r="AI1576" s="1"/>
      <c r="AJ1576" s="1"/>
      <c r="AK1576" s="1"/>
      <c r="AL1576" s="1"/>
      <c r="AM1576" s="1"/>
    </row>
    <row r="1577" spans="16:39" x14ac:dyDescent="0.25">
      <c r="P1577" s="49"/>
      <c r="Q1577" s="1"/>
      <c r="S1577" s="1"/>
      <c r="T1577" s="1"/>
      <c r="U1577" s="1"/>
      <c r="V1577" s="1"/>
      <c r="W1577" s="1"/>
      <c r="X1577" s="1"/>
      <c r="Y1577" s="1"/>
      <c r="AB1577" s="1"/>
      <c r="AC1577" s="1"/>
      <c r="AD1577" s="1"/>
      <c r="AE1577" s="1"/>
      <c r="AF1577" s="1"/>
      <c r="AG1577" s="1"/>
      <c r="AH1577" s="1"/>
      <c r="AI1577" s="1"/>
      <c r="AJ1577" s="1"/>
      <c r="AK1577" s="1"/>
      <c r="AL1577" s="1"/>
      <c r="AM1577" s="1"/>
    </row>
    <row r="1578" spans="16:39" x14ac:dyDescent="0.25">
      <c r="P1578" s="49"/>
      <c r="Q1578" s="1"/>
      <c r="S1578" s="1"/>
      <c r="T1578" s="1"/>
      <c r="U1578" s="1"/>
      <c r="V1578" s="1"/>
      <c r="W1578" s="1"/>
      <c r="X1578" s="1"/>
      <c r="Y1578" s="1"/>
      <c r="AB1578" s="1"/>
      <c r="AC1578" s="1"/>
      <c r="AD1578" s="1"/>
      <c r="AE1578" s="1"/>
      <c r="AF1578" s="1"/>
      <c r="AG1578" s="1"/>
      <c r="AH1578" s="1"/>
      <c r="AI1578" s="1"/>
      <c r="AJ1578" s="1"/>
      <c r="AK1578" s="1"/>
      <c r="AL1578" s="1"/>
      <c r="AM1578" s="1"/>
    </row>
    <row r="1579" spans="16:39" x14ac:dyDescent="0.25">
      <c r="P1579" s="49"/>
      <c r="Q1579" s="1"/>
      <c r="S1579" s="1"/>
      <c r="T1579" s="1"/>
      <c r="U1579" s="1"/>
      <c r="V1579" s="1"/>
      <c r="W1579" s="1"/>
      <c r="X1579" s="1"/>
      <c r="Y1579" s="1"/>
      <c r="AB1579" s="1"/>
      <c r="AC1579" s="1"/>
      <c r="AD1579" s="1"/>
      <c r="AE1579" s="1"/>
      <c r="AF1579" s="1"/>
      <c r="AG1579" s="1"/>
      <c r="AH1579" s="1"/>
      <c r="AI1579" s="1"/>
      <c r="AJ1579" s="1"/>
      <c r="AK1579" s="1"/>
      <c r="AL1579" s="1"/>
      <c r="AM1579" s="1"/>
    </row>
    <row r="1580" spans="16:39" x14ac:dyDescent="0.25">
      <c r="P1580" s="49"/>
      <c r="Q1580" s="1"/>
      <c r="S1580" s="1"/>
      <c r="T1580" s="1"/>
      <c r="U1580" s="1"/>
      <c r="V1580" s="1"/>
      <c r="W1580" s="1"/>
      <c r="X1580" s="1"/>
      <c r="Y1580" s="1"/>
      <c r="AB1580" s="1"/>
      <c r="AC1580" s="1"/>
      <c r="AD1580" s="1"/>
      <c r="AE1580" s="1"/>
      <c r="AF1580" s="1"/>
      <c r="AG1580" s="1"/>
      <c r="AH1580" s="1"/>
      <c r="AI1580" s="1"/>
      <c r="AJ1580" s="1"/>
      <c r="AK1580" s="1"/>
      <c r="AL1580" s="1"/>
      <c r="AM1580" s="1"/>
    </row>
    <row r="1581" spans="16:39" x14ac:dyDescent="0.25">
      <c r="P1581" s="49"/>
      <c r="Q1581" s="1"/>
      <c r="S1581" s="1"/>
      <c r="T1581" s="1"/>
      <c r="U1581" s="1"/>
      <c r="V1581" s="1"/>
      <c r="W1581" s="1"/>
      <c r="X1581" s="1"/>
      <c r="Y1581" s="1"/>
      <c r="AB1581" s="1"/>
      <c r="AC1581" s="1"/>
      <c r="AD1581" s="1"/>
      <c r="AE1581" s="1"/>
      <c r="AF1581" s="1"/>
      <c r="AG1581" s="1"/>
      <c r="AH1581" s="1"/>
      <c r="AI1581" s="1"/>
      <c r="AJ1581" s="1"/>
      <c r="AK1581" s="1"/>
      <c r="AL1581" s="1"/>
      <c r="AM1581" s="1"/>
    </row>
    <row r="1582" spans="16:39" x14ac:dyDescent="0.25">
      <c r="P1582" s="49"/>
      <c r="Q1582" s="1"/>
      <c r="S1582" s="1"/>
      <c r="T1582" s="1"/>
      <c r="U1582" s="1"/>
      <c r="V1582" s="1"/>
      <c r="W1582" s="1"/>
      <c r="X1582" s="1"/>
      <c r="Y1582" s="1"/>
      <c r="AB1582" s="1"/>
      <c r="AC1582" s="1"/>
      <c r="AD1582" s="1"/>
      <c r="AE1582" s="1"/>
      <c r="AF1582" s="1"/>
      <c r="AG1582" s="1"/>
      <c r="AH1582" s="1"/>
      <c r="AI1582" s="1"/>
      <c r="AJ1582" s="1"/>
      <c r="AK1582" s="1"/>
      <c r="AL1582" s="1"/>
      <c r="AM1582" s="1"/>
    </row>
    <row r="1583" spans="16:39" x14ac:dyDescent="0.25">
      <c r="P1583" s="49"/>
      <c r="Q1583" s="1"/>
      <c r="S1583" s="1"/>
      <c r="T1583" s="1"/>
      <c r="U1583" s="1"/>
      <c r="V1583" s="1"/>
      <c r="W1583" s="1"/>
      <c r="X1583" s="1"/>
      <c r="Y1583" s="1"/>
      <c r="AB1583" s="1"/>
      <c r="AC1583" s="1"/>
      <c r="AD1583" s="1"/>
      <c r="AE1583" s="1"/>
      <c r="AF1583" s="1"/>
      <c r="AG1583" s="1"/>
      <c r="AH1583" s="1"/>
      <c r="AI1583" s="1"/>
      <c r="AJ1583" s="1"/>
      <c r="AK1583" s="1"/>
      <c r="AL1583" s="1"/>
      <c r="AM1583" s="1"/>
    </row>
    <row r="1584" spans="16:39" x14ac:dyDescent="0.25">
      <c r="P1584" s="49"/>
      <c r="Q1584" s="1"/>
      <c r="S1584" s="1"/>
      <c r="T1584" s="1"/>
      <c r="U1584" s="1"/>
      <c r="V1584" s="1"/>
      <c r="W1584" s="1"/>
      <c r="X1584" s="1"/>
      <c r="Y1584" s="1"/>
      <c r="AB1584" s="1"/>
      <c r="AC1584" s="1"/>
      <c r="AD1584" s="1"/>
      <c r="AE1584" s="1"/>
      <c r="AF1584" s="1"/>
      <c r="AG1584" s="1"/>
      <c r="AH1584" s="1"/>
      <c r="AI1584" s="1"/>
      <c r="AJ1584" s="1"/>
      <c r="AK1584" s="1"/>
      <c r="AL1584" s="1"/>
      <c r="AM1584" s="1"/>
    </row>
    <row r="1585" spans="16:39" x14ac:dyDescent="0.25">
      <c r="P1585" s="49"/>
      <c r="Q1585" s="1"/>
      <c r="S1585" s="1"/>
      <c r="T1585" s="1"/>
      <c r="U1585" s="1"/>
      <c r="V1585" s="1"/>
      <c r="W1585" s="1"/>
      <c r="X1585" s="1"/>
      <c r="Y1585" s="1"/>
      <c r="AB1585" s="1"/>
      <c r="AC1585" s="1"/>
      <c r="AD1585" s="1"/>
      <c r="AE1585" s="1"/>
      <c r="AF1585" s="1"/>
      <c r="AG1585" s="1"/>
      <c r="AH1585" s="1"/>
      <c r="AI1585" s="1"/>
      <c r="AJ1585" s="1"/>
      <c r="AK1585" s="1"/>
      <c r="AL1585" s="1"/>
      <c r="AM1585" s="1"/>
    </row>
    <row r="1586" spans="16:39" x14ac:dyDescent="0.25">
      <c r="P1586" s="49"/>
      <c r="Q1586" s="1"/>
      <c r="S1586" s="1"/>
      <c r="T1586" s="1"/>
      <c r="U1586" s="1"/>
      <c r="V1586" s="1"/>
      <c r="W1586" s="1"/>
      <c r="X1586" s="1"/>
      <c r="Y1586" s="1"/>
      <c r="AB1586" s="1"/>
      <c r="AC1586" s="1"/>
      <c r="AD1586" s="1"/>
      <c r="AE1586" s="1"/>
      <c r="AF1586" s="1"/>
      <c r="AG1586" s="1"/>
      <c r="AH1586" s="1"/>
      <c r="AI1586" s="1"/>
      <c r="AJ1586" s="1"/>
      <c r="AK1586" s="1"/>
      <c r="AL1586" s="1"/>
      <c r="AM1586" s="1"/>
    </row>
    <row r="1587" spans="16:39" x14ac:dyDescent="0.25">
      <c r="P1587" s="49"/>
      <c r="Q1587" s="1"/>
      <c r="S1587" s="1"/>
      <c r="T1587" s="1"/>
      <c r="U1587" s="1"/>
      <c r="V1587" s="1"/>
      <c r="W1587" s="1"/>
      <c r="X1587" s="1"/>
      <c r="Y1587" s="1"/>
      <c r="AB1587" s="1"/>
      <c r="AC1587" s="1"/>
      <c r="AD1587" s="1"/>
      <c r="AE1587" s="1"/>
      <c r="AF1587" s="1"/>
      <c r="AG1587" s="1"/>
      <c r="AH1587" s="1"/>
      <c r="AI1587" s="1"/>
      <c r="AJ1587" s="1"/>
      <c r="AK1587" s="1"/>
      <c r="AL1587" s="1"/>
      <c r="AM1587" s="1"/>
    </row>
    <row r="1588" spans="16:39" x14ac:dyDescent="0.25">
      <c r="P1588" s="49"/>
      <c r="Q1588" s="1"/>
      <c r="S1588" s="1"/>
      <c r="T1588" s="1"/>
      <c r="U1588" s="1"/>
      <c r="V1588" s="1"/>
      <c r="W1588" s="1"/>
      <c r="X1588" s="1"/>
      <c r="Y1588" s="1"/>
      <c r="AB1588" s="1"/>
      <c r="AC1588" s="1"/>
      <c r="AD1588" s="1"/>
      <c r="AE1588" s="1"/>
      <c r="AF1588" s="1"/>
      <c r="AG1588" s="1"/>
      <c r="AH1588" s="1"/>
      <c r="AI1588" s="1"/>
      <c r="AJ1588" s="1"/>
      <c r="AK1588" s="1"/>
      <c r="AL1588" s="1"/>
      <c r="AM1588" s="1"/>
    </row>
    <row r="1589" spans="16:39" x14ac:dyDescent="0.25">
      <c r="P1589" s="49"/>
      <c r="Q1589" s="1"/>
      <c r="S1589" s="1"/>
      <c r="T1589" s="1"/>
      <c r="U1589" s="1"/>
      <c r="V1589" s="1"/>
      <c r="W1589" s="1"/>
      <c r="X1589" s="1"/>
      <c r="Y1589" s="1"/>
      <c r="AB1589" s="1"/>
      <c r="AC1589" s="1"/>
      <c r="AD1589" s="1"/>
      <c r="AE1589" s="1"/>
      <c r="AF1589" s="1"/>
      <c r="AG1589" s="1"/>
      <c r="AH1589" s="1"/>
      <c r="AI1589" s="1"/>
      <c r="AJ1589" s="1"/>
      <c r="AK1589" s="1"/>
      <c r="AL1589" s="1"/>
      <c r="AM1589" s="1"/>
    </row>
    <row r="1590" spans="16:39" x14ac:dyDescent="0.25">
      <c r="P1590" s="49"/>
      <c r="Q1590" s="1"/>
      <c r="S1590" s="1"/>
      <c r="T1590" s="1"/>
      <c r="U1590" s="1"/>
      <c r="V1590" s="1"/>
      <c r="W1590" s="1"/>
      <c r="X1590" s="1"/>
      <c r="Y1590" s="1"/>
      <c r="AB1590" s="1"/>
      <c r="AC1590" s="1"/>
      <c r="AD1590" s="1"/>
      <c r="AE1590" s="1"/>
      <c r="AF1590" s="1"/>
      <c r="AG1590" s="1"/>
      <c r="AH1590" s="1"/>
      <c r="AI1590" s="1"/>
      <c r="AJ1590" s="1"/>
      <c r="AK1590" s="1"/>
      <c r="AL1590" s="1"/>
      <c r="AM1590" s="1"/>
    </row>
    <row r="1591" spans="16:39" x14ac:dyDescent="0.25">
      <c r="P1591" s="49"/>
      <c r="Q1591" s="1"/>
      <c r="S1591" s="1"/>
      <c r="T1591" s="1"/>
      <c r="U1591" s="1"/>
      <c r="V1591" s="1"/>
      <c r="W1591" s="1"/>
      <c r="X1591" s="1"/>
      <c r="Y1591" s="1"/>
      <c r="AB1591" s="1"/>
      <c r="AC1591" s="1"/>
      <c r="AD1591" s="1"/>
      <c r="AE1591" s="1"/>
      <c r="AF1591" s="1"/>
      <c r="AG1591" s="1"/>
      <c r="AH1591" s="1"/>
      <c r="AI1591" s="1"/>
      <c r="AJ1591" s="1"/>
      <c r="AK1591" s="1"/>
      <c r="AL1591" s="1"/>
      <c r="AM1591" s="1"/>
    </row>
    <row r="1592" spans="16:39" x14ac:dyDescent="0.25">
      <c r="P1592" s="49"/>
      <c r="Q1592" s="1"/>
      <c r="S1592" s="1"/>
      <c r="T1592" s="1"/>
      <c r="U1592" s="1"/>
      <c r="V1592" s="1"/>
      <c r="W1592" s="1"/>
      <c r="X1592" s="1"/>
      <c r="Y1592" s="1"/>
      <c r="AB1592" s="1"/>
      <c r="AC1592" s="1"/>
      <c r="AD1592" s="1"/>
      <c r="AE1592" s="1"/>
      <c r="AF1592" s="1"/>
      <c r="AG1592" s="1"/>
      <c r="AH1592" s="1"/>
      <c r="AI1592" s="1"/>
      <c r="AJ1592" s="1"/>
      <c r="AK1592" s="1"/>
      <c r="AL1592" s="1"/>
      <c r="AM1592" s="1"/>
    </row>
    <row r="1593" spans="16:39" x14ac:dyDescent="0.25">
      <c r="P1593" s="49"/>
      <c r="Q1593" s="1"/>
      <c r="S1593" s="1"/>
      <c r="T1593" s="1"/>
      <c r="U1593" s="1"/>
      <c r="V1593" s="1"/>
      <c r="W1593" s="1"/>
      <c r="X1593" s="1"/>
      <c r="Y1593" s="1"/>
      <c r="AB1593" s="1"/>
      <c r="AC1593" s="1"/>
      <c r="AD1593" s="1"/>
      <c r="AE1593" s="1"/>
      <c r="AF1593" s="1"/>
      <c r="AG1593" s="1"/>
      <c r="AH1593" s="1"/>
      <c r="AI1593" s="1"/>
      <c r="AJ1593" s="1"/>
      <c r="AK1593" s="1"/>
      <c r="AL1593" s="1"/>
      <c r="AM1593" s="1"/>
    </row>
    <row r="1594" spans="16:39" x14ac:dyDescent="0.25">
      <c r="P1594" s="49"/>
      <c r="Q1594" s="1"/>
      <c r="S1594" s="1"/>
      <c r="T1594" s="1"/>
      <c r="U1594" s="1"/>
      <c r="V1594" s="1"/>
      <c r="W1594" s="1"/>
      <c r="X1594" s="1"/>
      <c r="Y1594" s="1"/>
      <c r="AB1594" s="1"/>
      <c r="AC1594" s="1"/>
      <c r="AD1594" s="1"/>
      <c r="AE1594" s="1"/>
      <c r="AF1594" s="1"/>
      <c r="AG1594" s="1"/>
      <c r="AH1594" s="1"/>
      <c r="AI1594" s="1"/>
      <c r="AJ1594" s="1"/>
      <c r="AK1594" s="1"/>
      <c r="AL1594" s="1"/>
      <c r="AM1594" s="1"/>
    </row>
    <row r="1595" spans="16:39" x14ac:dyDescent="0.25">
      <c r="P1595" s="49"/>
      <c r="Q1595" s="1"/>
      <c r="S1595" s="1"/>
      <c r="T1595" s="1"/>
      <c r="U1595" s="1"/>
      <c r="V1595" s="1"/>
      <c r="W1595" s="1"/>
      <c r="X1595" s="1"/>
      <c r="Y1595" s="1"/>
      <c r="AB1595" s="1"/>
      <c r="AC1595" s="1"/>
      <c r="AD1595" s="1"/>
      <c r="AE1595" s="1"/>
      <c r="AF1595" s="1"/>
      <c r="AG1595" s="1"/>
      <c r="AH1595" s="1"/>
      <c r="AI1595" s="1"/>
      <c r="AJ1595" s="1"/>
      <c r="AK1595" s="1"/>
      <c r="AL1595" s="1"/>
      <c r="AM1595" s="1"/>
    </row>
    <row r="1596" spans="16:39" x14ac:dyDescent="0.25">
      <c r="P1596" s="49"/>
      <c r="Q1596" s="1"/>
      <c r="S1596" s="1"/>
      <c r="T1596" s="1"/>
      <c r="U1596" s="1"/>
      <c r="V1596" s="1"/>
      <c r="W1596" s="1"/>
      <c r="X1596" s="1"/>
      <c r="Y1596" s="1"/>
      <c r="AB1596" s="1"/>
      <c r="AC1596" s="1"/>
      <c r="AD1596" s="1"/>
      <c r="AE1596" s="1"/>
      <c r="AF1596" s="1"/>
      <c r="AG1596" s="1"/>
      <c r="AH1596" s="1"/>
      <c r="AI1596" s="1"/>
      <c r="AJ1596" s="1"/>
      <c r="AK1596" s="1"/>
      <c r="AL1596" s="1"/>
      <c r="AM1596" s="1"/>
    </row>
    <row r="1597" spans="16:39" x14ac:dyDescent="0.25">
      <c r="P1597" s="49"/>
      <c r="Q1597" s="1"/>
      <c r="S1597" s="1"/>
      <c r="T1597" s="1"/>
      <c r="U1597" s="1"/>
      <c r="V1597" s="1"/>
      <c r="W1597" s="1"/>
      <c r="X1597" s="1"/>
      <c r="Y1597" s="1"/>
      <c r="AB1597" s="1"/>
      <c r="AC1597" s="1"/>
      <c r="AD1597" s="1"/>
      <c r="AE1597" s="1"/>
      <c r="AF1597" s="1"/>
      <c r="AG1597" s="1"/>
      <c r="AH1597" s="1"/>
      <c r="AI1597" s="1"/>
      <c r="AJ1597" s="1"/>
      <c r="AK1597" s="1"/>
      <c r="AL1597" s="1"/>
      <c r="AM1597" s="1"/>
    </row>
    <row r="1598" spans="16:39" x14ac:dyDescent="0.25">
      <c r="P1598" s="49"/>
      <c r="Q1598" s="1"/>
      <c r="S1598" s="1"/>
      <c r="T1598" s="1"/>
      <c r="U1598" s="1"/>
      <c r="V1598" s="1"/>
      <c r="W1598" s="1"/>
      <c r="X1598" s="1"/>
      <c r="Y1598" s="1"/>
      <c r="AB1598" s="1"/>
      <c r="AC1598" s="1"/>
      <c r="AD1598" s="1"/>
      <c r="AE1598" s="1"/>
      <c r="AF1598" s="1"/>
      <c r="AG1598" s="1"/>
      <c r="AH1598" s="1"/>
      <c r="AI1598" s="1"/>
      <c r="AJ1598" s="1"/>
      <c r="AK1598" s="1"/>
      <c r="AL1598" s="1"/>
      <c r="AM1598" s="1"/>
    </row>
    <row r="1599" spans="16:39" x14ac:dyDescent="0.25">
      <c r="P1599" s="49"/>
      <c r="Q1599" s="1"/>
      <c r="S1599" s="1"/>
      <c r="T1599" s="1"/>
      <c r="U1599" s="1"/>
      <c r="V1599" s="1"/>
      <c r="W1599" s="1"/>
      <c r="X1599" s="1"/>
      <c r="Y1599" s="1"/>
      <c r="AB1599" s="1"/>
      <c r="AC1599" s="1"/>
      <c r="AD1599" s="1"/>
      <c r="AE1599" s="1"/>
      <c r="AF1599" s="1"/>
      <c r="AG1599" s="1"/>
      <c r="AH1599" s="1"/>
      <c r="AI1599" s="1"/>
      <c r="AJ1599" s="1"/>
      <c r="AK1599" s="1"/>
      <c r="AL1599" s="1"/>
      <c r="AM1599" s="1"/>
    </row>
    <row r="1600" spans="16:39" x14ac:dyDescent="0.25">
      <c r="P1600" s="49"/>
      <c r="Q1600" s="1"/>
      <c r="S1600" s="1"/>
      <c r="T1600" s="1"/>
      <c r="U1600" s="1"/>
      <c r="V1600" s="1"/>
      <c r="W1600" s="1"/>
      <c r="X1600" s="1"/>
      <c r="Y1600" s="1"/>
      <c r="AB1600" s="1"/>
      <c r="AC1600" s="1"/>
      <c r="AD1600" s="1"/>
      <c r="AE1600" s="1"/>
      <c r="AF1600" s="1"/>
      <c r="AG1600" s="1"/>
      <c r="AH1600" s="1"/>
      <c r="AI1600" s="1"/>
      <c r="AJ1600" s="1"/>
      <c r="AK1600" s="1"/>
      <c r="AL1600" s="1"/>
      <c r="AM1600" s="1"/>
    </row>
    <row r="1601" spans="16:39" x14ac:dyDescent="0.25">
      <c r="P1601" s="49"/>
      <c r="Q1601" s="1"/>
      <c r="S1601" s="1"/>
      <c r="T1601" s="1"/>
      <c r="U1601" s="1"/>
      <c r="V1601" s="1"/>
      <c r="W1601" s="1"/>
      <c r="X1601" s="1"/>
      <c r="Y1601" s="1"/>
      <c r="AB1601" s="1"/>
      <c r="AC1601" s="1"/>
      <c r="AD1601" s="1"/>
      <c r="AE1601" s="1"/>
      <c r="AF1601" s="1"/>
      <c r="AG1601" s="1"/>
      <c r="AH1601" s="1"/>
      <c r="AI1601" s="1"/>
      <c r="AJ1601" s="1"/>
      <c r="AK1601" s="1"/>
      <c r="AL1601" s="1"/>
      <c r="AM1601" s="1"/>
    </row>
    <row r="1602" spans="16:39" x14ac:dyDescent="0.25">
      <c r="P1602" s="49"/>
      <c r="Q1602" s="1"/>
      <c r="S1602" s="1"/>
      <c r="T1602" s="1"/>
      <c r="U1602" s="1"/>
      <c r="V1602" s="1"/>
      <c r="W1602" s="1"/>
      <c r="X1602" s="1"/>
      <c r="Y1602" s="1"/>
      <c r="AB1602" s="1"/>
      <c r="AC1602" s="1"/>
      <c r="AD1602" s="1"/>
      <c r="AE1602" s="1"/>
      <c r="AF1602" s="1"/>
      <c r="AG1602" s="1"/>
      <c r="AH1602" s="1"/>
      <c r="AI1602" s="1"/>
      <c r="AJ1602" s="1"/>
      <c r="AK1602" s="1"/>
      <c r="AL1602" s="1"/>
      <c r="AM1602" s="1"/>
    </row>
    <row r="1603" spans="16:39" x14ac:dyDescent="0.25">
      <c r="P1603" s="49"/>
      <c r="Q1603" s="1"/>
      <c r="S1603" s="1"/>
      <c r="T1603" s="1"/>
      <c r="U1603" s="1"/>
      <c r="V1603" s="1"/>
      <c r="W1603" s="1"/>
      <c r="X1603" s="1"/>
      <c r="Y1603" s="1"/>
      <c r="AB1603" s="1"/>
      <c r="AC1603" s="1"/>
      <c r="AD1603" s="1"/>
      <c r="AE1603" s="1"/>
      <c r="AF1603" s="1"/>
      <c r="AG1603" s="1"/>
      <c r="AH1603" s="1"/>
      <c r="AI1603" s="1"/>
      <c r="AJ1603" s="1"/>
      <c r="AK1603" s="1"/>
      <c r="AL1603" s="1"/>
      <c r="AM1603" s="1"/>
    </row>
    <row r="1604" spans="16:39" x14ac:dyDescent="0.25">
      <c r="P1604" s="49"/>
      <c r="Q1604" s="1"/>
      <c r="S1604" s="1"/>
      <c r="T1604" s="1"/>
      <c r="U1604" s="1"/>
      <c r="V1604" s="1"/>
      <c r="W1604" s="1"/>
      <c r="X1604" s="1"/>
      <c r="Y1604" s="1"/>
      <c r="AB1604" s="1"/>
      <c r="AC1604" s="1"/>
      <c r="AD1604" s="1"/>
      <c r="AE1604" s="1"/>
      <c r="AF1604" s="1"/>
      <c r="AG1604" s="1"/>
      <c r="AH1604" s="1"/>
      <c r="AI1604" s="1"/>
      <c r="AJ1604" s="1"/>
      <c r="AK1604" s="1"/>
      <c r="AL1604" s="1"/>
      <c r="AM1604" s="1"/>
    </row>
    <row r="1605" spans="16:39" x14ac:dyDescent="0.25">
      <c r="P1605" s="49"/>
      <c r="Q1605" s="1"/>
      <c r="S1605" s="1"/>
      <c r="T1605" s="1"/>
      <c r="U1605" s="1"/>
      <c r="V1605" s="1"/>
      <c r="W1605" s="1"/>
      <c r="X1605" s="1"/>
      <c r="Y1605" s="1"/>
      <c r="AB1605" s="1"/>
      <c r="AC1605" s="1"/>
      <c r="AD1605" s="1"/>
      <c r="AE1605" s="1"/>
      <c r="AF1605" s="1"/>
      <c r="AG1605" s="1"/>
      <c r="AH1605" s="1"/>
      <c r="AI1605" s="1"/>
      <c r="AJ1605" s="1"/>
      <c r="AK1605" s="1"/>
      <c r="AL1605" s="1"/>
      <c r="AM1605" s="1"/>
    </row>
    <row r="1606" spans="16:39" x14ac:dyDescent="0.25">
      <c r="P1606" s="49"/>
      <c r="Q1606" s="1"/>
      <c r="S1606" s="1"/>
      <c r="T1606" s="1"/>
      <c r="U1606" s="1"/>
      <c r="V1606" s="1"/>
      <c r="W1606" s="1"/>
      <c r="X1606" s="1"/>
      <c r="Y1606" s="1"/>
      <c r="AB1606" s="1"/>
      <c r="AC1606" s="1"/>
      <c r="AD1606" s="1"/>
      <c r="AE1606" s="1"/>
      <c r="AF1606" s="1"/>
      <c r="AG1606" s="1"/>
      <c r="AH1606" s="1"/>
      <c r="AI1606" s="1"/>
      <c r="AJ1606" s="1"/>
      <c r="AK1606" s="1"/>
      <c r="AL1606" s="1"/>
      <c r="AM1606" s="1"/>
    </row>
    <row r="1607" spans="16:39" x14ac:dyDescent="0.25">
      <c r="P1607" s="49"/>
      <c r="Q1607" s="1"/>
      <c r="S1607" s="1"/>
      <c r="T1607" s="1"/>
      <c r="U1607" s="1"/>
      <c r="V1607" s="1"/>
      <c r="W1607" s="1"/>
      <c r="X1607" s="1"/>
      <c r="Y1607" s="1"/>
      <c r="AB1607" s="1"/>
      <c r="AC1607" s="1"/>
      <c r="AD1607" s="1"/>
      <c r="AE1607" s="1"/>
      <c r="AF1607" s="1"/>
      <c r="AG1607" s="1"/>
      <c r="AH1607" s="1"/>
      <c r="AI1607" s="1"/>
      <c r="AJ1607" s="1"/>
      <c r="AK1607" s="1"/>
      <c r="AL1607" s="1"/>
      <c r="AM1607" s="1"/>
    </row>
    <row r="1608" spans="16:39" x14ac:dyDescent="0.25">
      <c r="P1608" s="49"/>
      <c r="Q1608" s="1"/>
      <c r="S1608" s="1"/>
      <c r="T1608" s="1"/>
      <c r="U1608" s="1"/>
      <c r="V1608" s="1"/>
      <c r="W1608" s="1"/>
      <c r="X1608" s="1"/>
      <c r="Y1608" s="1"/>
      <c r="AB1608" s="1"/>
      <c r="AC1608" s="1"/>
      <c r="AD1608" s="1"/>
      <c r="AE1608" s="1"/>
      <c r="AF1608" s="1"/>
      <c r="AG1608" s="1"/>
      <c r="AH1608" s="1"/>
      <c r="AI1608" s="1"/>
      <c r="AJ1608" s="1"/>
      <c r="AK1608" s="1"/>
      <c r="AL1608" s="1"/>
      <c r="AM1608" s="1"/>
    </row>
    <row r="1609" spans="16:39" x14ac:dyDescent="0.25">
      <c r="P1609" s="49"/>
      <c r="Q1609" s="1"/>
      <c r="S1609" s="1"/>
      <c r="T1609" s="1"/>
      <c r="U1609" s="1"/>
      <c r="V1609" s="1"/>
      <c r="W1609" s="1"/>
      <c r="X1609" s="1"/>
      <c r="Y1609" s="1"/>
      <c r="AB1609" s="1"/>
      <c r="AC1609" s="1"/>
      <c r="AD1609" s="1"/>
      <c r="AE1609" s="1"/>
      <c r="AF1609" s="1"/>
      <c r="AG1609" s="1"/>
      <c r="AH1609" s="1"/>
      <c r="AI1609" s="1"/>
      <c r="AJ1609" s="1"/>
      <c r="AK1609" s="1"/>
      <c r="AL1609" s="1"/>
      <c r="AM1609" s="1"/>
    </row>
    <row r="1610" spans="16:39" x14ac:dyDescent="0.25">
      <c r="P1610" s="49"/>
      <c r="Q1610" s="1"/>
      <c r="S1610" s="1"/>
      <c r="T1610" s="1"/>
      <c r="U1610" s="1"/>
      <c r="V1610" s="1"/>
      <c r="W1610" s="1"/>
      <c r="X1610" s="1"/>
      <c r="Y1610" s="1"/>
      <c r="AB1610" s="1"/>
      <c r="AC1610" s="1"/>
      <c r="AD1610" s="1"/>
      <c r="AE1610" s="1"/>
      <c r="AF1610" s="1"/>
      <c r="AG1610" s="1"/>
      <c r="AH1610" s="1"/>
      <c r="AI1610" s="1"/>
      <c r="AJ1610" s="1"/>
      <c r="AK1610" s="1"/>
      <c r="AL1610" s="1"/>
      <c r="AM1610" s="1"/>
    </row>
    <row r="1611" spans="16:39" x14ac:dyDescent="0.25">
      <c r="P1611" s="49"/>
      <c r="Q1611" s="1"/>
      <c r="S1611" s="1"/>
      <c r="T1611" s="1"/>
      <c r="U1611" s="1"/>
      <c r="V1611" s="1"/>
      <c r="W1611" s="1"/>
      <c r="X1611" s="1"/>
      <c r="Y1611" s="1"/>
      <c r="AB1611" s="1"/>
      <c r="AC1611" s="1"/>
      <c r="AD1611" s="1"/>
      <c r="AE1611" s="1"/>
      <c r="AF1611" s="1"/>
      <c r="AG1611" s="1"/>
      <c r="AH1611" s="1"/>
      <c r="AI1611" s="1"/>
      <c r="AJ1611" s="1"/>
      <c r="AK1611" s="1"/>
      <c r="AL1611" s="1"/>
      <c r="AM1611" s="1"/>
    </row>
    <row r="1612" spans="16:39" x14ac:dyDescent="0.25">
      <c r="P1612" s="49"/>
      <c r="Q1612" s="1"/>
      <c r="S1612" s="1"/>
      <c r="T1612" s="1"/>
      <c r="U1612" s="1"/>
      <c r="V1612" s="1"/>
      <c r="W1612" s="1"/>
      <c r="X1612" s="1"/>
      <c r="Y1612" s="1"/>
      <c r="AB1612" s="1"/>
      <c r="AC1612" s="1"/>
      <c r="AD1612" s="1"/>
      <c r="AE1612" s="1"/>
      <c r="AF1612" s="1"/>
      <c r="AG1612" s="1"/>
      <c r="AH1612" s="1"/>
      <c r="AI1612" s="1"/>
      <c r="AJ1612" s="1"/>
      <c r="AK1612" s="1"/>
      <c r="AL1612" s="1"/>
      <c r="AM1612" s="1"/>
    </row>
    <row r="1613" spans="16:39" x14ac:dyDescent="0.25">
      <c r="P1613" s="49"/>
      <c r="Q1613" s="1"/>
      <c r="S1613" s="1"/>
      <c r="T1613" s="1"/>
      <c r="U1613" s="1"/>
      <c r="V1613" s="1"/>
      <c r="W1613" s="1"/>
      <c r="X1613" s="1"/>
      <c r="Y1613" s="1"/>
      <c r="AB1613" s="1"/>
      <c r="AC1613" s="1"/>
      <c r="AD1613" s="1"/>
      <c r="AE1613" s="1"/>
      <c r="AF1613" s="1"/>
      <c r="AG1613" s="1"/>
      <c r="AH1613" s="1"/>
      <c r="AI1613" s="1"/>
      <c r="AJ1613" s="1"/>
      <c r="AK1613" s="1"/>
      <c r="AL1613" s="1"/>
      <c r="AM1613" s="1"/>
    </row>
    <row r="1614" spans="16:39" x14ac:dyDescent="0.25">
      <c r="P1614" s="49"/>
      <c r="Q1614" s="1"/>
      <c r="S1614" s="1"/>
      <c r="T1614" s="1"/>
      <c r="U1614" s="1"/>
      <c r="V1614" s="1"/>
      <c r="W1614" s="1"/>
      <c r="X1614" s="1"/>
      <c r="Y1614" s="1"/>
      <c r="AB1614" s="1"/>
      <c r="AC1614" s="1"/>
      <c r="AD1614" s="1"/>
      <c r="AE1614" s="1"/>
      <c r="AF1614" s="1"/>
      <c r="AG1614" s="1"/>
      <c r="AH1614" s="1"/>
      <c r="AI1614" s="1"/>
      <c r="AJ1614" s="1"/>
      <c r="AK1614" s="1"/>
      <c r="AL1614" s="1"/>
      <c r="AM1614" s="1"/>
    </row>
    <row r="1615" spans="16:39" x14ac:dyDescent="0.25">
      <c r="P1615" s="49"/>
      <c r="Q1615" s="1"/>
      <c r="S1615" s="1"/>
      <c r="T1615" s="1"/>
      <c r="U1615" s="1"/>
      <c r="V1615" s="1"/>
      <c r="W1615" s="1"/>
      <c r="X1615" s="1"/>
      <c r="Y1615" s="1"/>
      <c r="AB1615" s="1"/>
      <c r="AC1615" s="1"/>
      <c r="AD1615" s="1"/>
      <c r="AE1615" s="1"/>
      <c r="AF1615" s="1"/>
      <c r="AG1615" s="1"/>
      <c r="AH1615" s="1"/>
      <c r="AI1615" s="1"/>
      <c r="AJ1615" s="1"/>
      <c r="AK1615" s="1"/>
      <c r="AL1615" s="1"/>
      <c r="AM1615" s="1"/>
    </row>
    <row r="1616" spans="16:39" x14ac:dyDescent="0.25">
      <c r="P1616" s="49"/>
      <c r="Q1616" s="1"/>
      <c r="S1616" s="1"/>
      <c r="T1616" s="1"/>
      <c r="U1616" s="1"/>
      <c r="V1616" s="1"/>
      <c r="W1616" s="1"/>
      <c r="X1616" s="1"/>
      <c r="Y1616" s="1"/>
      <c r="AB1616" s="1"/>
      <c r="AC1616" s="1"/>
      <c r="AD1616" s="1"/>
      <c r="AE1616" s="1"/>
      <c r="AF1616" s="1"/>
      <c r="AG1616" s="1"/>
      <c r="AH1616" s="1"/>
      <c r="AI1616" s="1"/>
      <c r="AJ1616" s="1"/>
      <c r="AK1616" s="1"/>
      <c r="AL1616" s="1"/>
      <c r="AM1616" s="1"/>
    </row>
    <row r="1617" spans="16:39" x14ac:dyDescent="0.25">
      <c r="P1617" s="49"/>
      <c r="Q1617" s="1"/>
      <c r="S1617" s="1"/>
      <c r="T1617" s="1"/>
      <c r="U1617" s="1"/>
      <c r="V1617" s="1"/>
      <c r="W1617" s="1"/>
      <c r="X1617" s="1"/>
      <c r="Y1617" s="1"/>
      <c r="AB1617" s="1"/>
      <c r="AC1617" s="1"/>
      <c r="AD1617" s="1"/>
      <c r="AE1617" s="1"/>
      <c r="AF1617" s="1"/>
      <c r="AG1617" s="1"/>
      <c r="AH1617" s="1"/>
      <c r="AI1617" s="1"/>
      <c r="AJ1617" s="1"/>
      <c r="AK1617" s="1"/>
      <c r="AL1617" s="1"/>
      <c r="AM1617" s="1"/>
    </row>
    <row r="1618" spans="16:39" x14ac:dyDescent="0.25">
      <c r="P1618" s="49"/>
      <c r="Q1618" s="1"/>
      <c r="S1618" s="1"/>
      <c r="T1618" s="1"/>
      <c r="U1618" s="1"/>
      <c r="V1618" s="1"/>
      <c r="W1618" s="1"/>
      <c r="X1618" s="1"/>
      <c r="Y1618" s="1"/>
      <c r="AB1618" s="1"/>
      <c r="AC1618" s="1"/>
      <c r="AD1618" s="1"/>
      <c r="AE1618" s="1"/>
      <c r="AF1618" s="1"/>
      <c r="AG1618" s="1"/>
      <c r="AH1618" s="1"/>
      <c r="AI1618" s="1"/>
      <c r="AJ1618" s="1"/>
      <c r="AK1618" s="1"/>
      <c r="AL1618" s="1"/>
      <c r="AM1618" s="1"/>
    </row>
    <row r="1619" spans="16:39" x14ac:dyDescent="0.25">
      <c r="P1619" s="49"/>
      <c r="Q1619" s="1"/>
      <c r="S1619" s="1"/>
      <c r="T1619" s="1"/>
      <c r="U1619" s="1"/>
      <c r="V1619" s="1"/>
      <c r="W1619" s="1"/>
      <c r="X1619" s="1"/>
      <c r="Y1619" s="1"/>
      <c r="AB1619" s="1"/>
      <c r="AC1619" s="1"/>
      <c r="AD1619" s="1"/>
      <c r="AE1619" s="1"/>
      <c r="AF1619" s="1"/>
      <c r="AG1619" s="1"/>
      <c r="AH1619" s="1"/>
      <c r="AI1619" s="1"/>
      <c r="AJ1619" s="1"/>
      <c r="AK1619" s="1"/>
      <c r="AL1619" s="1"/>
      <c r="AM1619" s="1"/>
    </row>
    <row r="1620" spans="16:39" x14ac:dyDescent="0.25">
      <c r="P1620" s="49"/>
      <c r="Q1620" s="1"/>
      <c r="S1620" s="1"/>
      <c r="T1620" s="1"/>
      <c r="U1620" s="1"/>
      <c r="V1620" s="1"/>
      <c r="W1620" s="1"/>
      <c r="X1620" s="1"/>
      <c r="Y1620" s="1"/>
      <c r="AB1620" s="1"/>
      <c r="AC1620" s="1"/>
      <c r="AD1620" s="1"/>
      <c r="AE1620" s="1"/>
      <c r="AF1620" s="1"/>
      <c r="AG1620" s="1"/>
      <c r="AH1620" s="1"/>
      <c r="AI1620" s="1"/>
      <c r="AJ1620" s="1"/>
      <c r="AK1620" s="1"/>
      <c r="AL1620" s="1"/>
      <c r="AM1620" s="1"/>
    </row>
    <row r="1621" spans="16:39" x14ac:dyDescent="0.25">
      <c r="P1621" s="49"/>
      <c r="Q1621" s="1"/>
      <c r="S1621" s="1"/>
      <c r="T1621" s="1"/>
      <c r="U1621" s="1"/>
      <c r="V1621" s="1"/>
      <c r="W1621" s="1"/>
      <c r="X1621" s="1"/>
      <c r="Y1621" s="1"/>
      <c r="AB1621" s="1"/>
      <c r="AC1621" s="1"/>
      <c r="AD1621" s="1"/>
      <c r="AE1621" s="1"/>
      <c r="AF1621" s="1"/>
      <c r="AG1621" s="1"/>
      <c r="AH1621" s="1"/>
      <c r="AI1621" s="1"/>
      <c r="AJ1621" s="1"/>
      <c r="AK1621" s="1"/>
      <c r="AL1621" s="1"/>
      <c r="AM1621" s="1"/>
    </row>
    <row r="1622" spans="16:39" x14ac:dyDescent="0.25">
      <c r="P1622" s="49"/>
      <c r="Q1622" s="1"/>
      <c r="S1622" s="1"/>
      <c r="T1622" s="1"/>
      <c r="U1622" s="1"/>
      <c r="V1622" s="1"/>
      <c r="W1622" s="1"/>
      <c r="X1622" s="1"/>
      <c r="Y1622" s="1"/>
      <c r="AB1622" s="1"/>
      <c r="AC1622" s="1"/>
      <c r="AD1622" s="1"/>
      <c r="AE1622" s="1"/>
      <c r="AF1622" s="1"/>
      <c r="AG1622" s="1"/>
      <c r="AH1622" s="1"/>
      <c r="AI1622" s="1"/>
      <c r="AJ1622" s="1"/>
      <c r="AK1622" s="1"/>
      <c r="AL1622" s="1"/>
      <c r="AM1622" s="1"/>
    </row>
    <row r="1623" spans="16:39" x14ac:dyDescent="0.25">
      <c r="P1623" s="49"/>
      <c r="Q1623" s="1"/>
      <c r="S1623" s="1"/>
      <c r="T1623" s="1"/>
      <c r="U1623" s="1"/>
      <c r="V1623" s="1"/>
      <c r="W1623" s="1"/>
      <c r="X1623" s="1"/>
      <c r="Y1623" s="1"/>
      <c r="AB1623" s="1"/>
      <c r="AC1623" s="1"/>
      <c r="AD1623" s="1"/>
      <c r="AE1623" s="1"/>
      <c r="AF1623" s="1"/>
      <c r="AG1623" s="1"/>
      <c r="AH1623" s="1"/>
      <c r="AI1623" s="1"/>
      <c r="AJ1623" s="1"/>
      <c r="AK1623" s="1"/>
      <c r="AL1623" s="1"/>
      <c r="AM1623" s="1"/>
    </row>
    <row r="1624" spans="16:39" x14ac:dyDescent="0.25">
      <c r="P1624" s="49"/>
      <c r="Q1624" s="1"/>
      <c r="S1624" s="1"/>
      <c r="T1624" s="1"/>
      <c r="U1624" s="1"/>
      <c r="V1624" s="1"/>
      <c r="W1624" s="1"/>
      <c r="X1624" s="1"/>
      <c r="Y1624" s="1"/>
      <c r="AB1624" s="1"/>
      <c r="AC1624" s="1"/>
      <c r="AD1624" s="1"/>
      <c r="AE1624" s="1"/>
      <c r="AF1624" s="1"/>
      <c r="AG1624" s="1"/>
      <c r="AH1624" s="1"/>
      <c r="AI1624" s="1"/>
      <c r="AJ1624" s="1"/>
      <c r="AK1624" s="1"/>
      <c r="AL1624" s="1"/>
      <c r="AM1624" s="1"/>
    </row>
    <row r="1625" spans="16:39" x14ac:dyDescent="0.25">
      <c r="P1625" s="49"/>
      <c r="Q1625" s="1"/>
      <c r="S1625" s="1"/>
      <c r="T1625" s="1"/>
      <c r="U1625" s="1"/>
      <c r="V1625" s="1"/>
      <c r="W1625" s="1"/>
      <c r="X1625" s="1"/>
      <c r="Y1625" s="1"/>
      <c r="AB1625" s="1"/>
      <c r="AC1625" s="1"/>
      <c r="AD1625" s="1"/>
      <c r="AE1625" s="1"/>
      <c r="AF1625" s="1"/>
      <c r="AG1625" s="1"/>
      <c r="AH1625" s="1"/>
      <c r="AI1625" s="1"/>
      <c r="AJ1625" s="1"/>
      <c r="AK1625" s="1"/>
      <c r="AL1625" s="1"/>
      <c r="AM1625" s="1"/>
    </row>
    <row r="1626" spans="16:39" x14ac:dyDescent="0.25">
      <c r="P1626" s="49"/>
      <c r="Q1626" s="1"/>
      <c r="S1626" s="1"/>
      <c r="T1626" s="1"/>
      <c r="U1626" s="1"/>
      <c r="V1626" s="1"/>
      <c r="W1626" s="1"/>
      <c r="X1626" s="1"/>
      <c r="Y1626" s="1"/>
      <c r="AB1626" s="1"/>
      <c r="AC1626" s="1"/>
      <c r="AD1626" s="1"/>
      <c r="AE1626" s="1"/>
      <c r="AF1626" s="1"/>
      <c r="AG1626" s="1"/>
      <c r="AH1626" s="1"/>
      <c r="AI1626" s="1"/>
      <c r="AJ1626" s="1"/>
      <c r="AK1626" s="1"/>
      <c r="AL1626" s="1"/>
      <c r="AM1626" s="1"/>
    </row>
    <row r="1627" spans="16:39" x14ac:dyDescent="0.25">
      <c r="P1627" s="49"/>
      <c r="Q1627" s="1"/>
      <c r="S1627" s="1"/>
      <c r="T1627" s="1"/>
      <c r="U1627" s="1"/>
      <c r="V1627" s="1"/>
      <c r="W1627" s="1"/>
      <c r="X1627" s="1"/>
      <c r="Y1627" s="1"/>
      <c r="AB1627" s="1"/>
      <c r="AC1627" s="1"/>
      <c r="AD1627" s="1"/>
      <c r="AE1627" s="1"/>
      <c r="AF1627" s="1"/>
      <c r="AG1627" s="1"/>
      <c r="AH1627" s="1"/>
      <c r="AI1627" s="1"/>
      <c r="AJ1627" s="1"/>
      <c r="AK1627" s="1"/>
      <c r="AL1627" s="1"/>
      <c r="AM1627" s="1"/>
    </row>
    <row r="1628" spans="16:39" x14ac:dyDescent="0.25">
      <c r="P1628" s="49"/>
      <c r="Q1628" s="1"/>
      <c r="S1628" s="1"/>
      <c r="T1628" s="1"/>
      <c r="U1628" s="1"/>
      <c r="V1628" s="1"/>
      <c r="W1628" s="1"/>
      <c r="X1628" s="1"/>
      <c r="Y1628" s="1"/>
      <c r="AB1628" s="1"/>
      <c r="AC1628" s="1"/>
      <c r="AD1628" s="1"/>
      <c r="AE1628" s="1"/>
      <c r="AF1628" s="1"/>
      <c r="AG1628" s="1"/>
      <c r="AH1628" s="1"/>
      <c r="AI1628" s="1"/>
      <c r="AJ1628" s="1"/>
      <c r="AK1628" s="1"/>
      <c r="AL1628" s="1"/>
      <c r="AM1628" s="1"/>
    </row>
    <row r="1629" spans="16:39" x14ac:dyDescent="0.25">
      <c r="P1629" s="49"/>
      <c r="Q1629" s="1"/>
      <c r="S1629" s="1"/>
      <c r="T1629" s="1"/>
      <c r="U1629" s="1"/>
      <c r="V1629" s="1"/>
      <c r="W1629" s="1"/>
      <c r="X1629" s="1"/>
      <c r="Y1629" s="1"/>
      <c r="AB1629" s="1"/>
      <c r="AC1629" s="1"/>
      <c r="AD1629" s="1"/>
      <c r="AE1629" s="1"/>
      <c r="AF1629" s="1"/>
      <c r="AG1629" s="1"/>
      <c r="AH1629" s="1"/>
      <c r="AI1629" s="1"/>
      <c r="AJ1629" s="1"/>
      <c r="AK1629" s="1"/>
      <c r="AL1629" s="1"/>
      <c r="AM1629" s="1"/>
    </row>
    <row r="1630" spans="16:39" x14ac:dyDescent="0.25">
      <c r="P1630" s="49"/>
      <c r="Q1630" s="1"/>
      <c r="S1630" s="1"/>
      <c r="T1630" s="1"/>
      <c r="U1630" s="1"/>
      <c r="V1630" s="1"/>
      <c r="W1630" s="1"/>
      <c r="X1630" s="1"/>
      <c r="Y1630" s="1"/>
      <c r="AB1630" s="1"/>
      <c r="AC1630" s="1"/>
      <c r="AD1630" s="1"/>
      <c r="AE1630" s="1"/>
      <c r="AF1630" s="1"/>
      <c r="AG1630" s="1"/>
      <c r="AH1630" s="1"/>
      <c r="AI1630" s="1"/>
      <c r="AJ1630" s="1"/>
      <c r="AK1630" s="1"/>
      <c r="AL1630" s="1"/>
      <c r="AM1630" s="1"/>
    </row>
    <row r="1631" spans="16:39" x14ac:dyDescent="0.25">
      <c r="P1631" s="49"/>
      <c r="Q1631" s="1"/>
      <c r="S1631" s="1"/>
      <c r="T1631" s="1"/>
      <c r="U1631" s="1"/>
      <c r="V1631" s="1"/>
      <c r="W1631" s="1"/>
      <c r="X1631" s="1"/>
      <c r="Y1631" s="1"/>
      <c r="AB1631" s="1"/>
      <c r="AC1631" s="1"/>
      <c r="AD1631" s="1"/>
      <c r="AE1631" s="1"/>
      <c r="AF1631" s="1"/>
      <c r="AG1631" s="1"/>
      <c r="AH1631" s="1"/>
      <c r="AI1631" s="1"/>
      <c r="AJ1631" s="1"/>
      <c r="AK1631" s="1"/>
      <c r="AL1631" s="1"/>
      <c r="AM1631" s="1"/>
    </row>
    <row r="1632" spans="16:39" x14ac:dyDescent="0.25">
      <c r="P1632" s="49"/>
      <c r="Q1632" s="1"/>
      <c r="S1632" s="1"/>
      <c r="T1632" s="1"/>
      <c r="U1632" s="1"/>
      <c r="V1632" s="1"/>
      <c r="W1632" s="1"/>
      <c r="X1632" s="1"/>
      <c r="Y1632" s="1"/>
      <c r="AB1632" s="1"/>
      <c r="AC1632" s="1"/>
      <c r="AD1632" s="1"/>
      <c r="AE1632" s="1"/>
      <c r="AF1632" s="1"/>
      <c r="AG1632" s="1"/>
      <c r="AH1632" s="1"/>
      <c r="AI1632" s="1"/>
      <c r="AJ1632" s="1"/>
      <c r="AK1632" s="1"/>
      <c r="AL1632" s="1"/>
      <c r="AM1632" s="1"/>
    </row>
    <row r="1633" spans="16:39" x14ac:dyDescent="0.25">
      <c r="P1633" s="49"/>
      <c r="Q1633" s="1"/>
      <c r="S1633" s="1"/>
      <c r="T1633" s="1"/>
      <c r="U1633" s="1"/>
      <c r="V1633" s="1"/>
      <c r="W1633" s="1"/>
      <c r="X1633" s="1"/>
      <c r="Y1633" s="1"/>
      <c r="AB1633" s="1"/>
      <c r="AC1633" s="1"/>
      <c r="AD1633" s="1"/>
      <c r="AE1633" s="1"/>
      <c r="AF1633" s="1"/>
      <c r="AG1633" s="1"/>
      <c r="AH1633" s="1"/>
      <c r="AI1633" s="1"/>
      <c r="AJ1633" s="1"/>
      <c r="AK1633" s="1"/>
      <c r="AL1633" s="1"/>
      <c r="AM1633" s="1"/>
    </row>
    <row r="1634" spans="16:39" x14ac:dyDescent="0.25">
      <c r="P1634" s="49"/>
      <c r="Q1634" s="1"/>
      <c r="S1634" s="1"/>
      <c r="T1634" s="1"/>
      <c r="U1634" s="1"/>
      <c r="V1634" s="1"/>
      <c r="W1634" s="1"/>
      <c r="X1634" s="1"/>
      <c r="Y1634" s="1"/>
      <c r="AB1634" s="1"/>
      <c r="AC1634" s="1"/>
      <c r="AD1634" s="1"/>
      <c r="AE1634" s="1"/>
      <c r="AF1634" s="1"/>
      <c r="AG1634" s="1"/>
      <c r="AH1634" s="1"/>
      <c r="AI1634" s="1"/>
      <c r="AJ1634" s="1"/>
      <c r="AK1634" s="1"/>
      <c r="AL1634" s="1"/>
      <c r="AM1634" s="1"/>
    </row>
    <row r="1635" spans="16:39" x14ac:dyDescent="0.25">
      <c r="P1635" s="49"/>
      <c r="Q1635" s="1"/>
      <c r="S1635" s="1"/>
      <c r="T1635" s="1"/>
      <c r="U1635" s="1"/>
      <c r="V1635" s="1"/>
      <c r="W1635" s="1"/>
      <c r="X1635" s="1"/>
      <c r="Y1635" s="1"/>
      <c r="AB1635" s="1"/>
      <c r="AC1635" s="1"/>
      <c r="AD1635" s="1"/>
      <c r="AE1635" s="1"/>
      <c r="AF1635" s="1"/>
      <c r="AG1635" s="1"/>
      <c r="AH1635" s="1"/>
      <c r="AI1635" s="1"/>
      <c r="AJ1635" s="1"/>
      <c r="AK1635" s="1"/>
      <c r="AL1635" s="1"/>
      <c r="AM1635" s="1"/>
    </row>
    <row r="1636" spans="16:39" x14ac:dyDescent="0.25">
      <c r="P1636" s="49"/>
      <c r="Q1636" s="1"/>
      <c r="S1636" s="1"/>
      <c r="T1636" s="1"/>
      <c r="U1636" s="1"/>
      <c r="V1636" s="1"/>
      <c r="W1636" s="1"/>
      <c r="X1636" s="1"/>
      <c r="Y1636" s="1"/>
      <c r="AB1636" s="1"/>
      <c r="AC1636" s="1"/>
      <c r="AD1636" s="1"/>
      <c r="AE1636" s="1"/>
      <c r="AF1636" s="1"/>
      <c r="AG1636" s="1"/>
      <c r="AH1636" s="1"/>
      <c r="AI1636" s="1"/>
      <c r="AJ1636" s="1"/>
      <c r="AK1636" s="1"/>
      <c r="AL1636" s="1"/>
      <c r="AM1636" s="1"/>
    </row>
    <row r="1637" spans="16:39" x14ac:dyDescent="0.25">
      <c r="P1637" s="49"/>
      <c r="Q1637" s="1"/>
      <c r="S1637" s="1"/>
      <c r="T1637" s="1"/>
      <c r="U1637" s="1"/>
      <c r="V1637" s="1"/>
      <c r="W1637" s="1"/>
      <c r="X1637" s="1"/>
      <c r="Y1637" s="1"/>
      <c r="AB1637" s="1"/>
      <c r="AC1637" s="1"/>
      <c r="AD1637" s="1"/>
      <c r="AE1637" s="1"/>
      <c r="AF1637" s="1"/>
      <c r="AG1637" s="1"/>
      <c r="AH1637" s="1"/>
      <c r="AI1637" s="1"/>
      <c r="AJ1637" s="1"/>
      <c r="AK1637" s="1"/>
      <c r="AL1637" s="1"/>
      <c r="AM1637" s="1"/>
    </row>
    <row r="1638" spans="16:39" x14ac:dyDescent="0.25">
      <c r="P1638" s="49"/>
      <c r="Q1638" s="1"/>
      <c r="S1638" s="1"/>
      <c r="T1638" s="1"/>
      <c r="U1638" s="1"/>
      <c r="V1638" s="1"/>
      <c r="W1638" s="1"/>
      <c r="X1638" s="1"/>
      <c r="Y1638" s="1"/>
      <c r="AB1638" s="1"/>
      <c r="AC1638" s="1"/>
      <c r="AD1638" s="1"/>
      <c r="AE1638" s="1"/>
      <c r="AF1638" s="1"/>
      <c r="AG1638" s="1"/>
      <c r="AH1638" s="1"/>
      <c r="AI1638" s="1"/>
      <c r="AJ1638" s="1"/>
      <c r="AK1638" s="1"/>
      <c r="AL1638" s="1"/>
      <c r="AM1638" s="1"/>
    </row>
    <row r="1639" spans="16:39" x14ac:dyDescent="0.25">
      <c r="P1639" s="49"/>
      <c r="Q1639" s="1"/>
      <c r="S1639" s="1"/>
      <c r="T1639" s="1"/>
      <c r="U1639" s="1"/>
      <c r="V1639" s="1"/>
      <c r="W1639" s="1"/>
      <c r="X1639" s="1"/>
      <c r="Y1639" s="1"/>
      <c r="AB1639" s="1"/>
      <c r="AC1639" s="1"/>
      <c r="AD1639" s="1"/>
      <c r="AE1639" s="1"/>
      <c r="AF1639" s="1"/>
      <c r="AG1639" s="1"/>
      <c r="AH1639" s="1"/>
      <c r="AI1639" s="1"/>
      <c r="AJ1639" s="1"/>
      <c r="AK1639" s="1"/>
      <c r="AL1639" s="1"/>
      <c r="AM1639" s="1"/>
    </row>
    <row r="1640" spans="16:39" x14ac:dyDescent="0.25">
      <c r="P1640" s="49"/>
      <c r="Q1640" s="1"/>
      <c r="S1640" s="1"/>
      <c r="T1640" s="1"/>
      <c r="U1640" s="1"/>
      <c r="V1640" s="1"/>
      <c r="W1640" s="1"/>
      <c r="X1640" s="1"/>
      <c r="Y1640" s="1"/>
      <c r="AB1640" s="1"/>
      <c r="AC1640" s="1"/>
      <c r="AD1640" s="1"/>
      <c r="AE1640" s="1"/>
      <c r="AF1640" s="1"/>
      <c r="AG1640" s="1"/>
      <c r="AH1640" s="1"/>
      <c r="AI1640" s="1"/>
      <c r="AJ1640" s="1"/>
      <c r="AK1640" s="1"/>
      <c r="AL1640" s="1"/>
      <c r="AM1640" s="1"/>
    </row>
    <row r="1641" spans="16:39" x14ac:dyDescent="0.25">
      <c r="P1641" s="49"/>
      <c r="Q1641" s="1"/>
      <c r="S1641" s="1"/>
      <c r="T1641" s="1"/>
      <c r="U1641" s="1"/>
      <c r="V1641" s="1"/>
      <c r="W1641" s="1"/>
      <c r="X1641" s="1"/>
      <c r="Y1641" s="1"/>
      <c r="AB1641" s="1"/>
      <c r="AC1641" s="1"/>
      <c r="AD1641" s="1"/>
      <c r="AE1641" s="1"/>
      <c r="AF1641" s="1"/>
      <c r="AG1641" s="1"/>
      <c r="AH1641" s="1"/>
      <c r="AI1641" s="1"/>
      <c r="AJ1641" s="1"/>
      <c r="AK1641" s="1"/>
      <c r="AL1641" s="1"/>
      <c r="AM1641" s="1"/>
    </row>
    <row r="1642" spans="16:39" x14ac:dyDescent="0.25">
      <c r="P1642" s="49"/>
      <c r="Q1642" s="1"/>
      <c r="S1642" s="1"/>
      <c r="T1642" s="1"/>
      <c r="U1642" s="1"/>
      <c r="V1642" s="1"/>
      <c r="W1642" s="1"/>
      <c r="X1642" s="1"/>
      <c r="Y1642" s="1"/>
      <c r="AB1642" s="1"/>
      <c r="AC1642" s="1"/>
      <c r="AD1642" s="1"/>
      <c r="AE1642" s="1"/>
      <c r="AF1642" s="1"/>
      <c r="AG1642" s="1"/>
      <c r="AH1642" s="1"/>
      <c r="AI1642" s="1"/>
      <c r="AJ1642" s="1"/>
      <c r="AK1642" s="1"/>
      <c r="AL1642" s="1"/>
      <c r="AM1642" s="1"/>
    </row>
    <row r="1643" spans="16:39" x14ac:dyDescent="0.25">
      <c r="P1643" s="49"/>
      <c r="Q1643" s="1"/>
      <c r="S1643" s="1"/>
      <c r="T1643" s="1"/>
      <c r="U1643" s="1"/>
      <c r="V1643" s="1"/>
      <c r="W1643" s="1"/>
      <c r="X1643" s="1"/>
      <c r="Y1643" s="1"/>
      <c r="AB1643" s="1"/>
      <c r="AC1643" s="1"/>
      <c r="AD1643" s="1"/>
      <c r="AE1643" s="1"/>
      <c r="AF1643" s="1"/>
      <c r="AG1643" s="1"/>
      <c r="AH1643" s="1"/>
      <c r="AI1643" s="1"/>
      <c r="AJ1643" s="1"/>
      <c r="AK1643" s="1"/>
      <c r="AL1643" s="1"/>
      <c r="AM1643" s="1"/>
    </row>
    <row r="1644" spans="16:39" x14ac:dyDescent="0.25">
      <c r="P1644" s="49"/>
      <c r="Q1644" s="1"/>
      <c r="S1644" s="1"/>
      <c r="T1644" s="1"/>
      <c r="U1644" s="1"/>
      <c r="V1644" s="1"/>
      <c r="W1644" s="1"/>
      <c r="X1644" s="1"/>
      <c r="Y1644" s="1"/>
      <c r="AB1644" s="1"/>
      <c r="AC1644" s="1"/>
      <c r="AD1644" s="1"/>
      <c r="AE1644" s="1"/>
      <c r="AF1644" s="1"/>
      <c r="AG1644" s="1"/>
      <c r="AH1644" s="1"/>
      <c r="AI1644" s="1"/>
      <c r="AJ1644" s="1"/>
      <c r="AK1644" s="1"/>
      <c r="AL1644" s="1"/>
      <c r="AM1644" s="1"/>
    </row>
    <row r="1645" spans="16:39" x14ac:dyDescent="0.25">
      <c r="P1645" s="49"/>
      <c r="Q1645" s="1"/>
      <c r="S1645" s="1"/>
      <c r="T1645" s="1"/>
      <c r="U1645" s="1"/>
      <c r="V1645" s="1"/>
      <c r="W1645" s="1"/>
      <c r="X1645" s="1"/>
      <c r="Y1645" s="1"/>
      <c r="AB1645" s="1"/>
      <c r="AC1645" s="1"/>
      <c r="AD1645" s="1"/>
      <c r="AE1645" s="1"/>
      <c r="AF1645" s="1"/>
      <c r="AG1645" s="1"/>
      <c r="AH1645" s="1"/>
      <c r="AI1645" s="1"/>
      <c r="AJ1645" s="1"/>
      <c r="AK1645" s="1"/>
      <c r="AL1645" s="1"/>
      <c r="AM1645" s="1"/>
    </row>
    <row r="1646" spans="16:39" x14ac:dyDescent="0.25">
      <c r="P1646" s="49"/>
      <c r="Q1646" s="1"/>
      <c r="S1646" s="1"/>
      <c r="T1646" s="1"/>
      <c r="U1646" s="1"/>
      <c r="V1646" s="1"/>
      <c r="W1646" s="1"/>
      <c r="X1646" s="1"/>
      <c r="Y1646" s="1"/>
      <c r="AB1646" s="1"/>
      <c r="AC1646" s="1"/>
      <c r="AD1646" s="1"/>
      <c r="AE1646" s="1"/>
      <c r="AF1646" s="1"/>
      <c r="AG1646" s="1"/>
      <c r="AH1646" s="1"/>
      <c r="AI1646" s="1"/>
      <c r="AJ1646" s="1"/>
      <c r="AK1646" s="1"/>
      <c r="AL1646" s="1"/>
      <c r="AM1646" s="1"/>
    </row>
    <row r="1647" spans="16:39" x14ac:dyDescent="0.25">
      <c r="P1647" s="49"/>
      <c r="Q1647" s="1"/>
      <c r="S1647" s="1"/>
      <c r="T1647" s="1"/>
      <c r="U1647" s="1"/>
      <c r="V1647" s="1"/>
      <c r="W1647" s="1"/>
      <c r="X1647" s="1"/>
      <c r="Y1647" s="1"/>
      <c r="AB1647" s="1"/>
      <c r="AC1647" s="1"/>
      <c r="AD1647" s="1"/>
      <c r="AE1647" s="1"/>
      <c r="AF1647" s="1"/>
      <c r="AG1647" s="1"/>
      <c r="AH1647" s="1"/>
      <c r="AI1647" s="1"/>
      <c r="AJ1647" s="1"/>
      <c r="AK1647" s="1"/>
      <c r="AL1647" s="1"/>
      <c r="AM1647" s="1"/>
    </row>
    <row r="1648" spans="16:39" x14ac:dyDescent="0.25">
      <c r="P1648" s="49"/>
      <c r="Q1648" s="1"/>
      <c r="S1648" s="1"/>
      <c r="T1648" s="1"/>
      <c r="U1648" s="1"/>
      <c r="V1648" s="1"/>
      <c r="W1648" s="1"/>
      <c r="X1648" s="1"/>
      <c r="Y1648" s="1"/>
      <c r="AB1648" s="1"/>
      <c r="AC1648" s="1"/>
      <c r="AD1648" s="1"/>
      <c r="AE1648" s="1"/>
      <c r="AF1648" s="1"/>
      <c r="AG1648" s="1"/>
      <c r="AH1648" s="1"/>
      <c r="AI1648" s="1"/>
      <c r="AJ1648" s="1"/>
      <c r="AK1648" s="1"/>
      <c r="AL1648" s="1"/>
      <c r="AM1648" s="1"/>
    </row>
    <row r="1649" spans="16:39" x14ac:dyDescent="0.25">
      <c r="P1649" s="49"/>
      <c r="Q1649" s="1"/>
      <c r="S1649" s="1"/>
      <c r="T1649" s="1"/>
      <c r="U1649" s="1"/>
      <c r="V1649" s="1"/>
      <c r="W1649" s="1"/>
      <c r="X1649" s="1"/>
      <c r="Y1649" s="1"/>
      <c r="AB1649" s="1"/>
      <c r="AC1649" s="1"/>
      <c r="AD1649" s="1"/>
      <c r="AE1649" s="1"/>
      <c r="AF1649" s="1"/>
      <c r="AG1649" s="1"/>
      <c r="AH1649" s="1"/>
      <c r="AI1649" s="1"/>
      <c r="AJ1649" s="1"/>
      <c r="AK1649" s="1"/>
      <c r="AL1649" s="1"/>
      <c r="AM1649" s="1"/>
    </row>
    <row r="1650" spans="16:39" x14ac:dyDescent="0.25">
      <c r="P1650" s="49"/>
      <c r="Q1650" s="1"/>
      <c r="S1650" s="1"/>
      <c r="T1650" s="1"/>
      <c r="U1650" s="1"/>
      <c r="V1650" s="1"/>
      <c r="W1650" s="1"/>
      <c r="X1650" s="1"/>
      <c r="Y1650" s="1"/>
      <c r="AB1650" s="1"/>
      <c r="AC1650" s="1"/>
      <c r="AD1650" s="1"/>
      <c r="AE1650" s="1"/>
      <c r="AF1650" s="1"/>
      <c r="AG1650" s="1"/>
      <c r="AH1650" s="1"/>
      <c r="AI1650" s="1"/>
      <c r="AJ1650" s="1"/>
      <c r="AK1650" s="1"/>
      <c r="AL1650" s="1"/>
      <c r="AM1650" s="1"/>
    </row>
    <row r="1651" spans="16:39" x14ac:dyDescent="0.25">
      <c r="P1651" s="49"/>
      <c r="Q1651" s="1"/>
      <c r="S1651" s="1"/>
      <c r="T1651" s="1"/>
      <c r="U1651" s="1"/>
      <c r="V1651" s="1"/>
      <c r="W1651" s="1"/>
      <c r="X1651" s="1"/>
      <c r="Y1651" s="1"/>
      <c r="AB1651" s="1"/>
      <c r="AC1651" s="1"/>
      <c r="AD1651" s="1"/>
      <c r="AE1651" s="1"/>
      <c r="AF1651" s="1"/>
      <c r="AG1651" s="1"/>
      <c r="AH1651" s="1"/>
      <c r="AI1651" s="1"/>
      <c r="AJ1651" s="1"/>
      <c r="AK1651" s="1"/>
      <c r="AL1651" s="1"/>
      <c r="AM1651" s="1"/>
    </row>
    <row r="1652" spans="16:39" x14ac:dyDescent="0.25">
      <c r="P1652" s="49"/>
      <c r="Q1652" s="1"/>
      <c r="S1652" s="1"/>
      <c r="T1652" s="1"/>
      <c r="U1652" s="1"/>
      <c r="V1652" s="1"/>
      <c r="W1652" s="1"/>
      <c r="X1652" s="1"/>
      <c r="Y1652" s="1"/>
      <c r="AB1652" s="1"/>
      <c r="AC1652" s="1"/>
      <c r="AD1652" s="1"/>
      <c r="AE1652" s="1"/>
      <c r="AF1652" s="1"/>
      <c r="AG1652" s="1"/>
      <c r="AH1652" s="1"/>
      <c r="AI1652" s="1"/>
      <c r="AJ1652" s="1"/>
      <c r="AK1652" s="1"/>
      <c r="AL1652" s="1"/>
      <c r="AM1652" s="1"/>
    </row>
    <row r="1653" spans="16:39" x14ac:dyDescent="0.25">
      <c r="P1653" s="49"/>
      <c r="Q1653" s="1"/>
      <c r="S1653" s="1"/>
      <c r="T1653" s="1"/>
      <c r="U1653" s="1"/>
      <c r="V1653" s="1"/>
      <c r="W1653" s="1"/>
      <c r="X1653" s="1"/>
      <c r="Y1653" s="1"/>
      <c r="AB1653" s="1"/>
      <c r="AC1653" s="1"/>
      <c r="AD1653" s="1"/>
      <c r="AE1653" s="1"/>
      <c r="AF1653" s="1"/>
      <c r="AG1653" s="1"/>
      <c r="AH1653" s="1"/>
      <c r="AI1653" s="1"/>
      <c r="AJ1653" s="1"/>
      <c r="AK1653" s="1"/>
      <c r="AL1653" s="1"/>
      <c r="AM1653" s="1"/>
    </row>
    <row r="1654" spans="16:39" x14ac:dyDescent="0.25">
      <c r="P1654" s="49"/>
      <c r="Q1654" s="1"/>
      <c r="S1654" s="1"/>
      <c r="T1654" s="1"/>
      <c r="U1654" s="1"/>
      <c r="V1654" s="1"/>
      <c r="W1654" s="1"/>
      <c r="X1654" s="1"/>
      <c r="Y1654" s="1"/>
      <c r="AB1654" s="1"/>
      <c r="AC1654" s="1"/>
      <c r="AD1654" s="1"/>
      <c r="AE1654" s="1"/>
      <c r="AF1654" s="1"/>
      <c r="AG1654" s="1"/>
      <c r="AH1654" s="1"/>
      <c r="AI1654" s="1"/>
      <c r="AJ1654" s="1"/>
      <c r="AK1654" s="1"/>
      <c r="AL1654" s="1"/>
      <c r="AM1654" s="1"/>
    </row>
    <row r="1655" spans="16:39" x14ac:dyDescent="0.25">
      <c r="P1655" s="49"/>
      <c r="Q1655" s="1"/>
      <c r="S1655" s="1"/>
      <c r="T1655" s="1"/>
      <c r="U1655" s="1"/>
      <c r="V1655" s="1"/>
      <c r="W1655" s="1"/>
      <c r="X1655" s="1"/>
      <c r="Y1655" s="1"/>
      <c r="AB1655" s="1"/>
      <c r="AC1655" s="1"/>
      <c r="AD1655" s="1"/>
      <c r="AE1655" s="1"/>
      <c r="AF1655" s="1"/>
      <c r="AG1655" s="1"/>
      <c r="AH1655" s="1"/>
      <c r="AI1655" s="1"/>
      <c r="AJ1655" s="1"/>
      <c r="AK1655" s="1"/>
      <c r="AL1655" s="1"/>
      <c r="AM1655" s="1"/>
    </row>
    <row r="1656" spans="16:39" x14ac:dyDescent="0.25">
      <c r="P1656" s="49"/>
      <c r="Q1656" s="1"/>
      <c r="S1656" s="1"/>
      <c r="T1656" s="1"/>
      <c r="U1656" s="1"/>
      <c r="V1656" s="1"/>
      <c r="W1656" s="1"/>
      <c r="X1656" s="1"/>
      <c r="Y1656" s="1"/>
      <c r="AB1656" s="1"/>
      <c r="AC1656" s="1"/>
      <c r="AD1656" s="1"/>
      <c r="AE1656" s="1"/>
      <c r="AF1656" s="1"/>
      <c r="AG1656" s="1"/>
      <c r="AH1656" s="1"/>
      <c r="AI1656" s="1"/>
      <c r="AJ1656" s="1"/>
      <c r="AK1656" s="1"/>
      <c r="AL1656" s="1"/>
      <c r="AM1656" s="1"/>
    </row>
    <row r="1657" spans="16:39" x14ac:dyDescent="0.25">
      <c r="P1657" s="49"/>
      <c r="Q1657" s="1"/>
      <c r="S1657" s="1"/>
      <c r="T1657" s="1"/>
      <c r="U1657" s="1"/>
      <c r="V1657" s="1"/>
      <c r="W1657" s="1"/>
      <c r="X1657" s="1"/>
      <c r="Y1657" s="1"/>
      <c r="AB1657" s="1"/>
      <c r="AC1657" s="1"/>
      <c r="AD1657" s="1"/>
      <c r="AE1657" s="1"/>
      <c r="AF1657" s="1"/>
      <c r="AG1657" s="1"/>
      <c r="AH1657" s="1"/>
      <c r="AI1657" s="1"/>
      <c r="AJ1657" s="1"/>
      <c r="AK1657" s="1"/>
      <c r="AL1657" s="1"/>
      <c r="AM1657" s="1"/>
    </row>
    <row r="1658" spans="16:39" x14ac:dyDescent="0.25">
      <c r="P1658" s="49"/>
      <c r="Q1658" s="1"/>
      <c r="S1658" s="1"/>
      <c r="T1658" s="1"/>
      <c r="U1658" s="1"/>
      <c r="V1658" s="1"/>
      <c r="W1658" s="1"/>
      <c r="X1658" s="1"/>
      <c r="Y1658" s="1"/>
      <c r="AB1658" s="1"/>
      <c r="AC1658" s="1"/>
      <c r="AD1658" s="1"/>
      <c r="AE1658" s="1"/>
      <c r="AF1658" s="1"/>
      <c r="AG1658" s="1"/>
      <c r="AH1658" s="1"/>
      <c r="AI1658" s="1"/>
      <c r="AJ1658" s="1"/>
      <c r="AK1658" s="1"/>
      <c r="AL1658" s="1"/>
      <c r="AM1658" s="1"/>
    </row>
    <row r="1659" spans="16:39" x14ac:dyDescent="0.25">
      <c r="P1659" s="49"/>
      <c r="Q1659" s="1"/>
      <c r="S1659" s="1"/>
      <c r="T1659" s="1"/>
      <c r="U1659" s="1"/>
      <c r="V1659" s="1"/>
      <c r="W1659" s="1"/>
      <c r="X1659" s="1"/>
      <c r="Y1659" s="1"/>
      <c r="AB1659" s="1"/>
      <c r="AC1659" s="1"/>
      <c r="AD1659" s="1"/>
      <c r="AE1659" s="1"/>
      <c r="AF1659" s="1"/>
      <c r="AG1659" s="1"/>
      <c r="AH1659" s="1"/>
      <c r="AI1659" s="1"/>
      <c r="AJ1659" s="1"/>
      <c r="AK1659" s="1"/>
      <c r="AL1659" s="1"/>
      <c r="AM1659" s="1"/>
    </row>
    <row r="1660" spans="16:39" x14ac:dyDescent="0.25">
      <c r="P1660" s="49"/>
      <c r="Q1660" s="1"/>
      <c r="S1660" s="1"/>
      <c r="T1660" s="1"/>
      <c r="U1660" s="1"/>
      <c r="V1660" s="1"/>
      <c r="W1660" s="1"/>
      <c r="X1660" s="1"/>
      <c r="Y1660" s="1"/>
      <c r="AB1660" s="1"/>
      <c r="AC1660" s="1"/>
      <c r="AD1660" s="1"/>
      <c r="AE1660" s="1"/>
      <c r="AF1660" s="1"/>
      <c r="AG1660" s="1"/>
      <c r="AH1660" s="1"/>
      <c r="AI1660" s="1"/>
      <c r="AJ1660" s="1"/>
      <c r="AK1660" s="1"/>
      <c r="AL1660" s="1"/>
      <c r="AM1660" s="1"/>
    </row>
    <row r="1661" spans="16:39" x14ac:dyDescent="0.25">
      <c r="P1661" s="49"/>
      <c r="Q1661" s="1"/>
      <c r="S1661" s="1"/>
      <c r="T1661" s="1"/>
      <c r="U1661" s="1"/>
      <c r="V1661" s="1"/>
      <c r="W1661" s="1"/>
      <c r="X1661" s="1"/>
      <c r="Y1661" s="1"/>
      <c r="AB1661" s="1"/>
      <c r="AC1661" s="1"/>
      <c r="AD1661" s="1"/>
      <c r="AE1661" s="1"/>
      <c r="AF1661" s="1"/>
      <c r="AG1661" s="1"/>
      <c r="AH1661" s="1"/>
      <c r="AI1661" s="1"/>
      <c r="AJ1661" s="1"/>
      <c r="AK1661" s="1"/>
      <c r="AL1661" s="1"/>
      <c r="AM1661" s="1"/>
    </row>
    <row r="1662" spans="16:39" x14ac:dyDescent="0.25">
      <c r="P1662" s="49"/>
      <c r="Q1662" s="1"/>
      <c r="S1662" s="1"/>
      <c r="T1662" s="1"/>
      <c r="U1662" s="1"/>
      <c r="V1662" s="1"/>
      <c r="W1662" s="1"/>
      <c r="X1662" s="1"/>
      <c r="Y1662" s="1"/>
      <c r="AB1662" s="1"/>
      <c r="AC1662" s="1"/>
      <c r="AD1662" s="1"/>
      <c r="AE1662" s="1"/>
      <c r="AF1662" s="1"/>
      <c r="AG1662" s="1"/>
      <c r="AH1662" s="1"/>
      <c r="AI1662" s="1"/>
      <c r="AJ1662" s="1"/>
      <c r="AK1662" s="1"/>
      <c r="AL1662" s="1"/>
      <c r="AM1662" s="1"/>
    </row>
    <row r="1663" spans="16:39" x14ac:dyDescent="0.25">
      <c r="P1663" s="49"/>
      <c r="Q1663" s="1"/>
      <c r="S1663" s="1"/>
      <c r="T1663" s="1"/>
      <c r="U1663" s="1"/>
      <c r="V1663" s="1"/>
      <c r="W1663" s="1"/>
      <c r="X1663" s="1"/>
      <c r="Y1663" s="1"/>
      <c r="AB1663" s="1"/>
      <c r="AC1663" s="1"/>
      <c r="AD1663" s="1"/>
      <c r="AE1663" s="1"/>
      <c r="AF1663" s="1"/>
      <c r="AG1663" s="1"/>
      <c r="AH1663" s="1"/>
      <c r="AI1663" s="1"/>
      <c r="AJ1663" s="1"/>
      <c r="AK1663" s="1"/>
      <c r="AL1663" s="1"/>
      <c r="AM1663" s="1"/>
    </row>
    <row r="1664" spans="16:39" x14ac:dyDescent="0.25">
      <c r="P1664" s="49"/>
      <c r="Q1664" s="1"/>
      <c r="S1664" s="1"/>
      <c r="T1664" s="1"/>
      <c r="U1664" s="1"/>
      <c r="V1664" s="1"/>
      <c r="W1664" s="1"/>
      <c r="X1664" s="1"/>
      <c r="Y1664" s="1"/>
      <c r="AB1664" s="1"/>
      <c r="AC1664" s="1"/>
      <c r="AD1664" s="1"/>
      <c r="AE1664" s="1"/>
      <c r="AF1664" s="1"/>
      <c r="AG1664" s="1"/>
      <c r="AH1664" s="1"/>
      <c r="AI1664" s="1"/>
      <c r="AJ1664" s="1"/>
      <c r="AK1664" s="1"/>
      <c r="AL1664" s="1"/>
      <c r="AM1664" s="1"/>
    </row>
    <row r="1665" spans="16:39" x14ac:dyDescent="0.25">
      <c r="P1665" s="49"/>
      <c r="Q1665" s="1"/>
      <c r="S1665" s="1"/>
      <c r="T1665" s="1"/>
      <c r="U1665" s="1"/>
      <c r="V1665" s="1"/>
      <c r="W1665" s="1"/>
      <c r="X1665" s="1"/>
      <c r="Y1665" s="1"/>
      <c r="AB1665" s="1"/>
      <c r="AC1665" s="1"/>
      <c r="AD1665" s="1"/>
      <c r="AE1665" s="1"/>
      <c r="AF1665" s="1"/>
      <c r="AG1665" s="1"/>
      <c r="AH1665" s="1"/>
      <c r="AI1665" s="1"/>
      <c r="AJ1665" s="1"/>
      <c r="AK1665" s="1"/>
      <c r="AL1665" s="1"/>
      <c r="AM1665" s="1"/>
    </row>
    <row r="1666" spans="16:39" x14ac:dyDescent="0.25">
      <c r="P1666" s="49"/>
      <c r="Q1666" s="1"/>
      <c r="S1666" s="1"/>
      <c r="T1666" s="1"/>
      <c r="U1666" s="1"/>
      <c r="V1666" s="1"/>
      <c r="W1666" s="1"/>
      <c r="X1666" s="1"/>
      <c r="Y1666" s="1"/>
      <c r="AB1666" s="1"/>
      <c r="AC1666" s="1"/>
      <c r="AD1666" s="1"/>
      <c r="AE1666" s="1"/>
      <c r="AF1666" s="1"/>
      <c r="AG1666" s="1"/>
      <c r="AH1666" s="1"/>
      <c r="AI1666" s="1"/>
      <c r="AJ1666" s="1"/>
      <c r="AK1666" s="1"/>
      <c r="AL1666" s="1"/>
      <c r="AM1666" s="1"/>
    </row>
    <row r="1667" spans="16:39" x14ac:dyDescent="0.25">
      <c r="P1667" s="49"/>
      <c r="Q1667" s="1"/>
      <c r="S1667" s="1"/>
      <c r="T1667" s="1"/>
      <c r="U1667" s="1"/>
      <c r="V1667" s="1"/>
      <c r="W1667" s="1"/>
      <c r="X1667" s="1"/>
      <c r="Y1667" s="1"/>
      <c r="AB1667" s="1"/>
      <c r="AC1667" s="1"/>
      <c r="AD1667" s="1"/>
      <c r="AE1667" s="1"/>
      <c r="AF1667" s="1"/>
      <c r="AG1667" s="1"/>
      <c r="AH1667" s="1"/>
      <c r="AI1667" s="1"/>
      <c r="AJ1667" s="1"/>
      <c r="AK1667" s="1"/>
      <c r="AL1667" s="1"/>
      <c r="AM1667" s="1"/>
    </row>
    <row r="1668" spans="16:39" x14ac:dyDescent="0.25">
      <c r="P1668" s="49"/>
      <c r="Q1668" s="1"/>
      <c r="S1668" s="1"/>
      <c r="T1668" s="1"/>
      <c r="U1668" s="1"/>
      <c r="V1668" s="1"/>
      <c r="W1668" s="1"/>
      <c r="X1668" s="1"/>
      <c r="Y1668" s="1"/>
      <c r="AB1668" s="1"/>
      <c r="AC1668" s="1"/>
      <c r="AD1668" s="1"/>
      <c r="AE1668" s="1"/>
      <c r="AF1668" s="1"/>
      <c r="AG1668" s="1"/>
      <c r="AH1668" s="1"/>
      <c r="AI1668" s="1"/>
      <c r="AJ1668" s="1"/>
      <c r="AK1668" s="1"/>
      <c r="AL1668" s="1"/>
      <c r="AM1668" s="1"/>
    </row>
    <row r="1669" spans="16:39" x14ac:dyDescent="0.25">
      <c r="P1669" s="49"/>
      <c r="Q1669" s="1"/>
      <c r="S1669" s="1"/>
      <c r="T1669" s="1"/>
      <c r="U1669" s="1"/>
      <c r="V1669" s="1"/>
      <c r="W1669" s="1"/>
      <c r="X1669" s="1"/>
      <c r="Y1669" s="1"/>
      <c r="AB1669" s="1"/>
      <c r="AC1669" s="1"/>
      <c r="AD1669" s="1"/>
      <c r="AE1669" s="1"/>
      <c r="AF1669" s="1"/>
      <c r="AG1669" s="1"/>
      <c r="AH1669" s="1"/>
      <c r="AI1669" s="1"/>
      <c r="AJ1669" s="1"/>
      <c r="AK1669" s="1"/>
      <c r="AL1669" s="1"/>
      <c r="AM1669" s="1"/>
    </row>
    <row r="1670" spans="16:39" x14ac:dyDescent="0.25">
      <c r="P1670" s="49"/>
      <c r="Q1670" s="1"/>
      <c r="S1670" s="1"/>
      <c r="T1670" s="1"/>
      <c r="U1670" s="1"/>
      <c r="V1670" s="1"/>
      <c r="W1670" s="1"/>
      <c r="X1670" s="1"/>
      <c r="Y1670" s="1"/>
      <c r="AB1670" s="1"/>
      <c r="AC1670" s="1"/>
      <c r="AD1670" s="1"/>
      <c r="AE1670" s="1"/>
      <c r="AF1670" s="1"/>
      <c r="AG1670" s="1"/>
      <c r="AH1670" s="1"/>
      <c r="AI1670" s="1"/>
      <c r="AJ1670" s="1"/>
      <c r="AK1670" s="1"/>
      <c r="AL1670" s="1"/>
      <c r="AM1670" s="1"/>
    </row>
    <row r="1671" spans="16:39" x14ac:dyDescent="0.25">
      <c r="P1671" s="49"/>
      <c r="Q1671" s="1"/>
      <c r="S1671" s="1"/>
      <c r="T1671" s="1"/>
      <c r="U1671" s="1"/>
      <c r="V1671" s="1"/>
      <c r="W1671" s="1"/>
      <c r="X1671" s="1"/>
      <c r="Y1671" s="1"/>
      <c r="AB1671" s="1"/>
      <c r="AC1671" s="1"/>
      <c r="AD1671" s="1"/>
      <c r="AE1671" s="1"/>
      <c r="AF1671" s="1"/>
      <c r="AG1671" s="1"/>
      <c r="AH1671" s="1"/>
      <c r="AI1671" s="1"/>
      <c r="AJ1671" s="1"/>
      <c r="AK1671" s="1"/>
      <c r="AL1671" s="1"/>
      <c r="AM1671" s="1"/>
    </row>
    <row r="1672" spans="16:39" x14ac:dyDescent="0.25">
      <c r="P1672" s="49"/>
      <c r="Q1672" s="1"/>
      <c r="S1672" s="1"/>
      <c r="T1672" s="1"/>
      <c r="U1672" s="1"/>
      <c r="V1672" s="1"/>
      <c r="W1672" s="1"/>
      <c r="X1672" s="1"/>
      <c r="Y1672" s="1"/>
      <c r="AB1672" s="1"/>
      <c r="AC1672" s="1"/>
      <c r="AD1672" s="1"/>
      <c r="AE1672" s="1"/>
      <c r="AF1672" s="1"/>
      <c r="AG1672" s="1"/>
      <c r="AH1672" s="1"/>
      <c r="AI1672" s="1"/>
      <c r="AJ1672" s="1"/>
      <c r="AK1672" s="1"/>
      <c r="AL1672" s="1"/>
      <c r="AM1672" s="1"/>
    </row>
    <row r="1673" spans="16:39" x14ac:dyDescent="0.25">
      <c r="P1673" s="49"/>
      <c r="Q1673" s="1"/>
      <c r="S1673" s="1"/>
      <c r="T1673" s="1"/>
      <c r="U1673" s="1"/>
      <c r="V1673" s="1"/>
      <c r="W1673" s="1"/>
      <c r="X1673" s="1"/>
      <c r="Y1673" s="1"/>
      <c r="AB1673" s="1"/>
      <c r="AC1673" s="1"/>
      <c r="AD1673" s="1"/>
      <c r="AE1673" s="1"/>
      <c r="AF1673" s="1"/>
      <c r="AG1673" s="1"/>
      <c r="AH1673" s="1"/>
      <c r="AI1673" s="1"/>
      <c r="AJ1673" s="1"/>
      <c r="AK1673" s="1"/>
      <c r="AL1673" s="1"/>
      <c r="AM1673" s="1"/>
    </row>
    <row r="1674" spans="16:39" x14ac:dyDescent="0.25">
      <c r="P1674" s="49"/>
      <c r="Q1674" s="1"/>
      <c r="S1674" s="1"/>
      <c r="T1674" s="1"/>
      <c r="U1674" s="1"/>
      <c r="V1674" s="1"/>
      <c r="W1674" s="1"/>
      <c r="X1674" s="1"/>
      <c r="Y1674" s="1"/>
      <c r="AB1674" s="1"/>
      <c r="AC1674" s="1"/>
      <c r="AD1674" s="1"/>
      <c r="AE1674" s="1"/>
      <c r="AF1674" s="1"/>
      <c r="AG1674" s="1"/>
      <c r="AH1674" s="1"/>
      <c r="AI1674" s="1"/>
      <c r="AJ1674" s="1"/>
      <c r="AK1674" s="1"/>
      <c r="AL1674" s="1"/>
      <c r="AM1674" s="1"/>
    </row>
    <row r="1675" spans="16:39" x14ac:dyDescent="0.25">
      <c r="P1675" s="49"/>
      <c r="Q1675" s="1"/>
      <c r="S1675" s="1"/>
      <c r="T1675" s="1"/>
      <c r="U1675" s="1"/>
      <c r="V1675" s="1"/>
      <c r="W1675" s="1"/>
      <c r="X1675" s="1"/>
      <c r="Y1675" s="1"/>
      <c r="AB1675" s="1"/>
      <c r="AC1675" s="1"/>
      <c r="AD1675" s="1"/>
      <c r="AE1675" s="1"/>
      <c r="AF1675" s="1"/>
      <c r="AG1675" s="1"/>
      <c r="AH1675" s="1"/>
      <c r="AI1675" s="1"/>
      <c r="AJ1675" s="1"/>
      <c r="AK1675" s="1"/>
      <c r="AL1675" s="1"/>
      <c r="AM1675" s="1"/>
    </row>
    <row r="1676" spans="16:39" x14ac:dyDescent="0.25">
      <c r="P1676" s="49"/>
      <c r="Q1676" s="1"/>
      <c r="S1676" s="1"/>
      <c r="T1676" s="1"/>
      <c r="U1676" s="1"/>
      <c r="V1676" s="1"/>
      <c r="W1676" s="1"/>
      <c r="X1676" s="1"/>
      <c r="Y1676" s="1"/>
      <c r="AB1676" s="1"/>
      <c r="AC1676" s="1"/>
      <c r="AD1676" s="1"/>
      <c r="AE1676" s="1"/>
      <c r="AF1676" s="1"/>
      <c r="AG1676" s="1"/>
      <c r="AH1676" s="1"/>
      <c r="AI1676" s="1"/>
      <c r="AJ1676" s="1"/>
      <c r="AK1676" s="1"/>
      <c r="AL1676" s="1"/>
      <c r="AM1676" s="1"/>
    </row>
    <row r="1677" spans="16:39" x14ac:dyDescent="0.25">
      <c r="P1677" s="49"/>
      <c r="Q1677" s="1"/>
      <c r="S1677" s="1"/>
      <c r="T1677" s="1"/>
      <c r="U1677" s="1"/>
      <c r="V1677" s="1"/>
      <c r="W1677" s="1"/>
      <c r="X1677" s="1"/>
      <c r="Y1677" s="1"/>
      <c r="AB1677" s="1"/>
      <c r="AC1677" s="1"/>
      <c r="AD1677" s="1"/>
      <c r="AE1677" s="1"/>
      <c r="AF1677" s="1"/>
      <c r="AG1677" s="1"/>
      <c r="AH1677" s="1"/>
      <c r="AI1677" s="1"/>
      <c r="AJ1677" s="1"/>
      <c r="AK1677" s="1"/>
      <c r="AL1677" s="1"/>
      <c r="AM1677" s="1"/>
    </row>
    <row r="1678" spans="16:39" x14ac:dyDescent="0.25">
      <c r="P1678" s="49"/>
      <c r="Q1678" s="1"/>
      <c r="S1678" s="1"/>
      <c r="T1678" s="1"/>
      <c r="U1678" s="1"/>
      <c r="V1678" s="1"/>
      <c r="W1678" s="1"/>
      <c r="X1678" s="1"/>
      <c r="Y1678" s="1"/>
      <c r="AB1678" s="1"/>
      <c r="AC1678" s="1"/>
      <c r="AD1678" s="1"/>
      <c r="AE1678" s="1"/>
      <c r="AF1678" s="1"/>
      <c r="AG1678" s="1"/>
      <c r="AH1678" s="1"/>
      <c r="AI1678" s="1"/>
      <c r="AJ1678" s="1"/>
      <c r="AK1678" s="1"/>
      <c r="AL1678" s="1"/>
      <c r="AM1678" s="1"/>
    </row>
    <row r="1679" spans="16:39" x14ac:dyDescent="0.25">
      <c r="P1679" s="49"/>
      <c r="Q1679" s="1"/>
      <c r="S1679" s="1"/>
      <c r="T1679" s="1"/>
      <c r="U1679" s="1"/>
      <c r="V1679" s="1"/>
      <c r="W1679" s="1"/>
      <c r="X1679" s="1"/>
      <c r="Y1679" s="1"/>
      <c r="AB1679" s="1"/>
      <c r="AC1679" s="1"/>
      <c r="AD1679" s="1"/>
      <c r="AE1679" s="1"/>
      <c r="AF1679" s="1"/>
      <c r="AG1679" s="1"/>
      <c r="AH1679" s="1"/>
      <c r="AI1679" s="1"/>
      <c r="AJ1679" s="1"/>
      <c r="AK1679" s="1"/>
      <c r="AL1679" s="1"/>
      <c r="AM1679" s="1"/>
    </row>
    <row r="1680" spans="16:39" x14ac:dyDescent="0.25">
      <c r="P1680" s="49"/>
      <c r="Q1680" s="1"/>
      <c r="S1680" s="1"/>
      <c r="T1680" s="1"/>
      <c r="U1680" s="1"/>
      <c r="V1680" s="1"/>
      <c r="W1680" s="1"/>
      <c r="X1680" s="1"/>
      <c r="Y1680" s="1"/>
      <c r="AB1680" s="1"/>
      <c r="AC1680" s="1"/>
      <c r="AD1680" s="1"/>
      <c r="AE1680" s="1"/>
      <c r="AF1680" s="1"/>
      <c r="AG1680" s="1"/>
      <c r="AH1680" s="1"/>
      <c r="AI1680" s="1"/>
      <c r="AJ1680" s="1"/>
      <c r="AK1680" s="1"/>
      <c r="AL1680" s="1"/>
      <c r="AM1680" s="1"/>
    </row>
    <row r="1681" spans="16:39" x14ac:dyDescent="0.25">
      <c r="P1681" s="49"/>
      <c r="Q1681" s="1"/>
      <c r="S1681" s="1"/>
      <c r="T1681" s="1"/>
      <c r="U1681" s="1"/>
      <c r="V1681" s="1"/>
      <c r="W1681" s="1"/>
      <c r="X1681" s="1"/>
      <c r="Y1681" s="1"/>
      <c r="AB1681" s="1"/>
      <c r="AC1681" s="1"/>
      <c r="AD1681" s="1"/>
      <c r="AE1681" s="1"/>
      <c r="AF1681" s="1"/>
      <c r="AG1681" s="1"/>
      <c r="AH1681" s="1"/>
      <c r="AI1681" s="1"/>
      <c r="AJ1681" s="1"/>
      <c r="AK1681" s="1"/>
      <c r="AL1681" s="1"/>
      <c r="AM1681" s="1"/>
    </row>
    <row r="1682" spans="16:39" x14ac:dyDescent="0.25">
      <c r="P1682" s="49"/>
      <c r="Q1682" s="1"/>
      <c r="S1682" s="1"/>
      <c r="T1682" s="1"/>
      <c r="U1682" s="1"/>
      <c r="V1682" s="1"/>
      <c r="W1682" s="1"/>
      <c r="X1682" s="1"/>
      <c r="Y1682" s="1"/>
      <c r="AB1682" s="1"/>
      <c r="AC1682" s="1"/>
      <c r="AD1682" s="1"/>
      <c r="AE1682" s="1"/>
      <c r="AF1682" s="1"/>
      <c r="AG1682" s="1"/>
      <c r="AH1682" s="1"/>
      <c r="AI1682" s="1"/>
      <c r="AJ1682" s="1"/>
      <c r="AK1682" s="1"/>
      <c r="AL1682" s="1"/>
      <c r="AM1682" s="1"/>
    </row>
    <row r="1683" spans="16:39" x14ac:dyDescent="0.25">
      <c r="P1683" s="49"/>
      <c r="Q1683" s="1"/>
      <c r="S1683" s="1"/>
      <c r="T1683" s="1"/>
      <c r="U1683" s="1"/>
      <c r="V1683" s="1"/>
      <c r="W1683" s="1"/>
      <c r="X1683" s="1"/>
      <c r="Y1683" s="1"/>
      <c r="AB1683" s="1"/>
      <c r="AC1683" s="1"/>
      <c r="AD1683" s="1"/>
      <c r="AE1683" s="1"/>
      <c r="AF1683" s="1"/>
      <c r="AG1683" s="1"/>
      <c r="AH1683" s="1"/>
      <c r="AI1683" s="1"/>
      <c r="AJ1683" s="1"/>
      <c r="AK1683" s="1"/>
      <c r="AL1683" s="1"/>
      <c r="AM1683" s="1"/>
    </row>
    <row r="1684" spans="16:39" x14ac:dyDescent="0.25">
      <c r="P1684" s="49"/>
      <c r="Q1684" s="1"/>
      <c r="S1684" s="1"/>
      <c r="T1684" s="1"/>
      <c r="U1684" s="1"/>
      <c r="V1684" s="1"/>
      <c r="W1684" s="1"/>
      <c r="X1684" s="1"/>
      <c r="Y1684" s="1"/>
      <c r="AB1684" s="1"/>
      <c r="AC1684" s="1"/>
      <c r="AD1684" s="1"/>
      <c r="AE1684" s="1"/>
      <c r="AF1684" s="1"/>
      <c r="AG1684" s="1"/>
      <c r="AH1684" s="1"/>
      <c r="AI1684" s="1"/>
      <c r="AJ1684" s="1"/>
      <c r="AK1684" s="1"/>
      <c r="AL1684" s="1"/>
      <c r="AM1684" s="1"/>
    </row>
    <row r="1685" spans="16:39" x14ac:dyDescent="0.25">
      <c r="P1685" s="49"/>
      <c r="Q1685" s="1"/>
      <c r="S1685" s="1"/>
      <c r="T1685" s="1"/>
      <c r="U1685" s="1"/>
      <c r="V1685" s="1"/>
      <c r="W1685" s="1"/>
      <c r="X1685" s="1"/>
      <c r="Y1685" s="1"/>
      <c r="AB1685" s="1"/>
      <c r="AC1685" s="1"/>
      <c r="AD1685" s="1"/>
      <c r="AE1685" s="1"/>
      <c r="AF1685" s="1"/>
      <c r="AG1685" s="1"/>
      <c r="AH1685" s="1"/>
      <c r="AI1685" s="1"/>
      <c r="AJ1685" s="1"/>
      <c r="AK1685" s="1"/>
      <c r="AL1685" s="1"/>
      <c r="AM1685" s="1"/>
    </row>
    <row r="1686" spans="16:39" x14ac:dyDescent="0.25">
      <c r="P1686" s="49"/>
      <c r="Q1686" s="1"/>
      <c r="S1686" s="1"/>
      <c r="T1686" s="1"/>
      <c r="U1686" s="1"/>
      <c r="V1686" s="1"/>
      <c r="W1686" s="1"/>
      <c r="X1686" s="1"/>
      <c r="Y1686" s="1"/>
      <c r="AB1686" s="1"/>
      <c r="AC1686" s="1"/>
      <c r="AD1686" s="1"/>
      <c r="AE1686" s="1"/>
      <c r="AF1686" s="1"/>
      <c r="AG1686" s="1"/>
      <c r="AH1686" s="1"/>
      <c r="AI1686" s="1"/>
      <c r="AJ1686" s="1"/>
      <c r="AK1686" s="1"/>
      <c r="AL1686" s="1"/>
      <c r="AM1686" s="1"/>
    </row>
    <row r="1687" spans="16:39" x14ac:dyDescent="0.25">
      <c r="P1687" s="49"/>
      <c r="Q1687" s="1"/>
      <c r="S1687" s="1"/>
      <c r="T1687" s="1"/>
      <c r="U1687" s="1"/>
      <c r="V1687" s="1"/>
      <c r="W1687" s="1"/>
      <c r="X1687" s="1"/>
      <c r="Y1687" s="1"/>
      <c r="AB1687" s="1"/>
      <c r="AC1687" s="1"/>
      <c r="AD1687" s="1"/>
      <c r="AE1687" s="1"/>
      <c r="AF1687" s="1"/>
      <c r="AG1687" s="1"/>
      <c r="AH1687" s="1"/>
      <c r="AI1687" s="1"/>
      <c r="AJ1687" s="1"/>
      <c r="AK1687" s="1"/>
      <c r="AL1687" s="1"/>
      <c r="AM1687" s="1"/>
    </row>
    <row r="1688" spans="16:39" x14ac:dyDescent="0.25">
      <c r="P1688" s="49"/>
      <c r="Q1688" s="1"/>
      <c r="S1688" s="1"/>
      <c r="T1688" s="1"/>
      <c r="U1688" s="1"/>
      <c r="V1688" s="1"/>
      <c r="W1688" s="1"/>
      <c r="X1688" s="1"/>
      <c r="Y1688" s="1"/>
      <c r="AB1688" s="1"/>
      <c r="AC1688" s="1"/>
      <c r="AD1688" s="1"/>
      <c r="AE1688" s="1"/>
      <c r="AF1688" s="1"/>
      <c r="AG1688" s="1"/>
      <c r="AH1688" s="1"/>
      <c r="AI1688" s="1"/>
      <c r="AJ1688" s="1"/>
      <c r="AK1688" s="1"/>
      <c r="AL1688" s="1"/>
      <c r="AM1688" s="1"/>
    </row>
    <row r="1689" spans="16:39" x14ac:dyDescent="0.25">
      <c r="P1689" s="49"/>
      <c r="Q1689" s="1"/>
      <c r="S1689" s="1"/>
      <c r="T1689" s="1"/>
      <c r="U1689" s="1"/>
      <c r="V1689" s="1"/>
      <c r="W1689" s="1"/>
      <c r="X1689" s="1"/>
      <c r="Y1689" s="1"/>
      <c r="AB1689" s="1"/>
      <c r="AC1689" s="1"/>
      <c r="AD1689" s="1"/>
      <c r="AE1689" s="1"/>
      <c r="AF1689" s="1"/>
      <c r="AG1689" s="1"/>
      <c r="AH1689" s="1"/>
      <c r="AI1689" s="1"/>
      <c r="AJ1689" s="1"/>
      <c r="AK1689" s="1"/>
      <c r="AL1689" s="1"/>
      <c r="AM1689" s="1"/>
    </row>
    <row r="1690" spans="16:39" x14ac:dyDescent="0.25">
      <c r="P1690" s="49"/>
      <c r="Q1690" s="1"/>
      <c r="S1690" s="1"/>
      <c r="T1690" s="1"/>
      <c r="U1690" s="1"/>
      <c r="V1690" s="1"/>
      <c r="W1690" s="1"/>
      <c r="X1690" s="1"/>
      <c r="Y1690" s="1"/>
      <c r="AB1690" s="1"/>
      <c r="AC1690" s="1"/>
      <c r="AD1690" s="1"/>
      <c r="AE1690" s="1"/>
      <c r="AF1690" s="1"/>
      <c r="AG1690" s="1"/>
      <c r="AH1690" s="1"/>
      <c r="AI1690" s="1"/>
      <c r="AJ1690" s="1"/>
      <c r="AK1690" s="1"/>
      <c r="AL1690" s="1"/>
      <c r="AM1690" s="1"/>
    </row>
    <row r="1691" spans="16:39" x14ac:dyDescent="0.25">
      <c r="P1691" s="49"/>
      <c r="Q1691" s="1"/>
      <c r="S1691" s="1"/>
      <c r="T1691" s="1"/>
      <c r="U1691" s="1"/>
      <c r="V1691" s="1"/>
      <c r="W1691" s="1"/>
      <c r="X1691" s="1"/>
      <c r="Y1691" s="1"/>
      <c r="AB1691" s="1"/>
      <c r="AC1691" s="1"/>
      <c r="AD1691" s="1"/>
      <c r="AE1691" s="1"/>
      <c r="AF1691" s="1"/>
      <c r="AG1691" s="1"/>
      <c r="AH1691" s="1"/>
      <c r="AI1691" s="1"/>
      <c r="AJ1691" s="1"/>
      <c r="AK1691" s="1"/>
      <c r="AL1691" s="1"/>
      <c r="AM1691" s="1"/>
    </row>
    <row r="1692" spans="16:39" x14ac:dyDescent="0.25">
      <c r="P1692" s="49"/>
      <c r="Q1692" s="1"/>
      <c r="S1692" s="1"/>
      <c r="T1692" s="1"/>
      <c r="U1692" s="1"/>
      <c r="V1692" s="1"/>
      <c r="W1692" s="1"/>
      <c r="X1692" s="1"/>
      <c r="Y1692" s="1"/>
      <c r="AB1692" s="1"/>
      <c r="AC1692" s="1"/>
      <c r="AD1692" s="1"/>
      <c r="AE1692" s="1"/>
      <c r="AF1692" s="1"/>
      <c r="AG1692" s="1"/>
      <c r="AH1692" s="1"/>
      <c r="AI1692" s="1"/>
      <c r="AJ1692" s="1"/>
      <c r="AK1692" s="1"/>
      <c r="AL1692" s="1"/>
      <c r="AM1692" s="1"/>
    </row>
    <row r="1693" spans="16:39" x14ac:dyDescent="0.25">
      <c r="P1693" s="49"/>
      <c r="Q1693" s="1"/>
      <c r="S1693" s="1"/>
      <c r="T1693" s="1"/>
      <c r="U1693" s="1"/>
      <c r="V1693" s="1"/>
      <c r="W1693" s="1"/>
      <c r="X1693" s="1"/>
      <c r="Y1693" s="1"/>
      <c r="AB1693" s="1"/>
      <c r="AC1693" s="1"/>
      <c r="AD1693" s="1"/>
      <c r="AE1693" s="1"/>
      <c r="AF1693" s="1"/>
      <c r="AG1693" s="1"/>
      <c r="AH1693" s="1"/>
      <c r="AI1693" s="1"/>
      <c r="AJ1693" s="1"/>
      <c r="AK1693" s="1"/>
      <c r="AL1693" s="1"/>
      <c r="AM1693" s="1"/>
    </row>
    <row r="1694" spans="16:39" x14ac:dyDescent="0.25">
      <c r="P1694" s="49"/>
      <c r="Q1694" s="1"/>
      <c r="S1694" s="1"/>
      <c r="T1694" s="1"/>
      <c r="U1694" s="1"/>
      <c r="V1694" s="1"/>
      <c r="W1694" s="1"/>
      <c r="X1694" s="1"/>
      <c r="Y1694" s="1"/>
      <c r="AB1694" s="1"/>
      <c r="AC1694" s="1"/>
      <c r="AD1694" s="1"/>
      <c r="AE1694" s="1"/>
      <c r="AF1694" s="1"/>
      <c r="AG1694" s="1"/>
      <c r="AH1694" s="1"/>
      <c r="AI1694" s="1"/>
      <c r="AJ1694" s="1"/>
      <c r="AK1694" s="1"/>
      <c r="AL1694" s="1"/>
      <c r="AM1694" s="1"/>
    </row>
    <row r="1695" spans="16:39" x14ac:dyDescent="0.25">
      <c r="P1695" s="49"/>
      <c r="Q1695" s="1"/>
      <c r="S1695" s="1"/>
      <c r="T1695" s="1"/>
      <c r="U1695" s="1"/>
      <c r="V1695" s="1"/>
      <c r="W1695" s="1"/>
      <c r="X1695" s="1"/>
      <c r="Y1695" s="1"/>
      <c r="AB1695" s="1"/>
      <c r="AC1695" s="1"/>
      <c r="AD1695" s="1"/>
      <c r="AE1695" s="1"/>
      <c r="AF1695" s="1"/>
      <c r="AG1695" s="1"/>
      <c r="AH1695" s="1"/>
      <c r="AI1695" s="1"/>
      <c r="AJ1695" s="1"/>
      <c r="AK1695" s="1"/>
      <c r="AL1695" s="1"/>
      <c r="AM1695" s="1"/>
    </row>
    <row r="1696" spans="16:39" x14ac:dyDescent="0.25">
      <c r="P1696" s="49"/>
      <c r="Q1696" s="1"/>
      <c r="S1696" s="1"/>
      <c r="T1696" s="1"/>
      <c r="U1696" s="1"/>
      <c r="V1696" s="1"/>
      <c r="W1696" s="1"/>
      <c r="X1696" s="1"/>
      <c r="Y1696" s="1"/>
      <c r="AB1696" s="1"/>
      <c r="AC1696" s="1"/>
      <c r="AD1696" s="1"/>
      <c r="AE1696" s="1"/>
      <c r="AF1696" s="1"/>
      <c r="AG1696" s="1"/>
      <c r="AH1696" s="1"/>
      <c r="AI1696" s="1"/>
      <c r="AJ1696" s="1"/>
      <c r="AK1696" s="1"/>
      <c r="AL1696" s="1"/>
      <c r="AM1696" s="1"/>
    </row>
    <row r="1697" spans="16:39" x14ac:dyDescent="0.25">
      <c r="P1697" s="49"/>
      <c r="Q1697" s="1"/>
      <c r="S1697" s="1"/>
      <c r="T1697" s="1"/>
      <c r="U1697" s="1"/>
      <c r="V1697" s="1"/>
      <c r="W1697" s="1"/>
      <c r="X1697" s="1"/>
      <c r="Y1697" s="1"/>
      <c r="AB1697" s="1"/>
      <c r="AC1697" s="1"/>
      <c r="AD1697" s="1"/>
      <c r="AE1697" s="1"/>
      <c r="AF1697" s="1"/>
      <c r="AG1697" s="1"/>
      <c r="AH1697" s="1"/>
      <c r="AI1697" s="1"/>
      <c r="AJ1697" s="1"/>
      <c r="AK1697" s="1"/>
      <c r="AL1697" s="1"/>
      <c r="AM1697" s="1"/>
    </row>
    <row r="1698" spans="16:39" x14ac:dyDescent="0.25">
      <c r="P1698" s="49"/>
      <c r="Q1698" s="1"/>
      <c r="S1698" s="1"/>
      <c r="T1698" s="1"/>
      <c r="U1698" s="1"/>
      <c r="V1698" s="1"/>
      <c r="W1698" s="1"/>
      <c r="X1698" s="1"/>
      <c r="Y1698" s="1"/>
      <c r="AB1698" s="1"/>
      <c r="AC1698" s="1"/>
      <c r="AD1698" s="1"/>
      <c r="AE1698" s="1"/>
      <c r="AF1698" s="1"/>
      <c r="AG1698" s="1"/>
      <c r="AH1698" s="1"/>
      <c r="AI1698" s="1"/>
      <c r="AJ1698" s="1"/>
      <c r="AK1698" s="1"/>
      <c r="AL1698" s="1"/>
      <c r="AM1698" s="1"/>
    </row>
    <row r="1699" spans="16:39" x14ac:dyDescent="0.25">
      <c r="P1699" s="49"/>
      <c r="Q1699" s="1"/>
      <c r="S1699" s="1"/>
      <c r="T1699" s="1"/>
      <c r="U1699" s="1"/>
      <c r="V1699" s="1"/>
      <c r="W1699" s="1"/>
      <c r="X1699" s="1"/>
      <c r="Y1699" s="1"/>
      <c r="AB1699" s="1"/>
      <c r="AC1699" s="1"/>
      <c r="AD1699" s="1"/>
      <c r="AE1699" s="1"/>
      <c r="AF1699" s="1"/>
      <c r="AG1699" s="1"/>
      <c r="AH1699" s="1"/>
      <c r="AI1699" s="1"/>
      <c r="AJ1699" s="1"/>
      <c r="AK1699" s="1"/>
      <c r="AL1699" s="1"/>
      <c r="AM1699" s="1"/>
    </row>
    <row r="1700" spans="16:39" x14ac:dyDescent="0.25">
      <c r="P1700" s="49"/>
      <c r="Q1700" s="1"/>
      <c r="S1700" s="1"/>
      <c r="T1700" s="1"/>
      <c r="U1700" s="1"/>
      <c r="V1700" s="1"/>
      <c r="W1700" s="1"/>
      <c r="X1700" s="1"/>
      <c r="Y1700" s="1"/>
      <c r="AB1700" s="1"/>
      <c r="AC1700" s="1"/>
      <c r="AD1700" s="1"/>
      <c r="AE1700" s="1"/>
      <c r="AF1700" s="1"/>
      <c r="AG1700" s="1"/>
      <c r="AH1700" s="1"/>
      <c r="AI1700" s="1"/>
      <c r="AJ1700" s="1"/>
      <c r="AK1700" s="1"/>
      <c r="AL1700" s="1"/>
      <c r="AM1700" s="1"/>
    </row>
    <row r="1701" spans="16:39" x14ac:dyDescent="0.25">
      <c r="P1701" s="49"/>
      <c r="Q1701" s="1"/>
      <c r="S1701" s="1"/>
      <c r="T1701" s="1"/>
      <c r="U1701" s="1"/>
      <c r="V1701" s="1"/>
      <c r="W1701" s="1"/>
      <c r="X1701" s="1"/>
      <c r="Y1701" s="1"/>
      <c r="AB1701" s="1"/>
      <c r="AC1701" s="1"/>
      <c r="AD1701" s="1"/>
      <c r="AE1701" s="1"/>
      <c r="AF1701" s="1"/>
      <c r="AG1701" s="1"/>
      <c r="AH1701" s="1"/>
      <c r="AI1701" s="1"/>
      <c r="AJ1701" s="1"/>
      <c r="AK1701" s="1"/>
      <c r="AL1701" s="1"/>
      <c r="AM1701" s="1"/>
    </row>
    <row r="1702" spans="16:39" x14ac:dyDescent="0.25">
      <c r="P1702" s="49"/>
      <c r="Q1702" s="1"/>
      <c r="S1702" s="1"/>
      <c r="T1702" s="1"/>
      <c r="U1702" s="1"/>
      <c r="V1702" s="1"/>
      <c r="W1702" s="1"/>
      <c r="X1702" s="1"/>
      <c r="Y1702" s="1"/>
      <c r="AB1702" s="1"/>
      <c r="AC1702" s="1"/>
      <c r="AD1702" s="1"/>
      <c r="AE1702" s="1"/>
      <c r="AF1702" s="1"/>
      <c r="AG1702" s="1"/>
      <c r="AH1702" s="1"/>
      <c r="AI1702" s="1"/>
      <c r="AJ1702" s="1"/>
      <c r="AK1702" s="1"/>
      <c r="AL1702" s="1"/>
      <c r="AM1702" s="1"/>
    </row>
    <row r="1703" spans="16:39" x14ac:dyDescent="0.25">
      <c r="P1703" s="49"/>
      <c r="Q1703" s="1"/>
      <c r="S1703" s="1"/>
      <c r="T1703" s="1"/>
      <c r="U1703" s="1"/>
      <c r="V1703" s="1"/>
      <c r="W1703" s="1"/>
      <c r="X1703" s="1"/>
      <c r="Y1703" s="1"/>
      <c r="AB1703" s="1"/>
      <c r="AC1703" s="1"/>
      <c r="AD1703" s="1"/>
      <c r="AE1703" s="1"/>
      <c r="AF1703" s="1"/>
      <c r="AG1703" s="1"/>
      <c r="AH1703" s="1"/>
      <c r="AI1703" s="1"/>
      <c r="AJ1703" s="1"/>
      <c r="AK1703" s="1"/>
      <c r="AL1703" s="1"/>
      <c r="AM1703" s="1"/>
    </row>
    <row r="1704" spans="16:39" x14ac:dyDescent="0.25">
      <c r="P1704" s="49"/>
      <c r="Q1704" s="1"/>
      <c r="S1704" s="1"/>
      <c r="T1704" s="1"/>
      <c r="U1704" s="1"/>
      <c r="V1704" s="1"/>
      <c r="W1704" s="1"/>
      <c r="X1704" s="1"/>
      <c r="Y1704" s="1"/>
      <c r="AB1704" s="1"/>
      <c r="AC1704" s="1"/>
      <c r="AD1704" s="1"/>
      <c r="AE1704" s="1"/>
      <c r="AF1704" s="1"/>
      <c r="AG1704" s="1"/>
      <c r="AH1704" s="1"/>
      <c r="AI1704" s="1"/>
      <c r="AJ1704" s="1"/>
      <c r="AK1704" s="1"/>
      <c r="AL1704" s="1"/>
      <c r="AM1704" s="1"/>
    </row>
    <row r="1705" spans="16:39" x14ac:dyDescent="0.25">
      <c r="P1705" s="49"/>
      <c r="Q1705" s="1"/>
      <c r="S1705" s="1"/>
      <c r="T1705" s="1"/>
      <c r="U1705" s="1"/>
      <c r="V1705" s="1"/>
      <c r="W1705" s="1"/>
      <c r="X1705" s="1"/>
      <c r="Y1705" s="1"/>
      <c r="AB1705" s="1"/>
      <c r="AC1705" s="1"/>
      <c r="AD1705" s="1"/>
      <c r="AE1705" s="1"/>
      <c r="AF1705" s="1"/>
      <c r="AG1705" s="1"/>
      <c r="AH1705" s="1"/>
      <c r="AI1705" s="1"/>
      <c r="AJ1705" s="1"/>
      <c r="AK1705" s="1"/>
      <c r="AL1705" s="1"/>
      <c r="AM1705" s="1"/>
    </row>
    <row r="1706" spans="16:39" x14ac:dyDescent="0.25">
      <c r="P1706" s="49"/>
      <c r="Q1706" s="1"/>
      <c r="S1706" s="1"/>
      <c r="T1706" s="1"/>
      <c r="U1706" s="1"/>
      <c r="V1706" s="1"/>
      <c r="W1706" s="1"/>
      <c r="X1706" s="1"/>
      <c r="Y1706" s="1"/>
      <c r="AB1706" s="1"/>
      <c r="AC1706" s="1"/>
      <c r="AD1706" s="1"/>
      <c r="AE1706" s="1"/>
      <c r="AF1706" s="1"/>
      <c r="AG1706" s="1"/>
      <c r="AH1706" s="1"/>
      <c r="AI1706" s="1"/>
      <c r="AJ1706" s="1"/>
      <c r="AK1706" s="1"/>
      <c r="AL1706" s="1"/>
      <c r="AM1706" s="1"/>
    </row>
    <row r="1707" spans="16:39" x14ac:dyDescent="0.25">
      <c r="P1707" s="49"/>
      <c r="Q1707" s="1"/>
      <c r="S1707" s="1"/>
      <c r="T1707" s="1"/>
      <c r="U1707" s="1"/>
      <c r="V1707" s="1"/>
      <c r="W1707" s="1"/>
      <c r="X1707" s="1"/>
      <c r="Y1707" s="1"/>
      <c r="AB1707" s="1"/>
      <c r="AC1707" s="1"/>
      <c r="AD1707" s="1"/>
      <c r="AE1707" s="1"/>
      <c r="AF1707" s="1"/>
      <c r="AG1707" s="1"/>
      <c r="AH1707" s="1"/>
      <c r="AI1707" s="1"/>
      <c r="AJ1707" s="1"/>
      <c r="AK1707" s="1"/>
      <c r="AL1707" s="1"/>
      <c r="AM1707" s="1"/>
    </row>
    <row r="1708" spans="16:39" x14ac:dyDescent="0.25">
      <c r="P1708" s="49"/>
      <c r="Q1708" s="1"/>
      <c r="S1708" s="1"/>
      <c r="T1708" s="1"/>
      <c r="U1708" s="1"/>
      <c r="V1708" s="1"/>
      <c r="W1708" s="1"/>
      <c r="X1708" s="1"/>
      <c r="Y1708" s="1"/>
      <c r="AB1708" s="1"/>
      <c r="AC1708" s="1"/>
      <c r="AD1708" s="1"/>
      <c r="AE1708" s="1"/>
      <c r="AF1708" s="1"/>
      <c r="AG1708" s="1"/>
      <c r="AH1708" s="1"/>
      <c r="AI1708" s="1"/>
      <c r="AJ1708" s="1"/>
      <c r="AK1708" s="1"/>
      <c r="AL1708" s="1"/>
      <c r="AM1708" s="1"/>
    </row>
    <row r="1709" spans="16:39" x14ac:dyDescent="0.25">
      <c r="P1709" s="49"/>
      <c r="Q1709" s="1"/>
      <c r="S1709" s="1"/>
      <c r="T1709" s="1"/>
      <c r="U1709" s="1"/>
      <c r="V1709" s="1"/>
      <c r="W1709" s="1"/>
      <c r="X1709" s="1"/>
      <c r="Y1709" s="1"/>
      <c r="AB1709" s="1"/>
      <c r="AC1709" s="1"/>
      <c r="AD1709" s="1"/>
      <c r="AE1709" s="1"/>
      <c r="AF1709" s="1"/>
      <c r="AG1709" s="1"/>
      <c r="AH1709" s="1"/>
      <c r="AI1709" s="1"/>
      <c r="AJ1709" s="1"/>
      <c r="AK1709" s="1"/>
      <c r="AL1709" s="1"/>
      <c r="AM1709" s="1"/>
    </row>
    <row r="1710" spans="16:39" x14ac:dyDescent="0.25">
      <c r="P1710" s="49"/>
      <c r="Q1710" s="1"/>
      <c r="S1710" s="1"/>
      <c r="T1710" s="1"/>
      <c r="U1710" s="1"/>
      <c r="V1710" s="1"/>
      <c r="W1710" s="1"/>
      <c r="X1710" s="1"/>
      <c r="Y1710" s="1"/>
      <c r="AB1710" s="1"/>
      <c r="AC1710" s="1"/>
      <c r="AD1710" s="1"/>
      <c r="AE1710" s="1"/>
      <c r="AF1710" s="1"/>
      <c r="AG1710" s="1"/>
      <c r="AH1710" s="1"/>
      <c r="AI1710" s="1"/>
      <c r="AJ1710" s="1"/>
      <c r="AK1710" s="1"/>
      <c r="AL1710" s="1"/>
      <c r="AM1710" s="1"/>
    </row>
    <row r="1711" spans="16:39" x14ac:dyDescent="0.25">
      <c r="P1711" s="49"/>
      <c r="Q1711" s="1"/>
      <c r="S1711" s="1"/>
      <c r="T1711" s="1"/>
      <c r="U1711" s="1"/>
      <c r="V1711" s="1"/>
      <c r="W1711" s="1"/>
      <c r="X1711" s="1"/>
      <c r="Y1711" s="1"/>
      <c r="AB1711" s="1"/>
      <c r="AC1711" s="1"/>
      <c r="AD1711" s="1"/>
      <c r="AE1711" s="1"/>
      <c r="AF1711" s="1"/>
      <c r="AG1711" s="1"/>
      <c r="AH1711" s="1"/>
      <c r="AI1711" s="1"/>
      <c r="AJ1711" s="1"/>
      <c r="AK1711" s="1"/>
      <c r="AL1711" s="1"/>
      <c r="AM1711" s="1"/>
    </row>
    <row r="1712" spans="16:39" x14ac:dyDescent="0.25">
      <c r="P1712" s="49"/>
      <c r="Q1712" s="1"/>
      <c r="S1712" s="1"/>
      <c r="T1712" s="1"/>
      <c r="U1712" s="1"/>
      <c r="V1712" s="1"/>
      <c r="W1712" s="1"/>
      <c r="X1712" s="1"/>
      <c r="Y1712" s="1"/>
      <c r="AB1712" s="1"/>
      <c r="AC1712" s="1"/>
      <c r="AD1712" s="1"/>
      <c r="AE1712" s="1"/>
      <c r="AF1712" s="1"/>
      <c r="AG1712" s="1"/>
      <c r="AH1712" s="1"/>
      <c r="AI1712" s="1"/>
      <c r="AJ1712" s="1"/>
      <c r="AK1712" s="1"/>
      <c r="AL1712" s="1"/>
      <c r="AM1712" s="1"/>
    </row>
    <row r="1713" spans="16:39" x14ac:dyDescent="0.25">
      <c r="P1713" s="49"/>
      <c r="Q1713" s="1"/>
      <c r="S1713" s="1"/>
      <c r="T1713" s="1"/>
      <c r="U1713" s="1"/>
      <c r="V1713" s="1"/>
      <c r="W1713" s="1"/>
      <c r="X1713" s="1"/>
      <c r="Y1713" s="1"/>
      <c r="AB1713" s="1"/>
      <c r="AC1713" s="1"/>
      <c r="AD1713" s="1"/>
      <c r="AE1713" s="1"/>
      <c r="AF1713" s="1"/>
      <c r="AG1713" s="1"/>
      <c r="AH1713" s="1"/>
      <c r="AI1713" s="1"/>
      <c r="AJ1713" s="1"/>
      <c r="AK1713" s="1"/>
      <c r="AL1713" s="1"/>
      <c r="AM1713" s="1"/>
    </row>
    <row r="1714" spans="16:39" x14ac:dyDescent="0.25">
      <c r="P1714" s="49"/>
      <c r="Q1714" s="1"/>
      <c r="S1714" s="1"/>
      <c r="T1714" s="1"/>
      <c r="U1714" s="1"/>
      <c r="V1714" s="1"/>
      <c r="W1714" s="1"/>
      <c r="X1714" s="1"/>
      <c r="Y1714" s="1"/>
      <c r="AB1714" s="1"/>
      <c r="AC1714" s="1"/>
      <c r="AD1714" s="1"/>
      <c r="AE1714" s="1"/>
      <c r="AF1714" s="1"/>
      <c r="AG1714" s="1"/>
      <c r="AH1714" s="1"/>
      <c r="AI1714" s="1"/>
      <c r="AJ1714" s="1"/>
      <c r="AK1714" s="1"/>
      <c r="AL1714" s="1"/>
      <c r="AM1714" s="1"/>
    </row>
    <row r="1715" spans="16:39" x14ac:dyDescent="0.25">
      <c r="P1715" s="49"/>
      <c r="Q1715" s="1"/>
      <c r="S1715" s="1"/>
      <c r="T1715" s="1"/>
      <c r="U1715" s="1"/>
      <c r="V1715" s="1"/>
      <c r="W1715" s="1"/>
      <c r="X1715" s="1"/>
      <c r="Y1715" s="1"/>
      <c r="AB1715" s="1"/>
      <c r="AC1715" s="1"/>
      <c r="AD1715" s="1"/>
      <c r="AE1715" s="1"/>
      <c r="AF1715" s="1"/>
      <c r="AG1715" s="1"/>
      <c r="AH1715" s="1"/>
      <c r="AI1715" s="1"/>
      <c r="AJ1715" s="1"/>
      <c r="AK1715" s="1"/>
      <c r="AL1715" s="1"/>
      <c r="AM1715" s="1"/>
    </row>
    <row r="1716" spans="16:39" x14ac:dyDescent="0.25">
      <c r="P1716" s="49"/>
      <c r="Q1716" s="1"/>
      <c r="S1716" s="1"/>
      <c r="T1716" s="1"/>
      <c r="U1716" s="1"/>
      <c r="V1716" s="1"/>
      <c r="W1716" s="1"/>
      <c r="X1716" s="1"/>
      <c r="Y1716" s="1"/>
      <c r="AB1716" s="1"/>
      <c r="AC1716" s="1"/>
      <c r="AD1716" s="1"/>
      <c r="AE1716" s="1"/>
      <c r="AF1716" s="1"/>
      <c r="AG1716" s="1"/>
      <c r="AH1716" s="1"/>
      <c r="AI1716" s="1"/>
      <c r="AJ1716" s="1"/>
      <c r="AK1716" s="1"/>
      <c r="AL1716" s="1"/>
      <c r="AM1716" s="1"/>
    </row>
    <row r="1717" spans="16:39" x14ac:dyDescent="0.25">
      <c r="P1717" s="49"/>
      <c r="Q1717" s="1"/>
      <c r="S1717" s="1"/>
      <c r="T1717" s="1"/>
      <c r="U1717" s="1"/>
      <c r="V1717" s="1"/>
      <c r="W1717" s="1"/>
      <c r="X1717" s="1"/>
      <c r="Y1717" s="1"/>
      <c r="AB1717" s="1"/>
      <c r="AC1717" s="1"/>
      <c r="AD1717" s="1"/>
      <c r="AE1717" s="1"/>
      <c r="AF1717" s="1"/>
      <c r="AG1717" s="1"/>
      <c r="AH1717" s="1"/>
      <c r="AI1717" s="1"/>
      <c r="AJ1717" s="1"/>
      <c r="AK1717" s="1"/>
      <c r="AL1717" s="1"/>
      <c r="AM1717" s="1"/>
    </row>
    <row r="1718" spans="16:39" x14ac:dyDescent="0.25">
      <c r="P1718" s="49"/>
      <c r="Q1718" s="1"/>
      <c r="S1718" s="1"/>
      <c r="T1718" s="1"/>
      <c r="U1718" s="1"/>
      <c r="V1718" s="1"/>
      <c r="W1718" s="1"/>
      <c r="X1718" s="1"/>
      <c r="Y1718" s="1"/>
      <c r="AB1718" s="1"/>
      <c r="AC1718" s="1"/>
      <c r="AD1718" s="1"/>
      <c r="AE1718" s="1"/>
      <c r="AF1718" s="1"/>
      <c r="AG1718" s="1"/>
      <c r="AH1718" s="1"/>
      <c r="AI1718" s="1"/>
      <c r="AJ1718" s="1"/>
      <c r="AK1718" s="1"/>
      <c r="AL1718" s="1"/>
      <c r="AM1718" s="1"/>
    </row>
    <row r="1719" spans="16:39" x14ac:dyDescent="0.25">
      <c r="P1719" s="49"/>
      <c r="Q1719" s="1"/>
      <c r="S1719" s="1"/>
      <c r="T1719" s="1"/>
      <c r="U1719" s="1"/>
      <c r="V1719" s="1"/>
      <c r="W1719" s="1"/>
      <c r="X1719" s="1"/>
      <c r="Y1719" s="1"/>
      <c r="AB1719" s="1"/>
      <c r="AC1719" s="1"/>
      <c r="AD1719" s="1"/>
      <c r="AE1719" s="1"/>
      <c r="AF1719" s="1"/>
      <c r="AG1719" s="1"/>
      <c r="AH1719" s="1"/>
      <c r="AI1719" s="1"/>
      <c r="AJ1719" s="1"/>
      <c r="AK1719" s="1"/>
      <c r="AL1719" s="1"/>
      <c r="AM1719" s="1"/>
    </row>
    <row r="1720" spans="16:39" x14ac:dyDescent="0.25">
      <c r="P1720" s="49"/>
      <c r="Q1720" s="1"/>
      <c r="S1720" s="1"/>
      <c r="T1720" s="1"/>
      <c r="U1720" s="1"/>
      <c r="V1720" s="1"/>
      <c r="W1720" s="1"/>
      <c r="X1720" s="1"/>
      <c r="Y1720" s="1"/>
      <c r="AB1720" s="1"/>
      <c r="AC1720" s="1"/>
      <c r="AD1720" s="1"/>
      <c r="AE1720" s="1"/>
      <c r="AF1720" s="1"/>
      <c r="AG1720" s="1"/>
      <c r="AH1720" s="1"/>
      <c r="AI1720" s="1"/>
      <c r="AJ1720" s="1"/>
      <c r="AK1720" s="1"/>
      <c r="AL1720" s="1"/>
      <c r="AM1720" s="1"/>
    </row>
    <row r="1721" spans="16:39" x14ac:dyDescent="0.25">
      <c r="P1721" s="49"/>
      <c r="Q1721" s="1"/>
      <c r="S1721" s="1"/>
      <c r="T1721" s="1"/>
      <c r="U1721" s="1"/>
      <c r="V1721" s="1"/>
      <c r="W1721" s="1"/>
      <c r="X1721" s="1"/>
      <c r="Y1721" s="1"/>
      <c r="AB1721" s="1"/>
      <c r="AC1721" s="1"/>
      <c r="AD1721" s="1"/>
      <c r="AE1721" s="1"/>
      <c r="AF1721" s="1"/>
      <c r="AG1721" s="1"/>
      <c r="AH1721" s="1"/>
      <c r="AI1721" s="1"/>
      <c r="AJ1721" s="1"/>
      <c r="AK1721" s="1"/>
      <c r="AL1721" s="1"/>
      <c r="AM1721" s="1"/>
    </row>
    <row r="1722" spans="16:39" x14ac:dyDescent="0.25">
      <c r="P1722" s="49"/>
      <c r="Q1722" s="1"/>
      <c r="S1722" s="1"/>
      <c r="T1722" s="1"/>
      <c r="U1722" s="1"/>
      <c r="V1722" s="1"/>
      <c r="W1722" s="1"/>
      <c r="X1722" s="1"/>
      <c r="Y1722" s="1"/>
      <c r="AB1722" s="1"/>
      <c r="AC1722" s="1"/>
      <c r="AD1722" s="1"/>
      <c r="AE1722" s="1"/>
      <c r="AF1722" s="1"/>
      <c r="AG1722" s="1"/>
      <c r="AH1722" s="1"/>
      <c r="AI1722" s="1"/>
      <c r="AJ1722" s="1"/>
      <c r="AK1722" s="1"/>
      <c r="AL1722" s="1"/>
      <c r="AM1722" s="1"/>
    </row>
    <row r="1723" spans="16:39" x14ac:dyDescent="0.25">
      <c r="P1723" s="49"/>
      <c r="Q1723" s="1"/>
      <c r="S1723" s="1"/>
      <c r="T1723" s="1"/>
      <c r="U1723" s="1"/>
      <c r="V1723" s="1"/>
      <c r="W1723" s="1"/>
      <c r="X1723" s="1"/>
      <c r="Y1723" s="1"/>
      <c r="AB1723" s="1"/>
      <c r="AC1723" s="1"/>
      <c r="AD1723" s="1"/>
      <c r="AE1723" s="1"/>
      <c r="AF1723" s="1"/>
      <c r="AG1723" s="1"/>
      <c r="AH1723" s="1"/>
      <c r="AI1723" s="1"/>
      <c r="AJ1723" s="1"/>
      <c r="AK1723" s="1"/>
      <c r="AL1723" s="1"/>
      <c r="AM1723" s="1"/>
    </row>
    <row r="1724" spans="16:39" x14ac:dyDescent="0.25">
      <c r="P1724" s="49"/>
      <c r="Q1724" s="1"/>
      <c r="S1724" s="1"/>
      <c r="T1724" s="1"/>
      <c r="U1724" s="1"/>
      <c r="V1724" s="1"/>
      <c r="W1724" s="1"/>
      <c r="X1724" s="1"/>
      <c r="Y1724" s="1"/>
      <c r="AB1724" s="1"/>
      <c r="AC1724" s="1"/>
      <c r="AD1724" s="1"/>
      <c r="AE1724" s="1"/>
      <c r="AF1724" s="1"/>
      <c r="AG1724" s="1"/>
      <c r="AH1724" s="1"/>
      <c r="AI1724" s="1"/>
      <c r="AJ1724" s="1"/>
      <c r="AK1724" s="1"/>
      <c r="AL1724" s="1"/>
      <c r="AM1724" s="1"/>
    </row>
    <row r="1725" spans="16:39" x14ac:dyDescent="0.25">
      <c r="P1725" s="49"/>
      <c r="Q1725" s="1"/>
      <c r="S1725" s="1"/>
      <c r="T1725" s="1"/>
      <c r="U1725" s="1"/>
      <c r="V1725" s="1"/>
      <c r="W1725" s="1"/>
      <c r="X1725" s="1"/>
      <c r="Y1725" s="1"/>
      <c r="AB1725" s="1"/>
      <c r="AC1725" s="1"/>
      <c r="AD1725" s="1"/>
      <c r="AE1725" s="1"/>
      <c r="AF1725" s="1"/>
      <c r="AG1725" s="1"/>
      <c r="AH1725" s="1"/>
      <c r="AI1725" s="1"/>
      <c r="AJ1725" s="1"/>
      <c r="AK1725" s="1"/>
      <c r="AL1725" s="1"/>
      <c r="AM1725" s="1"/>
    </row>
    <row r="1726" spans="16:39" x14ac:dyDescent="0.25">
      <c r="P1726" s="49"/>
      <c r="Q1726" s="1"/>
      <c r="S1726" s="1"/>
      <c r="T1726" s="1"/>
      <c r="U1726" s="1"/>
      <c r="V1726" s="1"/>
      <c r="W1726" s="1"/>
      <c r="X1726" s="1"/>
      <c r="Y1726" s="1"/>
      <c r="AB1726" s="1"/>
      <c r="AC1726" s="1"/>
      <c r="AD1726" s="1"/>
      <c r="AE1726" s="1"/>
      <c r="AF1726" s="1"/>
      <c r="AG1726" s="1"/>
      <c r="AH1726" s="1"/>
      <c r="AI1726" s="1"/>
      <c r="AJ1726" s="1"/>
      <c r="AK1726" s="1"/>
      <c r="AL1726" s="1"/>
      <c r="AM1726" s="1"/>
    </row>
    <row r="1727" spans="16:39" x14ac:dyDescent="0.25">
      <c r="P1727" s="49"/>
      <c r="Q1727" s="1"/>
      <c r="S1727" s="1"/>
      <c r="T1727" s="1"/>
      <c r="U1727" s="1"/>
      <c r="V1727" s="1"/>
      <c r="W1727" s="1"/>
      <c r="X1727" s="1"/>
      <c r="Y1727" s="1"/>
      <c r="AB1727" s="1"/>
      <c r="AC1727" s="1"/>
      <c r="AD1727" s="1"/>
      <c r="AE1727" s="1"/>
      <c r="AF1727" s="1"/>
      <c r="AG1727" s="1"/>
      <c r="AH1727" s="1"/>
      <c r="AI1727" s="1"/>
      <c r="AJ1727" s="1"/>
      <c r="AK1727" s="1"/>
      <c r="AL1727" s="1"/>
      <c r="AM1727" s="1"/>
    </row>
    <row r="1728" spans="16:39" x14ac:dyDescent="0.25">
      <c r="P1728" s="49"/>
      <c r="Q1728" s="1"/>
      <c r="S1728" s="1"/>
      <c r="T1728" s="1"/>
      <c r="U1728" s="1"/>
      <c r="V1728" s="1"/>
      <c r="W1728" s="1"/>
      <c r="X1728" s="1"/>
      <c r="Y1728" s="1"/>
      <c r="AB1728" s="1"/>
      <c r="AC1728" s="1"/>
      <c r="AD1728" s="1"/>
      <c r="AE1728" s="1"/>
      <c r="AF1728" s="1"/>
      <c r="AG1728" s="1"/>
      <c r="AH1728" s="1"/>
      <c r="AI1728" s="1"/>
      <c r="AJ1728" s="1"/>
      <c r="AK1728" s="1"/>
      <c r="AL1728" s="1"/>
      <c r="AM1728" s="1"/>
    </row>
    <row r="1729" spans="16:39" x14ac:dyDescent="0.25">
      <c r="P1729" s="49"/>
      <c r="Q1729" s="1"/>
      <c r="S1729" s="1"/>
      <c r="T1729" s="1"/>
      <c r="U1729" s="1"/>
      <c r="V1729" s="1"/>
      <c r="W1729" s="1"/>
      <c r="X1729" s="1"/>
      <c r="Y1729" s="1"/>
      <c r="AB1729" s="1"/>
      <c r="AC1729" s="1"/>
      <c r="AD1729" s="1"/>
      <c r="AE1729" s="1"/>
      <c r="AF1729" s="1"/>
      <c r="AG1729" s="1"/>
      <c r="AH1729" s="1"/>
      <c r="AI1729" s="1"/>
      <c r="AJ1729" s="1"/>
      <c r="AK1729" s="1"/>
      <c r="AL1729" s="1"/>
      <c r="AM1729" s="1"/>
    </row>
    <row r="1730" spans="16:39" x14ac:dyDescent="0.25">
      <c r="P1730" s="49"/>
      <c r="Q1730" s="1"/>
      <c r="S1730" s="1"/>
      <c r="T1730" s="1"/>
      <c r="U1730" s="1"/>
      <c r="V1730" s="1"/>
      <c r="W1730" s="1"/>
      <c r="X1730" s="1"/>
      <c r="Y1730" s="1"/>
      <c r="AB1730" s="1"/>
      <c r="AC1730" s="1"/>
      <c r="AD1730" s="1"/>
      <c r="AE1730" s="1"/>
      <c r="AF1730" s="1"/>
      <c r="AG1730" s="1"/>
      <c r="AH1730" s="1"/>
      <c r="AI1730" s="1"/>
      <c r="AJ1730" s="1"/>
      <c r="AK1730" s="1"/>
      <c r="AL1730" s="1"/>
      <c r="AM1730" s="1"/>
    </row>
    <row r="1731" spans="16:39" x14ac:dyDescent="0.25">
      <c r="P1731" s="49"/>
      <c r="Q1731" s="1"/>
      <c r="S1731" s="1"/>
      <c r="T1731" s="1"/>
      <c r="U1731" s="1"/>
      <c r="V1731" s="1"/>
      <c r="W1731" s="1"/>
      <c r="X1731" s="1"/>
      <c r="Y1731" s="1"/>
      <c r="AB1731" s="1"/>
      <c r="AC1731" s="1"/>
      <c r="AD1731" s="1"/>
      <c r="AE1731" s="1"/>
      <c r="AF1731" s="1"/>
      <c r="AG1731" s="1"/>
      <c r="AH1731" s="1"/>
      <c r="AI1731" s="1"/>
      <c r="AJ1731" s="1"/>
      <c r="AK1731" s="1"/>
      <c r="AL1731" s="1"/>
      <c r="AM1731" s="1"/>
    </row>
    <row r="1732" spans="16:39" x14ac:dyDescent="0.25">
      <c r="P1732" s="49"/>
      <c r="Q1732" s="1"/>
      <c r="S1732" s="1"/>
      <c r="T1732" s="1"/>
      <c r="U1732" s="1"/>
      <c r="V1732" s="1"/>
      <c r="W1732" s="1"/>
      <c r="X1732" s="1"/>
      <c r="Y1732" s="1"/>
      <c r="AB1732" s="1"/>
      <c r="AC1732" s="1"/>
      <c r="AD1732" s="1"/>
      <c r="AE1732" s="1"/>
      <c r="AF1732" s="1"/>
      <c r="AG1732" s="1"/>
      <c r="AH1732" s="1"/>
      <c r="AI1732" s="1"/>
      <c r="AJ1732" s="1"/>
      <c r="AK1732" s="1"/>
      <c r="AL1732" s="1"/>
      <c r="AM1732" s="1"/>
    </row>
    <row r="1733" spans="16:39" x14ac:dyDescent="0.25">
      <c r="P1733" s="49"/>
      <c r="Q1733" s="1"/>
      <c r="S1733" s="1"/>
      <c r="T1733" s="1"/>
      <c r="U1733" s="1"/>
      <c r="V1733" s="1"/>
      <c r="W1733" s="1"/>
      <c r="X1733" s="1"/>
      <c r="Y1733" s="1"/>
      <c r="AB1733" s="1"/>
      <c r="AC1733" s="1"/>
      <c r="AD1733" s="1"/>
      <c r="AE1733" s="1"/>
      <c r="AF1733" s="1"/>
      <c r="AG1733" s="1"/>
      <c r="AH1733" s="1"/>
      <c r="AI1733" s="1"/>
      <c r="AJ1733" s="1"/>
      <c r="AK1733" s="1"/>
      <c r="AL1733" s="1"/>
      <c r="AM1733" s="1"/>
    </row>
    <row r="1734" spans="16:39" x14ac:dyDescent="0.25">
      <c r="P1734" s="49"/>
      <c r="Q1734" s="1"/>
      <c r="S1734" s="1"/>
      <c r="T1734" s="1"/>
      <c r="U1734" s="1"/>
      <c r="V1734" s="1"/>
      <c r="W1734" s="1"/>
      <c r="X1734" s="1"/>
      <c r="Y1734" s="1"/>
      <c r="AB1734" s="1"/>
      <c r="AC1734" s="1"/>
      <c r="AD1734" s="1"/>
      <c r="AE1734" s="1"/>
      <c r="AF1734" s="1"/>
      <c r="AG1734" s="1"/>
      <c r="AH1734" s="1"/>
      <c r="AI1734" s="1"/>
      <c r="AJ1734" s="1"/>
      <c r="AK1734" s="1"/>
      <c r="AL1734" s="1"/>
      <c r="AM1734" s="1"/>
    </row>
    <row r="1735" spans="16:39" x14ac:dyDescent="0.25">
      <c r="P1735" s="49"/>
      <c r="Q1735" s="1"/>
      <c r="S1735" s="1"/>
      <c r="T1735" s="1"/>
      <c r="U1735" s="1"/>
      <c r="V1735" s="1"/>
      <c r="W1735" s="1"/>
      <c r="X1735" s="1"/>
      <c r="Y1735" s="1"/>
      <c r="AB1735" s="1"/>
      <c r="AC1735" s="1"/>
      <c r="AD1735" s="1"/>
      <c r="AE1735" s="1"/>
      <c r="AF1735" s="1"/>
      <c r="AG1735" s="1"/>
      <c r="AH1735" s="1"/>
      <c r="AI1735" s="1"/>
      <c r="AJ1735" s="1"/>
      <c r="AK1735" s="1"/>
      <c r="AL1735" s="1"/>
      <c r="AM1735" s="1"/>
    </row>
    <row r="1736" spans="16:39" x14ac:dyDescent="0.25">
      <c r="P1736" s="49"/>
      <c r="Q1736" s="1"/>
      <c r="S1736" s="1"/>
      <c r="T1736" s="1"/>
      <c r="U1736" s="1"/>
      <c r="V1736" s="1"/>
      <c r="W1736" s="1"/>
      <c r="X1736" s="1"/>
      <c r="Y1736" s="1"/>
      <c r="AB1736" s="1"/>
      <c r="AC1736" s="1"/>
      <c r="AD1736" s="1"/>
      <c r="AE1736" s="1"/>
      <c r="AF1736" s="1"/>
      <c r="AG1736" s="1"/>
      <c r="AH1736" s="1"/>
      <c r="AI1736" s="1"/>
      <c r="AJ1736" s="1"/>
      <c r="AK1736" s="1"/>
      <c r="AL1736" s="1"/>
      <c r="AM1736" s="1"/>
    </row>
    <row r="1737" spans="16:39" x14ac:dyDescent="0.25">
      <c r="P1737" s="49"/>
      <c r="Q1737" s="1"/>
      <c r="S1737" s="1"/>
      <c r="T1737" s="1"/>
      <c r="U1737" s="1"/>
      <c r="V1737" s="1"/>
      <c r="W1737" s="1"/>
      <c r="X1737" s="1"/>
      <c r="Y1737" s="1"/>
      <c r="AB1737" s="1"/>
      <c r="AC1737" s="1"/>
      <c r="AD1737" s="1"/>
      <c r="AE1737" s="1"/>
      <c r="AF1737" s="1"/>
      <c r="AG1737" s="1"/>
      <c r="AH1737" s="1"/>
      <c r="AI1737" s="1"/>
      <c r="AJ1737" s="1"/>
      <c r="AK1737" s="1"/>
      <c r="AL1737" s="1"/>
      <c r="AM1737" s="1"/>
    </row>
    <row r="1738" spans="16:39" x14ac:dyDescent="0.25">
      <c r="P1738" s="49"/>
      <c r="Q1738" s="1"/>
      <c r="S1738" s="1"/>
      <c r="T1738" s="1"/>
      <c r="U1738" s="1"/>
      <c r="V1738" s="1"/>
      <c r="W1738" s="1"/>
      <c r="X1738" s="1"/>
      <c r="Y1738" s="1"/>
      <c r="AB1738" s="1"/>
      <c r="AC1738" s="1"/>
      <c r="AD1738" s="1"/>
      <c r="AE1738" s="1"/>
      <c r="AF1738" s="1"/>
      <c r="AG1738" s="1"/>
      <c r="AH1738" s="1"/>
      <c r="AI1738" s="1"/>
      <c r="AJ1738" s="1"/>
      <c r="AK1738" s="1"/>
      <c r="AL1738" s="1"/>
      <c r="AM1738" s="1"/>
    </row>
    <row r="1739" spans="16:39" x14ac:dyDescent="0.25">
      <c r="P1739" s="49"/>
      <c r="Q1739" s="1"/>
      <c r="S1739" s="1"/>
      <c r="T1739" s="1"/>
      <c r="U1739" s="1"/>
      <c r="V1739" s="1"/>
      <c r="W1739" s="1"/>
      <c r="X1739" s="1"/>
      <c r="Y1739" s="1"/>
      <c r="AB1739" s="1"/>
      <c r="AC1739" s="1"/>
      <c r="AD1739" s="1"/>
      <c r="AE1739" s="1"/>
      <c r="AF1739" s="1"/>
      <c r="AG1739" s="1"/>
      <c r="AH1739" s="1"/>
      <c r="AI1739" s="1"/>
      <c r="AJ1739" s="1"/>
      <c r="AK1739" s="1"/>
      <c r="AL1739" s="1"/>
      <c r="AM1739" s="1"/>
    </row>
    <row r="1740" spans="16:39" x14ac:dyDescent="0.25">
      <c r="P1740" s="49"/>
      <c r="Q1740" s="1"/>
      <c r="S1740" s="1"/>
      <c r="T1740" s="1"/>
      <c r="U1740" s="1"/>
      <c r="V1740" s="1"/>
      <c r="W1740" s="1"/>
      <c r="X1740" s="1"/>
      <c r="Y1740" s="1"/>
      <c r="AB1740" s="1"/>
      <c r="AC1740" s="1"/>
      <c r="AD1740" s="1"/>
      <c r="AE1740" s="1"/>
      <c r="AF1740" s="1"/>
      <c r="AG1740" s="1"/>
      <c r="AH1740" s="1"/>
      <c r="AI1740" s="1"/>
      <c r="AJ1740" s="1"/>
      <c r="AK1740" s="1"/>
      <c r="AL1740" s="1"/>
      <c r="AM1740" s="1"/>
    </row>
    <row r="1741" spans="16:39" x14ac:dyDescent="0.25">
      <c r="P1741" s="49"/>
      <c r="Q1741" s="1"/>
      <c r="S1741" s="1"/>
      <c r="T1741" s="1"/>
      <c r="U1741" s="1"/>
      <c r="V1741" s="1"/>
      <c r="W1741" s="1"/>
      <c r="X1741" s="1"/>
      <c r="Y1741" s="1"/>
      <c r="AB1741" s="1"/>
      <c r="AC1741" s="1"/>
      <c r="AD1741" s="1"/>
      <c r="AE1741" s="1"/>
      <c r="AF1741" s="1"/>
      <c r="AG1741" s="1"/>
      <c r="AH1741" s="1"/>
      <c r="AI1741" s="1"/>
      <c r="AJ1741" s="1"/>
      <c r="AK1741" s="1"/>
      <c r="AL1741" s="1"/>
      <c r="AM1741" s="1"/>
    </row>
    <row r="1742" spans="16:39" x14ac:dyDescent="0.25">
      <c r="P1742" s="49"/>
      <c r="Q1742" s="1"/>
      <c r="S1742" s="1"/>
      <c r="T1742" s="1"/>
      <c r="U1742" s="1"/>
      <c r="V1742" s="1"/>
      <c r="W1742" s="1"/>
      <c r="X1742" s="1"/>
      <c r="Y1742" s="1"/>
      <c r="AB1742" s="1"/>
      <c r="AC1742" s="1"/>
      <c r="AD1742" s="1"/>
      <c r="AE1742" s="1"/>
      <c r="AF1742" s="1"/>
      <c r="AG1742" s="1"/>
      <c r="AH1742" s="1"/>
      <c r="AI1742" s="1"/>
      <c r="AJ1742" s="1"/>
      <c r="AK1742" s="1"/>
      <c r="AL1742" s="1"/>
      <c r="AM1742" s="1"/>
    </row>
    <row r="1743" spans="16:39" x14ac:dyDescent="0.25">
      <c r="P1743" s="49"/>
      <c r="Q1743" s="1"/>
      <c r="S1743" s="1"/>
      <c r="T1743" s="1"/>
      <c r="U1743" s="1"/>
      <c r="V1743" s="1"/>
      <c r="W1743" s="1"/>
      <c r="X1743" s="1"/>
      <c r="Y1743" s="1"/>
      <c r="AB1743" s="1"/>
      <c r="AC1743" s="1"/>
      <c r="AD1743" s="1"/>
      <c r="AE1743" s="1"/>
      <c r="AF1743" s="1"/>
      <c r="AG1743" s="1"/>
      <c r="AH1743" s="1"/>
      <c r="AI1743" s="1"/>
      <c r="AJ1743" s="1"/>
      <c r="AK1743" s="1"/>
      <c r="AL1743" s="1"/>
      <c r="AM1743" s="1"/>
    </row>
    <row r="1744" spans="16:39" x14ac:dyDescent="0.25">
      <c r="P1744" s="49"/>
      <c r="Q1744" s="1"/>
      <c r="S1744" s="1"/>
      <c r="T1744" s="1"/>
      <c r="U1744" s="1"/>
      <c r="V1744" s="1"/>
      <c r="W1744" s="1"/>
      <c r="X1744" s="1"/>
      <c r="Y1744" s="1"/>
      <c r="AB1744" s="1"/>
      <c r="AC1744" s="1"/>
      <c r="AD1744" s="1"/>
      <c r="AE1744" s="1"/>
      <c r="AF1744" s="1"/>
      <c r="AG1744" s="1"/>
      <c r="AH1744" s="1"/>
      <c r="AI1744" s="1"/>
      <c r="AJ1744" s="1"/>
      <c r="AK1744" s="1"/>
      <c r="AL1744" s="1"/>
      <c r="AM1744" s="1"/>
    </row>
    <row r="1745" spans="16:39" x14ac:dyDescent="0.25">
      <c r="P1745" s="49"/>
      <c r="Q1745" s="1"/>
      <c r="S1745" s="1"/>
      <c r="T1745" s="1"/>
      <c r="U1745" s="1"/>
      <c r="V1745" s="1"/>
      <c r="W1745" s="1"/>
      <c r="X1745" s="1"/>
      <c r="Y1745" s="1"/>
      <c r="AB1745" s="1"/>
      <c r="AC1745" s="1"/>
      <c r="AD1745" s="1"/>
      <c r="AE1745" s="1"/>
      <c r="AF1745" s="1"/>
      <c r="AG1745" s="1"/>
      <c r="AH1745" s="1"/>
      <c r="AI1745" s="1"/>
      <c r="AJ1745" s="1"/>
      <c r="AK1745" s="1"/>
      <c r="AL1745" s="1"/>
      <c r="AM1745" s="1"/>
    </row>
    <row r="1746" spans="16:39" x14ac:dyDescent="0.25">
      <c r="P1746" s="49"/>
      <c r="Q1746" s="1"/>
      <c r="S1746" s="1"/>
      <c r="T1746" s="1"/>
      <c r="U1746" s="1"/>
      <c r="V1746" s="1"/>
      <c r="W1746" s="1"/>
      <c r="X1746" s="1"/>
      <c r="Y1746" s="1"/>
      <c r="AB1746" s="1"/>
      <c r="AC1746" s="1"/>
      <c r="AD1746" s="1"/>
      <c r="AE1746" s="1"/>
      <c r="AF1746" s="1"/>
      <c r="AG1746" s="1"/>
      <c r="AH1746" s="1"/>
      <c r="AI1746" s="1"/>
      <c r="AJ1746" s="1"/>
      <c r="AK1746" s="1"/>
      <c r="AL1746" s="1"/>
      <c r="AM1746" s="1"/>
    </row>
    <row r="1747" spans="16:39" x14ac:dyDescent="0.25">
      <c r="P1747" s="49"/>
      <c r="Q1747" s="1"/>
      <c r="S1747" s="1"/>
      <c r="T1747" s="1"/>
      <c r="U1747" s="1"/>
      <c r="V1747" s="1"/>
      <c r="W1747" s="1"/>
      <c r="X1747" s="1"/>
      <c r="Y1747" s="1"/>
      <c r="AB1747" s="1"/>
      <c r="AC1747" s="1"/>
      <c r="AD1747" s="1"/>
      <c r="AE1747" s="1"/>
      <c r="AF1747" s="1"/>
      <c r="AG1747" s="1"/>
      <c r="AH1747" s="1"/>
      <c r="AI1747" s="1"/>
      <c r="AJ1747" s="1"/>
      <c r="AK1747" s="1"/>
      <c r="AL1747" s="1"/>
      <c r="AM1747" s="1"/>
    </row>
    <row r="1748" spans="16:39" x14ac:dyDescent="0.25">
      <c r="P1748" s="49"/>
      <c r="Q1748" s="1"/>
      <c r="S1748" s="1"/>
      <c r="T1748" s="1"/>
      <c r="U1748" s="1"/>
      <c r="V1748" s="1"/>
      <c r="W1748" s="1"/>
      <c r="X1748" s="1"/>
      <c r="Y1748" s="1"/>
      <c r="AB1748" s="1"/>
      <c r="AC1748" s="1"/>
      <c r="AD1748" s="1"/>
      <c r="AE1748" s="1"/>
      <c r="AF1748" s="1"/>
      <c r="AG1748" s="1"/>
      <c r="AH1748" s="1"/>
      <c r="AI1748" s="1"/>
      <c r="AJ1748" s="1"/>
      <c r="AK1748" s="1"/>
      <c r="AL1748" s="1"/>
      <c r="AM1748" s="1"/>
    </row>
    <row r="1749" spans="16:39" x14ac:dyDescent="0.25">
      <c r="P1749" s="49"/>
      <c r="Q1749" s="1"/>
      <c r="S1749" s="1"/>
      <c r="T1749" s="1"/>
      <c r="U1749" s="1"/>
      <c r="V1749" s="1"/>
      <c r="W1749" s="1"/>
      <c r="X1749" s="1"/>
      <c r="Y1749" s="1"/>
      <c r="AB1749" s="1"/>
      <c r="AC1749" s="1"/>
      <c r="AD1749" s="1"/>
      <c r="AE1749" s="1"/>
      <c r="AF1749" s="1"/>
      <c r="AG1749" s="1"/>
      <c r="AH1749" s="1"/>
      <c r="AI1749" s="1"/>
      <c r="AJ1749" s="1"/>
      <c r="AK1749" s="1"/>
      <c r="AL1749" s="1"/>
      <c r="AM1749" s="1"/>
    </row>
    <row r="1750" spans="16:39" x14ac:dyDescent="0.25">
      <c r="P1750" s="49"/>
      <c r="Q1750" s="1"/>
      <c r="S1750" s="1"/>
      <c r="T1750" s="1"/>
      <c r="U1750" s="1"/>
      <c r="V1750" s="1"/>
      <c r="W1750" s="1"/>
      <c r="X1750" s="1"/>
      <c r="Y1750" s="1"/>
      <c r="AB1750" s="1"/>
      <c r="AC1750" s="1"/>
      <c r="AD1750" s="1"/>
      <c r="AE1750" s="1"/>
      <c r="AF1750" s="1"/>
      <c r="AG1750" s="1"/>
      <c r="AH1750" s="1"/>
      <c r="AI1750" s="1"/>
      <c r="AJ1750" s="1"/>
      <c r="AK1750" s="1"/>
      <c r="AL1750" s="1"/>
      <c r="AM1750" s="1"/>
    </row>
    <row r="1751" spans="16:39" x14ac:dyDescent="0.25">
      <c r="P1751" s="49"/>
      <c r="Q1751" s="1"/>
      <c r="S1751" s="1"/>
      <c r="T1751" s="1"/>
      <c r="U1751" s="1"/>
      <c r="V1751" s="1"/>
      <c r="W1751" s="1"/>
      <c r="X1751" s="1"/>
      <c r="Y1751" s="1"/>
      <c r="AB1751" s="1"/>
      <c r="AC1751" s="1"/>
      <c r="AD1751" s="1"/>
      <c r="AE1751" s="1"/>
      <c r="AF1751" s="1"/>
      <c r="AG1751" s="1"/>
      <c r="AH1751" s="1"/>
      <c r="AI1751" s="1"/>
      <c r="AJ1751" s="1"/>
      <c r="AK1751" s="1"/>
      <c r="AL1751" s="1"/>
      <c r="AM1751" s="1"/>
    </row>
    <row r="1752" spans="16:39" x14ac:dyDescent="0.25">
      <c r="P1752" s="49"/>
      <c r="Q1752" s="1"/>
      <c r="S1752" s="1"/>
      <c r="T1752" s="1"/>
      <c r="U1752" s="1"/>
      <c r="V1752" s="1"/>
      <c r="W1752" s="1"/>
      <c r="X1752" s="1"/>
      <c r="Y1752" s="1"/>
      <c r="AB1752" s="1"/>
      <c r="AC1752" s="1"/>
      <c r="AD1752" s="1"/>
      <c r="AE1752" s="1"/>
      <c r="AF1752" s="1"/>
      <c r="AG1752" s="1"/>
      <c r="AH1752" s="1"/>
      <c r="AI1752" s="1"/>
      <c r="AJ1752" s="1"/>
      <c r="AK1752" s="1"/>
      <c r="AL1752" s="1"/>
      <c r="AM1752" s="1"/>
    </row>
    <row r="1753" spans="16:39" x14ac:dyDescent="0.25">
      <c r="P1753" s="49"/>
      <c r="Q1753" s="1"/>
      <c r="S1753" s="1"/>
      <c r="T1753" s="1"/>
      <c r="U1753" s="1"/>
      <c r="V1753" s="1"/>
      <c r="W1753" s="1"/>
      <c r="X1753" s="1"/>
      <c r="Y1753" s="1"/>
      <c r="AB1753" s="1"/>
      <c r="AC1753" s="1"/>
      <c r="AD1753" s="1"/>
      <c r="AE1753" s="1"/>
      <c r="AF1753" s="1"/>
      <c r="AG1753" s="1"/>
      <c r="AH1753" s="1"/>
      <c r="AI1753" s="1"/>
      <c r="AJ1753" s="1"/>
      <c r="AK1753" s="1"/>
      <c r="AL1753" s="1"/>
      <c r="AM1753" s="1"/>
    </row>
    <row r="1754" spans="16:39" x14ac:dyDescent="0.25">
      <c r="P1754" s="49"/>
      <c r="Q1754" s="1"/>
      <c r="S1754" s="1"/>
      <c r="T1754" s="1"/>
      <c r="U1754" s="1"/>
      <c r="V1754" s="1"/>
      <c r="W1754" s="1"/>
      <c r="X1754" s="1"/>
      <c r="Y1754" s="1"/>
      <c r="AB1754" s="1"/>
      <c r="AC1754" s="1"/>
      <c r="AD1754" s="1"/>
      <c r="AE1754" s="1"/>
      <c r="AF1754" s="1"/>
      <c r="AG1754" s="1"/>
      <c r="AH1754" s="1"/>
      <c r="AI1754" s="1"/>
      <c r="AJ1754" s="1"/>
      <c r="AK1754" s="1"/>
      <c r="AL1754" s="1"/>
      <c r="AM1754" s="1"/>
    </row>
    <row r="1755" spans="16:39" x14ac:dyDescent="0.25">
      <c r="P1755" s="49"/>
      <c r="Q1755" s="1"/>
      <c r="S1755" s="1"/>
      <c r="T1755" s="1"/>
      <c r="U1755" s="1"/>
      <c r="V1755" s="1"/>
      <c r="W1755" s="1"/>
      <c r="X1755" s="1"/>
      <c r="Y1755" s="1"/>
      <c r="AB1755" s="1"/>
      <c r="AC1755" s="1"/>
      <c r="AD1755" s="1"/>
      <c r="AE1755" s="1"/>
      <c r="AF1755" s="1"/>
      <c r="AG1755" s="1"/>
      <c r="AH1755" s="1"/>
      <c r="AI1755" s="1"/>
      <c r="AJ1755" s="1"/>
      <c r="AK1755" s="1"/>
      <c r="AL1755" s="1"/>
      <c r="AM1755" s="1"/>
    </row>
    <row r="1756" spans="16:39" x14ac:dyDescent="0.25">
      <c r="P1756" s="49"/>
      <c r="Q1756" s="1"/>
      <c r="S1756" s="1"/>
      <c r="T1756" s="1"/>
      <c r="U1756" s="1"/>
      <c r="V1756" s="1"/>
      <c r="W1756" s="1"/>
      <c r="X1756" s="1"/>
      <c r="Y1756" s="1"/>
      <c r="AB1756" s="1"/>
      <c r="AC1756" s="1"/>
      <c r="AD1756" s="1"/>
      <c r="AE1756" s="1"/>
      <c r="AF1756" s="1"/>
      <c r="AG1756" s="1"/>
      <c r="AH1756" s="1"/>
      <c r="AI1756" s="1"/>
      <c r="AJ1756" s="1"/>
      <c r="AK1756" s="1"/>
      <c r="AL1756" s="1"/>
      <c r="AM1756" s="1"/>
    </row>
    <row r="1757" spans="16:39" x14ac:dyDescent="0.25">
      <c r="P1757" s="49"/>
      <c r="Q1757" s="1"/>
      <c r="S1757" s="1"/>
      <c r="T1757" s="1"/>
      <c r="U1757" s="1"/>
      <c r="V1757" s="1"/>
      <c r="W1757" s="1"/>
      <c r="X1757" s="1"/>
      <c r="Y1757" s="1"/>
      <c r="AB1757" s="1"/>
      <c r="AC1757" s="1"/>
      <c r="AD1757" s="1"/>
      <c r="AE1757" s="1"/>
      <c r="AF1757" s="1"/>
      <c r="AG1757" s="1"/>
      <c r="AH1757" s="1"/>
      <c r="AI1757" s="1"/>
      <c r="AJ1757" s="1"/>
      <c r="AK1757" s="1"/>
      <c r="AL1757" s="1"/>
      <c r="AM1757" s="1"/>
    </row>
    <row r="1758" spans="16:39" x14ac:dyDescent="0.25">
      <c r="P1758" s="49"/>
      <c r="Q1758" s="1"/>
      <c r="S1758" s="1"/>
      <c r="T1758" s="1"/>
      <c r="U1758" s="1"/>
      <c r="V1758" s="1"/>
      <c r="W1758" s="1"/>
      <c r="X1758" s="1"/>
      <c r="Y1758" s="1"/>
      <c r="AB1758" s="1"/>
      <c r="AC1758" s="1"/>
      <c r="AD1758" s="1"/>
      <c r="AE1758" s="1"/>
      <c r="AF1758" s="1"/>
      <c r="AG1758" s="1"/>
      <c r="AH1758" s="1"/>
      <c r="AI1758" s="1"/>
      <c r="AJ1758" s="1"/>
      <c r="AK1758" s="1"/>
      <c r="AL1758" s="1"/>
      <c r="AM1758" s="1"/>
    </row>
    <row r="1759" spans="16:39" x14ac:dyDescent="0.25">
      <c r="P1759" s="49"/>
      <c r="Q1759" s="1"/>
      <c r="S1759" s="1"/>
      <c r="T1759" s="1"/>
      <c r="U1759" s="1"/>
      <c r="V1759" s="1"/>
      <c r="W1759" s="1"/>
      <c r="X1759" s="1"/>
      <c r="Y1759" s="1"/>
      <c r="AB1759" s="1"/>
      <c r="AC1759" s="1"/>
      <c r="AD1759" s="1"/>
      <c r="AE1759" s="1"/>
      <c r="AF1759" s="1"/>
      <c r="AG1759" s="1"/>
      <c r="AH1759" s="1"/>
      <c r="AI1759" s="1"/>
      <c r="AJ1759" s="1"/>
      <c r="AK1759" s="1"/>
      <c r="AL1759" s="1"/>
      <c r="AM1759" s="1"/>
    </row>
    <row r="1760" spans="16:39" x14ac:dyDescent="0.25">
      <c r="P1760" s="49"/>
      <c r="Q1760" s="1"/>
      <c r="S1760" s="1"/>
      <c r="T1760" s="1"/>
      <c r="U1760" s="1"/>
      <c r="V1760" s="1"/>
      <c r="W1760" s="1"/>
      <c r="X1760" s="1"/>
      <c r="Y1760" s="1"/>
      <c r="AB1760" s="1"/>
      <c r="AC1760" s="1"/>
      <c r="AD1760" s="1"/>
      <c r="AE1760" s="1"/>
      <c r="AF1760" s="1"/>
      <c r="AG1760" s="1"/>
      <c r="AH1760" s="1"/>
      <c r="AI1760" s="1"/>
      <c r="AJ1760" s="1"/>
      <c r="AK1760" s="1"/>
      <c r="AL1760" s="1"/>
      <c r="AM1760" s="1"/>
    </row>
    <row r="1761" spans="16:39" x14ac:dyDescent="0.25">
      <c r="P1761" s="49"/>
      <c r="Q1761" s="1"/>
      <c r="S1761" s="1"/>
      <c r="T1761" s="1"/>
      <c r="U1761" s="1"/>
      <c r="V1761" s="1"/>
      <c r="W1761" s="1"/>
      <c r="X1761" s="1"/>
      <c r="Y1761" s="1"/>
      <c r="AB1761" s="1"/>
      <c r="AC1761" s="1"/>
      <c r="AD1761" s="1"/>
      <c r="AE1761" s="1"/>
      <c r="AF1761" s="1"/>
      <c r="AG1761" s="1"/>
      <c r="AH1761" s="1"/>
      <c r="AI1761" s="1"/>
      <c r="AJ1761" s="1"/>
      <c r="AK1761" s="1"/>
      <c r="AL1761" s="1"/>
      <c r="AM1761" s="1"/>
    </row>
    <row r="1762" spans="16:39" x14ac:dyDescent="0.25">
      <c r="P1762" s="49"/>
      <c r="Q1762" s="1"/>
      <c r="S1762" s="1"/>
      <c r="T1762" s="1"/>
      <c r="U1762" s="1"/>
      <c r="V1762" s="1"/>
      <c r="W1762" s="1"/>
      <c r="X1762" s="1"/>
      <c r="Y1762" s="1"/>
      <c r="AB1762" s="1"/>
      <c r="AC1762" s="1"/>
      <c r="AD1762" s="1"/>
      <c r="AE1762" s="1"/>
      <c r="AF1762" s="1"/>
      <c r="AG1762" s="1"/>
      <c r="AH1762" s="1"/>
      <c r="AI1762" s="1"/>
      <c r="AJ1762" s="1"/>
      <c r="AK1762" s="1"/>
      <c r="AL1762" s="1"/>
      <c r="AM1762" s="1"/>
    </row>
    <row r="1763" spans="16:39" x14ac:dyDescent="0.25">
      <c r="P1763" s="49"/>
      <c r="Q1763" s="1"/>
      <c r="S1763" s="1"/>
      <c r="T1763" s="1"/>
      <c r="U1763" s="1"/>
      <c r="V1763" s="1"/>
      <c r="W1763" s="1"/>
      <c r="X1763" s="1"/>
      <c r="Y1763" s="1"/>
      <c r="AB1763" s="1"/>
      <c r="AC1763" s="1"/>
      <c r="AD1763" s="1"/>
      <c r="AE1763" s="1"/>
      <c r="AF1763" s="1"/>
      <c r="AG1763" s="1"/>
      <c r="AH1763" s="1"/>
      <c r="AI1763" s="1"/>
      <c r="AJ1763" s="1"/>
      <c r="AK1763" s="1"/>
      <c r="AL1763" s="1"/>
      <c r="AM1763" s="1"/>
    </row>
    <row r="1764" spans="16:39" x14ac:dyDescent="0.25">
      <c r="P1764" s="49"/>
      <c r="Q1764" s="1"/>
      <c r="S1764" s="1"/>
      <c r="T1764" s="1"/>
      <c r="U1764" s="1"/>
      <c r="V1764" s="1"/>
      <c r="W1764" s="1"/>
      <c r="X1764" s="1"/>
      <c r="Y1764" s="1"/>
      <c r="AB1764" s="1"/>
      <c r="AC1764" s="1"/>
      <c r="AD1764" s="1"/>
      <c r="AE1764" s="1"/>
      <c r="AF1764" s="1"/>
      <c r="AG1764" s="1"/>
      <c r="AH1764" s="1"/>
      <c r="AI1764" s="1"/>
      <c r="AJ1764" s="1"/>
      <c r="AK1764" s="1"/>
      <c r="AL1764" s="1"/>
      <c r="AM1764" s="1"/>
    </row>
    <row r="1765" spans="16:39" x14ac:dyDescent="0.25">
      <c r="P1765" s="49"/>
      <c r="Q1765" s="1"/>
      <c r="S1765" s="1"/>
      <c r="T1765" s="1"/>
      <c r="U1765" s="1"/>
      <c r="V1765" s="1"/>
      <c r="W1765" s="1"/>
      <c r="X1765" s="1"/>
      <c r="Y1765" s="1"/>
      <c r="AB1765" s="1"/>
      <c r="AC1765" s="1"/>
      <c r="AD1765" s="1"/>
      <c r="AE1765" s="1"/>
      <c r="AF1765" s="1"/>
      <c r="AG1765" s="1"/>
      <c r="AH1765" s="1"/>
      <c r="AI1765" s="1"/>
      <c r="AJ1765" s="1"/>
      <c r="AK1765" s="1"/>
      <c r="AL1765" s="1"/>
      <c r="AM1765" s="1"/>
    </row>
    <row r="1766" spans="16:39" x14ac:dyDescent="0.25">
      <c r="P1766" s="49"/>
      <c r="Q1766" s="1"/>
      <c r="S1766" s="1"/>
      <c r="T1766" s="1"/>
      <c r="U1766" s="1"/>
      <c r="V1766" s="1"/>
      <c r="W1766" s="1"/>
      <c r="X1766" s="1"/>
      <c r="Y1766" s="1"/>
      <c r="AB1766" s="1"/>
      <c r="AC1766" s="1"/>
      <c r="AD1766" s="1"/>
      <c r="AE1766" s="1"/>
      <c r="AF1766" s="1"/>
      <c r="AG1766" s="1"/>
      <c r="AH1766" s="1"/>
      <c r="AI1766" s="1"/>
      <c r="AJ1766" s="1"/>
      <c r="AK1766" s="1"/>
      <c r="AL1766" s="1"/>
      <c r="AM1766" s="1"/>
    </row>
    <row r="1767" spans="16:39" x14ac:dyDescent="0.25">
      <c r="P1767" s="49"/>
      <c r="Q1767" s="1"/>
      <c r="S1767" s="1"/>
      <c r="T1767" s="1"/>
      <c r="U1767" s="1"/>
      <c r="V1767" s="1"/>
      <c r="W1767" s="1"/>
      <c r="X1767" s="1"/>
      <c r="Y1767" s="1"/>
      <c r="AB1767" s="1"/>
      <c r="AC1767" s="1"/>
      <c r="AD1767" s="1"/>
      <c r="AE1767" s="1"/>
      <c r="AF1767" s="1"/>
      <c r="AG1767" s="1"/>
      <c r="AH1767" s="1"/>
      <c r="AI1767" s="1"/>
      <c r="AJ1767" s="1"/>
      <c r="AK1767" s="1"/>
      <c r="AL1767" s="1"/>
      <c r="AM1767" s="1"/>
    </row>
    <row r="1768" spans="16:39" x14ac:dyDescent="0.25">
      <c r="P1768" s="49"/>
      <c r="Q1768" s="1"/>
      <c r="S1768" s="1"/>
      <c r="T1768" s="1"/>
      <c r="U1768" s="1"/>
      <c r="V1768" s="1"/>
      <c r="W1768" s="1"/>
      <c r="X1768" s="1"/>
      <c r="Y1768" s="1"/>
      <c r="AB1768" s="1"/>
      <c r="AC1768" s="1"/>
      <c r="AD1768" s="1"/>
      <c r="AE1768" s="1"/>
      <c r="AF1768" s="1"/>
      <c r="AG1768" s="1"/>
      <c r="AH1768" s="1"/>
      <c r="AI1768" s="1"/>
      <c r="AJ1768" s="1"/>
      <c r="AK1768" s="1"/>
      <c r="AL1768" s="1"/>
      <c r="AM1768" s="1"/>
    </row>
    <row r="1769" spans="16:39" x14ac:dyDescent="0.25">
      <c r="P1769" s="49"/>
      <c r="Q1769" s="1"/>
      <c r="S1769" s="1"/>
      <c r="T1769" s="1"/>
      <c r="U1769" s="1"/>
      <c r="V1769" s="1"/>
      <c r="W1769" s="1"/>
      <c r="X1769" s="1"/>
      <c r="Y1769" s="1"/>
      <c r="AB1769" s="1"/>
      <c r="AC1769" s="1"/>
      <c r="AD1769" s="1"/>
      <c r="AE1769" s="1"/>
      <c r="AF1769" s="1"/>
      <c r="AG1769" s="1"/>
      <c r="AH1769" s="1"/>
      <c r="AI1769" s="1"/>
      <c r="AJ1769" s="1"/>
      <c r="AK1769" s="1"/>
      <c r="AL1769" s="1"/>
      <c r="AM1769" s="1"/>
    </row>
    <row r="1770" spans="16:39" x14ac:dyDescent="0.25">
      <c r="P1770" s="49"/>
      <c r="Q1770" s="1"/>
      <c r="S1770" s="1"/>
      <c r="T1770" s="1"/>
      <c r="U1770" s="1"/>
      <c r="V1770" s="1"/>
      <c r="W1770" s="1"/>
      <c r="X1770" s="1"/>
      <c r="Y1770" s="1"/>
      <c r="AB1770" s="1"/>
      <c r="AC1770" s="1"/>
      <c r="AD1770" s="1"/>
      <c r="AE1770" s="1"/>
      <c r="AF1770" s="1"/>
      <c r="AG1770" s="1"/>
      <c r="AH1770" s="1"/>
      <c r="AI1770" s="1"/>
      <c r="AJ1770" s="1"/>
      <c r="AK1770" s="1"/>
      <c r="AL1770" s="1"/>
      <c r="AM1770" s="1"/>
    </row>
    <row r="1771" spans="16:39" x14ac:dyDescent="0.25">
      <c r="P1771" s="49"/>
      <c r="Q1771" s="1"/>
      <c r="S1771" s="1"/>
      <c r="T1771" s="1"/>
      <c r="U1771" s="1"/>
      <c r="V1771" s="1"/>
      <c r="W1771" s="1"/>
      <c r="X1771" s="1"/>
      <c r="Y1771" s="1"/>
      <c r="AB1771" s="1"/>
      <c r="AC1771" s="1"/>
      <c r="AD1771" s="1"/>
      <c r="AE1771" s="1"/>
      <c r="AF1771" s="1"/>
      <c r="AG1771" s="1"/>
      <c r="AH1771" s="1"/>
      <c r="AI1771" s="1"/>
      <c r="AJ1771" s="1"/>
      <c r="AK1771" s="1"/>
      <c r="AL1771" s="1"/>
      <c r="AM1771" s="1"/>
    </row>
    <row r="1772" spans="16:39" x14ac:dyDescent="0.25">
      <c r="P1772" s="49"/>
      <c r="Q1772" s="1"/>
      <c r="S1772" s="1"/>
      <c r="T1772" s="1"/>
      <c r="U1772" s="1"/>
      <c r="V1772" s="1"/>
      <c r="W1772" s="1"/>
      <c r="X1772" s="1"/>
      <c r="Y1772" s="1"/>
      <c r="AB1772" s="1"/>
      <c r="AC1772" s="1"/>
      <c r="AD1772" s="1"/>
      <c r="AE1772" s="1"/>
      <c r="AF1772" s="1"/>
      <c r="AG1772" s="1"/>
      <c r="AH1772" s="1"/>
      <c r="AI1772" s="1"/>
      <c r="AJ1772" s="1"/>
      <c r="AK1772" s="1"/>
      <c r="AL1772" s="1"/>
      <c r="AM1772" s="1"/>
    </row>
    <row r="1773" spans="16:39" x14ac:dyDescent="0.25">
      <c r="P1773" s="49"/>
      <c r="Q1773" s="1"/>
      <c r="S1773" s="1"/>
      <c r="T1773" s="1"/>
      <c r="U1773" s="1"/>
      <c r="V1773" s="1"/>
      <c r="W1773" s="1"/>
      <c r="X1773" s="1"/>
      <c r="Y1773" s="1"/>
      <c r="AB1773" s="1"/>
      <c r="AC1773" s="1"/>
      <c r="AD1773" s="1"/>
      <c r="AE1773" s="1"/>
      <c r="AF1773" s="1"/>
      <c r="AG1773" s="1"/>
      <c r="AH1773" s="1"/>
      <c r="AI1773" s="1"/>
      <c r="AJ1773" s="1"/>
      <c r="AK1773" s="1"/>
      <c r="AL1773" s="1"/>
      <c r="AM1773" s="1"/>
    </row>
    <row r="1774" spans="16:39" x14ac:dyDescent="0.25">
      <c r="P1774" s="49"/>
      <c r="Q1774" s="1"/>
      <c r="S1774" s="1"/>
      <c r="T1774" s="1"/>
      <c r="U1774" s="1"/>
      <c r="V1774" s="1"/>
      <c r="W1774" s="1"/>
      <c r="X1774" s="1"/>
      <c r="Y1774" s="1"/>
      <c r="AB1774" s="1"/>
      <c r="AC1774" s="1"/>
      <c r="AD1774" s="1"/>
      <c r="AE1774" s="1"/>
      <c r="AF1774" s="1"/>
      <c r="AG1774" s="1"/>
      <c r="AH1774" s="1"/>
      <c r="AI1774" s="1"/>
      <c r="AJ1774" s="1"/>
      <c r="AK1774" s="1"/>
      <c r="AL1774" s="1"/>
      <c r="AM1774" s="1"/>
    </row>
    <row r="1775" spans="16:39" x14ac:dyDescent="0.25">
      <c r="P1775" s="49"/>
      <c r="Q1775" s="1"/>
      <c r="S1775" s="1"/>
      <c r="T1775" s="1"/>
      <c r="U1775" s="1"/>
      <c r="V1775" s="1"/>
      <c r="W1775" s="1"/>
      <c r="X1775" s="1"/>
      <c r="Y1775" s="1"/>
      <c r="AB1775" s="1"/>
      <c r="AC1775" s="1"/>
      <c r="AD1775" s="1"/>
      <c r="AE1775" s="1"/>
      <c r="AF1775" s="1"/>
      <c r="AG1775" s="1"/>
      <c r="AH1775" s="1"/>
      <c r="AI1775" s="1"/>
      <c r="AJ1775" s="1"/>
      <c r="AK1775" s="1"/>
      <c r="AL1775" s="1"/>
      <c r="AM1775" s="1"/>
    </row>
    <row r="1776" spans="16:39" x14ac:dyDescent="0.25">
      <c r="P1776" s="49"/>
      <c r="Q1776" s="1"/>
      <c r="S1776" s="1"/>
      <c r="T1776" s="1"/>
      <c r="U1776" s="1"/>
      <c r="V1776" s="1"/>
      <c r="W1776" s="1"/>
      <c r="X1776" s="1"/>
      <c r="Y1776" s="1"/>
      <c r="AB1776" s="1"/>
      <c r="AC1776" s="1"/>
      <c r="AD1776" s="1"/>
      <c r="AE1776" s="1"/>
      <c r="AF1776" s="1"/>
      <c r="AG1776" s="1"/>
      <c r="AH1776" s="1"/>
      <c r="AI1776" s="1"/>
      <c r="AJ1776" s="1"/>
      <c r="AK1776" s="1"/>
      <c r="AL1776" s="1"/>
      <c r="AM1776" s="1"/>
    </row>
    <row r="1777" spans="16:39" x14ac:dyDescent="0.25">
      <c r="P1777" s="49"/>
      <c r="Q1777" s="1"/>
      <c r="S1777" s="1"/>
      <c r="T1777" s="1"/>
      <c r="U1777" s="1"/>
      <c r="V1777" s="1"/>
      <c r="W1777" s="1"/>
      <c r="X1777" s="1"/>
      <c r="Y1777" s="1"/>
      <c r="AB1777" s="1"/>
      <c r="AC1777" s="1"/>
      <c r="AD1777" s="1"/>
      <c r="AE1777" s="1"/>
      <c r="AF1777" s="1"/>
      <c r="AG1777" s="1"/>
      <c r="AH1777" s="1"/>
      <c r="AI1777" s="1"/>
      <c r="AJ1777" s="1"/>
      <c r="AK1777" s="1"/>
      <c r="AL1777" s="1"/>
      <c r="AM1777" s="1"/>
    </row>
    <row r="1778" spans="16:39" x14ac:dyDescent="0.25">
      <c r="P1778" s="49"/>
      <c r="Q1778" s="1"/>
      <c r="S1778" s="1"/>
      <c r="T1778" s="1"/>
      <c r="U1778" s="1"/>
      <c r="V1778" s="1"/>
      <c r="W1778" s="1"/>
      <c r="X1778" s="1"/>
      <c r="Y1778" s="1"/>
      <c r="AB1778" s="1"/>
      <c r="AC1778" s="1"/>
      <c r="AD1778" s="1"/>
      <c r="AE1778" s="1"/>
      <c r="AF1778" s="1"/>
      <c r="AG1778" s="1"/>
      <c r="AH1778" s="1"/>
      <c r="AI1778" s="1"/>
      <c r="AJ1778" s="1"/>
      <c r="AK1778" s="1"/>
      <c r="AL1778" s="1"/>
      <c r="AM1778" s="1"/>
    </row>
    <row r="1779" spans="16:39" x14ac:dyDescent="0.25">
      <c r="P1779" s="49"/>
      <c r="Q1779" s="1"/>
      <c r="S1779" s="1"/>
      <c r="T1779" s="1"/>
      <c r="U1779" s="1"/>
      <c r="V1779" s="1"/>
      <c r="W1779" s="1"/>
      <c r="X1779" s="1"/>
      <c r="Y1779" s="1"/>
      <c r="AB1779" s="1"/>
      <c r="AC1779" s="1"/>
      <c r="AD1779" s="1"/>
      <c r="AE1779" s="1"/>
      <c r="AF1779" s="1"/>
      <c r="AG1779" s="1"/>
      <c r="AH1779" s="1"/>
      <c r="AI1779" s="1"/>
      <c r="AJ1779" s="1"/>
      <c r="AK1779" s="1"/>
      <c r="AL1779" s="1"/>
      <c r="AM1779" s="1"/>
    </row>
    <row r="1780" spans="16:39" x14ac:dyDescent="0.25">
      <c r="P1780" s="49"/>
      <c r="Q1780" s="1"/>
      <c r="S1780" s="1"/>
      <c r="T1780" s="1"/>
      <c r="U1780" s="1"/>
      <c r="V1780" s="1"/>
      <c r="W1780" s="1"/>
      <c r="X1780" s="1"/>
      <c r="Y1780" s="1"/>
      <c r="AB1780" s="1"/>
      <c r="AC1780" s="1"/>
      <c r="AD1780" s="1"/>
      <c r="AE1780" s="1"/>
      <c r="AF1780" s="1"/>
      <c r="AG1780" s="1"/>
      <c r="AH1780" s="1"/>
      <c r="AI1780" s="1"/>
      <c r="AJ1780" s="1"/>
      <c r="AK1780" s="1"/>
      <c r="AL1780" s="1"/>
      <c r="AM1780" s="1"/>
    </row>
    <row r="1781" spans="16:39" x14ac:dyDescent="0.25">
      <c r="P1781" s="49"/>
      <c r="Q1781" s="1"/>
      <c r="S1781" s="1"/>
      <c r="T1781" s="1"/>
      <c r="U1781" s="1"/>
      <c r="V1781" s="1"/>
      <c r="W1781" s="1"/>
      <c r="X1781" s="1"/>
      <c r="Y1781" s="1"/>
      <c r="AB1781" s="1"/>
      <c r="AC1781" s="1"/>
      <c r="AD1781" s="1"/>
      <c r="AE1781" s="1"/>
      <c r="AF1781" s="1"/>
      <c r="AG1781" s="1"/>
      <c r="AH1781" s="1"/>
      <c r="AI1781" s="1"/>
      <c r="AJ1781" s="1"/>
      <c r="AK1781" s="1"/>
      <c r="AL1781" s="1"/>
      <c r="AM1781" s="1"/>
    </row>
    <row r="1782" spans="16:39" x14ac:dyDescent="0.25">
      <c r="P1782" s="49"/>
      <c r="Q1782" s="1"/>
      <c r="S1782" s="1"/>
      <c r="T1782" s="1"/>
      <c r="U1782" s="1"/>
      <c r="V1782" s="1"/>
      <c r="W1782" s="1"/>
      <c r="X1782" s="1"/>
      <c r="Y1782" s="1"/>
      <c r="AB1782" s="1"/>
      <c r="AC1782" s="1"/>
      <c r="AD1782" s="1"/>
      <c r="AE1782" s="1"/>
      <c r="AF1782" s="1"/>
      <c r="AG1782" s="1"/>
      <c r="AH1782" s="1"/>
      <c r="AI1782" s="1"/>
      <c r="AJ1782" s="1"/>
      <c r="AK1782" s="1"/>
      <c r="AL1782" s="1"/>
      <c r="AM1782" s="1"/>
    </row>
    <row r="1783" spans="16:39" x14ac:dyDescent="0.25">
      <c r="P1783" s="49"/>
      <c r="Q1783" s="1"/>
      <c r="S1783" s="1"/>
      <c r="T1783" s="1"/>
      <c r="U1783" s="1"/>
      <c r="V1783" s="1"/>
      <c r="W1783" s="1"/>
      <c r="X1783" s="1"/>
      <c r="Y1783" s="1"/>
      <c r="AB1783" s="1"/>
      <c r="AC1783" s="1"/>
      <c r="AD1783" s="1"/>
      <c r="AE1783" s="1"/>
      <c r="AF1783" s="1"/>
      <c r="AG1783" s="1"/>
      <c r="AH1783" s="1"/>
      <c r="AI1783" s="1"/>
      <c r="AJ1783" s="1"/>
      <c r="AK1783" s="1"/>
      <c r="AL1783" s="1"/>
      <c r="AM1783" s="1"/>
    </row>
    <row r="1784" spans="16:39" x14ac:dyDescent="0.25">
      <c r="P1784" s="49"/>
      <c r="Q1784" s="1"/>
      <c r="S1784" s="1"/>
      <c r="T1784" s="1"/>
      <c r="U1784" s="1"/>
      <c r="V1784" s="1"/>
      <c r="W1784" s="1"/>
      <c r="X1784" s="1"/>
      <c r="Y1784" s="1"/>
      <c r="AB1784" s="1"/>
      <c r="AC1784" s="1"/>
      <c r="AD1784" s="1"/>
      <c r="AE1784" s="1"/>
      <c r="AF1784" s="1"/>
      <c r="AG1784" s="1"/>
      <c r="AH1784" s="1"/>
      <c r="AI1784" s="1"/>
      <c r="AJ1784" s="1"/>
      <c r="AK1784" s="1"/>
      <c r="AL1784" s="1"/>
      <c r="AM1784" s="1"/>
    </row>
    <row r="1785" spans="16:39" x14ac:dyDescent="0.25">
      <c r="P1785" s="49"/>
      <c r="Q1785" s="1"/>
      <c r="S1785" s="1"/>
      <c r="T1785" s="1"/>
      <c r="U1785" s="1"/>
      <c r="V1785" s="1"/>
      <c r="W1785" s="1"/>
      <c r="X1785" s="1"/>
      <c r="Y1785" s="1"/>
      <c r="AB1785" s="1"/>
      <c r="AC1785" s="1"/>
      <c r="AD1785" s="1"/>
      <c r="AE1785" s="1"/>
      <c r="AF1785" s="1"/>
      <c r="AG1785" s="1"/>
      <c r="AH1785" s="1"/>
      <c r="AI1785" s="1"/>
      <c r="AJ1785" s="1"/>
      <c r="AK1785" s="1"/>
      <c r="AL1785" s="1"/>
      <c r="AM1785" s="1"/>
    </row>
    <row r="1786" spans="16:39" x14ac:dyDescent="0.25">
      <c r="P1786" s="49"/>
      <c r="Q1786" s="1"/>
      <c r="S1786" s="1"/>
      <c r="T1786" s="1"/>
      <c r="U1786" s="1"/>
      <c r="V1786" s="1"/>
      <c r="W1786" s="1"/>
      <c r="X1786" s="1"/>
      <c r="Y1786" s="1"/>
      <c r="AB1786" s="1"/>
      <c r="AC1786" s="1"/>
      <c r="AD1786" s="1"/>
      <c r="AE1786" s="1"/>
      <c r="AF1786" s="1"/>
      <c r="AG1786" s="1"/>
      <c r="AH1786" s="1"/>
      <c r="AI1786" s="1"/>
      <c r="AJ1786" s="1"/>
      <c r="AK1786" s="1"/>
      <c r="AL1786" s="1"/>
      <c r="AM1786" s="1"/>
    </row>
    <row r="1787" spans="16:39" x14ac:dyDescent="0.25">
      <c r="P1787" s="49"/>
      <c r="Q1787" s="1"/>
      <c r="S1787" s="1"/>
      <c r="T1787" s="1"/>
      <c r="U1787" s="1"/>
      <c r="V1787" s="1"/>
      <c r="W1787" s="1"/>
      <c r="X1787" s="1"/>
      <c r="Y1787" s="1"/>
      <c r="AB1787" s="1"/>
      <c r="AC1787" s="1"/>
      <c r="AD1787" s="1"/>
      <c r="AE1787" s="1"/>
      <c r="AF1787" s="1"/>
      <c r="AG1787" s="1"/>
      <c r="AH1787" s="1"/>
      <c r="AI1787" s="1"/>
      <c r="AJ1787" s="1"/>
      <c r="AK1787" s="1"/>
      <c r="AL1787" s="1"/>
      <c r="AM1787" s="1"/>
    </row>
    <row r="1788" spans="16:39" x14ac:dyDescent="0.25">
      <c r="P1788" s="49"/>
      <c r="Q1788" s="1"/>
      <c r="S1788" s="1"/>
      <c r="T1788" s="1"/>
      <c r="U1788" s="1"/>
      <c r="V1788" s="1"/>
      <c r="W1788" s="1"/>
      <c r="X1788" s="1"/>
      <c r="Y1788" s="1"/>
      <c r="AB1788" s="1"/>
      <c r="AC1788" s="1"/>
      <c r="AD1788" s="1"/>
      <c r="AE1788" s="1"/>
      <c r="AF1788" s="1"/>
      <c r="AG1788" s="1"/>
      <c r="AH1788" s="1"/>
      <c r="AI1788" s="1"/>
      <c r="AJ1788" s="1"/>
      <c r="AK1788" s="1"/>
      <c r="AL1788" s="1"/>
      <c r="AM1788" s="1"/>
    </row>
    <row r="1789" spans="16:39" x14ac:dyDescent="0.25">
      <c r="P1789" s="49"/>
      <c r="Q1789" s="1"/>
      <c r="S1789" s="1"/>
      <c r="T1789" s="1"/>
      <c r="U1789" s="1"/>
      <c r="V1789" s="1"/>
      <c r="W1789" s="1"/>
      <c r="X1789" s="1"/>
      <c r="Y1789" s="1"/>
      <c r="AB1789" s="1"/>
      <c r="AC1789" s="1"/>
      <c r="AD1789" s="1"/>
      <c r="AE1789" s="1"/>
      <c r="AF1789" s="1"/>
      <c r="AG1789" s="1"/>
      <c r="AH1789" s="1"/>
      <c r="AI1789" s="1"/>
      <c r="AJ1789" s="1"/>
      <c r="AK1789" s="1"/>
      <c r="AL1789" s="1"/>
      <c r="AM1789" s="1"/>
    </row>
    <row r="1790" spans="16:39" x14ac:dyDescent="0.25">
      <c r="P1790" s="49"/>
      <c r="Q1790" s="1"/>
      <c r="S1790" s="1"/>
      <c r="T1790" s="1"/>
      <c r="U1790" s="1"/>
      <c r="V1790" s="1"/>
      <c r="W1790" s="1"/>
      <c r="X1790" s="1"/>
      <c r="Y1790" s="1"/>
      <c r="AB1790" s="1"/>
      <c r="AC1790" s="1"/>
      <c r="AD1790" s="1"/>
      <c r="AE1790" s="1"/>
      <c r="AF1790" s="1"/>
      <c r="AG1790" s="1"/>
      <c r="AH1790" s="1"/>
      <c r="AI1790" s="1"/>
      <c r="AJ1790" s="1"/>
      <c r="AK1790" s="1"/>
      <c r="AL1790" s="1"/>
      <c r="AM1790" s="1"/>
    </row>
    <row r="1791" spans="16:39" x14ac:dyDescent="0.25">
      <c r="P1791" s="49"/>
      <c r="Q1791" s="1"/>
      <c r="S1791" s="1"/>
      <c r="T1791" s="1"/>
      <c r="U1791" s="1"/>
      <c r="V1791" s="1"/>
      <c r="W1791" s="1"/>
      <c r="X1791" s="1"/>
      <c r="Y1791" s="1"/>
      <c r="AB1791" s="1"/>
      <c r="AC1791" s="1"/>
      <c r="AD1791" s="1"/>
      <c r="AE1791" s="1"/>
      <c r="AF1791" s="1"/>
      <c r="AG1791" s="1"/>
      <c r="AH1791" s="1"/>
      <c r="AI1791" s="1"/>
      <c r="AJ1791" s="1"/>
      <c r="AK1791" s="1"/>
      <c r="AL1791" s="1"/>
      <c r="AM1791" s="1"/>
    </row>
    <row r="1792" spans="16:39" x14ac:dyDescent="0.25">
      <c r="P1792" s="49"/>
      <c r="Q1792" s="1"/>
      <c r="S1792" s="1"/>
      <c r="T1792" s="1"/>
      <c r="U1792" s="1"/>
      <c r="V1792" s="1"/>
      <c r="W1792" s="1"/>
      <c r="X1792" s="1"/>
      <c r="Y1792" s="1"/>
      <c r="AB1792" s="1"/>
      <c r="AC1792" s="1"/>
      <c r="AD1792" s="1"/>
      <c r="AE1792" s="1"/>
      <c r="AF1792" s="1"/>
      <c r="AG1792" s="1"/>
      <c r="AH1792" s="1"/>
      <c r="AI1792" s="1"/>
      <c r="AJ1792" s="1"/>
      <c r="AK1792" s="1"/>
      <c r="AL1792" s="1"/>
      <c r="AM1792" s="1"/>
    </row>
    <row r="1793" spans="16:39" x14ac:dyDescent="0.25">
      <c r="P1793" s="49"/>
      <c r="Q1793" s="1"/>
      <c r="S1793" s="1"/>
      <c r="T1793" s="1"/>
      <c r="U1793" s="1"/>
      <c r="V1793" s="1"/>
      <c r="W1793" s="1"/>
      <c r="X1793" s="1"/>
      <c r="Y1793" s="1"/>
      <c r="AB1793" s="1"/>
      <c r="AC1793" s="1"/>
      <c r="AD1793" s="1"/>
      <c r="AE1793" s="1"/>
      <c r="AF1793" s="1"/>
      <c r="AG1793" s="1"/>
      <c r="AH1793" s="1"/>
      <c r="AI1793" s="1"/>
      <c r="AJ1793" s="1"/>
      <c r="AK1793" s="1"/>
      <c r="AL1793" s="1"/>
      <c r="AM1793" s="1"/>
    </row>
    <row r="1794" spans="16:39" x14ac:dyDescent="0.25">
      <c r="P1794" s="49"/>
      <c r="Q1794" s="1"/>
      <c r="S1794" s="1"/>
      <c r="T1794" s="1"/>
      <c r="U1794" s="1"/>
      <c r="V1794" s="1"/>
      <c r="W1794" s="1"/>
      <c r="X1794" s="1"/>
      <c r="Y1794" s="1"/>
      <c r="AB1794" s="1"/>
      <c r="AC1794" s="1"/>
      <c r="AD1794" s="1"/>
      <c r="AE1794" s="1"/>
      <c r="AF1794" s="1"/>
      <c r="AG1794" s="1"/>
      <c r="AH1794" s="1"/>
      <c r="AI1794" s="1"/>
      <c r="AJ1794" s="1"/>
      <c r="AK1794" s="1"/>
      <c r="AL1794" s="1"/>
      <c r="AM1794" s="1"/>
    </row>
    <row r="1795" spans="16:39" x14ac:dyDescent="0.25">
      <c r="P1795" s="49"/>
      <c r="Q1795" s="1"/>
      <c r="S1795" s="1"/>
      <c r="T1795" s="1"/>
      <c r="U1795" s="1"/>
      <c r="V1795" s="1"/>
      <c r="W1795" s="1"/>
      <c r="X1795" s="1"/>
      <c r="Y1795" s="1"/>
      <c r="AB1795" s="1"/>
      <c r="AC1795" s="1"/>
      <c r="AD1795" s="1"/>
      <c r="AE1795" s="1"/>
      <c r="AF1795" s="1"/>
      <c r="AG1795" s="1"/>
      <c r="AH1795" s="1"/>
      <c r="AI1795" s="1"/>
      <c r="AJ1795" s="1"/>
      <c r="AK1795" s="1"/>
      <c r="AL1795" s="1"/>
      <c r="AM1795" s="1"/>
    </row>
    <row r="1796" spans="16:39" x14ac:dyDescent="0.25">
      <c r="P1796" s="49"/>
      <c r="Q1796" s="1"/>
      <c r="S1796" s="1"/>
      <c r="T1796" s="1"/>
      <c r="U1796" s="1"/>
      <c r="V1796" s="1"/>
      <c r="W1796" s="1"/>
      <c r="X1796" s="1"/>
      <c r="Y1796" s="1"/>
      <c r="AB1796" s="1"/>
      <c r="AC1796" s="1"/>
      <c r="AD1796" s="1"/>
      <c r="AE1796" s="1"/>
      <c r="AF1796" s="1"/>
      <c r="AG1796" s="1"/>
      <c r="AH1796" s="1"/>
      <c r="AI1796" s="1"/>
      <c r="AJ1796" s="1"/>
      <c r="AK1796" s="1"/>
      <c r="AL1796" s="1"/>
      <c r="AM1796" s="1"/>
    </row>
    <row r="1797" spans="16:39" x14ac:dyDescent="0.25">
      <c r="P1797" s="49"/>
      <c r="Q1797" s="1"/>
      <c r="S1797" s="1"/>
      <c r="T1797" s="1"/>
      <c r="U1797" s="1"/>
      <c r="V1797" s="1"/>
      <c r="W1797" s="1"/>
      <c r="X1797" s="1"/>
      <c r="Y1797" s="1"/>
      <c r="AB1797" s="1"/>
      <c r="AC1797" s="1"/>
      <c r="AD1797" s="1"/>
      <c r="AE1797" s="1"/>
      <c r="AF1797" s="1"/>
      <c r="AG1797" s="1"/>
      <c r="AH1797" s="1"/>
      <c r="AI1797" s="1"/>
      <c r="AJ1797" s="1"/>
      <c r="AK1797" s="1"/>
      <c r="AL1797" s="1"/>
      <c r="AM1797" s="1"/>
    </row>
    <row r="1798" spans="16:39" x14ac:dyDescent="0.25">
      <c r="P1798" s="49"/>
      <c r="Q1798" s="1"/>
      <c r="S1798" s="1"/>
      <c r="T1798" s="1"/>
      <c r="U1798" s="1"/>
      <c r="V1798" s="1"/>
      <c r="W1798" s="1"/>
      <c r="X1798" s="1"/>
      <c r="Y1798" s="1"/>
      <c r="AB1798" s="1"/>
      <c r="AC1798" s="1"/>
      <c r="AD1798" s="1"/>
      <c r="AE1798" s="1"/>
      <c r="AF1798" s="1"/>
      <c r="AG1798" s="1"/>
      <c r="AH1798" s="1"/>
      <c r="AI1798" s="1"/>
      <c r="AJ1798" s="1"/>
      <c r="AK1798" s="1"/>
      <c r="AL1798" s="1"/>
      <c r="AM1798" s="1"/>
    </row>
    <row r="1799" spans="16:39" x14ac:dyDescent="0.25">
      <c r="P1799" s="49"/>
      <c r="Q1799" s="1"/>
      <c r="S1799" s="1"/>
      <c r="T1799" s="1"/>
      <c r="U1799" s="1"/>
      <c r="V1799" s="1"/>
      <c r="W1799" s="1"/>
      <c r="X1799" s="1"/>
      <c r="Y1799" s="1"/>
      <c r="AB1799" s="1"/>
      <c r="AC1799" s="1"/>
      <c r="AD1799" s="1"/>
      <c r="AE1799" s="1"/>
      <c r="AF1799" s="1"/>
      <c r="AG1799" s="1"/>
      <c r="AH1799" s="1"/>
      <c r="AI1799" s="1"/>
      <c r="AJ1799" s="1"/>
      <c r="AK1799" s="1"/>
      <c r="AL1799" s="1"/>
      <c r="AM1799" s="1"/>
    </row>
    <row r="1800" spans="16:39" x14ac:dyDescent="0.25">
      <c r="P1800" s="49"/>
      <c r="Q1800" s="1"/>
      <c r="S1800" s="1"/>
      <c r="T1800" s="1"/>
      <c r="U1800" s="1"/>
      <c r="V1800" s="1"/>
      <c r="W1800" s="1"/>
      <c r="X1800" s="1"/>
      <c r="Y1800" s="1"/>
      <c r="AB1800" s="1"/>
      <c r="AC1800" s="1"/>
      <c r="AD1800" s="1"/>
      <c r="AE1800" s="1"/>
      <c r="AF1800" s="1"/>
      <c r="AG1800" s="1"/>
      <c r="AH1800" s="1"/>
      <c r="AI1800" s="1"/>
      <c r="AJ1800" s="1"/>
      <c r="AK1800" s="1"/>
      <c r="AL1800" s="1"/>
      <c r="AM1800" s="1"/>
    </row>
    <row r="1801" spans="16:39" x14ac:dyDescent="0.25">
      <c r="P1801" s="49"/>
      <c r="Q1801" s="1"/>
      <c r="S1801" s="1"/>
      <c r="T1801" s="1"/>
      <c r="U1801" s="1"/>
      <c r="V1801" s="1"/>
      <c r="W1801" s="1"/>
      <c r="X1801" s="1"/>
      <c r="Y1801" s="1"/>
      <c r="AB1801" s="1"/>
      <c r="AC1801" s="1"/>
      <c r="AD1801" s="1"/>
      <c r="AE1801" s="1"/>
      <c r="AF1801" s="1"/>
      <c r="AG1801" s="1"/>
      <c r="AH1801" s="1"/>
      <c r="AI1801" s="1"/>
      <c r="AJ1801" s="1"/>
      <c r="AK1801" s="1"/>
      <c r="AL1801" s="1"/>
      <c r="AM1801" s="1"/>
    </row>
    <row r="1802" spans="16:39" x14ac:dyDescent="0.25">
      <c r="P1802" s="49"/>
      <c r="Q1802" s="1"/>
      <c r="S1802" s="1"/>
      <c r="T1802" s="1"/>
      <c r="U1802" s="1"/>
      <c r="V1802" s="1"/>
      <c r="W1802" s="1"/>
      <c r="X1802" s="1"/>
      <c r="Y1802" s="1"/>
      <c r="AB1802" s="1"/>
      <c r="AC1802" s="1"/>
      <c r="AD1802" s="1"/>
      <c r="AE1802" s="1"/>
      <c r="AF1802" s="1"/>
      <c r="AG1802" s="1"/>
      <c r="AH1802" s="1"/>
      <c r="AI1802" s="1"/>
      <c r="AJ1802" s="1"/>
      <c r="AK1802" s="1"/>
      <c r="AL1802" s="1"/>
      <c r="AM1802" s="1"/>
    </row>
    <row r="1803" spans="16:39" x14ac:dyDescent="0.25">
      <c r="P1803" s="49"/>
      <c r="Q1803" s="1"/>
      <c r="S1803" s="1"/>
      <c r="T1803" s="1"/>
      <c r="U1803" s="1"/>
      <c r="V1803" s="1"/>
      <c r="W1803" s="1"/>
      <c r="X1803" s="1"/>
      <c r="Y1803" s="1"/>
      <c r="AB1803" s="1"/>
      <c r="AC1803" s="1"/>
      <c r="AD1803" s="1"/>
      <c r="AE1803" s="1"/>
      <c r="AF1803" s="1"/>
      <c r="AG1803" s="1"/>
      <c r="AH1803" s="1"/>
      <c r="AI1803" s="1"/>
      <c r="AJ1803" s="1"/>
      <c r="AK1803" s="1"/>
      <c r="AL1803" s="1"/>
      <c r="AM1803" s="1"/>
    </row>
    <row r="1804" spans="16:39" x14ac:dyDescent="0.25">
      <c r="P1804" s="49"/>
      <c r="Q1804" s="1"/>
      <c r="S1804" s="1"/>
      <c r="T1804" s="1"/>
      <c r="U1804" s="1"/>
      <c r="V1804" s="1"/>
      <c r="W1804" s="1"/>
      <c r="X1804" s="1"/>
      <c r="Y1804" s="1"/>
      <c r="AB1804" s="1"/>
      <c r="AC1804" s="1"/>
      <c r="AD1804" s="1"/>
      <c r="AE1804" s="1"/>
      <c r="AF1804" s="1"/>
      <c r="AG1804" s="1"/>
      <c r="AH1804" s="1"/>
      <c r="AI1804" s="1"/>
      <c r="AJ1804" s="1"/>
      <c r="AK1804" s="1"/>
      <c r="AL1804" s="1"/>
      <c r="AM1804" s="1"/>
    </row>
    <row r="1805" spans="16:39" x14ac:dyDescent="0.25">
      <c r="P1805" s="49"/>
      <c r="Q1805" s="1"/>
      <c r="S1805" s="1"/>
      <c r="T1805" s="1"/>
      <c r="U1805" s="1"/>
      <c r="V1805" s="1"/>
      <c r="W1805" s="1"/>
      <c r="X1805" s="1"/>
      <c r="Y1805" s="1"/>
      <c r="AB1805" s="1"/>
      <c r="AC1805" s="1"/>
      <c r="AD1805" s="1"/>
      <c r="AE1805" s="1"/>
      <c r="AF1805" s="1"/>
      <c r="AG1805" s="1"/>
      <c r="AH1805" s="1"/>
      <c r="AI1805" s="1"/>
      <c r="AJ1805" s="1"/>
      <c r="AK1805" s="1"/>
      <c r="AL1805" s="1"/>
      <c r="AM1805" s="1"/>
    </row>
    <row r="1806" spans="16:39" x14ac:dyDescent="0.25">
      <c r="P1806" s="49"/>
      <c r="Q1806" s="1"/>
      <c r="S1806" s="1"/>
      <c r="T1806" s="1"/>
      <c r="U1806" s="1"/>
      <c r="V1806" s="1"/>
      <c r="W1806" s="1"/>
      <c r="X1806" s="1"/>
      <c r="Y1806" s="1"/>
      <c r="AB1806" s="1"/>
      <c r="AC1806" s="1"/>
      <c r="AD1806" s="1"/>
      <c r="AE1806" s="1"/>
      <c r="AF1806" s="1"/>
      <c r="AG1806" s="1"/>
      <c r="AH1806" s="1"/>
      <c r="AI1806" s="1"/>
      <c r="AJ1806" s="1"/>
      <c r="AK1806" s="1"/>
      <c r="AL1806" s="1"/>
      <c r="AM1806" s="1"/>
    </row>
    <row r="1807" spans="16:39" x14ac:dyDescent="0.25">
      <c r="P1807" s="49"/>
      <c r="Q1807" s="1"/>
      <c r="S1807" s="1"/>
      <c r="T1807" s="1"/>
      <c r="U1807" s="1"/>
      <c r="V1807" s="1"/>
      <c r="W1807" s="1"/>
      <c r="X1807" s="1"/>
      <c r="Y1807" s="1"/>
      <c r="AB1807" s="1"/>
      <c r="AC1807" s="1"/>
      <c r="AD1807" s="1"/>
      <c r="AE1807" s="1"/>
      <c r="AF1807" s="1"/>
      <c r="AG1807" s="1"/>
      <c r="AH1807" s="1"/>
      <c r="AI1807" s="1"/>
      <c r="AJ1807" s="1"/>
      <c r="AK1807" s="1"/>
      <c r="AL1807" s="1"/>
      <c r="AM1807" s="1"/>
    </row>
    <row r="1808" spans="16:39" x14ac:dyDescent="0.25">
      <c r="P1808" s="49"/>
      <c r="Q1808" s="1"/>
      <c r="S1808" s="1"/>
      <c r="T1808" s="1"/>
      <c r="U1808" s="1"/>
      <c r="V1808" s="1"/>
      <c r="W1808" s="1"/>
      <c r="X1808" s="1"/>
      <c r="Y1808" s="1"/>
      <c r="AB1808" s="1"/>
      <c r="AC1808" s="1"/>
      <c r="AD1808" s="1"/>
      <c r="AE1808" s="1"/>
      <c r="AF1808" s="1"/>
      <c r="AG1808" s="1"/>
      <c r="AH1808" s="1"/>
      <c r="AI1808" s="1"/>
      <c r="AJ1808" s="1"/>
      <c r="AK1808" s="1"/>
      <c r="AL1808" s="1"/>
      <c r="AM1808" s="1"/>
    </row>
    <row r="1809" spans="16:39" x14ac:dyDescent="0.25">
      <c r="P1809" s="49"/>
      <c r="Q1809" s="1"/>
      <c r="S1809" s="1"/>
      <c r="T1809" s="1"/>
      <c r="U1809" s="1"/>
      <c r="V1809" s="1"/>
      <c r="W1809" s="1"/>
      <c r="X1809" s="1"/>
      <c r="Y1809" s="1"/>
      <c r="AB1809" s="1"/>
      <c r="AC1809" s="1"/>
      <c r="AD1809" s="1"/>
      <c r="AE1809" s="1"/>
      <c r="AF1809" s="1"/>
      <c r="AG1809" s="1"/>
      <c r="AH1809" s="1"/>
      <c r="AI1809" s="1"/>
      <c r="AJ1809" s="1"/>
      <c r="AK1809" s="1"/>
      <c r="AL1809" s="1"/>
      <c r="AM1809" s="1"/>
    </row>
    <row r="1810" spans="16:39" x14ac:dyDescent="0.25">
      <c r="P1810" s="49"/>
      <c r="Q1810" s="1"/>
      <c r="S1810" s="1"/>
      <c r="T1810" s="1"/>
      <c r="U1810" s="1"/>
      <c r="V1810" s="1"/>
      <c r="W1810" s="1"/>
      <c r="X1810" s="1"/>
      <c r="Y1810" s="1"/>
      <c r="AB1810" s="1"/>
      <c r="AC1810" s="1"/>
      <c r="AD1810" s="1"/>
      <c r="AE1810" s="1"/>
      <c r="AF1810" s="1"/>
      <c r="AG1810" s="1"/>
      <c r="AH1810" s="1"/>
      <c r="AI1810" s="1"/>
      <c r="AJ1810" s="1"/>
      <c r="AK1810" s="1"/>
      <c r="AL1810" s="1"/>
      <c r="AM1810" s="1"/>
    </row>
    <row r="1811" spans="16:39" x14ac:dyDescent="0.25">
      <c r="P1811" s="49"/>
      <c r="Q1811" s="1"/>
      <c r="S1811" s="1"/>
      <c r="T1811" s="1"/>
      <c r="U1811" s="1"/>
      <c r="V1811" s="1"/>
      <c r="W1811" s="1"/>
      <c r="X1811" s="1"/>
      <c r="Y1811" s="1"/>
      <c r="AB1811" s="1"/>
      <c r="AC1811" s="1"/>
      <c r="AD1811" s="1"/>
      <c r="AE1811" s="1"/>
      <c r="AF1811" s="1"/>
      <c r="AG1811" s="1"/>
      <c r="AH1811" s="1"/>
      <c r="AI1811" s="1"/>
      <c r="AJ1811" s="1"/>
      <c r="AK1811" s="1"/>
      <c r="AL1811" s="1"/>
      <c r="AM1811" s="1"/>
    </row>
    <row r="1812" spans="16:39" x14ac:dyDescent="0.25">
      <c r="P1812" s="49"/>
      <c r="Q1812" s="1"/>
      <c r="S1812" s="1"/>
      <c r="T1812" s="1"/>
      <c r="U1812" s="1"/>
      <c r="V1812" s="1"/>
      <c r="W1812" s="1"/>
      <c r="X1812" s="1"/>
      <c r="Y1812" s="1"/>
      <c r="AB1812" s="1"/>
      <c r="AC1812" s="1"/>
      <c r="AD1812" s="1"/>
      <c r="AE1812" s="1"/>
      <c r="AF1812" s="1"/>
      <c r="AG1812" s="1"/>
      <c r="AH1812" s="1"/>
      <c r="AI1812" s="1"/>
      <c r="AJ1812" s="1"/>
      <c r="AK1812" s="1"/>
      <c r="AL1812" s="1"/>
      <c r="AM1812" s="1"/>
    </row>
    <row r="1813" spans="16:39" x14ac:dyDescent="0.25">
      <c r="P1813" s="49"/>
      <c r="Q1813" s="1"/>
      <c r="S1813" s="1"/>
      <c r="T1813" s="1"/>
      <c r="U1813" s="1"/>
      <c r="V1813" s="1"/>
      <c r="W1813" s="1"/>
      <c r="X1813" s="1"/>
      <c r="Y1813" s="1"/>
      <c r="AB1813" s="1"/>
      <c r="AC1813" s="1"/>
      <c r="AD1813" s="1"/>
      <c r="AE1813" s="1"/>
      <c r="AF1813" s="1"/>
      <c r="AG1813" s="1"/>
      <c r="AH1813" s="1"/>
      <c r="AI1813" s="1"/>
      <c r="AJ1813" s="1"/>
      <c r="AK1813" s="1"/>
      <c r="AL1813" s="1"/>
      <c r="AM1813" s="1"/>
    </row>
    <row r="1814" spans="16:39" x14ac:dyDescent="0.25">
      <c r="P1814" s="49"/>
      <c r="Q1814" s="1"/>
      <c r="S1814" s="1"/>
      <c r="T1814" s="1"/>
      <c r="U1814" s="1"/>
      <c r="V1814" s="1"/>
      <c r="W1814" s="1"/>
      <c r="X1814" s="1"/>
      <c r="Y1814" s="1"/>
      <c r="AB1814" s="1"/>
      <c r="AC1814" s="1"/>
      <c r="AD1814" s="1"/>
      <c r="AE1814" s="1"/>
      <c r="AF1814" s="1"/>
      <c r="AG1814" s="1"/>
      <c r="AH1814" s="1"/>
      <c r="AI1814" s="1"/>
      <c r="AJ1814" s="1"/>
      <c r="AK1814" s="1"/>
      <c r="AL1814" s="1"/>
      <c r="AM1814" s="1"/>
    </row>
    <row r="1815" spans="16:39" x14ac:dyDescent="0.25">
      <c r="P1815" s="49"/>
      <c r="Q1815" s="1"/>
      <c r="S1815" s="1"/>
      <c r="T1815" s="1"/>
      <c r="U1815" s="1"/>
      <c r="V1815" s="1"/>
      <c r="W1815" s="1"/>
      <c r="X1815" s="1"/>
      <c r="Y1815" s="1"/>
      <c r="AB1815" s="1"/>
      <c r="AC1815" s="1"/>
      <c r="AD1815" s="1"/>
      <c r="AE1815" s="1"/>
      <c r="AF1815" s="1"/>
      <c r="AG1815" s="1"/>
      <c r="AH1815" s="1"/>
      <c r="AI1815" s="1"/>
      <c r="AJ1815" s="1"/>
      <c r="AK1815" s="1"/>
      <c r="AL1815" s="1"/>
      <c r="AM1815" s="1"/>
    </row>
    <row r="1816" spans="16:39" x14ac:dyDescent="0.25">
      <c r="P1816" s="49"/>
      <c r="Q1816" s="1"/>
      <c r="S1816" s="1"/>
      <c r="T1816" s="1"/>
      <c r="U1816" s="1"/>
      <c r="V1816" s="1"/>
      <c r="W1816" s="1"/>
      <c r="X1816" s="1"/>
      <c r="Y1816" s="1"/>
      <c r="AB1816" s="1"/>
      <c r="AC1816" s="1"/>
      <c r="AD1816" s="1"/>
      <c r="AE1816" s="1"/>
      <c r="AF1816" s="1"/>
      <c r="AG1816" s="1"/>
      <c r="AH1816" s="1"/>
      <c r="AI1816" s="1"/>
      <c r="AJ1816" s="1"/>
      <c r="AK1816" s="1"/>
      <c r="AL1816" s="1"/>
      <c r="AM1816" s="1"/>
    </row>
    <row r="1817" spans="16:39" x14ac:dyDescent="0.25">
      <c r="P1817" s="49"/>
      <c r="Q1817" s="1"/>
      <c r="S1817" s="1"/>
      <c r="T1817" s="1"/>
      <c r="U1817" s="1"/>
      <c r="V1817" s="1"/>
      <c r="W1817" s="1"/>
      <c r="X1817" s="1"/>
      <c r="Y1817" s="1"/>
      <c r="AB1817" s="1"/>
      <c r="AC1817" s="1"/>
      <c r="AD1817" s="1"/>
      <c r="AE1817" s="1"/>
      <c r="AF1817" s="1"/>
      <c r="AG1817" s="1"/>
      <c r="AH1817" s="1"/>
      <c r="AI1817" s="1"/>
      <c r="AJ1817" s="1"/>
      <c r="AK1817" s="1"/>
      <c r="AL1817" s="1"/>
      <c r="AM1817" s="1"/>
    </row>
    <row r="1818" spans="16:39" x14ac:dyDescent="0.25">
      <c r="P1818" s="49"/>
      <c r="Q1818" s="1"/>
      <c r="S1818" s="1"/>
      <c r="T1818" s="1"/>
      <c r="U1818" s="1"/>
      <c r="V1818" s="1"/>
      <c r="W1818" s="1"/>
      <c r="X1818" s="1"/>
      <c r="Y1818" s="1"/>
      <c r="AB1818" s="1"/>
      <c r="AC1818" s="1"/>
      <c r="AD1818" s="1"/>
      <c r="AE1818" s="1"/>
      <c r="AF1818" s="1"/>
      <c r="AG1818" s="1"/>
      <c r="AH1818" s="1"/>
      <c r="AI1818" s="1"/>
      <c r="AJ1818" s="1"/>
      <c r="AK1818" s="1"/>
      <c r="AL1818" s="1"/>
      <c r="AM1818" s="1"/>
    </row>
    <row r="1819" spans="16:39" x14ac:dyDescent="0.25">
      <c r="P1819" s="49"/>
      <c r="Q1819" s="1"/>
      <c r="S1819" s="1"/>
      <c r="T1819" s="1"/>
      <c r="U1819" s="1"/>
      <c r="V1819" s="1"/>
      <c r="W1819" s="1"/>
      <c r="X1819" s="1"/>
      <c r="Y1819" s="1"/>
      <c r="AB1819" s="1"/>
      <c r="AC1819" s="1"/>
      <c r="AD1819" s="1"/>
      <c r="AE1819" s="1"/>
      <c r="AF1819" s="1"/>
      <c r="AG1819" s="1"/>
      <c r="AH1819" s="1"/>
      <c r="AI1819" s="1"/>
      <c r="AJ1819" s="1"/>
      <c r="AK1819" s="1"/>
      <c r="AL1819" s="1"/>
      <c r="AM1819" s="1"/>
    </row>
    <row r="1820" spans="16:39" x14ac:dyDescent="0.25">
      <c r="P1820" s="49"/>
      <c r="Q1820" s="1"/>
      <c r="S1820" s="1"/>
      <c r="T1820" s="1"/>
      <c r="U1820" s="1"/>
      <c r="V1820" s="1"/>
      <c r="W1820" s="1"/>
      <c r="X1820" s="1"/>
      <c r="Y1820" s="1"/>
      <c r="AB1820" s="1"/>
      <c r="AC1820" s="1"/>
      <c r="AD1820" s="1"/>
      <c r="AE1820" s="1"/>
      <c r="AF1820" s="1"/>
      <c r="AG1820" s="1"/>
      <c r="AH1820" s="1"/>
      <c r="AI1820" s="1"/>
      <c r="AJ1820" s="1"/>
      <c r="AK1820" s="1"/>
      <c r="AL1820" s="1"/>
      <c r="AM1820" s="1"/>
    </row>
    <row r="1821" spans="16:39" x14ac:dyDescent="0.25">
      <c r="P1821" s="49"/>
      <c r="Q1821" s="1"/>
      <c r="S1821" s="1"/>
      <c r="T1821" s="1"/>
      <c r="U1821" s="1"/>
      <c r="V1821" s="1"/>
      <c r="W1821" s="1"/>
      <c r="X1821" s="1"/>
      <c r="Y1821" s="1"/>
      <c r="AB1821" s="1"/>
      <c r="AC1821" s="1"/>
      <c r="AD1821" s="1"/>
      <c r="AE1821" s="1"/>
      <c r="AF1821" s="1"/>
      <c r="AG1821" s="1"/>
      <c r="AH1821" s="1"/>
      <c r="AI1821" s="1"/>
      <c r="AJ1821" s="1"/>
      <c r="AK1821" s="1"/>
      <c r="AL1821" s="1"/>
      <c r="AM1821" s="1"/>
    </row>
    <row r="1822" spans="16:39" x14ac:dyDescent="0.25">
      <c r="P1822" s="49"/>
      <c r="Q1822" s="1"/>
      <c r="S1822" s="1"/>
      <c r="T1822" s="1"/>
      <c r="U1822" s="1"/>
      <c r="V1822" s="1"/>
      <c r="W1822" s="1"/>
      <c r="X1822" s="1"/>
      <c r="Y1822" s="1"/>
      <c r="AB1822" s="1"/>
      <c r="AC1822" s="1"/>
      <c r="AD1822" s="1"/>
      <c r="AE1822" s="1"/>
      <c r="AF1822" s="1"/>
      <c r="AG1822" s="1"/>
      <c r="AH1822" s="1"/>
      <c r="AI1822" s="1"/>
      <c r="AJ1822" s="1"/>
      <c r="AK1822" s="1"/>
      <c r="AL1822" s="1"/>
      <c r="AM1822" s="1"/>
    </row>
    <row r="1823" spans="16:39" x14ac:dyDescent="0.25">
      <c r="P1823" s="49"/>
      <c r="Q1823" s="1"/>
      <c r="S1823" s="1"/>
      <c r="T1823" s="1"/>
      <c r="U1823" s="1"/>
      <c r="V1823" s="1"/>
      <c r="W1823" s="1"/>
      <c r="X1823" s="1"/>
      <c r="Y1823" s="1"/>
      <c r="AB1823" s="1"/>
      <c r="AC1823" s="1"/>
      <c r="AD1823" s="1"/>
      <c r="AE1823" s="1"/>
      <c r="AF1823" s="1"/>
      <c r="AG1823" s="1"/>
      <c r="AH1823" s="1"/>
      <c r="AI1823" s="1"/>
      <c r="AJ1823" s="1"/>
      <c r="AK1823" s="1"/>
      <c r="AL1823" s="1"/>
      <c r="AM1823" s="1"/>
    </row>
    <row r="1824" spans="16:39" x14ac:dyDescent="0.25">
      <c r="P1824" s="49"/>
      <c r="Q1824" s="1"/>
      <c r="S1824" s="1"/>
      <c r="T1824" s="1"/>
      <c r="U1824" s="1"/>
      <c r="V1824" s="1"/>
      <c r="W1824" s="1"/>
      <c r="X1824" s="1"/>
      <c r="Y1824" s="1"/>
      <c r="AB1824" s="1"/>
      <c r="AC1824" s="1"/>
      <c r="AD1824" s="1"/>
      <c r="AE1824" s="1"/>
      <c r="AF1824" s="1"/>
      <c r="AG1824" s="1"/>
      <c r="AH1824" s="1"/>
      <c r="AI1824" s="1"/>
      <c r="AJ1824" s="1"/>
      <c r="AK1824" s="1"/>
      <c r="AL1824" s="1"/>
      <c r="AM1824" s="1"/>
    </row>
    <row r="1825" spans="16:39" x14ac:dyDescent="0.25">
      <c r="P1825" s="49"/>
      <c r="Q1825" s="1"/>
      <c r="S1825" s="1"/>
      <c r="T1825" s="1"/>
      <c r="U1825" s="1"/>
      <c r="V1825" s="1"/>
      <c r="W1825" s="1"/>
      <c r="X1825" s="1"/>
      <c r="Y1825" s="1"/>
      <c r="AB1825" s="1"/>
      <c r="AC1825" s="1"/>
      <c r="AD1825" s="1"/>
      <c r="AE1825" s="1"/>
      <c r="AF1825" s="1"/>
      <c r="AG1825" s="1"/>
      <c r="AH1825" s="1"/>
      <c r="AI1825" s="1"/>
      <c r="AJ1825" s="1"/>
      <c r="AK1825" s="1"/>
      <c r="AL1825" s="1"/>
      <c r="AM1825" s="1"/>
    </row>
    <row r="1826" spans="16:39" x14ac:dyDescent="0.25">
      <c r="P1826" s="49"/>
      <c r="Q1826" s="1"/>
      <c r="S1826" s="1"/>
      <c r="T1826" s="1"/>
      <c r="U1826" s="1"/>
      <c r="V1826" s="1"/>
      <c r="W1826" s="1"/>
      <c r="X1826" s="1"/>
      <c r="Y1826" s="1"/>
      <c r="AB1826" s="1"/>
      <c r="AC1826" s="1"/>
      <c r="AD1826" s="1"/>
      <c r="AE1826" s="1"/>
      <c r="AF1826" s="1"/>
      <c r="AG1826" s="1"/>
      <c r="AH1826" s="1"/>
      <c r="AI1826" s="1"/>
      <c r="AJ1826" s="1"/>
      <c r="AK1826" s="1"/>
      <c r="AL1826" s="1"/>
      <c r="AM1826" s="1"/>
    </row>
    <row r="1827" spans="16:39" x14ac:dyDescent="0.25">
      <c r="P1827" s="49"/>
      <c r="Q1827" s="1"/>
      <c r="S1827" s="1"/>
      <c r="T1827" s="1"/>
      <c r="U1827" s="1"/>
      <c r="V1827" s="1"/>
      <c r="W1827" s="1"/>
      <c r="X1827" s="1"/>
      <c r="Y1827" s="1"/>
      <c r="AB1827" s="1"/>
      <c r="AC1827" s="1"/>
      <c r="AD1827" s="1"/>
      <c r="AE1827" s="1"/>
      <c r="AF1827" s="1"/>
      <c r="AG1827" s="1"/>
      <c r="AH1827" s="1"/>
      <c r="AI1827" s="1"/>
      <c r="AJ1827" s="1"/>
      <c r="AK1827" s="1"/>
      <c r="AL1827" s="1"/>
      <c r="AM1827" s="1"/>
    </row>
    <row r="1828" spans="16:39" x14ac:dyDescent="0.25">
      <c r="P1828" s="49"/>
      <c r="Q1828" s="1"/>
      <c r="S1828" s="1"/>
      <c r="T1828" s="1"/>
      <c r="U1828" s="1"/>
      <c r="V1828" s="1"/>
      <c r="W1828" s="1"/>
      <c r="X1828" s="1"/>
      <c r="Y1828" s="1"/>
      <c r="AB1828" s="1"/>
      <c r="AC1828" s="1"/>
      <c r="AD1828" s="1"/>
      <c r="AE1828" s="1"/>
      <c r="AF1828" s="1"/>
      <c r="AG1828" s="1"/>
      <c r="AH1828" s="1"/>
      <c r="AI1828" s="1"/>
      <c r="AJ1828" s="1"/>
      <c r="AK1828" s="1"/>
      <c r="AL1828" s="1"/>
      <c r="AM1828" s="1"/>
    </row>
    <row r="1829" spans="16:39" x14ac:dyDescent="0.25">
      <c r="P1829" s="49"/>
      <c r="Q1829" s="1"/>
      <c r="S1829" s="1"/>
      <c r="T1829" s="1"/>
      <c r="U1829" s="1"/>
      <c r="V1829" s="1"/>
      <c r="W1829" s="1"/>
      <c r="X1829" s="1"/>
      <c r="Y1829" s="1"/>
      <c r="AB1829" s="1"/>
      <c r="AC1829" s="1"/>
      <c r="AD1829" s="1"/>
      <c r="AE1829" s="1"/>
      <c r="AF1829" s="1"/>
      <c r="AG1829" s="1"/>
      <c r="AH1829" s="1"/>
      <c r="AI1829" s="1"/>
      <c r="AJ1829" s="1"/>
      <c r="AK1829" s="1"/>
      <c r="AL1829" s="1"/>
      <c r="AM1829" s="1"/>
    </row>
    <row r="1830" spans="16:39" x14ac:dyDescent="0.25">
      <c r="P1830" s="49"/>
      <c r="Q1830" s="1"/>
      <c r="S1830" s="1"/>
      <c r="T1830" s="1"/>
      <c r="U1830" s="1"/>
      <c r="V1830" s="1"/>
      <c r="W1830" s="1"/>
      <c r="X1830" s="1"/>
      <c r="Y1830" s="1"/>
      <c r="AB1830" s="1"/>
      <c r="AC1830" s="1"/>
      <c r="AD1830" s="1"/>
      <c r="AE1830" s="1"/>
      <c r="AF1830" s="1"/>
      <c r="AG1830" s="1"/>
      <c r="AH1830" s="1"/>
      <c r="AI1830" s="1"/>
      <c r="AJ1830" s="1"/>
      <c r="AK1830" s="1"/>
      <c r="AL1830" s="1"/>
      <c r="AM1830" s="1"/>
    </row>
    <row r="1831" spans="16:39" x14ac:dyDescent="0.25">
      <c r="P1831" s="49"/>
      <c r="Q1831" s="1"/>
      <c r="S1831" s="1"/>
      <c r="T1831" s="1"/>
      <c r="U1831" s="1"/>
      <c r="V1831" s="1"/>
      <c r="W1831" s="1"/>
      <c r="X1831" s="1"/>
      <c r="Y1831" s="1"/>
      <c r="AB1831" s="1"/>
      <c r="AC1831" s="1"/>
      <c r="AD1831" s="1"/>
      <c r="AE1831" s="1"/>
      <c r="AF1831" s="1"/>
      <c r="AG1831" s="1"/>
      <c r="AH1831" s="1"/>
      <c r="AI1831" s="1"/>
      <c r="AJ1831" s="1"/>
      <c r="AK1831" s="1"/>
      <c r="AL1831" s="1"/>
      <c r="AM1831" s="1"/>
    </row>
    <row r="1832" spans="16:39" x14ac:dyDescent="0.25">
      <c r="P1832" s="49"/>
      <c r="Q1832" s="1"/>
      <c r="S1832" s="1"/>
      <c r="T1832" s="1"/>
      <c r="U1832" s="1"/>
      <c r="V1832" s="1"/>
      <c r="W1832" s="1"/>
      <c r="X1832" s="1"/>
      <c r="Y1832" s="1"/>
      <c r="AB1832" s="1"/>
      <c r="AC1832" s="1"/>
      <c r="AD1832" s="1"/>
      <c r="AE1832" s="1"/>
      <c r="AF1832" s="1"/>
      <c r="AG1832" s="1"/>
      <c r="AH1832" s="1"/>
      <c r="AI1832" s="1"/>
      <c r="AJ1832" s="1"/>
      <c r="AK1832" s="1"/>
      <c r="AL1832" s="1"/>
      <c r="AM1832" s="1"/>
    </row>
    <row r="1833" spans="16:39" x14ac:dyDescent="0.25">
      <c r="P1833" s="49"/>
      <c r="Q1833" s="1"/>
      <c r="S1833" s="1"/>
      <c r="T1833" s="1"/>
      <c r="U1833" s="1"/>
      <c r="V1833" s="1"/>
      <c r="W1833" s="1"/>
      <c r="X1833" s="1"/>
      <c r="Y1833" s="1"/>
      <c r="AB1833" s="1"/>
      <c r="AC1833" s="1"/>
      <c r="AD1833" s="1"/>
      <c r="AE1833" s="1"/>
      <c r="AF1833" s="1"/>
      <c r="AG1833" s="1"/>
      <c r="AH1833" s="1"/>
      <c r="AI1833" s="1"/>
      <c r="AJ1833" s="1"/>
      <c r="AK1833" s="1"/>
      <c r="AL1833" s="1"/>
      <c r="AM1833" s="1"/>
    </row>
    <row r="1834" spans="16:39" x14ac:dyDescent="0.25">
      <c r="P1834" s="49"/>
      <c r="Q1834" s="1"/>
      <c r="S1834" s="1"/>
      <c r="T1834" s="1"/>
      <c r="U1834" s="1"/>
      <c r="V1834" s="1"/>
      <c r="W1834" s="1"/>
      <c r="X1834" s="1"/>
      <c r="Y1834" s="1"/>
      <c r="AB1834" s="1"/>
      <c r="AC1834" s="1"/>
      <c r="AD1834" s="1"/>
      <c r="AE1834" s="1"/>
      <c r="AF1834" s="1"/>
      <c r="AG1834" s="1"/>
      <c r="AH1834" s="1"/>
      <c r="AI1834" s="1"/>
      <c r="AJ1834" s="1"/>
      <c r="AK1834" s="1"/>
      <c r="AL1834" s="1"/>
      <c r="AM1834" s="1"/>
    </row>
    <row r="1835" spans="16:39" x14ac:dyDescent="0.25">
      <c r="P1835" s="49"/>
      <c r="Q1835" s="1"/>
      <c r="S1835" s="1"/>
      <c r="T1835" s="1"/>
      <c r="U1835" s="1"/>
      <c r="V1835" s="1"/>
      <c r="W1835" s="1"/>
      <c r="X1835" s="1"/>
      <c r="Y1835" s="1"/>
      <c r="AB1835" s="1"/>
      <c r="AC1835" s="1"/>
      <c r="AD1835" s="1"/>
      <c r="AE1835" s="1"/>
      <c r="AF1835" s="1"/>
      <c r="AG1835" s="1"/>
      <c r="AH1835" s="1"/>
      <c r="AI1835" s="1"/>
      <c r="AJ1835" s="1"/>
      <c r="AK1835" s="1"/>
      <c r="AL1835" s="1"/>
      <c r="AM1835" s="1"/>
    </row>
    <row r="1836" spans="16:39" x14ac:dyDescent="0.25">
      <c r="P1836" s="49"/>
      <c r="Q1836" s="1"/>
      <c r="S1836" s="1"/>
      <c r="T1836" s="1"/>
      <c r="U1836" s="1"/>
      <c r="V1836" s="1"/>
      <c r="W1836" s="1"/>
      <c r="X1836" s="1"/>
      <c r="Y1836" s="1"/>
      <c r="AB1836" s="1"/>
      <c r="AC1836" s="1"/>
      <c r="AD1836" s="1"/>
      <c r="AE1836" s="1"/>
      <c r="AF1836" s="1"/>
      <c r="AG1836" s="1"/>
      <c r="AH1836" s="1"/>
      <c r="AI1836" s="1"/>
      <c r="AJ1836" s="1"/>
      <c r="AK1836" s="1"/>
      <c r="AL1836" s="1"/>
      <c r="AM1836" s="1"/>
    </row>
    <row r="1837" spans="16:39" x14ac:dyDescent="0.25">
      <c r="P1837" s="49"/>
      <c r="Q1837" s="1"/>
      <c r="S1837" s="1"/>
      <c r="T1837" s="1"/>
      <c r="U1837" s="1"/>
      <c r="V1837" s="1"/>
      <c r="W1837" s="1"/>
      <c r="X1837" s="1"/>
      <c r="Y1837" s="1"/>
      <c r="AB1837" s="1"/>
      <c r="AC1837" s="1"/>
      <c r="AD1837" s="1"/>
      <c r="AE1837" s="1"/>
      <c r="AF1837" s="1"/>
      <c r="AG1837" s="1"/>
      <c r="AH1837" s="1"/>
      <c r="AI1837" s="1"/>
      <c r="AJ1837" s="1"/>
      <c r="AK1837" s="1"/>
      <c r="AL1837" s="1"/>
      <c r="AM1837" s="1"/>
    </row>
    <row r="1838" spans="16:39" x14ac:dyDescent="0.25">
      <c r="P1838" s="49"/>
      <c r="Q1838" s="1"/>
      <c r="S1838" s="1"/>
      <c r="T1838" s="1"/>
      <c r="U1838" s="1"/>
      <c r="V1838" s="1"/>
      <c r="W1838" s="1"/>
      <c r="X1838" s="1"/>
      <c r="Y1838" s="1"/>
      <c r="AB1838" s="1"/>
      <c r="AC1838" s="1"/>
      <c r="AD1838" s="1"/>
      <c r="AE1838" s="1"/>
      <c r="AF1838" s="1"/>
      <c r="AG1838" s="1"/>
      <c r="AH1838" s="1"/>
      <c r="AI1838" s="1"/>
      <c r="AJ1838" s="1"/>
      <c r="AK1838" s="1"/>
      <c r="AL1838" s="1"/>
      <c r="AM1838" s="1"/>
    </row>
    <row r="1839" spans="16:39" x14ac:dyDescent="0.25">
      <c r="P1839" s="49"/>
      <c r="Q1839" s="1"/>
      <c r="S1839" s="1"/>
      <c r="T1839" s="1"/>
      <c r="U1839" s="1"/>
      <c r="V1839" s="1"/>
      <c r="W1839" s="1"/>
      <c r="X1839" s="1"/>
      <c r="Y1839" s="1"/>
      <c r="AB1839" s="1"/>
      <c r="AC1839" s="1"/>
      <c r="AD1839" s="1"/>
      <c r="AE1839" s="1"/>
      <c r="AF1839" s="1"/>
      <c r="AG1839" s="1"/>
      <c r="AH1839" s="1"/>
      <c r="AI1839" s="1"/>
      <c r="AJ1839" s="1"/>
      <c r="AK1839" s="1"/>
      <c r="AL1839" s="1"/>
      <c r="AM1839" s="1"/>
    </row>
    <row r="1840" spans="16:39" x14ac:dyDescent="0.25">
      <c r="P1840" s="49"/>
      <c r="Q1840" s="1"/>
      <c r="S1840" s="1"/>
      <c r="T1840" s="1"/>
      <c r="U1840" s="1"/>
      <c r="V1840" s="1"/>
      <c r="W1840" s="1"/>
      <c r="X1840" s="1"/>
      <c r="Y1840" s="1"/>
      <c r="AB1840" s="1"/>
      <c r="AC1840" s="1"/>
      <c r="AD1840" s="1"/>
      <c r="AE1840" s="1"/>
      <c r="AF1840" s="1"/>
      <c r="AG1840" s="1"/>
      <c r="AH1840" s="1"/>
      <c r="AI1840" s="1"/>
      <c r="AJ1840" s="1"/>
      <c r="AK1840" s="1"/>
      <c r="AL1840" s="1"/>
      <c r="AM1840" s="1"/>
    </row>
    <row r="1841" spans="16:39" x14ac:dyDescent="0.25">
      <c r="P1841" s="49"/>
      <c r="Q1841" s="1"/>
      <c r="S1841" s="1"/>
      <c r="T1841" s="1"/>
      <c r="U1841" s="1"/>
      <c r="V1841" s="1"/>
      <c r="W1841" s="1"/>
      <c r="X1841" s="1"/>
      <c r="Y1841" s="1"/>
      <c r="AB1841" s="1"/>
      <c r="AC1841" s="1"/>
      <c r="AD1841" s="1"/>
      <c r="AE1841" s="1"/>
      <c r="AF1841" s="1"/>
      <c r="AG1841" s="1"/>
      <c r="AH1841" s="1"/>
      <c r="AI1841" s="1"/>
      <c r="AJ1841" s="1"/>
      <c r="AK1841" s="1"/>
      <c r="AL1841" s="1"/>
      <c r="AM1841" s="1"/>
    </row>
    <row r="1842" spans="16:39" x14ac:dyDescent="0.25">
      <c r="P1842" s="49"/>
      <c r="Q1842" s="1"/>
      <c r="S1842" s="1"/>
      <c r="T1842" s="1"/>
      <c r="U1842" s="1"/>
      <c r="V1842" s="1"/>
      <c r="W1842" s="1"/>
      <c r="X1842" s="1"/>
      <c r="Y1842" s="1"/>
      <c r="AB1842" s="1"/>
      <c r="AC1842" s="1"/>
      <c r="AD1842" s="1"/>
      <c r="AE1842" s="1"/>
      <c r="AF1842" s="1"/>
      <c r="AG1842" s="1"/>
      <c r="AH1842" s="1"/>
      <c r="AI1842" s="1"/>
      <c r="AJ1842" s="1"/>
      <c r="AK1842" s="1"/>
      <c r="AL1842" s="1"/>
      <c r="AM1842" s="1"/>
    </row>
    <row r="1843" spans="16:39" x14ac:dyDescent="0.25">
      <c r="P1843" s="49"/>
      <c r="Q1843" s="1"/>
      <c r="S1843" s="1"/>
      <c r="T1843" s="1"/>
      <c r="U1843" s="1"/>
      <c r="V1843" s="1"/>
      <c r="W1843" s="1"/>
      <c r="X1843" s="1"/>
      <c r="Y1843" s="1"/>
      <c r="AB1843" s="1"/>
      <c r="AC1843" s="1"/>
      <c r="AD1843" s="1"/>
      <c r="AE1843" s="1"/>
      <c r="AF1843" s="1"/>
      <c r="AG1843" s="1"/>
      <c r="AH1843" s="1"/>
      <c r="AI1843" s="1"/>
      <c r="AJ1843" s="1"/>
      <c r="AK1843" s="1"/>
      <c r="AL1843" s="1"/>
      <c r="AM1843" s="1"/>
    </row>
    <row r="1844" spans="16:39" x14ac:dyDescent="0.25">
      <c r="P1844" s="49"/>
      <c r="Q1844" s="1"/>
      <c r="S1844" s="1"/>
      <c r="T1844" s="1"/>
      <c r="U1844" s="1"/>
      <c r="V1844" s="1"/>
      <c r="W1844" s="1"/>
      <c r="X1844" s="1"/>
      <c r="Y1844" s="1"/>
      <c r="AB1844" s="1"/>
      <c r="AC1844" s="1"/>
      <c r="AD1844" s="1"/>
      <c r="AE1844" s="1"/>
      <c r="AF1844" s="1"/>
      <c r="AG1844" s="1"/>
      <c r="AH1844" s="1"/>
      <c r="AI1844" s="1"/>
      <c r="AJ1844" s="1"/>
      <c r="AK1844" s="1"/>
      <c r="AL1844" s="1"/>
      <c r="AM1844" s="1"/>
    </row>
    <row r="1845" spans="16:39" x14ac:dyDescent="0.25">
      <c r="P1845" s="49"/>
      <c r="Q1845" s="1"/>
      <c r="S1845" s="1"/>
      <c r="T1845" s="1"/>
      <c r="U1845" s="1"/>
      <c r="V1845" s="1"/>
      <c r="W1845" s="1"/>
      <c r="X1845" s="1"/>
      <c r="Y1845" s="1"/>
      <c r="AB1845" s="1"/>
      <c r="AC1845" s="1"/>
      <c r="AD1845" s="1"/>
      <c r="AE1845" s="1"/>
      <c r="AF1845" s="1"/>
      <c r="AG1845" s="1"/>
      <c r="AH1845" s="1"/>
      <c r="AI1845" s="1"/>
      <c r="AJ1845" s="1"/>
      <c r="AK1845" s="1"/>
      <c r="AL1845" s="1"/>
      <c r="AM1845" s="1"/>
    </row>
    <row r="1846" spans="16:39" x14ac:dyDescent="0.25">
      <c r="P1846" s="49"/>
      <c r="Q1846" s="1"/>
      <c r="S1846" s="1"/>
      <c r="T1846" s="1"/>
      <c r="U1846" s="1"/>
      <c r="V1846" s="1"/>
      <c r="W1846" s="1"/>
      <c r="X1846" s="1"/>
      <c r="Y1846" s="1"/>
      <c r="AB1846" s="1"/>
      <c r="AC1846" s="1"/>
      <c r="AD1846" s="1"/>
      <c r="AE1846" s="1"/>
      <c r="AF1846" s="1"/>
      <c r="AG1846" s="1"/>
      <c r="AH1846" s="1"/>
      <c r="AI1846" s="1"/>
      <c r="AJ1846" s="1"/>
      <c r="AK1846" s="1"/>
      <c r="AL1846" s="1"/>
      <c r="AM1846" s="1"/>
    </row>
    <row r="1847" spans="16:39" x14ac:dyDescent="0.25">
      <c r="P1847" s="49"/>
      <c r="Q1847" s="1"/>
      <c r="S1847" s="1"/>
      <c r="T1847" s="1"/>
      <c r="U1847" s="1"/>
      <c r="V1847" s="1"/>
      <c r="W1847" s="1"/>
      <c r="X1847" s="1"/>
      <c r="Y1847" s="1"/>
      <c r="AB1847" s="1"/>
      <c r="AC1847" s="1"/>
      <c r="AD1847" s="1"/>
      <c r="AE1847" s="1"/>
      <c r="AF1847" s="1"/>
      <c r="AG1847" s="1"/>
      <c r="AH1847" s="1"/>
      <c r="AI1847" s="1"/>
      <c r="AJ1847" s="1"/>
      <c r="AK1847" s="1"/>
      <c r="AL1847" s="1"/>
      <c r="AM1847" s="1"/>
    </row>
    <row r="1848" spans="16:39" x14ac:dyDescent="0.25">
      <c r="P1848" s="49"/>
      <c r="Q1848" s="1"/>
      <c r="S1848" s="1"/>
      <c r="T1848" s="1"/>
      <c r="U1848" s="1"/>
      <c r="V1848" s="1"/>
      <c r="W1848" s="1"/>
      <c r="X1848" s="1"/>
      <c r="Y1848" s="1"/>
      <c r="AB1848" s="1"/>
      <c r="AC1848" s="1"/>
      <c r="AD1848" s="1"/>
      <c r="AE1848" s="1"/>
      <c r="AF1848" s="1"/>
      <c r="AG1848" s="1"/>
      <c r="AH1848" s="1"/>
      <c r="AI1848" s="1"/>
      <c r="AJ1848" s="1"/>
      <c r="AK1848" s="1"/>
      <c r="AL1848" s="1"/>
      <c r="AM1848" s="1"/>
    </row>
    <row r="1849" spans="16:39" x14ac:dyDescent="0.25">
      <c r="P1849" s="49"/>
      <c r="Q1849" s="1"/>
      <c r="S1849" s="1"/>
      <c r="T1849" s="1"/>
      <c r="U1849" s="1"/>
      <c r="V1849" s="1"/>
      <c r="W1849" s="1"/>
      <c r="X1849" s="1"/>
      <c r="Y1849" s="1"/>
      <c r="AB1849" s="1"/>
      <c r="AC1849" s="1"/>
      <c r="AD1849" s="1"/>
      <c r="AE1849" s="1"/>
      <c r="AF1849" s="1"/>
      <c r="AG1849" s="1"/>
      <c r="AH1849" s="1"/>
      <c r="AI1849" s="1"/>
      <c r="AJ1849" s="1"/>
      <c r="AK1849" s="1"/>
      <c r="AL1849" s="1"/>
      <c r="AM1849" s="1"/>
    </row>
    <row r="1850" spans="16:39" x14ac:dyDescent="0.25">
      <c r="P1850" s="49"/>
      <c r="Q1850" s="1"/>
      <c r="S1850" s="1"/>
      <c r="T1850" s="1"/>
      <c r="U1850" s="1"/>
      <c r="V1850" s="1"/>
      <c r="W1850" s="1"/>
      <c r="X1850" s="1"/>
      <c r="Y1850" s="1"/>
      <c r="AB1850" s="1"/>
      <c r="AC1850" s="1"/>
      <c r="AD1850" s="1"/>
      <c r="AE1850" s="1"/>
      <c r="AF1850" s="1"/>
      <c r="AG1850" s="1"/>
      <c r="AH1850" s="1"/>
      <c r="AI1850" s="1"/>
      <c r="AJ1850" s="1"/>
      <c r="AK1850" s="1"/>
      <c r="AL1850" s="1"/>
      <c r="AM1850" s="1"/>
    </row>
    <row r="1851" spans="16:39" x14ac:dyDescent="0.25">
      <c r="P1851" s="49"/>
      <c r="Q1851" s="1"/>
      <c r="S1851" s="1"/>
      <c r="T1851" s="1"/>
      <c r="U1851" s="1"/>
      <c r="V1851" s="1"/>
      <c r="W1851" s="1"/>
      <c r="X1851" s="1"/>
      <c r="Y1851" s="1"/>
      <c r="AB1851" s="1"/>
      <c r="AC1851" s="1"/>
      <c r="AD1851" s="1"/>
      <c r="AE1851" s="1"/>
      <c r="AF1851" s="1"/>
      <c r="AG1851" s="1"/>
      <c r="AH1851" s="1"/>
      <c r="AI1851" s="1"/>
      <c r="AJ1851" s="1"/>
      <c r="AK1851" s="1"/>
      <c r="AL1851" s="1"/>
      <c r="AM1851" s="1"/>
    </row>
    <row r="1852" spans="16:39" x14ac:dyDescent="0.25">
      <c r="P1852" s="49"/>
      <c r="Q1852" s="1"/>
      <c r="S1852" s="1"/>
      <c r="T1852" s="1"/>
      <c r="U1852" s="1"/>
      <c r="V1852" s="1"/>
      <c r="W1852" s="1"/>
      <c r="X1852" s="1"/>
      <c r="Y1852" s="1"/>
      <c r="AB1852" s="1"/>
      <c r="AC1852" s="1"/>
      <c r="AD1852" s="1"/>
      <c r="AE1852" s="1"/>
      <c r="AF1852" s="1"/>
      <c r="AG1852" s="1"/>
      <c r="AH1852" s="1"/>
      <c r="AI1852" s="1"/>
      <c r="AJ1852" s="1"/>
      <c r="AK1852" s="1"/>
      <c r="AL1852" s="1"/>
      <c r="AM1852" s="1"/>
    </row>
    <row r="1853" spans="16:39" x14ac:dyDescent="0.25">
      <c r="P1853" s="49"/>
      <c r="Q1853" s="1"/>
      <c r="S1853" s="1"/>
      <c r="T1853" s="1"/>
      <c r="U1853" s="1"/>
      <c r="V1853" s="1"/>
      <c r="W1853" s="1"/>
      <c r="X1853" s="1"/>
      <c r="Y1853" s="1"/>
      <c r="AB1853" s="1"/>
      <c r="AC1853" s="1"/>
      <c r="AD1853" s="1"/>
      <c r="AE1853" s="1"/>
      <c r="AF1853" s="1"/>
      <c r="AG1853" s="1"/>
      <c r="AH1853" s="1"/>
      <c r="AI1853" s="1"/>
      <c r="AJ1853" s="1"/>
      <c r="AK1853" s="1"/>
      <c r="AL1853" s="1"/>
      <c r="AM1853" s="1"/>
    </row>
    <row r="1854" spans="16:39" x14ac:dyDescent="0.25">
      <c r="P1854" s="49"/>
      <c r="Q1854" s="1"/>
      <c r="S1854" s="1"/>
      <c r="T1854" s="1"/>
      <c r="U1854" s="1"/>
      <c r="V1854" s="1"/>
      <c r="W1854" s="1"/>
      <c r="X1854" s="1"/>
      <c r="Y1854" s="1"/>
      <c r="AB1854" s="1"/>
      <c r="AC1854" s="1"/>
      <c r="AD1854" s="1"/>
      <c r="AE1854" s="1"/>
      <c r="AF1854" s="1"/>
      <c r="AG1854" s="1"/>
      <c r="AH1854" s="1"/>
      <c r="AI1854" s="1"/>
      <c r="AJ1854" s="1"/>
      <c r="AK1854" s="1"/>
      <c r="AL1854" s="1"/>
      <c r="AM1854" s="1"/>
    </row>
    <row r="1855" spans="16:39" x14ac:dyDescent="0.25">
      <c r="P1855" s="49"/>
      <c r="Q1855" s="1"/>
      <c r="S1855" s="1"/>
      <c r="T1855" s="1"/>
      <c r="U1855" s="1"/>
      <c r="V1855" s="1"/>
      <c r="W1855" s="1"/>
      <c r="X1855" s="1"/>
      <c r="Y1855" s="1"/>
      <c r="AB1855" s="1"/>
      <c r="AC1855" s="1"/>
      <c r="AD1855" s="1"/>
      <c r="AE1855" s="1"/>
      <c r="AF1855" s="1"/>
      <c r="AG1855" s="1"/>
      <c r="AH1855" s="1"/>
      <c r="AI1855" s="1"/>
      <c r="AJ1855" s="1"/>
      <c r="AK1855" s="1"/>
      <c r="AL1855" s="1"/>
      <c r="AM1855" s="1"/>
    </row>
    <row r="1856" spans="16:39" x14ac:dyDescent="0.25">
      <c r="P1856" s="49"/>
      <c r="Q1856" s="1"/>
      <c r="S1856" s="1"/>
      <c r="T1856" s="1"/>
      <c r="U1856" s="1"/>
      <c r="V1856" s="1"/>
      <c r="W1856" s="1"/>
      <c r="X1856" s="1"/>
      <c r="Y1856" s="1"/>
      <c r="AB1856" s="1"/>
      <c r="AC1856" s="1"/>
      <c r="AD1856" s="1"/>
      <c r="AE1856" s="1"/>
      <c r="AF1856" s="1"/>
      <c r="AG1856" s="1"/>
      <c r="AH1856" s="1"/>
      <c r="AI1856" s="1"/>
      <c r="AJ1856" s="1"/>
      <c r="AK1856" s="1"/>
      <c r="AL1856" s="1"/>
      <c r="AM1856" s="1"/>
    </row>
    <row r="1857" spans="16:39" x14ac:dyDescent="0.25">
      <c r="P1857" s="49"/>
      <c r="Q1857" s="1"/>
      <c r="S1857" s="1"/>
      <c r="T1857" s="1"/>
      <c r="U1857" s="1"/>
      <c r="V1857" s="1"/>
      <c r="W1857" s="1"/>
      <c r="X1857" s="1"/>
      <c r="Y1857" s="1"/>
      <c r="AB1857" s="1"/>
      <c r="AC1857" s="1"/>
      <c r="AD1857" s="1"/>
      <c r="AE1857" s="1"/>
      <c r="AF1857" s="1"/>
      <c r="AG1857" s="1"/>
      <c r="AH1857" s="1"/>
      <c r="AI1857" s="1"/>
      <c r="AJ1857" s="1"/>
      <c r="AK1857" s="1"/>
      <c r="AL1857" s="1"/>
      <c r="AM1857" s="1"/>
    </row>
    <row r="1858" spans="16:39" x14ac:dyDescent="0.25">
      <c r="P1858" s="49"/>
      <c r="Q1858" s="1"/>
      <c r="S1858" s="1"/>
      <c r="T1858" s="1"/>
      <c r="U1858" s="1"/>
      <c r="V1858" s="1"/>
      <c r="W1858" s="1"/>
      <c r="X1858" s="1"/>
      <c r="Y1858" s="1"/>
      <c r="AB1858" s="1"/>
      <c r="AC1858" s="1"/>
      <c r="AD1858" s="1"/>
      <c r="AE1858" s="1"/>
      <c r="AF1858" s="1"/>
      <c r="AG1858" s="1"/>
      <c r="AH1858" s="1"/>
      <c r="AI1858" s="1"/>
      <c r="AJ1858" s="1"/>
      <c r="AK1858" s="1"/>
      <c r="AL1858" s="1"/>
      <c r="AM1858" s="1"/>
    </row>
    <row r="1859" spans="16:39" x14ac:dyDescent="0.25">
      <c r="P1859" s="49"/>
      <c r="Q1859" s="1"/>
      <c r="S1859" s="1"/>
      <c r="T1859" s="1"/>
      <c r="U1859" s="1"/>
      <c r="V1859" s="1"/>
      <c r="W1859" s="1"/>
      <c r="X1859" s="1"/>
      <c r="Y1859" s="1"/>
      <c r="AB1859" s="1"/>
      <c r="AC1859" s="1"/>
      <c r="AD1859" s="1"/>
      <c r="AE1859" s="1"/>
      <c r="AF1859" s="1"/>
      <c r="AG1859" s="1"/>
      <c r="AH1859" s="1"/>
      <c r="AI1859" s="1"/>
      <c r="AJ1859" s="1"/>
      <c r="AK1859" s="1"/>
      <c r="AL1859" s="1"/>
      <c r="AM1859" s="1"/>
    </row>
    <row r="1860" spans="16:39" x14ac:dyDescent="0.25">
      <c r="P1860" s="49"/>
      <c r="Q1860" s="1"/>
      <c r="S1860" s="1"/>
      <c r="T1860" s="1"/>
      <c r="U1860" s="1"/>
      <c r="V1860" s="1"/>
      <c r="W1860" s="1"/>
      <c r="X1860" s="1"/>
      <c r="Y1860" s="1"/>
      <c r="AB1860" s="1"/>
      <c r="AC1860" s="1"/>
      <c r="AD1860" s="1"/>
      <c r="AE1860" s="1"/>
      <c r="AF1860" s="1"/>
      <c r="AG1860" s="1"/>
      <c r="AH1860" s="1"/>
      <c r="AI1860" s="1"/>
      <c r="AJ1860" s="1"/>
      <c r="AK1860" s="1"/>
      <c r="AL1860" s="1"/>
      <c r="AM1860" s="1"/>
    </row>
    <row r="1861" spans="16:39" x14ac:dyDescent="0.25">
      <c r="P1861" s="49"/>
      <c r="Q1861" s="1"/>
      <c r="S1861" s="1"/>
      <c r="T1861" s="1"/>
      <c r="U1861" s="1"/>
      <c r="V1861" s="1"/>
      <c r="W1861" s="1"/>
      <c r="X1861" s="1"/>
      <c r="Y1861" s="1"/>
      <c r="AB1861" s="1"/>
      <c r="AC1861" s="1"/>
      <c r="AD1861" s="1"/>
      <c r="AE1861" s="1"/>
      <c r="AF1861" s="1"/>
      <c r="AG1861" s="1"/>
      <c r="AH1861" s="1"/>
      <c r="AI1861" s="1"/>
      <c r="AJ1861" s="1"/>
      <c r="AK1861" s="1"/>
      <c r="AL1861" s="1"/>
      <c r="AM1861" s="1"/>
    </row>
    <row r="1862" spans="16:39" x14ac:dyDescent="0.25">
      <c r="P1862" s="49"/>
      <c r="Q1862" s="1"/>
      <c r="S1862" s="1"/>
      <c r="T1862" s="1"/>
      <c r="U1862" s="1"/>
      <c r="V1862" s="1"/>
      <c r="W1862" s="1"/>
      <c r="X1862" s="1"/>
      <c r="Y1862" s="1"/>
      <c r="AB1862" s="1"/>
      <c r="AC1862" s="1"/>
      <c r="AD1862" s="1"/>
      <c r="AE1862" s="1"/>
      <c r="AF1862" s="1"/>
      <c r="AG1862" s="1"/>
      <c r="AH1862" s="1"/>
      <c r="AI1862" s="1"/>
      <c r="AJ1862" s="1"/>
      <c r="AK1862" s="1"/>
      <c r="AL1862" s="1"/>
      <c r="AM1862" s="1"/>
    </row>
    <row r="1863" spans="16:39" x14ac:dyDescent="0.25">
      <c r="P1863" s="49"/>
      <c r="Q1863" s="1"/>
      <c r="S1863" s="1"/>
      <c r="T1863" s="1"/>
      <c r="U1863" s="1"/>
      <c r="V1863" s="1"/>
      <c r="W1863" s="1"/>
      <c r="X1863" s="1"/>
      <c r="Y1863" s="1"/>
      <c r="AB1863" s="1"/>
      <c r="AC1863" s="1"/>
      <c r="AD1863" s="1"/>
      <c r="AE1863" s="1"/>
      <c r="AF1863" s="1"/>
      <c r="AG1863" s="1"/>
      <c r="AH1863" s="1"/>
      <c r="AI1863" s="1"/>
      <c r="AJ1863" s="1"/>
      <c r="AK1863" s="1"/>
      <c r="AL1863" s="1"/>
      <c r="AM1863" s="1"/>
    </row>
    <row r="1864" spans="16:39" x14ac:dyDescent="0.25">
      <c r="P1864" s="49"/>
      <c r="Q1864" s="1"/>
      <c r="S1864" s="1"/>
      <c r="T1864" s="1"/>
      <c r="U1864" s="1"/>
      <c r="V1864" s="1"/>
      <c r="W1864" s="1"/>
      <c r="X1864" s="1"/>
      <c r="Y1864" s="1"/>
      <c r="AB1864" s="1"/>
      <c r="AC1864" s="1"/>
      <c r="AD1864" s="1"/>
      <c r="AE1864" s="1"/>
      <c r="AF1864" s="1"/>
      <c r="AG1864" s="1"/>
      <c r="AH1864" s="1"/>
      <c r="AI1864" s="1"/>
      <c r="AJ1864" s="1"/>
      <c r="AK1864" s="1"/>
      <c r="AL1864" s="1"/>
      <c r="AM1864" s="1"/>
    </row>
    <row r="1865" spans="16:39" x14ac:dyDescent="0.25">
      <c r="P1865" s="49"/>
      <c r="Q1865" s="1"/>
      <c r="S1865" s="1"/>
      <c r="T1865" s="1"/>
      <c r="U1865" s="1"/>
      <c r="V1865" s="1"/>
      <c r="W1865" s="1"/>
      <c r="X1865" s="1"/>
      <c r="Y1865" s="1"/>
      <c r="AB1865" s="1"/>
      <c r="AC1865" s="1"/>
      <c r="AD1865" s="1"/>
      <c r="AE1865" s="1"/>
      <c r="AF1865" s="1"/>
      <c r="AG1865" s="1"/>
      <c r="AH1865" s="1"/>
      <c r="AI1865" s="1"/>
      <c r="AJ1865" s="1"/>
      <c r="AK1865" s="1"/>
      <c r="AL1865" s="1"/>
      <c r="AM1865" s="1"/>
    </row>
    <row r="1866" spans="16:39" x14ac:dyDescent="0.25">
      <c r="P1866" s="49"/>
      <c r="Q1866" s="1"/>
      <c r="S1866" s="1"/>
      <c r="T1866" s="1"/>
      <c r="U1866" s="1"/>
      <c r="V1866" s="1"/>
      <c r="W1866" s="1"/>
      <c r="X1866" s="1"/>
      <c r="Y1866" s="1"/>
      <c r="AB1866" s="1"/>
      <c r="AC1866" s="1"/>
      <c r="AD1866" s="1"/>
      <c r="AE1866" s="1"/>
      <c r="AF1866" s="1"/>
      <c r="AG1866" s="1"/>
      <c r="AH1866" s="1"/>
      <c r="AI1866" s="1"/>
      <c r="AJ1866" s="1"/>
      <c r="AK1866" s="1"/>
      <c r="AL1866" s="1"/>
      <c r="AM1866" s="1"/>
    </row>
    <row r="1867" spans="16:39" x14ac:dyDescent="0.25">
      <c r="P1867" s="49"/>
      <c r="Q1867" s="1"/>
      <c r="S1867" s="1"/>
      <c r="T1867" s="1"/>
      <c r="U1867" s="1"/>
      <c r="V1867" s="1"/>
      <c r="W1867" s="1"/>
      <c r="X1867" s="1"/>
      <c r="Y1867" s="1"/>
      <c r="AB1867" s="1"/>
      <c r="AC1867" s="1"/>
      <c r="AD1867" s="1"/>
      <c r="AE1867" s="1"/>
      <c r="AF1867" s="1"/>
      <c r="AG1867" s="1"/>
      <c r="AH1867" s="1"/>
      <c r="AI1867" s="1"/>
      <c r="AJ1867" s="1"/>
      <c r="AK1867" s="1"/>
      <c r="AL1867" s="1"/>
      <c r="AM1867" s="1"/>
    </row>
    <row r="1868" spans="16:39" x14ac:dyDescent="0.25">
      <c r="P1868" s="49"/>
      <c r="Q1868" s="1"/>
      <c r="S1868" s="1"/>
      <c r="T1868" s="1"/>
      <c r="U1868" s="1"/>
      <c r="V1868" s="1"/>
      <c r="W1868" s="1"/>
      <c r="X1868" s="1"/>
      <c r="Y1868" s="1"/>
      <c r="AB1868" s="1"/>
      <c r="AC1868" s="1"/>
      <c r="AD1868" s="1"/>
      <c r="AE1868" s="1"/>
      <c r="AF1868" s="1"/>
      <c r="AG1868" s="1"/>
      <c r="AH1868" s="1"/>
      <c r="AI1868" s="1"/>
      <c r="AJ1868" s="1"/>
      <c r="AK1868" s="1"/>
      <c r="AL1868" s="1"/>
      <c r="AM1868" s="1"/>
    </row>
    <row r="1869" spans="16:39" x14ac:dyDescent="0.25">
      <c r="P1869" s="49"/>
      <c r="Q1869" s="1"/>
      <c r="S1869" s="1"/>
      <c r="T1869" s="1"/>
      <c r="U1869" s="1"/>
      <c r="V1869" s="1"/>
      <c r="W1869" s="1"/>
      <c r="X1869" s="1"/>
      <c r="Y1869" s="1"/>
      <c r="AB1869" s="1"/>
      <c r="AC1869" s="1"/>
      <c r="AD1869" s="1"/>
      <c r="AE1869" s="1"/>
      <c r="AF1869" s="1"/>
      <c r="AG1869" s="1"/>
      <c r="AH1869" s="1"/>
      <c r="AI1869" s="1"/>
      <c r="AJ1869" s="1"/>
      <c r="AK1869" s="1"/>
      <c r="AL1869" s="1"/>
      <c r="AM1869" s="1"/>
    </row>
    <row r="1870" spans="16:39" x14ac:dyDescent="0.25">
      <c r="P1870" s="49"/>
      <c r="Q1870" s="1"/>
      <c r="S1870" s="1"/>
      <c r="T1870" s="1"/>
      <c r="U1870" s="1"/>
      <c r="V1870" s="1"/>
      <c r="W1870" s="1"/>
      <c r="X1870" s="1"/>
      <c r="Y1870" s="1"/>
      <c r="AB1870" s="1"/>
      <c r="AC1870" s="1"/>
      <c r="AD1870" s="1"/>
      <c r="AE1870" s="1"/>
      <c r="AF1870" s="1"/>
      <c r="AG1870" s="1"/>
      <c r="AH1870" s="1"/>
      <c r="AI1870" s="1"/>
      <c r="AJ1870" s="1"/>
      <c r="AK1870" s="1"/>
      <c r="AL1870" s="1"/>
      <c r="AM1870" s="1"/>
    </row>
    <row r="1871" spans="16:39" x14ac:dyDescent="0.25">
      <c r="P1871" s="49"/>
      <c r="Q1871" s="1"/>
      <c r="S1871" s="1"/>
      <c r="T1871" s="1"/>
      <c r="U1871" s="1"/>
      <c r="V1871" s="1"/>
      <c r="W1871" s="1"/>
      <c r="X1871" s="1"/>
      <c r="Y1871" s="1"/>
      <c r="AB1871" s="1"/>
      <c r="AC1871" s="1"/>
      <c r="AD1871" s="1"/>
      <c r="AE1871" s="1"/>
      <c r="AF1871" s="1"/>
      <c r="AG1871" s="1"/>
      <c r="AH1871" s="1"/>
      <c r="AI1871" s="1"/>
      <c r="AJ1871" s="1"/>
      <c r="AK1871" s="1"/>
      <c r="AL1871" s="1"/>
      <c r="AM1871" s="1"/>
    </row>
    <row r="1872" spans="16:39" x14ac:dyDescent="0.25">
      <c r="P1872" s="49"/>
      <c r="Q1872" s="1"/>
      <c r="S1872" s="1"/>
      <c r="T1872" s="1"/>
      <c r="U1872" s="1"/>
      <c r="V1872" s="1"/>
      <c r="W1872" s="1"/>
      <c r="X1872" s="1"/>
      <c r="Y1872" s="1"/>
      <c r="AB1872" s="1"/>
      <c r="AC1872" s="1"/>
      <c r="AD1872" s="1"/>
      <c r="AE1872" s="1"/>
      <c r="AF1872" s="1"/>
      <c r="AG1872" s="1"/>
      <c r="AH1872" s="1"/>
      <c r="AI1872" s="1"/>
      <c r="AJ1872" s="1"/>
      <c r="AK1872" s="1"/>
      <c r="AL1872" s="1"/>
      <c r="AM1872" s="1"/>
    </row>
    <row r="1873" spans="16:39" x14ac:dyDescent="0.25">
      <c r="P1873" s="49"/>
      <c r="Q1873" s="1"/>
      <c r="S1873" s="1"/>
      <c r="T1873" s="1"/>
      <c r="U1873" s="1"/>
      <c r="V1873" s="1"/>
      <c r="W1873" s="1"/>
      <c r="X1873" s="1"/>
      <c r="Y1873" s="1"/>
      <c r="AB1873" s="1"/>
      <c r="AC1873" s="1"/>
      <c r="AD1873" s="1"/>
      <c r="AE1873" s="1"/>
      <c r="AF1873" s="1"/>
      <c r="AG1873" s="1"/>
      <c r="AH1873" s="1"/>
      <c r="AI1873" s="1"/>
      <c r="AJ1873" s="1"/>
      <c r="AK1873" s="1"/>
      <c r="AL1873" s="1"/>
      <c r="AM1873" s="1"/>
    </row>
    <row r="1874" spans="16:39" x14ac:dyDescent="0.25">
      <c r="P1874" s="49"/>
      <c r="Q1874" s="1"/>
      <c r="S1874" s="1"/>
      <c r="T1874" s="1"/>
      <c r="U1874" s="1"/>
      <c r="V1874" s="1"/>
      <c r="W1874" s="1"/>
      <c r="X1874" s="1"/>
      <c r="Y1874" s="1"/>
      <c r="AB1874" s="1"/>
      <c r="AC1874" s="1"/>
      <c r="AD1874" s="1"/>
      <c r="AE1874" s="1"/>
      <c r="AF1874" s="1"/>
      <c r="AG1874" s="1"/>
      <c r="AH1874" s="1"/>
      <c r="AI1874" s="1"/>
      <c r="AJ1874" s="1"/>
      <c r="AK1874" s="1"/>
      <c r="AL1874" s="1"/>
      <c r="AM1874" s="1"/>
    </row>
    <row r="1875" spans="16:39" x14ac:dyDescent="0.25">
      <c r="P1875" s="49"/>
      <c r="Q1875" s="1"/>
      <c r="S1875" s="1"/>
      <c r="T1875" s="1"/>
      <c r="U1875" s="1"/>
      <c r="V1875" s="1"/>
      <c r="W1875" s="1"/>
      <c r="X1875" s="1"/>
      <c r="Y1875" s="1"/>
      <c r="AB1875" s="1"/>
      <c r="AC1875" s="1"/>
      <c r="AD1875" s="1"/>
      <c r="AE1875" s="1"/>
      <c r="AF1875" s="1"/>
      <c r="AG1875" s="1"/>
      <c r="AH1875" s="1"/>
      <c r="AI1875" s="1"/>
      <c r="AJ1875" s="1"/>
      <c r="AK1875" s="1"/>
      <c r="AL1875" s="1"/>
      <c r="AM1875" s="1"/>
    </row>
    <row r="1876" spans="16:39" x14ac:dyDescent="0.25">
      <c r="P1876" s="49"/>
      <c r="Q1876" s="1"/>
      <c r="S1876" s="1"/>
      <c r="T1876" s="1"/>
      <c r="U1876" s="1"/>
      <c r="V1876" s="1"/>
      <c r="W1876" s="1"/>
      <c r="X1876" s="1"/>
      <c r="Y1876" s="1"/>
      <c r="AB1876" s="1"/>
      <c r="AC1876" s="1"/>
      <c r="AD1876" s="1"/>
      <c r="AE1876" s="1"/>
      <c r="AF1876" s="1"/>
      <c r="AG1876" s="1"/>
      <c r="AH1876" s="1"/>
      <c r="AI1876" s="1"/>
      <c r="AJ1876" s="1"/>
      <c r="AK1876" s="1"/>
      <c r="AL1876" s="1"/>
      <c r="AM1876" s="1"/>
    </row>
    <row r="1877" spans="16:39" x14ac:dyDescent="0.25">
      <c r="P1877" s="49"/>
      <c r="Q1877" s="1"/>
      <c r="S1877" s="1"/>
      <c r="T1877" s="1"/>
      <c r="U1877" s="1"/>
      <c r="V1877" s="1"/>
      <c r="W1877" s="1"/>
      <c r="X1877" s="1"/>
      <c r="Y1877" s="1"/>
      <c r="AB1877" s="1"/>
      <c r="AC1877" s="1"/>
      <c r="AD1877" s="1"/>
      <c r="AE1877" s="1"/>
      <c r="AF1877" s="1"/>
      <c r="AG1877" s="1"/>
      <c r="AH1877" s="1"/>
      <c r="AI1877" s="1"/>
      <c r="AJ1877" s="1"/>
      <c r="AK1877" s="1"/>
      <c r="AL1877" s="1"/>
      <c r="AM1877" s="1"/>
    </row>
    <row r="1878" spans="16:39" x14ac:dyDescent="0.25">
      <c r="P1878" s="49"/>
      <c r="Q1878" s="1"/>
      <c r="S1878" s="1"/>
      <c r="T1878" s="1"/>
      <c r="U1878" s="1"/>
      <c r="V1878" s="1"/>
      <c r="W1878" s="1"/>
      <c r="X1878" s="1"/>
      <c r="Y1878" s="1"/>
      <c r="AB1878" s="1"/>
      <c r="AC1878" s="1"/>
      <c r="AD1878" s="1"/>
      <c r="AE1878" s="1"/>
      <c r="AF1878" s="1"/>
      <c r="AG1878" s="1"/>
      <c r="AH1878" s="1"/>
      <c r="AI1878" s="1"/>
      <c r="AJ1878" s="1"/>
      <c r="AK1878" s="1"/>
      <c r="AL1878" s="1"/>
      <c r="AM1878" s="1"/>
    </row>
    <row r="1879" spans="16:39" x14ac:dyDescent="0.25">
      <c r="P1879" s="49"/>
      <c r="Q1879" s="1"/>
      <c r="S1879" s="1"/>
      <c r="T1879" s="1"/>
      <c r="U1879" s="1"/>
      <c r="V1879" s="1"/>
      <c r="W1879" s="1"/>
      <c r="X1879" s="1"/>
      <c r="Y1879" s="1"/>
      <c r="AB1879" s="1"/>
      <c r="AC1879" s="1"/>
      <c r="AD1879" s="1"/>
      <c r="AE1879" s="1"/>
      <c r="AF1879" s="1"/>
      <c r="AG1879" s="1"/>
      <c r="AH1879" s="1"/>
      <c r="AI1879" s="1"/>
      <c r="AJ1879" s="1"/>
      <c r="AK1879" s="1"/>
      <c r="AL1879" s="1"/>
      <c r="AM1879" s="1"/>
    </row>
    <row r="1880" spans="16:39" x14ac:dyDescent="0.25">
      <c r="P1880" s="49"/>
      <c r="Q1880" s="1"/>
      <c r="S1880" s="1"/>
      <c r="T1880" s="1"/>
      <c r="U1880" s="1"/>
      <c r="V1880" s="1"/>
      <c r="W1880" s="1"/>
      <c r="X1880" s="1"/>
      <c r="Y1880" s="1"/>
      <c r="AB1880" s="1"/>
      <c r="AC1880" s="1"/>
      <c r="AD1880" s="1"/>
      <c r="AE1880" s="1"/>
      <c r="AF1880" s="1"/>
      <c r="AG1880" s="1"/>
      <c r="AH1880" s="1"/>
      <c r="AI1880" s="1"/>
      <c r="AJ1880" s="1"/>
      <c r="AK1880" s="1"/>
      <c r="AL1880" s="1"/>
      <c r="AM1880" s="1"/>
    </row>
    <row r="1881" spans="16:39" x14ac:dyDescent="0.25">
      <c r="P1881" s="49"/>
      <c r="Q1881" s="1"/>
      <c r="S1881" s="1"/>
      <c r="T1881" s="1"/>
      <c r="U1881" s="1"/>
      <c r="V1881" s="1"/>
      <c r="W1881" s="1"/>
      <c r="X1881" s="1"/>
      <c r="Y1881" s="1"/>
      <c r="AB1881" s="1"/>
      <c r="AC1881" s="1"/>
      <c r="AD1881" s="1"/>
      <c r="AE1881" s="1"/>
      <c r="AF1881" s="1"/>
      <c r="AG1881" s="1"/>
      <c r="AH1881" s="1"/>
      <c r="AI1881" s="1"/>
      <c r="AJ1881" s="1"/>
      <c r="AK1881" s="1"/>
      <c r="AL1881" s="1"/>
      <c r="AM1881" s="1"/>
    </row>
    <row r="1882" spans="16:39" x14ac:dyDescent="0.25">
      <c r="P1882" s="49"/>
      <c r="Q1882" s="1"/>
      <c r="S1882" s="1"/>
      <c r="T1882" s="1"/>
      <c r="U1882" s="1"/>
      <c r="V1882" s="1"/>
      <c r="W1882" s="1"/>
      <c r="X1882" s="1"/>
      <c r="Y1882" s="1"/>
      <c r="AB1882" s="1"/>
      <c r="AC1882" s="1"/>
      <c r="AD1882" s="1"/>
      <c r="AE1882" s="1"/>
      <c r="AF1882" s="1"/>
      <c r="AG1882" s="1"/>
      <c r="AH1882" s="1"/>
      <c r="AI1882" s="1"/>
      <c r="AJ1882" s="1"/>
      <c r="AK1882" s="1"/>
      <c r="AL1882" s="1"/>
      <c r="AM1882" s="1"/>
    </row>
    <row r="1883" spans="16:39" x14ac:dyDescent="0.25">
      <c r="P1883" s="49"/>
      <c r="Q1883" s="1"/>
      <c r="S1883" s="1"/>
      <c r="T1883" s="1"/>
      <c r="U1883" s="1"/>
      <c r="V1883" s="1"/>
      <c r="W1883" s="1"/>
      <c r="X1883" s="1"/>
      <c r="Y1883" s="1"/>
      <c r="AB1883" s="1"/>
      <c r="AC1883" s="1"/>
      <c r="AD1883" s="1"/>
      <c r="AE1883" s="1"/>
      <c r="AF1883" s="1"/>
      <c r="AG1883" s="1"/>
      <c r="AH1883" s="1"/>
      <c r="AI1883" s="1"/>
      <c r="AJ1883" s="1"/>
      <c r="AK1883" s="1"/>
      <c r="AL1883" s="1"/>
      <c r="AM1883" s="1"/>
    </row>
    <row r="1884" spans="16:39" x14ac:dyDescent="0.25">
      <c r="P1884" s="49"/>
      <c r="Q1884" s="1"/>
      <c r="S1884" s="1"/>
      <c r="T1884" s="1"/>
      <c r="U1884" s="1"/>
      <c r="V1884" s="1"/>
      <c r="W1884" s="1"/>
      <c r="X1884" s="1"/>
      <c r="Y1884" s="1"/>
      <c r="AB1884" s="1"/>
      <c r="AC1884" s="1"/>
      <c r="AD1884" s="1"/>
      <c r="AE1884" s="1"/>
      <c r="AF1884" s="1"/>
      <c r="AG1884" s="1"/>
      <c r="AH1884" s="1"/>
      <c r="AI1884" s="1"/>
      <c r="AJ1884" s="1"/>
      <c r="AK1884" s="1"/>
      <c r="AL1884" s="1"/>
      <c r="AM1884" s="1"/>
    </row>
    <row r="1885" spans="16:39" x14ac:dyDescent="0.25">
      <c r="P1885" s="49"/>
      <c r="Q1885" s="1"/>
      <c r="S1885" s="1"/>
      <c r="T1885" s="1"/>
      <c r="U1885" s="1"/>
      <c r="V1885" s="1"/>
      <c r="W1885" s="1"/>
      <c r="X1885" s="1"/>
      <c r="Y1885" s="1"/>
      <c r="AB1885" s="1"/>
      <c r="AC1885" s="1"/>
      <c r="AD1885" s="1"/>
      <c r="AE1885" s="1"/>
      <c r="AF1885" s="1"/>
      <c r="AG1885" s="1"/>
      <c r="AH1885" s="1"/>
      <c r="AI1885" s="1"/>
      <c r="AJ1885" s="1"/>
      <c r="AK1885" s="1"/>
      <c r="AL1885" s="1"/>
      <c r="AM1885" s="1"/>
    </row>
    <row r="1886" spans="16:39" x14ac:dyDescent="0.25">
      <c r="P1886" s="49"/>
      <c r="Q1886" s="1"/>
      <c r="S1886" s="1"/>
      <c r="T1886" s="1"/>
      <c r="U1886" s="1"/>
      <c r="V1886" s="1"/>
      <c r="W1886" s="1"/>
      <c r="X1886" s="1"/>
      <c r="Y1886" s="1"/>
      <c r="AB1886" s="1"/>
      <c r="AC1886" s="1"/>
      <c r="AD1886" s="1"/>
      <c r="AE1886" s="1"/>
      <c r="AF1886" s="1"/>
      <c r="AG1886" s="1"/>
      <c r="AH1886" s="1"/>
      <c r="AI1886" s="1"/>
      <c r="AJ1886" s="1"/>
      <c r="AK1886" s="1"/>
      <c r="AL1886" s="1"/>
      <c r="AM1886" s="1"/>
    </row>
    <row r="1887" spans="16:39" x14ac:dyDescent="0.25">
      <c r="P1887" s="49"/>
      <c r="Q1887" s="1"/>
      <c r="S1887" s="1"/>
      <c r="T1887" s="1"/>
      <c r="U1887" s="1"/>
      <c r="V1887" s="1"/>
      <c r="W1887" s="1"/>
      <c r="X1887" s="1"/>
      <c r="Y1887" s="1"/>
      <c r="AB1887" s="1"/>
      <c r="AC1887" s="1"/>
      <c r="AD1887" s="1"/>
      <c r="AE1887" s="1"/>
      <c r="AF1887" s="1"/>
      <c r="AG1887" s="1"/>
      <c r="AH1887" s="1"/>
      <c r="AI1887" s="1"/>
      <c r="AJ1887" s="1"/>
      <c r="AK1887" s="1"/>
      <c r="AL1887" s="1"/>
      <c r="AM1887" s="1"/>
    </row>
    <row r="1888" spans="16:39" x14ac:dyDescent="0.25">
      <c r="P1888" s="49"/>
      <c r="Q1888" s="1"/>
      <c r="S1888" s="1"/>
      <c r="T1888" s="1"/>
      <c r="U1888" s="1"/>
      <c r="V1888" s="1"/>
      <c r="W1888" s="1"/>
      <c r="X1888" s="1"/>
      <c r="Y1888" s="1"/>
      <c r="AB1888" s="1"/>
      <c r="AC1888" s="1"/>
      <c r="AD1888" s="1"/>
      <c r="AE1888" s="1"/>
      <c r="AF1888" s="1"/>
      <c r="AG1888" s="1"/>
      <c r="AH1888" s="1"/>
      <c r="AI1888" s="1"/>
      <c r="AJ1888" s="1"/>
      <c r="AK1888" s="1"/>
      <c r="AL1888" s="1"/>
      <c r="AM1888" s="1"/>
    </row>
    <row r="1889" spans="16:39" x14ac:dyDescent="0.25">
      <c r="P1889" s="49"/>
      <c r="Q1889" s="1"/>
      <c r="S1889" s="1"/>
      <c r="T1889" s="1"/>
      <c r="U1889" s="1"/>
      <c r="V1889" s="1"/>
      <c r="W1889" s="1"/>
      <c r="X1889" s="1"/>
      <c r="Y1889" s="1"/>
      <c r="AB1889" s="1"/>
      <c r="AC1889" s="1"/>
      <c r="AD1889" s="1"/>
      <c r="AE1889" s="1"/>
      <c r="AF1889" s="1"/>
      <c r="AG1889" s="1"/>
      <c r="AH1889" s="1"/>
      <c r="AI1889" s="1"/>
      <c r="AJ1889" s="1"/>
      <c r="AK1889" s="1"/>
      <c r="AL1889" s="1"/>
      <c r="AM1889" s="1"/>
    </row>
    <row r="1890" spans="16:39" x14ac:dyDescent="0.25">
      <c r="P1890" s="49"/>
      <c r="Q1890" s="1"/>
      <c r="S1890" s="1"/>
      <c r="T1890" s="1"/>
      <c r="U1890" s="1"/>
      <c r="V1890" s="1"/>
      <c r="W1890" s="1"/>
      <c r="X1890" s="1"/>
      <c r="Y1890" s="1"/>
      <c r="AB1890" s="1"/>
      <c r="AC1890" s="1"/>
      <c r="AD1890" s="1"/>
      <c r="AE1890" s="1"/>
      <c r="AF1890" s="1"/>
      <c r="AG1890" s="1"/>
      <c r="AH1890" s="1"/>
      <c r="AI1890" s="1"/>
      <c r="AJ1890" s="1"/>
      <c r="AK1890" s="1"/>
      <c r="AL1890" s="1"/>
      <c r="AM1890" s="1"/>
    </row>
    <row r="1891" spans="16:39" x14ac:dyDescent="0.25">
      <c r="P1891" s="49"/>
      <c r="Q1891" s="1"/>
      <c r="S1891" s="1"/>
      <c r="T1891" s="1"/>
      <c r="U1891" s="1"/>
      <c r="V1891" s="1"/>
      <c r="W1891" s="1"/>
      <c r="X1891" s="1"/>
      <c r="Y1891" s="1"/>
      <c r="AB1891" s="1"/>
      <c r="AC1891" s="1"/>
      <c r="AD1891" s="1"/>
      <c r="AE1891" s="1"/>
      <c r="AF1891" s="1"/>
      <c r="AG1891" s="1"/>
      <c r="AH1891" s="1"/>
      <c r="AI1891" s="1"/>
      <c r="AJ1891" s="1"/>
      <c r="AK1891" s="1"/>
      <c r="AL1891" s="1"/>
      <c r="AM1891" s="1"/>
    </row>
    <row r="1892" spans="16:39" x14ac:dyDescent="0.25">
      <c r="P1892" s="49"/>
      <c r="Q1892" s="1"/>
      <c r="S1892" s="1"/>
      <c r="T1892" s="1"/>
      <c r="U1892" s="1"/>
      <c r="V1892" s="1"/>
      <c r="W1892" s="1"/>
      <c r="X1892" s="1"/>
      <c r="Y1892" s="1"/>
      <c r="AB1892" s="1"/>
      <c r="AC1892" s="1"/>
      <c r="AD1892" s="1"/>
      <c r="AE1892" s="1"/>
      <c r="AF1892" s="1"/>
      <c r="AG1892" s="1"/>
      <c r="AH1892" s="1"/>
      <c r="AI1892" s="1"/>
      <c r="AJ1892" s="1"/>
      <c r="AK1892" s="1"/>
      <c r="AL1892" s="1"/>
      <c r="AM1892" s="1"/>
    </row>
    <row r="1893" spans="16:39" x14ac:dyDescent="0.25">
      <c r="P1893" s="49"/>
      <c r="Q1893" s="1"/>
      <c r="S1893" s="1"/>
      <c r="T1893" s="1"/>
      <c r="U1893" s="1"/>
      <c r="V1893" s="1"/>
      <c r="W1893" s="1"/>
      <c r="X1893" s="1"/>
      <c r="Y1893" s="1"/>
      <c r="AB1893" s="1"/>
      <c r="AC1893" s="1"/>
      <c r="AD1893" s="1"/>
      <c r="AE1893" s="1"/>
      <c r="AF1893" s="1"/>
      <c r="AG1893" s="1"/>
      <c r="AH1893" s="1"/>
      <c r="AI1893" s="1"/>
      <c r="AJ1893" s="1"/>
      <c r="AK1893" s="1"/>
      <c r="AL1893" s="1"/>
      <c r="AM1893" s="1"/>
    </row>
    <row r="1894" spans="16:39" x14ac:dyDescent="0.25">
      <c r="P1894" s="49"/>
      <c r="Q1894" s="1"/>
      <c r="S1894" s="1"/>
      <c r="T1894" s="1"/>
      <c r="U1894" s="1"/>
      <c r="V1894" s="1"/>
      <c r="W1894" s="1"/>
      <c r="X1894" s="1"/>
      <c r="Y1894" s="1"/>
      <c r="AB1894" s="1"/>
      <c r="AC1894" s="1"/>
      <c r="AD1894" s="1"/>
      <c r="AE1894" s="1"/>
      <c r="AF1894" s="1"/>
      <c r="AG1894" s="1"/>
      <c r="AH1894" s="1"/>
      <c r="AI1894" s="1"/>
      <c r="AJ1894" s="1"/>
      <c r="AK1894" s="1"/>
      <c r="AL1894" s="1"/>
      <c r="AM1894" s="1"/>
    </row>
    <row r="1895" spans="16:39" x14ac:dyDescent="0.25">
      <c r="P1895" s="49"/>
      <c r="Q1895" s="1"/>
      <c r="S1895" s="1"/>
      <c r="T1895" s="1"/>
      <c r="U1895" s="1"/>
      <c r="V1895" s="1"/>
      <c r="W1895" s="1"/>
      <c r="X1895" s="1"/>
      <c r="Y1895" s="1"/>
      <c r="AB1895" s="1"/>
      <c r="AC1895" s="1"/>
      <c r="AD1895" s="1"/>
      <c r="AE1895" s="1"/>
      <c r="AF1895" s="1"/>
      <c r="AG1895" s="1"/>
      <c r="AH1895" s="1"/>
      <c r="AI1895" s="1"/>
      <c r="AJ1895" s="1"/>
      <c r="AK1895" s="1"/>
      <c r="AL1895" s="1"/>
      <c r="AM1895" s="1"/>
    </row>
    <row r="1896" spans="16:39" x14ac:dyDescent="0.25">
      <c r="P1896" s="49"/>
      <c r="Q1896" s="1"/>
      <c r="S1896" s="1"/>
      <c r="T1896" s="1"/>
      <c r="U1896" s="1"/>
      <c r="V1896" s="1"/>
      <c r="W1896" s="1"/>
      <c r="X1896" s="1"/>
      <c r="Y1896" s="1"/>
      <c r="AB1896" s="1"/>
      <c r="AC1896" s="1"/>
      <c r="AD1896" s="1"/>
      <c r="AE1896" s="1"/>
      <c r="AF1896" s="1"/>
      <c r="AG1896" s="1"/>
      <c r="AH1896" s="1"/>
      <c r="AI1896" s="1"/>
      <c r="AJ1896" s="1"/>
      <c r="AK1896" s="1"/>
      <c r="AL1896" s="1"/>
      <c r="AM1896" s="1"/>
    </row>
    <row r="1897" spans="16:39" x14ac:dyDescent="0.25">
      <c r="P1897" s="49"/>
      <c r="Q1897" s="1"/>
      <c r="S1897" s="1"/>
      <c r="T1897" s="1"/>
      <c r="U1897" s="1"/>
      <c r="V1897" s="1"/>
      <c r="W1897" s="1"/>
      <c r="X1897" s="1"/>
      <c r="Y1897" s="1"/>
      <c r="AB1897" s="1"/>
      <c r="AC1897" s="1"/>
      <c r="AD1897" s="1"/>
      <c r="AE1897" s="1"/>
      <c r="AF1897" s="1"/>
      <c r="AG1897" s="1"/>
      <c r="AH1897" s="1"/>
      <c r="AI1897" s="1"/>
      <c r="AJ1897" s="1"/>
      <c r="AK1897" s="1"/>
      <c r="AL1897" s="1"/>
      <c r="AM1897" s="1"/>
    </row>
    <row r="1898" spans="16:39" x14ac:dyDescent="0.25">
      <c r="P1898" s="49"/>
      <c r="Q1898" s="1"/>
      <c r="S1898" s="1"/>
      <c r="T1898" s="1"/>
      <c r="U1898" s="1"/>
      <c r="V1898" s="1"/>
      <c r="W1898" s="1"/>
      <c r="X1898" s="1"/>
      <c r="Y1898" s="1"/>
      <c r="AB1898" s="1"/>
      <c r="AC1898" s="1"/>
      <c r="AD1898" s="1"/>
      <c r="AE1898" s="1"/>
      <c r="AF1898" s="1"/>
      <c r="AG1898" s="1"/>
      <c r="AH1898" s="1"/>
      <c r="AI1898" s="1"/>
      <c r="AJ1898" s="1"/>
      <c r="AK1898" s="1"/>
      <c r="AL1898" s="1"/>
      <c r="AM1898" s="1"/>
    </row>
    <row r="1899" spans="16:39" x14ac:dyDescent="0.25">
      <c r="P1899" s="49"/>
      <c r="Q1899" s="1"/>
      <c r="S1899" s="1"/>
      <c r="T1899" s="1"/>
      <c r="U1899" s="1"/>
      <c r="V1899" s="1"/>
      <c r="W1899" s="1"/>
      <c r="X1899" s="1"/>
      <c r="Y1899" s="1"/>
      <c r="AB1899" s="1"/>
      <c r="AC1899" s="1"/>
      <c r="AD1899" s="1"/>
      <c r="AE1899" s="1"/>
      <c r="AF1899" s="1"/>
      <c r="AG1899" s="1"/>
      <c r="AH1899" s="1"/>
      <c r="AI1899" s="1"/>
      <c r="AJ1899" s="1"/>
      <c r="AK1899" s="1"/>
      <c r="AL1899" s="1"/>
      <c r="AM1899" s="1"/>
    </row>
    <row r="1900" spans="16:39" x14ac:dyDescent="0.25">
      <c r="P1900" s="49"/>
      <c r="Q1900" s="1"/>
      <c r="S1900" s="1"/>
      <c r="T1900" s="1"/>
      <c r="U1900" s="1"/>
      <c r="V1900" s="1"/>
      <c r="W1900" s="1"/>
      <c r="X1900" s="1"/>
      <c r="Y1900" s="1"/>
      <c r="AB1900" s="1"/>
      <c r="AC1900" s="1"/>
      <c r="AD1900" s="1"/>
      <c r="AE1900" s="1"/>
      <c r="AF1900" s="1"/>
      <c r="AG1900" s="1"/>
      <c r="AH1900" s="1"/>
      <c r="AI1900" s="1"/>
      <c r="AJ1900" s="1"/>
      <c r="AK1900" s="1"/>
      <c r="AL1900" s="1"/>
      <c r="AM1900" s="1"/>
    </row>
    <row r="1901" spans="16:39" x14ac:dyDescent="0.25">
      <c r="P1901" s="49"/>
      <c r="Q1901" s="1"/>
      <c r="S1901" s="1"/>
      <c r="T1901" s="1"/>
      <c r="U1901" s="1"/>
      <c r="V1901" s="1"/>
      <c r="W1901" s="1"/>
      <c r="X1901" s="1"/>
      <c r="Y1901" s="1"/>
      <c r="AB1901" s="1"/>
      <c r="AC1901" s="1"/>
      <c r="AD1901" s="1"/>
      <c r="AE1901" s="1"/>
      <c r="AF1901" s="1"/>
      <c r="AG1901" s="1"/>
      <c r="AH1901" s="1"/>
      <c r="AI1901" s="1"/>
      <c r="AJ1901" s="1"/>
      <c r="AK1901" s="1"/>
      <c r="AL1901" s="1"/>
      <c r="AM1901" s="1"/>
    </row>
    <row r="1902" spans="16:39" x14ac:dyDescent="0.25">
      <c r="P1902" s="49"/>
      <c r="Q1902" s="1"/>
      <c r="S1902" s="1"/>
      <c r="T1902" s="1"/>
      <c r="U1902" s="1"/>
      <c r="V1902" s="1"/>
      <c r="W1902" s="1"/>
      <c r="X1902" s="1"/>
      <c r="Y1902" s="1"/>
      <c r="AB1902" s="1"/>
      <c r="AC1902" s="1"/>
      <c r="AD1902" s="1"/>
      <c r="AE1902" s="1"/>
      <c r="AF1902" s="1"/>
      <c r="AG1902" s="1"/>
      <c r="AH1902" s="1"/>
      <c r="AI1902" s="1"/>
      <c r="AJ1902" s="1"/>
      <c r="AK1902" s="1"/>
      <c r="AL1902" s="1"/>
      <c r="AM1902" s="1"/>
    </row>
    <row r="1903" spans="16:39" x14ac:dyDescent="0.25">
      <c r="P1903" s="49"/>
      <c r="Q1903" s="1"/>
      <c r="S1903" s="1"/>
      <c r="T1903" s="1"/>
      <c r="U1903" s="1"/>
      <c r="V1903" s="1"/>
      <c r="W1903" s="1"/>
      <c r="X1903" s="1"/>
      <c r="Y1903" s="1"/>
      <c r="AB1903" s="1"/>
      <c r="AC1903" s="1"/>
      <c r="AD1903" s="1"/>
      <c r="AE1903" s="1"/>
      <c r="AF1903" s="1"/>
      <c r="AG1903" s="1"/>
      <c r="AH1903" s="1"/>
      <c r="AI1903" s="1"/>
      <c r="AJ1903" s="1"/>
      <c r="AK1903" s="1"/>
      <c r="AL1903" s="1"/>
      <c r="AM1903" s="1"/>
    </row>
    <row r="1904" spans="16:39" x14ac:dyDescent="0.25">
      <c r="P1904" s="49"/>
      <c r="Q1904" s="1"/>
      <c r="S1904" s="1"/>
      <c r="T1904" s="1"/>
      <c r="U1904" s="1"/>
      <c r="V1904" s="1"/>
      <c r="W1904" s="1"/>
      <c r="X1904" s="1"/>
      <c r="Y1904" s="1"/>
      <c r="AB1904" s="1"/>
      <c r="AC1904" s="1"/>
      <c r="AD1904" s="1"/>
      <c r="AE1904" s="1"/>
      <c r="AF1904" s="1"/>
      <c r="AG1904" s="1"/>
      <c r="AH1904" s="1"/>
      <c r="AI1904" s="1"/>
      <c r="AJ1904" s="1"/>
      <c r="AK1904" s="1"/>
      <c r="AL1904" s="1"/>
      <c r="AM1904" s="1"/>
    </row>
    <row r="1905" spans="16:39" x14ac:dyDescent="0.25">
      <c r="P1905" s="49"/>
      <c r="Q1905" s="1"/>
      <c r="S1905" s="1"/>
      <c r="T1905" s="1"/>
      <c r="U1905" s="1"/>
      <c r="V1905" s="1"/>
      <c r="W1905" s="1"/>
      <c r="X1905" s="1"/>
      <c r="Y1905" s="1"/>
      <c r="AB1905" s="1"/>
      <c r="AC1905" s="1"/>
      <c r="AD1905" s="1"/>
      <c r="AE1905" s="1"/>
      <c r="AF1905" s="1"/>
      <c r="AG1905" s="1"/>
      <c r="AH1905" s="1"/>
      <c r="AI1905" s="1"/>
      <c r="AJ1905" s="1"/>
      <c r="AK1905" s="1"/>
      <c r="AL1905" s="1"/>
      <c r="AM1905" s="1"/>
    </row>
    <row r="1906" spans="16:39" x14ac:dyDescent="0.25">
      <c r="P1906" s="49"/>
      <c r="Q1906" s="1"/>
      <c r="S1906" s="1"/>
      <c r="T1906" s="1"/>
      <c r="U1906" s="1"/>
      <c r="V1906" s="1"/>
      <c r="W1906" s="1"/>
      <c r="X1906" s="1"/>
      <c r="Y1906" s="1"/>
      <c r="AB1906" s="1"/>
      <c r="AC1906" s="1"/>
      <c r="AD1906" s="1"/>
      <c r="AE1906" s="1"/>
      <c r="AF1906" s="1"/>
      <c r="AG1906" s="1"/>
      <c r="AH1906" s="1"/>
      <c r="AI1906" s="1"/>
      <c r="AJ1906" s="1"/>
      <c r="AK1906" s="1"/>
      <c r="AL1906" s="1"/>
      <c r="AM1906" s="1"/>
    </row>
    <row r="1907" spans="16:39" x14ac:dyDescent="0.25">
      <c r="P1907" s="49"/>
      <c r="Q1907" s="1"/>
      <c r="S1907" s="1"/>
      <c r="T1907" s="1"/>
      <c r="U1907" s="1"/>
      <c r="V1907" s="1"/>
      <c r="W1907" s="1"/>
      <c r="X1907" s="1"/>
      <c r="Y1907" s="1"/>
      <c r="AB1907" s="1"/>
      <c r="AC1907" s="1"/>
      <c r="AD1907" s="1"/>
      <c r="AE1907" s="1"/>
      <c r="AF1907" s="1"/>
      <c r="AG1907" s="1"/>
      <c r="AH1907" s="1"/>
      <c r="AI1907" s="1"/>
      <c r="AJ1907" s="1"/>
      <c r="AK1907" s="1"/>
      <c r="AL1907" s="1"/>
      <c r="AM1907" s="1"/>
    </row>
    <row r="1908" spans="16:39" x14ac:dyDescent="0.25">
      <c r="P1908" s="49"/>
      <c r="Q1908" s="1"/>
      <c r="S1908" s="1"/>
      <c r="T1908" s="1"/>
      <c r="U1908" s="1"/>
      <c r="V1908" s="1"/>
      <c r="W1908" s="1"/>
      <c r="X1908" s="1"/>
      <c r="Y1908" s="1"/>
      <c r="AB1908" s="1"/>
      <c r="AC1908" s="1"/>
      <c r="AD1908" s="1"/>
      <c r="AE1908" s="1"/>
      <c r="AF1908" s="1"/>
      <c r="AG1908" s="1"/>
      <c r="AH1908" s="1"/>
      <c r="AI1908" s="1"/>
      <c r="AJ1908" s="1"/>
      <c r="AK1908" s="1"/>
      <c r="AL1908" s="1"/>
      <c r="AM1908" s="1"/>
    </row>
    <row r="1909" spans="16:39" x14ac:dyDescent="0.25">
      <c r="P1909" s="49"/>
      <c r="Q1909" s="1"/>
      <c r="S1909" s="1"/>
      <c r="T1909" s="1"/>
      <c r="U1909" s="1"/>
      <c r="V1909" s="1"/>
      <c r="W1909" s="1"/>
      <c r="X1909" s="1"/>
      <c r="Y1909" s="1"/>
      <c r="AB1909" s="1"/>
      <c r="AC1909" s="1"/>
      <c r="AD1909" s="1"/>
      <c r="AE1909" s="1"/>
      <c r="AF1909" s="1"/>
      <c r="AG1909" s="1"/>
      <c r="AH1909" s="1"/>
      <c r="AI1909" s="1"/>
      <c r="AJ1909" s="1"/>
      <c r="AK1909" s="1"/>
      <c r="AL1909" s="1"/>
      <c r="AM1909" s="1"/>
    </row>
    <row r="1910" spans="16:39" x14ac:dyDescent="0.25">
      <c r="P1910" s="49"/>
      <c r="Q1910" s="1"/>
      <c r="S1910" s="1"/>
      <c r="T1910" s="1"/>
      <c r="U1910" s="1"/>
      <c r="V1910" s="1"/>
      <c r="W1910" s="1"/>
      <c r="X1910" s="1"/>
      <c r="Y1910" s="1"/>
      <c r="AB1910" s="1"/>
      <c r="AC1910" s="1"/>
      <c r="AD1910" s="1"/>
      <c r="AE1910" s="1"/>
      <c r="AF1910" s="1"/>
      <c r="AG1910" s="1"/>
      <c r="AH1910" s="1"/>
      <c r="AI1910" s="1"/>
      <c r="AJ1910" s="1"/>
      <c r="AK1910" s="1"/>
      <c r="AL1910" s="1"/>
      <c r="AM1910" s="1"/>
    </row>
    <row r="1911" spans="16:39" x14ac:dyDescent="0.25">
      <c r="P1911" s="49"/>
      <c r="Q1911" s="1"/>
      <c r="S1911" s="1"/>
      <c r="T1911" s="1"/>
      <c r="U1911" s="1"/>
      <c r="V1911" s="1"/>
      <c r="W1911" s="1"/>
      <c r="X1911" s="1"/>
      <c r="Y1911" s="1"/>
      <c r="AB1911" s="1"/>
      <c r="AC1911" s="1"/>
      <c r="AD1911" s="1"/>
      <c r="AE1911" s="1"/>
      <c r="AF1911" s="1"/>
      <c r="AG1911" s="1"/>
      <c r="AH1911" s="1"/>
      <c r="AI1911" s="1"/>
      <c r="AJ1911" s="1"/>
      <c r="AK1911" s="1"/>
      <c r="AL1911" s="1"/>
      <c r="AM1911" s="1"/>
    </row>
    <row r="1912" spans="16:39" x14ac:dyDescent="0.25">
      <c r="P1912" s="49"/>
      <c r="Q1912" s="1"/>
      <c r="S1912" s="1"/>
      <c r="T1912" s="1"/>
      <c r="U1912" s="1"/>
      <c r="V1912" s="1"/>
      <c r="W1912" s="1"/>
      <c r="X1912" s="1"/>
      <c r="Y1912" s="1"/>
      <c r="AB1912" s="1"/>
      <c r="AC1912" s="1"/>
      <c r="AD1912" s="1"/>
      <c r="AE1912" s="1"/>
      <c r="AF1912" s="1"/>
      <c r="AG1912" s="1"/>
      <c r="AH1912" s="1"/>
      <c r="AI1912" s="1"/>
      <c r="AJ1912" s="1"/>
      <c r="AK1912" s="1"/>
      <c r="AL1912" s="1"/>
      <c r="AM1912" s="1"/>
    </row>
    <row r="1913" spans="16:39" x14ac:dyDescent="0.25">
      <c r="P1913" s="49"/>
      <c r="Q1913" s="1"/>
      <c r="S1913" s="1"/>
      <c r="T1913" s="1"/>
      <c r="U1913" s="1"/>
      <c r="V1913" s="1"/>
      <c r="W1913" s="1"/>
      <c r="X1913" s="1"/>
      <c r="Y1913" s="1"/>
      <c r="AB1913" s="1"/>
      <c r="AC1913" s="1"/>
      <c r="AD1913" s="1"/>
      <c r="AE1913" s="1"/>
      <c r="AF1913" s="1"/>
      <c r="AG1913" s="1"/>
      <c r="AH1913" s="1"/>
      <c r="AI1913" s="1"/>
      <c r="AJ1913" s="1"/>
      <c r="AK1913" s="1"/>
      <c r="AL1913" s="1"/>
      <c r="AM1913" s="1"/>
    </row>
    <row r="1914" spans="16:39" x14ac:dyDescent="0.25">
      <c r="P1914" s="49"/>
      <c r="Q1914" s="1"/>
      <c r="S1914" s="1"/>
      <c r="T1914" s="1"/>
      <c r="U1914" s="1"/>
      <c r="V1914" s="1"/>
      <c r="W1914" s="1"/>
      <c r="X1914" s="1"/>
      <c r="Y1914" s="1"/>
      <c r="AB1914" s="1"/>
      <c r="AC1914" s="1"/>
      <c r="AD1914" s="1"/>
      <c r="AE1914" s="1"/>
      <c r="AF1914" s="1"/>
      <c r="AG1914" s="1"/>
      <c r="AH1914" s="1"/>
      <c r="AI1914" s="1"/>
      <c r="AJ1914" s="1"/>
      <c r="AK1914" s="1"/>
      <c r="AL1914" s="1"/>
      <c r="AM1914" s="1"/>
    </row>
    <row r="1915" spans="16:39" x14ac:dyDescent="0.25">
      <c r="P1915" s="49"/>
      <c r="Q1915" s="1"/>
      <c r="S1915" s="1"/>
      <c r="T1915" s="1"/>
      <c r="U1915" s="1"/>
      <c r="V1915" s="1"/>
      <c r="W1915" s="1"/>
      <c r="X1915" s="1"/>
      <c r="Y1915" s="1"/>
      <c r="AB1915" s="1"/>
      <c r="AC1915" s="1"/>
      <c r="AD1915" s="1"/>
      <c r="AE1915" s="1"/>
      <c r="AF1915" s="1"/>
      <c r="AG1915" s="1"/>
      <c r="AH1915" s="1"/>
      <c r="AI1915" s="1"/>
      <c r="AJ1915" s="1"/>
      <c r="AK1915" s="1"/>
      <c r="AL1915" s="1"/>
      <c r="AM1915" s="1"/>
    </row>
    <row r="1916" spans="16:39" x14ac:dyDescent="0.25">
      <c r="P1916" s="49"/>
      <c r="Q1916" s="1"/>
      <c r="S1916" s="1"/>
      <c r="T1916" s="1"/>
      <c r="U1916" s="1"/>
      <c r="V1916" s="1"/>
      <c r="W1916" s="1"/>
      <c r="X1916" s="1"/>
      <c r="Y1916" s="1"/>
      <c r="AB1916" s="1"/>
      <c r="AC1916" s="1"/>
      <c r="AD1916" s="1"/>
      <c r="AE1916" s="1"/>
      <c r="AF1916" s="1"/>
      <c r="AG1916" s="1"/>
      <c r="AH1916" s="1"/>
      <c r="AI1916" s="1"/>
      <c r="AJ1916" s="1"/>
      <c r="AK1916" s="1"/>
      <c r="AL1916" s="1"/>
      <c r="AM1916" s="1"/>
    </row>
    <row r="1917" spans="16:39" x14ac:dyDescent="0.25">
      <c r="P1917" s="49"/>
      <c r="Q1917" s="1"/>
      <c r="S1917" s="1"/>
      <c r="T1917" s="1"/>
      <c r="U1917" s="1"/>
      <c r="V1917" s="1"/>
      <c r="W1917" s="1"/>
      <c r="X1917" s="1"/>
      <c r="Y1917" s="1"/>
      <c r="AB1917" s="1"/>
      <c r="AC1917" s="1"/>
      <c r="AD1917" s="1"/>
      <c r="AE1917" s="1"/>
      <c r="AF1917" s="1"/>
      <c r="AG1917" s="1"/>
      <c r="AH1917" s="1"/>
      <c r="AI1917" s="1"/>
      <c r="AJ1917" s="1"/>
      <c r="AK1917" s="1"/>
      <c r="AL1917" s="1"/>
      <c r="AM1917" s="1"/>
    </row>
    <row r="1918" spans="16:39" x14ac:dyDescent="0.25">
      <c r="P1918" s="49"/>
      <c r="Q1918" s="1"/>
      <c r="S1918" s="1"/>
      <c r="T1918" s="1"/>
      <c r="U1918" s="1"/>
      <c r="V1918" s="1"/>
      <c r="W1918" s="1"/>
      <c r="X1918" s="1"/>
      <c r="Y1918" s="1"/>
      <c r="AB1918" s="1"/>
      <c r="AC1918" s="1"/>
      <c r="AD1918" s="1"/>
      <c r="AE1918" s="1"/>
      <c r="AF1918" s="1"/>
      <c r="AG1918" s="1"/>
      <c r="AH1918" s="1"/>
      <c r="AI1918" s="1"/>
      <c r="AJ1918" s="1"/>
      <c r="AK1918" s="1"/>
      <c r="AL1918" s="1"/>
      <c r="AM1918" s="1"/>
    </row>
    <row r="1919" spans="16:39" x14ac:dyDescent="0.25">
      <c r="P1919" s="49"/>
      <c r="Q1919" s="1"/>
      <c r="S1919" s="1"/>
      <c r="T1919" s="1"/>
      <c r="U1919" s="1"/>
      <c r="V1919" s="1"/>
      <c r="W1919" s="1"/>
      <c r="X1919" s="1"/>
      <c r="Y1919" s="1"/>
      <c r="AB1919" s="1"/>
      <c r="AC1919" s="1"/>
      <c r="AD1919" s="1"/>
      <c r="AE1919" s="1"/>
      <c r="AF1919" s="1"/>
      <c r="AG1919" s="1"/>
      <c r="AH1919" s="1"/>
      <c r="AI1919" s="1"/>
      <c r="AJ1919" s="1"/>
      <c r="AK1919" s="1"/>
      <c r="AL1919" s="1"/>
      <c r="AM1919" s="1"/>
    </row>
    <row r="1920" spans="16:39" x14ac:dyDescent="0.25">
      <c r="P1920" s="49"/>
      <c r="Q1920" s="1"/>
      <c r="S1920" s="1"/>
      <c r="T1920" s="1"/>
      <c r="U1920" s="1"/>
      <c r="V1920" s="1"/>
      <c r="W1920" s="1"/>
      <c r="X1920" s="1"/>
      <c r="Y1920" s="1"/>
      <c r="AB1920" s="1"/>
      <c r="AC1920" s="1"/>
      <c r="AD1920" s="1"/>
      <c r="AE1920" s="1"/>
      <c r="AF1920" s="1"/>
      <c r="AG1920" s="1"/>
      <c r="AH1920" s="1"/>
      <c r="AI1920" s="1"/>
      <c r="AJ1920" s="1"/>
      <c r="AK1920" s="1"/>
      <c r="AL1920" s="1"/>
      <c r="AM1920" s="1"/>
    </row>
    <row r="1921" spans="16:39" x14ac:dyDescent="0.25">
      <c r="P1921" s="49"/>
      <c r="Q1921" s="1"/>
      <c r="S1921" s="1"/>
      <c r="T1921" s="1"/>
      <c r="U1921" s="1"/>
      <c r="V1921" s="1"/>
      <c r="W1921" s="1"/>
      <c r="X1921" s="1"/>
      <c r="Y1921" s="1"/>
      <c r="AB1921" s="1"/>
      <c r="AC1921" s="1"/>
      <c r="AD1921" s="1"/>
      <c r="AE1921" s="1"/>
      <c r="AF1921" s="1"/>
      <c r="AG1921" s="1"/>
      <c r="AH1921" s="1"/>
      <c r="AI1921" s="1"/>
      <c r="AJ1921" s="1"/>
      <c r="AK1921" s="1"/>
      <c r="AL1921" s="1"/>
      <c r="AM1921" s="1"/>
    </row>
    <row r="1922" spans="16:39" x14ac:dyDescent="0.25">
      <c r="P1922" s="49"/>
      <c r="Q1922" s="1"/>
      <c r="S1922" s="1"/>
      <c r="T1922" s="1"/>
      <c r="U1922" s="1"/>
      <c r="V1922" s="1"/>
      <c r="W1922" s="1"/>
      <c r="X1922" s="1"/>
      <c r="Y1922" s="1"/>
      <c r="AB1922" s="1"/>
      <c r="AC1922" s="1"/>
      <c r="AD1922" s="1"/>
      <c r="AE1922" s="1"/>
      <c r="AF1922" s="1"/>
      <c r="AG1922" s="1"/>
      <c r="AH1922" s="1"/>
      <c r="AI1922" s="1"/>
      <c r="AJ1922" s="1"/>
      <c r="AK1922" s="1"/>
      <c r="AL1922" s="1"/>
      <c r="AM1922" s="1"/>
    </row>
    <row r="1923" spans="16:39" x14ac:dyDescent="0.25">
      <c r="P1923" s="49"/>
      <c r="Q1923" s="1"/>
      <c r="S1923" s="1"/>
      <c r="T1923" s="1"/>
      <c r="U1923" s="1"/>
      <c r="V1923" s="1"/>
      <c r="W1923" s="1"/>
      <c r="X1923" s="1"/>
      <c r="Y1923" s="1"/>
      <c r="AB1923" s="1"/>
      <c r="AC1923" s="1"/>
      <c r="AD1923" s="1"/>
      <c r="AE1923" s="1"/>
      <c r="AF1923" s="1"/>
      <c r="AG1923" s="1"/>
      <c r="AH1923" s="1"/>
      <c r="AI1923" s="1"/>
      <c r="AJ1923" s="1"/>
      <c r="AK1923" s="1"/>
      <c r="AL1923" s="1"/>
      <c r="AM1923" s="1"/>
    </row>
    <row r="1924" spans="16:39" x14ac:dyDescent="0.25">
      <c r="P1924" s="49"/>
      <c r="Q1924" s="1"/>
      <c r="S1924" s="1"/>
      <c r="T1924" s="1"/>
      <c r="U1924" s="1"/>
      <c r="V1924" s="1"/>
      <c r="W1924" s="1"/>
      <c r="X1924" s="1"/>
      <c r="Y1924" s="1"/>
      <c r="AB1924" s="1"/>
      <c r="AC1924" s="1"/>
      <c r="AD1924" s="1"/>
      <c r="AE1924" s="1"/>
      <c r="AF1924" s="1"/>
      <c r="AG1924" s="1"/>
      <c r="AH1924" s="1"/>
      <c r="AI1924" s="1"/>
      <c r="AJ1924" s="1"/>
      <c r="AK1924" s="1"/>
      <c r="AL1924" s="1"/>
      <c r="AM1924" s="1"/>
    </row>
    <row r="1925" spans="16:39" x14ac:dyDescent="0.25">
      <c r="P1925" s="49"/>
      <c r="Q1925" s="1"/>
      <c r="S1925" s="1"/>
      <c r="T1925" s="1"/>
      <c r="U1925" s="1"/>
      <c r="V1925" s="1"/>
      <c r="W1925" s="1"/>
      <c r="X1925" s="1"/>
      <c r="Y1925" s="1"/>
      <c r="AB1925" s="1"/>
      <c r="AC1925" s="1"/>
      <c r="AD1925" s="1"/>
      <c r="AE1925" s="1"/>
      <c r="AF1925" s="1"/>
      <c r="AG1925" s="1"/>
      <c r="AH1925" s="1"/>
      <c r="AI1925" s="1"/>
      <c r="AJ1925" s="1"/>
      <c r="AK1925" s="1"/>
      <c r="AL1925" s="1"/>
      <c r="AM1925" s="1"/>
    </row>
    <row r="1926" spans="16:39" x14ac:dyDescent="0.25">
      <c r="P1926" s="49"/>
      <c r="Q1926" s="1"/>
      <c r="S1926" s="1"/>
      <c r="T1926" s="1"/>
      <c r="U1926" s="1"/>
      <c r="V1926" s="1"/>
      <c r="W1926" s="1"/>
      <c r="X1926" s="1"/>
      <c r="Y1926" s="1"/>
      <c r="AB1926" s="1"/>
      <c r="AC1926" s="1"/>
      <c r="AD1926" s="1"/>
      <c r="AE1926" s="1"/>
      <c r="AF1926" s="1"/>
      <c r="AG1926" s="1"/>
      <c r="AH1926" s="1"/>
      <c r="AI1926" s="1"/>
      <c r="AJ1926" s="1"/>
      <c r="AK1926" s="1"/>
      <c r="AL1926" s="1"/>
      <c r="AM1926" s="1"/>
    </row>
    <row r="1927" spans="16:39" x14ac:dyDescent="0.25">
      <c r="P1927" s="49"/>
      <c r="Q1927" s="1"/>
      <c r="S1927" s="1"/>
      <c r="T1927" s="1"/>
      <c r="U1927" s="1"/>
      <c r="V1927" s="1"/>
      <c r="W1927" s="1"/>
      <c r="X1927" s="1"/>
      <c r="Y1927" s="1"/>
      <c r="AB1927" s="1"/>
      <c r="AC1927" s="1"/>
      <c r="AD1927" s="1"/>
      <c r="AE1927" s="1"/>
      <c r="AF1927" s="1"/>
      <c r="AG1927" s="1"/>
      <c r="AH1927" s="1"/>
      <c r="AI1927" s="1"/>
      <c r="AJ1927" s="1"/>
      <c r="AK1927" s="1"/>
      <c r="AL1927" s="1"/>
      <c r="AM1927" s="1"/>
    </row>
    <row r="1928" spans="16:39" x14ac:dyDescent="0.25">
      <c r="P1928" s="49"/>
      <c r="Q1928" s="1"/>
      <c r="S1928" s="1"/>
      <c r="T1928" s="1"/>
      <c r="U1928" s="1"/>
      <c r="V1928" s="1"/>
      <c r="W1928" s="1"/>
      <c r="X1928" s="1"/>
      <c r="Y1928" s="1"/>
      <c r="AB1928" s="1"/>
      <c r="AC1928" s="1"/>
      <c r="AD1928" s="1"/>
      <c r="AE1928" s="1"/>
      <c r="AF1928" s="1"/>
      <c r="AG1928" s="1"/>
      <c r="AH1928" s="1"/>
      <c r="AI1928" s="1"/>
      <c r="AJ1928" s="1"/>
      <c r="AK1928" s="1"/>
      <c r="AL1928" s="1"/>
      <c r="AM1928" s="1"/>
    </row>
    <row r="1929" spans="16:39" x14ac:dyDescent="0.25">
      <c r="P1929" s="49"/>
      <c r="Q1929" s="1"/>
      <c r="S1929" s="1"/>
      <c r="T1929" s="1"/>
      <c r="U1929" s="1"/>
      <c r="V1929" s="1"/>
      <c r="W1929" s="1"/>
      <c r="X1929" s="1"/>
      <c r="Y1929" s="1"/>
      <c r="AB1929" s="1"/>
      <c r="AC1929" s="1"/>
      <c r="AD1929" s="1"/>
      <c r="AE1929" s="1"/>
      <c r="AF1929" s="1"/>
      <c r="AG1929" s="1"/>
      <c r="AH1929" s="1"/>
      <c r="AI1929" s="1"/>
      <c r="AJ1929" s="1"/>
      <c r="AK1929" s="1"/>
      <c r="AL1929" s="1"/>
      <c r="AM1929" s="1"/>
    </row>
    <row r="1930" spans="16:39" x14ac:dyDescent="0.25">
      <c r="P1930" s="49"/>
      <c r="Q1930" s="1"/>
      <c r="S1930" s="1"/>
      <c r="T1930" s="1"/>
      <c r="U1930" s="1"/>
      <c r="V1930" s="1"/>
      <c r="W1930" s="1"/>
      <c r="X1930" s="1"/>
      <c r="Y1930" s="1"/>
      <c r="AB1930" s="1"/>
      <c r="AC1930" s="1"/>
      <c r="AD1930" s="1"/>
      <c r="AE1930" s="1"/>
      <c r="AF1930" s="1"/>
      <c r="AG1930" s="1"/>
      <c r="AH1930" s="1"/>
      <c r="AI1930" s="1"/>
      <c r="AJ1930" s="1"/>
      <c r="AK1930" s="1"/>
      <c r="AL1930" s="1"/>
      <c r="AM1930" s="1"/>
    </row>
    <row r="1931" spans="16:39" x14ac:dyDescent="0.25">
      <c r="P1931" s="49"/>
      <c r="Q1931" s="1"/>
      <c r="S1931" s="1"/>
      <c r="T1931" s="1"/>
      <c r="U1931" s="1"/>
      <c r="V1931" s="1"/>
      <c r="W1931" s="1"/>
      <c r="X1931" s="1"/>
      <c r="Y1931" s="1"/>
      <c r="AB1931" s="1"/>
      <c r="AC1931" s="1"/>
      <c r="AD1931" s="1"/>
      <c r="AE1931" s="1"/>
      <c r="AF1931" s="1"/>
      <c r="AG1931" s="1"/>
      <c r="AH1931" s="1"/>
      <c r="AI1931" s="1"/>
      <c r="AJ1931" s="1"/>
      <c r="AK1931" s="1"/>
      <c r="AL1931" s="1"/>
      <c r="AM1931" s="1"/>
    </row>
    <row r="1932" spans="16:39" x14ac:dyDescent="0.25">
      <c r="P1932" s="49"/>
      <c r="Q1932" s="1"/>
      <c r="S1932" s="1"/>
      <c r="T1932" s="1"/>
      <c r="U1932" s="1"/>
      <c r="V1932" s="1"/>
      <c r="W1932" s="1"/>
      <c r="X1932" s="1"/>
      <c r="Y1932" s="1"/>
      <c r="AB1932" s="1"/>
      <c r="AC1932" s="1"/>
      <c r="AD1932" s="1"/>
      <c r="AE1932" s="1"/>
      <c r="AF1932" s="1"/>
      <c r="AG1932" s="1"/>
      <c r="AH1932" s="1"/>
      <c r="AI1932" s="1"/>
      <c r="AJ1932" s="1"/>
      <c r="AK1932" s="1"/>
      <c r="AL1932" s="1"/>
      <c r="AM1932" s="1"/>
    </row>
    <row r="1933" spans="16:39" x14ac:dyDescent="0.25">
      <c r="P1933" s="49"/>
      <c r="Q1933" s="1"/>
      <c r="S1933" s="1"/>
      <c r="T1933" s="1"/>
      <c r="U1933" s="1"/>
      <c r="V1933" s="1"/>
      <c r="W1933" s="1"/>
      <c r="X1933" s="1"/>
      <c r="Y1933" s="1"/>
      <c r="AB1933" s="1"/>
      <c r="AC1933" s="1"/>
      <c r="AD1933" s="1"/>
      <c r="AE1933" s="1"/>
      <c r="AF1933" s="1"/>
      <c r="AG1933" s="1"/>
      <c r="AH1933" s="1"/>
      <c r="AI1933" s="1"/>
      <c r="AJ1933" s="1"/>
      <c r="AK1933" s="1"/>
      <c r="AL1933" s="1"/>
      <c r="AM1933" s="1"/>
    </row>
    <row r="1934" spans="16:39" x14ac:dyDescent="0.25">
      <c r="P1934" s="49"/>
      <c r="Q1934" s="1"/>
      <c r="S1934" s="1"/>
      <c r="T1934" s="1"/>
      <c r="U1934" s="1"/>
      <c r="V1934" s="1"/>
      <c r="W1934" s="1"/>
      <c r="X1934" s="1"/>
      <c r="Y1934" s="1"/>
      <c r="AB1934" s="1"/>
      <c r="AC1934" s="1"/>
      <c r="AD1934" s="1"/>
      <c r="AE1934" s="1"/>
      <c r="AF1934" s="1"/>
      <c r="AG1934" s="1"/>
      <c r="AH1934" s="1"/>
      <c r="AI1934" s="1"/>
      <c r="AJ1934" s="1"/>
      <c r="AK1934" s="1"/>
      <c r="AL1934" s="1"/>
      <c r="AM1934" s="1"/>
    </row>
    <row r="1935" spans="16:39" x14ac:dyDescent="0.25">
      <c r="P1935" s="49"/>
      <c r="Q1935" s="1"/>
      <c r="S1935" s="1"/>
      <c r="T1935" s="1"/>
      <c r="U1935" s="1"/>
      <c r="V1935" s="1"/>
      <c r="W1935" s="1"/>
      <c r="X1935" s="1"/>
      <c r="Y1935" s="1"/>
      <c r="AB1935" s="1"/>
      <c r="AC1935" s="1"/>
      <c r="AD1935" s="1"/>
      <c r="AE1935" s="1"/>
      <c r="AF1935" s="1"/>
      <c r="AG1935" s="1"/>
      <c r="AH1935" s="1"/>
      <c r="AI1935" s="1"/>
      <c r="AJ1935" s="1"/>
      <c r="AK1935" s="1"/>
      <c r="AL1935" s="1"/>
      <c r="AM1935" s="1"/>
    </row>
    <row r="1936" spans="16:39" x14ac:dyDescent="0.25">
      <c r="P1936" s="49"/>
      <c r="Q1936" s="1"/>
      <c r="S1936" s="1"/>
      <c r="T1936" s="1"/>
      <c r="U1936" s="1"/>
      <c r="V1936" s="1"/>
      <c r="W1936" s="1"/>
      <c r="X1936" s="1"/>
      <c r="Y1936" s="1"/>
      <c r="AB1936" s="1"/>
      <c r="AC1936" s="1"/>
      <c r="AD1936" s="1"/>
      <c r="AE1936" s="1"/>
      <c r="AF1936" s="1"/>
      <c r="AG1936" s="1"/>
      <c r="AH1936" s="1"/>
      <c r="AI1936" s="1"/>
      <c r="AJ1936" s="1"/>
      <c r="AK1936" s="1"/>
      <c r="AL1936" s="1"/>
      <c r="AM1936" s="1"/>
    </row>
    <row r="1937" spans="16:39" x14ac:dyDescent="0.25">
      <c r="P1937" s="49"/>
      <c r="Q1937" s="1"/>
      <c r="S1937" s="1"/>
      <c r="T1937" s="1"/>
      <c r="U1937" s="1"/>
      <c r="V1937" s="1"/>
      <c r="W1937" s="1"/>
      <c r="X1937" s="1"/>
      <c r="Y1937" s="1"/>
      <c r="AB1937" s="1"/>
      <c r="AC1937" s="1"/>
      <c r="AD1937" s="1"/>
      <c r="AE1937" s="1"/>
      <c r="AF1937" s="1"/>
      <c r="AG1937" s="1"/>
      <c r="AH1937" s="1"/>
      <c r="AI1937" s="1"/>
      <c r="AJ1937" s="1"/>
      <c r="AK1937" s="1"/>
      <c r="AL1937" s="1"/>
      <c r="AM1937" s="1"/>
    </row>
    <row r="1938" spans="16:39" x14ac:dyDescent="0.25">
      <c r="P1938" s="49"/>
      <c r="Q1938" s="1"/>
      <c r="S1938" s="1"/>
      <c r="T1938" s="1"/>
      <c r="U1938" s="1"/>
      <c r="V1938" s="1"/>
      <c r="W1938" s="1"/>
      <c r="X1938" s="1"/>
      <c r="Y1938" s="1"/>
      <c r="AB1938" s="1"/>
      <c r="AC1938" s="1"/>
      <c r="AD1938" s="1"/>
      <c r="AE1938" s="1"/>
      <c r="AF1938" s="1"/>
      <c r="AG1938" s="1"/>
      <c r="AH1938" s="1"/>
      <c r="AI1938" s="1"/>
      <c r="AJ1938" s="1"/>
      <c r="AK1938" s="1"/>
      <c r="AL1938" s="1"/>
      <c r="AM1938" s="1"/>
    </row>
    <row r="1939" spans="16:39" x14ac:dyDescent="0.25">
      <c r="P1939" s="49"/>
      <c r="Q1939" s="1"/>
      <c r="S1939" s="1"/>
      <c r="T1939" s="1"/>
      <c r="U1939" s="1"/>
      <c r="V1939" s="1"/>
      <c r="W1939" s="1"/>
      <c r="X1939" s="1"/>
      <c r="Y1939" s="1"/>
      <c r="AB1939" s="1"/>
      <c r="AC1939" s="1"/>
      <c r="AD1939" s="1"/>
      <c r="AE1939" s="1"/>
      <c r="AF1939" s="1"/>
      <c r="AG1939" s="1"/>
      <c r="AH1939" s="1"/>
      <c r="AI1939" s="1"/>
      <c r="AJ1939" s="1"/>
      <c r="AK1939" s="1"/>
      <c r="AL1939" s="1"/>
      <c r="AM1939" s="1"/>
    </row>
    <row r="1940" spans="16:39" x14ac:dyDescent="0.25">
      <c r="P1940" s="49"/>
      <c r="Q1940" s="1"/>
      <c r="S1940" s="1"/>
      <c r="T1940" s="1"/>
      <c r="U1940" s="1"/>
      <c r="V1940" s="1"/>
      <c r="W1940" s="1"/>
      <c r="X1940" s="1"/>
      <c r="Y1940" s="1"/>
      <c r="AB1940" s="1"/>
      <c r="AC1940" s="1"/>
      <c r="AD1940" s="1"/>
      <c r="AE1940" s="1"/>
      <c r="AF1940" s="1"/>
      <c r="AG1940" s="1"/>
      <c r="AH1940" s="1"/>
      <c r="AI1940" s="1"/>
      <c r="AJ1940" s="1"/>
      <c r="AK1940" s="1"/>
      <c r="AL1940" s="1"/>
      <c r="AM1940" s="1"/>
    </row>
    <row r="1941" spans="16:39" x14ac:dyDescent="0.25">
      <c r="P1941" s="49"/>
      <c r="Q1941" s="1"/>
      <c r="S1941" s="1"/>
      <c r="T1941" s="1"/>
      <c r="U1941" s="1"/>
      <c r="V1941" s="1"/>
      <c r="W1941" s="1"/>
      <c r="X1941" s="1"/>
      <c r="Y1941" s="1"/>
      <c r="AB1941" s="1"/>
      <c r="AC1941" s="1"/>
      <c r="AD1941" s="1"/>
      <c r="AE1941" s="1"/>
      <c r="AF1941" s="1"/>
      <c r="AG1941" s="1"/>
      <c r="AH1941" s="1"/>
      <c r="AI1941" s="1"/>
      <c r="AJ1941" s="1"/>
      <c r="AK1941" s="1"/>
      <c r="AL1941" s="1"/>
      <c r="AM1941" s="1"/>
    </row>
    <row r="1942" spans="16:39" x14ac:dyDescent="0.25">
      <c r="P1942" s="49"/>
      <c r="Q1942" s="1"/>
      <c r="S1942" s="1"/>
      <c r="T1942" s="1"/>
      <c r="U1942" s="1"/>
      <c r="V1942" s="1"/>
      <c r="W1942" s="1"/>
      <c r="X1942" s="1"/>
      <c r="Y1942" s="1"/>
      <c r="AB1942" s="1"/>
      <c r="AC1942" s="1"/>
      <c r="AD1942" s="1"/>
      <c r="AE1942" s="1"/>
      <c r="AF1942" s="1"/>
      <c r="AG1942" s="1"/>
      <c r="AH1942" s="1"/>
      <c r="AI1942" s="1"/>
      <c r="AJ1942" s="1"/>
      <c r="AK1942" s="1"/>
      <c r="AL1942" s="1"/>
      <c r="AM1942" s="1"/>
    </row>
    <row r="1943" spans="16:39" x14ac:dyDescent="0.25">
      <c r="P1943" s="49"/>
      <c r="Q1943" s="1"/>
      <c r="S1943" s="1"/>
      <c r="T1943" s="1"/>
      <c r="U1943" s="1"/>
      <c r="V1943" s="1"/>
      <c r="W1943" s="1"/>
      <c r="X1943" s="1"/>
      <c r="Y1943" s="1"/>
      <c r="AB1943" s="1"/>
      <c r="AC1943" s="1"/>
      <c r="AD1943" s="1"/>
      <c r="AE1943" s="1"/>
      <c r="AF1943" s="1"/>
      <c r="AG1943" s="1"/>
      <c r="AH1943" s="1"/>
      <c r="AI1943" s="1"/>
      <c r="AJ1943" s="1"/>
      <c r="AK1943" s="1"/>
      <c r="AL1943" s="1"/>
      <c r="AM1943" s="1"/>
    </row>
    <row r="1944" spans="16:39" x14ac:dyDescent="0.25">
      <c r="P1944" s="49"/>
      <c r="Q1944" s="1"/>
      <c r="S1944" s="1"/>
      <c r="T1944" s="1"/>
      <c r="U1944" s="1"/>
      <c r="V1944" s="1"/>
      <c r="W1944" s="1"/>
      <c r="X1944" s="1"/>
      <c r="Y1944" s="1"/>
      <c r="AB1944" s="1"/>
      <c r="AC1944" s="1"/>
      <c r="AD1944" s="1"/>
      <c r="AE1944" s="1"/>
      <c r="AF1944" s="1"/>
      <c r="AG1944" s="1"/>
      <c r="AH1944" s="1"/>
      <c r="AI1944" s="1"/>
      <c r="AJ1944" s="1"/>
      <c r="AK1944" s="1"/>
      <c r="AL1944" s="1"/>
      <c r="AM1944" s="1"/>
    </row>
    <row r="1945" spans="16:39" x14ac:dyDescent="0.25">
      <c r="P1945" s="49"/>
      <c r="Q1945" s="1"/>
      <c r="S1945" s="1"/>
      <c r="T1945" s="1"/>
      <c r="U1945" s="1"/>
      <c r="V1945" s="1"/>
      <c r="W1945" s="1"/>
      <c r="X1945" s="1"/>
      <c r="Y1945" s="1"/>
      <c r="AB1945" s="1"/>
      <c r="AC1945" s="1"/>
      <c r="AD1945" s="1"/>
      <c r="AE1945" s="1"/>
      <c r="AF1945" s="1"/>
      <c r="AG1945" s="1"/>
      <c r="AH1945" s="1"/>
      <c r="AI1945" s="1"/>
      <c r="AJ1945" s="1"/>
      <c r="AK1945" s="1"/>
      <c r="AL1945" s="1"/>
      <c r="AM1945" s="1"/>
    </row>
    <row r="1946" spans="16:39" x14ac:dyDescent="0.25">
      <c r="P1946" s="49"/>
      <c r="Q1946" s="1"/>
      <c r="S1946" s="1"/>
      <c r="T1946" s="1"/>
      <c r="U1946" s="1"/>
      <c r="V1946" s="1"/>
      <c r="W1946" s="1"/>
      <c r="X1946" s="1"/>
      <c r="Y1946" s="1"/>
      <c r="AB1946" s="1"/>
      <c r="AC1946" s="1"/>
      <c r="AD1946" s="1"/>
      <c r="AE1946" s="1"/>
      <c r="AF1946" s="1"/>
      <c r="AG1946" s="1"/>
      <c r="AH1946" s="1"/>
      <c r="AI1946" s="1"/>
      <c r="AJ1946" s="1"/>
      <c r="AK1946" s="1"/>
      <c r="AL1946" s="1"/>
      <c r="AM1946" s="1"/>
    </row>
    <row r="1947" spans="16:39" x14ac:dyDescent="0.25">
      <c r="P1947" s="49"/>
      <c r="Q1947" s="1"/>
      <c r="S1947" s="1"/>
      <c r="T1947" s="1"/>
      <c r="U1947" s="1"/>
      <c r="V1947" s="1"/>
      <c r="W1947" s="1"/>
      <c r="X1947" s="1"/>
      <c r="Y1947" s="1"/>
      <c r="AB1947" s="1"/>
      <c r="AC1947" s="1"/>
      <c r="AD1947" s="1"/>
      <c r="AE1947" s="1"/>
      <c r="AF1947" s="1"/>
      <c r="AG1947" s="1"/>
      <c r="AH1947" s="1"/>
      <c r="AI1947" s="1"/>
      <c r="AJ1947" s="1"/>
      <c r="AK1947" s="1"/>
      <c r="AL1947" s="1"/>
      <c r="AM1947" s="1"/>
    </row>
    <row r="1948" spans="16:39" x14ac:dyDescent="0.25">
      <c r="P1948" s="49"/>
      <c r="Q1948" s="1"/>
      <c r="S1948" s="1"/>
      <c r="T1948" s="1"/>
      <c r="U1948" s="1"/>
      <c r="V1948" s="1"/>
      <c r="W1948" s="1"/>
      <c r="X1948" s="1"/>
      <c r="Y1948" s="1"/>
      <c r="AB1948" s="1"/>
      <c r="AC1948" s="1"/>
      <c r="AD1948" s="1"/>
      <c r="AE1948" s="1"/>
      <c r="AF1948" s="1"/>
      <c r="AG1948" s="1"/>
      <c r="AH1948" s="1"/>
      <c r="AI1948" s="1"/>
      <c r="AJ1948" s="1"/>
      <c r="AK1948" s="1"/>
      <c r="AL1948" s="1"/>
      <c r="AM1948" s="1"/>
    </row>
    <row r="1949" spans="16:39" x14ac:dyDescent="0.25">
      <c r="P1949" s="49"/>
      <c r="Q1949" s="1"/>
      <c r="S1949" s="1"/>
      <c r="T1949" s="1"/>
      <c r="U1949" s="1"/>
      <c r="V1949" s="1"/>
      <c r="W1949" s="1"/>
      <c r="X1949" s="1"/>
      <c r="Y1949" s="1"/>
      <c r="AB1949" s="1"/>
      <c r="AC1949" s="1"/>
      <c r="AD1949" s="1"/>
      <c r="AE1949" s="1"/>
      <c r="AF1949" s="1"/>
      <c r="AG1949" s="1"/>
      <c r="AH1949" s="1"/>
      <c r="AI1949" s="1"/>
      <c r="AJ1949" s="1"/>
      <c r="AK1949" s="1"/>
      <c r="AL1949" s="1"/>
      <c r="AM1949" s="1"/>
    </row>
    <row r="1950" spans="16:39" x14ac:dyDescent="0.25">
      <c r="P1950" s="49"/>
      <c r="Q1950" s="1"/>
      <c r="S1950" s="1"/>
      <c r="T1950" s="1"/>
      <c r="U1950" s="1"/>
      <c r="V1950" s="1"/>
      <c r="W1950" s="1"/>
      <c r="X1950" s="1"/>
      <c r="Y1950" s="1"/>
      <c r="AB1950" s="1"/>
      <c r="AC1950" s="1"/>
      <c r="AD1950" s="1"/>
      <c r="AE1950" s="1"/>
      <c r="AF1950" s="1"/>
      <c r="AG1950" s="1"/>
      <c r="AH1950" s="1"/>
      <c r="AI1950" s="1"/>
      <c r="AJ1950" s="1"/>
      <c r="AK1950" s="1"/>
      <c r="AL1950" s="1"/>
      <c r="AM1950" s="1"/>
    </row>
    <row r="1951" spans="16:39" x14ac:dyDescent="0.25">
      <c r="P1951" s="49"/>
      <c r="Q1951" s="1"/>
      <c r="S1951" s="1"/>
      <c r="T1951" s="1"/>
      <c r="U1951" s="1"/>
      <c r="V1951" s="1"/>
      <c r="W1951" s="1"/>
      <c r="X1951" s="1"/>
      <c r="Y1951" s="1"/>
      <c r="AB1951" s="1"/>
      <c r="AC1951" s="1"/>
      <c r="AD1951" s="1"/>
      <c r="AE1951" s="1"/>
      <c r="AF1951" s="1"/>
      <c r="AG1951" s="1"/>
      <c r="AH1951" s="1"/>
      <c r="AI1951" s="1"/>
      <c r="AJ1951" s="1"/>
      <c r="AK1951" s="1"/>
      <c r="AL1951" s="1"/>
      <c r="AM1951" s="1"/>
    </row>
    <row r="1952" spans="16:39" x14ac:dyDescent="0.25">
      <c r="P1952" s="49"/>
      <c r="Q1952" s="1"/>
      <c r="S1952" s="1"/>
      <c r="T1952" s="1"/>
      <c r="U1952" s="1"/>
      <c r="V1952" s="1"/>
      <c r="W1952" s="1"/>
      <c r="X1952" s="1"/>
      <c r="Y1952" s="1"/>
      <c r="AB1952" s="1"/>
      <c r="AC1952" s="1"/>
      <c r="AD1952" s="1"/>
      <c r="AE1952" s="1"/>
      <c r="AF1952" s="1"/>
      <c r="AG1952" s="1"/>
      <c r="AH1952" s="1"/>
      <c r="AI1952" s="1"/>
      <c r="AJ1952" s="1"/>
      <c r="AK1952" s="1"/>
      <c r="AL1952" s="1"/>
      <c r="AM1952" s="1"/>
    </row>
    <row r="1953" spans="16:39" x14ac:dyDescent="0.25">
      <c r="P1953" s="49"/>
      <c r="Q1953" s="1"/>
      <c r="S1953" s="1"/>
      <c r="T1953" s="1"/>
      <c r="U1953" s="1"/>
      <c r="V1953" s="1"/>
      <c r="W1953" s="1"/>
      <c r="X1953" s="1"/>
      <c r="Y1953" s="1"/>
      <c r="AB1953" s="1"/>
      <c r="AC1953" s="1"/>
      <c r="AD1953" s="1"/>
      <c r="AE1953" s="1"/>
      <c r="AF1953" s="1"/>
      <c r="AG1953" s="1"/>
      <c r="AH1953" s="1"/>
      <c r="AI1953" s="1"/>
      <c r="AJ1953" s="1"/>
      <c r="AK1953" s="1"/>
      <c r="AL1953" s="1"/>
      <c r="AM1953" s="1"/>
    </row>
    <row r="1954" spans="16:39" x14ac:dyDescent="0.25">
      <c r="P1954" s="49"/>
      <c r="Q1954" s="1"/>
      <c r="S1954" s="1"/>
      <c r="T1954" s="1"/>
      <c r="U1954" s="1"/>
      <c r="V1954" s="1"/>
      <c r="W1954" s="1"/>
      <c r="X1954" s="1"/>
      <c r="Y1954" s="1"/>
      <c r="AB1954" s="1"/>
      <c r="AC1954" s="1"/>
      <c r="AD1954" s="1"/>
      <c r="AE1954" s="1"/>
      <c r="AF1954" s="1"/>
      <c r="AG1954" s="1"/>
      <c r="AH1954" s="1"/>
      <c r="AI1954" s="1"/>
      <c r="AJ1954" s="1"/>
      <c r="AK1954" s="1"/>
      <c r="AL1954" s="1"/>
      <c r="AM1954" s="1"/>
    </row>
    <row r="1955" spans="16:39" x14ac:dyDescent="0.25">
      <c r="P1955" s="49"/>
      <c r="Q1955" s="1"/>
      <c r="S1955" s="1"/>
      <c r="T1955" s="1"/>
      <c r="U1955" s="1"/>
      <c r="V1955" s="1"/>
      <c r="W1955" s="1"/>
      <c r="X1955" s="1"/>
      <c r="Y1955" s="1"/>
      <c r="AB1955" s="1"/>
      <c r="AC1955" s="1"/>
      <c r="AD1955" s="1"/>
      <c r="AE1955" s="1"/>
      <c r="AF1955" s="1"/>
      <c r="AG1955" s="1"/>
      <c r="AH1955" s="1"/>
      <c r="AI1955" s="1"/>
      <c r="AJ1955" s="1"/>
      <c r="AK1955" s="1"/>
      <c r="AL1955" s="1"/>
      <c r="AM1955" s="1"/>
    </row>
    <row r="1956" spans="16:39" x14ac:dyDescent="0.25">
      <c r="P1956" s="49"/>
      <c r="Q1956" s="1"/>
      <c r="S1956" s="1"/>
      <c r="T1956" s="1"/>
      <c r="U1956" s="1"/>
      <c r="V1956" s="1"/>
      <c r="W1956" s="1"/>
      <c r="X1956" s="1"/>
      <c r="Y1956" s="1"/>
      <c r="AB1956" s="1"/>
      <c r="AC1956" s="1"/>
      <c r="AD1956" s="1"/>
      <c r="AE1956" s="1"/>
      <c r="AF1956" s="1"/>
      <c r="AG1956" s="1"/>
      <c r="AH1956" s="1"/>
      <c r="AI1956" s="1"/>
      <c r="AJ1956" s="1"/>
      <c r="AK1956" s="1"/>
      <c r="AL1956" s="1"/>
      <c r="AM1956" s="1"/>
    </row>
    <row r="1957" spans="16:39" x14ac:dyDescent="0.25">
      <c r="P1957" s="49"/>
      <c r="Q1957" s="1"/>
      <c r="S1957" s="1"/>
      <c r="T1957" s="1"/>
      <c r="U1957" s="1"/>
      <c r="V1957" s="1"/>
      <c r="W1957" s="1"/>
      <c r="X1957" s="1"/>
      <c r="Y1957" s="1"/>
      <c r="AB1957" s="1"/>
      <c r="AC1957" s="1"/>
      <c r="AD1957" s="1"/>
      <c r="AE1957" s="1"/>
      <c r="AF1957" s="1"/>
      <c r="AG1957" s="1"/>
      <c r="AH1957" s="1"/>
      <c r="AI1957" s="1"/>
      <c r="AJ1957" s="1"/>
      <c r="AK1957" s="1"/>
      <c r="AL1957" s="1"/>
      <c r="AM1957" s="1"/>
    </row>
    <row r="1958" spans="16:39" x14ac:dyDescent="0.25">
      <c r="P1958" s="49"/>
      <c r="Q1958" s="1"/>
      <c r="S1958" s="1"/>
      <c r="T1958" s="1"/>
      <c r="U1958" s="1"/>
      <c r="V1958" s="1"/>
      <c r="W1958" s="1"/>
      <c r="X1958" s="1"/>
      <c r="Y1958" s="1"/>
      <c r="AB1958" s="1"/>
      <c r="AC1958" s="1"/>
      <c r="AD1958" s="1"/>
      <c r="AE1958" s="1"/>
      <c r="AF1958" s="1"/>
      <c r="AG1958" s="1"/>
      <c r="AH1958" s="1"/>
      <c r="AI1958" s="1"/>
      <c r="AJ1958" s="1"/>
      <c r="AK1958" s="1"/>
      <c r="AL1958" s="1"/>
      <c r="AM1958" s="1"/>
    </row>
    <row r="1959" spans="16:39" x14ac:dyDescent="0.25">
      <c r="P1959" s="49"/>
      <c r="Q1959" s="1"/>
      <c r="S1959" s="1"/>
      <c r="T1959" s="1"/>
      <c r="U1959" s="1"/>
      <c r="V1959" s="1"/>
      <c r="W1959" s="1"/>
      <c r="X1959" s="1"/>
      <c r="Y1959" s="1"/>
      <c r="AB1959" s="1"/>
      <c r="AC1959" s="1"/>
      <c r="AD1959" s="1"/>
      <c r="AE1959" s="1"/>
      <c r="AF1959" s="1"/>
      <c r="AG1959" s="1"/>
      <c r="AH1959" s="1"/>
      <c r="AI1959" s="1"/>
      <c r="AJ1959" s="1"/>
      <c r="AK1959" s="1"/>
      <c r="AL1959" s="1"/>
      <c r="AM1959" s="1"/>
    </row>
    <row r="1960" spans="16:39" x14ac:dyDescent="0.25">
      <c r="P1960" s="49"/>
      <c r="Q1960" s="1"/>
      <c r="S1960" s="1"/>
      <c r="T1960" s="1"/>
      <c r="U1960" s="1"/>
      <c r="V1960" s="1"/>
      <c r="W1960" s="1"/>
      <c r="X1960" s="1"/>
      <c r="Y1960" s="1"/>
      <c r="AB1960" s="1"/>
      <c r="AC1960" s="1"/>
      <c r="AD1960" s="1"/>
      <c r="AE1960" s="1"/>
      <c r="AF1960" s="1"/>
      <c r="AG1960" s="1"/>
      <c r="AH1960" s="1"/>
      <c r="AI1960" s="1"/>
      <c r="AJ1960" s="1"/>
      <c r="AK1960" s="1"/>
      <c r="AL1960" s="1"/>
      <c r="AM1960" s="1"/>
    </row>
    <row r="1961" spans="16:39" x14ac:dyDescent="0.25">
      <c r="P1961" s="49"/>
      <c r="Q1961" s="1"/>
      <c r="S1961" s="1"/>
      <c r="T1961" s="1"/>
      <c r="U1961" s="1"/>
      <c r="V1961" s="1"/>
      <c r="W1961" s="1"/>
      <c r="X1961" s="1"/>
      <c r="Y1961" s="1"/>
      <c r="AB1961" s="1"/>
      <c r="AC1961" s="1"/>
      <c r="AD1961" s="1"/>
      <c r="AE1961" s="1"/>
      <c r="AF1961" s="1"/>
      <c r="AG1961" s="1"/>
      <c r="AH1961" s="1"/>
      <c r="AI1961" s="1"/>
      <c r="AJ1961" s="1"/>
      <c r="AK1961" s="1"/>
      <c r="AL1961" s="1"/>
      <c r="AM1961" s="1"/>
    </row>
    <row r="1962" spans="16:39" x14ac:dyDescent="0.25">
      <c r="P1962" s="49"/>
      <c r="Q1962" s="1"/>
      <c r="S1962" s="1"/>
      <c r="T1962" s="1"/>
      <c r="U1962" s="1"/>
      <c r="V1962" s="1"/>
      <c r="W1962" s="1"/>
      <c r="X1962" s="1"/>
      <c r="Y1962" s="1"/>
      <c r="AB1962" s="1"/>
      <c r="AC1962" s="1"/>
      <c r="AD1962" s="1"/>
      <c r="AE1962" s="1"/>
      <c r="AF1962" s="1"/>
      <c r="AG1962" s="1"/>
      <c r="AH1962" s="1"/>
      <c r="AI1962" s="1"/>
      <c r="AJ1962" s="1"/>
      <c r="AK1962" s="1"/>
      <c r="AL1962" s="1"/>
      <c r="AM1962" s="1"/>
    </row>
    <row r="1963" spans="16:39" x14ac:dyDescent="0.25">
      <c r="P1963" s="49"/>
      <c r="Q1963" s="1"/>
      <c r="S1963" s="1"/>
      <c r="T1963" s="1"/>
      <c r="U1963" s="1"/>
      <c r="V1963" s="1"/>
      <c r="W1963" s="1"/>
      <c r="X1963" s="1"/>
      <c r="Y1963" s="1"/>
      <c r="AB1963" s="1"/>
      <c r="AC1963" s="1"/>
      <c r="AD1963" s="1"/>
      <c r="AE1963" s="1"/>
      <c r="AF1963" s="1"/>
      <c r="AG1963" s="1"/>
      <c r="AH1963" s="1"/>
      <c r="AI1963" s="1"/>
      <c r="AJ1963" s="1"/>
      <c r="AK1963" s="1"/>
      <c r="AL1963" s="1"/>
      <c r="AM1963" s="1"/>
    </row>
    <row r="1964" spans="16:39" x14ac:dyDescent="0.25">
      <c r="P1964" s="49"/>
      <c r="Q1964" s="1"/>
      <c r="S1964" s="1"/>
      <c r="T1964" s="1"/>
      <c r="U1964" s="1"/>
      <c r="V1964" s="1"/>
      <c r="W1964" s="1"/>
      <c r="X1964" s="1"/>
      <c r="Y1964" s="1"/>
      <c r="AB1964" s="1"/>
      <c r="AC1964" s="1"/>
      <c r="AD1964" s="1"/>
      <c r="AE1964" s="1"/>
      <c r="AF1964" s="1"/>
      <c r="AG1964" s="1"/>
      <c r="AH1964" s="1"/>
      <c r="AI1964" s="1"/>
      <c r="AJ1964" s="1"/>
      <c r="AK1964" s="1"/>
      <c r="AL1964" s="1"/>
      <c r="AM1964" s="1"/>
    </row>
    <row r="1965" spans="16:39" x14ac:dyDescent="0.25">
      <c r="P1965" s="49"/>
      <c r="Q1965" s="1"/>
      <c r="S1965" s="1"/>
      <c r="T1965" s="1"/>
      <c r="U1965" s="1"/>
      <c r="V1965" s="1"/>
      <c r="W1965" s="1"/>
      <c r="X1965" s="1"/>
      <c r="Y1965" s="1"/>
      <c r="AB1965" s="1"/>
      <c r="AC1965" s="1"/>
      <c r="AD1965" s="1"/>
      <c r="AE1965" s="1"/>
      <c r="AF1965" s="1"/>
      <c r="AG1965" s="1"/>
      <c r="AH1965" s="1"/>
      <c r="AI1965" s="1"/>
      <c r="AJ1965" s="1"/>
      <c r="AK1965" s="1"/>
      <c r="AL1965" s="1"/>
      <c r="AM1965" s="1"/>
    </row>
    <row r="1966" spans="16:39" x14ac:dyDescent="0.25">
      <c r="P1966" s="49"/>
      <c r="Q1966" s="1"/>
      <c r="S1966" s="1"/>
      <c r="T1966" s="1"/>
      <c r="U1966" s="1"/>
      <c r="V1966" s="1"/>
      <c r="W1966" s="1"/>
      <c r="X1966" s="1"/>
      <c r="Y1966" s="1"/>
      <c r="AB1966" s="1"/>
      <c r="AC1966" s="1"/>
      <c r="AD1966" s="1"/>
      <c r="AE1966" s="1"/>
      <c r="AF1966" s="1"/>
      <c r="AG1966" s="1"/>
      <c r="AH1966" s="1"/>
      <c r="AI1966" s="1"/>
      <c r="AJ1966" s="1"/>
      <c r="AK1966" s="1"/>
      <c r="AL1966" s="1"/>
      <c r="AM1966" s="1"/>
    </row>
    <row r="1967" spans="16:39" x14ac:dyDescent="0.25">
      <c r="P1967" s="49"/>
      <c r="Q1967" s="1"/>
      <c r="S1967" s="1"/>
      <c r="T1967" s="1"/>
      <c r="U1967" s="1"/>
      <c r="V1967" s="1"/>
      <c r="W1967" s="1"/>
      <c r="X1967" s="1"/>
      <c r="Y1967" s="1"/>
      <c r="AB1967" s="1"/>
      <c r="AC1967" s="1"/>
      <c r="AD1967" s="1"/>
      <c r="AE1967" s="1"/>
      <c r="AF1967" s="1"/>
      <c r="AG1967" s="1"/>
      <c r="AH1967" s="1"/>
      <c r="AI1967" s="1"/>
      <c r="AJ1967" s="1"/>
      <c r="AK1967" s="1"/>
      <c r="AL1967" s="1"/>
      <c r="AM1967" s="1"/>
    </row>
    <row r="1968" spans="16:39" x14ac:dyDescent="0.25">
      <c r="P1968" s="49"/>
      <c r="Q1968" s="1"/>
      <c r="S1968" s="1"/>
      <c r="T1968" s="1"/>
      <c r="U1968" s="1"/>
      <c r="V1968" s="1"/>
      <c r="W1968" s="1"/>
      <c r="X1968" s="1"/>
      <c r="Y1968" s="1"/>
      <c r="AB1968" s="1"/>
      <c r="AC1968" s="1"/>
      <c r="AD1968" s="1"/>
      <c r="AE1968" s="1"/>
      <c r="AF1968" s="1"/>
      <c r="AG1968" s="1"/>
      <c r="AH1968" s="1"/>
      <c r="AI1968" s="1"/>
      <c r="AJ1968" s="1"/>
      <c r="AK1968" s="1"/>
      <c r="AL1968" s="1"/>
      <c r="AM1968" s="1"/>
    </row>
    <row r="1969" spans="16:39" x14ac:dyDescent="0.25">
      <c r="P1969" s="49"/>
      <c r="Q1969" s="1"/>
      <c r="S1969" s="1"/>
      <c r="T1969" s="1"/>
      <c r="U1969" s="1"/>
      <c r="V1969" s="1"/>
      <c r="W1969" s="1"/>
      <c r="X1969" s="1"/>
      <c r="Y1969" s="1"/>
      <c r="AB1969" s="1"/>
      <c r="AC1969" s="1"/>
      <c r="AD1969" s="1"/>
      <c r="AE1969" s="1"/>
      <c r="AF1969" s="1"/>
      <c r="AG1969" s="1"/>
      <c r="AH1969" s="1"/>
      <c r="AI1969" s="1"/>
      <c r="AJ1969" s="1"/>
      <c r="AK1969" s="1"/>
      <c r="AL1969" s="1"/>
      <c r="AM1969" s="1"/>
    </row>
    <row r="1970" spans="16:39" x14ac:dyDescent="0.25">
      <c r="P1970" s="49"/>
      <c r="Q1970" s="1"/>
      <c r="S1970" s="1"/>
      <c r="T1970" s="1"/>
      <c r="U1970" s="1"/>
      <c r="V1970" s="1"/>
      <c r="W1970" s="1"/>
      <c r="X1970" s="1"/>
      <c r="Y1970" s="1"/>
      <c r="AB1970" s="1"/>
      <c r="AC1970" s="1"/>
      <c r="AD1970" s="1"/>
      <c r="AE1970" s="1"/>
      <c r="AF1970" s="1"/>
      <c r="AG1970" s="1"/>
      <c r="AH1970" s="1"/>
      <c r="AI1970" s="1"/>
      <c r="AJ1970" s="1"/>
      <c r="AK1970" s="1"/>
      <c r="AL1970" s="1"/>
      <c r="AM1970" s="1"/>
    </row>
    <row r="1971" spans="16:39" x14ac:dyDescent="0.25">
      <c r="P1971" s="49"/>
      <c r="Q1971" s="1"/>
      <c r="S1971" s="1"/>
      <c r="T1971" s="1"/>
      <c r="U1971" s="1"/>
      <c r="V1971" s="1"/>
      <c r="W1971" s="1"/>
      <c r="X1971" s="1"/>
      <c r="Y1971" s="1"/>
      <c r="AB1971" s="1"/>
      <c r="AC1971" s="1"/>
      <c r="AD1971" s="1"/>
      <c r="AE1971" s="1"/>
      <c r="AF1971" s="1"/>
      <c r="AG1971" s="1"/>
      <c r="AH1971" s="1"/>
      <c r="AI1971" s="1"/>
      <c r="AJ1971" s="1"/>
      <c r="AK1971" s="1"/>
      <c r="AL1971" s="1"/>
      <c r="AM1971" s="1"/>
    </row>
    <row r="1972" spans="16:39" x14ac:dyDescent="0.25">
      <c r="P1972" s="49"/>
      <c r="Q1972" s="1"/>
      <c r="S1972" s="1"/>
      <c r="T1972" s="1"/>
      <c r="U1972" s="1"/>
      <c r="V1972" s="1"/>
      <c r="W1972" s="1"/>
      <c r="X1972" s="1"/>
      <c r="Y1972" s="1"/>
      <c r="AB1972" s="1"/>
      <c r="AC1972" s="1"/>
      <c r="AD1972" s="1"/>
      <c r="AE1972" s="1"/>
      <c r="AF1972" s="1"/>
      <c r="AG1972" s="1"/>
      <c r="AH1972" s="1"/>
      <c r="AI1972" s="1"/>
      <c r="AJ1972" s="1"/>
      <c r="AK1972" s="1"/>
      <c r="AL1972" s="1"/>
      <c r="AM1972" s="1"/>
    </row>
    <row r="1973" spans="16:39" x14ac:dyDescent="0.25">
      <c r="P1973" s="49"/>
      <c r="Q1973" s="1"/>
      <c r="S1973" s="1"/>
      <c r="T1973" s="1"/>
      <c r="U1973" s="1"/>
      <c r="V1973" s="1"/>
      <c r="W1973" s="1"/>
      <c r="X1973" s="1"/>
      <c r="Y1973" s="1"/>
      <c r="AB1973" s="1"/>
      <c r="AC1973" s="1"/>
      <c r="AD1973" s="1"/>
      <c r="AE1973" s="1"/>
      <c r="AF1973" s="1"/>
      <c r="AG1973" s="1"/>
      <c r="AH1973" s="1"/>
      <c r="AI1973" s="1"/>
      <c r="AJ1973" s="1"/>
      <c r="AK1973" s="1"/>
      <c r="AL1973" s="1"/>
      <c r="AM1973" s="1"/>
    </row>
    <row r="1974" spans="16:39" x14ac:dyDescent="0.25">
      <c r="P1974" s="49"/>
      <c r="Q1974" s="1"/>
      <c r="S1974" s="1"/>
      <c r="T1974" s="1"/>
      <c r="U1974" s="1"/>
      <c r="V1974" s="1"/>
      <c r="W1974" s="1"/>
      <c r="X1974" s="1"/>
      <c r="Y1974" s="1"/>
      <c r="AB1974" s="1"/>
      <c r="AC1974" s="1"/>
      <c r="AD1974" s="1"/>
      <c r="AE1974" s="1"/>
      <c r="AF1974" s="1"/>
      <c r="AG1974" s="1"/>
      <c r="AH1974" s="1"/>
      <c r="AI1974" s="1"/>
      <c r="AJ1974" s="1"/>
      <c r="AK1974" s="1"/>
      <c r="AL1974" s="1"/>
      <c r="AM1974" s="1"/>
    </row>
    <row r="1975" spans="16:39" x14ac:dyDescent="0.25">
      <c r="P1975" s="49"/>
      <c r="Q1975" s="1"/>
      <c r="S1975" s="1"/>
      <c r="T1975" s="1"/>
      <c r="U1975" s="1"/>
      <c r="V1975" s="1"/>
      <c r="W1975" s="1"/>
      <c r="X1975" s="1"/>
      <c r="Y1975" s="1"/>
      <c r="AB1975" s="1"/>
      <c r="AC1975" s="1"/>
      <c r="AD1975" s="1"/>
      <c r="AE1975" s="1"/>
      <c r="AF1975" s="1"/>
      <c r="AG1975" s="1"/>
      <c r="AH1975" s="1"/>
      <c r="AI1975" s="1"/>
      <c r="AJ1975" s="1"/>
      <c r="AK1975" s="1"/>
      <c r="AL1975" s="1"/>
      <c r="AM1975" s="1"/>
    </row>
    <row r="1976" spans="16:39" x14ac:dyDescent="0.25">
      <c r="P1976" s="49"/>
      <c r="Q1976" s="1"/>
      <c r="S1976" s="1"/>
      <c r="T1976" s="1"/>
      <c r="U1976" s="1"/>
      <c r="V1976" s="1"/>
      <c r="W1976" s="1"/>
      <c r="X1976" s="1"/>
      <c r="Y1976" s="1"/>
      <c r="AB1976" s="1"/>
      <c r="AC1976" s="1"/>
      <c r="AD1976" s="1"/>
      <c r="AE1976" s="1"/>
      <c r="AF1976" s="1"/>
      <c r="AG1976" s="1"/>
      <c r="AH1976" s="1"/>
      <c r="AI1976" s="1"/>
      <c r="AJ1976" s="1"/>
      <c r="AK1976" s="1"/>
      <c r="AL1976" s="1"/>
      <c r="AM1976" s="1"/>
    </row>
    <row r="1977" spans="16:39" x14ac:dyDescent="0.25">
      <c r="P1977" s="49"/>
      <c r="Q1977" s="1"/>
      <c r="S1977" s="1"/>
      <c r="T1977" s="1"/>
      <c r="U1977" s="1"/>
      <c r="V1977" s="1"/>
      <c r="W1977" s="1"/>
      <c r="X1977" s="1"/>
      <c r="Y1977" s="1"/>
      <c r="AB1977" s="1"/>
      <c r="AC1977" s="1"/>
      <c r="AD1977" s="1"/>
      <c r="AE1977" s="1"/>
      <c r="AF1977" s="1"/>
      <c r="AG1977" s="1"/>
      <c r="AH1977" s="1"/>
      <c r="AI1977" s="1"/>
      <c r="AJ1977" s="1"/>
      <c r="AK1977" s="1"/>
      <c r="AL1977" s="1"/>
      <c r="AM1977" s="1"/>
    </row>
    <row r="1978" spans="16:39" x14ac:dyDescent="0.25">
      <c r="P1978" s="49"/>
      <c r="Q1978" s="1"/>
      <c r="S1978" s="1"/>
      <c r="T1978" s="1"/>
      <c r="U1978" s="1"/>
      <c r="V1978" s="1"/>
      <c r="W1978" s="1"/>
      <c r="X1978" s="1"/>
      <c r="Y1978" s="1"/>
      <c r="AB1978" s="1"/>
      <c r="AC1978" s="1"/>
      <c r="AD1978" s="1"/>
      <c r="AE1978" s="1"/>
      <c r="AF1978" s="1"/>
      <c r="AG1978" s="1"/>
      <c r="AH1978" s="1"/>
      <c r="AI1978" s="1"/>
      <c r="AJ1978" s="1"/>
      <c r="AK1978" s="1"/>
      <c r="AL1978" s="1"/>
      <c r="AM1978" s="1"/>
    </row>
    <row r="1979" spans="16:39" x14ac:dyDescent="0.25">
      <c r="P1979" s="49"/>
      <c r="Q1979" s="1"/>
      <c r="S1979" s="1"/>
      <c r="T1979" s="1"/>
      <c r="U1979" s="1"/>
      <c r="V1979" s="1"/>
      <c r="W1979" s="1"/>
      <c r="X1979" s="1"/>
      <c r="Y1979" s="1"/>
      <c r="AB1979" s="1"/>
      <c r="AC1979" s="1"/>
      <c r="AD1979" s="1"/>
      <c r="AE1979" s="1"/>
      <c r="AF1979" s="1"/>
      <c r="AG1979" s="1"/>
      <c r="AH1979" s="1"/>
      <c r="AI1979" s="1"/>
      <c r="AJ1979" s="1"/>
      <c r="AK1979" s="1"/>
      <c r="AL1979" s="1"/>
      <c r="AM1979" s="1"/>
    </row>
    <row r="1980" spans="16:39" x14ac:dyDescent="0.25">
      <c r="P1980" s="49"/>
      <c r="Q1980" s="1"/>
      <c r="S1980" s="1"/>
      <c r="T1980" s="1"/>
      <c r="U1980" s="1"/>
      <c r="V1980" s="1"/>
      <c r="W1980" s="1"/>
      <c r="X1980" s="1"/>
      <c r="Y1980" s="1"/>
      <c r="AB1980" s="1"/>
      <c r="AC1980" s="1"/>
      <c r="AD1980" s="1"/>
      <c r="AE1980" s="1"/>
      <c r="AF1980" s="1"/>
      <c r="AG1980" s="1"/>
      <c r="AH1980" s="1"/>
      <c r="AI1980" s="1"/>
      <c r="AJ1980" s="1"/>
      <c r="AK1980" s="1"/>
      <c r="AL1980" s="1"/>
      <c r="AM1980" s="1"/>
    </row>
    <row r="1981" spans="16:39" x14ac:dyDescent="0.25">
      <c r="P1981" s="49"/>
      <c r="Q1981" s="1"/>
      <c r="S1981" s="1"/>
      <c r="T1981" s="1"/>
      <c r="U1981" s="1"/>
      <c r="V1981" s="1"/>
      <c r="W1981" s="1"/>
      <c r="X1981" s="1"/>
      <c r="Y1981" s="1"/>
      <c r="AB1981" s="1"/>
      <c r="AC1981" s="1"/>
      <c r="AD1981" s="1"/>
      <c r="AE1981" s="1"/>
      <c r="AF1981" s="1"/>
      <c r="AG1981" s="1"/>
      <c r="AH1981" s="1"/>
      <c r="AI1981" s="1"/>
      <c r="AJ1981" s="1"/>
      <c r="AK1981" s="1"/>
      <c r="AL1981" s="1"/>
      <c r="AM1981" s="1"/>
    </row>
    <row r="1982" spans="16:39" x14ac:dyDescent="0.25">
      <c r="P1982" s="49"/>
      <c r="Q1982" s="1"/>
      <c r="S1982" s="1"/>
      <c r="T1982" s="1"/>
      <c r="U1982" s="1"/>
      <c r="V1982" s="1"/>
      <c r="W1982" s="1"/>
      <c r="X1982" s="1"/>
      <c r="Y1982" s="1"/>
      <c r="AB1982" s="1"/>
      <c r="AC1982" s="1"/>
      <c r="AD1982" s="1"/>
      <c r="AE1982" s="1"/>
      <c r="AF1982" s="1"/>
      <c r="AG1982" s="1"/>
      <c r="AH1982" s="1"/>
      <c r="AI1982" s="1"/>
      <c r="AJ1982" s="1"/>
      <c r="AK1982" s="1"/>
      <c r="AL1982" s="1"/>
      <c r="AM1982" s="1"/>
    </row>
    <row r="1983" spans="16:39" x14ac:dyDescent="0.25">
      <c r="P1983" s="49"/>
      <c r="Q1983" s="1"/>
      <c r="S1983" s="1"/>
      <c r="T1983" s="1"/>
      <c r="U1983" s="1"/>
      <c r="V1983" s="1"/>
      <c r="W1983" s="1"/>
      <c r="X1983" s="1"/>
      <c r="Y1983" s="1"/>
      <c r="AB1983" s="1"/>
      <c r="AC1983" s="1"/>
      <c r="AD1983" s="1"/>
      <c r="AE1983" s="1"/>
      <c r="AF1983" s="1"/>
      <c r="AG1983" s="1"/>
      <c r="AH1983" s="1"/>
      <c r="AI1983" s="1"/>
      <c r="AJ1983" s="1"/>
      <c r="AK1983" s="1"/>
      <c r="AL1983" s="1"/>
      <c r="AM1983" s="1"/>
    </row>
    <row r="1984" spans="16:39" x14ac:dyDescent="0.25">
      <c r="P1984" s="49"/>
      <c r="Q1984" s="1"/>
      <c r="S1984" s="1"/>
      <c r="T1984" s="1"/>
      <c r="U1984" s="1"/>
      <c r="V1984" s="1"/>
      <c r="W1984" s="1"/>
      <c r="X1984" s="1"/>
      <c r="Y1984" s="1"/>
      <c r="AB1984" s="1"/>
      <c r="AC1984" s="1"/>
      <c r="AD1984" s="1"/>
      <c r="AE1984" s="1"/>
      <c r="AF1984" s="1"/>
      <c r="AG1984" s="1"/>
      <c r="AH1984" s="1"/>
      <c r="AI1984" s="1"/>
      <c r="AJ1984" s="1"/>
      <c r="AK1984" s="1"/>
      <c r="AL1984" s="1"/>
      <c r="AM1984" s="1"/>
    </row>
    <row r="1985" spans="16:39" x14ac:dyDescent="0.25">
      <c r="P1985" s="49"/>
      <c r="Q1985" s="1"/>
      <c r="S1985" s="1"/>
      <c r="T1985" s="1"/>
      <c r="U1985" s="1"/>
      <c r="V1985" s="1"/>
      <c r="W1985" s="1"/>
      <c r="X1985" s="1"/>
      <c r="Y1985" s="1"/>
      <c r="AB1985" s="1"/>
      <c r="AC1985" s="1"/>
      <c r="AD1985" s="1"/>
      <c r="AE1985" s="1"/>
      <c r="AF1985" s="1"/>
      <c r="AG1985" s="1"/>
      <c r="AH1985" s="1"/>
      <c r="AI1985" s="1"/>
      <c r="AJ1985" s="1"/>
      <c r="AK1985" s="1"/>
      <c r="AL1985" s="1"/>
      <c r="AM1985" s="1"/>
    </row>
    <row r="1986" spans="16:39" x14ac:dyDescent="0.25">
      <c r="P1986" s="49"/>
      <c r="Q1986" s="1"/>
      <c r="S1986" s="1"/>
      <c r="T1986" s="1"/>
      <c r="U1986" s="1"/>
      <c r="V1986" s="1"/>
      <c r="W1986" s="1"/>
      <c r="X1986" s="1"/>
      <c r="Y1986" s="1"/>
      <c r="AB1986" s="1"/>
      <c r="AC1986" s="1"/>
      <c r="AD1986" s="1"/>
      <c r="AE1986" s="1"/>
      <c r="AF1986" s="1"/>
      <c r="AG1986" s="1"/>
      <c r="AH1986" s="1"/>
      <c r="AI1986" s="1"/>
      <c r="AJ1986" s="1"/>
      <c r="AK1986" s="1"/>
      <c r="AL1986" s="1"/>
      <c r="AM1986" s="1"/>
    </row>
    <row r="1987" spans="16:39" x14ac:dyDescent="0.25">
      <c r="P1987" s="49"/>
      <c r="Q1987" s="1"/>
      <c r="S1987" s="1"/>
      <c r="T1987" s="1"/>
      <c r="U1987" s="1"/>
      <c r="V1987" s="1"/>
      <c r="W1987" s="1"/>
      <c r="X1987" s="1"/>
      <c r="Y1987" s="1"/>
      <c r="AB1987" s="1"/>
      <c r="AC1987" s="1"/>
      <c r="AD1987" s="1"/>
      <c r="AE1987" s="1"/>
      <c r="AF1987" s="1"/>
      <c r="AG1987" s="1"/>
      <c r="AH1987" s="1"/>
      <c r="AI1987" s="1"/>
      <c r="AJ1987" s="1"/>
      <c r="AK1987" s="1"/>
      <c r="AL1987" s="1"/>
      <c r="AM1987" s="1"/>
    </row>
    <row r="1988" spans="16:39" x14ac:dyDescent="0.25">
      <c r="P1988" s="49"/>
      <c r="Q1988" s="1"/>
      <c r="S1988" s="1"/>
      <c r="T1988" s="1"/>
      <c r="U1988" s="1"/>
      <c r="V1988" s="1"/>
      <c r="W1988" s="1"/>
      <c r="X1988" s="1"/>
      <c r="Y1988" s="1"/>
      <c r="AB1988" s="1"/>
      <c r="AC1988" s="1"/>
      <c r="AD1988" s="1"/>
      <c r="AE1988" s="1"/>
      <c r="AF1988" s="1"/>
      <c r="AG1988" s="1"/>
      <c r="AH1988" s="1"/>
      <c r="AI1988" s="1"/>
      <c r="AJ1988" s="1"/>
      <c r="AK1988" s="1"/>
      <c r="AL1988" s="1"/>
      <c r="AM1988" s="1"/>
    </row>
    <row r="1989" spans="16:39" x14ac:dyDescent="0.25">
      <c r="P1989" s="49"/>
      <c r="Q1989" s="1"/>
      <c r="S1989" s="1"/>
      <c r="T1989" s="1"/>
      <c r="U1989" s="1"/>
      <c r="V1989" s="1"/>
      <c r="W1989" s="1"/>
      <c r="X1989" s="1"/>
      <c r="Y1989" s="1"/>
      <c r="AB1989" s="1"/>
      <c r="AC1989" s="1"/>
      <c r="AD1989" s="1"/>
      <c r="AE1989" s="1"/>
      <c r="AF1989" s="1"/>
      <c r="AG1989" s="1"/>
      <c r="AH1989" s="1"/>
      <c r="AI1989" s="1"/>
      <c r="AJ1989" s="1"/>
      <c r="AK1989" s="1"/>
      <c r="AL1989" s="1"/>
      <c r="AM1989" s="1"/>
    </row>
    <row r="1990" spans="16:39" x14ac:dyDescent="0.25">
      <c r="P1990" s="49"/>
      <c r="Q1990" s="1"/>
      <c r="S1990" s="1"/>
      <c r="T1990" s="1"/>
      <c r="U1990" s="1"/>
      <c r="V1990" s="1"/>
      <c r="W1990" s="1"/>
      <c r="X1990" s="1"/>
      <c r="Y1990" s="1"/>
      <c r="AB1990" s="1"/>
      <c r="AC1990" s="1"/>
      <c r="AD1990" s="1"/>
      <c r="AE1990" s="1"/>
      <c r="AF1990" s="1"/>
      <c r="AG1990" s="1"/>
      <c r="AH1990" s="1"/>
      <c r="AI1990" s="1"/>
      <c r="AJ1990" s="1"/>
      <c r="AK1990" s="1"/>
      <c r="AL1990" s="1"/>
      <c r="AM1990" s="1"/>
    </row>
    <row r="1991" spans="16:39" x14ac:dyDescent="0.25">
      <c r="P1991" s="49"/>
      <c r="Q1991" s="1"/>
      <c r="S1991" s="1"/>
      <c r="T1991" s="1"/>
      <c r="U1991" s="1"/>
      <c r="V1991" s="1"/>
      <c r="W1991" s="1"/>
      <c r="X1991" s="1"/>
      <c r="Y1991" s="1"/>
      <c r="AB1991" s="1"/>
      <c r="AC1991" s="1"/>
      <c r="AD1991" s="1"/>
      <c r="AE1991" s="1"/>
      <c r="AF1991" s="1"/>
      <c r="AG1991" s="1"/>
      <c r="AH1991" s="1"/>
      <c r="AI1991" s="1"/>
      <c r="AJ1991" s="1"/>
      <c r="AK1991" s="1"/>
      <c r="AL1991" s="1"/>
      <c r="AM1991" s="1"/>
    </row>
    <row r="1992" spans="16:39" x14ac:dyDescent="0.25">
      <c r="P1992" s="49"/>
      <c r="Q1992" s="1"/>
      <c r="S1992" s="1"/>
      <c r="T1992" s="1"/>
      <c r="U1992" s="1"/>
      <c r="V1992" s="1"/>
      <c r="W1992" s="1"/>
      <c r="X1992" s="1"/>
      <c r="Y1992" s="1"/>
      <c r="AB1992" s="1"/>
      <c r="AC1992" s="1"/>
      <c r="AD1992" s="1"/>
      <c r="AE1992" s="1"/>
      <c r="AF1992" s="1"/>
      <c r="AG1992" s="1"/>
      <c r="AH1992" s="1"/>
      <c r="AI1992" s="1"/>
      <c r="AJ1992" s="1"/>
      <c r="AK1992" s="1"/>
      <c r="AL1992" s="1"/>
      <c r="AM1992" s="1"/>
    </row>
    <row r="1993" spans="16:39" x14ac:dyDescent="0.25">
      <c r="P1993" s="49"/>
      <c r="Q1993" s="1"/>
      <c r="S1993" s="1"/>
      <c r="T1993" s="1"/>
      <c r="U1993" s="1"/>
      <c r="V1993" s="1"/>
      <c r="W1993" s="1"/>
      <c r="X1993" s="1"/>
      <c r="Y1993" s="1"/>
      <c r="AB1993" s="1"/>
      <c r="AC1993" s="1"/>
      <c r="AD1993" s="1"/>
      <c r="AE1993" s="1"/>
      <c r="AF1993" s="1"/>
      <c r="AG1993" s="1"/>
      <c r="AH1993" s="1"/>
      <c r="AI1993" s="1"/>
      <c r="AJ1993" s="1"/>
      <c r="AK1993" s="1"/>
      <c r="AL1993" s="1"/>
      <c r="AM1993" s="1"/>
    </row>
    <row r="1994" spans="16:39" x14ac:dyDescent="0.25">
      <c r="P1994" s="49"/>
      <c r="Q1994" s="1"/>
      <c r="S1994" s="1"/>
      <c r="T1994" s="1"/>
      <c r="U1994" s="1"/>
      <c r="V1994" s="1"/>
      <c r="W1994" s="1"/>
      <c r="X1994" s="1"/>
      <c r="Y1994" s="1"/>
      <c r="AB1994" s="1"/>
      <c r="AC1994" s="1"/>
      <c r="AD1994" s="1"/>
      <c r="AE1994" s="1"/>
      <c r="AF1994" s="1"/>
      <c r="AG1994" s="1"/>
      <c r="AH1994" s="1"/>
      <c r="AI1994" s="1"/>
      <c r="AJ1994" s="1"/>
      <c r="AK1994" s="1"/>
      <c r="AL1994" s="1"/>
      <c r="AM1994" s="1"/>
    </row>
    <row r="1995" spans="16:39" x14ac:dyDescent="0.25">
      <c r="P1995" s="49"/>
      <c r="Q1995" s="1"/>
      <c r="S1995" s="1"/>
      <c r="T1995" s="1"/>
      <c r="U1995" s="1"/>
      <c r="V1995" s="1"/>
      <c r="W1995" s="1"/>
      <c r="X1995" s="1"/>
      <c r="Y1995" s="1"/>
      <c r="AB1995" s="1"/>
      <c r="AC1995" s="1"/>
      <c r="AD1995" s="1"/>
      <c r="AE1995" s="1"/>
      <c r="AF1995" s="1"/>
      <c r="AG1995" s="1"/>
      <c r="AH1995" s="1"/>
      <c r="AI1995" s="1"/>
      <c r="AJ1995" s="1"/>
      <c r="AK1995" s="1"/>
      <c r="AL1995" s="1"/>
      <c r="AM1995" s="1"/>
    </row>
    <row r="1996" spans="16:39" x14ac:dyDescent="0.25">
      <c r="P1996" s="49"/>
      <c r="Q1996" s="1"/>
      <c r="S1996" s="1"/>
      <c r="T1996" s="1"/>
      <c r="U1996" s="1"/>
      <c r="V1996" s="1"/>
      <c r="W1996" s="1"/>
      <c r="X1996" s="1"/>
      <c r="Y1996" s="1"/>
      <c r="AB1996" s="1"/>
      <c r="AC1996" s="1"/>
      <c r="AD1996" s="1"/>
      <c r="AE1996" s="1"/>
      <c r="AF1996" s="1"/>
      <c r="AG1996" s="1"/>
      <c r="AH1996" s="1"/>
      <c r="AI1996" s="1"/>
      <c r="AJ1996" s="1"/>
      <c r="AK1996" s="1"/>
      <c r="AL1996" s="1"/>
      <c r="AM1996" s="1"/>
    </row>
    <row r="1997" spans="16:39" x14ac:dyDescent="0.25">
      <c r="P1997" s="49"/>
      <c r="Q1997" s="1"/>
      <c r="S1997" s="1"/>
      <c r="T1997" s="1"/>
      <c r="U1997" s="1"/>
      <c r="V1997" s="1"/>
      <c r="W1997" s="1"/>
      <c r="X1997" s="1"/>
      <c r="Y1997" s="1"/>
      <c r="AB1997" s="1"/>
      <c r="AC1997" s="1"/>
      <c r="AD1997" s="1"/>
      <c r="AE1997" s="1"/>
      <c r="AF1997" s="1"/>
      <c r="AG1997" s="1"/>
      <c r="AH1997" s="1"/>
      <c r="AI1997" s="1"/>
      <c r="AJ1997" s="1"/>
      <c r="AK1997" s="1"/>
      <c r="AL1997" s="1"/>
      <c r="AM1997" s="1"/>
    </row>
    <row r="1998" spans="16:39" x14ac:dyDescent="0.25">
      <c r="P1998" s="49"/>
      <c r="Q1998" s="1"/>
      <c r="S1998" s="1"/>
      <c r="T1998" s="1"/>
      <c r="U1998" s="1"/>
      <c r="V1998" s="1"/>
      <c r="W1998" s="1"/>
      <c r="X1998" s="1"/>
      <c r="Y1998" s="1"/>
      <c r="AB1998" s="1"/>
      <c r="AC1998" s="1"/>
      <c r="AD1998" s="1"/>
      <c r="AE1998" s="1"/>
      <c r="AF1998" s="1"/>
      <c r="AG1998" s="1"/>
      <c r="AH1998" s="1"/>
      <c r="AI1998" s="1"/>
      <c r="AJ1998" s="1"/>
      <c r="AK1998" s="1"/>
      <c r="AL1998" s="1"/>
      <c r="AM1998" s="1"/>
    </row>
    <row r="1999" spans="16:39" x14ac:dyDescent="0.25">
      <c r="P1999" s="49"/>
      <c r="Q1999" s="1"/>
      <c r="S1999" s="1"/>
      <c r="T1999" s="1"/>
      <c r="U1999" s="1"/>
      <c r="V1999" s="1"/>
      <c r="W1999" s="1"/>
      <c r="X1999" s="1"/>
      <c r="Y1999" s="1"/>
      <c r="AB1999" s="1"/>
      <c r="AC1999" s="1"/>
      <c r="AD1999" s="1"/>
      <c r="AE1999" s="1"/>
      <c r="AF1999" s="1"/>
      <c r="AG1999" s="1"/>
      <c r="AH1999" s="1"/>
      <c r="AI1999" s="1"/>
      <c r="AJ1999" s="1"/>
      <c r="AK1999" s="1"/>
      <c r="AL1999" s="1"/>
      <c r="AM1999" s="1"/>
    </row>
    <row r="2000" spans="16:39" x14ac:dyDescent="0.25">
      <c r="P2000" s="49"/>
      <c r="Q2000" s="1"/>
      <c r="S2000" s="1"/>
      <c r="T2000" s="1"/>
      <c r="U2000" s="1"/>
      <c r="V2000" s="1"/>
      <c r="W2000" s="1"/>
      <c r="X2000" s="1"/>
      <c r="Y2000" s="1"/>
      <c r="AB2000" s="1"/>
      <c r="AC2000" s="1"/>
      <c r="AD2000" s="1"/>
      <c r="AE2000" s="1"/>
      <c r="AF2000" s="1"/>
      <c r="AG2000" s="1"/>
      <c r="AH2000" s="1"/>
      <c r="AI2000" s="1"/>
      <c r="AJ2000" s="1"/>
      <c r="AK2000" s="1"/>
      <c r="AL2000" s="1"/>
      <c r="AM2000" s="1"/>
    </row>
    <row r="2001" spans="16:39" x14ac:dyDescent="0.25">
      <c r="P2001" s="49"/>
      <c r="Q2001" s="1"/>
      <c r="S2001" s="1"/>
      <c r="T2001" s="1"/>
      <c r="U2001" s="1"/>
      <c r="V2001" s="1"/>
      <c r="W2001" s="1"/>
      <c r="X2001" s="1"/>
      <c r="Y2001" s="1"/>
      <c r="AB2001" s="1"/>
      <c r="AC2001" s="1"/>
      <c r="AD2001" s="1"/>
      <c r="AE2001" s="1"/>
      <c r="AF2001" s="1"/>
      <c r="AG2001" s="1"/>
      <c r="AH2001" s="1"/>
      <c r="AI2001" s="1"/>
      <c r="AJ2001" s="1"/>
      <c r="AK2001" s="1"/>
      <c r="AL2001" s="1"/>
      <c r="AM2001" s="1"/>
    </row>
    <row r="2002" spans="16:39" x14ac:dyDescent="0.25">
      <c r="P2002" s="49"/>
      <c r="Q2002" s="1"/>
      <c r="S2002" s="1"/>
      <c r="T2002" s="1"/>
      <c r="U2002" s="1"/>
      <c r="V2002" s="1"/>
      <c r="W2002" s="1"/>
      <c r="X2002" s="1"/>
      <c r="Y2002" s="1"/>
      <c r="AB2002" s="1"/>
      <c r="AC2002" s="1"/>
      <c r="AD2002" s="1"/>
      <c r="AE2002" s="1"/>
      <c r="AF2002" s="1"/>
      <c r="AG2002" s="1"/>
      <c r="AH2002" s="1"/>
      <c r="AI2002" s="1"/>
      <c r="AJ2002" s="1"/>
      <c r="AK2002" s="1"/>
      <c r="AL2002" s="1"/>
      <c r="AM2002" s="1"/>
    </row>
    <row r="2003" spans="16:39" x14ac:dyDescent="0.25">
      <c r="P2003" s="49"/>
      <c r="Q2003" s="1"/>
      <c r="S2003" s="1"/>
      <c r="T2003" s="1"/>
      <c r="U2003" s="1"/>
      <c r="V2003" s="1"/>
      <c r="W2003" s="1"/>
      <c r="X2003" s="1"/>
      <c r="Y2003" s="1"/>
      <c r="AB2003" s="1"/>
      <c r="AC2003" s="1"/>
      <c r="AD2003" s="1"/>
      <c r="AE2003" s="1"/>
      <c r="AF2003" s="1"/>
      <c r="AG2003" s="1"/>
      <c r="AH2003" s="1"/>
      <c r="AI2003" s="1"/>
      <c r="AJ2003" s="1"/>
      <c r="AK2003" s="1"/>
      <c r="AL2003" s="1"/>
      <c r="AM2003" s="1"/>
    </row>
    <row r="2004" spans="16:39" x14ac:dyDescent="0.25">
      <c r="P2004" s="49"/>
      <c r="Q2004" s="1"/>
      <c r="S2004" s="1"/>
      <c r="T2004" s="1"/>
      <c r="U2004" s="1"/>
      <c r="V2004" s="1"/>
      <c r="W2004" s="1"/>
      <c r="X2004" s="1"/>
      <c r="Y2004" s="1"/>
      <c r="AB2004" s="1"/>
      <c r="AC2004" s="1"/>
      <c r="AD2004" s="1"/>
      <c r="AE2004" s="1"/>
      <c r="AF2004" s="1"/>
      <c r="AG2004" s="1"/>
      <c r="AH2004" s="1"/>
      <c r="AI2004" s="1"/>
      <c r="AJ2004" s="1"/>
      <c r="AK2004" s="1"/>
      <c r="AL2004" s="1"/>
      <c r="AM2004" s="1"/>
    </row>
    <row r="2005" spans="16:39" x14ac:dyDescent="0.25">
      <c r="P2005" s="49"/>
      <c r="Q2005" s="1"/>
      <c r="S2005" s="1"/>
      <c r="T2005" s="1"/>
      <c r="U2005" s="1"/>
      <c r="V2005" s="1"/>
      <c r="W2005" s="1"/>
      <c r="X2005" s="1"/>
      <c r="Y2005" s="1"/>
      <c r="AB2005" s="1"/>
      <c r="AC2005" s="1"/>
      <c r="AD2005" s="1"/>
      <c r="AE2005" s="1"/>
      <c r="AF2005" s="1"/>
      <c r="AG2005" s="1"/>
      <c r="AH2005" s="1"/>
      <c r="AI2005" s="1"/>
      <c r="AJ2005" s="1"/>
      <c r="AK2005" s="1"/>
      <c r="AL2005" s="1"/>
      <c r="AM2005" s="1"/>
    </row>
    <row r="2006" spans="16:39" x14ac:dyDescent="0.25">
      <c r="P2006" s="49"/>
      <c r="Q2006" s="1"/>
      <c r="S2006" s="1"/>
      <c r="T2006" s="1"/>
      <c r="U2006" s="1"/>
      <c r="V2006" s="1"/>
      <c r="W2006" s="1"/>
      <c r="X2006" s="1"/>
      <c r="Y2006" s="1"/>
      <c r="AB2006" s="1"/>
      <c r="AC2006" s="1"/>
      <c r="AD2006" s="1"/>
      <c r="AE2006" s="1"/>
      <c r="AF2006" s="1"/>
      <c r="AG2006" s="1"/>
      <c r="AH2006" s="1"/>
      <c r="AI2006" s="1"/>
      <c r="AJ2006" s="1"/>
      <c r="AK2006" s="1"/>
      <c r="AL2006" s="1"/>
      <c r="AM2006" s="1"/>
    </row>
    <row r="2007" spans="16:39" x14ac:dyDescent="0.25">
      <c r="P2007" s="49"/>
      <c r="Q2007" s="1"/>
      <c r="S2007" s="1"/>
      <c r="T2007" s="1"/>
      <c r="U2007" s="1"/>
      <c r="V2007" s="1"/>
      <c r="W2007" s="1"/>
      <c r="X2007" s="1"/>
      <c r="Y2007" s="1"/>
      <c r="AB2007" s="1"/>
      <c r="AC2007" s="1"/>
      <c r="AD2007" s="1"/>
      <c r="AE2007" s="1"/>
      <c r="AF2007" s="1"/>
      <c r="AG2007" s="1"/>
      <c r="AH2007" s="1"/>
      <c r="AI2007" s="1"/>
      <c r="AJ2007" s="1"/>
      <c r="AK2007" s="1"/>
      <c r="AL2007" s="1"/>
      <c r="AM2007" s="1"/>
    </row>
    <row r="2008" spans="16:39" x14ac:dyDescent="0.25">
      <c r="P2008" s="49"/>
      <c r="Q2008" s="1"/>
      <c r="S2008" s="1"/>
      <c r="T2008" s="1"/>
      <c r="U2008" s="1"/>
      <c r="V2008" s="1"/>
      <c r="W2008" s="1"/>
      <c r="X2008" s="1"/>
      <c r="Y2008" s="1"/>
      <c r="AB2008" s="1"/>
      <c r="AC2008" s="1"/>
      <c r="AD2008" s="1"/>
      <c r="AE2008" s="1"/>
      <c r="AF2008" s="1"/>
      <c r="AG2008" s="1"/>
      <c r="AH2008" s="1"/>
      <c r="AI2008" s="1"/>
      <c r="AJ2008" s="1"/>
      <c r="AK2008" s="1"/>
      <c r="AL2008" s="1"/>
      <c r="AM2008" s="1"/>
    </row>
    <row r="2009" spans="16:39" x14ac:dyDescent="0.25">
      <c r="P2009" s="49"/>
      <c r="Q2009" s="1"/>
      <c r="S2009" s="1"/>
      <c r="T2009" s="1"/>
      <c r="U2009" s="1"/>
      <c r="V2009" s="1"/>
      <c r="W2009" s="1"/>
      <c r="X2009" s="1"/>
      <c r="Y2009" s="1"/>
      <c r="AB2009" s="1"/>
      <c r="AC2009" s="1"/>
      <c r="AD2009" s="1"/>
      <c r="AE2009" s="1"/>
      <c r="AF2009" s="1"/>
      <c r="AG2009" s="1"/>
      <c r="AH2009" s="1"/>
      <c r="AI2009" s="1"/>
      <c r="AJ2009" s="1"/>
      <c r="AK2009" s="1"/>
      <c r="AL2009" s="1"/>
      <c r="AM2009" s="1"/>
    </row>
    <row r="2010" spans="16:39" x14ac:dyDescent="0.25">
      <c r="P2010" s="49"/>
      <c r="Q2010" s="1"/>
      <c r="S2010" s="1"/>
      <c r="T2010" s="1"/>
      <c r="U2010" s="1"/>
      <c r="V2010" s="1"/>
      <c r="W2010" s="1"/>
      <c r="X2010" s="1"/>
      <c r="Y2010" s="1"/>
      <c r="AB2010" s="1"/>
      <c r="AC2010" s="1"/>
      <c r="AD2010" s="1"/>
      <c r="AE2010" s="1"/>
      <c r="AF2010" s="1"/>
      <c r="AG2010" s="1"/>
      <c r="AH2010" s="1"/>
      <c r="AI2010" s="1"/>
      <c r="AJ2010" s="1"/>
      <c r="AK2010" s="1"/>
      <c r="AL2010" s="1"/>
      <c r="AM2010" s="1"/>
    </row>
    <row r="2011" spans="16:39" x14ac:dyDescent="0.25">
      <c r="P2011" s="49"/>
      <c r="Q2011" s="1"/>
      <c r="S2011" s="1"/>
      <c r="T2011" s="1"/>
      <c r="U2011" s="1"/>
      <c r="V2011" s="1"/>
      <c r="W2011" s="1"/>
      <c r="X2011" s="1"/>
      <c r="Y2011" s="1"/>
      <c r="AB2011" s="1"/>
      <c r="AC2011" s="1"/>
      <c r="AD2011" s="1"/>
      <c r="AE2011" s="1"/>
      <c r="AF2011" s="1"/>
      <c r="AG2011" s="1"/>
      <c r="AH2011" s="1"/>
      <c r="AI2011" s="1"/>
      <c r="AJ2011" s="1"/>
      <c r="AK2011" s="1"/>
      <c r="AL2011" s="1"/>
      <c r="AM2011" s="1"/>
    </row>
    <row r="2012" spans="16:39" x14ac:dyDescent="0.25">
      <c r="P2012" s="49"/>
      <c r="Q2012" s="1"/>
      <c r="S2012" s="1"/>
      <c r="T2012" s="1"/>
      <c r="U2012" s="1"/>
      <c r="V2012" s="1"/>
      <c r="W2012" s="1"/>
      <c r="X2012" s="1"/>
      <c r="Y2012" s="1"/>
      <c r="AB2012" s="1"/>
      <c r="AC2012" s="1"/>
      <c r="AD2012" s="1"/>
      <c r="AE2012" s="1"/>
      <c r="AF2012" s="1"/>
      <c r="AG2012" s="1"/>
      <c r="AH2012" s="1"/>
      <c r="AI2012" s="1"/>
      <c r="AJ2012" s="1"/>
      <c r="AK2012" s="1"/>
      <c r="AL2012" s="1"/>
      <c r="AM2012" s="1"/>
    </row>
    <row r="2013" spans="16:39" x14ac:dyDescent="0.25">
      <c r="P2013" s="49"/>
      <c r="Q2013" s="1"/>
      <c r="S2013" s="1"/>
      <c r="T2013" s="1"/>
      <c r="U2013" s="1"/>
      <c r="V2013" s="1"/>
      <c r="W2013" s="1"/>
      <c r="X2013" s="1"/>
      <c r="Y2013" s="1"/>
      <c r="AB2013" s="1"/>
      <c r="AC2013" s="1"/>
      <c r="AD2013" s="1"/>
      <c r="AE2013" s="1"/>
      <c r="AF2013" s="1"/>
      <c r="AG2013" s="1"/>
      <c r="AH2013" s="1"/>
      <c r="AI2013" s="1"/>
      <c r="AJ2013" s="1"/>
      <c r="AK2013" s="1"/>
      <c r="AL2013" s="1"/>
      <c r="AM2013" s="1"/>
    </row>
    <row r="2014" spans="16:39" x14ac:dyDescent="0.25">
      <c r="P2014" s="49"/>
      <c r="Q2014" s="1"/>
      <c r="S2014" s="1"/>
      <c r="T2014" s="1"/>
      <c r="U2014" s="1"/>
      <c r="V2014" s="1"/>
      <c r="W2014" s="1"/>
      <c r="X2014" s="1"/>
      <c r="Y2014" s="1"/>
      <c r="AB2014" s="1"/>
      <c r="AC2014" s="1"/>
      <c r="AD2014" s="1"/>
      <c r="AE2014" s="1"/>
      <c r="AF2014" s="1"/>
      <c r="AG2014" s="1"/>
      <c r="AH2014" s="1"/>
      <c r="AI2014" s="1"/>
      <c r="AJ2014" s="1"/>
      <c r="AK2014" s="1"/>
      <c r="AL2014" s="1"/>
      <c r="AM2014" s="1"/>
    </row>
    <row r="2015" spans="16:39" x14ac:dyDescent="0.25">
      <c r="P2015" s="49"/>
      <c r="Q2015" s="1"/>
      <c r="S2015" s="1"/>
      <c r="T2015" s="1"/>
      <c r="U2015" s="1"/>
      <c r="V2015" s="1"/>
      <c r="W2015" s="1"/>
      <c r="X2015" s="1"/>
      <c r="Y2015" s="1"/>
      <c r="AB2015" s="1"/>
      <c r="AC2015" s="1"/>
      <c r="AD2015" s="1"/>
      <c r="AE2015" s="1"/>
      <c r="AF2015" s="1"/>
      <c r="AG2015" s="1"/>
      <c r="AH2015" s="1"/>
      <c r="AI2015" s="1"/>
      <c r="AJ2015" s="1"/>
      <c r="AK2015" s="1"/>
      <c r="AL2015" s="1"/>
      <c r="AM2015" s="1"/>
    </row>
    <row r="2016" spans="16:39" x14ac:dyDescent="0.25">
      <c r="P2016" s="49"/>
      <c r="Q2016" s="1"/>
      <c r="S2016" s="1"/>
      <c r="T2016" s="1"/>
      <c r="U2016" s="1"/>
      <c r="V2016" s="1"/>
      <c r="W2016" s="1"/>
      <c r="X2016" s="1"/>
      <c r="Y2016" s="1"/>
      <c r="AB2016" s="1"/>
      <c r="AC2016" s="1"/>
      <c r="AD2016" s="1"/>
      <c r="AE2016" s="1"/>
      <c r="AF2016" s="1"/>
      <c r="AG2016" s="1"/>
      <c r="AH2016" s="1"/>
      <c r="AI2016" s="1"/>
      <c r="AJ2016" s="1"/>
      <c r="AK2016" s="1"/>
      <c r="AL2016" s="1"/>
      <c r="AM2016" s="1"/>
    </row>
    <row r="2017" spans="16:39" x14ac:dyDescent="0.25">
      <c r="P2017" s="49"/>
      <c r="Q2017" s="1"/>
      <c r="S2017" s="1"/>
      <c r="T2017" s="1"/>
      <c r="U2017" s="1"/>
      <c r="V2017" s="1"/>
      <c r="W2017" s="1"/>
      <c r="X2017" s="1"/>
      <c r="Y2017" s="1"/>
      <c r="AB2017" s="1"/>
      <c r="AC2017" s="1"/>
      <c r="AD2017" s="1"/>
      <c r="AE2017" s="1"/>
      <c r="AF2017" s="1"/>
      <c r="AG2017" s="1"/>
      <c r="AH2017" s="1"/>
      <c r="AI2017" s="1"/>
      <c r="AJ2017" s="1"/>
      <c r="AK2017" s="1"/>
      <c r="AL2017" s="1"/>
      <c r="AM2017" s="1"/>
    </row>
    <row r="2018" spans="16:39" x14ac:dyDescent="0.25">
      <c r="P2018" s="49"/>
      <c r="Q2018" s="1"/>
      <c r="S2018" s="1"/>
      <c r="T2018" s="1"/>
      <c r="U2018" s="1"/>
      <c r="V2018" s="1"/>
      <c r="W2018" s="1"/>
      <c r="X2018" s="1"/>
      <c r="Y2018" s="1"/>
      <c r="AB2018" s="1"/>
      <c r="AC2018" s="1"/>
      <c r="AD2018" s="1"/>
      <c r="AE2018" s="1"/>
      <c r="AF2018" s="1"/>
      <c r="AG2018" s="1"/>
      <c r="AH2018" s="1"/>
      <c r="AI2018" s="1"/>
      <c r="AJ2018" s="1"/>
      <c r="AK2018" s="1"/>
      <c r="AL2018" s="1"/>
      <c r="AM2018" s="1"/>
    </row>
    <row r="2019" spans="16:39" x14ac:dyDescent="0.25">
      <c r="P2019" s="49"/>
      <c r="Q2019" s="1"/>
      <c r="S2019" s="1"/>
      <c r="T2019" s="1"/>
      <c r="U2019" s="1"/>
      <c r="V2019" s="1"/>
      <c r="W2019" s="1"/>
      <c r="X2019" s="1"/>
      <c r="Y2019" s="1"/>
      <c r="AB2019" s="1"/>
      <c r="AC2019" s="1"/>
      <c r="AD2019" s="1"/>
      <c r="AE2019" s="1"/>
      <c r="AF2019" s="1"/>
      <c r="AG2019" s="1"/>
      <c r="AH2019" s="1"/>
      <c r="AI2019" s="1"/>
      <c r="AJ2019" s="1"/>
      <c r="AK2019" s="1"/>
      <c r="AL2019" s="1"/>
      <c r="AM2019" s="1"/>
    </row>
    <row r="2020" spans="16:39" x14ac:dyDescent="0.25">
      <c r="P2020" s="49"/>
      <c r="Q2020" s="1"/>
      <c r="S2020" s="1"/>
      <c r="T2020" s="1"/>
      <c r="U2020" s="1"/>
      <c r="V2020" s="1"/>
      <c r="W2020" s="1"/>
      <c r="X2020" s="1"/>
      <c r="Y2020" s="1"/>
      <c r="AB2020" s="1"/>
      <c r="AC2020" s="1"/>
      <c r="AD2020" s="1"/>
      <c r="AE2020" s="1"/>
      <c r="AF2020" s="1"/>
      <c r="AG2020" s="1"/>
      <c r="AH2020" s="1"/>
      <c r="AI2020" s="1"/>
      <c r="AJ2020" s="1"/>
      <c r="AK2020" s="1"/>
      <c r="AL2020" s="1"/>
      <c r="AM2020" s="1"/>
    </row>
    <row r="2021" spans="16:39" x14ac:dyDescent="0.25">
      <c r="P2021" s="49"/>
      <c r="Q2021" s="1"/>
      <c r="S2021" s="1"/>
      <c r="T2021" s="1"/>
      <c r="U2021" s="1"/>
      <c r="V2021" s="1"/>
      <c r="W2021" s="1"/>
      <c r="X2021" s="1"/>
      <c r="Y2021" s="1"/>
      <c r="AB2021" s="1"/>
      <c r="AC2021" s="1"/>
      <c r="AD2021" s="1"/>
      <c r="AE2021" s="1"/>
      <c r="AF2021" s="1"/>
      <c r="AG2021" s="1"/>
      <c r="AH2021" s="1"/>
      <c r="AI2021" s="1"/>
      <c r="AJ2021" s="1"/>
      <c r="AK2021" s="1"/>
      <c r="AL2021" s="1"/>
      <c r="AM2021" s="1"/>
    </row>
    <row r="2022" spans="16:39" x14ac:dyDescent="0.25">
      <c r="P2022" s="49"/>
      <c r="Q2022" s="1"/>
      <c r="S2022" s="1"/>
      <c r="T2022" s="1"/>
      <c r="U2022" s="1"/>
      <c r="V2022" s="1"/>
      <c r="W2022" s="1"/>
      <c r="X2022" s="1"/>
      <c r="Y2022" s="1"/>
      <c r="AB2022" s="1"/>
      <c r="AC2022" s="1"/>
      <c r="AD2022" s="1"/>
      <c r="AE2022" s="1"/>
      <c r="AF2022" s="1"/>
      <c r="AG2022" s="1"/>
      <c r="AH2022" s="1"/>
      <c r="AI2022" s="1"/>
      <c r="AJ2022" s="1"/>
      <c r="AK2022" s="1"/>
      <c r="AL2022" s="1"/>
      <c r="AM2022" s="1"/>
    </row>
    <row r="2023" spans="16:39" x14ac:dyDescent="0.25">
      <c r="P2023" s="49"/>
      <c r="Q2023" s="1"/>
      <c r="S2023" s="1"/>
      <c r="T2023" s="1"/>
      <c r="U2023" s="1"/>
      <c r="V2023" s="1"/>
      <c r="W2023" s="1"/>
      <c r="X2023" s="1"/>
      <c r="Y2023" s="1"/>
      <c r="AB2023" s="1"/>
      <c r="AC2023" s="1"/>
      <c r="AD2023" s="1"/>
      <c r="AE2023" s="1"/>
      <c r="AF2023" s="1"/>
      <c r="AG2023" s="1"/>
      <c r="AH2023" s="1"/>
      <c r="AI2023" s="1"/>
      <c r="AJ2023" s="1"/>
      <c r="AK2023" s="1"/>
      <c r="AL2023" s="1"/>
      <c r="AM2023" s="1"/>
    </row>
    <row r="2024" spans="16:39" x14ac:dyDescent="0.25">
      <c r="P2024" s="49"/>
      <c r="Q2024" s="1"/>
      <c r="S2024" s="1"/>
      <c r="T2024" s="1"/>
      <c r="U2024" s="1"/>
      <c r="V2024" s="1"/>
      <c r="W2024" s="1"/>
      <c r="X2024" s="1"/>
      <c r="Y2024" s="1"/>
      <c r="AB2024" s="1"/>
      <c r="AC2024" s="1"/>
      <c r="AD2024" s="1"/>
      <c r="AE2024" s="1"/>
      <c r="AF2024" s="1"/>
      <c r="AG2024" s="1"/>
      <c r="AH2024" s="1"/>
      <c r="AI2024" s="1"/>
      <c r="AJ2024" s="1"/>
      <c r="AK2024" s="1"/>
      <c r="AL2024" s="1"/>
      <c r="AM2024" s="1"/>
    </row>
    <row r="2025" spans="16:39" x14ac:dyDescent="0.25">
      <c r="P2025" s="49"/>
      <c r="Q2025" s="1"/>
      <c r="S2025" s="1"/>
      <c r="T2025" s="1"/>
      <c r="U2025" s="1"/>
      <c r="V2025" s="1"/>
      <c r="W2025" s="1"/>
      <c r="X2025" s="1"/>
      <c r="Y2025" s="1"/>
      <c r="AB2025" s="1"/>
      <c r="AC2025" s="1"/>
      <c r="AD2025" s="1"/>
      <c r="AE2025" s="1"/>
      <c r="AF2025" s="1"/>
      <c r="AG2025" s="1"/>
      <c r="AH2025" s="1"/>
      <c r="AI2025" s="1"/>
      <c r="AJ2025" s="1"/>
      <c r="AK2025" s="1"/>
      <c r="AL2025" s="1"/>
      <c r="AM2025" s="1"/>
    </row>
    <row r="2026" spans="16:39" x14ac:dyDescent="0.25">
      <c r="P2026" s="49"/>
      <c r="Q2026" s="1"/>
      <c r="S2026" s="1"/>
      <c r="T2026" s="1"/>
      <c r="U2026" s="1"/>
      <c r="V2026" s="1"/>
      <c r="W2026" s="1"/>
      <c r="X2026" s="1"/>
      <c r="Y2026" s="1"/>
      <c r="AB2026" s="1"/>
      <c r="AC2026" s="1"/>
      <c r="AD2026" s="1"/>
      <c r="AE2026" s="1"/>
      <c r="AF2026" s="1"/>
      <c r="AG2026" s="1"/>
      <c r="AH2026" s="1"/>
      <c r="AI2026" s="1"/>
      <c r="AJ2026" s="1"/>
      <c r="AK2026" s="1"/>
      <c r="AL2026" s="1"/>
      <c r="AM2026" s="1"/>
    </row>
    <row r="2027" spans="16:39" x14ac:dyDescent="0.25">
      <c r="P2027" s="49"/>
      <c r="Q2027" s="1"/>
      <c r="S2027" s="1"/>
      <c r="T2027" s="1"/>
      <c r="U2027" s="1"/>
      <c r="V2027" s="1"/>
      <c r="W2027" s="1"/>
      <c r="X2027" s="1"/>
      <c r="Y2027" s="1"/>
      <c r="AB2027" s="1"/>
      <c r="AC2027" s="1"/>
      <c r="AD2027" s="1"/>
      <c r="AE2027" s="1"/>
      <c r="AF2027" s="1"/>
      <c r="AG2027" s="1"/>
      <c r="AH2027" s="1"/>
      <c r="AI2027" s="1"/>
      <c r="AJ2027" s="1"/>
      <c r="AK2027" s="1"/>
      <c r="AL2027" s="1"/>
      <c r="AM2027" s="1"/>
    </row>
    <row r="2028" spans="16:39" x14ac:dyDescent="0.25">
      <c r="P2028" s="49"/>
      <c r="Q2028" s="1"/>
      <c r="S2028" s="1"/>
      <c r="T2028" s="1"/>
      <c r="U2028" s="1"/>
      <c r="V2028" s="1"/>
      <c r="W2028" s="1"/>
      <c r="X2028" s="1"/>
      <c r="Y2028" s="1"/>
      <c r="AB2028" s="1"/>
      <c r="AC2028" s="1"/>
      <c r="AD2028" s="1"/>
      <c r="AE2028" s="1"/>
      <c r="AF2028" s="1"/>
      <c r="AG2028" s="1"/>
      <c r="AH2028" s="1"/>
      <c r="AI2028" s="1"/>
      <c r="AJ2028" s="1"/>
      <c r="AK2028" s="1"/>
      <c r="AL2028" s="1"/>
      <c r="AM2028" s="1"/>
    </row>
    <row r="2029" spans="16:39" x14ac:dyDescent="0.25">
      <c r="P2029" s="49"/>
      <c r="Q2029" s="1"/>
      <c r="S2029" s="1"/>
      <c r="T2029" s="1"/>
      <c r="U2029" s="1"/>
      <c r="V2029" s="1"/>
      <c r="W2029" s="1"/>
      <c r="X2029" s="1"/>
      <c r="Y2029" s="1"/>
      <c r="AB2029" s="1"/>
      <c r="AC2029" s="1"/>
      <c r="AD2029" s="1"/>
      <c r="AE2029" s="1"/>
      <c r="AF2029" s="1"/>
      <c r="AG2029" s="1"/>
      <c r="AH2029" s="1"/>
      <c r="AI2029" s="1"/>
      <c r="AJ2029" s="1"/>
      <c r="AK2029" s="1"/>
      <c r="AL2029" s="1"/>
      <c r="AM2029" s="1"/>
    </row>
    <row r="2030" spans="16:39" x14ac:dyDescent="0.25">
      <c r="P2030" s="49"/>
      <c r="Q2030" s="1"/>
      <c r="S2030" s="1"/>
      <c r="T2030" s="1"/>
      <c r="U2030" s="1"/>
      <c r="V2030" s="1"/>
      <c r="W2030" s="1"/>
      <c r="X2030" s="1"/>
      <c r="Y2030" s="1"/>
      <c r="AB2030" s="1"/>
      <c r="AC2030" s="1"/>
      <c r="AD2030" s="1"/>
      <c r="AE2030" s="1"/>
      <c r="AF2030" s="1"/>
      <c r="AG2030" s="1"/>
      <c r="AH2030" s="1"/>
      <c r="AI2030" s="1"/>
      <c r="AJ2030" s="1"/>
      <c r="AK2030" s="1"/>
      <c r="AL2030" s="1"/>
      <c r="AM2030" s="1"/>
    </row>
    <row r="2031" spans="16:39" x14ac:dyDescent="0.25">
      <c r="P2031" s="49"/>
      <c r="Q2031" s="1"/>
      <c r="S2031" s="1"/>
      <c r="T2031" s="1"/>
      <c r="U2031" s="1"/>
      <c r="V2031" s="1"/>
      <c r="W2031" s="1"/>
      <c r="X2031" s="1"/>
      <c r="Y2031" s="1"/>
      <c r="AB2031" s="1"/>
      <c r="AC2031" s="1"/>
      <c r="AD2031" s="1"/>
      <c r="AE2031" s="1"/>
      <c r="AF2031" s="1"/>
      <c r="AG2031" s="1"/>
      <c r="AH2031" s="1"/>
      <c r="AI2031" s="1"/>
      <c r="AJ2031" s="1"/>
      <c r="AK2031" s="1"/>
      <c r="AL2031" s="1"/>
      <c r="AM2031" s="1"/>
    </row>
    <row r="2032" spans="16:39" x14ac:dyDescent="0.25">
      <c r="P2032" s="49"/>
      <c r="Q2032" s="1"/>
      <c r="S2032" s="1"/>
      <c r="T2032" s="1"/>
      <c r="U2032" s="1"/>
      <c r="V2032" s="1"/>
      <c r="W2032" s="1"/>
      <c r="X2032" s="1"/>
      <c r="Y2032" s="1"/>
      <c r="AB2032" s="1"/>
      <c r="AC2032" s="1"/>
      <c r="AD2032" s="1"/>
      <c r="AE2032" s="1"/>
      <c r="AF2032" s="1"/>
      <c r="AG2032" s="1"/>
      <c r="AH2032" s="1"/>
      <c r="AI2032" s="1"/>
      <c r="AJ2032" s="1"/>
      <c r="AK2032" s="1"/>
      <c r="AL2032" s="1"/>
      <c r="AM2032" s="1"/>
    </row>
    <row r="2033" spans="16:39" x14ac:dyDescent="0.25">
      <c r="P2033" s="49"/>
      <c r="Q2033" s="1"/>
      <c r="S2033" s="1"/>
      <c r="T2033" s="1"/>
      <c r="U2033" s="1"/>
      <c r="V2033" s="1"/>
      <c r="W2033" s="1"/>
      <c r="X2033" s="1"/>
      <c r="Y2033" s="1"/>
      <c r="AB2033" s="1"/>
      <c r="AC2033" s="1"/>
      <c r="AD2033" s="1"/>
      <c r="AE2033" s="1"/>
      <c r="AF2033" s="1"/>
      <c r="AG2033" s="1"/>
      <c r="AH2033" s="1"/>
      <c r="AI2033" s="1"/>
      <c r="AJ2033" s="1"/>
      <c r="AK2033" s="1"/>
      <c r="AL2033" s="1"/>
      <c r="AM2033" s="1"/>
    </row>
    <row r="2034" spans="16:39" x14ac:dyDescent="0.25">
      <c r="P2034" s="49"/>
      <c r="Q2034" s="1"/>
      <c r="S2034" s="1"/>
      <c r="T2034" s="1"/>
      <c r="U2034" s="1"/>
      <c r="V2034" s="1"/>
      <c r="W2034" s="1"/>
      <c r="X2034" s="1"/>
      <c r="Y2034" s="1"/>
      <c r="AB2034" s="1"/>
      <c r="AC2034" s="1"/>
      <c r="AD2034" s="1"/>
      <c r="AE2034" s="1"/>
      <c r="AF2034" s="1"/>
      <c r="AG2034" s="1"/>
      <c r="AH2034" s="1"/>
      <c r="AI2034" s="1"/>
      <c r="AJ2034" s="1"/>
      <c r="AK2034" s="1"/>
      <c r="AL2034" s="1"/>
      <c r="AM2034" s="1"/>
    </row>
    <row r="2035" spans="16:39" x14ac:dyDescent="0.25">
      <c r="P2035" s="49"/>
      <c r="Q2035" s="1"/>
      <c r="S2035" s="1"/>
      <c r="T2035" s="1"/>
      <c r="U2035" s="1"/>
      <c r="V2035" s="1"/>
      <c r="W2035" s="1"/>
      <c r="X2035" s="1"/>
      <c r="Y2035" s="1"/>
      <c r="AB2035" s="1"/>
      <c r="AC2035" s="1"/>
      <c r="AD2035" s="1"/>
      <c r="AE2035" s="1"/>
      <c r="AF2035" s="1"/>
      <c r="AG2035" s="1"/>
      <c r="AH2035" s="1"/>
      <c r="AI2035" s="1"/>
      <c r="AJ2035" s="1"/>
      <c r="AK2035" s="1"/>
      <c r="AL2035" s="1"/>
      <c r="AM2035" s="1"/>
    </row>
    <row r="2036" spans="16:39" x14ac:dyDescent="0.25">
      <c r="P2036" s="49"/>
      <c r="Q2036" s="1"/>
      <c r="S2036" s="1"/>
      <c r="T2036" s="1"/>
      <c r="U2036" s="1"/>
      <c r="V2036" s="1"/>
      <c r="W2036" s="1"/>
      <c r="X2036" s="1"/>
      <c r="Y2036" s="1"/>
      <c r="AB2036" s="1"/>
      <c r="AC2036" s="1"/>
      <c r="AD2036" s="1"/>
      <c r="AE2036" s="1"/>
      <c r="AF2036" s="1"/>
      <c r="AG2036" s="1"/>
      <c r="AH2036" s="1"/>
      <c r="AI2036" s="1"/>
      <c r="AJ2036" s="1"/>
      <c r="AK2036" s="1"/>
      <c r="AL2036" s="1"/>
      <c r="AM2036" s="1"/>
    </row>
    <row r="2037" spans="16:39" x14ac:dyDescent="0.25">
      <c r="P2037" s="49"/>
      <c r="Q2037" s="1"/>
      <c r="S2037" s="1"/>
      <c r="T2037" s="1"/>
      <c r="U2037" s="1"/>
      <c r="V2037" s="1"/>
      <c r="W2037" s="1"/>
      <c r="X2037" s="1"/>
      <c r="Y2037" s="1"/>
      <c r="AB2037" s="1"/>
      <c r="AC2037" s="1"/>
      <c r="AD2037" s="1"/>
      <c r="AE2037" s="1"/>
      <c r="AF2037" s="1"/>
      <c r="AG2037" s="1"/>
      <c r="AH2037" s="1"/>
      <c r="AI2037" s="1"/>
      <c r="AJ2037" s="1"/>
      <c r="AK2037" s="1"/>
      <c r="AL2037" s="1"/>
      <c r="AM2037" s="1"/>
    </row>
    <row r="2038" spans="16:39" x14ac:dyDescent="0.25">
      <c r="P2038" s="49"/>
      <c r="Q2038" s="1"/>
      <c r="S2038" s="1"/>
      <c r="T2038" s="1"/>
      <c r="U2038" s="1"/>
      <c r="V2038" s="1"/>
      <c r="W2038" s="1"/>
      <c r="X2038" s="1"/>
      <c r="Y2038" s="1"/>
      <c r="AB2038" s="1"/>
      <c r="AC2038" s="1"/>
      <c r="AD2038" s="1"/>
      <c r="AE2038" s="1"/>
      <c r="AF2038" s="1"/>
      <c r="AG2038" s="1"/>
      <c r="AH2038" s="1"/>
      <c r="AI2038" s="1"/>
      <c r="AJ2038" s="1"/>
      <c r="AK2038" s="1"/>
      <c r="AL2038" s="1"/>
      <c r="AM2038" s="1"/>
    </row>
    <row r="2039" spans="16:39" x14ac:dyDescent="0.25">
      <c r="P2039" s="49"/>
      <c r="Q2039" s="1"/>
      <c r="S2039" s="1"/>
      <c r="T2039" s="1"/>
      <c r="U2039" s="1"/>
      <c r="V2039" s="1"/>
      <c r="W2039" s="1"/>
      <c r="X2039" s="1"/>
      <c r="Y2039" s="1"/>
      <c r="AB2039" s="1"/>
      <c r="AC2039" s="1"/>
      <c r="AD2039" s="1"/>
      <c r="AE2039" s="1"/>
      <c r="AF2039" s="1"/>
      <c r="AG2039" s="1"/>
      <c r="AH2039" s="1"/>
      <c r="AI2039" s="1"/>
      <c r="AJ2039" s="1"/>
      <c r="AK2039" s="1"/>
      <c r="AL2039" s="1"/>
      <c r="AM2039" s="1"/>
    </row>
    <row r="2040" spans="16:39" x14ac:dyDescent="0.25">
      <c r="P2040" s="49"/>
      <c r="Q2040" s="1"/>
      <c r="S2040" s="1"/>
      <c r="T2040" s="1"/>
      <c r="U2040" s="1"/>
      <c r="V2040" s="1"/>
      <c r="W2040" s="1"/>
      <c r="X2040" s="1"/>
      <c r="Y2040" s="1"/>
      <c r="AB2040" s="1"/>
      <c r="AC2040" s="1"/>
      <c r="AD2040" s="1"/>
      <c r="AE2040" s="1"/>
      <c r="AF2040" s="1"/>
      <c r="AG2040" s="1"/>
      <c r="AH2040" s="1"/>
      <c r="AI2040" s="1"/>
      <c r="AJ2040" s="1"/>
      <c r="AK2040" s="1"/>
      <c r="AL2040" s="1"/>
      <c r="AM2040" s="1"/>
    </row>
    <row r="2041" spans="16:39" x14ac:dyDescent="0.25">
      <c r="P2041" s="49"/>
      <c r="Q2041" s="1"/>
      <c r="S2041" s="1"/>
      <c r="T2041" s="1"/>
      <c r="U2041" s="1"/>
      <c r="V2041" s="1"/>
      <c r="W2041" s="1"/>
      <c r="X2041" s="1"/>
      <c r="Y2041" s="1"/>
      <c r="AB2041" s="1"/>
      <c r="AC2041" s="1"/>
      <c r="AD2041" s="1"/>
      <c r="AE2041" s="1"/>
      <c r="AF2041" s="1"/>
      <c r="AG2041" s="1"/>
      <c r="AH2041" s="1"/>
      <c r="AI2041" s="1"/>
      <c r="AJ2041" s="1"/>
      <c r="AK2041" s="1"/>
      <c r="AL2041" s="1"/>
      <c r="AM2041" s="1"/>
    </row>
    <row r="2042" spans="16:39" x14ac:dyDescent="0.25">
      <c r="P2042" s="49"/>
      <c r="Q2042" s="1"/>
      <c r="S2042" s="1"/>
      <c r="T2042" s="1"/>
      <c r="U2042" s="1"/>
      <c r="V2042" s="1"/>
      <c r="W2042" s="1"/>
      <c r="X2042" s="1"/>
      <c r="Y2042" s="1"/>
      <c r="AB2042" s="1"/>
      <c r="AC2042" s="1"/>
      <c r="AD2042" s="1"/>
      <c r="AE2042" s="1"/>
      <c r="AF2042" s="1"/>
      <c r="AG2042" s="1"/>
      <c r="AH2042" s="1"/>
      <c r="AI2042" s="1"/>
      <c r="AJ2042" s="1"/>
      <c r="AK2042" s="1"/>
      <c r="AL2042" s="1"/>
      <c r="AM2042" s="1"/>
    </row>
    <row r="2043" spans="16:39" x14ac:dyDescent="0.25">
      <c r="P2043" s="49"/>
      <c r="Q2043" s="1"/>
      <c r="S2043" s="1"/>
      <c r="T2043" s="1"/>
      <c r="U2043" s="1"/>
      <c r="V2043" s="1"/>
      <c r="W2043" s="1"/>
      <c r="X2043" s="1"/>
      <c r="Y2043" s="1"/>
      <c r="AB2043" s="1"/>
      <c r="AC2043" s="1"/>
      <c r="AD2043" s="1"/>
      <c r="AE2043" s="1"/>
      <c r="AF2043" s="1"/>
      <c r="AG2043" s="1"/>
      <c r="AH2043" s="1"/>
      <c r="AI2043" s="1"/>
      <c r="AJ2043" s="1"/>
      <c r="AK2043" s="1"/>
      <c r="AL2043" s="1"/>
      <c r="AM2043" s="1"/>
    </row>
    <row r="2044" spans="16:39" x14ac:dyDescent="0.25">
      <c r="P2044" s="49"/>
      <c r="Q2044" s="1"/>
      <c r="S2044" s="1"/>
      <c r="T2044" s="1"/>
      <c r="U2044" s="1"/>
      <c r="V2044" s="1"/>
      <c r="W2044" s="1"/>
      <c r="X2044" s="1"/>
      <c r="Y2044" s="1"/>
      <c r="AB2044" s="1"/>
      <c r="AC2044" s="1"/>
      <c r="AD2044" s="1"/>
      <c r="AE2044" s="1"/>
      <c r="AF2044" s="1"/>
      <c r="AG2044" s="1"/>
      <c r="AH2044" s="1"/>
      <c r="AI2044" s="1"/>
      <c r="AJ2044" s="1"/>
      <c r="AK2044" s="1"/>
      <c r="AL2044" s="1"/>
      <c r="AM2044" s="1"/>
    </row>
    <row r="2045" spans="16:39" x14ac:dyDescent="0.25">
      <c r="P2045" s="49"/>
      <c r="Q2045" s="1"/>
      <c r="S2045" s="1"/>
      <c r="T2045" s="1"/>
      <c r="U2045" s="1"/>
      <c r="V2045" s="1"/>
      <c r="W2045" s="1"/>
      <c r="X2045" s="1"/>
      <c r="Y2045" s="1"/>
      <c r="AB2045" s="1"/>
      <c r="AC2045" s="1"/>
      <c r="AD2045" s="1"/>
      <c r="AE2045" s="1"/>
      <c r="AF2045" s="1"/>
      <c r="AG2045" s="1"/>
      <c r="AH2045" s="1"/>
      <c r="AI2045" s="1"/>
      <c r="AJ2045" s="1"/>
      <c r="AK2045" s="1"/>
      <c r="AL2045" s="1"/>
      <c r="AM2045" s="1"/>
    </row>
    <row r="2046" spans="16:39" x14ac:dyDescent="0.25">
      <c r="P2046" s="49"/>
      <c r="Q2046" s="1"/>
      <c r="S2046" s="1"/>
      <c r="T2046" s="1"/>
      <c r="U2046" s="1"/>
      <c r="V2046" s="1"/>
      <c r="W2046" s="1"/>
      <c r="X2046" s="1"/>
      <c r="Y2046" s="1"/>
      <c r="AB2046" s="1"/>
      <c r="AC2046" s="1"/>
      <c r="AD2046" s="1"/>
      <c r="AE2046" s="1"/>
      <c r="AF2046" s="1"/>
      <c r="AG2046" s="1"/>
      <c r="AH2046" s="1"/>
      <c r="AI2046" s="1"/>
      <c r="AJ2046" s="1"/>
      <c r="AK2046" s="1"/>
      <c r="AL2046" s="1"/>
      <c r="AM2046" s="1"/>
    </row>
    <row r="2047" spans="16:39" x14ac:dyDescent="0.25">
      <c r="P2047" s="49"/>
      <c r="Q2047" s="1"/>
      <c r="S2047" s="1"/>
      <c r="T2047" s="1"/>
      <c r="U2047" s="1"/>
      <c r="V2047" s="1"/>
      <c r="W2047" s="1"/>
      <c r="X2047" s="1"/>
      <c r="Y2047" s="1"/>
      <c r="AB2047" s="1"/>
      <c r="AC2047" s="1"/>
      <c r="AD2047" s="1"/>
      <c r="AE2047" s="1"/>
      <c r="AF2047" s="1"/>
      <c r="AG2047" s="1"/>
      <c r="AH2047" s="1"/>
      <c r="AI2047" s="1"/>
      <c r="AJ2047" s="1"/>
      <c r="AK2047" s="1"/>
      <c r="AL2047" s="1"/>
      <c r="AM2047" s="1"/>
    </row>
    <row r="2048" spans="16:39" x14ac:dyDescent="0.25">
      <c r="P2048" s="49"/>
      <c r="Q2048" s="1"/>
      <c r="S2048" s="1"/>
      <c r="T2048" s="1"/>
      <c r="U2048" s="1"/>
      <c r="V2048" s="1"/>
      <c r="W2048" s="1"/>
      <c r="X2048" s="1"/>
      <c r="Y2048" s="1"/>
      <c r="AB2048" s="1"/>
      <c r="AC2048" s="1"/>
      <c r="AD2048" s="1"/>
      <c r="AE2048" s="1"/>
      <c r="AF2048" s="1"/>
      <c r="AG2048" s="1"/>
      <c r="AH2048" s="1"/>
      <c r="AI2048" s="1"/>
      <c r="AJ2048" s="1"/>
      <c r="AK2048" s="1"/>
      <c r="AL2048" s="1"/>
      <c r="AM2048" s="1"/>
    </row>
    <row r="2049" spans="16:39" x14ac:dyDescent="0.25">
      <c r="P2049" s="49"/>
      <c r="Q2049" s="1"/>
      <c r="S2049" s="1"/>
      <c r="T2049" s="1"/>
      <c r="U2049" s="1"/>
      <c r="V2049" s="1"/>
      <c r="W2049" s="1"/>
      <c r="X2049" s="1"/>
      <c r="Y2049" s="1"/>
      <c r="AB2049" s="1"/>
      <c r="AC2049" s="1"/>
      <c r="AD2049" s="1"/>
      <c r="AE2049" s="1"/>
      <c r="AF2049" s="1"/>
      <c r="AG2049" s="1"/>
      <c r="AH2049" s="1"/>
      <c r="AI2049" s="1"/>
      <c r="AJ2049" s="1"/>
      <c r="AK2049" s="1"/>
      <c r="AL2049" s="1"/>
      <c r="AM2049" s="1"/>
    </row>
    <row r="2050" spans="16:39" x14ac:dyDescent="0.25">
      <c r="P2050" s="49"/>
      <c r="Q2050" s="1"/>
      <c r="S2050" s="1"/>
      <c r="T2050" s="1"/>
      <c r="U2050" s="1"/>
      <c r="V2050" s="1"/>
      <c r="W2050" s="1"/>
      <c r="X2050" s="1"/>
      <c r="Y2050" s="1"/>
      <c r="AB2050" s="1"/>
      <c r="AC2050" s="1"/>
      <c r="AD2050" s="1"/>
      <c r="AE2050" s="1"/>
      <c r="AF2050" s="1"/>
      <c r="AG2050" s="1"/>
      <c r="AH2050" s="1"/>
      <c r="AI2050" s="1"/>
      <c r="AJ2050" s="1"/>
      <c r="AK2050" s="1"/>
      <c r="AL2050" s="1"/>
      <c r="AM2050" s="1"/>
    </row>
    <row r="2051" spans="16:39" x14ac:dyDescent="0.25">
      <c r="P2051" s="49"/>
      <c r="Q2051" s="1"/>
      <c r="S2051" s="1"/>
      <c r="T2051" s="1"/>
      <c r="U2051" s="1"/>
      <c r="V2051" s="1"/>
      <c r="W2051" s="1"/>
      <c r="X2051" s="1"/>
      <c r="Y2051" s="1"/>
      <c r="AB2051" s="1"/>
      <c r="AC2051" s="1"/>
      <c r="AD2051" s="1"/>
      <c r="AE2051" s="1"/>
      <c r="AF2051" s="1"/>
      <c r="AG2051" s="1"/>
      <c r="AH2051" s="1"/>
      <c r="AI2051" s="1"/>
      <c r="AJ2051" s="1"/>
      <c r="AK2051" s="1"/>
      <c r="AL2051" s="1"/>
      <c r="AM2051" s="1"/>
    </row>
    <row r="2052" spans="16:39" x14ac:dyDescent="0.25">
      <c r="P2052" s="49"/>
      <c r="Q2052" s="1"/>
      <c r="S2052" s="1"/>
      <c r="T2052" s="1"/>
      <c r="U2052" s="1"/>
      <c r="V2052" s="1"/>
      <c r="W2052" s="1"/>
      <c r="X2052" s="1"/>
      <c r="Y2052" s="1"/>
      <c r="AB2052" s="1"/>
      <c r="AC2052" s="1"/>
      <c r="AD2052" s="1"/>
      <c r="AE2052" s="1"/>
      <c r="AF2052" s="1"/>
      <c r="AG2052" s="1"/>
      <c r="AH2052" s="1"/>
      <c r="AI2052" s="1"/>
      <c r="AJ2052" s="1"/>
      <c r="AK2052" s="1"/>
      <c r="AL2052" s="1"/>
      <c r="AM2052" s="1"/>
    </row>
    <row r="2053" spans="16:39" x14ac:dyDescent="0.25">
      <c r="P2053" s="49"/>
      <c r="Q2053" s="1"/>
      <c r="S2053" s="1"/>
      <c r="T2053" s="1"/>
      <c r="U2053" s="1"/>
      <c r="V2053" s="1"/>
      <c r="W2053" s="1"/>
      <c r="X2053" s="1"/>
      <c r="Y2053" s="1"/>
      <c r="AB2053" s="1"/>
      <c r="AC2053" s="1"/>
      <c r="AD2053" s="1"/>
      <c r="AE2053" s="1"/>
      <c r="AF2053" s="1"/>
      <c r="AG2053" s="1"/>
      <c r="AH2053" s="1"/>
      <c r="AI2053" s="1"/>
      <c r="AJ2053" s="1"/>
      <c r="AK2053" s="1"/>
      <c r="AL2053" s="1"/>
      <c r="AM2053" s="1"/>
    </row>
    <row r="2054" spans="16:39" x14ac:dyDescent="0.25">
      <c r="P2054" s="49"/>
      <c r="Q2054" s="1"/>
      <c r="S2054" s="1"/>
      <c r="T2054" s="1"/>
      <c r="U2054" s="1"/>
      <c r="V2054" s="1"/>
      <c r="W2054" s="1"/>
      <c r="X2054" s="1"/>
      <c r="Y2054" s="1"/>
      <c r="AB2054" s="1"/>
      <c r="AC2054" s="1"/>
      <c r="AD2054" s="1"/>
      <c r="AE2054" s="1"/>
      <c r="AF2054" s="1"/>
      <c r="AG2054" s="1"/>
      <c r="AH2054" s="1"/>
      <c r="AI2054" s="1"/>
      <c r="AJ2054" s="1"/>
      <c r="AK2054" s="1"/>
      <c r="AL2054" s="1"/>
      <c r="AM2054" s="1"/>
    </row>
    <row r="2055" spans="16:39" x14ac:dyDescent="0.25">
      <c r="P2055" s="49"/>
      <c r="Q2055" s="1"/>
      <c r="S2055" s="1"/>
      <c r="T2055" s="1"/>
      <c r="U2055" s="1"/>
      <c r="V2055" s="1"/>
      <c r="W2055" s="1"/>
      <c r="X2055" s="1"/>
      <c r="Y2055" s="1"/>
      <c r="AB2055" s="1"/>
      <c r="AC2055" s="1"/>
      <c r="AD2055" s="1"/>
      <c r="AE2055" s="1"/>
      <c r="AF2055" s="1"/>
      <c r="AG2055" s="1"/>
      <c r="AH2055" s="1"/>
      <c r="AI2055" s="1"/>
      <c r="AJ2055" s="1"/>
      <c r="AK2055" s="1"/>
      <c r="AL2055" s="1"/>
      <c r="AM2055" s="1"/>
    </row>
    <row r="2056" spans="16:39" x14ac:dyDescent="0.25">
      <c r="P2056" s="49"/>
      <c r="Q2056" s="1"/>
      <c r="S2056" s="1"/>
      <c r="T2056" s="1"/>
      <c r="U2056" s="1"/>
      <c r="V2056" s="1"/>
      <c r="W2056" s="1"/>
      <c r="X2056" s="1"/>
      <c r="Y2056" s="1"/>
      <c r="AB2056" s="1"/>
      <c r="AC2056" s="1"/>
      <c r="AD2056" s="1"/>
      <c r="AE2056" s="1"/>
      <c r="AF2056" s="1"/>
      <c r="AG2056" s="1"/>
      <c r="AH2056" s="1"/>
      <c r="AI2056" s="1"/>
      <c r="AJ2056" s="1"/>
      <c r="AK2056" s="1"/>
      <c r="AL2056" s="1"/>
      <c r="AM2056" s="1"/>
    </row>
    <row r="2057" spans="16:39" x14ac:dyDescent="0.25">
      <c r="P2057" s="49"/>
      <c r="Q2057" s="1"/>
      <c r="S2057" s="1"/>
      <c r="T2057" s="1"/>
      <c r="U2057" s="1"/>
      <c r="V2057" s="1"/>
      <c r="W2057" s="1"/>
      <c r="X2057" s="1"/>
      <c r="Y2057" s="1"/>
      <c r="AB2057" s="1"/>
      <c r="AC2057" s="1"/>
      <c r="AD2057" s="1"/>
      <c r="AE2057" s="1"/>
      <c r="AF2057" s="1"/>
      <c r="AG2057" s="1"/>
      <c r="AH2057" s="1"/>
      <c r="AI2057" s="1"/>
      <c r="AJ2057" s="1"/>
      <c r="AK2057" s="1"/>
      <c r="AL2057" s="1"/>
      <c r="AM2057" s="1"/>
    </row>
    <row r="2058" spans="16:39" x14ac:dyDescent="0.25">
      <c r="P2058" s="49"/>
      <c r="Q2058" s="1"/>
      <c r="S2058" s="1"/>
      <c r="T2058" s="1"/>
      <c r="U2058" s="1"/>
      <c r="V2058" s="1"/>
      <c r="W2058" s="1"/>
      <c r="X2058" s="1"/>
      <c r="Y2058" s="1"/>
      <c r="AB2058" s="1"/>
      <c r="AC2058" s="1"/>
      <c r="AD2058" s="1"/>
      <c r="AE2058" s="1"/>
      <c r="AF2058" s="1"/>
      <c r="AG2058" s="1"/>
      <c r="AH2058" s="1"/>
      <c r="AI2058" s="1"/>
      <c r="AJ2058" s="1"/>
      <c r="AK2058" s="1"/>
      <c r="AL2058" s="1"/>
      <c r="AM2058" s="1"/>
    </row>
    <row r="2059" spans="16:39" x14ac:dyDescent="0.25">
      <c r="P2059" s="49"/>
      <c r="Q2059" s="1"/>
      <c r="S2059" s="1"/>
      <c r="T2059" s="1"/>
      <c r="U2059" s="1"/>
      <c r="V2059" s="1"/>
      <c r="W2059" s="1"/>
      <c r="X2059" s="1"/>
      <c r="Y2059" s="1"/>
      <c r="AB2059" s="1"/>
      <c r="AC2059" s="1"/>
      <c r="AD2059" s="1"/>
      <c r="AE2059" s="1"/>
      <c r="AF2059" s="1"/>
      <c r="AG2059" s="1"/>
      <c r="AH2059" s="1"/>
      <c r="AI2059" s="1"/>
      <c r="AJ2059" s="1"/>
      <c r="AK2059" s="1"/>
      <c r="AL2059" s="1"/>
      <c r="AM2059" s="1"/>
    </row>
    <row r="2060" spans="16:39" x14ac:dyDescent="0.25">
      <c r="P2060" s="49"/>
      <c r="Q2060" s="1"/>
      <c r="S2060" s="1"/>
      <c r="T2060" s="1"/>
      <c r="U2060" s="1"/>
      <c r="V2060" s="1"/>
      <c r="W2060" s="1"/>
      <c r="X2060" s="1"/>
      <c r="Y2060" s="1"/>
      <c r="AB2060" s="1"/>
      <c r="AC2060" s="1"/>
      <c r="AD2060" s="1"/>
      <c r="AE2060" s="1"/>
      <c r="AF2060" s="1"/>
      <c r="AG2060" s="1"/>
      <c r="AH2060" s="1"/>
      <c r="AI2060" s="1"/>
      <c r="AJ2060" s="1"/>
      <c r="AK2060" s="1"/>
      <c r="AL2060" s="1"/>
      <c r="AM2060" s="1"/>
    </row>
    <row r="2061" spans="16:39" x14ac:dyDescent="0.25">
      <c r="P2061" s="49"/>
      <c r="Q2061" s="1"/>
      <c r="S2061" s="1"/>
      <c r="T2061" s="1"/>
      <c r="U2061" s="1"/>
      <c r="V2061" s="1"/>
      <c r="W2061" s="1"/>
      <c r="X2061" s="1"/>
      <c r="Y2061" s="1"/>
      <c r="AB2061" s="1"/>
      <c r="AC2061" s="1"/>
      <c r="AD2061" s="1"/>
      <c r="AE2061" s="1"/>
      <c r="AF2061" s="1"/>
      <c r="AG2061" s="1"/>
      <c r="AH2061" s="1"/>
      <c r="AI2061" s="1"/>
      <c r="AJ2061" s="1"/>
      <c r="AK2061" s="1"/>
      <c r="AL2061" s="1"/>
      <c r="AM2061" s="1"/>
    </row>
    <row r="2062" spans="16:39" x14ac:dyDescent="0.25">
      <c r="P2062" s="49"/>
      <c r="Q2062" s="1"/>
      <c r="S2062" s="1"/>
      <c r="T2062" s="1"/>
      <c r="U2062" s="1"/>
      <c r="V2062" s="1"/>
      <c r="W2062" s="1"/>
      <c r="X2062" s="1"/>
      <c r="Y2062" s="1"/>
      <c r="AB2062" s="1"/>
      <c r="AC2062" s="1"/>
      <c r="AD2062" s="1"/>
      <c r="AE2062" s="1"/>
      <c r="AF2062" s="1"/>
      <c r="AG2062" s="1"/>
      <c r="AH2062" s="1"/>
      <c r="AI2062" s="1"/>
      <c r="AJ2062" s="1"/>
      <c r="AK2062" s="1"/>
      <c r="AL2062" s="1"/>
      <c r="AM2062" s="1"/>
    </row>
    <row r="2063" spans="16:39" x14ac:dyDescent="0.25">
      <c r="P2063" s="49"/>
      <c r="Q2063" s="1"/>
      <c r="S2063" s="1"/>
      <c r="T2063" s="1"/>
      <c r="U2063" s="1"/>
      <c r="V2063" s="1"/>
      <c r="W2063" s="1"/>
      <c r="X2063" s="1"/>
      <c r="Y2063" s="1"/>
      <c r="AB2063" s="1"/>
      <c r="AC2063" s="1"/>
      <c r="AD2063" s="1"/>
      <c r="AE2063" s="1"/>
      <c r="AF2063" s="1"/>
      <c r="AG2063" s="1"/>
      <c r="AH2063" s="1"/>
      <c r="AI2063" s="1"/>
      <c r="AJ2063" s="1"/>
      <c r="AK2063" s="1"/>
      <c r="AL2063" s="1"/>
      <c r="AM2063" s="1"/>
    </row>
    <row r="2064" spans="16:39" x14ac:dyDescent="0.25">
      <c r="P2064" s="49"/>
      <c r="Q2064" s="1"/>
      <c r="S2064" s="1"/>
      <c r="T2064" s="1"/>
      <c r="U2064" s="1"/>
      <c r="V2064" s="1"/>
      <c r="W2064" s="1"/>
      <c r="X2064" s="1"/>
      <c r="Y2064" s="1"/>
      <c r="AB2064" s="1"/>
      <c r="AC2064" s="1"/>
      <c r="AD2064" s="1"/>
      <c r="AE2064" s="1"/>
      <c r="AF2064" s="1"/>
      <c r="AG2064" s="1"/>
      <c r="AH2064" s="1"/>
      <c r="AI2064" s="1"/>
      <c r="AJ2064" s="1"/>
      <c r="AK2064" s="1"/>
      <c r="AL2064" s="1"/>
      <c r="AM2064" s="1"/>
    </row>
    <row r="2065" spans="16:39" x14ac:dyDescent="0.25">
      <c r="P2065" s="49"/>
      <c r="Q2065" s="1"/>
      <c r="S2065" s="1"/>
      <c r="T2065" s="1"/>
      <c r="U2065" s="1"/>
      <c r="V2065" s="1"/>
      <c r="W2065" s="1"/>
      <c r="X2065" s="1"/>
      <c r="Y2065" s="1"/>
      <c r="AB2065" s="1"/>
      <c r="AC2065" s="1"/>
      <c r="AD2065" s="1"/>
      <c r="AE2065" s="1"/>
      <c r="AF2065" s="1"/>
      <c r="AG2065" s="1"/>
      <c r="AH2065" s="1"/>
      <c r="AI2065" s="1"/>
      <c r="AJ2065" s="1"/>
      <c r="AK2065" s="1"/>
      <c r="AL2065" s="1"/>
      <c r="AM2065" s="1"/>
    </row>
    <row r="2066" spans="16:39" x14ac:dyDescent="0.25">
      <c r="P2066" s="49"/>
      <c r="Q2066" s="1"/>
      <c r="S2066" s="1"/>
      <c r="T2066" s="1"/>
      <c r="U2066" s="1"/>
      <c r="V2066" s="1"/>
      <c r="W2066" s="1"/>
      <c r="X2066" s="1"/>
      <c r="Y2066" s="1"/>
      <c r="AB2066" s="1"/>
      <c r="AC2066" s="1"/>
      <c r="AD2066" s="1"/>
      <c r="AE2066" s="1"/>
      <c r="AF2066" s="1"/>
      <c r="AG2066" s="1"/>
      <c r="AH2066" s="1"/>
      <c r="AI2066" s="1"/>
      <c r="AJ2066" s="1"/>
      <c r="AK2066" s="1"/>
      <c r="AL2066" s="1"/>
      <c r="AM2066" s="1"/>
    </row>
    <row r="2067" spans="16:39" x14ac:dyDescent="0.25">
      <c r="P2067" s="49"/>
      <c r="Q2067" s="1"/>
      <c r="S2067" s="1"/>
      <c r="T2067" s="1"/>
      <c r="U2067" s="1"/>
      <c r="V2067" s="1"/>
      <c r="W2067" s="1"/>
      <c r="X2067" s="1"/>
      <c r="Y2067" s="1"/>
      <c r="AB2067" s="1"/>
      <c r="AC2067" s="1"/>
      <c r="AD2067" s="1"/>
      <c r="AE2067" s="1"/>
      <c r="AF2067" s="1"/>
      <c r="AG2067" s="1"/>
      <c r="AH2067" s="1"/>
      <c r="AI2067" s="1"/>
      <c r="AJ2067" s="1"/>
      <c r="AK2067" s="1"/>
      <c r="AL2067" s="1"/>
      <c r="AM2067" s="1"/>
    </row>
    <row r="2068" spans="16:39" x14ac:dyDescent="0.25">
      <c r="P2068" s="49"/>
      <c r="Q2068" s="1"/>
      <c r="S2068" s="1"/>
      <c r="T2068" s="1"/>
      <c r="U2068" s="1"/>
      <c r="V2068" s="1"/>
      <c r="W2068" s="1"/>
      <c r="X2068" s="1"/>
      <c r="Y2068" s="1"/>
      <c r="AB2068" s="1"/>
      <c r="AC2068" s="1"/>
      <c r="AD2068" s="1"/>
      <c r="AE2068" s="1"/>
      <c r="AF2068" s="1"/>
      <c r="AG2068" s="1"/>
      <c r="AH2068" s="1"/>
      <c r="AI2068" s="1"/>
      <c r="AJ2068" s="1"/>
      <c r="AK2068" s="1"/>
      <c r="AL2068" s="1"/>
      <c r="AM2068" s="1"/>
    </row>
    <row r="2069" spans="16:39" x14ac:dyDescent="0.25">
      <c r="P2069" s="49"/>
      <c r="Q2069" s="1"/>
      <c r="S2069" s="1"/>
      <c r="T2069" s="1"/>
      <c r="U2069" s="1"/>
      <c r="V2069" s="1"/>
      <c r="W2069" s="1"/>
      <c r="X2069" s="1"/>
      <c r="Y2069" s="1"/>
      <c r="AB2069" s="1"/>
      <c r="AC2069" s="1"/>
      <c r="AD2069" s="1"/>
      <c r="AE2069" s="1"/>
      <c r="AF2069" s="1"/>
      <c r="AG2069" s="1"/>
      <c r="AH2069" s="1"/>
      <c r="AI2069" s="1"/>
      <c r="AJ2069" s="1"/>
      <c r="AK2069" s="1"/>
      <c r="AL2069" s="1"/>
      <c r="AM2069" s="1"/>
    </row>
    <row r="2070" spans="16:39" x14ac:dyDescent="0.25">
      <c r="P2070" s="49"/>
      <c r="Q2070" s="1"/>
      <c r="S2070" s="1"/>
      <c r="T2070" s="1"/>
      <c r="U2070" s="1"/>
      <c r="V2070" s="1"/>
      <c r="W2070" s="1"/>
      <c r="X2070" s="1"/>
      <c r="Y2070" s="1"/>
      <c r="AB2070" s="1"/>
      <c r="AC2070" s="1"/>
      <c r="AD2070" s="1"/>
      <c r="AE2070" s="1"/>
      <c r="AF2070" s="1"/>
      <c r="AG2070" s="1"/>
      <c r="AH2070" s="1"/>
      <c r="AI2070" s="1"/>
      <c r="AJ2070" s="1"/>
      <c r="AK2070" s="1"/>
      <c r="AL2070" s="1"/>
      <c r="AM2070" s="1"/>
    </row>
    <row r="2071" spans="16:39" x14ac:dyDescent="0.25">
      <c r="P2071" s="49"/>
      <c r="Q2071" s="1"/>
      <c r="S2071" s="1"/>
      <c r="T2071" s="1"/>
      <c r="U2071" s="1"/>
      <c r="V2071" s="1"/>
      <c r="W2071" s="1"/>
      <c r="X2071" s="1"/>
      <c r="Y2071" s="1"/>
      <c r="AB2071" s="1"/>
      <c r="AC2071" s="1"/>
      <c r="AD2071" s="1"/>
      <c r="AE2071" s="1"/>
      <c r="AF2071" s="1"/>
      <c r="AG2071" s="1"/>
      <c r="AH2071" s="1"/>
      <c r="AI2071" s="1"/>
      <c r="AJ2071" s="1"/>
      <c r="AK2071" s="1"/>
      <c r="AL2071" s="1"/>
      <c r="AM2071" s="1"/>
    </row>
    <row r="2072" spans="16:39" x14ac:dyDescent="0.25">
      <c r="P2072" s="49"/>
      <c r="Q2072" s="1"/>
      <c r="S2072" s="1"/>
      <c r="T2072" s="1"/>
      <c r="U2072" s="1"/>
      <c r="V2072" s="1"/>
      <c r="W2072" s="1"/>
      <c r="X2072" s="1"/>
      <c r="Y2072" s="1"/>
      <c r="AB2072" s="1"/>
      <c r="AC2072" s="1"/>
      <c r="AD2072" s="1"/>
      <c r="AE2072" s="1"/>
      <c r="AF2072" s="1"/>
      <c r="AG2072" s="1"/>
      <c r="AH2072" s="1"/>
      <c r="AI2072" s="1"/>
      <c r="AJ2072" s="1"/>
      <c r="AK2072" s="1"/>
      <c r="AL2072" s="1"/>
      <c r="AM2072" s="1"/>
    </row>
    <row r="2073" spans="16:39" x14ac:dyDescent="0.25">
      <c r="P2073" s="49"/>
      <c r="Q2073" s="1"/>
      <c r="S2073" s="1"/>
      <c r="T2073" s="1"/>
      <c r="U2073" s="1"/>
      <c r="V2073" s="1"/>
      <c r="W2073" s="1"/>
      <c r="X2073" s="1"/>
      <c r="Y2073" s="1"/>
      <c r="AB2073" s="1"/>
      <c r="AC2073" s="1"/>
      <c r="AD2073" s="1"/>
      <c r="AE2073" s="1"/>
      <c r="AF2073" s="1"/>
      <c r="AG2073" s="1"/>
      <c r="AH2073" s="1"/>
      <c r="AI2073" s="1"/>
      <c r="AJ2073" s="1"/>
      <c r="AK2073" s="1"/>
      <c r="AL2073" s="1"/>
      <c r="AM2073" s="1"/>
    </row>
    <row r="2074" spans="16:39" x14ac:dyDescent="0.25">
      <c r="P2074" s="49"/>
      <c r="Q2074" s="1"/>
      <c r="S2074" s="1"/>
      <c r="T2074" s="1"/>
      <c r="U2074" s="1"/>
      <c r="V2074" s="1"/>
      <c r="W2074" s="1"/>
      <c r="X2074" s="1"/>
      <c r="Y2074" s="1"/>
      <c r="AB2074" s="1"/>
      <c r="AC2074" s="1"/>
      <c r="AD2074" s="1"/>
      <c r="AE2074" s="1"/>
      <c r="AF2074" s="1"/>
      <c r="AG2074" s="1"/>
      <c r="AH2074" s="1"/>
      <c r="AI2074" s="1"/>
      <c r="AJ2074" s="1"/>
      <c r="AK2074" s="1"/>
      <c r="AL2074" s="1"/>
      <c r="AM2074" s="1"/>
    </row>
    <row r="2075" spans="16:39" x14ac:dyDescent="0.25">
      <c r="P2075" s="49"/>
      <c r="Q2075" s="1"/>
      <c r="S2075" s="1"/>
      <c r="T2075" s="1"/>
      <c r="U2075" s="1"/>
      <c r="V2075" s="1"/>
      <c r="W2075" s="1"/>
      <c r="X2075" s="1"/>
      <c r="Y2075" s="1"/>
      <c r="AB2075" s="1"/>
      <c r="AC2075" s="1"/>
      <c r="AD2075" s="1"/>
      <c r="AE2075" s="1"/>
      <c r="AF2075" s="1"/>
      <c r="AG2075" s="1"/>
      <c r="AH2075" s="1"/>
      <c r="AI2075" s="1"/>
      <c r="AJ2075" s="1"/>
      <c r="AK2075" s="1"/>
      <c r="AL2075" s="1"/>
      <c r="AM2075" s="1"/>
    </row>
    <row r="2076" spans="16:39" x14ac:dyDescent="0.25">
      <c r="P2076" s="49"/>
      <c r="Q2076" s="1"/>
      <c r="S2076" s="1"/>
      <c r="T2076" s="1"/>
      <c r="U2076" s="1"/>
      <c r="V2076" s="1"/>
      <c r="W2076" s="1"/>
      <c r="X2076" s="1"/>
      <c r="Y2076" s="1"/>
      <c r="AB2076" s="1"/>
      <c r="AC2076" s="1"/>
      <c r="AD2076" s="1"/>
      <c r="AE2076" s="1"/>
      <c r="AF2076" s="1"/>
      <c r="AG2076" s="1"/>
      <c r="AH2076" s="1"/>
      <c r="AI2076" s="1"/>
      <c r="AJ2076" s="1"/>
      <c r="AK2076" s="1"/>
      <c r="AL2076" s="1"/>
      <c r="AM2076" s="1"/>
    </row>
    <row r="2077" spans="16:39" x14ac:dyDescent="0.25">
      <c r="P2077" s="49"/>
      <c r="Q2077" s="1"/>
      <c r="S2077" s="1"/>
      <c r="T2077" s="1"/>
      <c r="U2077" s="1"/>
      <c r="V2077" s="1"/>
      <c r="W2077" s="1"/>
      <c r="X2077" s="1"/>
      <c r="Y2077" s="1"/>
      <c r="AB2077" s="1"/>
      <c r="AC2077" s="1"/>
      <c r="AD2077" s="1"/>
      <c r="AE2077" s="1"/>
      <c r="AF2077" s="1"/>
      <c r="AG2077" s="1"/>
      <c r="AH2077" s="1"/>
      <c r="AI2077" s="1"/>
      <c r="AJ2077" s="1"/>
      <c r="AK2077" s="1"/>
      <c r="AL2077" s="1"/>
      <c r="AM2077" s="1"/>
    </row>
    <row r="2078" spans="16:39" x14ac:dyDescent="0.25">
      <c r="P2078" s="49"/>
      <c r="Q2078" s="1"/>
      <c r="S2078" s="1"/>
      <c r="T2078" s="1"/>
      <c r="U2078" s="1"/>
      <c r="V2078" s="1"/>
      <c r="W2078" s="1"/>
      <c r="X2078" s="1"/>
      <c r="Y2078" s="1"/>
      <c r="AB2078" s="1"/>
      <c r="AC2078" s="1"/>
      <c r="AD2078" s="1"/>
      <c r="AE2078" s="1"/>
      <c r="AF2078" s="1"/>
      <c r="AG2078" s="1"/>
      <c r="AH2078" s="1"/>
      <c r="AI2078" s="1"/>
      <c r="AJ2078" s="1"/>
      <c r="AK2078" s="1"/>
      <c r="AL2078" s="1"/>
      <c r="AM2078" s="1"/>
    </row>
    <row r="2079" spans="16:39" x14ac:dyDescent="0.25">
      <c r="P2079" s="49"/>
      <c r="Q2079" s="1"/>
      <c r="S2079" s="1"/>
      <c r="T2079" s="1"/>
      <c r="U2079" s="1"/>
      <c r="V2079" s="1"/>
      <c r="W2079" s="1"/>
      <c r="X2079" s="1"/>
      <c r="Y2079" s="1"/>
      <c r="AB2079" s="1"/>
      <c r="AC2079" s="1"/>
      <c r="AD2079" s="1"/>
      <c r="AE2079" s="1"/>
      <c r="AF2079" s="1"/>
      <c r="AG2079" s="1"/>
      <c r="AH2079" s="1"/>
      <c r="AI2079" s="1"/>
      <c r="AJ2079" s="1"/>
      <c r="AK2079" s="1"/>
      <c r="AL2079" s="1"/>
      <c r="AM2079" s="1"/>
    </row>
    <row r="2080" spans="16:39" x14ac:dyDescent="0.25">
      <c r="P2080" s="49"/>
      <c r="Q2080" s="1"/>
      <c r="S2080" s="1"/>
      <c r="T2080" s="1"/>
      <c r="U2080" s="1"/>
      <c r="V2080" s="1"/>
      <c r="W2080" s="1"/>
      <c r="X2080" s="1"/>
      <c r="Y2080" s="1"/>
      <c r="AB2080" s="1"/>
      <c r="AC2080" s="1"/>
      <c r="AD2080" s="1"/>
      <c r="AE2080" s="1"/>
      <c r="AF2080" s="1"/>
      <c r="AG2080" s="1"/>
      <c r="AH2080" s="1"/>
      <c r="AI2080" s="1"/>
      <c r="AJ2080" s="1"/>
      <c r="AK2080" s="1"/>
      <c r="AL2080" s="1"/>
      <c r="AM2080" s="1"/>
    </row>
    <row r="2081" spans="16:39" x14ac:dyDescent="0.25">
      <c r="P2081" s="49"/>
      <c r="Q2081" s="1"/>
      <c r="S2081" s="1"/>
      <c r="T2081" s="1"/>
      <c r="U2081" s="1"/>
      <c r="V2081" s="1"/>
      <c r="W2081" s="1"/>
      <c r="X2081" s="1"/>
      <c r="Y2081" s="1"/>
      <c r="AB2081" s="1"/>
      <c r="AC2081" s="1"/>
      <c r="AD2081" s="1"/>
      <c r="AE2081" s="1"/>
      <c r="AF2081" s="1"/>
      <c r="AG2081" s="1"/>
      <c r="AH2081" s="1"/>
      <c r="AI2081" s="1"/>
      <c r="AJ2081" s="1"/>
      <c r="AK2081" s="1"/>
      <c r="AL2081" s="1"/>
      <c r="AM2081" s="1"/>
    </row>
    <row r="2082" spans="16:39" x14ac:dyDescent="0.25">
      <c r="P2082" s="49"/>
      <c r="Q2082" s="1"/>
      <c r="S2082" s="1"/>
      <c r="T2082" s="1"/>
      <c r="U2082" s="1"/>
      <c r="V2082" s="1"/>
      <c r="W2082" s="1"/>
      <c r="X2082" s="1"/>
      <c r="Y2082" s="1"/>
      <c r="AB2082" s="1"/>
      <c r="AC2082" s="1"/>
      <c r="AD2082" s="1"/>
      <c r="AE2082" s="1"/>
      <c r="AF2082" s="1"/>
      <c r="AG2082" s="1"/>
      <c r="AH2082" s="1"/>
      <c r="AI2082" s="1"/>
      <c r="AJ2082" s="1"/>
      <c r="AK2082" s="1"/>
      <c r="AL2082" s="1"/>
      <c r="AM2082" s="1"/>
    </row>
    <row r="2083" spans="16:39" x14ac:dyDescent="0.25">
      <c r="P2083" s="49"/>
      <c r="Q2083" s="1"/>
      <c r="S2083" s="1"/>
      <c r="T2083" s="1"/>
      <c r="U2083" s="1"/>
      <c r="V2083" s="1"/>
      <c r="W2083" s="1"/>
      <c r="X2083" s="1"/>
      <c r="Y2083" s="1"/>
      <c r="AB2083" s="1"/>
      <c r="AC2083" s="1"/>
      <c r="AD2083" s="1"/>
      <c r="AE2083" s="1"/>
      <c r="AF2083" s="1"/>
      <c r="AG2083" s="1"/>
      <c r="AH2083" s="1"/>
      <c r="AI2083" s="1"/>
      <c r="AJ2083" s="1"/>
      <c r="AK2083" s="1"/>
      <c r="AL2083" s="1"/>
      <c r="AM2083" s="1"/>
    </row>
    <row r="2084" spans="16:39" x14ac:dyDescent="0.25">
      <c r="P2084" s="49"/>
      <c r="Q2084" s="1"/>
      <c r="S2084" s="1"/>
      <c r="T2084" s="1"/>
      <c r="U2084" s="1"/>
      <c r="V2084" s="1"/>
      <c r="W2084" s="1"/>
      <c r="X2084" s="1"/>
      <c r="Y2084" s="1"/>
      <c r="AB2084" s="1"/>
      <c r="AC2084" s="1"/>
      <c r="AD2084" s="1"/>
      <c r="AE2084" s="1"/>
      <c r="AF2084" s="1"/>
      <c r="AG2084" s="1"/>
      <c r="AH2084" s="1"/>
      <c r="AI2084" s="1"/>
      <c r="AJ2084" s="1"/>
      <c r="AK2084" s="1"/>
      <c r="AL2084" s="1"/>
      <c r="AM2084" s="1"/>
    </row>
    <row r="2085" spans="16:39" x14ac:dyDescent="0.25">
      <c r="P2085" s="49"/>
      <c r="Q2085" s="1"/>
      <c r="S2085" s="1"/>
      <c r="T2085" s="1"/>
      <c r="U2085" s="1"/>
      <c r="V2085" s="1"/>
      <c r="W2085" s="1"/>
      <c r="X2085" s="1"/>
      <c r="Y2085" s="1"/>
      <c r="AB2085" s="1"/>
      <c r="AC2085" s="1"/>
      <c r="AD2085" s="1"/>
      <c r="AE2085" s="1"/>
      <c r="AF2085" s="1"/>
      <c r="AG2085" s="1"/>
      <c r="AH2085" s="1"/>
      <c r="AI2085" s="1"/>
      <c r="AJ2085" s="1"/>
      <c r="AK2085" s="1"/>
      <c r="AL2085" s="1"/>
      <c r="AM2085" s="1"/>
    </row>
    <row r="2086" spans="16:39" x14ac:dyDescent="0.25">
      <c r="P2086" s="49"/>
      <c r="Q2086" s="1"/>
      <c r="S2086" s="1"/>
      <c r="T2086" s="1"/>
      <c r="U2086" s="1"/>
      <c r="V2086" s="1"/>
      <c r="W2086" s="1"/>
      <c r="X2086" s="1"/>
      <c r="Y2086" s="1"/>
      <c r="AB2086" s="1"/>
      <c r="AC2086" s="1"/>
      <c r="AD2086" s="1"/>
      <c r="AE2086" s="1"/>
      <c r="AF2086" s="1"/>
      <c r="AG2086" s="1"/>
      <c r="AH2086" s="1"/>
      <c r="AI2086" s="1"/>
      <c r="AJ2086" s="1"/>
      <c r="AK2086" s="1"/>
      <c r="AL2086" s="1"/>
      <c r="AM2086" s="1"/>
    </row>
    <row r="2087" spans="16:39" x14ac:dyDescent="0.25">
      <c r="P2087" s="49"/>
      <c r="Q2087" s="1"/>
      <c r="S2087" s="1"/>
      <c r="T2087" s="1"/>
      <c r="U2087" s="1"/>
      <c r="V2087" s="1"/>
      <c r="W2087" s="1"/>
      <c r="X2087" s="1"/>
      <c r="Y2087" s="1"/>
      <c r="AB2087" s="1"/>
      <c r="AC2087" s="1"/>
      <c r="AD2087" s="1"/>
      <c r="AE2087" s="1"/>
      <c r="AF2087" s="1"/>
      <c r="AG2087" s="1"/>
      <c r="AH2087" s="1"/>
      <c r="AI2087" s="1"/>
      <c r="AJ2087" s="1"/>
      <c r="AK2087" s="1"/>
      <c r="AL2087" s="1"/>
      <c r="AM2087" s="1"/>
    </row>
    <row r="2088" spans="16:39" x14ac:dyDescent="0.25">
      <c r="P2088" s="49"/>
      <c r="Q2088" s="1"/>
      <c r="S2088" s="1"/>
      <c r="T2088" s="1"/>
      <c r="U2088" s="1"/>
      <c r="V2088" s="1"/>
      <c r="W2088" s="1"/>
      <c r="X2088" s="1"/>
      <c r="Y2088" s="1"/>
      <c r="AB2088" s="1"/>
      <c r="AC2088" s="1"/>
      <c r="AD2088" s="1"/>
      <c r="AE2088" s="1"/>
      <c r="AF2088" s="1"/>
      <c r="AG2088" s="1"/>
      <c r="AH2088" s="1"/>
      <c r="AI2088" s="1"/>
      <c r="AJ2088" s="1"/>
      <c r="AK2088" s="1"/>
      <c r="AL2088" s="1"/>
      <c r="AM2088" s="1"/>
    </row>
    <row r="2089" spans="16:39" x14ac:dyDescent="0.25">
      <c r="P2089" s="49"/>
      <c r="Q2089" s="1"/>
      <c r="S2089" s="1"/>
      <c r="T2089" s="1"/>
      <c r="U2089" s="1"/>
      <c r="V2089" s="1"/>
      <c r="W2089" s="1"/>
      <c r="X2089" s="1"/>
      <c r="Y2089" s="1"/>
      <c r="AB2089" s="1"/>
      <c r="AC2089" s="1"/>
      <c r="AD2089" s="1"/>
      <c r="AE2089" s="1"/>
      <c r="AF2089" s="1"/>
      <c r="AG2089" s="1"/>
      <c r="AH2089" s="1"/>
      <c r="AI2089" s="1"/>
      <c r="AJ2089" s="1"/>
      <c r="AK2089" s="1"/>
      <c r="AL2089" s="1"/>
      <c r="AM2089" s="1"/>
    </row>
    <row r="2090" spans="16:39" x14ac:dyDescent="0.25">
      <c r="P2090" s="49"/>
      <c r="Q2090" s="1"/>
      <c r="S2090" s="1"/>
      <c r="T2090" s="1"/>
      <c r="U2090" s="1"/>
      <c r="V2090" s="1"/>
      <c r="W2090" s="1"/>
      <c r="X2090" s="1"/>
      <c r="Y2090" s="1"/>
      <c r="AB2090" s="1"/>
      <c r="AC2090" s="1"/>
      <c r="AD2090" s="1"/>
      <c r="AE2090" s="1"/>
      <c r="AF2090" s="1"/>
      <c r="AG2090" s="1"/>
      <c r="AH2090" s="1"/>
      <c r="AI2090" s="1"/>
      <c r="AJ2090" s="1"/>
      <c r="AK2090" s="1"/>
      <c r="AL2090" s="1"/>
      <c r="AM2090" s="1"/>
    </row>
    <row r="2091" spans="16:39" x14ac:dyDescent="0.25">
      <c r="P2091" s="49"/>
      <c r="Q2091" s="1"/>
      <c r="S2091" s="1"/>
      <c r="T2091" s="1"/>
      <c r="U2091" s="1"/>
      <c r="V2091" s="1"/>
      <c r="W2091" s="1"/>
      <c r="X2091" s="1"/>
      <c r="Y2091" s="1"/>
      <c r="AB2091" s="1"/>
      <c r="AC2091" s="1"/>
      <c r="AD2091" s="1"/>
      <c r="AE2091" s="1"/>
      <c r="AF2091" s="1"/>
      <c r="AG2091" s="1"/>
      <c r="AH2091" s="1"/>
      <c r="AI2091" s="1"/>
      <c r="AJ2091" s="1"/>
      <c r="AK2091" s="1"/>
      <c r="AL2091" s="1"/>
      <c r="AM2091" s="1"/>
    </row>
    <row r="2092" spans="16:39" x14ac:dyDescent="0.25">
      <c r="P2092" s="49"/>
      <c r="Q2092" s="1"/>
      <c r="S2092" s="1"/>
      <c r="T2092" s="1"/>
      <c r="U2092" s="1"/>
      <c r="V2092" s="1"/>
      <c r="W2092" s="1"/>
      <c r="X2092" s="1"/>
      <c r="Y2092" s="1"/>
      <c r="AB2092" s="1"/>
      <c r="AC2092" s="1"/>
      <c r="AD2092" s="1"/>
      <c r="AE2092" s="1"/>
      <c r="AF2092" s="1"/>
      <c r="AG2092" s="1"/>
      <c r="AH2092" s="1"/>
      <c r="AI2092" s="1"/>
      <c r="AJ2092" s="1"/>
      <c r="AK2092" s="1"/>
      <c r="AL2092" s="1"/>
      <c r="AM2092" s="1"/>
    </row>
    <row r="2093" spans="16:39" x14ac:dyDescent="0.25">
      <c r="P2093" s="49"/>
      <c r="Q2093" s="1"/>
      <c r="S2093" s="1"/>
      <c r="T2093" s="1"/>
      <c r="U2093" s="1"/>
      <c r="V2093" s="1"/>
      <c r="W2093" s="1"/>
      <c r="X2093" s="1"/>
      <c r="Y2093" s="1"/>
      <c r="AB2093" s="1"/>
      <c r="AC2093" s="1"/>
      <c r="AD2093" s="1"/>
      <c r="AE2093" s="1"/>
      <c r="AF2093" s="1"/>
      <c r="AG2093" s="1"/>
      <c r="AH2093" s="1"/>
      <c r="AI2093" s="1"/>
      <c r="AJ2093" s="1"/>
      <c r="AK2093" s="1"/>
      <c r="AL2093" s="1"/>
      <c r="AM2093" s="1"/>
    </row>
    <row r="2094" spans="16:39" x14ac:dyDescent="0.25">
      <c r="P2094" s="49"/>
      <c r="Q2094" s="1"/>
      <c r="S2094" s="1"/>
      <c r="T2094" s="1"/>
      <c r="U2094" s="1"/>
      <c r="V2094" s="1"/>
      <c r="W2094" s="1"/>
      <c r="X2094" s="1"/>
      <c r="Y2094" s="1"/>
      <c r="AB2094" s="1"/>
      <c r="AC2094" s="1"/>
      <c r="AD2094" s="1"/>
      <c r="AE2094" s="1"/>
      <c r="AF2094" s="1"/>
      <c r="AG2094" s="1"/>
      <c r="AH2094" s="1"/>
      <c r="AI2094" s="1"/>
      <c r="AJ2094" s="1"/>
      <c r="AK2094" s="1"/>
      <c r="AL2094" s="1"/>
      <c r="AM2094" s="1"/>
    </row>
    <row r="2095" spans="16:39" x14ac:dyDescent="0.25">
      <c r="P2095" s="49"/>
      <c r="Q2095" s="1"/>
      <c r="S2095" s="1"/>
      <c r="T2095" s="1"/>
      <c r="U2095" s="1"/>
      <c r="V2095" s="1"/>
      <c r="W2095" s="1"/>
      <c r="X2095" s="1"/>
      <c r="Y2095" s="1"/>
      <c r="AB2095" s="1"/>
      <c r="AC2095" s="1"/>
      <c r="AD2095" s="1"/>
      <c r="AE2095" s="1"/>
      <c r="AF2095" s="1"/>
      <c r="AG2095" s="1"/>
      <c r="AH2095" s="1"/>
      <c r="AI2095" s="1"/>
      <c r="AJ2095" s="1"/>
      <c r="AK2095" s="1"/>
      <c r="AL2095" s="1"/>
      <c r="AM2095" s="1"/>
    </row>
    <row r="2096" spans="16:39" x14ac:dyDescent="0.25">
      <c r="P2096" s="49"/>
      <c r="Q2096" s="1"/>
      <c r="S2096" s="1"/>
      <c r="T2096" s="1"/>
      <c r="U2096" s="1"/>
      <c r="V2096" s="1"/>
      <c r="W2096" s="1"/>
      <c r="X2096" s="1"/>
      <c r="Y2096" s="1"/>
      <c r="AB2096" s="1"/>
      <c r="AC2096" s="1"/>
      <c r="AD2096" s="1"/>
      <c r="AE2096" s="1"/>
      <c r="AF2096" s="1"/>
      <c r="AG2096" s="1"/>
      <c r="AH2096" s="1"/>
      <c r="AI2096" s="1"/>
      <c r="AJ2096" s="1"/>
      <c r="AK2096" s="1"/>
      <c r="AL2096" s="1"/>
      <c r="AM2096" s="1"/>
    </row>
    <row r="2097" spans="16:39" x14ac:dyDescent="0.25">
      <c r="P2097" s="49"/>
      <c r="Q2097" s="1"/>
      <c r="S2097" s="1"/>
      <c r="T2097" s="1"/>
      <c r="U2097" s="1"/>
      <c r="V2097" s="1"/>
      <c r="W2097" s="1"/>
      <c r="X2097" s="1"/>
      <c r="Y2097" s="1"/>
      <c r="AB2097" s="1"/>
      <c r="AC2097" s="1"/>
      <c r="AD2097" s="1"/>
      <c r="AE2097" s="1"/>
      <c r="AF2097" s="1"/>
      <c r="AG2097" s="1"/>
      <c r="AH2097" s="1"/>
      <c r="AI2097" s="1"/>
      <c r="AJ2097" s="1"/>
      <c r="AK2097" s="1"/>
      <c r="AL2097" s="1"/>
      <c r="AM2097" s="1"/>
    </row>
    <row r="2098" spans="16:39" x14ac:dyDescent="0.25">
      <c r="P2098" s="49"/>
      <c r="Q2098" s="1"/>
      <c r="S2098" s="1"/>
      <c r="T2098" s="1"/>
      <c r="U2098" s="1"/>
      <c r="V2098" s="1"/>
      <c r="W2098" s="1"/>
      <c r="X2098" s="1"/>
      <c r="Y2098" s="1"/>
      <c r="AB2098" s="1"/>
      <c r="AC2098" s="1"/>
      <c r="AD2098" s="1"/>
      <c r="AE2098" s="1"/>
      <c r="AF2098" s="1"/>
      <c r="AG2098" s="1"/>
      <c r="AH2098" s="1"/>
      <c r="AI2098" s="1"/>
      <c r="AJ2098" s="1"/>
      <c r="AK2098" s="1"/>
      <c r="AL2098" s="1"/>
      <c r="AM2098" s="1"/>
    </row>
    <row r="2099" spans="16:39" x14ac:dyDescent="0.25">
      <c r="P2099" s="49"/>
      <c r="Q2099" s="1"/>
      <c r="S2099" s="1"/>
      <c r="T2099" s="1"/>
      <c r="U2099" s="1"/>
      <c r="V2099" s="1"/>
      <c r="W2099" s="1"/>
      <c r="X2099" s="1"/>
      <c r="Y2099" s="1"/>
      <c r="AB2099" s="1"/>
      <c r="AC2099" s="1"/>
      <c r="AD2099" s="1"/>
      <c r="AE2099" s="1"/>
      <c r="AF2099" s="1"/>
      <c r="AG2099" s="1"/>
      <c r="AH2099" s="1"/>
      <c r="AI2099" s="1"/>
      <c r="AJ2099" s="1"/>
      <c r="AK2099" s="1"/>
      <c r="AL2099" s="1"/>
      <c r="AM2099" s="1"/>
    </row>
    <row r="2100" spans="16:39" x14ac:dyDescent="0.25">
      <c r="P2100" s="49"/>
      <c r="Q2100" s="1"/>
      <c r="S2100" s="1"/>
      <c r="T2100" s="1"/>
      <c r="U2100" s="1"/>
      <c r="V2100" s="1"/>
      <c r="W2100" s="1"/>
      <c r="X2100" s="1"/>
      <c r="Y2100" s="1"/>
      <c r="AB2100" s="1"/>
      <c r="AC2100" s="1"/>
      <c r="AD2100" s="1"/>
      <c r="AE2100" s="1"/>
      <c r="AF2100" s="1"/>
      <c r="AG2100" s="1"/>
      <c r="AH2100" s="1"/>
      <c r="AI2100" s="1"/>
      <c r="AJ2100" s="1"/>
      <c r="AK2100" s="1"/>
      <c r="AL2100" s="1"/>
      <c r="AM2100" s="1"/>
    </row>
    <row r="2101" spans="16:39" x14ac:dyDescent="0.25">
      <c r="P2101" s="49"/>
      <c r="Q2101" s="1"/>
      <c r="S2101" s="1"/>
      <c r="T2101" s="1"/>
      <c r="U2101" s="1"/>
      <c r="V2101" s="1"/>
      <c r="W2101" s="1"/>
      <c r="X2101" s="1"/>
      <c r="Y2101" s="1"/>
      <c r="AB2101" s="1"/>
      <c r="AC2101" s="1"/>
      <c r="AD2101" s="1"/>
      <c r="AE2101" s="1"/>
      <c r="AF2101" s="1"/>
      <c r="AG2101" s="1"/>
      <c r="AH2101" s="1"/>
      <c r="AI2101" s="1"/>
      <c r="AJ2101" s="1"/>
      <c r="AK2101" s="1"/>
      <c r="AL2101" s="1"/>
      <c r="AM2101" s="1"/>
    </row>
    <row r="2102" spans="16:39" x14ac:dyDescent="0.25">
      <c r="P2102" s="49"/>
      <c r="Q2102" s="1"/>
      <c r="S2102" s="1"/>
      <c r="T2102" s="1"/>
      <c r="U2102" s="1"/>
      <c r="V2102" s="1"/>
      <c r="W2102" s="1"/>
      <c r="X2102" s="1"/>
      <c r="Y2102" s="1"/>
      <c r="AB2102" s="1"/>
      <c r="AC2102" s="1"/>
      <c r="AD2102" s="1"/>
      <c r="AE2102" s="1"/>
      <c r="AF2102" s="1"/>
      <c r="AG2102" s="1"/>
      <c r="AH2102" s="1"/>
      <c r="AI2102" s="1"/>
      <c r="AJ2102" s="1"/>
      <c r="AK2102" s="1"/>
      <c r="AL2102" s="1"/>
      <c r="AM2102" s="1"/>
    </row>
    <row r="2103" spans="16:39" x14ac:dyDescent="0.25">
      <c r="P2103" s="49"/>
      <c r="Q2103" s="1"/>
      <c r="S2103" s="1"/>
      <c r="T2103" s="1"/>
      <c r="U2103" s="1"/>
      <c r="V2103" s="1"/>
      <c r="W2103" s="1"/>
      <c r="X2103" s="1"/>
      <c r="Y2103" s="1"/>
      <c r="AB2103" s="1"/>
      <c r="AC2103" s="1"/>
      <c r="AD2103" s="1"/>
      <c r="AE2103" s="1"/>
      <c r="AF2103" s="1"/>
      <c r="AG2103" s="1"/>
      <c r="AH2103" s="1"/>
      <c r="AI2103" s="1"/>
      <c r="AJ2103" s="1"/>
      <c r="AK2103" s="1"/>
      <c r="AL2103" s="1"/>
      <c r="AM2103" s="1"/>
    </row>
    <row r="2104" spans="16:39" x14ac:dyDescent="0.25">
      <c r="P2104" s="49"/>
      <c r="Q2104" s="1"/>
      <c r="S2104" s="1"/>
      <c r="T2104" s="1"/>
      <c r="U2104" s="1"/>
      <c r="V2104" s="1"/>
      <c r="W2104" s="1"/>
      <c r="X2104" s="1"/>
      <c r="Y2104" s="1"/>
      <c r="AB2104" s="1"/>
      <c r="AC2104" s="1"/>
      <c r="AD2104" s="1"/>
      <c r="AE2104" s="1"/>
      <c r="AF2104" s="1"/>
      <c r="AG2104" s="1"/>
      <c r="AH2104" s="1"/>
      <c r="AI2104" s="1"/>
      <c r="AJ2104" s="1"/>
      <c r="AK2104" s="1"/>
      <c r="AL2104" s="1"/>
      <c r="AM2104" s="1"/>
    </row>
    <row r="2105" spans="16:39" x14ac:dyDescent="0.25">
      <c r="P2105" s="49"/>
      <c r="Q2105" s="1"/>
      <c r="S2105" s="1"/>
      <c r="T2105" s="1"/>
      <c r="U2105" s="1"/>
      <c r="V2105" s="1"/>
      <c r="W2105" s="1"/>
      <c r="X2105" s="1"/>
      <c r="Y2105" s="1"/>
      <c r="AB2105" s="1"/>
      <c r="AC2105" s="1"/>
      <c r="AD2105" s="1"/>
      <c r="AE2105" s="1"/>
      <c r="AF2105" s="1"/>
      <c r="AG2105" s="1"/>
      <c r="AH2105" s="1"/>
      <c r="AI2105" s="1"/>
      <c r="AJ2105" s="1"/>
      <c r="AK2105" s="1"/>
      <c r="AL2105" s="1"/>
      <c r="AM2105" s="1"/>
    </row>
    <row r="2106" spans="16:39" x14ac:dyDescent="0.25">
      <c r="P2106" s="49"/>
      <c r="Q2106" s="1"/>
      <c r="S2106" s="1"/>
      <c r="T2106" s="1"/>
      <c r="U2106" s="1"/>
      <c r="V2106" s="1"/>
      <c r="W2106" s="1"/>
      <c r="X2106" s="1"/>
      <c r="Y2106" s="1"/>
      <c r="AB2106" s="1"/>
      <c r="AC2106" s="1"/>
      <c r="AD2106" s="1"/>
      <c r="AE2106" s="1"/>
      <c r="AF2106" s="1"/>
      <c r="AG2106" s="1"/>
      <c r="AH2106" s="1"/>
      <c r="AI2106" s="1"/>
      <c r="AJ2106" s="1"/>
      <c r="AK2106" s="1"/>
      <c r="AL2106" s="1"/>
      <c r="AM2106" s="1"/>
    </row>
    <row r="2107" spans="16:39" x14ac:dyDescent="0.25">
      <c r="P2107" s="49"/>
      <c r="Q2107" s="1"/>
      <c r="S2107" s="1"/>
      <c r="T2107" s="1"/>
      <c r="U2107" s="1"/>
      <c r="V2107" s="1"/>
      <c r="W2107" s="1"/>
      <c r="X2107" s="1"/>
      <c r="Y2107" s="1"/>
      <c r="AB2107" s="1"/>
      <c r="AC2107" s="1"/>
      <c r="AD2107" s="1"/>
      <c r="AE2107" s="1"/>
      <c r="AF2107" s="1"/>
      <c r="AG2107" s="1"/>
      <c r="AH2107" s="1"/>
      <c r="AI2107" s="1"/>
      <c r="AJ2107" s="1"/>
      <c r="AK2107" s="1"/>
      <c r="AL2107" s="1"/>
      <c r="AM2107" s="1"/>
    </row>
    <row r="2108" spans="16:39" x14ac:dyDescent="0.25">
      <c r="P2108" s="49"/>
      <c r="Q2108" s="1"/>
      <c r="S2108" s="1"/>
      <c r="T2108" s="1"/>
      <c r="U2108" s="1"/>
      <c r="V2108" s="1"/>
      <c r="W2108" s="1"/>
      <c r="X2108" s="1"/>
      <c r="Y2108" s="1"/>
      <c r="AB2108" s="1"/>
      <c r="AC2108" s="1"/>
      <c r="AD2108" s="1"/>
      <c r="AE2108" s="1"/>
      <c r="AF2108" s="1"/>
      <c r="AG2108" s="1"/>
      <c r="AH2108" s="1"/>
      <c r="AI2108" s="1"/>
      <c r="AJ2108" s="1"/>
      <c r="AK2108" s="1"/>
      <c r="AL2108" s="1"/>
      <c r="AM2108" s="1"/>
    </row>
    <row r="2109" spans="16:39" x14ac:dyDescent="0.25">
      <c r="P2109" s="49"/>
      <c r="Q2109" s="1"/>
      <c r="S2109" s="1"/>
      <c r="T2109" s="1"/>
      <c r="U2109" s="1"/>
      <c r="V2109" s="1"/>
      <c r="W2109" s="1"/>
      <c r="X2109" s="1"/>
      <c r="Y2109" s="1"/>
      <c r="AB2109" s="1"/>
      <c r="AC2109" s="1"/>
      <c r="AD2109" s="1"/>
      <c r="AE2109" s="1"/>
      <c r="AF2109" s="1"/>
      <c r="AG2109" s="1"/>
      <c r="AH2109" s="1"/>
      <c r="AI2109" s="1"/>
      <c r="AJ2109" s="1"/>
      <c r="AK2109" s="1"/>
      <c r="AL2109" s="1"/>
      <c r="AM2109" s="1"/>
    </row>
    <row r="2110" spans="16:39" x14ac:dyDescent="0.25">
      <c r="P2110" s="49"/>
      <c r="Q2110" s="1"/>
      <c r="S2110" s="1"/>
      <c r="T2110" s="1"/>
      <c r="U2110" s="1"/>
      <c r="V2110" s="1"/>
      <c r="W2110" s="1"/>
      <c r="X2110" s="1"/>
      <c r="Y2110" s="1"/>
      <c r="AB2110" s="1"/>
      <c r="AC2110" s="1"/>
      <c r="AD2110" s="1"/>
      <c r="AE2110" s="1"/>
      <c r="AF2110" s="1"/>
      <c r="AG2110" s="1"/>
      <c r="AH2110" s="1"/>
      <c r="AI2110" s="1"/>
      <c r="AJ2110" s="1"/>
      <c r="AK2110" s="1"/>
      <c r="AL2110" s="1"/>
      <c r="AM2110" s="1"/>
    </row>
    <row r="2111" spans="16:39" x14ac:dyDescent="0.25">
      <c r="P2111" s="49"/>
      <c r="Q2111" s="1"/>
      <c r="S2111" s="1"/>
      <c r="T2111" s="1"/>
      <c r="U2111" s="1"/>
      <c r="V2111" s="1"/>
      <c r="W2111" s="1"/>
      <c r="X2111" s="1"/>
      <c r="Y2111" s="1"/>
      <c r="AB2111" s="1"/>
      <c r="AC2111" s="1"/>
      <c r="AD2111" s="1"/>
      <c r="AE2111" s="1"/>
      <c r="AF2111" s="1"/>
      <c r="AG2111" s="1"/>
      <c r="AH2111" s="1"/>
      <c r="AI2111" s="1"/>
      <c r="AJ2111" s="1"/>
      <c r="AK2111" s="1"/>
      <c r="AL2111" s="1"/>
      <c r="AM2111" s="1"/>
    </row>
    <row r="2112" spans="16:39" x14ac:dyDescent="0.25">
      <c r="P2112" s="49"/>
      <c r="Q2112" s="1"/>
      <c r="S2112" s="1"/>
      <c r="T2112" s="1"/>
      <c r="U2112" s="1"/>
      <c r="V2112" s="1"/>
      <c r="W2112" s="1"/>
      <c r="X2112" s="1"/>
      <c r="Y2112" s="1"/>
      <c r="AB2112" s="1"/>
      <c r="AC2112" s="1"/>
      <c r="AD2112" s="1"/>
      <c r="AE2112" s="1"/>
      <c r="AF2112" s="1"/>
      <c r="AG2112" s="1"/>
      <c r="AH2112" s="1"/>
      <c r="AI2112" s="1"/>
      <c r="AJ2112" s="1"/>
      <c r="AK2112" s="1"/>
      <c r="AL2112" s="1"/>
      <c r="AM2112" s="1"/>
    </row>
    <row r="2113" spans="16:39" x14ac:dyDescent="0.25">
      <c r="P2113" s="49"/>
      <c r="Q2113" s="1"/>
      <c r="S2113" s="1"/>
      <c r="T2113" s="1"/>
      <c r="U2113" s="1"/>
      <c r="V2113" s="1"/>
      <c r="W2113" s="1"/>
      <c r="X2113" s="1"/>
      <c r="Y2113" s="1"/>
      <c r="AB2113" s="1"/>
      <c r="AC2113" s="1"/>
      <c r="AD2113" s="1"/>
      <c r="AE2113" s="1"/>
      <c r="AF2113" s="1"/>
      <c r="AG2113" s="1"/>
      <c r="AH2113" s="1"/>
      <c r="AI2113" s="1"/>
      <c r="AJ2113" s="1"/>
      <c r="AK2113" s="1"/>
      <c r="AL2113" s="1"/>
      <c r="AM2113" s="1"/>
    </row>
    <row r="2114" spans="16:39" x14ac:dyDescent="0.25">
      <c r="P2114" s="49"/>
      <c r="Q2114" s="1"/>
      <c r="S2114" s="1"/>
      <c r="T2114" s="1"/>
      <c r="U2114" s="1"/>
      <c r="V2114" s="1"/>
      <c r="W2114" s="1"/>
      <c r="X2114" s="1"/>
      <c r="Y2114" s="1"/>
      <c r="AB2114" s="1"/>
      <c r="AC2114" s="1"/>
      <c r="AD2114" s="1"/>
      <c r="AE2114" s="1"/>
      <c r="AF2114" s="1"/>
      <c r="AG2114" s="1"/>
      <c r="AH2114" s="1"/>
      <c r="AI2114" s="1"/>
      <c r="AJ2114" s="1"/>
      <c r="AK2114" s="1"/>
      <c r="AL2114" s="1"/>
      <c r="AM2114" s="1"/>
    </row>
    <row r="2115" spans="16:39" x14ac:dyDescent="0.25">
      <c r="P2115" s="49"/>
      <c r="Q2115" s="1"/>
      <c r="S2115" s="1"/>
      <c r="T2115" s="1"/>
      <c r="U2115" s="1"/>
      <c r="V2115" s="1"/>
      <c r="W2115" s="1"/>
      <c r="X2115" s="1"/>
      <c r="Y2115" s="1"/>
      <c r="AB2115" s="1"/>
      <c r="AC2115" s="1"/>
      <c r="AD2115" s="1"/>
      <c r="AE2115" s="1"/>
      <c r="AF2115" s="1"/>
      <c r="AG2115" s="1"/>
      <c r="AH2115" s="1"/>
      <c r="AI2115" s="1"/>
      <c r="AJ2115" s="1"/>
      <c r="AK2115" s="1"/>
      <c r="AL2115" s="1"/>
      <c r="AM2115" s="1"/>
    </row>
    <row r="2116" spans="16:39" x14ac:dyDescent="0.25">
      <c r="P2116" s="49"/>
      <c r="Q2116" s="1"/>
      <c r="S2116" s="1"/>
      <c r="T2116" s="1"/>
      <c r="U2116" s="1"/>
      <c r="V2116" s="1"/>
      <c r="W2116" s="1"/>
      <c r="X2116" s="1"/>
      <c r="Y2116" s="1"/>
      <c r="AB2116" s="1"/>
      <c r="AC2116" s="1"/>
      <c r="AD2116" s="1"/>
      <c r="AE2116" s="1"/>
      <c r="AF2116" s="1"/>
      <c r="AG2116" s="1"/>
      <c r="AH2116" s="1"/>
      <c r="AI2116" s="1"/>
      <c r="AJ2116" s="1"/>
      <c r="AK2116" s="1"/>
      <c r="AL2116" s="1"/>
      <c r="AM2116" s="1"/>
    </row>
    <row r="2117" spans="16:39" x14ac:dyDescent="0.25">
      <c r="P2117" s="49"/>
      <c r="Q2117" s="1"/>
      <c r="S2117" s="1"/>
      <c r="T2117" s="1"/>
      <c r="U2117" s="1"/>
      <c r="V2117" s="1"/>
      <c r="W2117" s="1"/>
      <c r="X2117" s="1"/>
      <c r="Y2117" s="1"/>
      <c r="AB2117" s="1"/>
      <c r="AC2117" s="1"/>
      <c r="AD2117" s="1"/>
      <c r="AE2117" s="1"/>
      <c r="AF2117" s="1"/>
      <c r="AG2117" s="1"/>
      <c r="AH2117" s="1"/>
      <c r="AI2117" s="1"/>
      <c r="AJ2117" s="1"/>
      <c r="AK2117" s="1"/>
      <c r="AL2117" s="1"/>
      <c r="AM2117" s="1"/>
    </row>
    <row r="2118" spans="16:39" x14ac:dyDescent="0.25">
      <c r="P2118" s="49"/>
      <c r="Q2118" s="1"/>
      <c r="S2118" s="1"/>
      <c r="T2118" s="1"/>
      <c r="U2118" s="1"/>
      <c r="V2118" s="1"/>
      <c r="W2118" s="1"/>
      <c r="X2118" s="1"/>
      <c r="Y2118" s="1"/>
      <c r="AB2118" s="1"/>
      <c r="AC2118" s="1"/>
      <c r="AD2118" s="1"/>
      <c r="AE2118" s="1"/>
      <c r="AF2118" s="1"/>
      <c r="AG2118" s="1"/>
      <c r="AH2118" s="1"/>
      <c r="AI2118" s="1"/>
      <c r="AJ2118" s="1"/>
      <c r="AK2118" s="1"/>
      <c r="AL2118" s="1"/>
      <c r="AM2118" s="1"/>
    </row>
    <row r="2119" spans="16:39" x14ac:dyDescent="0.25">
      <c r="P2119" s="49"/>
      <c r="Q2119" s="1"/>
      <c r="S2119" s="1"/>
      <c r="T2119" s="1"/>
      <c r="U2119" s="1"/>
      <c r="V2119" s="1"/>
      <c r="W2119" s="1"/>
      <c r="X2119" s="1"/>
      <c r="Y2119" s="1"/>
      <c r="AB2119" s="1"/>
      <c r="AC2119" s="1"/>
      <c r="AD2119" s="1"/>
      <c r="AE2119" s="1"/>
      <c r="AF2119" s="1"/>
      <c r="AG2119" s="1"/>
      <c r="AH2119" s="1"/>
      <c r="AI2119" s="1"/>
      <c r="AJ2119" s="1"/>
      <c r="AK2119" s="1"/>
      <c r="AL2119" s="1"/>
      <c r="AM2119" s="1"/>
    </row>
    <row r="2120" spans="16:39" x14ac:dyDescent="0.25">
      <c r="P2120" s="49"/>
      <c r="Q2120" s="1"/>
      <c r="S2120" s="1"/>
      <c r="T2120" s="1"/>
      <c r="U2120" s="1"/>
      <c r="V2120" s="1"/>
      <c r="W2120" s="1"/>
      <c r="X2120" s="1"/>
      <c r="Y2120" s="1"/>
      <c r="AB2120" s="1"/>
      <c r="AC2120" s="1"/>
      <c r="AD2120" s="1"/>
      <c r="AE2120" s="1"/>
      <c r="AF2120" s="1"/>
      <c r="AG2120" s="1"/>
      <c r="AH2120" s="1"/>
      <c r="AI2120" s="1"/>
      <c r="AJ2120" s="1"/>
      <c r="AK2120" s="1"/>
      <c r="AL2120" s="1"/>
      <c r="AM2120" s="1"/>
    </row>
    <row r="2121" spans="16:39" x14ac:dyDescent="0.25">
      <c r="P2121" s="49"/>
      <c r="Q2121" s="1"/>
      <c r="S2121" s="1"/>
      <c r="T2121" s="1"/>
      <c r="U2121" s="1"/>
      <c r="V2121" s="1"/>
      <c r="W2121" s="1"/>
      <c r="X2121" s="1"/>
      <c r="Y2121" s="1"/>
      <c r="AB2121" s="1"/>
      <c r="AC2121" s="1"/>
      <c r="AD2121" s="1"/>
      <c r="AE2121" s="1"/>
      <c r="AF2121" s="1"/>
      <c r="AG2121" s="1"/>
      <c r="AH2121" s="1"/>
      <c r="AI2121" s="1"/>
      <c r="AJ2121" s="1"/>
      <c r="AK2121" s="1"/>
      <c r="AL2121" s="1"/>
      <c r="AM2121" s="1"/>
    </row>
    <row r="2122" spans="16:39" x14ac:dyDescent="0.25">
      <c r="P2122" s="49"/>
      <c r="Q2122" s="1"/>
      <c r="S2122" s="1"/>
      <c r="T2122" s="1"/>
      <c r="U2122" s="1"/>
      <c r="V2122" s="1"/>
      <c r="W2122" s="1"/>
      <c r="X2122" s="1"/>
      <c r="Y2122" s="1"/>
      <c r="AB2122" s="1"/>
      <c r="AC2122" s="1"/>
      <c r="AD2122" s="1"/>
      <c r="AE2122" s="1"/>
      <c r="AF2122" s="1"/>
      <c r="AG2122" s="1"/>
      <c r="AH2122" s="1"/>
      <c r="AI2122" s="1"/>
      <c r="AJ2122" s="1"/>
      <c r="AK2122" s="1"/>
      <c r="AL2122" s="1"/>
      <c r="AM2122" s="1"/>
    </row>
    <row r="2123" spans="16:39" x14ac:dyDescent="0.25">
      <c r="P2123" s="49"/>
      <c r="Q2123" s="1"/>
      <c r="S2123" s="1"/>
      <c r="T2123" s="1"/>
      <c r="U2123" s="1"/>
      <c r="V2123" s="1"/>
      <c r="W2123" s="1"/>
      <c r="X2123" s="1"/>
      <c r="Y2123" s="1"/>
      <c r="AB2123" s="1"/>
      <c r="AC2123" s="1"/>
      <c r="AD2123" s="1"/>
      <c r="AE2123" s="1"/>
      <c r="AF2123" s="1"/>
      <c r="AG2123" s="1"/>
      <c r="AH2123" s="1"/>
      <c r="AI2123" s="1"/>
      <c r="AJ2123" s="1"/>
      <c r="AK2123" s="1"/>
      <c r="AL2123" s="1"/>
      <c r="AM2123" s="1"/>
    </row>
    <row r="2124" spans="16:39" x14ac:dyDescent="0.25">
      <c r="P2124" s="49"/>
      <c r="Q2124" s="1"/>
      <c r="S2124" s="1"/>
      <c r="T2124" s="1"/>
      <c r="U2124" s="1"/>
      <c r="V2124" s="1"/>
      <c r="W2124" s="1"/>
      <c r="X2124" s="1"/>
      <c r="Y2124" s="1"/>
      <c r="AB2124" s="1"/>
      <c r="AC2124" s="1"/>
      <c r="AD2124" s="1"/>
      <c r="AE2124" s="1"/>
      <c r="AF2124" s="1"/>
      <c r="AG2124" s="1"/>
      <c r="AH2124" s="1"/>
      <c r="AI2124" s="1"/>
      <c r="AJ2124" s="1"/>
      <c r="AK2124" s="1"/>
      <c r="AL2124" s="1"/>
      <c r="AM2124" s="1"/>
    </row>
    <row r="2125" spans="16:39" x14ac:dyDescent="0.25">
      <c r="P2125" s="49"/>
      <c r="Q2125" s="1"/>
      <c r="S2125" s="1"/>
      <c r="T2125" s="1"/>
      <c r="U2125" s="1"/>
      <c r="V2125" s="1"/>
      <c r="W2125" s="1"/>
      <c r="X2125" s="1"/>
      <c r="Y2125" s="1"/>
      <c r="AB2125" s="1"/>
      <c r="AC2125" s="1"/>
      <c r="AD2125" s="1"/>
      <c r="AE2125" s="1"/>
      <c r="AF2125" s="1"/>
      <c r="AG2125" s="1"/>
      <c r="AH2125" s="1"/>
      <c r="AI2125" s="1"/>
      <c r="AJ2125" s="1"/>
      <c r="AK2125" s="1"/>
      <c r="AL2125" s="1"/>
      <c r="AM2125" s="1"/>
    </row>
    <row r="2126" spans="16:39" x14ac:dyDescent="0.25">
      <c r="P2126" s="49"/>
      <c r="Q2126" s="1"/>
      <c r="S2126" s="1"/>
      <c r="T2126" s="1"/>
      <c r="U2126" s="1"/>
      <c r="V2126" s="1"/>
      <c r="W2126" s="1"/>
      <c r="X2126" s="1"/>
      <c r="Y2126" s="1"/>
      <c r="AB2126" s="1"/>
      <c r="AC2126" s="1"/>
      <c r="AD2126" s="1"/>
      <c r="AE2126" s="1"/>
      <c r="AF2126" s="1"/>
      <c r="AG2126" s="1"/>
      <c r="AH2126" s="1"/>
      <c r="AI2126" s="1"/>
      <c r="AJ2126" s="1"/>
      <c r="AK2126" s="1"/>
      <c r="AL2126" s="1"/>
      <c r="AM2126" s="1"/>
    </row>
    <row r="2127" spans="16:39" x14ac:dyDescent="0.25">
      <c r="P2127" s="49"/>
      <c r="Q2127" s="1"/>
      <c r="S2127" s="1"/>
      <c r="T2127" s="1"/>
      <c r="U2127" s="1"/>
      <c r="V2127" s="1"/>
      <c r="W2127" s="1"/>
      <c r="X2127" s="1"/>
      <c r="Y2127" s="1"/>
      <c r="AB2127" s="1"/>
      <c r="AC2127" s="1"/>
      <c r="AD2127" s="1"/>
      <c r="AE2127" s="1"/>
      <c r="AF2127" s="1"/>
      <c r="AG2127" s="1"/>
      <c r="AH2127" s="1"/>
      <c r="AI2127" s="1"/>
      <c r="AJ2127" s="1"/>
      <c r="AK2127" s="1"/>
      <c r="AL2127" s="1"/>
      <c r="AM2127" s="1"/>
    </row>
    <row r="2128" spans="16:39" x14ac:dyDescent="0.25">
      <c r="P2128" s="49"/>
      <c r="Q2128" s="1"/>
      <c r="S2128" s="1"/>
      <c r="T2128" s="1"/>
      <c r="U2128" s="1"/>
      <c r="V2128" s="1"/>
      <c r="W2128" s="1"/>
      <c r="X2128" s="1"/>
      <c r="Y2128" s="1"/>
      <c r="AB2128" s="1"/>
      <c r="AC2128" s="1"/>
      <c r="AD2128" s="1"/>
      <c r="AE2128" s="1"/>
      <c r="AF2128" s="1"/>
      <c r="AG2128" s="1"/>
      <c r="AH2128" s="1"/>
      <c r="AI2128" s="1"/>
      <c r="AJ2128" s="1"/>
      <c r="AK2128" s="1"/>
      <c r="AL2128" s="1"/>
      <c r="AM2128" s="1"/>
    </row>
    <row r="2129" spans="16:39" x14ac:dyDescent="0.25">
      <c r="P2129" s="49"/>
      <c r="Q2129" s="1"/>
      <c r="S2129" s="1"/>
      <c r="T2129" s="1"/>
      <c r="U2129" s="1"/>
      <c r="V2129" s="1"/>
      <c r="W2129" s="1"/>
      <c r="X2129" s="1"/>
      <c r="Y2129" s="1"/>
      <c r="AB2129" s="1"/>
      <c r="AC2129" s="1"/>
      <c r="AD2129" s="1"/>
      <c r="AE2129" s="1"/>
      <c r="AF2129" s="1"/>
      <c r="AG2129" s="1"/>
      <c r="AH2129" s="1"/>
      <c r="AI2129" s="1"/>
      <c r="AJ2129" s="1"/>
      <c r="AK2129" s="1"/>
      <c r="AL2129" s="1"/>
      <c r="AM2129" s="1"/>
    </row>
    <row r="2130" spans="16:39" x14ac:dyDescent="0.25">
      <c r="P2130" s="49"/>
      <c r="Q2130" s="1"/>
      <c r="S2130" s="1"/>
      <c r="T2130" s="1"/>
      <c r="U2130" s="1"/>
      <c r="V2130" s="1"/>
      <c r="W2130" s="1"/>
      <c r="X2130" s="1"/>
      <c r="Y2130" s="1"/>
      <c r="AB2130" s="1"/>
      <c r="AC2130" s="1"/>
      <c r="AD2130" s="1"/>
      <c r="AE2130" s="1"/>
      <c r="AF2130" s="1"/>
      <c r="AG2130" s="1"/>
      <c r="AH2130" s="1"/>
      <c r="AI2130" s="1"/>
      <c r="AJ2130" s="1"/>
      <c r="AK2130" s="1"/>
      <c r="AL2130" s="1"/>
      <c r="AM2130" s="1"/>
    </row>
    <row r="2131" spans="16:39" x14ac:dyDescent="0.25">
      <c r="P2131" s="49"/>
      <c r="Q2131" s="1"/>
      <c r="S2131" s="1"/>
      <c r="T2131" s="1"/>
      <c r="U2131" s="1"/>
      <c r="V2131" s="1"/>
      <c r="W2131" s="1"/>
      <c r="X2131" s="1"/>
      <c r="Y2131" s="1"/>
      <c r="AB2131" s="1"/>
      <c r="AC2131" s="1"/>
      <c r="AD2131" s="1"/>
      <c r="AE2131" s="1"/>
      <c r="AF2131" s="1"/>
      <c r="AG2131" s="1"/>
      <c r="AH2131" s="1"/>
      <c r="AI2131" s="1"/>
      <c r="AJ2131" s="1"/>
      <c r="AK2131" s="1"/>
      <c r="AL2131" s="1"/>
      <c r="AM2131" s="1"/>
    </row>
    <row r="2132" spans="16:39" x14ac:dyDescent="0.25">
      <c r="P2132" s="49"/>
      <c r="Q2132" s="1"/>
      <c r="S2132" s="1"/>
      <c r="T2132" s="1"/>
      <c r="U2132" s="1"/>
      <c r="V2132" s="1"/>
      <c r="W2132" s="1"/>
      <c r="X2132" s="1"/>
      <c r="Y2132" s="1"/>
      <c r="AB2132" s="1"/>
      <c r="AC2132" s="1"/>
      <c r="AD2132" s="1"/>
      <c r="AE2132" s="1"/>
      <c r="AF2132" s="1"/>
      <c r="AG2132" s="1"/>
      <c r="AH2132" s="1"/>
      <c r="AI2132" s="1"/>
      <c r="AJ2132" s="1"/>
      <c r="AK2132" s="1"/>
      <c r="AL2132" s="1"/>
      <c r="AM2132" s="1"/>
    </row>
    <row r="2133" spans="16:39" x14ac:dyDescent="0.25">
      <c r="P2133" s="49"/>
      <c r="Q2133" s="1"/>
      <c r="S2133" s="1"/>
      <c r="T2133" s="1"/>
      <c r="U2133" s="1"/>
      <c r="V2133" s="1"/>
      <c r="W2133" s="1"/>
      <c r="X2133" s="1"/>
      <c r="Y2133" s="1"/>
      <c r="AB2133" s="1"/>
      <c r="AC2133" s="1"/>
      <c r="AD2133" s="1"/>
      <c r="AE2133" s="1"/>
      <c r="AF2133" s="1"/>
      <c r="AG2133" s="1"/>
      <c r="AH2133" s="1"/>
      <c r="AI2133" s="1"/>
      <c r="AJ2133" s="1"/>
      <c r="AK2133" s="1"/>
      <c r="AL2133" s="1"/>
      <c r="AM2133" s="1"/>
    </row>
    <row r="2134" spans="16:39" x14ac:dyDescent="0.25">
      <c r="P2134" s="49"/>
      <c r="Q2134" s="1"/>
      <c r="S2134" s="1"/>
      <c r="T2134" s="1"/>
      <c r="U2134" s="1"/>
      <c r="V2134" s="1"/>
      <c r="W2134" s="1"/>
      <c r="X2134" s="1"/>
      <c r="Y2134" s="1"/>
      <c r="AB2134" s="1"/>
      <c r="AC2134" s="1"/>
      <c r="AD2134" s="1"/>
      <c r="AE2134" s="1"/>
      <c r="AF2134" s="1"/>
      <c r="AG2134" s="1"/>
      <c r="AH2134" s="1"/>
      <c r="AI2134" s="1"/>
      <c r="AJ2134" s="1"/>
      <c r="AK2134" s="1"/>
      <c r="AL2134" s="1"/>
      <c r="AM2134" s="1"/>
    </row>
    <row r="2135" spans="16:39" x14ac:dyDescent="0.25">
      <c r="P2135" s="49"/>
      <c r="Q2135" s="1"/>
      <c r="S2135" s="1"/>
      <c r="T2135" s="1"/>
      <c r="U2135" s="1"/>
      <c r="V2135" s="1"/>
      <c r="W2135" s="1"/>
      <c r="X2135" s="1"/>
      <c r="Y2135" s="1"/>
      <c r="AB2135" s="1"/>
      <c r="AC2135" s="1"/>
      <c r="AD2135" s="1"/>
      <c r="AE2135" s="1"/>
      <c r="AF2135" s="1"/>
      <c r="AG2135" s="1"/>
      <c r="AH2135" s="1"/>
      <c r="AI2135" s="1"/>
      <c r="AJ2135" s="1"/>
      <c r="AK2135" s="1"/>
      <c r="AL2135" s="1"/>
      <c r="AM2135" s="1"/>
    </row>
    <row r="2136" spans="16:39" x14ac:dyDescent="0.25">
      <c r="P2136" s="49"/>
      <c r="Q2136" s="1"/>
      <c r="S2136" s="1"/>
      <c r="T2136" s="1"/>
      <c r="U2136" s="1"/>
      <c r="V2136" s="1"/>
      <c r="W2136" s="1"/>
      <c r="X2136" s="1"/>
      <c r="Y2136" s="1"/>
      <c r="AB2136" s="1"/>
      <c r="AC2136" s="1"/>
      <c r="AD2136" s="1"/>
      <c r="AE2136" s="1"/>
      <c r="AF2136" s="1"/>
      <c r="AG2136" s="1"/>
      <c r="AH2136" s="1"/>
      <c r="AI2136" s="1"/>
      <c r="AJ2136" s="1"/>
      <c r="AK2136" s="1"/>
      <c r="AL2136" s="1"/>
      <c r="AM2136" s="1"/>
    </row>
    <row r="2137" spans="16:39" x14ac:dyDescent="0.25">
      <c r="P2137" s="49"/>
      <c r="Q2137" s="1"/>
      <c r="S2137" s="1"/>
      <c r="T2137" s="1"/>
      <c r="U2137" s="1"/>
      <c r="V2137" s="1"/>
      <c r="W2137" s="1"/>
      <c r="X2137" s="1"/>
      <c r="Y2137" s="1"/>
      <c r="AB2137" s="1"/>
      <c r="AC2137" s="1"/>
      <c r="AD2137" s="1"/>
      <c r="AE2137" s="1"/>
      <c r="AF2137" s="1"/>
      <c r="AG2137" s="1"/>
      <c r="AH2137" s="1"/>
      <c r="AI2137" s="1"/>
      <c r="AJ2137" s="1"/>
      <c r="AK2137" s="1"/>
      <c r="AL2137" s="1"/>
      <c r="AM2137" s="1"/>
    </row>
    <row r="2138" spans="16:39" x14ac:dyDescent="0.25">
      <c r="P2138" s="49"/>
      <c r="Q2138" s="1"/>
      <c r="S2138" s="1"/>
      <c r="T2138" s="1"/>
      <c r="U2138" s="1"/>
      <c r="V2138" s="1"/>
      <c r="W2138" s="1"/>
      <c r="X2138" s="1"/>
      <c r="Y2138" s="1"/>
      <c r="AB2138" s="1"/>
      <c r="AC2138" s="1"/>
      <c r="AD2138" s="1"/>
      <c r="AE2138" s="1"/>
      <c r="AF2138" s="1"/>
      <c r="AG2138" s="1"/>
      <c r="AH2138" s="1"/>
      <c r="AI2138" s="1"/>
      <c r="AJ2138" s="1"/>
      <c r="AK2138" s="1"/>
      <c r="AL2138" s="1"/>
      <c r="AM2138" s="1"/>
    </row>
    <row r="2139" spans="16:39" x14ac:dyDescent="0.25">
      <c r="P2139" s="49"/>
      <c r="Q2139" s="1"/>
      <c r="S2139" s="1"/>
      <c r="T2139" s="1"/>
      <c r="U2139" s="1"/>
      <c r="V2139" s="1"/>
      <c r="W2139" s="1"/>
      <c r="X2139" s="1"/>
      <c r="Y2139" s="1"/>
      <c r="AB2139" s="1"/>
      <c r="AC2139" s="1"/>
      <c r="AD2139" s="1"/>
      <c r="AE2139" s="1"/>
      <c r="AF2139" s="1"/>
      <c r="AG2139" s="1"/>
      <c r="AH2139" s="1"/>
      <c r="AI2139" s="1"/>
      <c r="AJ2139" s="1"/>
      <c r="AK2139" s="1"/>
      <c r="AL2139" s="1"/>
      <c r="AM2139" s="1"/>
    </row>
    <row r="2140" spans="16:39" x14ac:dyDescent="0.25">
      <c r="P2140" s="49"/>
      <c r="Q2140" s="1"/>
      <c r="S2140" s="1"/>
      <c r="T2140" s="1"/>
      <c r="U2140" s="1"/>
      <c r="V2140" s="1"/>
      <c r="W2140" s="1"/>
      <c r="X2140" s="1"/>
      <c r="Y2140" s="1"/>
      <c r="AB2140" s="1"/>
      <c r="AC2140" s="1"/>
      <c r="AD2140" s="1"/>
      <c r="AE2140" s="1"/>
      <c r="AF2140" s="1"/>
      <c r="AG2140" s="1"/>
      <c r="AH2140" s="1"/>
      <c r="AI2140" s="1"/>
      <c r="AJ2140" s="1"/>
      <c r="AK2140" s="1"/>
      <c r="AL2140" s="1"/>
      <c r="AM2140" s="1"/>
    </row>
    <row r="2141" spans="16:39" x14ac:dyDescent="0.25">
      <c r="P2141" s="49"/>
      <c r="Q2141" s="1"/>
      <c r="S2141" s="1"/>
      <c r="T2141" s="1"/>
      <c r="U2141" s="1"/>
      <c r="V2141" s="1"/>
      <c r="W2141" s="1"/>
      <c r="X2141" s="1"/>
      <c r="Y2141" s="1"/>
      <c r="AB2141" s="1"/>
      <c r="AC2141" s="1"/>
      <c r="AD2141" s="1"/>
      <c r="AE2141" s="1"/>
      <c r="AF2141" s="1"/>
      <c r="AG2141" s="1"/>
      <c r="AH2141" s="1"/>
      <c r="AI2141" s="1"/>
      <c r="AJ2141" s="1"/>
      <c r="AK2141" s="1"/>
      <c r="AL2141" s="1"/>
      <c r="AM2141" s="1"/>
    </row>
    <row r="2142" spans="16:39" x14ac:dyDescent="0.25">
      <c r="P2142" s="49"/>
      <c r="Q2142" s="1"/>
      <c r="S2142" s="1"/>
      <c r="T2142" s="1"/>
      <c r="U2142" s="1"/>
      <c r="V2142" s="1"/>
      <c r="W2142" s="1"/>
      <c r="X2142" s="1"/>
      <c r="Y2142" s="1"/>
      <c r="AB2142" s="1"/>
      <c r="AC2142" s="1"/>
      <c r="AD2142" s="1"/>
      <c r="AE2142" s="1"/>
      <c r="AF2142" s="1"/>
      <c r="AG2142" s="1"/>
      <c r="AH2142" s="1"/>
      <c r="AI2142" s="1"/>
      <c r="AJ2142" s="1"/>
      <c r="AK2142" s="1"/>
      <c r="AL2142" s="1"/>
      <c r="AM2142" s="1"/>
    </row>
    <row r="2143" spans="16:39" x14ac:dyDescent="0.25">
      <c r="P2143" s="49"/>
      <c r="Q2143" s="1"/>
      <c r="S2143" s="1"/>
      <c r="T2143" s="1"/>
      <c r="U2143" s="1"/>
      <c r="V2143" s="1"/>
      <c r="W2143" s="1"/>
      <c r="X2143" s="1"/>
      <c r="Y2143" s="1"/>
      <c r="AB2143" s="1"/>
      <c r="AC2143" s="1"/>
      <c r="AD2143" s="1"/>
      <c r="AE2143" s="1"/>
      <c r="AF2143" s="1"/>
      <c r="AG2143" s="1"/>
      <c r="AH2143" s="1"/>
      <c r="AI2143" s="1"/>
      <c r="AJ2143" s="1"/>
      <c r="AK2143" s="1"/>
      <c r="AL2143" s="1"/>
      <c r="AM2143" s="1"/>
    </row>
    <row r="2144" spans="16:39" x14ac:dyDescent="0.25">
      <c r="P2144" s="49"/>
      <c r="Q2144" s="1"/>
      <c r="S2144" s="1"/>
      <c r="T2144" s="1"/>
      <c r="U2144" s="1"/>
      <c r="V2144" s="1"/>
      <c r="W2144" s="1"/>
      <c r="X2144" s="1"/>
      <c r="Y2144" s="1"/>
      <c r="AB2144" s="1"/>
      <c r="AC2144" s="1"/>
      <c r="AD2144" s="1"/>
      <c r="AE2144" s="1"/>
      <c r="AF2144" s="1"/>
      <c r="AG2144" s="1"/>
      <c r="AH2144" s="1"/>
      <c r="AI2144" s="1"/>
      <c r="AJ2144" s="1"/>
      <c r="AK2144" s="1"/>
      <c r="AL2144" s="1"/>
      <c r="AM2144" s="1"/>
    </row>
    <row r="2145" spans="16:39" x14ac:dyDescent="0.25">
      <c r="P2145" s="49"/>
      <c r="Q2145" s="1"/>
      <c r="S2145" s="1"/>
      <c r="T2145" s="1"/>
      <c r="U2145" s="1"/>
      <c r="V2145" s="1"/>
      <c r="W2145" s="1"/>
      <c r="X2145" s="1"/>
      <c r="Y2145" s="1"/>
      <c r="AB2145" s="1"/>
      <c r="AC2145" s="1"/>
      <c r="AD2145" s="1"/>
      <c r="AE2145" s="1"/>
      <c r="AF2145" s="1"/>
      <c r="AG2145" s="1"/>
      <c r="AH2145" s="1"/>
      <c r="AI2145" s="1"/>
      <c r="AJ2145" s="1"/>
      <c r="AK2145" s="1"/>
      <c r="AL2145" s="1"/>
      <c r="AM2145" s="1"/>
    </row>
    <row r="2146" spans="16:39" x14ac:dyDescent="0.25">
      <c r="P2146" s="49"/>
      <c r="Q2146" s="1"/>
      <c r="S2146" s="1"/>
      <c r="T2146" s="1"/>
      <c r="U2146" s="1"/>
      <c r="V2146" s="1"/>
      <c r="W2146" s="1"/>
      <c r="X2146" s="1"/>
      <c r="Y2146" s="1"/>
      <c r="AB2146" s="1"/>
      <c r="AC2146" s="1"/>
      <c r="AD2146" s="1"/>
      <c r="AE2146" s="1"/>
      <c r="AF2146" s="1"/>
      <c r="AG2146" s="1"/>
      <c r="AH2146" s="1"/>
      <c r="AI2146" s="1"/>
      <c r="AJ2146" s="1"/>
      <c r="AK2146" s="1"/>
      <c r="AL2146" s="1"/>
      <c r="AM2146" s="1"/>
    </row>
    <row r="2147" spans="16:39" x14ac:dyDescent="0.25">
      <c r="P2147" s="49"/>
      <c r="Q2147" s="1"/>
      <c r="S2147" s="1"/>
      <c r="T2147" s="1"/>
      <c r="U2147" s="1"/>
      <c r="V2147" s="1"/>
      <c r="W2147" s="1"/>
      <c r="X2147" s="1"/>
      <c r="Y2147" s="1"/>
      <c r="AB2147" s="1"/>
      <c r="AC2147" s="1"/>
      <c r="AD2147" s="1"/>
      <c r="AE2147" s="1"/>
      <c r="AF2147" s="1"/>
      <c r="AG2147" s="1"/>
      <c r="AH2147" s="1"/>
      <c r="AI2147" s="1"/>
      <c r="AJ2147" s="1"/>
      <c r="AK2147" s="1"/>
      <c r="AL2147" s="1"/>
      <c r="AM2147" s="1"/>
    </row>
    <row r="2148" spans="16:39" x14ac:dyDescent="0.25">
      <c r="P2148" s="49"/>
      <c r="Q2148" s="1"/>
      <c r="S2148" s="1"/>
      <c r="T2148" s="1"/>
      <c r="U2148" s="1"/>
      <c r="V2148" s="1"/>
      <c r="W2148" s="1"/>
      <c r="X2148" s="1"/>
      <c r="Y2148" s="1"/>
      <c r="AB2148" s="1"/>
      <c r="AC2148" s="1"/>
      <c r="AD2148" s="1"/>
      <c r="AE2148" s="1"/>
      <c r="AF2148" s="1"/>
      <c r="AG2148" s="1"/>
      <c r="AH2148" s="1"/>
      <c r="AI2148" s="1"/>
      <c r="AJ2148" s="1"/>
      <c r="AK2148" s="1"/>
      <c r="AL2148" s="1"/>
      <c r="AM2148" s="1"/>
    </row>
    <row r="2149" spans="16:39" x14ac:dyDescent="0.25">
      <c r="P2149" s="49"/>
      <c r="Q2149" s="1"/>
      <c r="S2149" s="1"/>
      <c r="T2149" s="1"/>
      <c r="U2149" s="1"/>
      <c r="V2149" s="1"/>
      <c r="W2149" s="1"/>
      <c r="X2149" s="1"/>
      <c r="Y2149" s="1"/>
      <c r="AB2149" s="1"/>
      <c r="AC2149" s="1"/>
      <c r="AD2149" s="1"/>
      <c r="AE2149" s="1"/>
      <c r="AF2149" s="1"/>
      <c r="AG2149" s="1"/>
      <c r="AH2149" s="1"/>
      <c r="AI2149" s="1"/>
      <c r="AJ2149" s="1"/>
      <c r="AK2149" s="1"/>
      <c r="AL2149" s="1"/>
      <c r="AM2149" s="1"/>
    </row>
    <row r="2150" spans="16:39" x14ac:dyDescent="0.25">
      <c r="P2150" s="49"/>
      <c r="Q2150" s="1"/>
      <c r="S2150" s="1"/>
      <c r="T2150" s="1"/>
      <c r="U2150" s="1"/>
      <c r="V2150" s="1"/>
      <c r="W2150" s="1"/>
      <c r="X2150" s="1"/>
      <c r="Y2150" s="1"/>
      <c r="AB2150" s="1"/>
      <c r="AC2150" s="1"/>
      <c r="AD2150" s="1"/>
      <c r="AE2150" s="1"/>
      <c r="AF2150" s="1"/>
      <c r="AG2150" s="1"/>
      <c r="AH2150" s="1"/>
      <c r="AI2150" s="1"/>
      <c r="AJ2150" s="1"/>
      <c r="AK2150" s="1"/>
      <c r="AL2150" s="1"/>
      <c r="AM2150" s="1"/>
    </row>
    <row r="2151" spans="16:39" x14ac:dyDescent="0.25">
      <c r="P2151" s="49"/>
      <c r="Q2151" s="1"/>
      <c r="S2151" s="1"/>
      <c r="T2151" s="1"/>
      <c r="U2151" s="1"/>
      <c r="V2151" s="1"/>
      <c r="W2151" s="1"/>
      <c r="X2151" s="1"/>
      <c r="Y2151" s="1"/>
      <c r="AB2151" s="1"/>
      <c r="AC2151" s="1"/>
      <c r="AD2151" s="1"/>
      <c r="AE2151" s="1"/>
      <c r="AF2151" s="1"/>
      <c r="AG2151" s="1"/>
      <c r="AH2151" s="1"/>
      <c r="AI2151" s="1"/>
      <c r="AJ2151" s="1"/>
      <c r="AK2151" s="1"/>
      <c r="AL2151" s="1"/>
      <c r="AM2151" s="1"/>
    </row>
    <row r="2152" spans="16:39" x14ac:dyDescent="0.25">
      <c r="P2152" s="49"/>
      <c r="Q2152" s="1"/>
      <c r="S2152" s="1"/>
      <c r="T2152" s="1"/>
      <c r="U2152" s="1"/>
      <c r="V2152" s="1"/>
      <c r="W2152" s="1"/>
      <c r="X2152" s="1"/>
      <c r="Y2152" s="1"/>
      <c r="AB2152" s="1"/>
      <c r="AC2152" s="1"/>
      <c r="AD2152" s="1"/>
      <c r="AE2152" s="1"/>
      <c r="AF2152" s="1"/>
      <c r="AG2152" s="1"/>
      <c r="AH2152" s="1"/>
      <c r="AI2152" s="1"/>
      <c r="AJ2152" s="1"/>
      <c r="AK2152" s="1"/>
      <c r="AL2152" s="1"/>
      <c r="AM2152" s="1"/>
    </row>
    <row r="2153" spans="16:39" x14ac:dyDescent="0.25">
      <c r="P2153" s="49"/>
      <c r="Q2153" s="1"/>
      <c r="S2153" s="1"/>
      <c r="T2153" s="1"/>
      <c r="U2153" s="1"/>
      <c r="V2153" s="1"/>
      <c r="W2153" s="1"/>
      <c r="X2153" s="1"/>
      <c r="Y2153" s="1"/>
      <c r="AB2153" s="1"/>
      <c r="AC2153" s="1"/>
      <c r="AD2153" s="1"/>
      <c r="AE2153" s="1"/>
      <c r="AF2153" s="1"/>
      <c r="AG2153" s="1"/>
      <c r="AH2153" s="1"/>
      <c r="AI2153" s="1"/>
      <c r="AJ2153" s="1"/>
      <c r="AK2153" s="1"/>
      <c r="AL2153" s="1"/>
      <c r="AM2153" s="1"/>
    </row>
    <row r="2154" spans="16:39" x14ac:dyDescent="0.25">
      <c r="P2154" s="49"/>
      <c r="Q2154" s="1"/>
      <c r="S2154" s="1"/>
      <c r="T2154" s="1"/>
      <c r="U2154" s="1"/>
      <c r="V2154" s="1"/>
      <c r="W2154" s="1"/>
      <c r="X2154" s="1"/>
      <c r="Y2154" s="1"/>
      <c r="AB2154" s="1"/>
      <c r="AC2154" s="1"/>
      <c r="AD2154" s="1"/>
      <c r="AE2154" s="1"/>
      <c r="AF2154" s="1"/>
      <c r="AG2154" s="1"/>
      <c r="AH2154" s="1"/>
      <c r="AI2154" s="1"/>
      <c r="AJ2154" s="1"/>
      <c r="AK2154" s="1"/>
      <c r="AL2154" s="1"/>
      <c r="AM2154" s="1"/>
    </row>
    <row r="2155" spans="16:39" x14ac:dyDescent="0.25">
      <c r="P2155" s="49"/>
      <c r="Q2155" s="1"/>
      <c r="S2155" s="1"/>
      <c r="T2155" s="1"/>
      <c r="U2155" s="1"/>
      <c r="V2155" s="1"/>
      <c r="W2155" s="1"/>
      <c r="X2155" s="1"/>
      <c r="Y2155" s="1"/>
      <c r="AB2155" s="1"/>
      <c r="AC2155" s="1"/>
      <c r="AD2155" s="1"/>
      <c r="AE2155" s="1"/>
      <c r="AF2155" s="1"/>
      <c r="AG2155" s="1"/>
      <c r="AH2155" s="1"/>
      <c r="AI2155" s="1"/>
      <c r="AJ2155" s="1"/>
      <c r="AK2155" s="1"/>
      <c r="AL2155" s="1"/>
      <c r="AM2155" s="1"/>
    </row>
    <row r="2156" spans="16:39" x14ac:dyDescent="0.25">
      <c r="P2156" s="49"/>
      <c r="Q2156" s="1"/>
      <c r="S2156" s="1"/>
      <c r="T2156" s="1"/>
      <c r="U2156" s="1"/>
      <c r="V2156" s="1"/>
      <c r="W2156" s="1"/>
      <c r="X2156" s="1"/>
      <c r="Y2156" s="1"/>
      <c r="AB2156" s="1"/>
      <c r="AC2156" s="1"/>
      <c r="AD2156" s="1"/>
      <c r="AE2156" s="1"/>
      <c r="AF2156" s="1"/>
      <c r="AG2156" s="1"/>
      <c r="AH2156" s="1"/>
      <c r="AI2156" s="1"/>
      <c r="AJ2156" s="1"/>
      <c r="AK2156" s="1"/>
      <c r="AL2156" s="1"/>
      <c r="AM2156" s="1"/>
    </row>
    <row r="2157" spans="16:39" x14ac:dyDescent="0.25">
      <c r="P2157" s="49"/>
      <c r="Q2157" s="1"/>
      <c r="S2157" s="1"/>
      <c r="T2157" s="1"/>
      <c r="U2157" s="1"/>
      <c r="V2157" s="1"/>
      <c r="W2157" s="1"/>
      <c r="X2157" s="1"/>
      <c r="Y2157" s="1"/>
      <c r="AB2157" s="1"/>
      <c r="AC2157" s="1"/>
      <c r="AD2157" s="1"/>
      <c r="AE2157" s="1"/>
      <c r="AF2157" s="1"/>
      <c r="AG2157" s="1"/>
      <c r="AH2157" s="1"/>
      <c r="AI2157" s="1"/>
      <c r="AJ2157" s="1"/>
      <c r="AK2157" s="1"/>
      <c r="AL2157" s="1"/>
      <c r="AM2157" s="1"/>
    </row>
    <row r="2158" spans="16:39" x14ac:dyDescent="0.25">
      <c r="P2158" s="49"/>
      <c r="Q2158" s="1"/>
      <c r="S2158" s="1"/>
      <c r="T2158" s="1"/>
      <c r="U2158" s="1"/>
      <c r="V2158" s="1"/>
      <c r="W2158" s="1"/>
      <c r="X2158" s="1"/>
      <c r="Y2158" s="1"/>
      <c r="AB2158" s="1"/>
      <c r="AC2158" s="1"/>
      <c r="AD2158" s="1"/>
      <c r="AE2158" s="1"/>
      <c r="AF2158" s="1"/>
      <c r="AG2158" s="1"/>
      <c r="AH2158" s="1"/>
      <c r="AI2158" s="1"/>
      <c r="AJ2158" s="1"/>
      <c r="AK2158" s="1"/>
      <c r="AL2158" s="1"/>
      <c r="AM2158" s="1"/>
    </row>
    <row r="2159" spans="16:39" x14ac:dyDescent="0.25">
      <c r="P2159" s="49"/>
      <c r="Q2159" s="1"/>
      <c r="S2159" s="1"/>
      <c r="T2159" s="1"/>
      <c r="U2159" s="1"/>
      <c r="V2159" s="1"/>
      <c r="W2159" s="1"/>
      <c r="X2159" s="1"/>
      <c r="Y2159" s="1"/>
      <c r="AB2159" s="1"/>
      <c r="AC2159" s="1"/>
      <c r="AD2159" s="1"/>
      <c r="AE2159" s="1"/>
      <c r="AF2159" s="1"/>
      <c r="AG2159" s="1"/>
      <c r="AH2159" s="1"/>
      <c r="AI2159" s="1"/>
      <c r="AJ2159" s="1"/>
      <c r="AK2159" s="1"/>
      <c r="AL2159" s="1"/>
      <c r="AM2159" s="1"/>
    </row>
    <row r="2160" spans="16:39" x14ac:dyDescent="0.25">
      <c r="P2160" s="49"/>
      <c r="Q2160" s="1"/>
      <c r="S2160" s="1"/>
      <c r="T2160" s="1"/>
      <c r="U2160" s="1"/>
      <c r="V2160" s="1"/>
      <c r="W2160" s="1"/>
      <c r="X2160" s="1"/>
      <c r="Y2160" s="1"/>
      <c r="AB2160" s="1"/>
      <c r="AC2160" s="1"/>
      <c r="AD2160" s="1"/>
      <c r="AE2160" s="1"/>
      <c r="AF2160" s="1"/>
      <c r="AG2160" s="1"/>
      <c r="AH2160" s="1"/>
      <c r="AI2160" s="1"/>
      <c r="AJ2160" s="1"/>
      <c r="AK2160" s="1"/>
      <c r="AL2160" s="1"/>
      <c r="AM2160" s="1"/>
    </row>
    <row r="2161" spans="16:39" x14ac:dyDescent="0.25">
      <c r="P2161" s="49"/>
      <c r="Q2161" s="1"/>
      <c r="S2161" s="1"/>
      <c r="T2161" s="1"/>
      <c r="U2161" s="1"/>
      <c r="V2161" s="1"/>
      <c r="W2161" s="1"/>
      <c r="X2161" s="1"/>
      <c r="Y2161" s="1"/>
      <c r="AB2161" s="1"/>
      <c r="AC2161" s="1"/>
      <c r="AD2161" s="1"/>
      <c r="AE2161" s="1"/>
      <c r="AF2161" s="1"/>
      <c r="AG2161" s="1"/>
      <c r="AH2161" s="1"/>
      <c r="AI2161" s="1"/>
      <c r="AJ2161" s="1"/>
      <c r="AK2161" s="1"/>
      <c r="AL2161" s="1"/>
      <c r="AM2161" s="1"/>
    </row>
    <row r="2162" spans="16:39" x14ac:dyDescent="0.25">
      <c r="P2162" s="49"/>
      <c r="Q2162" s="1"/>
      <c r="S2162" s="1"/>
      <c r="T2162" s="1"/>
      <c r="U2162" s="1"/>
      <c r="V2162" s="1"/>
      <c r="W2162" s="1"/>
      <c r="X2162" s="1"/>
      <c r="Y2162" s="1"/>
      <c r="AB2162" s="1"/>
      <c r="AC2162" s="1"/>
      <c r="AD2162" s="1"/>
      <c r="AE2162" s="1"/>
      <c r="AF2162" s="1"/>
      <c r="AG2162" s="1"/>
      <c r="AH2162" s="1"/>
      <c r="AI2162" s="1"/>
      <c r="AJ2162" s="1"/>
      <c r="AK2162" s="1"/>
      <c r="AL2162" s="1"/>
      <c r="AM2162" s="1"/>
    </row>
    <row r="2163" spans="16:39" x14ac:dyDescent="0.25">
      <c r="P2163" s="49"/>
      <c r="Q2163" s="1"/>
      <c r="S2163" s="1"/>
      <c r="T2163" s="1"/>
      <c r="U2163" s="1"/>
      <c r="V2163" s="1"/>
      <c r="W2163" s="1"/>
      <c r="X2163" s="1"/>
      <c r="Y2163" s="1"/>
      <c r="AB2163" s="1"/>
      <c r="AC2163" s="1"/>
      <c r="AD2163" s="1"/>
      <c r="AE2163" s="1"/>
      <c r="AF2163" s="1"/>
      <c r="AG2163" s="1"/>
      <c r="AH2163" s="1"/>
      <c r="AI2163" s="1"/>
      <c r="AJ2163" s="1"/>
      <c r="AK2163" s="1"/>
      <c r="AL2163" s="1"/>
      <c r="AM2163" s="1"/>
    </row>
    <row r="2164" spans="16:39" x14ac:dyDescent="0.25">
      <c r="P2164" s="49"/>
      <c r="Q2164" s="1"/>
      <c r="S2164" s="1"/>
      <c r="T2164" s="1"/>
      <c r="U2164" s="1"/>
      <c r="V2164" s="1"/>
      <c r="W2164" s="1"/>
      <c r="X2164" s="1"/>
      <c r="Y2164" s="1"/>
      <c r="AB2164" s="1"/>
      <c r="AC2164" s="1"/>
      <c r="AD2164" s="1"/>
      <c r="AE2164" s="1"/>
      <c r="AF2164" s="1"/>
      <c r="AG2164" s="1"/>
      <c r="AH2164" s="1"/>
      <c r="AI2164" s="1"/>
      <c r="AJ2164" s="1"/>
      <c r="AK2164" s="1"/>
      <c r="AL2164" s="1"/>
      <c r="AM2164" s="1"/>
    </row>
    <row r="2165" spans="16:39" x14ac:dyDescent="0.25">
      <c r="P2165" s="49"/>
      <c r="Q2165" s="1"/>
      <c r="S2165" s="1"/>
      <c r="T2165" s="1"/>
      <c r="U2165" s="1"/>
      <c r="V2165" s="1"/>
      <c r="W2165" s="1"/>
      <c r="X2165" s="1"/>
      <c r="Y2165" s="1"/>
      <c r="AB2165" s="1"/>
      <c r="AC2165" s="1"/>
      <c r="AD2165" s="1"/>
      <c r="AE2165" s="1"/>
      <c r="AF2165" s="1"/>
      <c r="AG2165" s="1"/>
      <c r="AH2165" s="1"/>
      <c r="AI2165" s="1"/>
      <c r="AJ2165" s="1"/>
      <c r="AK2165" s="1"/>
      <c r="AL2165" s="1"/>
      <c r="AM2165" s="1"/>
    </row>
    <row r="2166" spans="16:39" x14ac:dyDescent="0.25">
      <c r="P2166" s="49"/>
      <c r="Q2166" s="1"/>
      <c r="S2166" s="1"/>
      <c r="T2166" s="1"/>
      <c r="U2166" s="1"/>
      <c r="V2166" s="1"/>
      <c r="W2166" s="1"/>
      <c r="X2166" s="1"/>
      <c r="Y2166" s="1"/>
      <c r="AB2166" s="1"/>
      <c r="AC2166" s="1"/>
      <c r="AD2166" s="1"/>
      <c r="AE2166" s="1"/>
      <c r="AF2166" s="1"/>
      <c r="AG2166" s="1"/>
      <c r="AH2166" s="1"/>
      <c r="AI2166" s="1"/>
      <c r="AJ2166" s="1"/>
      <c r="AK2166" s="1"/>
      <c r="AL2166" s="1"/>
      <c r="AM2166" s="1"/>
    </row>
    <row r="2167" spans="16:39" x14ac:dyDescent="0.25">
      <c r="P2167" s="49"/>
      <c r="Q2167" s="1"/>
      <c r="S2167" s="1"/>
      <c r="T2167" s="1"/>
      <c r="U2167" s="1"/>
      <c r="V2167" s="1"/>
      <c r="W2167" s="1"/>
      <c r="X2167" s="1"/>
      <c r="Y2167" s="1"/>
      <c r="AB2167" s="1"/>
      <c r="AC2167" s="1"/>
      <c r="AD2167" s="1"/>
      <c r="AE2167" s="1"/>
      <c r="AF2167" s="1"/>
      <c r="AG2167" s="1"/>
      <c r="AH2167" s="1"/>
      <c r="AI2167" s="1"/>
      <c r="AJ2167" s="1"/>
      <c r="AK2167" s="1"/>
      <c r="AL2167" s="1"/>
      <c r="AM2167" s="1"/>
    </row>
    <row r="2168" spans="16:39" x14ac:dyDescent="0.25">
      <c r="P2168" s="49"/>
      <c r="Q2168" s="1"/>
      <c r="S2168" s="1"/>
      <c r="T2168" s="1"/>
      <c r="U2168" s="1"/>
      <c r="V2168" s="1"/>
      <c r="W2168" s="1"/>
      <c r="X2168" s="1"/>
      <c r="Y2168" s="1"/>
      <c r="AB2168" s="1"/>
      <c r="AC2168" s="1"/>
      <c r="AD2168" s="1"/>
      <c r="AE2168" s="1"/>
      <c r="AF2168" s="1"/>
      <c r="AG2168" s="1"/>
      <c r="AH2168" s="1"/>
      <c r="AI2168" s="1"/>
      <c r="AJ2168" s="1"/>
      <c r="AK2168" s="1"/>
      <c r="AL2168" s="1"/>
      <c r="AM2168" s="1"/>
    </row>
    <row r="2169" spans="16:39" x14ac:dyDescent="0.25">
      <c r="P2169" s="49"/>
      <c r="Q2169" s="1"/>
      <c r="S2169" s="1"/>
      <c r="T2169" s="1"/>
      <c r="U2169" s="1"/>
      <c r="V2169" s="1"/>
      <c r="W2169" s="1"/>
      <c r="X2169" s="1"/>
      <c r="Y2169" s="1"/>
      <c r="AB2169" s="1"/>
      <c r="AC2169" s="1"/>
      <c r="AD2169" s="1"/>
      <c r="AE2169" s="1"/>
      <c r="AF2169" s="1"/>
      <c r="AG2169" s="1"/>
      <c r="AH2169" s="1"/>
      <c r="AI2169" s="1"/>
      <c r="AJ2169" s="1"/>
      <c r="AK2169" s="1"/>
      <c r="AL2169" s="1"/>
      <c r="AM2169" s="1"/>
    </row>
    <row r="2170" spans="16:39" x14ac:dyDescent="0.25">
      <c r="P2170" s="49"/>
      <c r="Q2170" s="1"/>
      <c r="S2170" s="1"/>
      <c r="T2170" s="1"/>
      <c r="U2170" s="1"/>
      <c r="V2170" s="1"/>
      <c r="W2170" s="1"/>
      <c r="X2170" s="1"/>
      <c r="Y2170" s="1"/>
      <c r="AB2170" s="1"/>
      <c r="AC2170" s="1"/>
      <c r="AD2170" s="1"/>
      <c r="AE2170" s="1"/>
      <c r="AF2170" s="1"/>
      <c r="AG2170" s="1"/>
      <c r="AH2170" s="1"/>
      <c r="AI2170" s="1"/>
      <c r="AJ2170" s="1"/>
      <c r="AK2170" s="1"/>
      <c r="AL2170" s="1"/>
      <c r="AM2170" s="1"/>
    </row>
    <row r="2171" spans="16:39" x14ac:dyDescent="0.25">
      <c r="P2171" s="49"/>
      <c r="Q2171" s="1"/>
      <c r="S2171" s="1"/>
      <c r="T2171" s="1"/>
      <c r="U2171" s="1"/>
      <c r="V2171" s="1"/>
      <c r="W2171" s="1"/>
      <c r="X2171" s="1"/>
      <c r="Y2171" s="1"/>
      <c r="AB2171" s="1"/>
      <c r="AC2171" s="1"/>
      <c r="AD2171" s="1"/>
      <c r="AE2171" s="1"/>
      <c r="AF2171" s="1"/>
      <c r="AG2171" s="1"/>
      <c r="AH2171" s="1"/>
      <c r="AI2171" s="1"/>
      <c r="AJ2171" s="1"/>
      <c r="AK2171" s="1"/>
      <c r="AL2171" s="1"/>
      <c r="AM2171" s="1"/>
    </row>
    <row r="2172" spans="16:39" x14ac:dyDescent="0.25">
      <c r="P2172" s="49"/>
      <c r="Q2172" s="1"/>
      <c r="S2172" s="1"/>
      <c r="T2172" s="1"/>
      <c r="U2172" s="1"/>
      <c r="V2172" s="1"/>
      <c r="W2172" s="1"/>
      <c r="X2172" s="1"/>
      <c r="Y2172" s="1"/>
      <c r="AB2172" s="1"/>
      <c r="AC2172" s="1"/>
      <c r="AD2172" s="1"/>
      <c r="AE2172" s="1"/>
      <c r="AF2172" s="1"/>
      <c r="AG2172" s="1"/>
      <c r="AH2172" s="1"/>
      <c r="AI2172" s="1"/>
      <c r="AJ2172" s="1"/>
      <c r="AK2172" s="1"/>
      <c r="AL2172" s="1"/>
      <c r="AM2172" s="1"/>
    </row>
    <row r="2173" spans="16:39" x14ac:dyDescent="0.25">
      <c r="P2173" s="49"/>
      <c r="Q2173" s="1"/>
      <c r="S2173" s="1"/>
      <c r="T2173" s="1"/>
      <c r="U2173" s="1"/>
      <c r="V2173" s="1"/>
      <c r="W2173" s="1"/>
      <c r="X2173" s="1"/>
      <c r="Y2173" s="1"/>
      <c r="AB2173" s="1"/>
      <c r="AC2173" s="1"/>
      <c r="AD2173" s="1"/>
      <c r="AE2173" s="1"/>
      <c r="AF2173" s="1"/>
      <c r="AG2173" s="1"/>
      <c r="AH2173" s="1"/>
      <c r="AI2173" s="1"/>
      <c r="AJ2173" s="1"/>
      <c r="AK2173" s="1"/>
      <c r="AL2173" s="1"/>
      <c r="AM2173" s="1"/>
    </row>
    <row r="2174" spans="16:39" x14ac:dyDescent="0.25">
      <c r="P2174" s="49"/>
      <c r="Q2174" s="1"/>
      <c r="S2174" s="1"/>
      <c r="T2174" s="1"/>
      <c r="U2174" s="1"/>
      <c r="V2174" s="1"/>
      <c r="W2174" s="1"/>
      <c r="X2174" s="1"/>
      <c r="Y2174" s="1"/>
      <c r="AB2174" s="1"/>
      <c r="AC2174" s="1"/>
      <c r="AD2174" s="1"/>
      <c r="AE2174" s="1"/>
      <c r="AF2174" s="1"/>
      <c r="AG2174" s="1"/>
      <c r="AH2174" s="1"/>
      <c r="AI2174" s="1"/>
      <c r="AJ2174" s="1"/>
      <c r="AK2174" s="1"/>
      <c r="AL2174" s="1"/>
      <c r="AM2174" s="1"/>
    </row>
    <row r="2175" spans="16:39" x14ac:dyDescent="0.25">
      <c r="P2175" s="49"/>
      <c r="Q2175" s="1"/>
      <c r="S2175" s="1"/>
      <c r="T2175" s="1"/>
      <c r="U2175" s="1"/>
      <c r="V2175" s="1"/>
      <c r="W2175" s="1"/>
      <c r="X2175" s="1"/>
      <c r="Y2175" s="1"/>
      <c r="AB2175" s="1"/>
      <c r="AC2175" s="1"/>
      <c r="AD2175" s="1"/>
      <c r="AE2175" s="1"/>
      <c r="AF2175" s="1"/>
      <c r="AG2175" s="1"/>
      <c r="AH2175" s="1"/>
      <c r="AI2175" s="1"/>
      <c r="AJ2175" s="1"/>
      <c r="AK2175" s="1"/>
      <c r="AL2175" s="1"/>
      <c r="AM2175" s="1"/>
    </row>
    <row r="2176" spans="16:39" x14ac:dyDescent="0.25">
      <c r="P2176" s="49"/>
      <c r="Q2176" s="1"/>
      <c r="S2176" s="1"/>
      <c r="T2176" s="1"/>
      <c r="U2176" s="1"/>
      <c r="V2176" s="1"/>
      <c r="W2176" s="1"/>
      <c r="X2176" s="1"/>
      <c r="Y2176" s="1"/>
      <c r="AB2176" s="1"/>
      <c r="AC2176" s="1"/>
      <c r="AD2176" s="1"/>
      <c r="AE2176" s="1"/>
      <c r="AF2176" s="1"/>
      <c r="AG2176" s="1"/>
      <c r="AH2176" s="1"/>
      <c r="AI2176" s="1"/>
      <c r="AJ2176" s="1"/>
      <c r="AK2176" s="1"/>
      <c r="AL2176" s="1"/>
      <c r="AM2176" s="1"/>
    </row>
    <row r="2177" spans="16:39" x14ac:dyDescent="0.25">
      <c r="P2177" s="49"/>
      <c r="Q2177" s="1"/>
      <c r="S2177" s="1"/>
      <c r="T2177" s="1"/>
      <c r="U2177" s="1"/>
      <c r="V2177" s="1"/>
      <c r="W2177" s="1"/>
      <c r="X2177" s="1"/>
      <c r="Y2177" s="1"/>
      <c r="AB2177" s="1"/>
      <c r="AC2177" s="1"/>
      <c r="AD2177" s="1"/>
      <c r="AE2177" s="1"/>
      <c r="AF2177" s="1"/>
      <c r="AG2177" s="1"/>
      <c r="AH2177" s="1"/>
      <c r="AI2177" s="1"/>
      <c r="AJ2177" s="1"/>
      <c r="AK2177" s="1"/>
      <c r="AL2177" s="1"/>
      <c r="AM2177" s="1"/>
    </row>
    <row r="2178" spans="16:39" x14ac:dyDescent="0.25">
      <c r="P2178" s="49"/>
      <c r="Q2178" s="1"/>
      <c r="S2178" s="1"/>
      <c r="T2178" s="1"/>
      <c r="U2178" s="1"/>
      <c r="V2178" s="1"/>
      <c r="W2178" s="1"/>
      <c r="X2178" s="1"/>
      <c r="Y2178" s="1"/>
      <c r="AB2178" s="1"/>
      <c r="AC2178" s="1"/>
      <c r="AD2178" s="1"/>
      <c r="AE2178" s="1"/>
      <c r="AF2178" s="1"/>
      <c r="AG2178" s="1"/>
      <c r="AH2178" s="1"/>
      <c r="AI2178" s="1"/>
      <c r="AJ2178" s="1"/>
      <c r="AK2178" s="1"/>
      <c r="AL2178" s="1"/>
      <c r="AM2178" s="1"/>
    </row>
    <row r="2179" spans="16:39" x14ac:dyDescent="0.25">
      <c r="P2179" s="49"/>
      <c r="Q2179" s="1"/>
      <c r="S2179" s="1"/>
      <c r="T2179" s="1"/>
      <c r="U2179" s="1"/>
      <c r="V2179" s="1"/>
      <c r="W2179" s="1"/>
      <c r="X2179" s="1"/>
      <c r="Y2179" s="1"/>
      <c r="AB2179" s="1"/>
      <c r="AC2179" s="1"/>
      <c r="AD2179" s="1"/>
      <c r="AE2179" s="1"/>
      <c r="AF2179" s="1"/>
      <c r="AG2179" s="1"/>
      <c r="AH2179" s="1"/>
      <c r="AI2179" s="1"/>
      <c r="AJ2179" s="1"/>
      <c r="AK2179" s="1"/>
      <c r="AL2179" s="1"/>
      <c r="AM2179" s="1"/>
    </row>
    <row r="2180" spans="16:39" x14ac:dyDescent="0.25">
      <c r="P2180" s="49"/>
      <c r="Q2180" s="1"/>
      <c r="S2180" s="1"/>
      <c r="T2180" s="1"/>
      <c r="U2180" s="1"/>
      <c r="V2180" s="1"/>
      <c r="W2180" s="1"/>
      <c r="X2180" s="1"/>
      <c r="Y2180" s="1"/>
      <c r="AB2180" s="1"/>
      <c r="AC2180" s="1"/>
      <c r="AD2180" s="1"/>
      <c r="AE2180" s="1"/>
      <c r="AF2180" s="1"/>
      <c r="AG2180" s="1"/>
      <c r="AH2180" s="1"/>
      <c r="AI2180" s="1"/>
      <c r="AJ2180" s="1"/>
      <c r="AK2180" s="1"/>
      <c r="AL2180" s="1"/>
      <c r="AM2180" s="1"/>
    </row>
    <row r="2181" spans="16:39" x14ac:dyDescent="0.25">
      <c r="P2181" s="49"/>
      <c r="Q2181" s="1"/>
      <c r="S2181" s="1"/>
      <c r="T2181" s="1"/>
      <c r="U2181" s="1"/>
      <c r="V2181" s="1"/>
      <c r="W2181" s="1"/>
      <c r="X2181" s="1"/>
      <c r="Y2181" s="1"/>
      <c r="AB2181" s="1"/>
      <c r="AC2181" s="1"/>
      <c r="AD2181" s="1"/>
      <c r="AE2181" s="1"/>
      <c r="AF2181" s="1"/>
      <c r="AG2181" s="1"/>
      <c r="AH2181" s="1"/>
      <c r="AI2181" s="1"/>
      <c r="AJ2181" s="1"/>
      <c r="AK2181" s="1"/>
      <c r="AL2181" s="1"/>
      <c r="AM2181" s="1"/>
    </row>
    <row r="2182" spans="16:39" x14ac:dyDescent="0.25">
      <c r="P2182" s="49"/>
      <c r="Q2182" s="1"/>
      <c r="S2182" s="1"/>
      <c r="T2182" s="1"/>
      <c r="U2182" s="1"/>
      <c r="V2182" s="1"/>
      <c r="W2182" s="1"/>
      <c r="X2182" s="1"/>
      <c r="Y2182" s="1"/>
      <c r="AB2182" s="1"/>
      <c r="AC2182" s="1"/>
      <c r="AD2182" s="1"/>
      <c r="AE2182" s="1"/>
      <c r="AF2182" s="1"/>
      <c r="AG2182" s="1"/>
      <c r="AH2182" s="1"/>
      <c r="AI2182" s="1"/>
      <c r="AJ2182" s="1"/>
      <c r="AK2182" s="1"/>
      <c r="AL2182" s="1"/>
      <c r="AM2182" s="1"/>
    </row>
    <row r="2183" spans="16:39" x14ac:dyDescent="0.25">
      <c r="P2183" s="49"/>
      <c r="Q2183" s="1"/>
      <c r="S2183" s="1"/>
      <c r="T2183" s="1"/>
      <c r="U2183" s="1"/>
      <c r="V2183" s="1"/>
      <c r="W2183" s="1"/>
      <c r="X2183" s="1"/>
      <c r="Y2183" s="1"/>
      <c r="AB2183" s="1"/>
      <c r="AC2183" s="1"/>
      <c r="AD2183" s="1"/>
      <c r="AE2183" s="1"/>
      <c r="AF2183" s="1"/>
      <c r="AG2183" s="1"/>
      <c r="AH2183" s="1"/>
      <c r="AI2183" s="1"/>
      <c r="AJ2183" s="1"/>
      <c r="AK2183" s="1"/>
      <c r="AL2183" s="1"/>
      <c r="AM2183" s="1"/>
    </row>
    <row r="2184" spans="16:39" x14ac:dyDescent="0.25">
      <c r="P2184" s="49"/>
      <c r="Q2184" s="1"/>
      <c r="S2184" s="1"/>
      <c r="T2184" s="1"/>
      <c r="U2184" s="1"/>
      <c r="V2184" s="1"/>
      <c r="W2184" s="1"/>
      <c r="X2184" s="1"/>
      <c r="Y2184" s="1"/>
      <c r="AB2184" s="1"/>
      <c r="AC2184" s="1"/>
      <c r="AD2184" s="1"/>
      <c r="AE2184" s="1"/>
      <c r="AF2184" s="1"/>
      <c r="AG2184" s="1"/>
      <c r="AH2184" s="1"/>
      <c r="AI2184" s="1"/>
      <c r="AJ2184" s="1"/>
      <c r="AK2184" s="1"/>
      <c r="AL2184" s="1"/>
      <c r="AM2184" s="1"/>
    </row>
    <row r="2185" spans="16:39" x14ac:dyDescent="0.25">
      <c r="P2185" s="49"/>
      <c r="Q2185" s="1"/>
      <c r="S2185" s="1"/>
      <c r="T2185" s="1"/>
      <c r="U2185" s="1"/>
      <c r="V2185" s="1"/>
      <c r="W2185" s="1"/>
      <c r="X2185" s="1"/>
      <c r="Y2185" s="1"/>
      <c r="AB2185" s="1"/>
      <c r="AC2185" s="1"/>
      <c r="AD2185" s="1"/>
      <c r="AE2185" s="1"/>
      <c r="AF2185" s="1"/>
      <c r="AG2185" s="1"/>
      <c r="AH2185" s="1"/>
      <c r="AI2185" s="1"/>
      <c r="AJ2185" s="1"/>
      <c r="AK2185" s="1"/>
      <c r="AL2185" s="1"/>
      <c r="AM2185" s="1"/>
    </row>
    <row r="2186" spans="16:39" x14ac:dyDescent="0.25">
      <c r="P2186" s="49"/>
      <c r="Q2186" s="1"/>
      <c r="S2186" s="1"/>
      <c r="T2186" s="1"/>
      <c r="U2186" s="1"/>
      <c r="V2186" s="1"/>
      <c r="W2186" s="1"/>
      <c r="X2186" s="1"/>
      <c r="Y2186" s="1"/>
      <c r="AB2186" s="1"/>
      <c r="AC2186" s="1"/>
      <c r="AD2186" s="1"/>
      <c r="AE2186" s="1"/>
      <c r="AF2186" s="1"/>
      <c r="AG2186" s="1"/>
      <c r="AH2186" s="1"/>
      <c r="AI2186" s="1"/>
      <c r="AJ2186" s="1"/>
      <c r="AK2186" s="1"/>
      <c r="AL2186" s="1"/>
      <c r="AM2186" s="1"/>
    </row>
    <row r="2187" spans="16:39" x14ac:dyDescent="0.25">
      <c r="P2187" s="49"/>
      <c r="Q2187" s="1"/>
      <c r="S2187" s="1"/>
      <c r="T2187" s="1"/>
      <c r="U2187" s="1"/>
      <c r="V2187" s="1"/>
      <c r="W2187" s="1"/>
      <c r="X2187" s="1"/>
      <c r="Y2187" s="1"/>
      <c r="AB2187" s="1"/>
      <c r="AC2187" s="1"/>
      <c r="AD2187" s="1"/>
      <c r="AE2187" s="1"/>
      <c r="AF2187" s="1"/>
      <c r="AG2187" s="1"/>
      <c r="AH2187" s="1"/>
      <c r="AI2187" s="1"/>
      <c r="AJ2187" s="1"/>
      <c r="AK2187" s="1"/>
      <c r="AL2187" s="1"/>
      <c r="AM2187" s="1"/>
    </row>
    <row r="2188" spans="16:39" x14ac:dyDescent="0.25">
      <c r="P2188" s="49"/>
      <c r="Q2188" s="1"/>
      <c r="S2188" s="1"/>
      <c r="T2188" s="1"/>
      <c r="U2188" s="1"/>
      <c r="V2188" s="1"/>
      <c r="W2188" s="1"/>
      <c r="X2188" s="1"/>
      <c r="Y2188" s="1"/>
      <c r="AB2188" s="1"/>
      <c r="AC2188" s="1"/>
      <c r="AD2188" s="1"/>
      <c r="AE2188" s="1"/>
      <c r="AF2188" s="1"/>
      <c r="AG2188" s="1"/>
      <c r="AH2188" s="1"/>
      <c r="AI2188" s="1"/>
      <c r="AJ2188" s="1"/>
      <c r="AK2188" s="1"/>
      <c r="AL2188" s="1"/>
      <c r="AM2188" s="1"/>
    </row>
    <row r="2189" spans="16:39" x14ac:dyDescent="0.25">
      <c r="P2189" s="49"/>
      <c r="Q2189" s="1"/>
      <c r="S2189" s="1"/>
      <c r="T2189" s="1"/>
      <c r="U2189" s="1"/>
      <c r="V2189" s="1"/>
      <c r="W2189" s="1"/>
      <c r="X2189" s="1"/>
      <c r="Y2189" s="1"/>
      <c r="AB2189" s="1"/>
      <c r="AC2189" s="1"/>
      <c r="AD2189" s="1"/>
      <c r="AE2189" s="1"/>
      <c r="AF2189" s="1"/>
      <c r="AG2189" s="1"/>
      <c r="AH2189" s="1"/>
      <c r="AI2189" s="1"/>
      <c r="AJ2189" s="1"/>
      <c r="AK2189" s="1"/>
      <c r="AL2189" s="1"/>
      <c r="AM2189" s="1"/>
    </row>
    <row r="2190" spans="16:39" x14ac:dyDescent="0.25">
      <c r="P2190" s="49"/>
      <c r="Q2190" s="1"/>
      <c r="S2190" s="1"/>
      <c r="T2190" s="1"/>
      <c r="U2190" s="1"/>
      <c r="V2190" s="1"/>
      <c r="W2190" s="1"/>
      <c r="X2190" s="1"/>
      <c r="Y2190" s="1"/>
      <c r="AB2190" s="1"/>
      <c r="AC2190" s="1"/>
      <c r="AD2190" s="1"/>
      <c r="AE2190" s="1"/>
      <c r="AF2190" s="1"/>
      <c r="AG2190" s="1"/>
      <c r="AH2190" s="1"/>
      <c r="AI2190" s="1"/>
      <c r="AJ2190" s="1"/>
      <c r="AK2190" s="1"/>
      <c r="AL2190" s="1"/>
      <c r="AM2190" s="1"/>
    </row>
    <row r="2191" spans="16:39" x14ac:dyDescent="0.25">
      <c r="P2191" s="49"/>
      <c r="Q2191" s="1"/>
      <c r="S2191" s="1"/>
      <c r="T2191" s="1"/>
      <c r="U2191" s="1"/>
      <c r="V2191" s="1"/>
      <c r="W2191" s="1"/>
      <c r="X2191" s="1"/>
      <c r="Y2191" s="1"/>
      <c r="AB2191" s="1"/>
      <c r="AC2191" s="1"/>
      <c r="AD2191" s="1"/>
      <c r="AE2191" s="1"/>
      <c r="AF2191" s="1"/>
      <c r="AG2191" s="1"/>
      <c r="AH2191" s="1"/>
      <c r="AI2191" s="1"/>
      <c r="AJ2191" s="1"/>
      <c r="AK2191" s="1"/>
      <c r="AL2191" s="1"/>
      <c r="AM2191" s="1"/>
    </row>
    <row r="2192" spans="16:39" x14ac:dyDescent="0.25">
      <c r="P2192" s="49"/>
      <c r="Q2192" s="1"/>
      <c r="S2192" s="1"/>
      <c r="T2192" s="1"/>
      <c r="U2192" s="1"/>
      <c r="V2192" s="1"/>
      <c r="W2192" s="1"/>
      <c r="X2192" s="1"/>
      <c r="Y2192" s="1"/>
      <c r="AB2192" s="1"/>
      <c r="AC2192" s="1"/>
      <c r="AD2192" s="1"/>
      <c r="AE2192" s="1"/>
      <c r="AF2192" s="1"/>
      <c r="AG2192" s="1"/>
      <c r="AH2192" s="1"/>
      <c r="AI2192" s="1"/>
      <c r="AJ2192" s="1"/>
      <c r="AK2192" s="1"/>
      <c r="AL2192" s="1"/>
      <c r="AM2192" s="1"/>
    </row>
    <row r="2193" spans="16:39" x14ac:dyDescent="0.25">
      <c r="P2193" s="49"/>
      <c r="Q2193" s="1"/>
      <c r="S2193" s="1"/>
      <c r="T2193" s="1"/>
      <c r="U2193" s="1"/>
      <c r="V2193" s="1"/>
      <c r="W2193" s="1"/>
      <c r="X2193" s="1"/>
      <c r="Y2193" s="1"/>
      <c r="AB2193" s="1"/>
      <c r="AC2193" s="1"/>
      <c r="AD2193" s="1"/>
      <c r="AE2193" s="1"/>
      <c r="AF2193" s="1"/>
      <c r="AG2193" s="1"/>
      <c r="AH2193" s="1"/>
      <c r="AI2193" s="1"/>
      <c r="AJ2193" s="1"/>
      <c r="AK2193" s="1"/>
      <c r="AL2193" s="1"/>
      <c r="AM2193" s="1"/>
    </row>
    <row r="2194" spans="16:39" x14ac:dyDescent="0.25">
      <c r="P2194" s="49"/>
      <c r="Q2194" s="1"/>
      <c r="S2194" s="1"/>
      <c r="T2194" s="1"/>
      <c r="U2194" s="1"/>
      <c r="V2194" s="1"/>
      <c r="W2194" s="1"/>
      <c r="X2194" s="1"/>
      <c r="Y2194" s="1"/>
      <c r="AB2194" s="1"/>
      <c r="AC2194" s="1"/>
      <c r="AD2194" s="1"/>
      <c r="AE2194" s="1"/>
      <c r="AF2194" s="1"/>
      <c r="AG2194" s="1"/>
      <c r="AH2194" s="1"/>
      <c r="AI2194" s="1"/>
      <c r="AJ2194" s="1"/>
      <c r="AK2194" s="1"/>
      <c r="AL2194" s="1"/>
      <c r="AM2194" s="1"/>
    </row>
    <row r="2195" spans="16:39" x14ac:dyDescent="0.25">
      <c r="P2195" s="49"/>
      <c r="Q2195" s="1"/>
      <c r="S2195" s="1"/>
      <c r="T2195" s="1"/>
      <c r="U2195" s="1"/>
      <c r="V2195" s="1"/>
      <c r="W2195" s="1"/>
      <c r="X2195" s="1"/>
      <c r="Y2195" s="1"/>
      <c r="AB2195" s="1"/>
      <c r="AC2195" s="1"/>
      <c r="AD2195" s="1"/>
      <c r="AE2195" s="1"/>
      <c r="AF2195" s="1"/>
      <c r="AG2195" s="1"/>
      <c r="AH2195" s="1"/>
      <c r="AI2195" s="1"/>
      <c r="AJ2195" s="1"/>
      <c r="AK2195" s="1"/>
      <c r="AL2195" s="1"/>
      <c r="AM2195" s="1"/>
    </row>
    <row r="2196" spans="16:39" x14ac:dyDescent="0.25">
      <c r="P2196" s="49"/>
      <c r="Q2196" s="1"/>
      <c r="S2196" s="1"/>
      <c r="T2196" s="1"/>
      <c r="U2196" s="1"/>
      <c r="V2196" s="1"/>
      <c r="W2196" s="1"/>
      <c r="X2196" s="1"/>
      <c r="Y2196" s="1"/>
      <c r="AB2196" s="1"/>
      <c r="AC2196" s="1"/>
      <c r="AD2196" s="1"/>
      <c r="AE2196" s="1"/>
      <c r="AF2196" s="1"/>
      <c r="AG2196" s="1"/>
      <c r="AH2196" s="1"/>
      <c r="AI2196" s="1"/>
      <c r="AJ2196" s="1"/>
      <c r="AK2196" s="1"/>
      <c r="AL2196" s="1"/>
      <c r="AM2196" s="1"/>
    </row>
    <row r="2197" spans="16:39" x14ac:dyDescent="0.25">
      <c r="P2197" s="49"/>
      <c r="Q2197" s="1"/>
      <c r="S2197" s="1"/>
      <c r="T2197" s="1"/>
      <c r="U2197" s="1"/>
      <c r="V2197" s="1"/>
      <c r="W2197" s="1"/>
      <c r="X2197" s="1"/>
      <c r="Y2197" s="1"/>
      <c r="AB2197" s="1"/>
      <c r="AC2197" s="1"/>
      <c r="AD2197" s="1"/>
      <c r="AE2197" s="1"/>
      <c r="AF2197" s="1"/>
      <c r="AG2197" s="1"/>
      <c r="AH2197" s="1"/>
      <c r="AI2197" s="1"/>
      <c r="AJ2197" s="1"/>
      <c r="AK2197" s="1"/>
      <c r="AL2197" s="1"/>
      <c r="AM2197" s="1"/>
    </row>
    <row r="2198" spans="16:39" x14ac:dyDescent="0.25">
      <c r="P2198" s="49"/>
      <c r="Q2198" s="1"/>
      <c r="S2198" s="1"/>
      <c r="T2198" s="1"/>
      <c r="U2198" s="1"/>
      <c r="V2198" s="1"/>
      <c r="W2198" s="1"/>
      <c r="X2198" s="1"/>
      <c r="Y2198" s="1"/>
      <c r="AB2198" s="1"/>
      <c r="AC2198" s="1"/>
      <c r="AD2198" s="1"/>
      <c r="AE2198" s="1"/>
      <c r="AF2198" s="1"/>
      <c r="AG2198" s="1"/>
      <c r="AH2198" s="1"/>
      <c r="AI2198" s="1"/>
      <c r="AJ2198" s="1"/>
      <c r="AK2198" s="1"/>
      <c r="AL2198" s="1"/>
      <c r="AM2198" s="1"/>
    </row>
    <row r="2199" spans="16:39" x14ac:dyDescent="0.25">
      <c r="P2199" s="49"/>
      <c r="Q2199" s="1"/>
      <c r="S2199" s="1"/>
      <c r="T2199" s="1"/>
      <c r="U2199" s="1"/>
      <c r="V2199" s="1"/>
      <c r="W2199" s="1"/>
      <c r="X2199" s="1"/>
      <c r="Y2199" s="1"/>
      <c r="AB2199" s="1"/>
      <c r="AC2199" s="1"/>
      <c r="AD2199" s="1"/>
      <c r="AE2199" s="1"/>
      <c r="AF2199" s="1"/>
      <c r="AG2199" s="1"/>
      <c r="AH2199" s="1"/>
      <c r="AI2199" s="1"/>
      <c r="AJ2199" s="1"/>
      <c r="AK2199" s="1"/>
      <c r="AL2199" s="1"/>
      <c r="AM2199" s="1"/>
    </row>
    <row r="2200" spans="16:39" x14ac:dyDescent="0.25">
      <c r="P2200" s="49"/>
      <c r="Q2200" s="1"/>
      <c r="S2200" s="1"/>
      <c r="T2200" s="1"/>
      <c r="U2200" s="1"/>
      <c r="V2200" s="1"/>
      <c r="W2200" s="1"/>
      <c r="X2200" s="1"/>
      <c r="Y2200" s="1"/>
      <c r="AB2200" s="1"/>
      <c r="AC2200" s="1"/>
      <c r="AD2200" s="1"/>
      <c r="AE2200" s="1"/>
      <c r="AF2200" s="1"/>
      <c r="AG2200" s="1"/>
      <c r="AH2200" s="1"/>
      <c r="AI2200" s="1"/>
      <c r="AJ2200" s="1"/>
      <c r="AK2200" s="1"/>
      <c r="AL2200" s="1"/>
      <c r="AM2200" s="1"/>
    </row>
    <row r="2201" spans="16:39" x14ac:dyDescent="0.25">
      <c r="P2201" s="49"/>
      <c r="Q2201" s="1"/>
      <c r="S2201" s="1"/>
      <c r="T2201" s="1"/>
      <c r="U2201" s="1"/>
      <c r="V2201" s="1"/>
      <c r="W2201" s="1"/>
      <c r="X2201" s="1"/>
      <c r="Y2201" s="1"/>
      <c r="AB2201" s="1"/>
      <c r="AC2201" s="1"/>
      <c r="AD2201" s="1"/>
      <c r="AE2201" s="1"/>
      <c r="AF2201" s="1"/>
      <c r="AG2201" s="1"/>
      <c r="AH2201" s="1"/>
      <c r="AI2201" s="1"/>
      <c r="AJ2201" s="1"/>
      <c r="AK2201" s="1"/>
      <c r="AL2201" s="1"/>
      <c r="AM2201" s="1"/>
    </row>
    <row r="2202" spans="16:39" x14ac:dyDescent="0.25">
      <c r="P2202" s="49"/>
      <c r="Q2202" s="1"/>
      <c r="S2202" s="1"/>
      <c r="T2202" s="1"/>
      <c r="U2202" s="1"/>
      <c r="V2202" s="1"/>
      <c r="W2202" s="1"/>
      <c r="X2202" s="1"/>
      <c r="Y2202" s="1"/>
      <c r="AB2202" s="1"/>
      <c r="AC2202" s="1"/>
      <c r="AD2202" s="1"/>
      <c r="AE2202" s="1"/>
      <c r="AF2202" s="1"/>
      <c r="AG2202" s="1"/>
      <c r="AH2202" s="1"/>
      <c r="AI2202" s="1"/>
      <c r="AJ2202" s="1"/>
      <c r="AK2202" s="1"/>
      <c r="AL2202" s="1"/>
      <c r="AM2202" s="1"/>
    </row>
    <row r="2203" spans="16:39" x14ac:dyDescent="0.25">
      <c r="P2203" s="49"/>
      <c r="Q2203" s="1"/>
      <c r="S2203" s="1"/>
      <c r="T2203" s="1"/>
      <c r="U2203" s="1"/>
      <c r="V2203" s="1"/>
      <c r="W2203" s="1"/>
      <c r="X2203" s="1"/>
      <c r="Y2203" s="1"/>
      <c r="AB2203" s="1"/>
      <c r="AC2203" s="1"/>
      <c r="AD2203" s="1"/>
      <c r="AE2203" s="1"/>
      <c r="AF2203" s="1"/>
      <c r="AG2203" s="1"/>
      <c r="AH2203" s="1"/>
      <c r="AI2203" s="1"/>
      <c r="AJ2203" s="1"/>
      <c r="AK2203" s="1"/>
      <c r="AL2203" s="1"/>
      <c r="AM2203" s="1"/>
    </row>
    <row r="2204" spans="16:39" x14ac:dyDescent="0.25">
      <c r="P2204" s="49"/>
      <c r="Q2204" s="1"/>
      <c r="S2204" s="1"/>
      <c r="T2204" s="1"/>
      <c r="U2204" s="1"/>
      <c r="V2204" s="1"/>
      <c r="W2204" s="1"/>
      <c r="X2204" s="1"/>
      <c r="Y2204" s="1"/>
      <c r="AB2204" s="1"/>
      <c r="AC2204" s="1"/>
      <c r="AD2204" s="1"/>
      <c r="AE2204" s="1"/>
      <c r="AF2204" s="1"/>
      <c r="AG2204" s="1"/>
      <c r="AH2204" s="1"/>
      <c r="AI2204" s="1"/>
      <c r="AJ2204" s="1"/>
      <c r="AK2204" s="1"/>
      <c r="AL2204" s="1"/>
      <c r="AM2204" s="1"/>
    </row>
    <row r="2205" spans="16:39" x14ac:dyDescent="0.25">
      <c r="P2205" s="49"/>
      <c r="Q2205" s="1"/>
      <c r="S2205" s="1"/>
      <c r="T2205" s="1"/>
      <c r="U2205" s="1"/>
      <c r="V2205" s="1"/>
      <c r="W2205" s="1"/>
      <c r="X2205" s="1"/>
      <c r="Y2205" s="1"/>
      <c r="AB2205" s="1"/>
      <c r="AC2205" s="1"/>
      <c r="AD2205" s="1"/>
      <c r="AE2205" s="1"/>
      <c r="AF2205" s="1"/>
      <c r="AG2205" s="1"/>
      <c r="AH2205" s="1"/>
      <c r="AI2205" s="1"/>
      <c r="AJ2205" s="1"/>
      <c r="AK2205" s="1"/>
      <c r="AL2205" s="1"/>
      <c r="AM2205" s="1"/>
    </row>
    <row r="2206" spans="16:39" x14ac:dyDescent="0.25">
      <c r="P2206" s="49"/>
      <c r="Q2206" s="1"/>
      <c r="S2206" s="1"/>
      <c r="T2206" s="1"/>
      <c r="U2206" s="1"/>
      <c r="V2206" s="1"/>
      <c r="W2206" s="1"/>
      <c r="X2206" s="1"/>
      <c r="Y2206" s="1"/>
      <c r="AB2206" s="1"/>
      <c r="AC2206" s="1"/>
      <c r="AD2206" s="1"/>
      <c r="AE2206" s="1"/>
      <c r="AF2206" s="1"/>
      <c r="AG2206" s="1"/>
      <c r="AH2206" s="1"/>
      <c r="AI2206" s="1"/>
      <c r="AJ2206" s="1"/>
      <c r="AK2206" s="1"/>
      <c r="AL2206" s="1"/>
      <c r="AM2206" s="1"/>
    </row>
    <row r="2207" spans="16:39" x14ac:dyDescent="0.25">
      <c r="P2207" s="49"/>
      <c r="Q2207" s="1"/>
      <c r="S2207" s="1"/>
      <c r="T2207" s="1"/>
      <c r="U2207" s="1"/>
      <c r="V2207" s="1"/>
      <c r="W2207" s="1"/>
      <c r="X2207" s="1"/>
      <c r="Y2207" s="1"/>
      <c r="AB2207" s="1"/>
      <c r="AC2207" s="1"/>
      <c r="AD2207" s="1"/>
      <c r="AE2207" s="1"/>
      <c r="AF2207" s="1"/>
      <c r="AG2207" s="1"/>
      <c r="AH2207" s="1"/>
      <c r="AI2207" s="1"/>
      <c r="AJ2207" s="1"/>
      <c r="AK2207" s="1"/>
      <c r="AL2207" s="1"/>
      <c r="AM2207" s="1"/>
    </row>
    <row r="2208" spans="16:39" x14ac:dyDescent="0.25">
      <c r="P2208" s="49"/>
      <c r="Q2208" s="1"/>
      <c r="S2208" s="1"/>
      <c r="T2208" s="1"/>
      <c r="U2208" s="1"/>
      <c r="V2208" s="1"/>
      <c r="W2208" s="1"/>
      <c r="X2208" s="1"/>
      <c r="Y2208" s="1"/>
      <c r="AB2208" s="1"/>
      <c r="AC2208" s="1"/>
      <c r="AD2208" s="1"/>
      <c r="AE2208" s="1"/>
      <c r="AF2208" s="1"/>
      <c r="AG2208" s="1"/>
      <c r="AH2208" s="1"/>
      <c r="AI2208" s="1"/>
      <c r="AJ2208" s="1"/>
      <c r="AK2208" s="1"/>
      <c r="AL2208" s="1"/>
      <c r="AM2208" s="1"/>
    </row>
    <row r="2209" spans="16:39" x14ac:dyDescent="0.25">
      <c r="P2209" s="49"/>
      <c r="Q2209" s="1"/>
      <c r="S2209" s="1"/>
      <c r="T2209" s="1"/>
      <c r="U2209" s="1"/>
      <c r="V2209" s="1"/>
      <c r="W2209" s="1"/>
      <c r="X2209" s="1"/>
      <c r="Y2209" s="1"/>
      <c r="AB2209" s="1"/>
      <c r="AC2209" s="1"/>
      <c r="AD2209" s="1"/>
      <c r="AE2209" s="1"/>
      <c r="AF2209" s="1"/>
      <c r="AG2209" s="1"/>
      <c r="AH2209" s="1"/>
      <c r="AI2209" s="1"/>
      <c r="AJ2209" s="1"/>
      <c r="AK2209" s="1"/>
      <c r="AL2209" s="1"/>
      <c r="AM2209" s="1"/>
    </row>
    <row r="2210" spans="16:39" x14ac:dyDescent="0.25">
      <c r="P2210" s="49"/>
      <c r="Q2210" s="1"/>
      <c r="S2210" s="1"/>
      <c r="T2210" s="1"/>
      <c r="U2210" s="1"/>
      <c r="V2210" s="1"/>
      <c r="W2210" s="1"/>
      <c r="X2210" s="1"/>
      <c r="Y2210" s="1"/>
      <c r="AB2210" s="1"/>
      <c r="AC2210" s="1"/>
      <c r="AD2210" s="1"/>
      <c r="AE2210" s="1"/>
      <c r="AF2210" s="1"/>
      <c r="AG2210" s="1"/>
      <c r="AH2210" s="1"/>
      <c r="AI2210" s="1"/>
      <c r="AJ2210" s="1"/>
      <c r="AK2210" s="1"/>
      <c r="AL2210" s="1"/>
      <c r="AM2210" s="1"/>
    </row>
    <row r="2211" spans="16:39" x14ac:dyDescent="0.25">
      <c r="P2211" s="49"/>
      <c r="Q2211" s="1"/>
      <c r="S2211" s="1"/>
      <c r="T2211" s="1"/>
      <c r="U2211" s="1"/>
      <c r="V2211" s="1"/>
      <c r="W2211" s="1"/>
      <c r="X2211" s="1"/>
      <c r="Y2211" s="1"/>
      <c r="AB2211" s="1"/>
      <c r="AC2211" s="1"/>
      <c r="AD2211" s="1"/>
      <c r="AE2211" s="1"/>
      <c r="AF2211" s="1"/>
      <c r="AG2211" s="1"/>
      <c r="AH2211" s="1"/>
      <c r="AI2211" s="1"/>
      <c r="AJ2211" s="1"/>
      <c r="AK2211" s="1"/>
      <c r="AL2211" s="1"/>
      <c r="AM2211" s="1"/>
    </row>
    <row r="2212" spans="16:39" x14ac:dyDescent="0.25">
      <c r="P2212" s="49"/>
      <c r="Q2212" s="1"/>
      <c r="S2212" s="1"/>
      <c r="T2212" s="1"/>
      <c r="U2212" s="1"/>
      <c r="V2212" s="1"/>
      <c r="W2212" s="1"/>
      <c r="X2212" s="1"/>
      <c r="Y2212" s="1"/>
      <c r="AB2212" s="1"/>
      <c r="AC2212" s="1"/>
      <c r="AD2212" s="1"/>
      <c r="AE2212" s="1"/>
      <c r="AF2212" s="1"/>
      <c r="AG2212" s="1"/>
      <c r="AH2212" s="1"/>
      <c r="AI2212" s="1"/>
      <c r="AJ2212" s="1"/>
      <c r="AK2212" s="1"/>
      <c r="AL2212" s="1"/>
      <c r="AM2212" s="1"/>
    </row>
    <row r="2213" spans="16:39" x14ac:dyDescent="0.25">
      <c r="P2213" s="49"/>
      <c r="Q2213" s="1"/>
      <c r="S2213" s="1"/>
      <c r="T2213" s="1"/>
      <c r="U2213" s="1"/>
      <c r="V2213" s="1"/>
      <c r="W2213" s="1"/>
      <c r="X2213" s="1"/>
      <c r="Y2213" s="1"/>
      <c r="AB2213" s="1"/>
      <c r="AC2213" s="1"/>
      <c r="AD2213" s="1"/>
      <c r="AE2213" s="1"/>
      <c r="AF2213" s="1"/>
      <c r="AG2213" s="1"/>
      <c r="AH2213" s="1"/>
      <c r="AI2213" s="1"/>
      <c r="AJ2213" s="1"/>
      <c r="AK2213" s="1"/>
      <c r="AL2213" s="1"/>
      <c r="AM2213" s="1"/>
    </row>
    <row r="2214" spans="16:39" x14ac:dyDescent="0.25">
      <c r="P2214" s="49"/>
      <c r="Q2214" s="1"/>
      <c r="S2214" s="1"/>
      <c r="T2214" s="1"/>
      <c r="U2214" s="1"/>
      <c r="V2214" s="1"/>
      <c r="W2214" s="1"/>
      <c r="X2214" s="1"/>
      <c r="Y2214" s="1"/>
      <c r="AB2214" s="1"/>
      <c r="AC2214" s="1"/>
      <c r="AD2214" s="1"/>
      <c r="AE2214" s="1"/>
      <c r="AF2214" s="1"/>
      <c r="AG2214" s="1"/>
      <c r="AH2214" s="1"/>
      <c r="AI2214" s="1"/>
      <c r="AJ2214" s="1"/>
      <c r="AK2214" s="1"/>
      <c r="AL2214" s="1"/>
      <c r="AM2214" s="1"/>
    </row>
    <row r="2215" spans="16:39" x14ac:dyDescent="0.25">
      <c r="P2215" s="49"/>
      <c r="Q2215" s="1"/>
      <c r="S2215" s="1"/>
      <c r="T2215" s="1"/>
      <c r="U2215" s="1"/>
      <c r="V2215" s="1"/>
      <c r="W2215" s="1"/>
      <c r="X2215" s="1"/>
      <c r="Y2215" s="1"/>
      <c r="AB2215" s="1"/>
      <c r="AC2215" s="1"/>
      <c r="AD2215" s="1"/>
      <c r="AE2215" s="1"/>
      <c r="AF2215" s="1"/>
      <c r="AG2215" s="1"/>
      <c r="AH2215" s="1"/>
      <c r="AI2215" s="1"/>
      <c r="AJ2215" s="1"/>
      <c r="AK2215" s="1"/>
      <c r="AL2215" s="1"/>
      <c r="AM2215" s="1"/>
    </row>
    <row r="2216" spans="16:39" x14ac:dyDescent="0.25">
      <c r="P2216" s="49"/>
      <c r="Q2216" s="1"/>
      <c r="S2216" s="1"/>
      <c r="T2216" s="1"/>
      <c r="U2216" s="1"/>
      <c r="V2216" s="1"/>
      <c r="W2216" s="1"/>
      <c r="X2216" s="1"/>
      <c r="Y2216" s="1"/>
      <c r="AB2216" s="1"/>
      <c r="AC2216" s="1"/>
      <c r="AD2216" s="1"/>
      <c r="AE2216" s="1"/>
      <c r="AF2216" s="1"/>
      <c r="AG2216" s="1"/>
      <c r="AH2216" s="1"/>
      <c r="AI2216" s="1"/>
      <c r="AJ2216" s="1"/>
      <c r="AK2216" s="1"/>
      <c r="AL2216" s="1"/>
      <c r="AM2216" s="1"/>
    </row>
    <row r="2217" spans="16:39" x14ac:dyDescent="0.25">
      <c r="P2217" s="49"/>
      <c r="Q2217" s="1"/>
      <c r="S2217" s="1"/>
      <c r="T2217" s="1"/>
      <c r="U2217" s="1"/>
      <c r="V2217" s="1"/>
      <c r="W2217" s="1"/>
      <c r="X2217" s="1"/>
      <c r="Y2217" s="1"/>
      <c r="AB2217" s="1"/>
      <c r="AC2217" s="1"/>
      <c r="AD2217" s="1"/>
      <c r="AE2217" s="1"/>
      <c r="AF2217" s="1"/>
      <c r="AG2217" s="1"/>
      <c r="AH2217" s="1"/>
      <c r="AI2217" s="1"/>
      <c r="AJ2217" s="1"/>
      <c r="AK2217" s="1"/>
      <c r="AL2217" s="1"/>
      <c r="AM2217" s="1"/>
    </row>
    <row r="2218" spans="16:39" x14ac:dyDescent="0.25">
      <c r="P2218" s="49"/>
      <c r="Q2218" s="1"/>
      <c r="S2218" s="1"/>
      <c r="T2218" s="1"/>
      <c r="U2218" s="1"/>
      <c r="V2218" s="1"/>
      <c r="W2218" s="1"/>
      <c r="X2218" s="1"/>
      <c r="Y2218" s="1"/>
      <c r="AB2218" s="1"/>
      <c r="AC2218" s="1"/>
      <c r="AD2218" s="1"/>
      <c r="AE2218" s="1"/>
      <c r="AF2218" s="1"/>
      <c r="AG2218" s="1"/>
      <c r="AH2218" s="1"/>
      <c r="AI2218" s="1"/>
      <c r="AJ2218" s="1"/>
      <c r="AK2218" s="1"/>
      <c r="AL2218" s="1"/>
      <c r="AM2218" s="1"/>
    </row>
    <row r="2219" spans="16:39" x14ac:dyDescent="0.25">
      <c r="P2219" s="49"/>
      <c r="Q2219" s="1"/>
      <c r="S2219" s="1"/>
      <c r="T2219" s="1"/>
      <c r="U2219" s="1"/>
      <c r="V2219" s="1"/>
      <c r="W2219" s="1"/>
      <c r="X2219" s="1"/>
      <c r="Y2219" s="1"/>
      <c r="AB2219" s="1"/>
      <c r="AC2219" s="1"/>
      <c r="AD2219" s="1"/>
      <c r="AE2219" s="1"/>
      <c r="AF2219" s="1"/>
      <c r="AG2219" s="1"/>
      <c r="AH2219" s="1"/>
      <c r="AI2219" s="1"/>
      <c r="AJ2219" s="1"/>
      <c r="AK2219" s="1"/>
      <c r="AL2219" s="1"/>
      <c r="AM2219" s="1"/>
    </row>
    <row r="2220" spans="16:39" x14ac:dyDescent="0.25">
      <c r="P2220" s="49"/>
      <c r="Q2220" s="1"/>
      <c r="S2220" s="1"/>
      <c r="T2220" s="1"/>
      <c r="U2220" s="1"/>
      <c r="V2220" s="1"/>
      <c r="W2220" s="1"/>
      <c r="X2220" s="1"/>
      <c r="Y2220" s="1"/>
      <c r="AB2220" s="1"/>
      <c r="AC2220" s="1"/>
      <c r="AD2220" s="1"/>
      <c r="AE2220" s="1"/>
      <c r="AF2220" s="1"/>
      <c r="AG2220" s="1"/>
      <c r="AH2220" s="1"/>
      <c r="AI2220" s="1"/>
      <c r="AJ2220" s="1"/>
      <c r="AK2220" s="1"/>
      <c r="AL2220" s="1"/>
      <c r="AM2220" s="1"/>
    </row>
    <row r="2221" spans="16:39" x14ac:dyDescent="0.25">
      <c r="P2221" s="49"/>
      <c r="Q2221" s="1"/>
      <c r="S2221" s="1"/>
      <c r="T2221" s="1"/>
      <c r="U2221" s="1"/>
      <c r="V2221" s="1"/>
      <c r="W2221" s="1"/>
      <c r="X2221" s="1"/>
      <c r="Y2221" s="1"/>
      <c r="AB2221" s="1"/>
      <c r="AC2221" s="1"/>
      <c r="AD2221" s="1"/>
      <c r="AE2221" s="1"/>
      <c r="AF2221" s="1"/>
      <c r="AG2221" s="1"/>
      <c r="AH2221" s="1"/>
      <c r="AI2221" s="1"/>
      <c r="AJ2221" s="1"/>
      <c r="AK2221" s="1"/>
      <c r="AL2221" s="1"/>
      <c r="AM2221" s="1"/>
    </row>
    <row r="2222" spans="16:39" x14ac:dyDescent="0.25">
      <c r="P2222" s="49"/>
      <c r="Q2222" s="1"/>
      <c r="S2222" s="1"/>
      <c r="T2222" s="1"/>
      <c r="U2222" s="1"/>
      <c r="V2222" s="1"/>
      <c r="W2222" s="1"/>
      <c r="X2222" s="1"/>
      <c r="Y2222" s="1"/>
      <c r="AB2222" s="1"/>
      <c r="AC2222" s="1"/>
      <c r="AD2222" s="1"/>
      <c r="AE2222" s="1"/>
      <c r="AF2222" s="1"/>
      <c r="AG2222" s="1"/>
      <c r="AH2222" s="1"/>
      <c r="AI2222" s="1"/>
      <c r="AJ2222" s="1"/>
      <c r="AK2222" s="1"/>
      <c r="AL2222" s="1"/>
      <c r="AM2222" s="1"/>
    </row>
    <row r="2223" spans="16:39" x14ac:dyDescent="0.25">
      <c r="P2223" s="49"/>
      <c r="Q2223" s="1"/>
      <c r="S2223" s="1"/>
      <c r="T2223" s="1"/>
      <c r="U2223" s="1"/>
      <c r="V2223" s="1"/>
      <c r="W2223" s="1"/>
      <c r="X2223" s="1"/>
      <c r="Y2223" s="1"/>
      <c r="AB2223" s="1"/>
      <c r="AC2223" s="1"/>
      <c r="AD2223" s="1"/>
      <c r="AE2223" s="1"/>
      <c r="AF2223" s="1"/>
      <c r="AG2223" s="1"/>
      <c r="AH2223" s="1"/>
      <c r="AI2223" s="1"/>
      <c r="AJ2223" s="1"/>
      <c r="AK2223" s="1"/>
      <c r="AL2223" s="1"/>
      <c r="AM2223" s="1"/>
    </row>
    <row r="2224" spans="16:39" x14ac:dyDescent="0.25">
      <c r="P2224" s="49"/>
      <c r="Q2224" s="1"/>
      <c r="S2224" s="1"/>
      <c r="T2224" s="1"/>
      <c r="U2224" s="1"/>
      <c r="V2224" s="1"/>
      <c r="W2224" s="1"/>
      <c r="X2224" s="1"/>
      <c r="Y2224" s="1"/>
      <c r="AB2224" s="1"/>
      <c r="AC2224" s="1"/>
      <c r="AD2224" s="1"/>
      <c r="AE2224" s="1"/>
      <c r="AF2224" s="1"/>
      <c r="AG2224" s="1"/>
      <c r="AH2224" s="1"/>
      <c r="AI2224" s="1"/>
      <c r="AJ2224" s="1"/>
      <c r="AK2224" s="1"/>
      <c r="AL2224" s="1"/>
      <c r="AM2224" s="1"/>
    </row>
    <row r="2225" spans="16:39" x14ac:dyDescent="0.25">
      <c r="P2225" s="49"/>
      <c r="Q2225" s="1"/>
      <c r="S2225" s="1"/>
      <c r="T2225" s="1"/>
      <c r="U2225" s="1"/>
      <c r="V2225" s="1"/>
      <c r="W2225" s="1"/>
      <c r="X2225" s="1"/>
      <c r="Y2225" s="1"/>
      <c r="AB2225" s="1"/>
      <c r="AC2225" s="1"/>
      <c r="AD2225" s="1"/>
      <c r="AE2225" s="1"/>
      <c r="AF2225" s="1"/>
      <c r="AG2225" s="1"/>
      <c r="AH2225" s="1"/>
      <c r="AI2225" s="1"/>
      <c r="AJ2225" s="1"/>
      <c r="AK2225" s="1"/>
      <c r="AL2225" s="1"/>
      <c r="AM2225" s="1"/>
    </row>
    <row r="2226" spans="16:39" x14ac:dyDescent="0.25">
      <c r="P2226" s="49"/>
      <c r="Q2226" s="1"/>
      <c r="S2226" s="1"/>
      <c r="T2226" s="1"/>
      <c r="U2226" s="1"/>
      <c r="V2226" s="1"/>
      <c r="W2226" s="1"/>
      <c r="X2226" s="1"/>
      <c r="Y2226" s="1"/>
      <c r="AB2226" s="1"/>
      <c r="AC2226" s="1"/>
      <c r="AD2226" s="1"/>
      <c r="AE2226" s="1"/>
      <c r="AF2226" s="1"/>
      <c r="AG2226" s="1"/>
      <c r="AH2226" s="1"/>
      <c r="AI2226" s="1"/>
      <c r="AJ2226" s="1"/>
      <c r="AK2226" s="1"/>
      <c r="AL2226" s="1"/>
      <c r="AM2226" s="1"/>
    </row>
    <row r="2227" spans="16:39" x14ac:dyDescent="0.25">
      <c r="P2227" s="49"/>
      <c r="Q2227" s="1"/>
      <c r="S2227" s="1"/>
      <c r="T2227" s="1"/>
      <c r="U2227" s="1"/>
      <c r="V2227" s="1"/>
      <c r="W2227" s="1"/>
      <c r="X2227" s="1"/>
      <c r="Y2227" s="1"/>
      <c r="AB2227" s="1"/>
      <c r="AC2227" s="1"/>
      <c r="AD2227" s="1"/>
      <c r="AE2227" s="1"/>
      <c r="AF2227" s="1"/>
      <c r="AG2227" s="1"/>
      <c r="AH2227" s="1"/>
      <c r="AI2227" s="1"/>
      <c r="AJ2227" s="1"/>
      <c r="AK2227" s="1"/>
      <c r="AL2227" s="1"/>
      <c r="AM2227" s="1"/>
    </row>
    <row r="2228" spans="16:39" x14ac:dyDescent="0.25">
      <c r="P2228" s="49"/>
      <c r="Q2228" s="1"/>
      <c r="S2228" s="1"/>
      <c r="T2228" s="1"/>
      <c r="U2228" s="1"/>
      <c r="V2228" s="1"/>
      <c r="W2228" s="1"/>
      <c r="X2228" s="1"/>
      <c r="Y2228" s="1"/>
      <c r="AB2228" s="1"/>
      <c r="AC2228" s="1"/>
      <c r="AD2228" s="1"/>
      <c r="AE2228" s="1"/>
      <c r="AF2228" s="1"/>
      <c r="AG2228" s="1"/>
      <c r="AH2228" s="1"/>
      <c r="AI2228" s="1"/>
      <c r="AJ2228" s="1"/>
      <c r="AK2228" s="1"/>
      <c r="AL2228" s="1"/>
      <c r="AM2228" s="1"/>
    </row>
    <row r="2229" spans="16:39" x14ac:dyDescent="0.25">
      <c r="P2229" s="49"/>
      <c r="Q2229" s="1"/>
      <c r="S2229" s="1"/>
      <c r="T2229" s="1"/>
      <c r="U2229" s="1"/>
      <c r="V2229" s="1"/>
      <c r="W2229" s="1"/>
      <c r="X2229" s="1"/>
      <c r="Y2229" s="1"/>
      <c r="AB2229" s="1"/>
      <c r="AC2229" s="1"/>
      <c r="AD2229" s="1"/>
      <c r="AE2229" s="1"/>
      <c r="AF2229" s="1"/>
      <c r="AG2229" s="1"/>
      <c r="AH2229" s="1"/>
      <c r="AI2229" s="1"/>
      <c r="AJ2229" s="1"/>
      <c r="AK2229" s="1"/>
      <c r="AL2229" s="1"/>
      <c r="AM2229" s="1"/>
    </row>
    <row r="2230" spans="16:39" x14ac:dyDescent="0.25">
      <c r="P2230" s="49"/>
      <c r="Q2230" s="1"/>
      <c r="S2230" s="1"/>
      <c r="T2230" s="1"/>
      <c r="U2230" s="1"/>
      <c r="V2230" s="1"/>
      <c r="W2230" s="1"/>
      <c r="X2230" s="1"/>
      <c r="Y2230" s="1"/>
      <c r="AB2230" s="1"/>
      <c r="AC2230" s="1"/>
      <c r="AD2230" s="1"/>
      <c r="AE2230" s="1"/>
      <c r="AF2230" s="1"/>
      <c r="AG2230" s="1"/>
      <c r="AH2230" s="1"/>
      <c r="AI2230" s="1"/>
      <c r="AJ2230" s="1"/>
      <c r="AK2230" s="1"/>
      <c r="AL2230" s="1"/>
      <c r="AM2230" s="1"/>
    </row>
    <row r="2231" spans="16:39" x14ac:dyDescent="0.25">
      <c r="P2231" s="49"/>
      <c r="Q2231" s="1"/>
      <c r="S2231" s="1"/>
      <c r="T2231" s="1"/>
      <c r="U2231" s="1"/>
      <c r="V2231" s="1"/>
      <c r="W2231" s="1"/>
      <c r="X2231" s="1"/>
      <c r="Y2231" s="1"/>
      <c r="AB2231" s="1"/>
      <c r="AC2231" s="1"/>
      <c r="AD2231" s="1"/>
      <c r="AE2231" s="1"/>
      <c r="AF2231" s="1"/>
      <c r="AG2231" s="1"/>
      <c r="AH2231" s="1"/>
      <c r="AI2231" s="1"/>
      <c r="AJ2231" s="1"/>
      <c r="AK2231" s="1"/>
      <c r="AL2231" s="1"/>
      <c r="AM2231" s="1"/>
    </row>
    <row r="2232" spans="16:39" x14ac:dyDescent="0.25">
      <c r="P2232" s="49"/>
      <c r="Q2232" s="1"/>
      <c r="S2232" s="1"/>
      <c r="T2232" s="1"/>
      <c r="U2232" s="1"/>
      <c r="V2232" s="1"/>
      <c r="W2232" s="1"/>
      <c r="X2232" s="1"/>
      <c r="Y2232" s="1"/>
      <c r="AB2232" s="1"/>
      <c r="AC2232" s="1"/>
      <c r="AD2232" s="1"/>
      <c r="AE2232" s="1"/>
      <c r="AF2232" s="1"/>
      <c r="AG2232" s="1"/>
      <c r="AH2232" s="1"/>
      <c r="AI2232" s="1"/>
      <c r="AJ2232" s="1"/>
      <c r="AK2232" s="1"/>
      <c r="AL2232" s="1"/>
      <c r="AM2232" s="1"/>
    </row>
    <row r="2233" spans="16:39" x14ac:dyDescent="0.25">
      <c r="P2233" s="49"/>
      <c r="Q2233" s="1"/>
      <c r="S2233" s="1"/>
      <c r="T2233" s="1"/>
      <c r="U2233" s="1"/>
      <c r="V2233" s="1"/>
      <c r="W2233" s="1"/>
      <c r="X2233" s="1"/>
      <c r="Y2233" s="1"/>
      <c r="AB2233" s="1"/>
      <c r="AC2233" s="1"/>
      <c r="AD2233" s="1"/>
      <c r="AE2233" s="1"/>
      <c r="AF2233" s="1"/>
      <c r="AG2233" s="1"/>
      <c r="AH2233" s="1"/>
      <c r="AI2233" s="1"/>
      <c r="AJ2233" s="1"/>
      <c r="AK2233" s="1"/>
      <c r="AL2233" s="1"/>
      <c r="AM2233" s="1"/>
    </row>
    <row r="2234" spans="16:39" x14ac:dyDescent="0.25">
      <c r="P2234" s="49"/>
      <c r="Q2234" s="1"/>
      <c r="S2234" s="1"/>
      <c r="T2234" s="1"/>
      <c r="U2234" s="1"/>
      <c r="V2234" s="1"/>
      <c r="W2234" s="1"/>
      <c r="X2234" s="1"/>
      <c r="Y2234" s="1"/>
      <c r="AB2234" s="1"/>
      <c r="AC2234" s="1"/>
      <c r="AD2234" s="1"/>
      <c r="AE2234" s="1"/>
      <c r="AF2234" s="1"/>
      <c r="AG2234" s="1"/>
      <c r="AH2234" s="1"/>
      <c r="AI2234" s="1"/>
      <c r="AJ2234" s="1"/>
      <c r="AK2234" s="1"/>
      <c r="AL2234" s="1"/>
      <c r="AM2234" s="1"/>
    </row>
    <row r="2235" spans="16:39" x14ac:dyDescent="0.25">
      <c r="P2235" s="49"/>
      <c r="Q2235" s="1"/>
      <c r="S2235" s="1"/>
      <c r="T2235" s="1"/>
      <c r="U2235" s="1"/>
      <c r="V2235" s="1"/>
      <c r="W2235" s="1"/>
      <c r="X2235" s="1"/>
      <c r="Y2235" s="1"/>
      <c r="AB2235" s="1"/>
      <c r="AC2235" s="1"/>
      <c r="AD2235" s="1"/>
      <c r="AE2235" s="1"/>
      <c r="AF2235" s="1"/>
      <c r="AG2235" s="1"/>
      <c r="AH2235" s="1"/>
      <c r="AI2235" s="1"/>
      <c r="AJ2235" s="1"/>
      <c r="AK2235" s="1"/>
      <c r="AL2235" s="1"/>
      <c r="AM2235" s="1"/>
    </row>
    <row r="2236" spans="16:39" x14ac:dyDescent="0.25">
      <c r="P2236" s="49"/>
      <c r="Q2236" s="1"/>
      <c r="S2236" s="1"/>
      <c r="T2236" s="1"/>
      <c r="U2236" s="1"/>
      <c r="V2236" s="1"/>
      <c r="W2236" s="1"/>
      <c r="X2236" s="1"/>
      <c r="Y2236" s="1"/>
      <c r="AB2236" s="1"/>
      <c r="AC2236" s="1"/>
      <c r="AD2236" s="1"/>
      <c r="AE2236" s="1"/>
      <c r="AF2236" s="1"/>
      <c r="AG2236" s="1"/>
      <c r="AH2236" s="1"/>
      <c r="AI2236" s="1"/>
      <c r="AJ2236" s="1"/>
      <c r="AK2236" s="1"/>
      <c r="AL2236" s="1"/>
      <c r="AM2236" s="1"/>
    </row>
    <row r="2237" spans="16:39" x14ac:dyDescent="0.25">
      <c r="P2237" s="49"/>
      <c r="Q2237" s="1"/>
      <c r="S2237" s="1"/>
      <c r="T2237" s="1"/>
      <c r="U2237" s="1"/>
      <c r="V2237" s="1"/>
      <c r="W2237" s="1"/>
      <c r="X2237" s="1"/>
      <c r="Y2237" s="1"/>
      <c r="AB2237" s="1"/>
      <c r="AC2237" s="1"/>
      <c r="AD2237" s="1"/>
      <c r="AE2237" s="1"/>
      <c r="AF2237" s="1"/>
      <c r="AG2237" s="1"/>
      <c r="AH2237" s="1"/>
      <c r="AI2237" s="1"/>
      <c r="AJ2237" s="1"/>
      <c r="AK2237" s="1"/>
      <c r="AL2237" s="1"/>
      <c r="AM2237" s="1"/>
    </row>
    <row r="2238" spans="16:39" x14ac:dyDescent="0.25">
      <c r="P2238" s="49"/>
      <c r="Q2238" s="1"/>
      <c r="S2238" s="1"/>
      <c r="T2238" s="1"/>
      <c r="U2238" s="1"/>
      <c r="V2238" s="1"/>
      <c r="W2238" s="1"/>
      <c r="X2238" s="1"/>
      <c r="Y2238" s="1"/>
      <c r="AB2238" s="1"/>
      <c r="AC2238" s="1"/>
      <c r="AD2238" s="1"/>
      <c r="AE2238" s="1"/>
      <c r="AF2238" s="1"/>
      <c r="AG2238" s="1"/>
      <c r="AH2238" s="1"/>
      <c r="AI2238" s="1"/>
      <c r="AJ2238" s="1"/>
      <c r="AK2238" s="1"/>
      <c r="AL2238" s="1"/>
      <c r="AM2238" s="1"/>
    </row>
    <row r="2239" spans="16:39" x14ac:dyDescent="0.25">
      <c r="P2239" s="49"/>
      <c r="Q2239" s="1"/>
      <c r="S2239" s="1"/>
      <c r="T2239" s="1"/>
      <c r="U2239" s="1"/>
      <c r="V2239" s="1"/>
      <c r="W2239" s="1"/>
      <c r="X2239" s="1"/>
      <c r="Y2239" s="1"/>
      <c r="AB2239" s="1"/>
      <c r="AC2239" s="1"/>
      <c r="AD2239" s="1"/>
      <c r="AE2239" s="1"/>
      <c r="AF2239" s="1"/>
      <c r="AG2239" s="1"/>
      <c r="AH2239" s="1"/>
      <c r="AI2239" s="1"/>
      <c r="AJ2239" s="1"/>
      <c r="AK2239" s="1"/>
      <c r="AL2239" s="1"/>
      <c r="AM2239" s="1"/>
    </row>
    <row r="2240" spans="16:39" x14ac:dyDescent="0.25">
      <c r="P2240" s="49"/>
      <c r="Q2240" s="1"/>
      <c r="S2240" s="1"/>
      <c r="T2240" s="1"/>
      <c r="U2240" s="1"/>
      <c r="V2240" s="1"/>
      <c r="W2240" s="1"/>
      <c r="X2240" s="1"/>
      <c r="Y2240" s="1"/>
      <c r="AB2240" s="1"/>
      <c r="AC2240" s="1"/>
      <c r="AD2240" s="1"/>
      <c r="AE2240" s="1"/>
      <c r="AF2240" s="1"/>
      <c r="AG2240" s="1"/>
      <c r="AH2240" s="1"/>
      <c r="AI2240" s="1"/>
      <c r="AJ2240" s="1"/>
      <c r="AK2240" s="1"/>
      <c r="AL2240" s="1"/>
      <c r="AM2240" s="1"/>
    </row>
    <row r="2241" spans="16:39" x14ac:dyDescent="0.25">
      <c r="P2241" s="49"/>
      <c r="Q2241" s="1"/>
      <c r="S2241" s="1"/>
      <c r="T2241" s="1"/>
      <c r="U2241" s="1"/>
      <c r="V2241" s="1"/>
      <c r="W2241" s="1"/>
      <c r="X2241" s="1"/>
      <c r="Y2241" s="1"/>
      <c r="AB2241" s="1"/>
      <c r="AC2241" s="1"/>
      <c r="AD2241" s="1"/>
      <c r="AE2241" s="1"/>
      <c r="AF2241" s="1"/>
      <c r="AG2241" s="1"/>
      <c r="AH2241" s="1"/>
      <c r="AI2241" s="1"/>
      <c r="AJ2241" s="1"/>
      <c r="AK2241" s="1"/>
      <c r="AL2241" s="1"/>
      <c r="AM2241" s="1"/>
    </row>
    <row r="2242" spans="16:39" x14ac:dyDescent="0.25">
      <c r="P2242" s="49"/>
      <c r="Q2242" s="1"/>
      <c r="S2242" s="1"/>
      <c r="T2242" s="1"/>
      <c r="U2242" s="1"/>
      <c r="V2242" s="1"/>
      <c r="W2242" s="1"/>
      <c r="X2242" s="1"/>
      <c r="Y2242" s="1"/>
      <c r="AB2242" s="1"/>
      <c r="AC2242" s="1"/>
      <c r="AD2242" s="1"/>
      <c r="AE2242" s="1"/>
      <c r="AF2242" s="1"/>
      <c r="AG2242" s="1"/>
      <c r="AH2242" s="1"/>
      <c r="AI2242" s="1"/>
      <c r="AJ2242" s="1"/>
      <c r="AK2242" s="1"/>
      <c r="AL2242" s="1"/>
      <c r="AM2242" s="1"/>
    </row>
    <row r="2243" spans="16:39" x14ac:dyDescent="0.25">
      <c r="P2243" s="49"/>
      <c r="Q2243" s="1"/>
      <c r="S2243" s="1"/>
      <c r="T2243" s="1"/>
      <c r="U2243" s="1"/>
      <c r="V2243" s="1"/>
      <c r="W2243" s="1"/>
      <c r="X2243" s="1"/>
      <c r="Y2243" s="1"/>
      <c r="AB2243" s="1"/>
      <c r="AC2243" s="1"/>
      <c r="AD2243" s="1"/>
      <c r="AE2243" s="1"/>
      <c r="AF2243" s="1"/>
      <c r="AG2243" s="1"/>
      <c r="AH2243" s="1"/>
      <c r="AI2243" s="1"/>
      <c r="AJ2243" s="1"/>
      <c r="AK2243" s="1"/>
      <c r="AL2243" s="1"/>
      <c r="AM2243" s="1"/>
    </row>
    <row r="2244" spans="16:39" x14ac:dyDescent="0.25">
      <c r="P2244" s="49"/>
      <c r="Q2244" s="1"/>
      <c r="S2244" s="1"/>
      <c r="T2244" s="1"/>
      <c r="U2244" s="1"/>
      <c r="V2244" s="1"/>
      <c r="W2244" s="1"/>
      <c r="X2244" s="1"/>
      <c r="Y2244" s="1"/>
      <c r="AB2244" s="1"/>
      <c r="AC2244" s="1"/>
      <c r="AD2244" s="1"/>
      <c r="AE2244" s="1"/>
      <c r="AF2244" s="1"/>
      <c r="AG2244" s="1"/>
      <c r="AH2244" s="1"/>
      <c r="AI2244" s="1"/>
      <c r="AJ2244" s="1"/>
      <c r="AK2244" s="1"/>
      <c r="AL2244" s="1"/>
      <c r="AM2244" s="1"/>
    </row>
    <row r="2245" spans="16:39" x14ac:dyDescent="0.25">
      <c r="P2245" s="49"/>
      <c r="Q2245" s="1"/>
      <c r="S2245" s="1"/>
      <c r="T2245" s="1"/>
      <c r="U2245" s="1"/>
      <c r="V2245" s="1"/>
      <c r="W2245" s="1"/>
      <c r="X2245" s="1"/>
      <c r="Y2245" s="1"/>
      <c r="AB2245" s="1"/>
      <c r="AC2245" s="1"/>
      <c r="AD2245" s="1"/>
      <c r="AE2245" s="1"/>
      <c r="AF2245" s="1"/>
      <c r="AG2245" s="1"/>
      <c r="AH2245" s="1"/>
      <c r="AI2245" s="1"/>
      <c r="AJ2245" s="1"/>
      <c r="AK2245" s="1"/>
      <c r="AL2245" s="1"/>
      <c r="AM2245" s="1"/>
    </row>
    <row r="2246" spans="16:39" x14ac:dyDescent="0.25">
      <c r="P2246" s="49"/>
      <c r="Q2246" s="1"/>
      <c r="S2246" s="1"/>
      <c r="T2246" s="1"/>
      <c r="U2246" s="1"/>
      <c r="V2246" s="1"/>
      <c r="W2246" s="1"/>
      <c r="X2246" s="1"/>
      <c r="Y2246" s="1"/>
      <c r="AB2246" s="1"/>
      <c r="AC2246" s="1"/>
      <c r="AD2246" s="1"/>
      <c r="AE2246" s="1"/>
      <c r="AF2246" s="1"/>
      <c r="AG2246" s="1"/>
      <c r="AH2246" s="1"/>
      <c r="AI2246" s="1"/>
      <c r="AJ2246" s="1"/>
      <c r="AK2246" s="1"/>
      <c r="AL2246" s="1"/>
      <c r="AM2246" s="1"/>
    </row>
    <row r="2247" spans="16:39" x14ac:dyDescent="0.25">
      <c r="P2247" s="49"/>
      <c r="Q2247" s="1"/>
      <c r="S2247" s="1"/>
      <c r="T2247" s="1"/>
      <c r="U2247" s="1"/>
      <c r="V2247" s="1"/>
      <c r="W2247" s="1"/>
      <c r="X2247" s="1"/>
      <c r="Y2247" s="1"/>
      <c r="AB2247" s="1"/>
      <c r="AC2247" s="1"/>
      <c r="AD2247" s="1"/>
      <c r="AE2247" s="1"/>
      <c r="AF2247" s="1"/>
      <c r="AG2247" s="1"/>
      <c r="AH2247" s="1"/>
      <c r="AI2247" s="1"/>
      <c r="AJ2247" s="1"/>
      <c r="AK2247" s="1"/>
      <c r="AL2247" s="1"/>
      <c r="AM2247" s="1"/>
    </row>
    <row r="2248" spans="16:39" x14ac:dyDescent="0.25">
      <c r="P2248" s="49"/>
      <c r="Q2248" s="1"/>
      <c r="S2248" s="1"/>
      <c r="T2248" s="1"/>
      <c r="U2248" s="1"/>
      <c r="V2248" s="1"/>
      <c r="W2248" s="1"/>
      <c r="X2248" s="1"/>
      <c r="Y2248" s="1"/>
      <c r="AB2248" s="1"/>
      <c r="AC2248" s="1"/>
      <c r="AD2248" s="1"/>
      <c r="AE2248" s="1"/>
      <c r="AF2248" s="1"/>
      <c r="AG2248" s="1"/>
      <c r="AH2248" s="1"/>
      <c r="AI2248" s="1"/>
      <c r="AJ2248" s="1"/>
      <c r="AK2248" s="1"/>
      <c r="AL2248" s="1"/>
      <c r="AM2248" s="1"/>
    </row>
    <row r="2249" spans="16:39" x14ac:dyDescent="0.25">
      <c r="P2249" s="49"/>
      <c r="Q2249" s="1"/>
      <c r="S2249" s="1"/>
      <c r="T2249" s="1"/>
      <c r="U2249" s="1"/>
      <c r="V2249" s="1"/>
      <c r="W2249" s="1"/>
      <c r="X2249" s="1"/>
      <c r="Y2249" s="1"/>
      <c r="AB2249" s="1"/>
      <c r="AC2249" s="1"/>
      <c r="AD2249" s="1"/>
      <c r="AE2249" s="1"/>
      <c r="AF2249" s="1"/>
      <c r="AG2249" s="1"/>
      <c r="AH2249" s="1"/>
      <c r="AI2249" s="1"/>
      <c r="AJ2249" s="1"/>
      <c r="AK2249" s="1"/>
      <c r="AL2249" s="1"/>
      <c r="AM2249" s="1"/>
    </row>
    <row r="2250" spans="16:39" x14ac:dyDescent="0.25">
      <c r="P2250" s="49"/>
      <c r="Q2250" s="1"/>
      <c r="S2250" s="1"/>
      <c r="T2250" s="1"/>
      <c r="U2250" s="1"/>
      <c r="V2250" s="1"/>
      <c r="W2250" s="1"/>
      <c r="X2250" s="1"/>
      <c r="Y2250" s="1"/>
      <c r="AB2250" s="1"/>
      <c r="AC2250" s="1"/>
      <c r="AD2250" s="1"/>
      <c r="AE2250" s="1"/>
      <c r="AF2250" s="1"/>
      <c r="AG2250" s="1"/>
      <c r="AH2250" s="1"/>
      <c r="AI2250" s="1"/>
      <c r="AJ2250" s="1"/>
      <c r="AK2250" s="1"/>
      <c r="AL2250" s="1"/>
      <c r="AM2250" s="1"/>
    </row>
    <row r="2251" spans="16:39" x14ac:dyDescent="0.25">
      <c r="P2251" s="49"/>
      <c r="Q2251" s="1"/>
      <c r="S2251" s="1"/>
      <c r="T2251" s="1"/>
      <c r="U2251" s="1"/>
      <c r="V2251" s="1"/>
      <c r="W2251" s="1"/>
      <c r="X2251" s="1"/>
      <c r="Y2251" s="1"/>
      <c r="AB2251" s="1"/>
      <c r="AC2251" s="1"/>
      <c r="AD2251" s="1"/>
      <c r="AE2251" s="1"/>
      <c r="AF2251" s="1"/>
      <c r="AG2251" s="1"/>
      <c r="AH2251" s="1"/>
      <c r="AI2251" s="1"/>
      <c r="AJ2251" s="1"/>
      <c r="AK2251" s="1"/>
      <c r="AL2251" s="1"/>
      <c r="AM2251" s="1"/>
    </row>
    <row r="2252" spans="16:39" x14ac:dyDescent="0.25">
      <c r="P2252" s="49"/>
      <c r="Q2252" s="1"/>
      <c r="S2252" s="1"/>
      <c r="T2252" s="1"/>
      <c r="U2252" s="1"/>
      <c r="V2252" s="1"/>
      <c r="W2252" s="1"/>
      <c r="X2252" s="1"/>
      <c r="Y2252" s="1"/>
      <c r="AB2252" s="1"/>
      <c r="AC2252" s="1"/>
      <c r="AD2252" s="1"/>
      <c r="AE2252" s="1"/>
      <c r="AF2252" s="1"/>
      <c r="AG2252" s="1"/>
      <c r="AH2252" s="1"/>
      <c r="AI2252" s="1"/>
      <c r="AJ2252" s="1"/>
      <c r="AK2252" s="1"/>
      <c r="AL2252" s="1"/>
      <c r="AM2252" s="1"/>
    </row>
    <row r="2253" spans="16:39" x14ac:dyDescent="0.25">
      <c r="P2253" s="49"/>
      <c r="Q2253" s="1"/>
      <c r="S2253" s="1"/>
      <c r="T2253" s="1"/>
      <c r="U2253" s="1"/>
      <c r="V2253" s="1"/>
      <c r="W2253" s="1"/>
      <c r="X2253" s="1"/>
      <c r="Y2253" s="1"/>
      <c r="AB2253" s="1"/>
      <c r="AC2253" s="1"/>
      <c r="AD2253" s="1"/>
      <c r="AE2253" s="1"/>
      <c r="AF2253" s="1"/>
      <c r="AG2253" s="1"/>
      <c r="AH2253" s="1"/>
      <c r="AI2253" s="1"/>
      <c r="AJ2253" s="1"/>
      <c r="AK2253" s="1"/>
      <c r="AL2253" s="1"/>
      <c r="AM2253" s="1"/>
    </row>
    <row r="2254" spans="16:39" x14ac:dyDescent="0.25">
      <c r="P2254" s="49"/>
      <c r="Q2254" s="1"/>
      <c r="S2254" s="1"/>
      <c r="T2254" s="1"/>
      <c r="U2254" s="1"/>
      <c r="V2254" s="1"/>
      <c r="W2254" s="1"/>
      <c r="X2254" s="1"/>
      <c r="Y2254" s="1"/>
      <c r="AB2254" s="1"/>
      <c r="AC2254" s="1"/>
      <c r="AD2254" s="1"/>
      <c r="AE2254" s="1"/>
      <c r="AF2254" s="1"/>
      <c r="AG2254" s="1"/>
      <c r="AH2254" s="1"/>
      <c r="AI2254" s="1"/>
      <c r="AJ2254" s="1"/>
      <c r="AK2254" s="1"/>
      <c r="AL2254" s="1"/>
      <c r="AM2254" s="1"/>
    </row>
    <row r="2255" spans="16:39" x14ac:dyDescent="0.25">
      <c r="P2255" s="49"/>
      <c r="Q2255" s="1"/>
      <c r="S2255" s="1"/>
      <c r="T2255" s="1"/>
      <c r="U2255" s="1"/>
      <c r="V2255" s="1"/>
      <c r="W2255" s="1"/>
      <c r="X2255" s="1"/>
      <c r="Y2255" s="1"/>
      <c r="AB2255" s="1"/>
      <c r="AC2255" s="1"/>
      <c r="AD2255" s="1"/>
      <c r="AE2255" s="1"/>
      <c r="AF2255" s="1"/>
      <c r="AG2255" s="1"/>
      <c r="AH2255" s="1"/>
      <c r="AI2255" s="1"/>
      <c r="AJ2255" s="1"/>
      <c r="AK2255" s="1"/>
      <c r="AL2255" s="1"/>
      <c r="AM2255" s="1"/>
    </row>
    <row r="2256" spans="16:39" x14ac:dyDescent="0.25">
      <c r="P2256" s="49"/>
      <c r="Q2256" s="1"/>
      <c r="S2256" s="1"/>
      <c r="T2256" s="1"/>
      <c r="U2256" s="1"/>
      <c r="V2256" s="1"/>
      <c r="W2256" s="1"/>
      <c r="X2256" s="1"/>
      <c r="Y2256" s="1"/>
      <c r="AB2256" s="1"/>
      <c r="AC2256" s="1"/>
      <c r="AD2256" s="1"/>
      <c r="AE2256" s="1"/>
      <c r="AF2256" s="1"/>
      <c r="AG2256" s="1"/>
      <c r="AH2256" s="1"/>
      <c r="AI2256" s="1"/>
      <c r="AJ2256" s="1"/>
      <c r="AK2256" s="1"/>
      <c r="AL2256" s="1"/>
      <c r="AM2256" s="1"/>
    </row>
    <row r="2257" spans="16:39" x14ac:dyDescent="0.25">
      <c r="P2257" s="49"/>
      <c r="Q2257" s="1"/>
      <c r="S2257" s="1"/>
      <c r="T2257" s="1"/>
      <c r="U2257" s="1"/>
      <c r="V2257" s="1"/>
      <c r="W2257" s="1"/>
      <c r="X2257" s="1"/>
      <c r="Y2257" s="1"/>
      <c r="AB2257" s="1"/>
      <c r="AC2257" s="1"/>
      <c r="AD2257" s="1"/>
      <c r="AE2257" s="1"/>
      <c r="AF2257" s="1"/>
      <c r="AG2257" s="1"/>
      <c r="AH2257" s="1"/>
      <c r="AI2257" s="1"/>
      <c r="AJ2257" s="1"/>
      <c r="AK2257" s="1"/>
      <c r="AL2257" s="1"/>
      <c r="AM2257" s="1"/>
    </row>
    <row r="2258" spans="16:39" x14ac:dyDescent="0.25">
      <c r="P2258" s="49"/>
      <c r="Q2258" s="1"/>
      <c r="S2258" s="1"/>
      <c r="T2258" s="1"/>
      <c r="U2258" s="1"/>
      <c r="V2258" s="1"/>
      <c r="W2258" s="1"/>
      <c r="X2258" s="1"/>
      <c r="Y2258" s="1"/>
      <c r="AB2258" s="1"/>
      <c r="AC2258" s="1"/>
      <c r="AD2258" s="1"/>
      <c r="AE2258" s="1"/>
      <c r="AF2258" s="1"/>
      <c r="AG2258" s="1"/>
      <c r="AH2258" s="1"/>
      <c r="AI2258" s="1"/>
      <c r="AJ2258" s="1"/>
      <c r="AK2258" s="1"/>
      <c r="AL2258" s="1"/>
      <c r="AM2258" s="1"/>
    </row>
    <row r="2259" spans="16:39" x14ac:dyDescent="0.25">
      <c r="P2259" s="49"/>
      <c r="Q2259" s="1"/>
      <c r="S2259" s="1"/>
      <c r="T2259" s="1"/>
      <c r="U2259" s="1"/>
      <c r="V2259" s="1"/>
      <c r="W2259" s="1"/>
      <c r="X2259" s="1"/>
      <c r="Y2259" s="1"/>
      <c r="AB2259" s="1"/>
      <c r="AC2259" s="1"/>
      <c r="AD2259" s="1"/>
      <c r="AE2259" s="1"/>
      <c r="AF2259" s="1"/>
      <c r="AG2259" s="1"/>
      <c r="AH2259" s="1"/>
      <c r="AI2259" s="1"/>
      <c r="AJ2259" s="1"/>
      <c r="AK2259" s="1"/>
      <c r="AL2259" s="1"/>
      <c r="AM2259" s="1"/>
    </row>
    <row r="2260" spans="16:39" x14ac:dyDescent="0.25">
      <c r="P2260" s="49"/>
      <c r="Q2260" s="1"/>
      <c r="S2260" s="1"/>
      <c r="T2260" s="1"/>
      <c r="U2260" s="1"/>
      <c r="V2260" s="1"/>
      <c r="W2260" s="1"/>
      <c r="X2260" s="1"/>
      <c r="Y2260" s="1"/>
      <c r="AB2260" s="1"/>
      <c r="AC2260" s="1"/>
      <c r="AD2260" s="1"/>
      <c r="AE2260" s="1"/>
      <c r="AF2260" s="1"/>
      <c r="AG2260" s="1"/>
      <c r="AH2260" s="1"/>
      <c r="AI2260" s="1"/>
      <c r="AJ2260" s="1"/>
      <c r="AK2260" s="1"/>
      <c r="AL2260" s="1"/>
      <c r="AM2260" s="1"/>
    </row>
    <row r="2261" spans="16:39" x14ac:dyDescent="0.25">
      <c r="P2261" s="49"/>
      <c r="Q2261" s="1"/>
      <c r="S2261" s="1"/>
      <c r="T2261" s="1"/>
      <c r="U2261" s="1"/>
      <c r="V2261" s="1"/>
      <c r="W2261" s="1"/>
      <c r="X2261" s="1"/>
      <c r="Y2261" s="1"/>
      <c r="AB2261" s="1"/>
      <c r="AC2261" s="1"/>
      <c r="AD2261" s="1"/>
      <c r="AE2261" s="1"/>
      <c r="AF2261" s="1"/>
      <c r="AG2261" s="1"/>
      <c r="AH2261" s="1"/>
      <c r="AI2261" s="1"/>
      <c r="AJ2261" s="1"/>
      <c r="AK2261" s="1"/>
      <c r="AL2261" s="1"/>
      <c r="AM2261" s="1"/>
    </row>
    <row r="2262" spans="16:39" x14ac:dyDescent="0.25">
      <c r="P2262" s="49"/>
      <c r="Q2262" s="1"/>
      <c r="S2262" s="1"/>
      <c r="T2262" s="1"/>
      <c r="U2262" s="1"/>
      <c r="V2262" s="1"/>
      <c r="W2262" s="1"/>
      <c r="X2262" s="1"/>
      <c r="Y2262" s="1"/>
      <c r="AB2262" s="1"/>
      <c r="AC2262" s="1"/>
      <c r="AD2262" s="1"/>
      <c r="AE2262" s="1"/>
      <c r="AF2262" s="1"/>
      <c r="AG2262" s="1"/>
      <c r="AH2262" s="1"/>
      <c r="AI2262" s="1"/>
      <c r="AJ2262" s="1"/>
      <c r="AK2262" s="1"/>
      <c r="AL2262" s="1"/>
      <c r="AM2262" s="1"/>
    </row>
    <row r="2263" spans="16:39" x14ac:dyDescent="0.25">
      <c r="P2263" s="49"/>
      <c r="Q2263" s="1"/>
      <c r="S2263" s="1"/>
      <c r="T2263" s="1"/>
      <c r="U2263" s="1"/>
      <c r="V2263" s="1"/>
      <c r="W2263" s="1"/>
      <c r="X2263" s="1"/>
      <c r="Y2263" s="1"/>
      <c r="AB2263" s="1"/>
      <c r="AC2263" s="1"/>
      <c r="AD2263" s="1"/>
      <c r="AE2263" s="1"/>
      <c r="AF2263" s="1"/>
      <c r="AG2263" s="1"/>
      <c r="AH2263" s="1"/>
      <c r="AI2263" s="1"/>
      <c r="AJ2263" s="1"/>
      <c r="AK2263" s="1"/>
      <c r="AL2263" s="1"/>
      <c r="AM2263" s="1"/>
    </row>
    <row r="2264" spans="16:39" x14ac:dyDescent="0.25">
      <c r="P2264" s="49"/>
      <c r="Q2264" s="1"/>
      <c r="S2264" s="1"/>
      <c r="T2264" s="1"/>
      <c r="U2264" s="1"/>
      <c r="V2264" s="1"/>
      <c r="W2264" s="1"/>
      <c r="X2264" s="1"/>
      <c r="Y2264" s="1"/>
      <c r="AB2264" s="1"/>
      <c r="AC2264" s="1"/>
      <c r="AD2264" s="1"/>
      <c r="AE2264" s="1"/>
      <c r="AF2264" s="1"/>
      <c r="AG2264" s="1"/>
      <c r="AH2264" s="1"/>
      <c r="AI2264" s="1"/>
      <c r="AJ2264" s="1"/>
      <c r="AK2264" s="1"/>
      <c r="AL2264" s="1"/>
      <c r="AM2264" s="1"/>
    </row>
    <row r="2265" spans="16:39" x14ac:dyDescent="0.25">
      <c r="P2265" s="49"/>
      <c r="Q2265" s="1"/>
      <c r="S2265" s="1"/>
      <c r="T2265" s="1"/>
      <c r="U2265" s="1"/>
      <c r="V2265" s="1"/>
      <c r="W2265" s="1"/>
      <c r="X2265" s="1"/>
      <c r="Y2265" s="1"/>
      <c r="AB2265" s="1"/>
      <c r="AC2265" s="1"/>
      <c r="AD2265" s="1"/>
      <c r="AE2265" s="1"/>
      <c r="AF2265" s="1"/>
      <c r="AG2265" s="1"/>
      <c r="AH2265" s="1"/>
      <c r="AI2265" s="1"/>
      <c r="AJ2265" s="1"/>
      <c r="AK2265" s="1"/>
      <c r="AL2265" s="1"/>
      <c r="AM2265" s="1"/>
    </row>
    <row r="2266" spans="16:39" x14ac:dyDescent="0.25">
      <c r="P2266" s="49"/>
      <c r="Q2266" s="1"/>
      <c r="S2266" s="1"/>
      <c r="T2266" s="1"/>
      <c r="U2266" s="1"/>
      <c r="V2266" s="1"/>
      <c r="W2266" s="1"/>
      <c r="X2266" s="1"/>
      <c r="Y2266" s="1"/>
      <c r="AB2266" s="1"/>
      <c r="AC2266" s="1"/>
      <c r="AD2266" s="1"/>
      <c r="AE2266" s="1"/>
      <c r="AF2266" s="1"/>
      <c r="AG2266" s="1"/>
      <c r="AH2266" s="1"/>
      <c r="AI2266" s="1"/>
      <c r="AJ2266" s="1"/>
      <c r="AK2266" s="1"/>
      <c r="AL2266" s="1"/>
      <c r="AM2266" s="1"/>
    </row>
    <row r="2267" spans="16:39" x14ac:dyDescent="0.25">
      <c r="P2267" s="49"/>
      <c r="Q2267" s="1"/>
      <c r="S2267" s="1"/>
      <c r="T2267" s="1"/>
      <c r="U2267" s="1"/>
      <c r="V2267" s="1"/>
      <c r="W2267" s="1"/>
      <c r="X2267" s="1"/>
      <c r="Y2267" s="1"/>
      <c r="AB2267" s="1"/>
      <c r="AC2267" s="1"/>
      <c r="AD2267" s="1"/>
      <c r="AE2267" s="1"/>
      <c r="AF2267" s="1"/>
      <c r="AG2267" s="1"/>
      <c r="AH2267" s="1"/>
      <c r="AI2267" s="1"/>
      <c r="AJ2267" s="1"/>
      <c r="AK2267" s="1"/>
      <c r="AL2267" s="1"/>
      <c r="AM2267" s="1"/>
    </row>
    <row r="2268" spans="16:39" x14ac:dyDescent="0.25">
      <c r="P2268" s="49"/>
      <c r="Q2268" s="1"/>
      <c r="S2268" s="1"/>
      <c r="T2268" s="1"/>
      <c r="U2268" s="1"/>
      <c r="V2268" s="1"/>
      <c r="W2268" s="1"/>
      <c r="X2268" s="1"/>
      <c r="Y2268" s="1"/>
      <c r="AB2268" s="1"/>
      <c r="AC2268" s="1"/>
      <c r="AD2268" s="1"/>
      <c r="AE2268" s="1"/>
      <c r="AF2268" s="1"/>
      <c r="AG2268" s="1"/>
      <c r="AH2268" s="1"/>
      <c r="AI2268" s="1"/>
      <c r="AJ2268" s="1"/>
      <c r="AK2268" s="1"/>
      <c r="AL2268" s="1"/>
      <c r="AM2268" s="1"/>
    </row>
    <row r="2269" spans="16:39" x14ac:dyDescent="0.25">
      <c r="P2269" s="49"/>
      <c r="Q2269" s="1"/>
      <c r="S2269" s="1"/>
      <c r="T2269" s="1"/>
      <c r="U2269" s="1"/>
      <c r="V2269" s="1"/>
      <c r="W2269" s="1"/>
      <c r="X2269" s="1"/>
      <c r="Y2269" s="1"/>
      <c r="AB2269" s="1"/>
      <c r="AC2269" s="1"/>
      <c r="AD2269" s="1"/>
      <c r="AE2269" s="1"/>
      <c r="AF2269" s="1"/>
      <c r="AG2269" s="1"/>
      <c r="AH2269" s="1"/>
      <c r="AI2269" s="1"/>
      <c r="AJ2269" s="1"/>
      <c r="AK2269" s="1"/>
      <c r="AL2269" s="1"/>
      <c r="AM2269" s="1"/>
    </row>
    <row r="2270" spans="16:39" x14ac:dyDescent="0.25">
      <c r="P2270" s="49"/>
      <c r="Q2270" s="1"/>
      <c r="S2270" s="1"/>
      <c r="T2270" s="1"/>
      <c r="U2270" s="1"/>
      <c r="V2270" s="1"/>
      <c r="W2270" s="1"/>
      <c r="X2270" s="1"/>
      <c r="Y2270" s="1"/>
      <c r="AB2270" s="1"/>
      <c r="AC2270" s="1"/>
      <c r="AD2270" s="1"/>
      <c r="AE2270" s="1"/>
      <c r="AF2270" s="1"/>
      <c r="AG2270" s="1"/>
      <c r="AH2270" s="1"/>
      <c r="AI2270" s="1"/>
      <c r="AJ2270" s="1"/>
      <c r="AK2270" s="1"/>
      <c r="AL2270" s="1"/>
      <c r="AM2270" s="1"/>
    </row>
    <row r="2271" spans="16:39" x14ac:dyDescent="0.25">
      <c r="P2271" s="49"/>
      <c r="Q2271" s="1"/>
      <c r="S2271" s="1"/>
      <c r="T2271" s="1"/>
      <c r="U2271" s="1"/>
      <c r="V2271" s="1"/>
      <c r="W2271" s="1"/>
      <c r="X2271" s="1"/>
      <c r="Y2271" s="1"/>
      <c r="AB2271" s="1"/>
      <c r="AC2271" s="1"/>
      <c r="AD2271" s="1"/>
      <c r="AE2271" s="1"/>
      <c r="AF2271" s="1"/>
      <c r="AG2271" s="1"/>
      <c r="AH2271" s="1"/>
      <c r="AI2271" s="1"/>
      <c r="AJ2271" s="1"/>
      <c r="AK2271" s="1"/>
      <c r="AL2271" s="1"/>
      <c r="AM2271" s="1"/>
    </row>
    <row r="2272" spans="16:39" x14ac:dyDescent="0.25">
      <c r="P2272" s="49"/>
      <c r="Q2272" s="1"/>
      <c r="S2272" s="1"/>
      <c r="T2272" s="1"/>
      <c r="U2272" s="1"/>
      <c r="V2272" s="1"/>
      <c r="W2272" s="1"/>
      <c r="X2272" s="1"/>
      <c r="Y2272" s="1"/>
      <c r="AB2272" s="1"/>
      <c r="AC2272" s="1"/>
      <c r="AD2272" s="1"/>
      <c r="AE2272" s="1"/>
      <c r="AF2272" s="1"/>
      <c r="AG2272" s="1"/>
      <c r="AH2272" s="1"/>
      <c r="AI2272" s="1"/>
      <c r="AJ2272" s="1"/>
      <c r="AK2272" s="1"/>
      <c r="AL2272" s="1"/>
      <c r="AM2272" s="1"/>
    </row>
    <row r="2273" spans="16:39" x14ac:dyDescent="0.25">
      <c r="P2273" s="49"/>
      <c r="Q2273" s="1"/>
      <c r="S2273" s="1"/>
      <c r="T2273" s="1"/>
      <c r="U2273" s="1"/>
      <c r="V2273" s="1"/>
      <c r="W2273" s="1"/>
      <c r="X2273" s="1"/>
      <c r="Y2273" s="1"/>
      <c r="AB2273" s="1"/>
      <c r="AC2273" s="1"/>
      <c r="AD2273" s="1"/>
      <c r="AE2273" s="1"/>
      <c r="AF2273" s="1"/>
      <c r="AG2273" s="1"/>
      <c r="AH2273" s="1"/>
      <c r="AI2273" s="1"/>
      <c r="AJ2273" s="1"/>
      <c r="AK2273" s="1"/>
      <c r="AL2273" s="1"/>
      <c r="AM2273" s="1"/>
    </row>
    <row r="2274" spans="16:39" x14ac:dyDescent="0.25">
      <c r="P2274" s="49"/>
      <c r="Q2274" s="1"/>
      <c r="S2274" s="1"/>
      <c r="T2274" s="1"/>
      <c r="U2274" s="1"/>
      <c r="V2274" s="1"/>
      <c r="W2274" s="1"/>
      <c r="X2274" s="1"/>
      <c r="Y2274" s="1"/>
      <c r="AB2274" s="1"/>
      <c r="AC2274" s="1"/>
      <c r="AD2274" s="1"/>
      <c r="AE2274" s="1"/>
      <c r="AF2274" s="1"/>
      <c r="AG2274" s="1"/>
      <c r="AH2274" s="1"/>
      <c r="AI2274" s="1"/>
      <c r="AJ2274" s="1"/>
      <c r="AK2274" s="1"/>
      <c r="AL2274" s="1"/>
      <c r="AM2274" s="1"/>
    </row>
    <row r="2275" spans="16:39" x14ac:dyDescent="0.25">
      <c r="P2275" s="49"/>
      <c r="Q2275" s="1"/>
      <c r="S2275" s="1"/>
      <c r="T2275" s="1"/>
      <c r="U2275" s="1"/>
      <c r="V2275" s="1"/>
      <c r="W2275" s="1"/>
      <c r="X2275" s="1"/>
      <c r="Y2275" s="1"/>
      <c r="AB2275" s="1"/>
      <c r="AC2275" s="1"/>
      <c r="AD2275" s="1"/>
      <c r="AE2275" s="1"/>
      <c r="AF2275" s="1"/>
      <c r="AG2275" s="1"/>
      <c r="AH2275" s="1"/>
      <c r="AI2275" s="1"/>
      <c r="AJ2275" s="1"/>
      <c r="AK2275" s="1"/>
      <c r="AL2275" s="1"/>
      <c r="AM2275" s="1"/>
    </row>
    <row r="2276" spans="16:39" x14ac:dyDescent="0.25">
      <c r="P2276" s="49"/>
      <c r="Q2276" s="1"/>
      <c r="S2276" s="1"/>
      <c r="T2276" s="1"/>
      <c r="U2276" s="1"/>
      <c r="V2276" s="1"/>
      <c r="W2276" s="1"/>
      <c r="X2276" s="1"/>
      <c r="Y2276" s="1"/>
      <c r="AB2276" s="1"/>
      <c r="AC2276" s="1"/>
      <c r="AD2276" s="1"/>
      <c r="AE2276" s="1"/>
      <c r="AF2276" s="1"/>
      <c r="AG2276" s="1"/>
      <c r="AH2276" s="1"/>
      <c r="AI2276" s="1"/>
      <c r="AJ2276" s="1"/>
      <c r="AK2276" s="1"/>
      <c r="AL2276" s="1"/>
      <c r="AM2276" s="1"/>
    </row>
    <row r="2277" spans="16:39" x14ac:dyDescent="0.25">
      <c r="P2277" s="49"/>
      <c r="Q2277" s="1"/>
      <c r="S2277" s="1"/>
      <c r="T2277" s="1"/>
      <c r="U2277" s="1"/>
      <c r="V2277" s="1"/>
      <c r="W2277" s="1"/>
      <c r="X2277" s="1"/>
      <c r="Y2277" s="1"/>
      <c r="AB2277" s="1"/>
      <c r="AC2277" s="1"/>
      <c r="AD2277" s="1"/>
      <c r="AE2277" s="1"/>
      <c r="AF2277" s="1"/>
      <c r="AG2277" s="1"/>
      <c r="AH2277" s="1"/>
      <c r="AI2277" s="1"/>
      <c r="AJ2277" s="1"/>
      <c r="AK2277" s="1"/>
      <c r="AL2277" s="1"/>
      <c r="AM2277" s="1"/>
    </row>
    <row r="2278" spans="16:39" x14ac:dyDescent="0.25">
      <c r="P2278" s="49"/>
      <c r="Q2278" s="1"/>
      <c r="S2278" s="1"/>
      <c r="T2278" s="1"/>
      <c r="U2278" s="1"/>
      <c r="V2278" s="1"/>
      <c r="W2278" s="1"/>
      <c r="X2278" s="1"/>
      <c r="Y2278" s="1"/>
      <c r="AB2278" s="1"/>
      <c r="AC2278" s="1"/>
      <c r="AD2278" s="1"/>
      <c r="AE2278" s="1"/>
      <c r="AF2278" s="1"/>
      <c r="AG2278" s="1"/>
      <c r="AH2278" s="1"/>
      <c r="AI2278" s="1"/>
      <c r="AJ2278" s="1"/>
      <c r="AK2278" s="1"/>
      <c r="AL2278" s="1"/>
      <c r="AM2278" s="1"/>
    </row>
    <row r="2279" spans="16:39" x14ac:dyDescent="0.25">
      <c r="P2279" s="49"/>
      <c r="Q2279" s="1"/>
      <c r="S2279" s="1"/>
      <c r="T2279" s="1"/>
      <c r="U2279" s="1"/>
      <c r="V2279" s="1"/>
      <c r="W2279" s="1"/>
      <c r="X2279" s="1"/>
      <c r="Y2279" s="1"/>
      <c r="AB2279" s="1"/>
      <c r="AC2279" s="1"/>
      <c r="AD2279" s="1"/>
      <c r="AE2279" s="1"/>
      <c r="AF2279" s="1"/>
      <c r="AG2279" s="1"/>
      <c r="AH2279" s="1"/>
      <c r="AI2279" s="1"/>
      <c r="AJ2279" s="1"/>
      <c r="AK2279" s="1"/>
      <c r="AL2279" s="1"/>
      <c r="AM2279" s="1"/>
    </row>
    <row r="2280" spans="16:39" x14ac:dyDescent="0.25">
      <c r="P2280" s="49"/>
      <c r="Q2280" s="1"/>
      <c r="S2280" s="1"/>
      <c r="T2280" s="1"/>
      <c r="U2280" s="1"/>
      <c r="V2280" s="1"/>
      <c r="W2280" s="1"/>
      <c r="X2280" s="1"/>
      <c r="Y2280" s="1"/>
      <c r="AB2280" s="1"/>
      <c r="AC2280" s="1"/>
      <c r="AD2280" s="1"/>
      <c r="AE2280" s="1"/>
      <c r="AF2280" s="1"/>
      <c r="AG2280" s="1"/>
      <c r="AH2280" s="1"/>
      <c r="AI2280" s="1"/>
      <c r="AJ2280" s="1"/>
      <c r="AK2280" s="1"/>
      <c r="AL2280" s="1"/>
      <c r="AM2280" s="1"/>
    </row>
    <row r="2281" spans="16:39" x14ac:dyDescent="0.25">
      <c r="P2281" s="49"/>
      <c r="Q2281" s="1"/>
      <c r="S2281" s="1"/>
      <c r="T2281" s="1"/>
      <c r="U2281" s="1"/>
      <c r="V2281" s="1"/>
      <c r="W2281" s="1"/>
      <c r="X2281" s="1"/>
      <c r="Y2281" s="1"/>
      <c r="AB2281" s="1"/>
      <c r="AC2281" s="1"/>
      <c r="AD2281" s="1"/>
      <c r="AE2281" s="1"/>
      <c r="AF2281" s="1"/>
      <c r="AG2281" s="1"/>
      <c r="AH2281" s="1"/>
      <c r="AI2281" s="1"/>
      <c r="AJ2281" s="1"/>
      <c r="AK2281" s="1"/>
      <c r="AL2281" s="1"/>
      <c r="AM2281" s="1"/>
    </row>
    <row r="2282" spans="16:39" x14ac:dyDescent="0.25">
      <c r="P2282" s="49"/>
      <c r="Q2282" s="1"/>
      <c r="S2282" s="1"/>
      <c r="T2282" s="1"/>
      <c r="U2282" s="1"/>
      <c r="V2282" s="1"/>
      <c r="W2282" s="1"/>
      <c r="X2282" s="1"/>
      <c r="Y2282" s="1"/>
      <c r="AB2282" s="1"/>
      <c r="AC2282" s="1"/>
      <c r="AD2282" s="1"/>
      <c r="AE2282" s="1"/>
      <c r="AF2282" s="1"/>
      <c r="AG2282" s="1"/>
      <c r="AH2282" s="1"/>
      <c r="AI2282" s="1"/>
      <c r="AJ2282" s="1"/>
      <c r="AK2282" s="1"/>
      <c r="AL2282" s="1"/>
      <c r="AM2282" s="1"/>
    </row>
    <row r="2283" spans="16:39" x14ac:dyDescent="0.25">
      <c r="P2283" s="49"/>
      <c r="Q2283" s="1"/>
      <c r="S2283" s="1"/>
      <c r="T2283" s="1"/>
      <c r="U2283" s="1"/>
      <c r="V2283" s="1"/>
      <c r="W2283" s="1"/>
      <c r="X2283" s="1"/>
      <c r="Y2283" s="1"/>
      <c r="AB2283" s="1"/>
      <c r="AC2283" s="1"/>
      <c r="AD2283" s="1"/>
      <c r="AE2283" s="1"/>
      <c r="AF2283" s="1"/>
      <c r="AG2283" s="1"/>
      <c r="AH2283" s="1"/>
      <c r="AI2283" s="1"/>
      <c r="AJ2283" s="1"/>
      <c r="AK2283" s="1"/>
      <c r="AL2283" s="1"/>
      <c r="AM2283" s="1"/>
    </row>
    <row r="2284" spans="16:39" x14ac:dyDescent="0.25">
      <c r="P2284" s="49"/>
      <c r="Q2284" s="1"/>
      <c r="S2284" s="1"/>
      <c r="T2284" s="1"/>
      <c r="U2284" s="1"/>
      <c r="V2284" s="1"/>
      <c r="W2284" s="1"/>
      <c r="X2284" s="1"/>
      <c r="Y2284" s="1"/>
      <c r="AB2284" s="1"/>
      <c r="AC2284" s="1"/>
      <c r="AD2284" s="1"/>
      <c r="AE2284" s="1"/>
      <c r="AF2284" s="1"/>
      <c r="AG2284" s="1"/>
      <c r="AH2284" s="1"/>
      <c r="AI2284" s="1"/>
      <c r="AJ2284" s="1"/>
      <c r="AK2284" s="1"/>
      <c r="AL2284" s="1"/>
      <c r="AM2284" s="1"/>
    </row>
    <row r="2285" spans="16:39" x14ac:dyDescent="0.25">
      <c r="P2285" s="49"/>
      <c r="Q2285" s="1"/>
      <c r="S2285" s="1"/>
      <c r="T2285" s="1"/>
      <c r="U2285" s="1"/>
      <c r="V2285" s="1"/>
      <c r="W2285" s="1"/>
      <c r="X2285" s="1"/>
      <c r="Y2285" s="1"/>
      <c r="AB2285" s="1"/>
      <c r="AC2285" s="1"/>
      <c r="AD2285" s="1"/>
      <c r="AE2285" s="1"/>
      <c r="AF2285" s="1"/>
      <c r="AG2285" s="1"/>
      <c r="AH2285" s="1"/>
      <c r="AI2285" s="1"/>
      <c r="AJ2285" s="1"/>
      <c r="AK2285" s="1"/>
      <c r="AL2285" s="1"/>
      <c r="AM2285" s="1"/>
    </row>
    <row r="2286" spans="16:39" x14ac:dyDescent="0.25">
      <c r="P2286" s="49"/>
      <c r="Q2286" s="1"/>
      <c r="S2286" s="1"/>
      <c r="T2286" s="1"/>
      <c r="U2286" s="1"/>
      <c r="V2286" s="1"/>
      <c r="W2286" s="1"/>
      <c r="X2286" s="1"/>
      <c r="Y2286" s="1"/>
      <c r="AB2286" s="1"/>
      <c r="AC2286" s="1"/>
      <c r="AD2286" s="1"/>
      <c r="AE2286" s="1"/>
      <c r="AF2286" s="1"/>
      <c r="AG2286" s="1"/>
      <c r="AH2286" s="1"/>
      <c r="AI2286" s="1"/>
      <c r="AJ2286" s="1"/>
      <c r="AK2286" s="1"/>
      <c r="AL2286" s="1"/>
      <c r="AM2286" s="1"/>
    </row>
    <row r="2287" spans="16:39" x14ac:dyDescent="0.25">
      <c r="P2287" s="49"/>
      <c r="Q2287" s="1"/>
      <c r="S2287" s="1"/>
      <c r="T2287" s="1"/>
      <c r="U2287" s="1"/>
      <c r="V2287" s="1"/>
      <c r="W2287" s="1"/>
      <c r="X2287" s="1"/>
      <c r="Y2287" s="1"/>
      <c r="AB2287" s="1"/>
      <c r="AC2287" s="1"/>
      <c r="AD2287" s="1"/>
      <c r="AE2287" s="1"/>
      <c r="AF2287" s="1"/>
      <c r="AG2287" s="1"/>
      <c r="AH2287" s="1"/>
      <c r="AI2287" s="1"/>
      <c r="AJ2287" s="1"/>
      <c r="AK2287" s="1"/>
      <c r="AL2287" s="1"/>
      <c r="AM2287" s="1"/>
    </row>
    <row r="2288" spans="16:39" x14ac:dyDescent="0.25">
      <c r="P2288" s="49"/>
      <c r="Q2288" s="1"/>
      <c r="S2288" s="1"/>
      <c r="T2288" s="1"/>
      <c r="U2288" s="1"/>
      <c r="V2288" s="1"/>
      <c r="W2288" s="1"/>
      <c r="X2288" s="1"/>
      <c r="Y2288" s="1"/>
      <c r="AB2288" s="1"/>
      <c r="AC2288" s="1"/>
      <c r="AD2288" s="1"/>
      <c r="AE2288" s="1"/>
      <c r="AF2288" s="1"/>
      <c r="AG2288" s="1"/>
      <c r="AH2288" s="1"/>
      <c r="AI2288" s="1"/>
      <c r="AJ2288" s="1"/>
      <c r="AK2288" s="1"/>
      <c r="AL2288" s="1"/>
      <c r="AM2288" s="1"/>
    </row>
    <row r="2289" spans="16:39" x14ac:dyDescent="0.25">
      <c r="P2289" s="49"/>
      <c r="Q2289" s="1"/>
      <c r="S2289" s="1"/>
      <c r="T2289" s="1"/>
      <c r="U2289" s="1"/>
      <c r="V2289" s="1"/>
      <c r="W2289" s="1"/>
      <c r="X2289" s="1"/>
      <c r="Y2289" s="1"/>
      <c r="AB2289" s="1"/>
      <c r="AC2289" s="1"/>
      <c r="AD2289" s="1"/>
      <c r="AE2289" s="1"/>
      <c r="AF2289" s="1"/>
      <c r="AG2289" s="1"/>
      <c r="AH2289" s="1"/>
      <c r="AI2289" s="1"/>
      <c r="AJ2289" s="1"/>
      <c r="AK2289" s="1"/>
      <c r="AL2289" s="1"/>
      <c r="AM2289" s="1"/>
    </row>
    <row r="2290" spans="16:39" x14ac:dyDescent="0.25">
      <c r="P2290" s="49"/>
      <c r="Q2290" s="1"/>
      <c r="S2290" s="1"/>
      <c r="T2290" s="1"/>
      <c r="U2290" s="1"/>
      <c r="V2290" s="1"/>
      <c r="W2290" s="1"/>
      <c r="X2290" s="1"/>
      <c r="Y2290" s="1"/>
      <c r="AB2290" s="1"/>
      <c r="AC2290" s="1"/>
      <c r="AD2290" s="1"/>
      <c r="AE2290" s="1"/>
      <c r="AF2290" s="1"/>
      <c r="AG2290" s="1"/>
      <c r="AH2290" s="1"/>
      <c r="AI2290" s="1"/>
      <c r="AJ2290" s="1"/>
      <c r="AK2290" s="1"/>
      <c r="AL2290" s="1"/>
      <c r="AM2290" s="1"/>
    </row>
    <row r="2291" spans="16:39" x14ac:dyDescent="0.25">
      <c r="P2291" s="49"/>
      <c r="Q2291" s="1"/>
      <c r="S2291" s="1"/>
      <c r="T2291" s="1"/>
      <c r="U2291" s="1"/>
      <c r="V2291" s="1"/>
      <c r="W2291" s="1"/>
      <c r="X2291" s="1"/>
      <c r="Y2291" s="1"/>
      <c r="AB2291" s="1"/>
      <c r="AC2291" s="1"/>
      <c r="AD2291" s="1"/>
      <c r="AE2291" s="1"/>
      <c r="AF2291" s="1"/>
      <c r="AG2291" s="1"/>
      <c r="AH2291" s="1"/>
      <c r="AI2291" s="1"/>
      <c r="AJ2291" s="1"/>
      <c r="AK2291" s="1"/>
      <c r="AL2291" s="1"/>
      <c r="AM2291" s="1"/>
    </row>
    <row r="2292" spans="16:39" x14ac:dyDescent="0.25">
      <c r="P2292" s="49"/>
      <c r="Q2292" s="1"/>
      <c r="S2292" s="1"/>
      <c r="T2292" s="1"/>
      <c r="U2292" s="1"/>
      <c r="V2292" s="1"/>
      <c r="W2292" s="1"/>
      <c r="X2292" s="1"/>
      <c r="Y2292" s="1"/>
      <c r="AB2292" s="1"/>
      <c r="AC2292" s="1"/>
      <c r="AD2292" s="1"/>
      <c r="AE2292" s="1"/>
      <c r="AF2292" s="1"/>
      <c r="AG2292" s="1"/>
      <c r="AH2292" s="1"/>
      <c r="AI2292" s="1"/>
      <c r="AJ2292" s="1"/>
      <c r="AK2292" s="1"/>
      <c r="AL2292" s="1"/>
      <c r="AM2292" s="1"/>
    </row>
    <row r="2293" spans="16:39" x14ac:dyDescent="0.25">
      <c r="P2293" s="49"/>
      <c r="Q2293" s="1"/>
      <c r="S2293" s="1"/>
      <c r="T2293" s="1"/>
      <c r="U2293" s="1"/>
      <c r="V2293" s="1"/>
      <c r="W2293" s="1"/>
      <c r="X2293" s="1"/>
      <c r="Y2293" s="1"/>
      <c r="AB2293" s="1"/>
      <c r="AC2293" s="1"/>
      <c r="AD2293" s="1"/>
      <c r="AE2293" s="1"/>
      <c r="AF2293" s="1"/>
      <c r="AG2293" s="1"/>
      <c r="AH2293" s="1"/>
      <c r="AI2293" s="1"/>
      <c r="AJ2293" s="1"/>
      <c r="AK2293" s="1"/>
      <c r="AL2293" s="1"/>
      <c r="AM2293" s="1"/>
    </row>
    <row r="2294" spans="16:39" x14ac:dyDescent="0.25">
      <c r="P2294" s="49"/>
      <c r="Q2294" s="1"/>
      <c r="S2294" s="1"/>
      <c r="T2294" s="1"/>
      <c r="U2294" s="1"/>
      <c r="V2294" s="1"/>
      <c r="W2294" s="1"/>
      <c r="X2294" s="1"/>
      <c r="Y2294" s="1"/>
      <c r="AB2294" s="1"/>
      <c r="AC2294" s="1"/>
      <c r="AD2294" s="1"/>
      <c r="AE2294" s="1"/>
      <c r="AF2294" s="1"/>
      <c r="AG2294" s="1"/>
      <c r="AH2294" s="1"/>
      <c r="AI2294" s="1"/>
      <c r="AJ2294" s="1"/>
      <c r="AK2294" s="1"/>
      <c r="AL2294" s="1"/>
      <c r="AM2294" s="1"/>
    </row>
    <row r="2295" spans="16:39" x14ac:dyDescent="0.25">
      <c r="P2295" s="49"/>
      <c r="Q2295" s="1"/>
      <c r="S2295" s="1"/>
      <c r="T2295" s="1"/>
      <c r="U2295" s="1"/>
      <c r="V2295" s="1"/>
      <c r="W2295" s="1"/>
      <c r="X2295" s="1"/>
      <c r="Y2295" s="1"/>
      <c r="AB2295" s="1"/>
      <c r="AC2295" s="1"/>
      <c r="AD2295" s="1"/>
      <c r="AE2295" s="1"/>
      <c r="AF2295" s="1"/>
      <c r="AG2295" s="1"/>
      <c r="AH2295" s="1"/>
      <c r="AI2295" s="1"/>
      <c r="AJ2295" s="1"/>
      <c r="AK2295" s="1"/>
      <c r="AL2295" s="1"/>
      <c r="AM2295" s="1"/>
    </row>
    <row r="2296" spans="16:39" x14ac:dyDescent="0.25">
      <c r="P2296" s="49"/>
      <c r="Q2296" s="1"/>
      <c r="S2296" s="1"/>
      <c r="T2296" s="1"/>
      <c r="U2296" s="1"/>
      <c r="V2296" s="1"/>
      <c r="W2296" s="1"/>
      <c r="X2296" s="1"/>
      <c r="Y2296" s="1"/>
      <c r="AB2296" s="1"/>
      <c r="AC2296" s="1"/>
      <c r="AD2296" s="1"/>
      <c r="AE2296" s="1"/>
      <c r="AF2296" s="1"/>
      <c r="AG2296" s="1"/>
      <c r="AH2296" s="1"/>
      <c r="AI2296" s="1"/>
      <c r="AJ2296" s="1"/>
      <c r="AK2296" s="1"/>
      <c r="AL2296" s="1"/>
      <c r="AM2296" s="1"/>
    </row>
    <row r="2297" spans="16:39" x14ac:dyDescent="0.25">
      <c r="P2297" s="49"/>
      <c r="Q2297" s="1"/>
      <c r="S2297" s="1"/>
      <c r="T2297" s="1"/>
      <c r="U2297" s="1"/>
      <c r="V2297" s="1"/>
      <c r="W2297" s="1"/>
      <c r="X2297" s="1"/>
      <c r="Y2297" s="1"/>
      <c r="AB2297" s="1"/>
      <c r="AC2297" s="1"/>
      <c r="AD2297" s="1"/>
      <c r="AE2297" s="1"/>
      <c r="AF2297" s="1"/>
      <c r="AG2297" s="1"/>
      <c r="AH2297" s="1"/>
      <c r="AI2297" s="1"/>
      <c r="AJ2297" s="1"/>
      <c r="AK2297" s="1"/>
      <c r="AL2297" s="1"/>
      <c r="AM2297" s="1"/>
    </row>
    <row r="2298" spans="16:39" x14ac:dyDescent="0.25">
      <c r="P2298" s="49"/>
      <c r="Q2298" s="1"/>
      <c r="S2298" s="1"/>
      <c r="T2298" s="1"/>
      <c r="U2298" s="1"/>
      <c r="V2298" s="1"/>
      <c r="W2298" s="1"/>
      <c r="X2298" s="1"/>
      <c r="Y2298" s="1"/>
      <c r="AB2298" s="1"/>
      <c r="AC2298" s="1"/>
      <c r="AD2298" s="1"/>
      <c r="AE2298" s="1"/>
      <c r="AF2298" s="1"/>
      <c r="AG2298" s="1"/>
      <c r="AH2298" s="1"/>
      <c r="AI2298" s="1"/>
      <c r="AJ2298" s="1"/>
      <c r="AK2298" s="1"/>
      <c r="AL2298" s="1"/>
      <c r="AM2298" s="1"/>
    </row>
    <row r="2299" spans="16:39" x14ac:dyDescent="0.25">
      <c r="P2299" s="49"/>
      <c r="Q2299" s="1"/>
      <c r="S2299" s="1"/>
      <c r="T2299" s="1"/>
      <c r="U2299" s="1"/>
      <c r="V2299" s="1"/>
      <c r="W2299" s="1"/>
      <c r="X2299" s="1"/>
      <c r="Y2299" s="1"/>
      <c r="AB2299" s="1"/>
      <c r="AC2299" s="1"/>
      <c r="AD2299" s="1"/>
      <c r="AE2299" s="1"/>
      <c r="AF2299" s="1"/>
      <c r="AG2299" s="1"/>
      <c r="AH2299" s="1"/>
      <c r="AI2299" s="1"/>
      <c r="AJ2299" s="1"/>
      <c r="AK2299" s="1"/>
      <c r="AL2299" s="1"/>
      <c r="AM2299" s="1"/>
    </row>
    <row r="2300" spans="16:39" x14ac:dyDescent="0.25">
      <c r="P2300" s="49"/>
      <c r="Q2300" s="1"/>
      <c r="S2300" s="1"/>
      <c r="T2300" s="1"/>
      <c r="U2300" s="1"/>
      <c r="V2300" s="1"/>
      <c r="W2300" s="1"/>
      <c r="X2300" s="1"/>
      <c r="Y2300" s="1"/>
      <c r="AB2300" s="1"/>
      <c r="AC2300" s="1"/>
      <c r="AD2300" s="1"/>
      <c r="AE2300" s="1"/>
      <c r="AF2300" s="1"/>
      <c r="AG2300" s="1"/>
      <c r="AH2300" s="1"/>
      <c r="AI2300" s="1"/>
      <c r="AJ2300" s="1"/>
      <c r="AK2300" s="1"/>
      <c r="AL2300" s="1"/>
      <c r="AM2300" s="1"/>
    </row>
    <row r="2301" spans="16:39" x14ac:dyDescent="0.25">
      <c r="P2301" s="49"/>
      <c r="Q2301" s="1"/>
      <c r="S2301" s="1"/>
      <c r="T2301" s="1"/>
      <c r="U2301" s="1"/>
      <c r="V2301" s="1"/>
      <c r="W2301" s="1"/>
      <c r="X2301" s="1"/>
      <c r="Y2301" s="1"/>
      <c r="AB2301" s="1"/>
      <c r="AC2301" s="1"/>
      <c r="AD2301" s="1"/>
      <c r="AE2301" s="1"/>
      <c r="AF2301" s="1"/>
      <c r="AG2301" s="1"/>
      <c r="AH2301" s="1"/>
      <c r="AI2301" s="1"/>
      <c r="AJ2301" s="1"/>
      <c r="AK2301" s="1"/>
      <c r="AL2301" s="1"/>
      <c r="AM2301" s="1"/>
    </row>
    <row r="2302" spans="16:39" x14ac:dyDescent="0.25">
      <c r="P2302" s="49"/>
      <c r="Q2302" s="1"/>
      <c r="S2302" s="1"/>
      <c r="T2302" s="1"/>
      <c r="U2302" s="1"/>
      <c r="V2302" s="1"/>
      <c r="W2302" s="1"/>
      <c r="X2302" s="1"/>
      <c r="Y2302" s="1"/>
      <c r="AB2302" s="1"/>
      <c r="AC2302" s="1"/>
      <c r="AD2302" s="1"/>
      <c r="AE2302" s="1"/>
      <c r="AF2302" s="1"/>
      <c r="AG2302" s="1"/>
      <c r="AH2302" s="1"/>
      <c r="AI2302" s="1"/>
      <c r="AJ2302" s="1"/>
      <c r="AK2302" s="1"/>
      <c r="AL2302" s="1"/>
      <c r="AM2302" s="1"/>
    </row>
    <row r="2303" spans="16:39" x14ac:dyDescent="0.25">
      <c r="P2303" s="49"/>
      <c r="Q2303" s="1"/>
      <c r="S2303" s="1"/>
      <c r="T2303" s="1"/>
      <c r="U2303" s="1"/>
      <c r="V2303" s="1"/>
      <c r="W2303" s="1"/>
      <c r="X2303" s="1"/>
      <c r="Y2303" s="1"/>
      <c r="AB2303" s="1"/>
      <c r="AC2303" s="1"/>
      <c r="AD2303" s="1"/>
      <c r="AE2303" s="1"/>
      <c r="AF2303" s="1"/>
      <c r="AG2303" s="1"/>
      <c r="AH2303" s="1"/>
      <c r="AI2303" s="1"/>
      <c r="AJ2303" s="1"/>
      <c r="AK2303" s="1"/>
      <c r="AL2303" s="1"/>
      <c r="AM2303" s="1"/>
    </row>
    <row r="2304" spans="16:39" x14ac:dyDescent="0.25">
      <c r="P2304" s="49"/>
      <c r="Q2304" s="1"/>
      <c r="S2304" s="1"/>
      <c r="T2304" s="1"/>
      <c r="U2304" s="1"/>
      <c r="V2304" s="1"/>
      <c r="W2304" s="1"/>
      <c r="X2304" s="1"/>
      <c r="Y2304" s="1"/>
      <c r="AB2304" s="1"/>
      <c r="AC2304" s="1"/>
      <c r="AD2304" s="1"/>
      <c r="AE2304" s="1"/>
      <c r="AF2304" s="1"/>
      <c r="AG2304" s="1"/>
      <c r="AH2304" s="1"/>
      <c r="AI2304" s="1"/>
      <c r="AJ2304" s="1"/>
      <c r="AK2304" s="1"/>
      <c r="AL2304" s="1"/>
      <c r="AM2304" s="1"/>
    </row>
    <row r="2305" spans="16:39" x14ac:dyDescent="0.25">
      <c r="P2305" s="49"/>
      <c r="Q2305" s="1"/>
      <c r="S2305" s="1"/>
      <c r="T2305" s="1"/>
      <c r="U2305" s="1"/>
      <c r="V2305" s="1"/>
      <c r="W2305" s="1"/>
      <c r="X2305" s="1"/>
      <c r="Y2305" s="1"/>
      <c r="AB2305" s="1"/>
      <c r="AC2305" s="1"/>
      <c r="AD2305" s="1"/>
      <c r="AE2305" s="1"/>
      <c r="AF2305" s="1"/>
      <c r="AG2305" s="1"/>
      <c r="AH2305" s="1"/>
      <c r="AI2305" s="1"/>
      <c r="AJ2305" s="1"/>
      <c r="AK2305" s="1"/>
      <c r="AL2305" s="1"/>
      <c r="AM2305" s="1"/>
    </row>
    <row r="2306" spans="16:39" x14ac:dyDescent="0.25">
      <c r="P2306" s="49"/>
      <c r="Q2306" s="1"/>
      <c r="S2306" s="1"/>
      <c r="T2306" s="1"/>
      <c r="U2306" s="1"/>
      <c r="V2306" s="1"/>
      <c r="W2306" s="1"/>
      <c r="X2306" s="1"/>
      <c r="Y2306" s="1"/>
      <c r="AB2306" s="1"/>
      <c r="AC2306" s="1"/>
      <c r="AD2306" s="1"/>
      <c r="AE2306" s="1"/>
      <c r="AF2306" s="1"/>
      <c r="AG2306" s="1"/>
      <c r="AH2306" s="1"/>
      <c r="AI2306" s="1"/>
      <c r="AJ2306" s="1"/>
      <c r="AK2306" s="1"/>
      <c r="AL2306" s="1"/>
      <c r="AM2306" s="1"/>
    </row>
    <row r="2307" spans="16:39" x14ac:dyDescent="0.25">
      <c r="P2307" s="49"/>
      <c r="Q2307" s="1"/>
      <c r="S2307" s="1"/>
      <c r="T2307" s="1"/>
      <c r="U2307" s="1"/>
      <c r="V2307" s="1"/>
      <c r="W2307" s="1"/>
      <c r="X2307" s="1"/>
      <c r="Y2307" s="1"/>
      <c r="AB2307" s="1"/>
      <c r="AC2307" s="1"/>
      <c r="AD2307" s="1"/>
      <c r="AE2307" s="1"/>
      <c r="AF2307" s="1"/>
      <c r="AG2307" s="1"/>
      <c r="AH2307" s="1"/>
      <c r="AI2307" s="1"/>
      <c r="AJ2307" s="1"/>
      <c r="AK2307" s="1"/>
      <c r="AL2307" s="1"/>
      <c r="AM2307" s="1"/>
    </row>
    <row r="2308" spans="16:39" x14ac:dyDescent="0.25">
      <c r="P2308" s="49"/>
      <c r="Q2308" s="1"/>
      <c r="S2308" s="1"/>
      <c r="T2308" s="1"/>
      <c r="U2308" s="1"/>
      <c r="V2308" s="1"/>
      <c r="W2308" s="1"/>
      <c r="X2308" s="1"/>
      <c r="Y2308" s="1"/>
      <c r="AB2308" s="1"/>
      <c r="AC2308" s="1"/>
      <c r="AD2308" s="1"/>
      <c r="AE2308" s="1"/>
      <c r="AF2308" s="1"/>
      <c r="AG2308" s="1"/>
      <c r="AH2308" s="1"/>
      <c r="AI2308" s="1"/>
      <c r="AJ2308" s="1"/>
      <c r="AK2308" s="1"/>
      <c r="AL2308" s="1"/>
      <c r="AM2308" s="1"/>
    </row>
    <row r="2309" spans="16:39" x14ac:dyDescent="0.25">
      <c r="P2309" s="49"/>
      <c r="Q2309" s="1"/>
      <c r="S2309" s="1"/>
      <c r="T2309" s="1"/>
      <c r="U2309" s="1"/>
      <c r="V2309" s="1"/>
      <c r="W2309" s="1"/>
      <c r="X2309" s="1"/>
      <c r="Y2309" s="1"/>
      <c r="AB2309" s="1"/>
      <c r="AC2309" s="1"/>
      <c r="AD2309" s="1"/>
      <c r="AE2309" s="1"/>
      <c r="AF2309" s="1"/>
      <c r="AG2309" s="1"/>
      <c r="AH2309" s="1"/>
      <c r="AI2309" s="1"/>
      <c r="AJ2309" s="1"/>
      <c r="AK2309" s="1"/>
      <c r="AL2309" s="1"/>
      <c r="AM2309" s="1"/>
    </row>
    <row r="2310" spans="16:39" x14ac:dyDescent="0.25">
      <c r="P2310" s="49"/>
      <c r="Q2310" s="1"/>
      <c r="S2310" s="1"/>
      <c r="T2310" s="1"/>
      <c r="U2310" s="1"/>
      <c r="V2310" s="1"/>
      <c r="W2310" s="1"/>
      <c r="X2310" s="1"/>
      <c r="Y2310" s="1"/>
      <c r="AB2310" s="1"/>
      <c r="AC2310" s="1"/>
      <c r="AD2310" s="1"/>
      <c r="AE2310" s="1"/>
      <c r="AF2310" s="1"/>
      <c r="AG2310" s="1"/>
      <c r="AH2310" s="1"/>
      <c r="AI2310" s="1"/>
      <c r="AJ2310" s="1"/>
      <c r="AK2310" s="1"/>
      <c r="AL2310" s="1"/>
      <c r="AM2310" s="1"/>
    </row>
    <row r="2311" spans="16:39" x14ac:dyDescent="0.25">
      <c r="P2311" s="49"/>
      <c r="Q2311" s="1"/>
      <c r="S2311" s="1"/>
      <c r="T2311" s="1"/>
      <c r="U2311" s="1"/>
      <c r="V2311" s="1"/>
      <c r="W2311" s="1"/>
      <c r="X2311" s="1"/>
      <c r="Y2311" s="1"/>
      <c r="AB2311" s="1"/>
      <c r="AC2311" s="1"/>
      <c r="AD2311" s="1"/>
      <c r="AE2311" s="1"/>
      <c r="AF2311" s="1"/>
      <c r="AG2311" s="1"/>
      <c r="AH2311" s="1"/>
      <c r="AI2311" s="1"/>
      <c r="AJ2311" s="1"/>
      <c r="AK2311" s="1"/>
      <c r="AL2311" s="1"/>
      <c r="AM2311" s="1"/>
    </row>
    <row r="2312" spans="16:39" x14ac:dyDescent="0.25">
      <c r="P2312" s="49"/>
      <c r="Q2312" s="1"/>
      <c r="S2312" s="1"/>
      <c r="T2312" s="1"/>
      <c r="U2312" s="1"/>
      <c r="V2312" s="1"/>
      <c r="W2312" s="1"/>
      <c r="X2312" s="1"/>
      <c r="Y2312" s="1"/>
      <c r="AB2312" s="1"/>
      <c r="AC2312" s="1"/>
      <c r="AD2312" s="1"/>
      <c r="AE2312" s="1"/>
      <c r="AF2312" s="1"/>
      <c r="AG2312" s="1"/>
      <c r="AH2312" s="1"/>
      <c r="AI2312" s="1"/>
      <c r="AJ2312" s="1"/>
      <c r="AK2312" s="1"/>
      <c r="AL2312" s="1"/>
      <c r="AM2312" s="1"/>
    </row>
    <row r="2313" spans="16:39" x14ac:dyDescent="0.25">
      <c r="P2313" s="49"/>
      <c r="Q2313" s="1"/>
      <c r="S2313" s="1"/>
      <c r="T2313" s="1"/>
      <c r="U2313" s="1"/>
      <c r="V2313" s="1"/>
      <c r="W2313" s="1"/>
      <c r="X2313" s="1"/>
      <c r="Y2313" s="1"/>
      <c r="AB2313" s="1"/>
      <c r="AC2313" s="1"/>
      <c r="AD2313" s="1"/>
      <c r="AE2313" s="1"/>
      <c r="AF2313" s="1"/>
      <c r="AG2313" s="1"/>
      <c r="AH2313" s="1"/>
      <c r="AI2313" s="1"/>
      <c r="AJ2313" s="1"/>
      <c r="AK2313" s="1"/>
      <c r="AL2313" s="1"/>
      <c r="AM2313" s="1"/>
    </row>
    <row r="2314" spans="16:39" x14ac:dyDescent="0.25">
      <c r="P2314" s="49"/>
      <c r="Q2314" s="1"/>
      <c r="S2314" s="1"/>
      <c r="T2314" s="1"/>
      <c r="U2314" s="1"/>
      <c r="V2314" s="1"/>
      <c r="W2314" s="1"/>
      <c r="X2314" s="1"/>
      <c r="Y2314" s="1"/>
      <c r="AB2314" s="1"/>
      <c r="AC2314" s="1"/>
      <c r="AD2314" s="1"/>
      <c r="AE2314" s="1"/>
      <c r="AF2314" s="1"/>
      <c r="AG2314" s="1"/>
      <c r="AH2314" s="1"/>
      <c r="AI2314" s="1"/>
      <c r="AJ2314" s="1"/>
      <c r="AK2314" s="1"/>
      <c r="AL2314" s="1"/>
      <c r="AM2314" s="1"/>
    </row>
    <row r="2315" spans="16:39" x14ac:dyDescent="0.25">
      <c r="P2315" s="49"/>
      <c r="Q2315" s="1"/>
      <c r="S2315" s="1"/>
      <c r="T2315" s="1"/>
      <c r="U2315" s="1"/>
      <c r="V2315" s="1"/>
      <c r="W2315" s="1"/>
      <c r="X2315" s="1"/>
      <c r="Y2315" s="1"/>
      <c r="AB2315" s="1"/>
      <c r="AC2315" s="1"/>
      <c r="AD2315" s="1"/>
      <c r="AE2315" s="1"/>
      <c r="AF2315" s="1"/>
      <c r="AG2315" s="1"/>
      <c r="AH2315" s="1"/>
      <c r="AI2315" s="1"/>
      <c r="AJ2315" s="1"/>
      <c r="AK2315" s="1"/>
      <c r="AL2315" s="1"/>
      <c r="AM2315" s="1"/>
    </row>
    <row r="2316" spans="16:39" x14ac:dyDescent="0.25">
      <c r="P2316" s="49"/>
      <c r="Q2316" s="1"/>
      <c r="S2316" s="1"/>
      <c r="T2316" s="1"/>
      <c r="U2316" s="1"/>
      <c r="V2316" s="1"/>
      <c r="W2316" s="1"/>
      <c r="X2316" s="1"/>
      <c r="Y2316" s="1"/>
      <c r="AB2316" s="1"/>
      <c r="AC2316" s="1"/>
      <c r="AD2316" s="1"/>
      <c r="AE2316" s="1"/>
      <c r="AF2316" s="1"/>
      <c r="AG2316" s="1"/>
      <c r="AH2316" s="1"/>
      <c r="AI2316" s="1"/>
      <c r="AJ2316" s="1"/>
      <c r="AK2316" s="1"/>
      <c r="AL2316" s="1"/>
      <c r="AM2316" s="1"/>
    </row>
    <row r="2317" spans="16:39" x14ac:dyDescent="0.25">
      <c r="P2317" s="49"/>
      <c r="Q2317" s="1"/>
      <c r="S2317" s="1"/>
      <c r="T2317" s="1"/>
      <c r="U2317" s="1"/>
      <c r="V2317" s="1"/>
      <c r="W2317" s="1"/>
      <c r="X2317" s="1"/>
      <c r="Y2317" s="1"/>
      <c r="AB2317" s="1"/>
      <c r="AC2317" s="1"/>
      <c r="AD2317" s="1"/>
      <c r="AE2317" s="1"/>
      <c r="AF2317" s="1"/>
      <c r="AG2317" s="1"/>
      <c r="AH2317" s="1"/>
      <c r="AI2317" s="1"/>
      <c r="AJ2317" s="1"/>
      <c r="AK2317" s="1"/>
      <c r="AL2317" s="1"/>
      <c r="AM2317" s="1"/>
    </row>
    <row r="2318" spans="16:39" x14ac:dyDescent="0.25">
      <c r="P2318" s="49"/>
      <c r="Q2318" s="1"/>
      <c r="S2318" s="1"/>
      <c r="T2318" s="1"/>
      <c r="U2318" s="1"/>
      <c r="V2318" s="1"/>
      <c r="W2318" s="1"/>
      <c r="X2318" s="1"/>
      <c r="Y2318" s="1"/>
      <c r="AB2318" s="1"/>
      <c r="AC2318" s="1"/>
      <c r="AD2318" s="1"/>
      <c r="AE2318" s="1"/>
      <c r="AF2318" s="1"/>
      <c r="AG2318" s="1"/>
      <c r="AH2318" s="1"/>
      <c r="AI2318" s="1"/>
      <c r="AJ2318" s="1"/>
      <c r="AK2318" s="1"/>
      <c r="AL2318" s="1"/>
      <c r="AM2318" s="1"/>
    </row>
    <row r="2319" spans="16:39" x14ac:dyDescent="0.25">
      <c r="P2319" s="49"/>
      <c r="Q2319" s="1"/>
      <c r="S2319" s="1"/>
      <c r="T2319" s="1"/>
      <c r="U2319" s="1"/>
      <c r="V2319" s="1"/>
      <c r="W2319" s="1"/>
      <c r="X2319" s="1"/>
      <c r="Y2319" s="1"/>
      <c r="AB2319" s="1"/>
      <c r="AC2319" s="1"/>
      <c r="AD2319" s="1"/>
      <c r="AE2319" s="1"/>
      <c r="AF2319" s="1"/>
      <c r="AG2319" s="1"/>
      <c r="AH2319" s="1"/>
      <c r="AI2319" s="1"/>
      <c r="AJ2319" s="1"/>
      <c r="AK2319" s="1"/>
      <c r="AL2319" s="1"/>
      <c r="AM2319" s="1"/>
    </row>
    <row r="2320" spans="16:39" x14ac:dyDescent="0.25">
      <c r="P2320" s="49"/>
      <c r="Q2320" s="1"/>
      <c r="S2320" s="1"/>
      <c r="T2320" s="1"/>
      <c r="U2320" s="1"/>
      <c r="V2320" s="1"/>
      <c r="W2320" s="1"/>
      <c r="X2320" s="1"/>
      <c r="Y2320" s="1"/>
      <c r="AB2320" s="1"/>
      <c r="AC2320" s="1"/>
      <c r="AD2320" s="1"/>
      <c r="AE2320" s="1"/>
      <c r="AF2320" s="1"/>
      <c r="AG2320" s="1"/>
      <c r="AH2320" s="1"/>
      <c r="AI2320" s="1"/>
      <c r="AJ2320" s="1"/>
      <c r="AK2320" s="1"/>
      <c r="AL2320" s="1"/>
      <c r="AM2320" s="1"/>
    </row>
    <row r="2321" spans="16:39" x14ac:dyDescent="0.25">
      <c r="P2321" s="49"/>
      <c r="Q2321" s="1"/>
      <c r="S2321" s="1"/>
      <c r="T2321" s="1"/>
      <c r="U2321" s="1"/>
      <c r="V2321" s="1"/>
      <c r="W2321" s="1"/>
      <c r="X2321" s="1"/>
      <c r="Y2321" s="1"/>
      <c r="AB2321" s="1"/>
      <c r="AC2321" s="1"/>
      <c r="AD2321" s="1"/>
      <c r="AE2321" s="1"/>
      <c r="AF2321" s="1"/>
      <c r="AG2321" s="1"/>
      <c r="AH2321" s="1"/>
      <c r="AI2321" s="1"/>
      <c r="AJ2321" s="1"/>
      <c r="AK2321" s="1"/>
      <c r="AL2321" s="1"/>
      <c r="AM2321" s="1"/>
    </row>
    <row r="2322" spans="16:39" x14ac:dyDescent="0.25">
      <c r="P2322" s="49"/>
      <c r="Q2322" s="1"/>
      <c r="S2322" s="1"/>
      <c r="T2322" s="1"/>
      <c r="U2322" s="1"/>
      <c r="V2322" s="1"/>
      <c r="W2322" s="1"/>
      <c r="X2322" s="1"/>
      <c r="Y2322" s="1"/>
      <c r="AB2322" s="1"/>
      <c r="AC2322" s="1"/>
      <c r="AD2322" s="1"/>
      <c r="AE2322" s="1"/>
      <c r="AF2322" s="1"/>
      <c r="AG2322" s="1"/>
      <c r="AH2322" s="1"/>
      <c r="AI2322" s="1"/>
      <c r="AJ2322" s="1"/>
      <c r="AK2322" s="1"/>
      <c r="AL2322" s="1"/>
      <c r="AM2322" s="1"/>
    </row>
    <row r="2323" spans="16:39" x14ac:dyDescent="0.25">
      <c r="P2323" s="49"/>
      <c r="Q2323" s="1"/>
      <c r="S2323" s="1"/>
      <c r="T2323" s="1"/>
      <c r="U2323" s="1"/>
      <c r="V2323" s="1"/>
      <c r="W2323" s="1"/>
      <c r="X2323" s="1"/>
      <c r="Y2323" s="1"/>
      <c r="AB2323" s="1"/>
      <c r="AC2323" s="1"/>
      <c r="AD2323" s="1"/>
      <c r="AE2323" s="1"/>
      <c r="AF2323" s="1"/>
      <c r="AG2323" s="1"/>
      <c r="AH2323" s="1"/>
      <c r="AI2323" s="1"/>
      <c r="AJ2323" s="1"/>
      <c r="AK2323" s="1"/>
      <c r="AL2323" s="1"/>
      <c r="AM2323" s="1"/>
    </row>
    <row r="2324" spans="16:39" x14ac:dyDescent="0.25">
      <c r="P2324" s="49"/>
      <c r="Q2324" s="1"/>
      <c r="S2324" s="1"/>
      <c r="T2324" s="1"/>
      <c r="U2324" s="1"/>
      <c r="V2324" s="1"/>
      <c r="W2324" s="1"/>
      <c r="X2324" s="1"/>
      <c r="Y2324" s="1"/>
      <c r="AB2324" s="1"/>
      <c r="AC2324" s="1"/>
      <c r="AD2324" s="1"/>
      <c r="AE2324" s="1"/>
      <c r="AF2324" s="1"/>
      <c r="AG2324" s="1"/>
      <c r="AH2324" s="1"/>
      <c r="AI2324" s="1"/>
      <c r="AJ2324" s="1"/>
      <c r="AK2324" s="1"/>
      <c r="AL2324" s="1"/>
      <c r="AM2324" s="1"/>
    </row>
    <row r="2325" spans="16:39" x14ac:dyDescent="0.25">
      <c r="P2325" s="49"/>
      <c r="Q2325" s="1"/>
      <c r="S2325" s="1"/>
      <c r="T2325" s="1"/>
      <c r="U2325" s="1"/>
      <c r="V2325" s="1"/>
      <c r="W2325" s="1"/>
      <c r="X2325" s="1"/>
      <c r="Y2325" s="1"/>
      <c r="AB2325" s="1"/>
      <c r="AC2325" s="1"/>
      <c r="AD2325" s="1"/>
      <c r="AE2325" s="1"/>
      <c r="AF2325" s="1"/>
      <c r="AG2325" s="1"/>
      <c r="AH2325" s="1"/>
      <c r="AI2325" s="1"/>
      <c r="AJ2325" s="1"/>
      <c r="AK2325" s="1"/>
      <c r="AL2325" s="1"/>
      <c r="AM2325" s="1"/>
    </row>
    <row r="2326" spans="16:39" x14ac:dyDescent="0.25">
      <c r="P2326" s="49"/>
      <c r="Q2326" s="1"/>
      <c r="S2326" s="1"/>
      <c r="T2326" s="1"/>
      <c r="U2326" s="1"/>
      <c r="V2326" s="1"/>
      <c r="W2326" s="1"/>
      <c r="X2326" s="1"/>
      <c r="Y2326" s="1"/>
      <c r="AB2326" s="1"/>
      <c r="AC2326" s="1"/>
      <c r="AD2326" s="1"/>
      <c r="AE2326" s="1"/>
      <c r="AF2326" s="1"/>
      <c r="AG2326" s="1"/>
      <c r="AH2326" s="1"/>
      <c r="AI2326" s="1"/>
      <c r="AJ2326" s="1"/>
      <c r="AK2326" s="1"/>
      <c r="AL2326" s="1"/>
      <c r="AM2326" s="1"/>
    </row>
    <row r="2327" spans="16:39" x14ac:dyDescent="0.25">
      <c r="P2327" s="49"/>
      <c r="Q2327" s="1"/>
      <c r="S2327" s="1"/>
      <c r="T2327" s="1"/>
      <c r="U2327" s="1"/>
      <c r="V2327" s="1"/>
      <c r="W2327" s="1"/>
      <c r="X2327" s="1"/>
      <c r="Y2327" s="1"/>
      <c r="AB2327" s="1"/>
      <c r="AC2327" s="1"/>
      <c r="AD2327" s="1"/>
      <c r="AE2327" s="1"/>
      <c r="AF2327" s="1"/>
      <c r="AG2327" s="1"/>
      <c r="AH2327" s="1"/>
      <c r="AI2327" s="1"/>
      <c r="AJ2327" s="1"/>
      <c r="AK2327" s="1"/>
      <c r="AL2327" s="1"/>
      <c r="AM2327" s="1"/>
    </row>
    <row r="2328" spans="16:39" x14ac:dyDescent="0.25">
      <c r="P2328" s="49"/>
      <c r="Q2328" s="1"/>
      <c r="S2328" s="1"/>
      <c r="T2328" s="1"/>
      <c r="U2328" s="1"/>
      <c r="V2328" s="1"/>
      <c r="W2328" s="1"/>
      <c r="X2328" s="1"/>
      <c r="Y2328" s="1"/>
      <c r="AB2328" s="1"/>
      <c r="AC2328" s="1"/>
      <c r="AD2328" s="1"/>
      <c r="AE2328" s="1"/>
      <c r="AF2328" s="1"/>
      <c r="AG2328" s="1"/>
      <c r="AH2328" s="1"/>
      <c r="AI2328" s="1"/>
      <c r="AJ2328" s="1"/>
      <c r="AK2328" s="1"/>
      <c r="AL2328" s="1"/>
      <c r="AM2328" s="1"/>
    </row>
    <row r="2329" spans="16:39" x14ac:dyDescent="0.25">
      <c r="P2329" s="49"/>
      <c r="Q2329" s="1"/>
      <c r="S2329" s="1"/>
      <c r="T2329" s="1"/>
      <c r="U2329" s="1"/>
      <c r="V2329" s="1"/>
      <c r="W2329" s="1"/>
      <c r="X2329" s="1"/>
      <c r="Y2329" s="1"/>
      <c r="AB2329" s="1"/>
      <c r="AC2329" s="1"/>
      <c r="AD2329" s="1"/>
      <c r="AE2329" s="1"/>
      <c r="AF2329" s="1"/>
      <c r="AG2329" s="1"/>
      <c r="AH2329" s="1"/>
      <c r="AI2329" s="1"/>
      <c r="AJ2329" s="1"/>
      <c r="AK2329" s="1"/>
      <c r="AL2329" s="1"/>
      <c r="AM2329" s="1"/>
    </row>
    <row r="2330" spans="16:39" x14ac:dyDescent="0.25">
      <c r="P2330" s="49"/>
      <c r="Q2330" s="1"/>
      <c r="S2330" s="1"/>
      <c r="T2330" s="1"/>
      <c r="U2330" s="1"/>
      <c r="V2330" s="1"/>
      <c r="W2330" s="1"/>
      <c r="X2330" s="1"/>
      <c r="Y2330" s="1"/>
      <c r="AB2330" s="1"/>
      <c r="AC2330" s="1"/>
      <c r="AD2330" s="1"/>
      <c r="AE2330" s="1"/>
      <c r="AF2330" s="1"/>
      <c r="AG2330" s="1"/>
      <c r="AH2330" s="1"/>
      <c r="AI2330" s="1"/>
      <c r="AJ2330" s="1"/>
      <c r="AK2330" s="1"/>
      <c r="AL2330" s="1"/>
      <c r="AM2330" s="1"/>
    </row>
    <row r="2331" spans="16:39" x14ac:dyDescent="0.25">
      <c r="P2331" s="49"/>
      <c r="Q2331" s="1"/>
      <c r="S2331" s="1"/>
      <c r="T2331" s="1"/>
      <c r="U2331" s="1"/>
      <c r="V2331" s="1"/>
      <c r="W2331" s="1"/>
      <c r="X2331" s="1"/>
      <c r="Y2331" s="1"/>
      <c r="AB2331" s="1"/>
      <c r="AC2331" s="1"/>
      <c r="AD2331" s="1"/>
      <c r="AE2331" s="1"/>
      <c r="AF2331" s="1"/>
      <c r="AG2331" s="1"/>
      <c r="AH2331" s="1"/>
      <c r="AI2331" s="1"/>
      <c r="AJ2331" s="1"/>
      <c r="AK2331" s="1"/>
      <c r="AL2331" s="1"/>
      <c r="AM2331" s="1"/>
    </row>
    <row r="2332" spans="16:39" x14ac:dyDescent="0.25">
      <c r="P2332" s="49"/>
      <c r="Q2332" s="1"/>
      <c r="S2332" s="1"/>
      <c r="T2332" s="1"/>
      <c r="U2332" s="1"/>
      <c r="V2332" s="1"/>
      <c r="W2332" s="1"/>
      <c r="X2332" s="1"/>
      <c r="Y2332" s="1"/>
      <c r="AB2332" s="1"/>
      <c r="AC2332" s="1"/>
      <c r="AD2332" s="1"/>
      <c r="AE2332" s="1"/>
      <c r="AF2332" s="1"/>
      <c r="AG2332" s="1"/>
      <c r="AH2332" s="1"/>
      <c r="AI2332" s="1"/>
      <c r="AJ2332" s="1"/>
      <c r="AK2332" s="1"/>
      <c r="AL2332" s="1"/>
      <c r="AM2332" s="1"/>
    </row>
    <row r="2333" spans="16:39" x14ac:dyDescent="0.25">
      <c r="P2333" s="49"/>
      <c r="Q2333" s="1"/>
      <c r="S2333" s="1"/>
      <c r="T2333" s="1"/>
      <c r="U2333" s="1"/>
      <c r="V2333" s="1"/>
      <c r="W2333" s="1"/>
      <c r="X2333" s="1"/>
      <c r="Y2333" s="1"/>
      <c r="AB2333" s="1"/>
      <c r="AC2333" s="1"/>
      <c r="AD2333" s="1"/>
      <c r="AE2333" s="1"/>
      <c r="AF2333" s="1"/>
      <c r="AG2333" s="1"/>
      <c r="AH2333" s="1"/>
      <c r="AI2333" s="1"/>
      <c r="AJ2333" s="1"/>
      <c r="AK2333" s="1"/>
      <c r="AL2333" s="1"/>
      <c r="AM2333" s="1"/>
    </row>
    <row r="2334" spans="16:39" x14ac:dyDescent="0.25">
      <c r="P2334" s="49"/>
      <c r="Q2334" s="1"/>
      <c r="S2334" s="1"/>
      <c r="T2334" s="1"/>
      <c r="U2334" s="1"/>
      <c r="V2334" s="1"/>
      <c r="W2334" s="1"/>
      <c r="X2334" s="1"/>
      <c r="Y2334" s="1"/>
      <c r="AB2334" s="1"/>
      <c r="AC2334" s="1"/>
      <c r="AD2334" s="1"/>
      <c r="AE2334" s="1"/>
      <c r="AF2334" s="1"/>
      <c r="AG2334" s="1"/>
      <c r="AH2334" s="1"/>
      <c r="AI2334" s="1"/>
      <c r="AJ2334" s="1"/>
      <c r="AK2334" s="1"/>
      <c r="AL2334" s="1"/>
      <c r="AM2334" s="1"/>
    </row>
    <row r="2335" spans="16:39" x14ac:dyDescent="0.25">
      <c r="P2335" s="49"/>
      <c r="Q2335" s="1"/>
      <c r="S2335" s="1"/>
      <c r="T2335" s="1"/>
      <c r="U2335" s="1"/>
      <c r="V2335" s="1"/>
      <c r="W2335" s="1"/>
      <c r="X2335" s="1"/>
      <c r="Y2335" s="1"/>
      <c r="AB2335" s="1"/>
      <c r="AC2335" s="1"/>
      <c r="AD2335" s="1"/>
      <c r="AE2335" s="1"/>
      <c r="AF2335" s="1"/>
      <c r="AG2335" s="1"/>
      <c r="AH2335" s="1"/>
      <c r="AI2335" s="1"/>
      <c r="AJ2335" s="1"/>
      <c r="AK2335" s="1"/>
      <c r="AL2335" s="1"/>
      <c r="AM2335" s="1"/>
    </row>
    <row r="2336" spans="16:39" x14ac:dyDescent="0.25">
      <c r="P2336" s="49"/>
      <c r="Q2336" s="1"/>
      <c r="S2336" s="1"/>
      <c r="T2336" s="1"/>
      <c r="U2336" s="1"/>
      <c r="V2336" s="1"/>
      <c r="W2336" s="1"/>
      <c r="X2336" s="1"/>
      <c r="Y2336" s="1"/>
      <c r="AB2336" s="1"/>
      <c r="AC2336" s="1"/>
      <c r="AD2336" s="1"/>
      <c r="AE2336" s="1"/>
      <c r="AF2336" s="1"/>
      <c r="AG2336" s="1"/>
      <c r="AH2336" s="1"/>
      <c r="AI2336" s="1"/>
      <c r="AJ2336" s="1"/>
      <c r="AK2336" s="1"/>
      <c r="AL2336" s="1"/>
      <c r="AM2336" s="1"/>
    </row>
    <row r="2337" spans="16:39" x14ac:dyDescent="0.25">
      <c r="P2337" s="49"/>
      <c r="Q2337" s="1"/>
      <c r="S2337" s="1"/>
      <c r="T2337" s="1"/>
      <c r="U2337" s="1"/>
      <c r="V2337" s="1"/>
      <c r="W2337" s="1"/>
      <c r="X2337" s="1"/>
      <c r="Y2337" s="1"/>
      <c r="AB2337" s="1"/>
      <c r="AC2337" s="1"/>
      <c r="AD2337" s="1"/>
      <c r="AE2337" s="1"/>
      <c r="AF2337" s="1"/>
      <c r="AG2337" s="1"/>
      <c r="AH2337" s="1"/>
      <c r="AI2337" s="1"/>
      <c r="AJ2337" s="1"/>
      <c r="AK2337" s="1"/>
      <c r="AL2337" s="1"/>
      <c r="AM2337" s="1"/>
    </row>
    <row r="2338" spans="16:39" x14ac:dyDescent="0.25">
      <c r="P2338" s="49"/>
      <c r="Q2338" s="1"/>
      <c r="S2338" s="1"/>
      <c r="T2338" s="1"/>
      <c r="U2338" s="1"/>
      <c r="V2338" s="1"/>
      <c r="W2338" s="1"/>
      <c r="X2338" s="1"/>
      <c r="Y2338" s="1"/>
      <c r="AB2338" s="1"/>
      <c r="AC2338" s="1"/>
      <c r="AD2338" s="1"/>
      <c r="AE2338" s="1"/>
      <c r="AF2338" s="1"/>
      <c r="AG2338" s="1"/>
      <c r="AH2338" s="1"/>
      <c r="AI2338" s="1"/>
      <c r="AJ2338" s="1"/>
      <c r="AK2338" s="1"/>
      <c r="AL2338" s="1"/>
      <c r="AM2338" s="1"/>
    </row>
    <row r="2339" spans="16:39" x14ac:dyDescent="0.25">
      <c r="P2339" s="49"/>
      <c r="Q2339" s="1"/>
      <c r="S2339" s="1"/>
      <c r="T2339" s="1"/>
      <c r="U2339" s="1"/>
      <c r="V2339" s="1"/>
      <c r="W2339" s="1"/>
      <c r="X2339" s="1"/>
      <c r="Y2339" s="1"/>
      <c r="AB2339" s="1"/>
      <c r="AC2339" s="1"/>
      <c r="AD2339" s="1"/>
      <c r="AE2339" s="1"/>
      <c r="AF2339" s="1"/>
      <c r="AG2339" s="1"/>
      <c r="AH2339" s="1"/>
      <c r="AI2339" s="1"/>
      <c r="AJ2339" s="1"/>
      <c r="AK2339" s="1"/>
      <c r="AL2339" s="1"/>
      <c r="AM2339" s="1"/>
    </row>
    <row r="2340" spans="16:39" x14ac:dyDescent="0.25">
      <c r="P2340" s="49"/>
      <c r="Q2340" s="1"/>
      <c r="S2340" s="1"/>
      <c r="T2340" s="1"/>
      <c r="U2340" s="1"/>
      <c r="V2340" s="1"/>
      <c r="W2340" s="1"/>
      <c r="X2340" s="1"/>
      <c r="Y2340" s="1"/>
      <c r="AB2340" s="1"/>
      <c r="AC2340" s="1"/>
      <c r="AD2340" s="1"/>
      <c r="AE2340" s="1"/>
      <c r="AF2340" s="1"/>
      <c r="AG2340" s="1"/>
      <c r="AH2340" s="1"/>
      <c r="AI2340" s="1"/>
      <c r="AJ2340" s="1"/>
      <c r="AK2340" s="1"/>
      <c r="AL2340" s="1"/>
      <c r="AM2340" s="1"/>
    </row>
    <row r="2341" spans="16:39" x14ac:dyDescent="0.25">
      <c r="P2341" s="49"/>
      <c r="Q2341" s="1"/>
      <c r="S2341" s="1"/>
      <c r="T2341" s="1"/>
      <c r="U2341" s="1"/>
      <c r="V2341" s="1"/>
      <c r="W2341" s="1"/>
      <c r="X2341" s="1"/>
      <c r="Y2341" s="1"/>
      <c r="AB2341" s="1"/>
      <c r="AC2341" s="1"/>
      <c r="AD2341" s="1"/>
      <c r="AE2341" s="1"/>
      <c r="AF2341" s="1"/>
      <c r="AG2341" s="1"/>
      <c r="AH2341" s="1"/>
      <c r="AI2341" s="1"/>
      <c r="AJ2341" s="1"/>
      <c r="AK2341" s="1"/>
      <c r="AL2341" s="1"/>
      <c r="AM2341" s="1"/>
    </row>
    <row r="2342" spans="16:39" x14ac:dyDescent="0.25">
      <c r="P2342" s="49"/>
      <c r="Q2342" s="1"/>
      <c r="S2342" s="1"/>
      <c r="T2342" s="1"/>
      <c r="U2342" s="1"/>
      <c r="V2342" s="1"/>
      <c r="W2342" s="1"/>
      <c r="X2342" s="1"/>
      <c r="Y2342" s="1"/>
      <c r="AB2342" s="1"/>
      <c r="AC2342" s="1"/>
      <c r="AD2342" s="1"/>
      <c r="AE2342" s="1"/>
      <c r="AF2342" s="1"/>
      <c r="AG2342" s="1"/>
      <c r="AH2342" s="1"/>
      <c r="AI2342" s="1"/>
      <c r="AJ2342" s="1"/>
      <c r="AK2342" s="1"/>
      <c r="AL2342" s="1"/>
      <c r="AM2342" s="1"/>
    </row>
    <row r="2343" spans="16:39" x14ac:dyDescent="0.25">
      <c r="P2343" s="49"/>
      <c r="Q2343" s="1"/>
      <c r="S2343" s="1"/>
      <c r="T2343" s="1"/>
      <c r="U2343" s="1"/>
      <c r="V2343" s="1"/>
      <c r="W2343" s="1"/>
      <c r="X2343" s="1"/>
      <c r="Y2343" s="1"/>
      <c r="AB2343" s="1"/>
      <c r="AC2343" s="1"/>
      <c r="AD2343" s="1"/>
      <c r="AE2343" s="1"/>
      <c r="AF2343" s="1"/>
      <c r="AG2343" s="1"/>
      <c r="AH2343" s="1"/>
      <c r="AI2343" s="1"/>
      <c r="AJ2343" s="1"/>
      <c r="AK2343" s="1"/>
      <c r="AL2343" s="1"/>
      <c r="AM2343" s="1"/>
    </row>
    <row r="2344" spans="16:39" x14ac:dyDescent="0.25">
      <c r="P2344" s="49"/>
      <c r="Q2344" s="1"/>
      <c r="S2344" s="1"/>
      <c r="T2344" s="1"/>
      <c r="U2344" s="1"/>
      <c r="V2344" s="1"/>
      <c r="W2344" s="1"/>
      <c r="X2344" s="1"/>
      <c r="Y2344" s="1"/>
      <c r="AB2344" s="1"/>
      <c r="AC2344" s="1"/>
      <c r="AD2344" s="1"/>
      <c r="AE2344" s="1"/>
      <c r="AF2344" s="1"/>
      <c r="AG2344" s="1"/>
      <c r="AH2344" s="1"/>
      <c r="AI2344" s="1"/>
      <c r="AJ2344" s="1"/>
      <c r="AK2344" s="1"/>
      <c r="AL2344" s="1"/>
      <c r="AM2344" s="1"/>
    </row>
    <row r="2345" spans="16:39" x14ac:dyDescent="0.25">
      <c r="P2345" s="49"/>
      <c r="Q2345" s="1"/>
      <c r="S2345" s="1"/>
      <c r="T2345" s="1"/>
      <c r="U2345" s="1"/>
      <c r="V2345" s="1"/>
      <c r="W2345" s="1"/>
      <c r="X2345" s="1"/>
      <c r="Y2345" s="1"/>
      <c r="AB2345" s="1"/>
      <c r="AC2345" s="1"/>
      <c r="AD2345" s="1"/>
      <c r="AE2345" s="1"/>
      <c r="AF2345" s="1"/>
      <c r="AG2345" s="1"/>
      <c r="AH2345" s="1"/>
      <c r="AI2345" s="1"/>
      <c r="AJ2345" s="1"/>
      <c r="AK2345" s="1"/>
      <c r="AL2345" s="1"/>
      <c r="AM2345" s="1"/>
    </row>
    <row r="2346" spans="16:39" x14ac:dyDescent="0.25">
      <c r="P2346" s="49"/>
      <c r="Q2346" s="1"/>
      <c r="S2346" s="1"/>
      <c r="T2346" s="1"/>
      <c r="U2346" s="1"/>
      <c r="V2346" s="1"/>
      <c r="W2346" s="1"/>
      <c r="X2346" s="1"/>
      <c r="Y2346" s="1"/>
      <c r="AB2346" s="1"/>
      <c r="AC2346" s="1"/>
      <c r="AD2346" s="1"/>
      <c r="AE2346" s="1"/>
      <c r="AF2346" s="1"/>
      <c r="AG2346" s="1"/>
      <c r="AH2346" s="1"/>
      <c r="AI2346" s="1"/>
      <c r="AJ2346" s="1"/>
      <c r="AK2346" s="1"/>
      <c r="AL2346" s="1"/>
      <c r="AM2346" s="1"/>
    </row>
    <row r="2347" spans="16:39" x14ac:dyDescent="0.25">
      <c r="P2347" s="49"/>
      <c r="Q2347" s="1"/>
      <c r="S2347" s="1"/>
      <c r="T2347" s="1"/>
      <c r="U2347" s="1"/>
      <c r="V2347" s="1"/>
      <c r="W2347" s="1"/>
      <c r="X2347" s="1"/>
      <c r="Y2347" s="1"/>
      <c r="AB2347" s="1"/>
      <c r="AC2347" s="1"/>
      <c r="AD2347" s="1"/>
      <c r="AE2347" s="1"/>
      <c r="AF2347" s="1"/>
      <c r="AG2347" s="1"/>
      <c r="AH2347" s="1"/>
      <c r="AI2347" s="1"/>
      <c r="AJ2347" s="1"/>
      <c r="AK2347" s="1"/>
      <c r="AL2347" s="1"/>
      <c r="AM2347" s="1"/>
    </row>
    <row r="2348" spans="16:39" x14ac:dyDescent="0.25">
      <c r="P2348" s="49"/>
      <c r="Q2348" s="1"/>
      <c r="S2348" s="1"/>
      <c r="T2348" s="1"/>
      <c r="U2348" s="1"/>
      <c r="V2348" s="1"/>
      <c r="W2348" s="1"/>
      <c r="X2348" s="1"/>
      <c r="Y2348" s="1"/>
      <c r="AB2348" s="1"/>
      <c r="AC2348" s="1"/>
      <c r="AD2348" s="1"/>
      <c r="AE2348" s="1"/>
      <c r="AF2348" s="1"/>
      <c r="AG2348" s="1"/>
      <c r="AH2348" s="1"/>
      <c r="AI2348" s="1"/>
      <c r="AJ2348" s="1"/>
      <c r="AK2348" s="1"/>
      <c r="AL2348" s="1"/>
      <c r="AM2348" s="1"/>
    </row>
    <row r="2349" spans="16:39" x14ac:dyDescent="0.25">
      <c r="P2349" s="49"/>
      <c r="Q2349" s="1"/>
      <c r="S2349" s="1"/>
      <c r="T2349" s="1"/>
      <c r="U2349" s="1"/>
      <c r="V2349" s="1"/>
      <c r="W2349" s="1"/>
      <c r="X2349" s="1"/>
      <c r="Y2349" s="1"/>
      <c r="AB2349" s="1"/>
      <c r="AC2349" s="1"/>
      <c r="AD2349" s="1"/>
      <c r="AE2349" s="1"/>
      <c r="AF2349" s="1"/>
      <c r="AG2349" s="1"/>
      <c r="AH2349" s="1"/>
      <c r="AI2349" s="1"/>
      <c r="AJ2349" s="1"/>
      <c r="AK2349" s="1"/>
      <c r="AL2349" s="1"/>
      <c r="AM2349" s="1"/>
    </row>
    <row r="2350" spans="16:39" x14ac:dyDescent="0.25">
      <c r="P2350" s="49"/>
      <c r="Q2350" s="1"/>
      <c r="S2350" s="1"/>
      <c r="T2350" s="1"/>
      <c r="U2350" s="1"/>
      <c r="V2350" s="1"/>
      <c r="W2350" s="1"/>
      <c r="X2350" s="1"/>
      <c r="Y2350" s="1"/>
      <c r="AB2350" s="1"/>
      <c r="AC2350" s="1"/>
      <c r="AD2350" s="1"/>
      <c r="AE2350" s="1"/>
      <c r="AF2350" s="1"/>
      <c r="AG2350" s="1"/>
      <c r="AH2350" s="1"/>
      <c r="AI2350" s="1"/>
      <c r="AJ2350" s="1"/>
      <c r="AK2350" s="1"/>
      <c r="AL2350" s="1"/>
      <c r="AM2350" s="1"/>
    </row>
    <row r="2351" spans="16:39" x14ac:dyDescent="0.25">
      <c r="P2351" s="49"/>
      <c r="Q2351" s="1"/>
      <c r="S2351" s="1"/>
      <c r="T2351" s="1"/>
      <c r="U2351" s="1"/>
      <c r="V2351" s="1"/>
      <c r="W2351" s="1"/>
      <c r="X2351" s="1"/>
      <c r="Y2351" s="1"/>
      <c r="AB2351" s="1"/>
      <c r="AC2351" s="1"/>
      <c r="AD2351" s="1"/>
      <c r="AE2351" s="1"/>
      <c r="AF2351" s="1"/>
      <c r="AG2351" s="1"/>
      <c r="AH2351" s="1"/>
      <c r="AI2351" s="1"/>
      <c r="AJ2351" s="1"/>
      <c r="AK2351" s="1"/>
      <c r="AL2351" s="1"/>
      <c r="AM2351" s="1"/>
    </row>
    <row r="2352" spans="16:39" x14ac:dyDescent="0.25">
      <c r="P2352" s="49"/>
      <c r="Q2352" s="1"/>
      <c r="S2352" s="1"/>
      <c r="T2352" s="1"/>
      <c r="U2352" s="1"/>
      <c r="V2352" s="1"/>
      <c r="W2352" s="1"/>
      <c r="X2352" s="1"/>
      <c r="Y2352" s="1"/>
      <c r="AB2352" s="1"/>
      <c r="AC2352" s="1"/>
      <c r="AD2352" s="1"/>
      <c r="AE2352" s="1"/>
      <c r="AF2352" s="1"/>
      <c r="AG2352" s="1"/>
      <c r="AH2352" s="1"/>
      <c r="AI2352" s="1"/>
      <c r="AJ2352" s="1"/>
      <c r="AK2352" s="1"/>
      <c r="AL2352" s="1"/>
      <c r="AM2352" s="1"/>
    </row>
    <row r="2353" spans="16:39" x14ac:dyDescent="0.25">
      <c r="P2353" s="49"/>
      <c r="Q2353" s="1"/>
      <c r="S2353" s="1"/>
      <c r="T2353" s="1"/>
      <c r="U2353" s="1"/>
      <c r="V2353" s="1"/>
      <c r="W2353" s="1"/>
      <c r="X2353" s="1"/>
      <c r="Y2353" s="1"/>
      <c r="AB2353" s="1"/>
      <c r="AC2353" s="1"/>
      <c r="AD2353" s="1"/>
      <c r="AE2353" s="1"/>
      <c r="AF2353" s="1"/>
      <c r="AG2353" s="1"/>
      <c r="AH2353" s="1"/>
      <c r="AI2353" s="1"/>
      <c r="AJ2353" s="1"/>
      <c r="AK2353" s="1"/>
      <c r="AL2353" s="1"/>
      <c r="AM2353" s="1"/>
    </row>
    <row r="2354" spans="16:39" x14ac:dyDescent="0.25">
      <c r="P2354" s="49"/>
      <c r="Q2354" s="1"/>
      <c r="S2354" s="1"/>
      <c r="T2354" s="1"/>
      <c r="U2354" s="1"/>
      <c r="V2354" s="1"/>
      <c r="W2354" s="1"/>
      <c r="X2354" s="1"/>
      <c r="Y2354" s="1"/>
      <c r="AB2354" s="1"/>
      <c r="AC2354" s="1"/>
      <c r="AD2354" s="1"/>
      <c r="AE2354" s="1"/>
      <c r="AF2354" s="1"/>
      <c r="AG2354" s="1"/>
      <c r="AH2354" s="1"/>
      <c r="AI2354" s="1"/>
      <c r="AJ2354" s="1"/>
      <c r="AK2354" s="1"/>
      <c r="AL2354" s="1"/>
      <c r="AM2354" s="1"/>
    </row>
    <row r="2355" spans="16:39" x14ac:dyDescent="0.25">
      <c r="P2355" s="49"/>
      <c r="Q2355" s="1"/>
      <c r="S2355" s="1"/>
      <c r="T2355" s="1"/>
      <c r="U2355" s="1"/>
      <c r="V2355" s="1"/>
      <c r="W2355" s="1"/>
      <c r="X2355" s="1"/>
      <c r="Y2355" s="1"/>
      <c r="AB2355" s="1"/>
      <c r="AC2355" s="1"/>
      <c r="AD2355" s="1"/>
      <c r="AE2355" s="1"/>
      <c r="AF2355" s="1"/>
      <c r="AG2355" s="1"/>
      <c r="AH2355" s="1"/>
      <c r="AI2355" s="1"/>
      <c r="AJ2355" s="1"/>
      <c r="AK2355" s="1"/>
      <c r="AL2355" s="1"/>
      <c r="AM2355" s="1"/>
    </row>
    <row r="2356" spans="16:39" x14ac:dyDescent="0.25">
      <c r="P2356" s="49"/>
      <c r="Q2356" s="1"/>
      <c r="S2356" s="1"/>
      <c r="T2356" s="1"/>
      <c r="U2356" s="1"/>
      <c r="V2356" s="1"/>
      <c r="W2356" s="1"/>
      <c r="X2356" s="1"/>
      <c r="Y2356" s="1"/>
      <c r="AB2356" s="1"/>
      <c r="AC2356" s="1"/>
      <c r="AD2356" s="1"/>
      <c r="AE2356" s="1"/>
      <c r="AF2356" s="1"/>
      <c r="AG2356" s="1"/>
      <c r="AH2356" s="1"/>
      <c r="AI2356" s="1"/>
      <c r="AJ2356" s="1"/>
      <c r="AK2356" s="1"/>
      <c r="AL2356" s="1"/>
      <c r="AM2356" s="1"/>
    </row>
    <row r="2357" spans="16:39" x14ac:dyDescent="0.25">
      <c r="P2357" s="49"/>
      <c r="Q2357" s="1"/>
      <c r="S2357" s="1"/>
      <c r="T2357" s="1"/>
      <c r="U2357" s="1"/>
      <c r="V2357" s="1"/>
      <c r="W2357" s="1"/>
      <c r="X2357" s="1"/>
      <c r="Y2357" s="1"/>
      <c r="AB2357" s="1"/>
      <c r="AC2357" s="1"/>
      <c r="AD2357" s="1"/>
      <c r="AE2357" s="1"/>
      <c r="AF2357" s="1"/>
      <c r="AG2357" s="1"/>
      <c r="AH2357" s="1"/>
      <c r="AI2357" s="1"/>
      <c r="AJ2357" s="1"/>
      <c r="AK2357" s="1"/>
      <c r="AL2357" s="1"/>
      <c r="AM2357" s="1"/>
    </row>
    <row r="2358" spans="16:39" x14ac:dyDescent="0.25">
      <c r="P2358" s="49"/>
      <c r="Q2358" s="1"/>
      <c r="S2358" s="1"/>
      <c r="T2358" s="1"/>
      <c r="U2358" s="1"/>
      <c r="V2358" s="1"/>
      <c r="W2358" s="1"/>
      <c r="X2358" s="1"/>
      <c r="Y2358" s="1"/>
      <c r="AB2358" s="1"/>
      <c r="AC2358" s="1"/>
      <c r="AD2358" s="1"/>
      <c r="AE2358" s="1"/>
      <c r="AF2358" s="1"/>
      <c r="AG2358" s="1"/>
      <c r="AH2358" s="1"/>
      <c r="AI2358" s="1"/>
      <c r="AJ2358" s="1"/>
      <c r="AK2358" s="1"/>
      <c r="AL2358" s="1"/>
      <c r="AM2358" s="1"/>
    </row>
    <row r="2359" spans="16:39" x14ac:dyDescent="0.25">
      <c r="P2359" s="49"/>
      <c r="Q2359" s="1"/>
      <c r="S2359" s="1"/>
      <c r="T2359" s="1"/>
      <c r="U2359" s="1"/>
      <c r="V2359" s="1"/>
      <c r="W2359" s="1"/>
      <c r="X2359" s="1"/>
      <c r="Y2359" s="1"/>
      <c r="AB2359" s="1"/>
      <c r="AC2359" s="1"/>
      <c r="AD2359" s="1"/>
      <c r="AE2359" s="1"/>
      <c r="AF2359" s="1"/>
      <c r="AG2359" s="1"/>
      <c r="AH2359" s="1"/>
      <c r="AI2359" s="1"/>
      <c r="AJ2359" s="1"/>
      <c r="AK2359" s="1"/>
      <c r="AL2359" s="1"/>
      <c r="AM2359" s="1"/>
    </row>
    <row r="2360" spans="16:39" x14ac:dyDescent="0.25">
      <c r="P2360" s="49"/>
      <c r="Q2360" s="1"/>
      <c r="S2360" s="1"/>
      <c r="T2360" s="1"/>
      <c r="U2360" s="1"/>
      <c r="V2360" s="1"/>
      <c r="W2360" s="1"/>
      <c r="X2360" s="1"/>
      <c r="Y2360" s="1"/>
      <c r="AB2360" s="1"/>
      <c r="AC2360" s="1"/>
      <c r="AD2360" s="1"/>
      <c r="AE2360" s="1"/>
      <c r="AF2360" s="1"/>
      <c r="AG2360" s="1"/>
      <c r="AH2360" s="1"/>
      <c r="AI2360" s="1"/>
      <c r="AJ2360" s="1"/>
      <c r="AK2360" s="1"/>
      <c r="AL2360" s="1"/>
      <c r="AM2360" s="1"/>
    </row>
    <row r="2361" spans="16:39" x14ac:dyDescent="0.25">
      <c r="P2361" s="49"/>
      <c r="Q2361" s="1"/>
      <c r="S2361" s="1"/>
      <c r="T2361" s="1"/>
      <c r="U2361" s="1"/>
      <c r="V2361" s="1"/>
      <c r="W2361" s="1"/>
      <c r="X2361" s="1"/>
      <c r="Y2361" s="1"/>
      <c r="AB2361" s="1"/>
      <c r="AC2361" s="1"/>
      <c r="AD2361" s="1"/>
      <c r="AE2361" s="1"/>
      <c r="AF2361" s="1"/>
      <c r="AG2361" s="1"/>
      <c r="AH2361" s="1"/>
      <c r="AI2361" s="1"/>
      <c r="AJ2361" s="1"/>
      <c r="AK2361" s="1"/>
      <c r="AL2361" s="1"/>
      <c r="AM2361" s="1"/>
    </row>
    <row r="2362" spans="16:39" x14ac:dyDescent="0.25">
      <c r="P2362" s="49"/>
      <c r="Q2362" s="1"/>
      <c r="S2362" s="1"/>
      <c r="T2362" s="1"/>
      <c r="U2362" s="1"/>
      <c r="V2362" s="1"/>
      <c r="W2362" s="1"/>
      <c r="X2362" s="1"/>
      <c r="Y2362" s="1"/>
      <c r="AB2362" s="1"/>
      <c r="AC2362" s="1"/>
      <c r="AD2362" s="1"/>
      <c r="AE2362" s="1"/>
      <c r="AF2362" s="1"/>
      <c r="AG2362" s="1"/>
      <c r="AH2362" s="1"/>
      <c r="AI2362" s="1"/>
      <c r="AJ2362" s="1"/>
      <c r="AK2362" s="1"/>
      <c r="AL2362" s="1"/>
      <c r="AM2362" s="1"/>
    </row>
    <row r="2363" spans="16:39" x14ac:dyDescent="0.25">
      <c r="P2363" s="49"/>
      <c r="Q2363" s="1"/>
      <c r="S2363" s="1"/>
      <c r="T2363" s="1"/>
      <c r="U2363" s="1"/>
      <c r="V2363" s="1"/>
      <c r="W2363" s="1"/>
      <c r="X2363" s="1"/>
      <c r="Y2363" s="1"/>
      <c r="AB2363" s="1"/>
      <c r="AC2363" s="1"/>
      <c r="AD2363" s="1"/>
      <c r="AE2363" s="1"/>
      <c r="AF2363" s="1"/>
      <c r="AG2363" s="1"/>
      <c r="AH2363" s="1"/>
      <c r="AI2363" s="1"/>
      <c r="AJ2363" s="1"/>
      <c r="AK2363" s="1"/>
      <c r="AL2363" s="1"/>
      <c r="AM2363" s="1"/>
    </row>
    <row r="2364" spans="16:39" x14ac:dyDescent="0.25">
      <c r="P2364" s="49"/>
      <c r="Q2364" s="1"/>
      <c r="S2364" s="1"/>
      <c r="T2364" s="1"/>
      <c r="U2364" s="1"/>
      <c r="V2364" s="1"/>
      <c r="W2364" s="1"/>
      <c r="X2364" s="1"/>
      <c r="Y2364" s="1"/>
      <c r="AB2364" s="1"/>
      <c r="AC2364" s="1"/>
      <c r="AD2364" s="1"/>
      <c r="AE2364" s="1"/>
      <c r="AF2364" s="1"/>
      <c r="AG2364" s="1"/>
      <c r="AH2364" s="1"/>
      <c r="AI2364" s="1"/>
      <c r="AJ2364" s="1"/>
      <c r="AK2364" s="1"/>
      <c r="AL2364" s="1"/>
      <c r="AM2364" s="1"/>
    </row>
    <row r="2365" spans="16:39" x14ac:dyDescent="0.25">
      <c r="P2365" s="49"/>
      <c r="Q2365" s="1"/>
      <c r="S2365" s="1"/>
      <c r="T2365" s="1"/>
      <c r="U2365" s="1"/>
      <c r="V2365" s="1"/>
      <c r="W2365" s="1"/>
      <c r="X2365" s="1"/>
      <c r="Y2365" s="1"/>
      <c r="AB2365" s="1"/>
      <c r="AC2365" s="1"/>
      <c r="AD2365" s="1"/>
      <c r="AE2365" s="1"/>
      <c r="AF2365" s="1"/>
      <c r="AG2365" s="1"/>
      <c r="AH2365" s="1"/>
      <c r="AI2365" s="1"/>
      <c r="AJ2365" s="1"/>
      <c r="AK2365" s="1"/>
      <c r="AL2365" s="1"/>
      <c r="AM2365" s="1"/>
    </row>
    <row r="2366" spans="16:39" x14ac:dyDescent="0.25">
      <c r="P2366" s="49"/>
      <c r="Q2366" s="1"/>
      <c r="S2366" s="1"/>
      <c r="T2366" s="1"/>
      <c r="U2366" s="1"/>
      <c r="V2366" s="1"/>
      <c r="W2366" s="1"/>
      <c r="X2366" s="1"/>
      <c r="Y2366" s="1"/>
      <c r="AB2366" s="1"/>
      <c r="AC2366" s="1"/>
      <c r="AD2366" s="1"/>
      <c r="AE2366" s="1"/>
      <c r="AF2366" s="1"/>
      <c r="AG2366" s="1"/>
      <c r="AH2366" s="1"/>
      <c r="AI2366" s="1"/>
      <c r="AJ2366" s="1"/>
      <c r="AK2366" s="1"/>
      <c r="AL2366" s="1"/>
      <c r="AM2366" s="1"/>
    </row>
    <row r="2367" spans="16:39" x14ac:dyDescent="0.25">
      <c r="P2367" s="49"/>
      <c r="Q2367" s="1"/>
      <c r="S2367" s="1"/>
      <c r="T2367" s="1"/>
      <c r="U2367" s="1"/>
      <c r="V2367" s="1"/>
      <c r="W2367" s="1"/>
      <c r="X2367" s="1"/>
      <c r="Y2367" s="1"/>
      <c r="AB2367" s="1"/>
      <c r="AC2367" s="1"/>
      <c r="AD2367" s="1"/>
      <c r="AE2367" s="1"/>
      <c r="AF2367" s="1"/>
      <c r="AG2367" s="1"/>
      <c r="AH2367" s="1"/>
      <c r="AI2367" s="1"/>
      <c r="AJ2367" s="1"/>
      <c r="AK2367" s="1"/>
      <c r="AL2367" s="1"/>
      <c r="AM2367" s="1"/>
    </row>
    <row r="2368" spans="16:39" x14ac:dyDescent="0.25">
      <c r="P2368" s="49"/>
      <c r="Q2368" s="1"/>
      <c r="S2368" s="1"/>
      <c r="T2368" s="1"/>
      <c r="U2368" s="1"/>
      <c r="V2368" s="1"/>
      <c r="W2368" s="1"/>
      <c r="X2368" s="1"/>
      <c r="Y2368" s="1"/>
      <c r="AB2368" s="1"/>
      <c r="AC2368" s="1"/>
      <c r="AD2368" s="1"/>
      <c r="AE2368" s="1"/>
      <c r="AF2368" s="1"/>
      <c r="AG2368" s="1"/>
      <c r="AH2368" s="1"/>
      <c r="AI2368" s="1"/>
      <c r="AJ2368" s="1"/>
      <c r="AK2368" s="1"/>
      <c r="AL2368" s="1"/>
      <c r="AM2368" s="1"/>
    </row>
    <row r="2369" spans="16:39" x14ac:dyDescent="0.25">
      <c r="P2369" s="49"/>
      <c r="Q2369" s="1"/>
      <c r="S2369" s="1"/>
      <c r="T2369" s="1"/>
      <c r="U2369" s="1"/>
      <c r="V2369" s="1"/>
      <c r="W2369" s="1"/>
      <c r="X2369" s="1"/>
      <c r="Y2369" s="1"/>
      <c r="AB2369" s="1"/>
      <c r="AC2369" s="1"/>
      <c r="AD2369" s="1"/>
      <c r="AE2369" s="1"/>
      <c r="AF2369" s="1"/>
      <c r="AG2369" s="1"/>
      <c r="AH2369" s="1"/>
      <c r="AI2369" s="1"/>
      <c r="AJ2369" s="1"/>
      <c r="AK2369" s="1"/>
      <c r="AL2369" s="1"/>
      <c r="AM2369" s="1"/>
    </row>
    <row r="2370" spans="16:39" x14ac:dyDescent="0.25">
      <c r="P2370" s="49"/>
      <c r="Q2370" s="1"/>
      <c r="S2370" s="1"/>
      <c r="T2370" s="1"/>
      <c r="U2370" s="1"/>
      <c r="V2370" s="1"/>
      <c r="W2370" s="1"/>
      <c r="X2370" s="1"/>
      <c r="Y2370" s="1"/>
      <c r="AB2370" s="1"/>
      <c r="AC2370" s="1"/>
      <c r="AD2370" s="1"/>
      <c r="AE2370" s="1"/>
      <c r="AF2370" s="1"/>
      <c r="AG2370" s="1"/>
      <c r="AH2370" s="1"/>
      <c r="AI2370" s="1"/>
      <c r="AJ2370" s="1"/>
      <c r="AK2370" s="1"/>
      <c r="AL2370" s="1"/>
      <c r="AM2370" s="1"/>
    </row>
    <row r="2371" spans="16:39" x14ac:dyDescent="0.25">
      <c r="P2371" s="49"/>
      <c r="Q2371" s="1"/>
      <c r="S2371" s="1"/>
      <c r="T2371" s="1"/>
      <c r="U2371" s="1"/>
      <c r="V2371" s="1"/>
      <c r="W2371" s="1"/>
      <c r="X2371" s="1"/>
      <c r="Y2371" s="1"/>
      <c r="AB2371" s="1"/>
      <c r="AC2371" s="1"/>
      <c r="AD2371" s="1"/>
      <c r="AE2371" s="1"/>
      <c r="AF2371" s="1"/>
      <c r="AG2371" s="1"/>
      <c r="AH2371" s="1"/>
      <c r="AI2371" s="1"/>
      <c r="AJ2371" s="1"/>
      <c r="AK2371" s="1"/>
      <c r="AL2371" s="1"/>
      <c r="AM2371" s="1"/>
    </row>
    <row r="2372" spans="16:39" x14ac:dyDescent="0.25">
      <c r="P2372" s="49"/>
      <c r="Q2372" s="1"/>
      <c r="S2372" s="1"/>
      <c r="T2372" s="1"/>
      <c r="U2372" s="1"/>
      <c r="V2372" s="1"/>
      <c r="W2372" s="1"/>
      <c r="X2372" s="1"/>
      <c r="Y2372" s="1"/>
      <c r="AB2372" s="1"/>
      <c r="AC2372" s="1"/>
      <c r="AD2372" s="1"/>
      <c r="AE2372" s="1"/>
      <c r="AF2372" s="1"/>
      <c r="AG2372" s="1"/>
      <c r="AH2372" s="1"/>
      <c r="AI2372" s="1"/>
      <c r="AJ2372" s="1"/>
      <c r="AK2372" s="1"/>
      <c r="AL2372" s="1"/>
      <c r="AM2372" s="1"/>
    </row>
    <row r="2373" spans="16:39" x14ac:dyDescent="0.25">
      <c r="P2373" s="49"/>
      <c r="Q2373" s="1"/>
      <c r="S2373" s="1"/>
      <c r="T2373" s="1"/>
      <c r="U2373" s="1"/>
      <c r="V2373" s="1"/>
      <c r="W2373" s="1"/>
      <c r="X2373" s="1"/>
      <c r="Y2373" s="1"/>
      <c r="AB2373" s="1"/>
      <c r="AC2373" s="1"/>
      <c r="AD2373" s="1"/>
      <c r="AE2373" s="1"/>
      <c r="AF2373" s="1"/>
      <c r="AG2373" s="1"/>
      <c r="AH2373" s="1"/>
      <c r="AI2373" s="1"/>
      <c r="AJ2373" s="1"/>
      <c r="AK2373" s="1"/>
      <c r="AL2373" s="1"/>
      <c r="AM2373" s="1"/>
    </row>
    <row r="2374" spans="16:39" x14ac:dyDescent="0.25">
      <c r="P2374" s="49"/>
      <c r="Q2374" s="1"/>
      <c r="S2374" s="1"/>
      <c r="T2374" s="1"/>
      <c r="U2374" s="1"/>
      <c r="V2374" s="1"/>
      <c r="W2374" s="1"/>
      <c r="X2374" s="1"/>
      <c r="Y2374" s="1"/>
      <c r="AB2374" s="1"/>
      <c r="AC2374" s="1"/>
      <c r="AD2374" s="1"/>
      <c r="AE2374" s="1"/>
      <c r="AF2374" s="1"/>
      <c r="AG2374" s="1"/>
      <c r="AH2374" s="1"/>
      <c r="AI2374" s="1"/>
      <c r="AJ2374" s="1"/>
      <c r="AK2374" s="1"/>
      <c r="AL2374" s="1"/>
      <c r="AM2374" s="1"/>
    </row>
    <row r="2375" spans="16:39" x14ac:dyDescent="0.25">
      <c r="P2375" s="49"/>
      <c r="Q2375" s="1"/>
      <c r="S2375" s="1"/>
      <c r="T2375" s="1"/>
      <c r="U2375" s="1"/>
      <c r="V2375" s="1"/>
      <c r="W2375" s="1"/>
      <c r="X2375" s="1"/>
      <c r="Y2375" s="1"/>
      <c r="AB2375" s="1"/>
      <c r="AC2375" s="1"/>
      <c r="AD2375" s="1"/>
      <c r="AE2375" s="1"/>
      <c r="AF2375" s="1"/>
      <c r="AG2375" s="1"/>
      <c r="AH2375" s="1"/>
      <c r="AI2375" s="1"/>
      <c r="AJ2375" s="1"/>
      <c r="AK2375" s="1"/>
      <c r="AL2375" s="1"/>
      <c r="AM2375" s="1"/>
    </row>
    <row r="2376" spans="16:39" x14ac:dyDescent="0.25">
      <c r="P2376" s="49"/>
      <c r="Q2376" s="1"/>
      <c r="S2376" s="1"/>
      <c r="T2376" s="1"/>
      <c r="U2376" s="1"/>
      <c r="V2376" s="1"/>
      <c r="W2376" s="1"/>
      <c r="X2376" s="1"/>
      <c r="Y2376" s="1"/>
      <c r="AB2376" s="1"/>
      <c r="AC2376" s="1"/>
      <c r="AD2376" s="1"/>
      <c r="AE2376" s="1"/>
      <c r="AF2376" s="1"/>
      <c r="AG2376" s="1"/>
      <c r="AH2376" s="1"/>
      <c r="AI2376" s="1"/>
      <c r="AJ2376" s="1"/>
      <c r="AK2376" s="1"/>
      <c r="AL2376" s="1"/>
      <c r="AM2376" s="1"/>
    </row>
    <row r="2377" spans="16:39" x14ac:dyDescent="0.25">
      <c r="P2377" s="49"/>
      <c r="Q2377" s="1"/>
      <c r="S2377" s="1"/>
      <c r="T2377" s="1"/>
      <c r="U2377" s="1"/>
      <c r="V2377" s="1"/>
      <c r="W2377" s="1"/>
      <c r="X2377" s="1"/>
      <c r="Y2377" s="1"/>
      <c r="AB2377" s="1"/>
      <c r="AC2377" s="1"/>
      <c r="AD2377" s="1"/>
      <c r="AE2377" s="1"/>
      <c r="AF2377" s="1"/>
      <c r="AG2377" s="1"/>
      <c r="AH2377" s="1"/>
      <c r="AI2377" s="1"/>
      <c r="AJ2377" s="1"/>
      <c r="AK2377" s="1"/>
      <c r="AL2377" s="1"/>
      <c r="AM2377" s="1"/>
    </row>
    <row r="2378" spans="16:39" x14ac:dyDescent="0.25">
      <c r="P2378" s="49"/>
      <c r="Q2378" s="1"/>
      <c r="S2378" s="1"/>
      <c r="T2378" s="1"/>
      <c r="U2378" s="1"/>
      <c r="V2378" s="1"/>
      <c r="W2378" s="1"/>
      <c r="X2378" s="1"/>
      <c r="Y2378" s="1"/>
      <c r="AB2378" s="1"/>
      <c r="AC2378" s="1"/>
      <c r="AD2378" s="1"/>
      <c r="AE2378" s="1"/>
      <c r="AF2378" s="1"/>
      <c r="AG2378" s="1"/>
      <c r="AH2378" s="1"/>
      <c r="AI2378" s="1"/>
      <c r="AJ2378" s="1"/>
      <c r="AK2378" s="1"/>
      <c r="AL2378" s="1"/>
      <c r="AM2378" s="1"/>
    </row>
    <row r="2379" spans="16:39" x14ac:dyDescent="0.25">
      <c r="P2379" s="49"/>
      <c r="Q2379" s="1"/>
      <c r="S2379" s="1"/>
      <c r="T2379" s="1"/>
      <c r="U2379" s="1"/>
      <c r="V2379" s="1"/>
      <c r="W2379" s="1"/>
      <c r="X2379" s="1"/>
      <c r="Y2379" s="1"/>
      <c r="AB2379" s="1"/>
      <c r="AC2379" s="1"/>
      <c r="AD2379" s="1"/>
      <c r="AE2379" s="1"/>
      <c r="AF2379" s="1"/>
      <c r="AG2379" s="1"/>
      <c r="AH2379" s="1"/>
      <c r="AI2379" s="1"/>
      <c r="AJ2379" s="1"/>
      <c r="AK2379" s="1"/>
      <c r="AL2379" s="1"/>
      <c r="AM2379" s="1"/>
    </row>
    <row r="2380" spans="16:39" x14ac:dyDescent="0.25">
      <c r="P2380" s="49"/>
      <c r="Q2380" s="1"/>
      <c r="S2380" s="1"/>
      <c r="T2380" s="1"/>
      <c r="U2380" s="1"/>
      <c r="V2380" s="1"/>
      <c r="W2380" s="1"/>
      <c r="X2380" s="1"/>
      <c r="Y2380" s="1"/>
      <c r="AB2380" s="1"/>
      <c r="AC2380" s="1"/>
      <c r="AD2380" s="1"/>
      <c r="AE2380" s="1"/>
      <c r="AF2380" s="1"/>
      <c r="AG2380" s="1"/>
      <c r="AH2380" s="1"/>
      <c r="AI2380" s="1"/>
      <c r="AJ2380" s="1"/>
      <c r="AK2380" s="1"/>
      <c r="AL2380" s="1"/>
      <c r="AM2380" s="1"/>
    </row>
    <row r="2381" spans="16:39" x14ac:dyDescent="0.25">
      <c r="P2381" s="49"/>
      <c r="Q2381" s="1"/>
      <c r="S2381" s="1"/>
      <c r="T2381" s="1"/>
      <c r="U2381" s="1"/>
      <c r="V2381" s="1"/>
      <c r="W2381" s="1"/>
      <c r="X2381" s="1"/>
      <c r="Y2381" s="1"/>
      <c r="AB2381" s="1"/>
      <c r="AC2381" s="1"/>
      <c r="AD2381" s="1"/>
      <c r="AE2381" s="1"/>
      <c r="AF2381" s="1"/>
      <c r="AG2381" s="1"/>
      <c r="AH2381" s="1"/>
      <c r="AI2381" s="1"/>
      <c r="AJ2381" s="1"/>
      <c r="AK2381" s="1"/>
      <c r="AL2381" s="1"/>
      <c r="AM2381" s="1"/>
    </row>
    <row r="2382" spans="16:39" x14ac:dyDescent="0.25">
      <c r="P2382" s="49"/>
      <c r="Q2382" s="1"/>
      <c r="S2382" s="1"/>
      <c r="T2382" s="1"/>
      <c r="U2382" s="1"/>
      <c r="V2382" s="1"/>
      <c r="W2382" s="1"/>
      <c r="X2382" s="1"/>
      <c r="Y2382" s="1"/>
      <c r="AB2382" s="1"/>
      <c r="AC2382" s="1"/>
      <c r="AD2382" s="1"/>
      <c r="AE2382" s="1"/>
      <c r="AF2382" s="1"/>
      <c r="AG2382" s="1"/>
      <c r="AH2382" s="1"/>
      <c r="AI2382" s="1"/>
      <c r="AJ2382" s="1"/>
      <c r="AK2382" s="1"/>
      <c r="AL2382" s="1"/>
      <c r="AM2382" s="1"/>
    </row>
    <row r="2383" spans="16:39" x14ac:dyDescent="0.25">
      <c r="P2383" s="49"/>
      <c r="Q2383" s="1"/>
      <c r="S2383" s="1"/>
      <c r="T2383" s="1"/>
      <c r="U2383" s="1"/>
      <c r="V2383" s="1"/>
      <c r="W2383" s="1"/>
      <c r="X2383" s="1"/>
      <c r="Y2383" s="1"/>
      <c r="AB2383" s="1"/>
      <c r="AC2383" s="1"/>
      <c r="AD2383" s="1"/>
      <c r="AE2383" s="1"/>
      <c r="AF2383" s="1"/>
      <c r="AG2383" s="1"/>
      <c r="AH2383" s="1"/>
      <c r="AI2383" s="1"/>
      <c r="AJ2383" s="1"/>
      <c r="AK2383" s="1"/>
      <c r="AL2383" s="1"/>
      <c r="AM2383" s="1"/>
    </row>
    <row r="2384" spans="16:39" x14ac:dyDescent="0.25">
      <c r="P2384" s="49"/>
      <c r="Q2384" s="1"/>
      <c r="S2384" s="1"/>
      <c r="T2384" s="1"/>
      <c r="U2384" s="1"/>
      <c r="V2384" s="1"/>
      <c r="W2384" s="1"/>
      <c r="X2384" s="1"/>
      <c r="Y2384" s="1"/>
      <c r="AB2384" s="1"/>
      <c r="AC2384" s="1"/>
      <c r="AD2384" s="1"/>
      <c r="AE2384" s="1"/>
      <c r="AF2384" s="1"/>
      <c r="AG2384" s="1"/>
      <c r="AH2384" s="1"/>
      <c r="AI2384" s="1"/>
      <c r="AJ2384" s="1"/>
      <c r="AK2384" s="1"/>
      <c r="AL2384" s="1"/>
      <c r="AM2384" s="1"/>
    </row>
    <row r="2385" spans="16:39" x14ac:dyDescent="0.25">
      <c r="P2385" s="49"/>
      <c r="Q2385" s="1"/>
      <c r="S2385" s="1"/>
      <c r="T2385" s="1"/>
      <c r="U2385" s="1"/>
      <c r="V2385" s="1"/>
      <c r="W2385" s="1"/>
      <c r="X2385" s="1"/>
      <c r="Y2385" s="1"/>
      <c r="AB2385" s="1"/>
      <c r="AC2385" s="1"/>
      <c r="AD2385" s="1"/>
      <c r="AE2385" s="1"/>
      <c r="AF2385" s="1"/>
      <c r="AG2385" s="1"/>
      <c r="AH2385" s="1"/>
      <c r="AI2385" s="1"/>
      <c r="AJ2385" s="1"/>
      <c r="AK2385" s="1"/>
      <c r="AL2385" s="1"/>
      <c r="AM2385" s="1"/>
    </row>
    <row r="2386" spans="16:39" x14ac:dyDescent="0.25">
      <c r="P2386" s="49"/>
      <c r="Q2386" s="1"/>
      <c r="S2386" s="1"/>
      <c r="T2386" s="1"/>
      <c r="U2386" s="1"/>
      <c r="V2386" s="1"/>
      <c r="W2386" s="1"/>
      <c r="X2386" s="1"/>
      <c r="Y2386" s="1"/>
      <c r="AB2386" s="1"/>
      <c r="AC2386" s="1"/>
      <c r="AD2386" s="1"/>
      <c r="AE2386" s="1"/>
      <c r="AF2386" s="1"/>
      <c r="AG2386" s="1"/>
      <c r="AH2386" s="1"/>
      <c r="AI2386" s="1"/>
      <c r="AJ2386" s="1"/>
      <c r="AK2386" s="1"/>
      <c r="AL2386" s="1"/>
      <c r="AM2386" s="1"/>
    </row>
    <row r="2387" spans="16:39" x14ac:dyDescent="0.25">
      <c r="P2387" s="49"/>
      <c r="Q2387" s="1"/>
      <c r="S2387" s="1"/>
      <c r="T2387" s="1"/>
      <c r="U2387" s="1"/>
      <c r="V2387" s="1"/>
      <c r="W2387" s="1"/>
      <c r="X2387" s="1"/>
      <c r="Y2387" s="1"/>
      <c r="AB2387" s="1"/>
      <c r="AC2387" s="1"/>
      <c r="AD2387" s="1"/>
      <c r="AE2387" s="1"/>
      <c r="AF2387" s="1"/>
      <c r="AG2387" s="1"/>
      <c r="AH2387" s="1"/>
      <c r="AI2387" s="1"/>
      <c r="AJ2387" s="1"/>
      <c r="AK2387" s="1"/>
      <c r="AL2387" s="1"/>
      <c r="AM2387" s="1"/>
    </row>
    <row r="2388" spans="16:39" x14ac:dyDescent="0.25">
      <c r="P2388" s="49"/>
      <c r="Q2388" s="1"/>
      <c r="S2388" s="1"/>
      <c r="T2388" s="1"/>
      <c r="U2388" s="1"/>
      <c r="V2388" s="1"/>
      <c r="W2388" s="1"/>
      <c r="X2388" s="1"/>
      <c r="Y2388" s="1"/>
      <c r="AB2388" s="1"/>
      <c r="AC2388" s="1"/>
      <c r="AD2388" s="1"/>
      <c r="AE2388" s="1"/>
      <c r="AF2388" s="1"/>
      <c r="AG2388" s="1"/>
      <c r="AH2388" s="1"/>
      <c r="AI2388" s="1"/>
      <c r="AJ2388" s="1"/>
      <c r="AK2388" s="1"/>
      <c r="AL2388" s="1"/>
      <c r="AM2388" s="1"/>
    </row>
    <row r="2389" spans="16:39" x14ac:dyDescent="0.25">
      <c r="P2389" s="49"/>
      <c r="Q2389" s="1"/>
      <c r="S2389" s="1"/>
      <c r="T2389" s="1"/>
      <c r="U2389" s="1"/>
      <c r="V2389" s="1"/>
      <c r="W2389" s="1"/>
      <c r="X2389" s="1"/>
      <c r="Y2389" s="1"/>
      <c r="AB2389" s="1"/>
      <c r="AC2389" s="1"/>
      <c r="AD2389" s="1"/>
      <c r="AE2389" s="1"/>
      <c r="AF2389" s="1"/>
      <c r="AG2389" s="1"/>
      <c r="AH2389" s="1"/>
      <c r="AI2389" s="1"/>
      <c r="AJ2389" s="1"/>
      <c r="AK2389" s="1"/>
      <c r="AL2389" s="1"/>
      <c r="AM2389" s="1"/>
    </row>
    <row r="2390" spans="16:39" x14ac:dyDescent="0.25">
      <c r="P2390" s="49"/>
      <c r="Q2390" s="1"/>
      <c r="S2390" s="1"/>
      <c r="T2390" s="1"/>
      <c r="U2390" s="1"/>
      <c r="V2390" s="1"/>
      <c r="W2390" s="1"/>
      <c r="X2390" s="1"/>
      <c r="Y2390" s="1"/>
      <c r="AB2390" s="1"/>
      <c r="AC2390" s="1"/>
      <c r="AD2390" s="1"/>
      <c r="AE2390" s="1"/>
      <c r="AF2390" s="1"/>
      <c r="AG2390" s="1"/>
      <c r="AH2390" s="1"/>
      <c r="AI2390" s="1"/>
      <c r="AJ2390" s="1"/>
      <c r="AK2390" s="1"/>
      <c r="AL2390" s="1"/>
      <c r="AM2390" s="1"/>
    </row>
    <row r="2391" spans="16:39" x14ac:dyDescent="0.25">
      <c r="P2391" s="49"/>
      <c r="Q2391" s="1"/>
      <c r="S2391" s="1"/>
      <c r="T2391" s="1"/>
      <c r="U2391" s="1"/>
      <c r="V2391" s="1"/>
      <c r="W2391" s="1"/>
      <c r="X2391" s="1"/>
      <c r="Y2391" s="1"/>
      <c r="AB2391" s="1"/>
      <c r="AC2391" s="1"/>
      <c r="AD2391" s="1"/>
      <c r="AE2391" s="1"/>
      <c r="AF2391" s="1"/>
      <c r="AG2391" s="1"/>
      <c r="AH2391" s="1"/>
      <c r="AI2391" s="1"/>
      <c r="AJ2391" s="1"/>
      <c r="AK2391" s="1"/>
      <c r="AL2391" s="1"/>
      <c r="AM2391" s="1"/>
    </row>
    <row r="2392" spans="16:39" x14ac:dyDescent="0.25">
      <c r="P2392" s="49"/>
      <c r="Q2392" s="1"/>
      <c r="S2392" s="1"/>
      <c r="T2392" s="1"/>
      <c r="U2392" s="1"/>
      <c r="V2392" s="1"/>
      <c r="W2392" s="1"/>
      <c r="X2392" s="1"/>
      <c r="Y2392" s="1"/>
      <c r="AB2392" s="1"/>
      <c r="AC2392" s="1"/>
      <c r="AD2392" s="1"/>
      <c r="AE2392" s="1"/>
      <c r="AF2392" s="1"/>
      <c r="AG2392" s="1"/>
      <c r="AH2392" s="1"/>
      <c r="AI2392" s="1"/>
      <c r="AJ2392" s="1"/>
      <c r="AK2392" s="1"/>
      <c r="AL2392" s="1"/>
      <c r="AM2392" s="1"/>
    </row>
    <row r="2393" spans="16:39" x14ac:dyDescent="0.25">
      <c r="P2393" s="49"/>
      <c r="Q2393" s="1"/>
      <c r="S2393" s="1"/>
      <c r="T2393" s="1"/>
      <c r="U2393" s="1"/>
      <c r="V2393" s="1"/>
      <c r="W2393" s="1"/>
      <c r="X2393" s="1"/>
      <c r="Y2393" s="1"/>
      <c r="AB2393" s="1"/>
      <c r="AC2393" s="1"/>
      <c r="AD2393" s="1"/>
      <c r="AE2393" s="1"/>
      <c r="AF2393" s="1"/>
      <c r="AG2393" s="1"/>
      <c r="AH2393" s="1"/>
      <c r="AI2393" s="1"/>
      <c r="AJ2393" s="1"/>
      <c r="AK2393" s="1"/>
      <c r="AL2393" s="1"/>
      <c r="AM2393" s="1"/>
    </row>
    <row r="2394" spans="16:39" x14ac:dyDescent="0.25">
      <c r="P2394" s="49"/>
      <c r="Q2394" s="1"/>
      <c r="S2394" s="1"/>
      <c r="T2394" s="1"/>
      <c r="U2394" s="1"/>
      <c r="V2394" s="1"/>
      <c r="W2394" s="1"/>
      <c r="X2394" s="1"/>
      <c r="Y2394" s="1"/>
      <c r="AB2394" s="1"/>
      <c r="AC2394" s="1"/>
      <c r="AD2394" s="1"/>
      <c r="AE2394" s="1"/>
      <c r="AF2394" s="1"/>
      <c r="AG2394" s="1"/>
      <c r="AH2394" s="1"/>
      <c r="AI2394" s="1"/>
      <c r="AJ2394" s="1"/>
      <c r="AK2394" s="1"/>
      <c r="AL2394" s="1"/>
      <c r="AM2394" s="1"/>
    </row>
    <row r="2395" spans="16:39" x14ac:dyDescent="0.25">
      <c r="P2395" s="49"/>
      <c r="Q2395" s="1"/>
      <c r="S2395" s="1"/>
      <c r="T2395" s="1"/>
      <c r="U2395" s="1"/>
      <c r="V2395" s="1"/>
      <c r="W2395" s="1"/>
      <c r="X2395" s="1"/>
      <c r="Y2395" s="1"/>
      <c r="AB2395" s="1"/>
      <c r="AC2395" s="1"/>
      <c r="AD2395" s="1"/>
      <c r="AE2395" s="1"/>
      <c r="AF2395" s="1"/>
      <c r="AG2395" s="1"/>
      <c r="AH2395" s="1"/>
      <c r="AI2395" s="1"/>
      <c r="AJ2395" s="1"/>
      <c r="AK2395" s="1"/>
      <c r="AL2395" s="1"/>
      <c r="AM2395" s="1"/>
    </row>
    <row r="2396" spans="16:39" x14ac:dyDescent="0.25">
      <c r="P2396" s="49"/>
      <c r="Q2396" s="1"/>
      <c r="S2396" s="1"/>
      <c r="T2396" s="1"/>
      <c r="U2396" s="1"/>
      <c r="V2396" s="1"/>
      <c r="W2396" s="1"/>
      <c r="X2396" s="1"/>
      <c r="Y2396" s="1"/>
      <c r="AB2396" s="1"/>
      <c r="AC2396" s="1"/>
      <c r="AD2396" s="1"/>
      <c r="AE2396" s="1"/>
      <c r="AF2396" s="1"/>
      <c r="AG2396" s="1"/>
      <c r="AH2396" s="1"/>
      <c r="AI2396" s="1"/>
      <c r="AJ2396" s="1"/>
      <c r="AK2396" s="1"/>
      <c r="AL2396" s="1"/>
      <c r="AM2396" s="1"/>
    </row>
    <row r="2397" spans="16:39" x14ac:dyDescent="0.25">
      <c r="P2397" s="49"/>
      <c r="Q2397" s="1"/>
      <c r="S2397" s="1"/>
      <c r="T2397" s="1"/>
      <c r="U2397" s="1"/>
      <c r="V2397" s="1"/>
      <c r="W2397" s="1"/>
      <c r="X2397" s="1"/>
      <c r="Y2397" s="1"/>
      <c r="AB2397" s="1"/>
      <c r="AC2397" s="1"/>
      <c r="AD2397" s="1"/>
      <c r="AE2397" s="1"/>
      <c r="AF2397" s="1"/>
      <c r="AG2397" s="1"/>
      <c r="AH2397" s="1"/>
      <c r="AI2397" s="1"/>
      <c r="AJ2397" s="1"/>
      <c r="AK2397" s="1"/>
      <c r="AL2397" s="1"/>
      <c r="AM2397" s="1"/>
    </row>
    <row r="2398" spans="16:39" x14ac:dyDescent="0.25">
      <c r="P2398" s="49"/>
      <c r="Q2398" s="1"/>
      <c r="S2398" s="1"/>
      <c r="T2398" s="1"/>
      <c r="U2398" s="1"/>
      <c r="V2398" s="1"/>
      <c r="W2398" s="1"/>
      <c r="X2398" s="1"/>
      <c r="Y2398" s="1"/>
      <c r="AB2398" s="1"/>
      <c r="AC2398" s="1"/>
      <c r="AD2398" s="1"/>
      <c r="AE2398" s="1"/>
      <c r="AF2398" s="1"/>
      <c r="AG2398" s="1"/>
      <c r="AH2398" s="1"/>
      <c r="AI2398" s="1"/>
      <c r="AJ2398" s="1"/>
      <c r="AK2398" s="1"/>
      <c r="AL2398" s="1"/>
      <c r="AM2398" s="1"/>
    </row>
    <row r="2399" spans="16:39" x14ac:dyDescent="0.25">
      <c r="P2399" s="49"/>
      <c r="Q2399" s="1"/>
      <c r="S2399" s="1"/>
      <c r="T2399" s="1"/>
      <c r="U2399" s="1"/>
      <c r="V2399" s="1"/>
      <c r="W2399" s="1"/>
      <c r="X2399" s="1"/>
      <c r="Y2399" s="1"/>
      <c r="AB2399" s="1"/>
      <c r="AC2399" s="1"/>
      <c r="AD2399" s="1"/>
      <c r="AE2399" s="1"/>
      <c r="AF2399" s="1"/>
      <c r="AG2399" s="1"/>
      <c r="AH2399" s="1"/>
      <c r="AI2399" s="1"/>
      <c r="AJ2399" s="1"/>
      <c r="AK2399" s="1"/>
      <c r="AL2399" s="1"/>
      <c r="AM2399" s="1"/>
    </row>
    <row r="2400" spans="16:39" x14ac:dyDescent="0.25">
      <c r="P2400" s="49"/>
      <c r="Q2400" s="1"/>
      <c r="S2400" s="1"/>
      <c r="T2400" s="1"/>
      <c r="U2400" s="1"/>
      <c r="V2400" s="1"/>
      <c r="W2400" s="1"/>
      <c r="X2400" s="1"/>
      <c r="Y2400" s="1"/>
      <c r="AB2400" s="1"/>
      <c r="AC2400" s="1"/>
      <c r="AD2400" s="1"/>
      <c r="AE2400" s="1"/>
      <c r="AF2400" s="1"/>
      <c r="AG2400" s="1"/>
      <c r="AH2400" s="1"/>
      <c r="AI2400" s="1"/>
      <c r="AJ2400" s="1"/>
      <c r="AK2400" s="1"/>
      <c r="AL2400" s="1"/>
      <c r="AM2400" s="1"/>
    </row>
    <row r="2401" spans="16:39" x14ac:dyDescent="0.25">
      <c r="P2401" s="49"/>
      <c r="Q2401" s="1"/>
      <c r="S2401" s="1"/>
      <c r="T2401" s="1"/>
      <c r="U2401" s="1"/>
      <c r="V2401" s="1"/>
      <c r="W2401" s="1"/>
      <c r="X2401" s="1"/>
      <c r="Y2401" s="1"/>
      <c r="AB2401" s="1"/>
      <c r="AC2401" s="1"/>
      <c r="AD2401" s="1"/>
      <c r="AE2401" s="1"/>
      <c r="AF2401" s="1"/>
      <c r="AG2401" s="1"/>
      <c r="AH2401" s="1"/>
      <c r="AI2401" s="1"/>
      <c r="AJ2401" s="1"/>
      <c r="AK2401" s="1"/>
      <c r="AL2401" s="1"/>
      <c r="AM2401" s="1"/>
    </row>
    <row r="2402" spans="16:39" x14ac:dyDescent="0.25">
      <c r="P2402" s="49"/>
      <c r="Q2402" s="1"/>
      <c r="S2402" s="1"/>
      <c r="T2402" s="1"/>
      <c r="U2402" s="1"/>
      <c r="V2402" s="1"/>
      <c r="W2402" s="1"/>
      <c r="X2402" s="1"/>
      <c r="Y2402" s="1"/>
      <c r="AB2402" s="1"/>
      <c r="AC2402" s="1"/>
      <c r="AD2402" s="1"/>
      <c r="AE2402" s="1"/>
      <c r="AF2402" s="1"/>
      <c r="AG2402" s="1"/>
      <c r="AH2402" s="1"/>
      <c r="AI2402" s="1"/>
      <c r="AJ2402" s="1"/>
      <c r="AK2402" s="1"/>
      <c r="AL2402" s="1"/>
      <c r="AM2402" s="1"/>
    </row>
    <row r="2403" spans="16:39" x14ac:dyDescent="0.25">
      <c r="P2403" s="49"/>
      <c r="Q2403" s="1"/>
      <c r="S2403" s="1"/>
      <c r="T2403" s="1"/>
      <c r="U2403" s="1"/>
      <c r="V2403" s="1"/>
      <c r="W2403" s="1"/>
      <c r="X2403" s="1"/>
      <c r="Y2403" s="1"/>
      <c r="AB2403" s="1"/>
      <c r="AC2403" s="1"/>
      <c r="AD2403" s="1"/>
      <c r="AE2403" s="1"/>
      <c r="AF2403" s="1"/>
      <c r="AG2403" s="1"/>
      <c r="AH2403" s="1"/>
      <c r="AI2403" s="1"/>
      <c r="AJ2403" s="1"/>
      <c r="AK2403" s="1"/>
      <c r="AL2403" s="1"/>
      <c r="AM2403" s="1"/>
    </row>
    <row r="2404" spans="16:39" x14ac:dyDescent="0.25">
      <c r="P2404" s="49"/>
      <c r="Q2404" s="1"/>
      <c r="S2404" s="1"/>
      <c r="T2404" s="1"/>
      <c r="U2404" s="1"/>
      <c r="V2404" s="1"/>
      <c r="W2404" s="1"/>
      <c r="X2404" s="1"/>
      <c r="Y2404" s="1"/>
      <c r="AB2404" s="1"/>
      <c r="AC2404" s="1"/>
      <c r="AD2404" s="1"/>
      <c r="AE2404" s="1"/>
      <c r="AF2404" s="1"/>
      <c r="AG2404" s="1"/>
      <c r="AH2404" s="1"/>
      <c r="AI2404" s="1"/>
      <c r="AJ2404" s="1"/>
      <c r="AK2404" s="1"/>
      <c r="AL2404" s="1"/>
      <c r="AM2404" s="1"/>
    </row>
    <row r="2405" spans="16:39" x14ac:dyDescent="0.25">
      <c r="P2405" s="49"/>
      <c r="Q2405" s="1"/>
      <c r="S2405" s="1"/>
      <c r="T2405" s="1"/>
      <c r="U2405" s="1"/>
      <c r="V2405" s="1"/>
      <c r="W2405" s="1"/>
      <c r="X2405" s="1"/>
      <c r="Y2405" s="1"/>
      <c r="AB2405" s="1"/>
      <c r="AC2405" s="1"/>
      <c r="AD2405" s="1"/>
      <c r="AE2405" s="1"/>
      <c r="AF2405" s="1"/>
      <c r="AG2405" s="1"/>
      <c r="AH2405" s="1"/>
      <c r="AI2405" s="1"/>
      <c r="AJ2405" s="1"/>
      <c r="AK2405" s="1"/>
      <c r="AL2405" s="1"/>
      <c r="AM2405" s="1"/>
    </row>
    <row r="2406" spans="16:39" x14ac:dyDescent="0.25">
      <c r="P2406" s="49"/>
      <c r="Q2406" s="1"/>
      <c r="S2406" s="1"/>
      <c r="T2406" s="1"/>
      <c r="U2406" s="1"/>
      <c r="V2406" s="1"/>
      <c r="W2406" s="1"/>
      <c r="X2406" s="1"/>
      <c r="Y2406" s="1"/>
      <c r="AB2406" s="1"/>
      <c r="AC2406" s="1"/>
      <c r="AD2406" s="1"/>
      <c r="AE2406" s="1"/>
      <c r="AF2406" s="1"/>
      <c r="AG2406" s="1"/>
      <c r="AH2406" s="1"/>
      <c r="AI2406" s="1"/>
      <c r="AJ2406" s="1"/>
      <c r="AK2406" s="1"/>
      <c r="AL2406" s="1"/>
      <c r="AM2406" s="1"/>
    </row>
    <row r="2407" spans="16:39" x14ac:dyDescent="0.25">
      <c r="P2407" s="49"/>
      <c r="Q2407" s="1"/>
      <c r="S2407" s="1"/>
      <c r="T2407" s="1"/>
      <c r="U2407" s="1"/>
      <c r="V2407" s="1"/>
      <c r="W2407" s="1"/>
      <c r="X2407" s="1"/>
      <c r="Y2407" s="1"/>
      <c r="AB2407" s="1"/>
      <c r="AC2407" s="1"/>
      <c r="AD2407" s="1"/>
      <c r="AE2407" s="1"/>
      <c r="AF2407" s="1"/>
      <c r="AG2407" s="1"/>
      <c r="AH2407" s="1"/>
      <c r="AI2407" s="1"/>
      <c r="AJ2407" s="1"/>
      <c r="AK2407" s="1"/>
      <c r="AL2407" s="1"/>
      <c r="AM2407" s="1"/>
    </row>
    <row r="2408" spans="16:39" x14ac:dyDescent="0.25">
      <c r="P2408" s="49"/>
      <c r="Q2408" s="1"/>
      <c r="S2408" s="1"/>
      <c r="T2408" s="1"/>
      <c r="U2408" s="1"/>
      <c r="V2408" s="1"/>
      <c r="W2408" s="1"/>
      <c r="X2408" s="1"/>
      <c r="Y2408" s="1"/>
      <c r="AB2408" s="1"/>
      <c r="AC2408" s="1"/>
      <c r="AD2408" s="1"/>
      <c r="AE2408" s="1"/>
      <c r="AF2408" s="1"/>
      <c r="AG2408" s="1"/>
      <c r="AH2408" s="1"/>
      <c r="AI2408" s="1"/>
      <c r="AJ2408" s="1"/>
      <c r="AK2408" s="1"/>
      <c r="AL2408" s="1"/>
      <c r="AM2408" s="1"/>
    </row>
    <row r="2409" spans="16:39" x14ac:dyDescent="0.25">
      <c r="P2409" s="49"/>
      <c r="Q2409" s="1"/>
      <c r="S2409" s="1"/>
      <c r="T2409" s="1"/>
      <c r="U2409" s="1"/>
      <c r="V2409" s="1"/>
      <c r="W2409" s="1"/>
      <c r="X2409" s="1"/>
      <c r="Y2409" s="1"/>
      <c r="AB2409" s="1"/>
      <c r="AC2409" s="1"/>
      <c r="AD2409" s="1"/>
      <c r="AE2409" s="1"/>
      <c r="AF2409" s="1"/>
      <c r="AG2409" s="1"/>
      <c r="AH2409" s="1"/>
      <c r="AI2409" s="1"/>
      <c r="AJ2409" s="1"/>
      <c r="AK2409" s="1"/>
      <c r="AL2409" s="1"/>
      <c r="AM2409" s="1"/>
    </row>
    <row r="2410" spans="16:39" x14ac:dyDescent="0.25">
      <c r="P2410" s="49"/>
      <c r="Q2410" s="1"/>
      <c r="S2410" s="1"/>
      <c r="T2410" s="1"/>
      <c r="U2410" s="1"/>
      <c r="V2410" s="1"/>
      <c r="W2410" s="1"/>
      <c r="X2410" s="1"/>
      <c r="Y2410" s="1"/>
      <c r="AB2410" s="1"/>
      <c r="AC2410" s="1"/>
      <c r="AD2410" s="1"/>
      <c r="AE2410" s="1"/>
      <c r="AF2410" s="1"/>
      <c r="AG2410" s="1"/>
      <c r="AH2410" s="1"/>
      <c r="AI2410" s="1"/>
      <c r="AJ2410" s="1"/>
      <c r="AK2410" s="1"/>
      <c r="AL2410" s="1"/>
      <c r="AM2410" s="1"/>
    </row>
    <row r="2411" spans="16:39" x14ac:dyDescent="0.25">
      <c r="P2411" s="49"/>
      <c r="Q2411" s="1"/>
      <c r="S2411" s="1"/>
      <c r="T2411" s="1"/>
      <c r="U2411" s="1"/>
      <c r="V2411" s="1"/>
      <c r="W2411" s="1"/>
      <c r="X2411" s="1"/>
      <c r="Y2411" s="1"/>
      <c r="AB2411" s="1"/>
      <c r="AC2411" s="1"/>
      <c r="AD2411" s="1"/>
      <c r="AE2411" s="1"/>
      <c r="AF2411" s="1"/>
      <c r="AG2411" s="1"/>
      <c r="AH2411" s="1"/>
      <c r="AI2411" s="1"/>
      <c r="AJ2411" s="1"/>
      <c r="AK2411" s="1"/>
      <c r="AL2411" s="1"/>
      <c r="AM2411" s="1"/>
    </row>
    <row r="2412" spans="16:39" x14ac:dyDescent="0.25">
      <c r="P2412" s="49"/>
      <c r="Q2412" s="1"/>
      <c r="S2412" s="1"/>
      <c r="T2412" s="1"/>
      <c r="U2412" s="1"/>
      <c r="V2412" s="1"/>
      <c r="W2412" s="1"/>
      <c r="X2412" s="1"/>
      <c r="Y2412" s="1"/>
      <c r="AB2412" s="1"/>
      <c r="AC2412" s="1"/>
      <c r="AD2412" s="1"/>
      <c r="AE2412" s="1"/>
      <c r="AF2412" s="1"/>
      <c r="AG2412" s="1"/>
      <c r="AH2412" s="1"/>
      <c r="AI2412" s="1"/>
      <c r="AJ2412" s="1"/>
      <c r="AK2412" s="1"/>
      <c r="AL2412" s="1"/>
      <c r="AM2412" s="1"/>
    </row>
    <row r="2413" spans="16:39" x14ac:dyDescent="0.25">
      <c r="P2413" s="49"/>
      <c r="Q2413" s="1"/>
      <c r="S2413" s="1"/>
      <c r="T2413" s="1"/>
      <c r="U2413" s="1"/>
      <c r="V2413" s="1"/>
      <c r="W2413" s="1"/>
      <c r="X2413" s="1"/>
      <c r="Y2413" s="1"/>
      <c r="AB2413" s="1"/>
      <c r="AC2413" s="1"/>
      <c r="AD2413" s="1"/>
      <c r="AE2413" s="1"/>
      <c r="AF2413" s="1"/>
      <c r="AG2413" s="1"/>
      <c r="AH2413" s="1"/>
      <c r="AI2413" s="1"/>
      <c r="AJ2413" s="1"/>
      <c r="AK2413" s="1"/>
      <c r="AL2413" s="1"/>
      <c r="AM2413" s="1"/>
    </row>
    <row r="2414" spans="16:39" x14ac:dyDescent="0.25">
      <c r="P2414" s="49"/>
      <c r="Q2414" s="1"/>
      <c r="S2414" s="1"/>
      <c r="T2414" s="1"/>
      <c r="U2414" s="1"/>
      <c r="V2414" s="1"/>
      <c r="W2414" s="1"/>
      <c r="X2414" s="1"/>
      <c r="Y2414" s="1"/>
      <c r="AB2414" s="1"/>
      <c r="AC2414" s="1"/>
      <c r="AD2414" s="1"/>
      <c r="AE2414" s="1"/>
      <c r="AF2414" s="1"/>
      <c r="AG2414" s="1"/>
      <c r="AH2414" s="1"/>
      <c r="AI2414" s="1"/>
      <c r="AJ2414" s="1"/>
      <c r="AK2414" s="1"/>
      <c r="AL2414" s="1"/>
      <c r="AM2414" s="1"/>
    </row>
    <row r="2415" spans="16:39" x14ac:dyDescent="0.25">
      <c r="P2415" s="49"/>
      <c r="Q2415" s="1"/>
      <c r="S2415" s="1"/>
      <c r="T2415" s="1"/>
      <c r="U2415" s="1"/>
      <c r="V2415" s="1"/>
      <c r="W2415" s="1"/>
      <c r="X2415" s="1"/>
      <c r="Y2415" s="1"/>
      <c r="AB2415" s="1"/>
      <c r="AC2415" s="1"/>
      <c r="AD2415" s="1"/>
      <c r="AE2415" s="1"/>
      <c r="AF2415" s="1"/>
      <c r="AG2415" s="1"/>
      <c r="AH2415" s="1"/>
      <c r="AI2415" s="1"/>
      <c r="AJ2415" s="1"/>
      <c r="AK2415" s="1"/>
      <c r="AL2415" s="1"/>
      <c r="AM2415" s="1"/>
    </row>
    <row r="2416" spans="16:39" x14ac:dyDescent="0.25">
      <c r="P2416" s="49"/>
      <c r="Q2416" s="1"/>
      <c r="S2416" s="1"/>
      <c r="T2416" s="1"/>
      <c r="U2416" s="1"/>
      <c r="V2416" s="1"/>
      <c r="W2416" s="1"/>
      <c r="X2416" s="1"/>
      <c r="Y2416" s="1"/>
      <c r="AB2416" s="1"/>
      <c r="AC2416" s="1"/>
      <c r="AD2416" s="1"/>
      <c r="AE2416" s="1"/>
      <c r="AF2416" s="1"/>
      <c r="AG2416" s="1"/>
      <c r="AH2416" s="1"/>
      <c r="AI2416" s="1"/>
      <c r="AJ2416" s="1"/>
      <c r="AK2416" s="1"/>
      <c r="AL2416" s="1"/>
      <c r="AM2416" s="1"/>
    </row>
    <row r="2417" spans="16:39" x14ac:dyDescent="0.25">
      <c r="P2417" s="49"/>
      <c r="Q2417" s="1"/>
      <c r="S2417" s="1"/>
      <c r="T2417" s="1"/>
      <c r="U2417" s="1"/>
      <c r="V2417" s="1"/>
      <c r="W2417" s="1"/>
      <c r="X2417" s="1"/>
      <c r="Y2417" s="1"/>
      <c r="AB2417" s="1"/>
      <c r="AC2417" s="1"/>
      <c r="AD2417" s="1"/>
      <c r="AE2417" s="1"/>
      <c r="AF2417" s="1"/>
      <c r="AG2417" s="1"/>
      <c r="AH2417" s="1"/>
      <c r="AI2417" s="1"/>
      <c r="AJ2417" s="1"/>
      <c r="AK2417" s="1"/>
      <c r="AL2417" s="1"/>
      <c r="AM2417" s="1"/>
    </row>
    <row r="2418" spans="16:39" x14ac:dyDescent="0.25">
      <c r="P2418" s="49"/>
      <c r="Q2418" s="1"/>
      <c r="S2418" s="1"/>
      <c r="T2418" s="1"/>
      <c r="U2418" s="1"/>
      <c r="V2418" s="1"/>
      <c r="W2418" s="1"/>
      <c r="X2418" s="1"/>
      <c r="Y2418" s="1"/>
      <c r="AB2418" s="1"/>
      <c r="AC2418" s="1"/>
      <c r="AD2418" s="1"/>
      <c r="AE2418" s="1"/>
      <c r="AF2418" s="1"/>
      <c r="AG2418" s="1"/>
      <c r="AH2418" s="1"/>
      <c r="AI2418" s="1"/>
      <c r="AJ2418" s="1"/>
      <c r="AK2418" s="1"/>
      <c r="AL2418" s="1"/>
      <c r="AM2418" s="1"/>
    </row>
    <row r="2419" spans="16:39" x14ac:dyDescent="0.25">
      <c r="P2419" s="49"/>
      <c r="Q2419" s="1"/>
      <c r="S2419" s="1"/>
      <c r="T2419" s="1"/>
      <c r="U2419" s="1"/>
      <c r="V2419" s="1"/>
      <c r="W2419" s="1"/>
      <c r="X2419" s="1"/>
      <c r="Y2419" s="1"/>
      <c r="AB2419" s="1"/>
      <c r="AC2419" s="1"/>
      <c r="AD2419" s="1"/>
      <c r="AE2419" s="1"/>
      <c r="AF2419" s="1"/>
      <c r="AG2419" s="1"/>
      <c r="AH2419" s="1"/>
      <c r="AI2419" s="1"/>
      <c r="AJ2419" s="1"/>
      <c r="AK2419" s="1"/>
      <c r="AL2419" s="1"/>
      <c r="AM2419" s="1"/>
    </row>
    <row r="2420" spans="16:39" x14ac:dyDescent="0.25">
      <c r="P2420" s="49"/>
      <c r="Q2420" s="1"/>
      <c r="S2420" s="1"/>
      <c r="T2420" s="1"/>
      <c r="U2420" s="1"/>
      <c r="V2420" s="1"/>
      <c r="W2420" s="1"/>
      <c r="X2420" s="1"/>
      <c r="Y2420" s="1"/>
      <c r="AB2420" s="1"/>
      <c r="AC2420" s="1"/>
      <c r="AD2420" s="1"/>
      <c r="AE2420" s="1"/>
      <c r="AF2420" s="1"/>
      <c r="AG2420" s="1"/>
      <c r="AH2420" s="1"/>
      <c r="AI2420" s="1"/>
      <c r="AJ2420" s="1"/>
      <c r="AK2420" s="1"/>
      <c r="AL2420" s="1"/>
      <c r="AM2420" s="1"/>
    </row>
    <row r="2421" spans="16:39" x14ac:dyDescent="0.25">
      <c r="P2421" s="49"/>
      <c r="Q2421" s="1"/>
      <c r="S2421" s="1"/>
      <c r="T2421" s="1"/>
      <c r="U2421" s="1"/>
      <c r="V2421" s="1"/>
      <c r="W2421" s="1"/>
      <c r="X2421" s="1"/>
      <c r="Y2421" s="1"/>
      <c r="AB2421" s="1"/>
      <c r="AC2421" s="1"/>
      <c r="AD2421" s="1"/>
      <c r="AE2421" s="1"/>
      <c r="AF2421" s="1"/>
      <c r="AG2421" s="1"/>
      <c r="AH2421" s="1"/>
      <c r="AI2421" s="1"/>
      <c r="AJ2421" s="1"/>
      <c r="AK2421" s="1"/>
      <c r="AL2421" s="1"/>
      <c r="AM2421" s="1"/>
    </row>
    <row r="2422" spans="16:39" x14ac:dyDescent="0.25">
      <c r="P2422" s="49"/>
      <c r="Q2422" s="1"/>
      <c r="S2422" s="1"/>
      <c r="T2422" s="1"/>
      <c r="U2422" s="1"/>
      <c r="V2422" s="1"/>
      <c r="W2422" s="1"/>
      <c r="X2422" s="1"/>
      <c r="Y2422" s="1"/>
      <c r="AB2422" s="1"/>
      <c r="AC2422" s="1"/>
      <c r="AD2422" s="1"/>
      <c r="AE2422" s="1"/>
      <c r="AF2422" s="1"/>
      <c r="AG2422" s="1"/>
      <c r="AH2422" s="1"/>
      <c r="AI2422" s="1"/>
      <c r="AJ2422" s="1"/>
      <c r="AK2422" s="1"/>
      <c r="AL2422" s="1"/>
      <c r="AM2422" s="1"/>
    </row>
    <row r="2423" spans="16:39" x14ac:dyDescent="0.25">
      <c r="P2423" s="49"/>
      <c r="Q2423" s="1"/>
      <c r="S2423" s="1"/>
      <c r="T2423" s="1"/>
      <c r="U2423" s="1"/>
      <c r="V2423" s="1"/>
      <c r="W2423" s="1"/>
      <c r="X2423" s="1"/>
      <c r="Y2423" s="1"/>
      <c r="AB2423" s="1"/>
      <c r="AC2423" s="1"/>
      <c r="AD2423" s="1"/>
      <c r="AE2423" s="1"/>
      <c r="AF2423" s="1"/>
      <c r="AG2423" s="1"/>
      <c r="AH2423" s="1"/>
      <c r="AI2423" s="1"/>
      <c r="AJ2423" s="1"/>
      <c r="AK2423" s="1"/>
      <c r="AL2423" s="1"/>
      <c r="AM2423" s="1"/>
    </row>
    <row r="2424" spans="16:39" x14ac:dyDescent="0.25">
      <c r="P2424" s="49"/>
      <c r="Q2424" s="1"/>
      <c r="S2424" s="1"/>
      <c r="T2424" s="1"/>
      <c r="U2424" s="1"/>
      <c r="V2424" s="1"/>
      <c r="W2424" s="1"/>
      <c r="X2424" s="1"/>
      <c r="Y2424" s="1"/>
      <c r="AB2424" s="1"/>
      <c r="AC2424" s="1"/>
      <c r="AD2424" s="1"/>
      <c r="AE2424" s="1"/>
      <c r="AF2424" s="1"/>
      <c r="AG2424" s="1"/>
      <c r="AH2424" s="1"/>
      <c r="AI2424" s="1"/>
      <c r="AJ2424" s="1"/>
      <c r="AK2424" s="1"/>
      <c r="AL2424" s="1"/>
      <c r="AM2424" s="1"/>
    </row>
    <row r="2425" spans="16:39" x14ac:dyDescent="0.25">
      <c r="P2425" s="49"/>
      <c r="Q2425" s="1"/>
      <c r="S2425" s="1"/>
      <c r="T2425" s="1"/>
      <c r="U2425" s="1"/>
      <c r="V2425" s="1"/>
      <c r="W2425" s="1"/>
      <c r="X2425" s="1"/>
      <c r="Y2425" s="1"/>
      <c r="AB2425" s="1"/>
      <c r="AC2425" s="1"/>
      <c r="AD2425" s="1"/>
      <c r="AE2425" s="1"/>
      <c r="AF2425" s="1"/>
      <c r="AG2425" s="1"/>
      <c r="AH2425" s="1"/>
      <c r="AI2425" s="1"/>
      <c r="AJ2425" s="1"/>
      <c r="AK2425" s="1"/>
      <c r="AL2425" s="1"/>
      <c r="AM2425" s="1"/>
    </row>
    <row r="2426" spans="16:39" x14ac:dyDescent="0.25">
      <c r="P2426" s="49"/>
      <c r="Q2426" s="1"/>
      <c r="S2426" s="1"/>
      <c r="T2426" s="1"/>
      <c r="U2426" s="1"/>
      <c r="V2426" s="1"/>
      <c r="W2426" s="1"/>
      <c r="X2426" s="1"/>
      <c r="Y2426" s="1"/>
      <c r="AB2426" s="1"/>
      <c r="AC2426" s="1"/>
      <c r="AD2426" s="1"/>
      <c r="AE2426" s="1"/>
      <c r="AF2426" s="1"/>
      <c r="AG2426" s="1"/>
      <c r="AH2426" s="1"/>
      <c r="AI2426" s="1"/>
      <c r="AJ2426" s="1"/>
      <c r="AK2426" s="1"/>
      <c r="AL2426" s="1"/>
      <c r="AM2426" s="1"/>
    </row>
    <row r="2427" spans="16:39" x14ac:dyDescent="0.25">
      <c r="P2427" s="49"/>
      <c r="Q2427" s="1"/>
      <c r="S2427" s="1"/>
      <c r="T2427" s="1"/>
      <c r="U2427" s="1"/>
      <c r="V2427" s="1"/>
      <c r="W2427" s="1"/>
      <c r="X2427" s="1"/>
      <c r="Y2427" s="1"/>
      <c r="AB2427" s="1"/>
      <c r="AC2427" s="1"/>
      <c r="AD2427" s="1"/>
      <c r="AE2427" s="1"/>
      <c r="AF2427" s="1"/>
      <c r="AG2427" s="1"/>
      <c r="AH2427" s="1"/>
      <c r="AI2427" s="1"/>
      <c r="AJ2427" s="1"/>
      <c r="AK2427" s="1"/>
      <c r="AL2427" s="1"/>
      <c r="AM2427" s="1"/>
    </row>
    <row r="2428" spans="16:39" x14ac:dyDescent="0.25">
      <c r="P2428" s="49"/>
      <c r="Q2428" s="1"/>
      <c r="S2428" s="1"/>
      <c r="T2428" s="1"/>
      <c r="U2428" s="1"/>
      <c r="V2428" s="1"/>
      <c r="W2428" s="1"/>
      <c r="X2428" s="1"/>
      <c r="Y2428" s="1"/>
      <c r="AB2428" s="1"/>
      <c r="AC2428" s="1"/>
      <c r="AD2428" s="1"/>
      <c r="AE2428" s="1"/>
      <c r="AF2428" s="1"/>
      <c r="AG2428" s="1"/>
      <c r="AH2428" s="1"/>
      <c r="AI2428" s="1"/>
      <c r="AJ2428" s="1"/>
      <c r="AK2428" s="1"/>
      <c r="AL2428" s="1"/>
      <c r="AM2428" s="1"/>
    </row>
    <row r="2429" spans="16:39" x14ac:dyDescent="0.25">
      <c r="P2429" s="49"/>
      <c r="Q2429" s="1"/>
      <c r="S2429" s="1"/>
      <c r="T2429" s="1"/>
      <c r="U2429" s="1"/>
      <c r="V2429" s="1"/>
      <c r="W2429" s="1"/>
      <c r="X2429" s="1"/>
      <c r="Y2429" s="1"/>
      <c r="AB2429" s="1"/>
      <c r="AC2429" s="1"/>
      <c r="AD2429" s="1"/>
      <c r="AE2429" s="1"/>
      <c r="AF2429" s="1"/>
      <c r="AG2429" s="1"/>
      <c r="AH2429" s="1"/>
      <c r="AI2429" s="1"/>
      <c r="AJ2429" s="1"/>
      <c r="AK2429" s="1"/>
      <c r="AL2429" s="1"/>
      <c r="AM2429" s="1"/>
    </row>
    <row r="2430" spans="16:39" x14ac:dyDescent="0.25">
      <c r="P2430" s="49"/>
      <c r="Q2430" s="1"/>
      <c r="S2430" s="1"/>
      <c r="T2430" s="1"/>
      <c r="U2430" s="1"/>
      <c r="V2430" s="1"/>
      <c r="W2430" s="1"/>
      <c r="X2430" s="1"/>
      <c r="Y2430" s="1"/>
      <c r="AB2430" s="1"/>
      <c r="AC2430" s="1"/>
      <c r="AD2430" s="1"/>
      <c r="AE2430" s="1"/>
      <c r="AF2430" s="1"/>
      <c r="AG2430" s="1"/>
      <c r="AH2430" s="1"/>
      <c r="AI2430" s="1"/>
      <c r="AJ2430" s="1"/>
      <c r="AK2430" s="1"/>
      <c r="AL2430" s="1"/>
      <c r="AM2430" s="1"/>
    </row>
    <row r="2431" spans="16:39" x14ac:dyDescent="0.25">
      <c r="P2431" s="49"/>
      <c r="Q2431" s="1"/>
      <c r="S2431" s="1"/>
      <c r="T2431" s="1"/>
      <c r="U2431" s="1"/>
      <c r="V2431" s="1"/>
      <c r="W2431" s="1"/>
      <c r="X2431" s="1"/>
      <c r="Y2431" s="1"/>
      <c r="AB2431" s="1"/>
      <c r="AC2431" s="1"/>
      <c r="AD2431" s="1"/>
      <c r="AE2431" s="1"/>
      <c r="AF2431" s="1"/>
      <c r="AG2431" s="1"/>
      <c r="AH2431" s="1"/>
      <c r="AI2431" s="1"/>
      <c r="AJ2431" s="1"/>
      <c r="AK2431" s="1"/>
      <c r="AL2431" s="1"/>
      <c r="AM2431" s="1"/>
    </row>
    <row r="2432" spans="16:39" x14ac:dyDescent="0.25">
      <c r="P2432" s="49"/>
      <c r="Q2432" s="1"/>
      <c r="S2432" s="1"/>
      <c r="T2432" s="1"/>
      <c r="U2432" s="1"/>
      <c r="V2432" s="1"/>
      <c r="W2432" s="1"/>
      <c r="X2432" s="1"/>
      <c r="Y2432" s="1"/>
      <c r="AB2432" s="1"/>
      <c r="AC2432" s="1"/>
      <c r="AD2432" s="1"/>
      <c r="AE2432" s="1"/>
      <c r="AF2432" s="1"/>
      <c r="AG2432" s="1"/>
      <c r="AH2432" s="1"/>
      <c r="AI2432" s="1"/>
      <c r="AJ2432" s="1"/>
      <c r="AK2432" s="1"/>
      <c r="AL2432" s="1"/>
      <c r="AM2432" s="1"/>
    </row>
    <row r="2433" spans="16:39" x14ac:dyDescent="0.25">
      <c r="P2433" s="49"/>
      <c r="Q2433" s="1"/>
      <c r="S2433" s="1"/>
      <c r="T2433" s="1"/>
      <c r="U2433" s="1"/>
      <c r="V2433" s="1"/>
      <c r="W2433" s="1"/>
      <c r="X2433" s="1"/>
      <c r="Y2433" s="1"/>
      <c r="AB2433" s="1"/>
      <c r="AC2433" s="1"/>
      <c r="AD2433" s="1"/>
      <c r="AE2433" s="1"/>
      <c r="AF2433" s="1"/>
      <c r="AG2433" s="1"/>
      <c r="AH2433" s="1"/>
      <c r="AI2433" s="1"/>
      <c r="AJ2433" s="1"/>
      <c r="AK2433" s="1"/>
      <c r="AL2433" s="1"/>
      <c r="AM2433" s="1"/>
    </row>
    <row r="2434" spans="16:39" x14ac:dyDescent="0.25">
      <c r="P2434" s="49"/>
      <c r="Q2434" s="1"/>
      <c r="S2434" s="1"/>
      <c r="T2434" s="1"/>
      <c r="U2434" s="1"/>
      <c r="V2434" s="1"/>
      <c r="W2434" s="1"/>
      <c r="X2434" s="1"/>
      <c r="Y2434" s="1"/>
      <c r="AB2434" s="1"/>
      <c r="AC2434" s="1"/>
      <c r="AD2434" s="1"/>
      <c r="AE2434" s="1"/>
      <c r="AF2434" s="1"/>
      <c r="AG2434" s="1"/>
      <c r="AH2434" s="1"/>
      <c r="AI2434" s="1"/>
      <c r="AJ2434" s="1"/>
      <c r="AK2434" s="1"/>
      <c r="AL2434" s="1"/>
      <c r="AM2434" s="1"/>
    </row>
    <row r="2435" spans="16:39" x14ac:dyDescent="0.25">
      <c r="P2435" s="49"/>
      <c r="Q2435" s="1"/>
      <c r="S2435" s="1"/>
      <c r="T2435" s="1"/>
      <c r="U2435" s="1"/>
      <c r="V2435" s="1"/>
      <c r="W2435" s="1"/>
      <c r="X2435" s="1"/>
      <c r="Y2435" s="1"/>
      <c r="AB2435" s="1"/>
      <c r="AC2435" s="1"/>
      <c r="AD2435" s="1"/>
      <c r="AE2435" s="1"/>
      <c r="AF2435" s="1"/>
      <c r="AG2435" s="1"/>
      <c r="AH2435" s="1"/>
      <c r="AI2435" s="1"/>
      <c r="AJ2435" s="1"/>
      <c r="AK2435" s="1"/>
      <c r="AL2435" s="1"/>
      <c r="AM2435" s="1"/>
    </row>
    <row r="2436" spans="16:39" x14ac:dyDescent="0.25">
      <c r="P2436" s="49"/>
      <c r="Q2436" s="1"/>
      <c r="S2436" s="1"/>
      <c r="T2436" s="1"/>
      <c r="U2436" s="1"/>
      <c r="V2436" s="1"/>
      <c r="W2436" s="1"/>
      <c r="X2436" s="1"/>
      <c r="Y2436" s="1"/>
      <c r="AB2436" s="1"/>
      <c r="AC2436" s="1"/>
      <c r="AD2436" s="1"/>
      <c r="AE2436" s="1"/>
      <c r="AF2436" s="1"/>
      <c r="AG2436" s="1"/>
      <c r="AH2436" s="1"/>
      <c r="AI2436" s="1"/>
      <c r="AJ2436" s="1"/>
      <c r="AK2436" s="1"/>
      <c r="AL2436" s="1"/>
      <c r="AM2436" s="1"/>
    </row>
    <row r="2437" spans="16:39" x14ac:dyDescent="0.25">
      <c r="P2437" s="49"/>
      <c r="Q2437" s="1"/>
      <c r="S2437" s="1"/>
      <c r="T2437" s="1"/>
      <c r="U2437" s="1"/>
      <c r="V2437" s="1"/>
      <c r="W2437" s="1"/>
      <c r="X2437" s="1"/>
      <c r="Y2437" s="1"/>
      <c r="AB2437" s="1"/>
      <c r="AC2437" s="1"/>
      <c r="AD2437" s="1"/>
      <c r="AE2437" s="1"/>
      <c r="AF2437" s="1"/>
      <c r="AG2437" s="1"/>
      <c r="AH2437" s="1"/>
      <c r="AI2437" s="1"/>
      <c r="AJ2437" s="1"/>
      <c r="AK2437" s="1"/>
      <c r="AL2437" s="1"/>
      <c r="AM2437" s="1"/>
    </row>
    <row r="2438" spans="16:39" x14ac:dyDescent="0.25">
      <c r="P2438" s="49"/>
      <c r="Q2438" s="1"/>
      <c r="S2438" s="1"/>
      <c r="T2438" s="1"/>
      <c r="U2438" s="1"/>
      <c r="V2438" s="1"/>
      <c r="W2438" s="1"/>
      <c r="X2438" s="1"/>
      <c r="Y2438" s="1"/>
      <c r="AB2438" s="1"/>
      <c r="AC2438" s="1"/>
      <c r="AD2438" s="1"/>
      <c r="AE2438" s="1"/>
      <c r="AF2438" s="1"/>
      <c r="AG2438" s="1"/>
      <c r="AH2438" s="1"/>
      <c r="AI2438" s="1"/>
      <c r="AJ2438" s="1"/>
      <c r="AK2438" s="1"/>
      <c r="AL2438" s="1"/>
      <c r="AM2438" s="1"/>
    </row>
    <row r="2439" spans="16:39" x14ac:dyDescent="0.25">
      <c r="P2439" s="49"/>
      <c r="Q2439" s="1"/>
      <c r="S2439" s="1"/>
      <c r="T2439" s="1"/>
      <c r="U2439" s="1"/>
      <c r="V2439" s="1"/>
      <c r="W2439" s="1"/>
      <c r="X2439" s="1"/>
      <c r="Y2439" s="1"/>
      <c r="AB2439" s="1"/>
      <c r="AC2439" s="1"/>
      <c r="AD2439" s="1"/>
      <c r="AE2439" s="1"/>
      <c r="AF2439" s="1"/>
      <c r="AG2439" s="1"/>
      <c r="AH2439" s="1"/>
      <c r="AI2439" s="1"/>
      <c r="AJ2439" s="1"/>
      <c r="AK2439" s="1"/>
      <c r="AL2439" s="1"/>
      <c r="AM2439" s="1"/>
    </row>
    <row r="2440" spans="16:39" x14ac:dyDescent="0.25">
      <c r="P2440" s="49"/>
      <c r="Q2440" s="1"/>
      <c r="S2440" s="1"/>
      <c r="T2440" s="1"/>
      <c r="U2440" s="1"/>
      <c r="V2440" s="1"/>
      <c r="W2440" s="1"/>
      <c r="X2440" s="1"/>
      <c r="Y2440" s="1"/>
      <c r="AB2440" s="1"/>
      <c r="AC2440" s="1"/>
      <c r="AD2440" s="1"/>
      <c r="AE2440" s="1"/>
      <c r="AF2440" s="1"/>
      <c r="AG2440" s="1"/>
      <c r="AH2440" s="1"/>
      <c r="AI2440" s="1"/>
      <c r="AJ2440" s="1"/>
      <c r="AK2440" s="1"/>
      <c r="AL2440" s="1"/>
      <c r="AM2440" s="1"/>
    </row>
    <row r="2441" spans="16:39" x14ac:dyDescent="0.25">
      <c r="P2441" s="49"/>
      <c r="Q2441" s="1"/>
      <c r="S2441" s="1"/>
      <c r="T2441" s="1"/>
      <c r="U2441" s="1"/>
      <c r="V2441" s="1"/>
      <c r="W2441" s="1"/>
      <c r="X2441" s="1"/>
      <c r="Y2441" s="1"/>
      <c r="AB2441" s="1"/>
      <c r="AC2441" s="1"/>
      <c r="AD2441" s="1"/>
      <c r="AE2441" s="1"/>
      <c r="AF2441" s="1"/>
      <c r="AG2441" s="1"/>
      <c r="AH2441" s="1"/>
      <c r="AI2441" s="1"/>
      <c r="AJ2441" s="1"/>
      <c r="AK2441" s="1"/>
      <c r="AL2441" s="1"/>
      <c r="AM2441" s="1"/>
    </row>
    <row r="2442" spans="16:39" x14ac:dyDescent="0.25">
      <c r="P2442" s="49"/>
      <c r="Q2442" s="1"/>
      <c r="S2442" s="1"/>
      <c r="T2442" s="1"/>
      <c r="U2442" s="1"/>
      <c r="V2442" s="1"/>
      <c r="W2442" s="1"/>
      <c r="X2442" s="1"/>
      <c r="Y2442" s="1"/>
      <c r="AB2442" s="1"/>
      <c r="AC2442" s="1"/>
      <c r="AD2442" s="1"/>
      <c r="AE2442" s="1"/>
      <c r="AF2442" s="1"/>
      <c r="AG2442" s="1"/>
      <c r="AH2442" s="1"/>
      <c r="AI2442" s="1"/>
      <c r="AJ2442" s="1"/>
      <c r="AK2442" s="1"/>
      <c r="AL2442" s="1"/>
      <c r="AM2442" s="1"/>
    </row>
    <row r="2443" spans="16:39" x14ac:dyDescent="0.25">
      <c r="P2443" s="49"/>
      <c r="Q2443" s="1"/>
      <c r="S2443" s="1"/>
      <c r="T2443" s="1"/>
      <c r="U2443" s="1"/>
      <c r="V2443" s="1"/>
      <c r="W2443" s="1"/>
      <c r="X2443" s="1"/>
      <c r="Y2443" s="1"/>
      <c r="AB2443" s="1"/>
      <c r="AC2443" s="1"/>
      <c r="AD2443" s="1"/>
      <c r="AE2443" s="1"/>
      <c r="AF2443" s="1"/>
      <c r="AG2443" s="1"/>
      <c r="AH2443" s="1"/>
      <c r="AI2443" s="1"/>
      <c r="AJ2443" s="1"/>
      <c r="AK2443" s="1"/>
      <c r="AL2443" s="1"/>
      <c r="AM2443" s="1"/>
    </row>
    <row r="2444" spans="16:39" x14ac:dyDescent="0.25">
      <c r="P2444" s="49"/>
      <c r="Q2444" s="1"/>
      <c r="S2444" s="1"/>
      <c r="T2444" s="1"/>
      <c r="U2444" s="1"/>
      <c r="V2444" s="1"/>
      <c r="W2444" s="1"/>
      <c r="X2444" s="1"/>
      <c r="Y2444" s="1"/>
      <c r="AB2444" s="1"/>
      <c r="AC2444" s="1"/>
      <c r="AD2444" s="1"/>
      <c r="AE2444" s="1"/>
      <c r="AF2444" s="1"/>
      <c r="AG2444" s="1"/>
      <c r="AH2444" s="1"/>
      <c r="AI2444" s="1"/>
      <c r="AJ2444" s="1"/>
      <c r="AK2444" s="1"/>
      <c r="AL2444" s="1"/>
      <c r="AM2444" s="1"/>
    </row>
    <row r="2445" spans="16:39" x14ac:dyDescent="0.25">
      <c r="P2445" s="49"/>
      <c r="Q2445" s="1"/>
      <c r="S2445" s="1"/>
      <c r="T2445" s="1"/>
      <c r="U2445" s="1"/>
      <c r="V2445" s="1"/>
      <c r="W2445" s="1"/>
      <c r="X2445" s="1"/>
      <c r="Y2445" s="1"/>
      <c r="AB2445" s="1"/>
      <c r="AC2445" s="1"/>
      <c r="AD2445" s="1"/>
      <c r="AE2445" s="1"/>
      <c r="AF2445" s="1"/>
      <c r="AG2445" s="1"/>
      <c r="AH2445" s="1"/>
      <c r="AI2445" s="1"/>
      <c r="AJ2445" s="1"/>
      <c r="AK2445" s="1"/>
      <c r="AL2445" s="1"/>
      <c r="AM2445" s="1"/>
    </row>
    <row r="2446" spans="16:39" x14ac:dyDescent="0.25">
      <c r="P2446" s="49"/>
      <c r="Q2446" s="1"/>
      <c r="S2446" s="1"/>
      <c r="T2446" s="1"/>
      <c r="U2446" s="1"/>
      <c r="V2446" s="1"/>
      <c r="W2446" s="1"/>
      <c r="X2446" s="1"/>
      <c r="Y2446" s="1"/>
      <c r="AB2446" s="1"/>
      <c r="AC2446" s="1"/>
      <c r="AD2446" s="1"/>
      <c r="AE2446" s="1"/>
      <c r="AF2446" s="1"/>
      <c r="AG2446" s="1"/>
      <c r="AH2446" s="1"/>
      <c r="AI2446" s="1"/>
      <c r="AJ2446" s="1"/>
      <c r="AK2446" s="1"/>
      <c r="AL2446" s="1"/>
      <c r="AM2446" s="1"/>
    </row>
    <row r="2447" spans="16:39" x14ac:dyDescent="0.25">
      <c r="P2447" s="49"/>
      <c r="Q2447" s="1"/>
      <c r="S2447" s="1"/>
      <c r="T2447" s="1"/>
      <c r="U2447" s="1"/>
      <c r="V2447" s="1"/>
      <c r="W2447" s="1"/>
      <c r="X2447" s="1"/>
      <c r="Y2447" s="1"/>
      <c r="AB2447" s="1"/>
      <c r="AC2447" s="1"/>
      <c r="AD2447" s="1"/>
      <c r="AE2447" s="1"/>
      <c r="AF2447" s="1"/>
      <c r="AG2447" s="1"/>
      <c r="AH2447" s="1"/>
      <c r="AI2447" s="1"/>
      <c r="AJ2447" s="1"/>
      <c r="AK2447" s="1"/>
      <c r="AL2447" s="1"/>
      <c r="AM2447" s="1"/>
    </row>
    <row r="2448" spans="16:39" x14ac:dyDescent="0.25">
      <c r="P2448" s="49"/>
      <c r="Q2448" s="1"/>
      <c r="S2448" s="1"/>
      <c r="T2448" s="1"/>
      <c r="U2448" s="1"/>
      <c r="V2448" s="1"/>
      <c r="W2448" s="1"/>
      <c r="X2448" s="1"/>
      <c r="Y2448" s="1"/>
      <c r="AB2448" s="1"/>
      <c r="AC2448" s="1"/>
      <c r="AD2448" s="1"/>
      <c r="AE2448" s="1"/>
      <c r="AF2448" s="1"/>
      <c r="AG2448" s="1"/>
      <c r="AH2448" s="1"/>
      <c r="AI2448" s="1"/>
      <c r="AJ2448" s="1"/>
      <c r="AK2448" s="1"/>
      <c r="AL2448" s="1"/>
      <c r="AM2448" s="1"/>
    </row>
    <row r="2449" spans="16:39" x14ac:dyDescent="0.25">
      <c r="P2449" s="49"/>
      <c r="Q2449" s="1"/>
      <c r="S2449" s="1"/>
      <c r="T2449" s="1"/>
      <c r="U2449" s="1"/>
      <c r="V2449" s="1"/>
      <c r="W2449" s="1"/>
      <c r="X2449" s="1"/>
      <c r="Y2449" s="1"/>
      <c r="AB2449" s="1"/>
      <c r="AC2449" s="1"/>
      <c r="AD2449" s="1"/>
      <c r="AE2449" s="1"/>
      <c r="AF2449" s="1"/>
      <c r="AG2449" s="1"/>
      <c r="AH2449" s="1"/>
      <c r="AI2449" s="1"/>
      <c r="AJ2449" s="1"/>
      <c r="AK2449" s="1"/>
      <c r="AL2449" s="1"/>
      <c r="AM2449" s="1"/>
    </row>
    <row r="2450" spans="16:39" x14ac:dyDescent="0.25">
      <c r="P2450" s="49"/>
      <c r="Q2450" s="1"/>
      <c r="S2450" s="1"/>
      <c r="T2450" s="1"/>
      <c r="U2450" s="1"/>
      <c r="V2450" s="1"/>
      <c r="W2450" s="1"/>
      <c r="X2450" s="1"/>
      <c r="Y2450" s="1"/>
      <c r="AB2450" s="1"/>
      <c r="AC2450" s="1"/>
      <c r="AD2450" s="1"/>
      <c r="AE2450" s="1"/>
      <c r="AF2450" s="1"/>
      <c r="AG2450" s="1"/>
      <c r="AH2450" s="1"/>
      <c r="AI2450" s="1"/>
      <c r="AJ2450" s="1"/>
      <c r="AK2450" s="1"/>
      <c r="AL2450" s="1"/>
      <c r="AM2450" s="1"/>
    </row>
    <row r="2451" spans="16:39" x14ac:dyDescent="0.25">
      <c r="P2451" s="49"/>
      <c r="Q2451" s="1"/>
      <c r="S2451" s="1"/>
      <c r="T2451" s="1"/>
      <c r="U2451" s="1"/>
      <c r="V2451" s="1"/>
      <c r="W2451" s="1"/>
      <c r="X2451" s="1"/>
      <c r="Y2451" s="1"/>
      <c r="AB2451" s="1"/>
      <c r="AC2451" s="1"/>
      <c r="AD2451" s="1"/>
      <c r="AE2451" s="1"/>
      <c r="AF2451" s="1"/>
      <c r="AG2451" s="1"/>
      <c r="AH2451" s="1"/>
      <c r="AI2451" s="1"/>
      <c r="AJ2451" s="1"/>
      <c r="AK2451" s="1"/>
      <c r="AL2451" s="1"/>
      <c r="AM2451" s="1"/>
    </row>
    <row r="2452" spans="16:39" x14ac:dyDescent="0.25">
      <c r="P2452" s="49"/>
      <c r="Q2452" s="1"/>
      <c r="S2452" s="1"/>
      <c r="T2452" s="1"/>
      <c r="U2452" s="1"/>
      <c r="V2452" s="1"/>
      <c r="W2452" s="1"/>
      <c r="X2452" s="1"/>
      <c r="Y2452" s="1"/>
      <c r="AB2452" s="1"/>
      <c r="AC2452" s="1"/>
      <c r="AD2452" s="1"/>
      <c r="AE2452" s="1"/>
      <c r="AF2452" s="1"/>
      <c r="AG2452" s="1"/>
      <c r="AH2452" s="1"/>
      <c r="AI2452" s="1"/>
      <c r="AJ2452" s="1"/>
      <c r="AK2452" s="1"/>
      <c r="AL2452" s="1"/>
      <c r="AM2452" s="1"/>
    </row>
    <row r="2453" spans="16:39" x14ac:dyDescent="0.25">
      <c r="P2453" s="49"/>
      <c r="Q2453" s="1"/>
      <c r="S2453" s="1"/>
      <c r="T2453" s="1"/>
      <c r="U2453" s="1"/>
      <c r="V2453" s="1"/>
      <c r="W2453" s="1"/>
      <c r="X2453" s="1"/>
      <c r="Y2453" s="1"/>
      <c r="AB2453" s="1"/>
      <c r="AC2453" s="1"/>
      <c r="AD2453" s="1"/>
      <c r="AE2453" s="1"/>
      <c r="AF2453" s="1"/>
      <c r="AG2453" s="1"/>
      <c r="AH2453" s="1"/>
      <c r="AI2453" s="1"/>
      <c r="AJ2453" s="1"/>
      <c r="AK2453" s="1"/>
      <c r="AL2453" s="1"/>
      <c r="AM2453" s="1"/>
    </row>
    <row r="2454" spans="16:39" x14ac:dyDescent="0.25">
      <c r="P2454" s="49"/>
      <c r="Q2454" s="1"/>
      <c r="S2454" s="1"/>
      <c r="T2454" s="1"/>
      <c r="U2454" s="1"/>
      <c r="V2454" s="1"/>
      <c r="W2454" s="1"/>
      <c r="X2454" s="1"/>
      <c r="Y2454" s="1"/>
      <c r="AB2454" s="1"/>
      <c r="AC2454" s="1"/>
      <c r="AD2454" s="1"/>
      <c r="AE2454" s="1"/>
      <c r="AF2454" s="1"/>
      <c r="AG2454" s="1"/>
      <c r="AH2454" s="1"/>
      <c r="AI2454" s="1"/>
      <c r="AJ2454" s="1"/>
      <c r="AK2454" s="1"/>
      <c r="AL2454" s="1"/>
      <c r="AM2454" s="1"/>
    </row>
    <row r="2455" spans="16:39" x14ac:dyDescent="0.25">
      <c r="P2455" s="49"/>
      <c r="Q2455" s="1"/>
      <c r="S2455" s="1"/>
      <c r="T2455" s="1"/>
      <c r="U2455" s="1"/>
      <c r="V2455" s="1"/>
      <c r="W2455" s="1"/>
      <c r="X2455" s="1"/>
      <c r="Y2455" s="1"/>
      <c r="AB2455" s="1"/>
      <c r="AC2455" s="1"/>
      <c r="AD2455" s="1"/>
      <c r="AE2455" s="1"/>
      <c r="AF2455" s="1"/>
      <c r="AG2455" s="1"/>
      <c r="AH2455" s="1"/>
      <c r="AI2455" s="1"/>
      <c r="AJ2455" s="1"/>
      <c r="AK2455" s="1"/>
      <c r="AL2455" s="1"/>
      <c r="AM2455" s="1"/>
    </row>
    <row r="2456" spans="16:39" x14ac:dyDescent="0.25">
      <c r="P2456" s="49"/>
      <c r="Q2456" s="1"/>
      <c r="S2456" s="1"/>
      <c r="T2456" s="1"/>
      <c r="U2456" s="1"/>
      <c r="V2456" s="1"/>
      <c r="W2456" s="1"/>
      <c r="X2456" s="1"/>
      <c r="Y2456" s="1"/>
      <c r="AB2456" s="1"/>
      <c r="AC2456" s="1"/>
      <c r="AD2456" s="1"/>
      <c r="AE2456" s="1"/>
      <c r="AF2456" s="1"/>
      <c r="AG2456" s="1"/>
      <c r="AH2456" s="1"/>
      <c r="AI2456" s="1"/>
      <c r="AJ2456" s="1"/>
      <c r="AK2456" s="1"/>
      <c r="AL2456" s="1"/>
      <c r="AM2456" s="1"/>
    </row>
    <row r="2457" spans="16:39" x14ac:dyDescent="0.25">
      <c r="P2457" s="49"/>
      <c r="Q2457" s="1"/>
      <c r="S2457" s="1"/>
      <c r="T2457" s="1"/>
      <c r="U2457" s="1"/>
      <c r="V2457" s="1"/>
      <c r="W2457" s="1"/>
      <c r="X2457" s="1"/>
      <c r="Y2457" s="1"/>
      <c r="AB2457" s="1"/>
      <c r="AC2457" s="1"/>
      <c r="AD2457" s="1"/>
      <c r="AE2457" s="1"/>
      <c r="AF2457" s="1"/>
      <c r="AG2457" s="1"/>
      <c r="AH2457" s="1"/>
      <c r="AI2457" s="1"/>
      <c r="AJ2457" s="1"/>
      <c r="AK2457" s="1"/>
      <c r="AL2457" s="1"/>
      <c r="AM2457" s="1"/>
    </row>
    <row r="2458" spans="16:39" x14ac:dyDescent="0.25">
      <c r="P2458" s="49"/>
      <c r="Q2458" s="1"/>
      <c r="S2458" s="1"/>
      <c r="T2458" s="1"/>
      <c r="U2458" s="1"/>
      <c r="V2458" s="1"/>
      <c r="W2458" s="1"/>
      <c r="X2458" s="1"/>
      <c r="Y2458" s="1"/>
      <c r="AB2458" s="1"/>
      <c r="AC2458" s="1"/>
      <c r="AD2458" s="1"/>
      <c r="AE2458" s="1"/>
      <c r="AF2458" s="1"/>
      <c r="AG2458" s="1"/>
      <c r="AH2458" s="1"/>
      <c r="AI2458" s="1"/>
      <c r="AJ2458" s="1"/>
      <c r="AK2458" s="1"/>
      <c r="AL2458" s="1"/>
      <c r="AM2458" s="1"/>
    </row>
    <row r="2459" spans="16:39" x14ac:dyDescent="0.25">
      <c r="P2459" s="49"/>
      <c r="Q2459" s="1"/>
      <c r="S2459" s="1"/>
      <c r="T2459" s="1"/>
      <c r="U2459" s="1"/>
      <c r="V2459" s="1"/>
      <c r="W2459" s="1"/>
      <c r="X2459" s="1"/>
      <c r="Y2459" s="1"/>
      <c r="AB2459" s="1"/>
      <c r="AC2459" s="1"/>
      <c r="AD2459" s="1"/>
      <c r="AE2459" s="1"/>
      <c r="AF2459" s="1"/>
      <c r="AG2459" s="1"/>
      <c r="AH2459" s="1"/>
      <c r="AI2459" s="1"/>
      <c r="AJ2459" s="1"/>
      <c r="AK2459" s="1"/>
      <c r="AL2459" s="1"/>
      <c r="AM2459" s="1"/>
    </row>
    <row r="2460" spans="16:39" x14ac:dyDescent="0.25">
      <c r="P2460" s="49"/>
      <c r="Q2460" s="1"/>
      <c r="S2460" s="1"/>
      <c r="T2460" s="1"/>
      <c r="U2460" s="1"/>
      <c r="V2460" s="1"/>
      <c r="W2460" s="1"/>
      <c r="X2460" s="1"/>
      <c r="Y2460" s="1"/>
      <c r="AB2460" s="1"/>
      <c r="AC2460" s="1"/>
      <c r="AD2460" s="1"/>
      <c r="AE2460" s="1"/>
      <c r="AF2460" s="1"/>
      <c r="AG2460" s="1"/>
      <c r="AH2460" s="1"/>
      <c r="AI2460" s="1"/>
      <c r="AJ2460" s="1"/>
      <c r="AK2460" s="1"/>
      <c r="AL2460" s="1"/>
      <c r="AM2460" s="1"/>
    </row>
    <row r="2461" spans="16:39" x14ac:dyDescent="0.25">
      <c r="P2461" s="49"/>
      <c r="Q2461" s="1"/>
      <c r="S2461" s="1"/>
      <c r="T2461" s="1"/>
      <c r="U2461" s="1"/>
      <c r="V2461" s="1"/>
      <c r="W2461" s="1"/>
      <c r="X2461" s="1"/>
      <c r="Y2461" s="1"/>
      <c r="AB2461" s="1"/>
      <c r="AC2461" s="1"/>
      <c r="AD2461" s="1"/>
      <c r="AE2461" s="1"/>
      <c r="AF2461" s="1"/>
      <c r="AG2461" s="1"/>
      <c r="AH2461" s="1"/>
      <c r="AI2461" s="1"/>
      <c r="AJ2461" s="1"/>
      <c r="AK2461" s="1"/>
      <c r="AL2461" s="1"/>
      <c r="AM2461" s="1"/>
    </row>
    <row r="2462" spans="16:39" x14ac:dyDescent="0.25">
      <c r="P2462" s="49"/>
      <c r="Q2462" s="1"/>
      <c r="S2462" s="1"/>
      <c r="T2462" s="1"/>
      <c r="U2462" s="1"/>
      <c r="V2462" s="1"/>
      <c r="W2462" s="1"/>
      <c r="X2462" s="1"/>
      <c r="Y2462" s="1"/>
      <c r="AB2462" s="1"/>
      <c r="AC2462" s="1"/>
      <c r="AD2462" s="1"/>
      <c r="AE2462" s="1"/>
      <c r="AF2462" s="1"/>
      <c r="AG2462" s="1"/>
      <c r="AH2462" s="1"/>
      <c r="AI2462" s="1"/>
      <c r="AJ2462" s="1"/>
      <c r="AK2462" s="1"/>
      <c r="AL2462" s="1"/>
      <c r="AM2462" s="1"/>
    </row>
    <row r="2463" spans="16:39" x14ac:dyDescent="0.25">
      <c r="P2463" s="49"/>
      <c r="Q2463" s="1"/>
      <c r="S2463" s="1"/>
      <c r="T2463" s="1"/>
      <c r="U2463" s="1"/>
      <c r="V2463" s="1"/>
      <c r="W2463" s="1"/>
      <c r="X2463" s="1"/>
      <c r="Y2463" s="1"/>
      <c r="AB2463" s="1"/>
      <c r="AC2463" s="1"/>
      <c r="AD2463" s="1"/>
      <c r="AE2463" s="1"/>
      <c r="AF2463" s="1"/>
      <c r="AG2463" s="1"/>
      <c r="AH2463" s="1"/>
      <c r="AI2463" s="1"/>
      <c r="AJ2463" s="1"/>
      <c r="AK2463" s="1"/>
      <c r="AL2463" s="1"/>
      <c r="AM2463" s="1"/>
    </row>
    <row r="2464" spans="16:39" x14ac:dyDescent="0.25">
      <c r="P2464" s="49"/>
      <c r="Q2464" s="1"/>
      <c r="S2464" s="1"/>
      <c r="T2464" s="1"/>
      <c r="U2464" s="1"/>
      <c r="V2464" s="1"/>
      <c r="W2464" s="1"/>
      <c r="X2464" s="1"/>
      <c r="Y2464" s="1"/>
      <c r="AB2464" s="1"/>
      <c r="AC2464" s="1"/>
      <c r="AD2464" s="1"/>
      <c r="AE2464" s="1"/>
      <c r="AF2464" s="1"/>
      <c r="AG2464" s="1"/>
      <c r="AH2464" s="1"/>
      <c r="AI2464" s="1"/>
      <c r="AJ2464" s="1"/>
      <c r="AK2464" s="1"/>
      <c r="AL2464" s="1"/>
      <c r="AM2464" s="1"/>
    </row>
    <row r="2465" spans="16:39" x14ac:dyDescent="0.25">
      <c r="P2465" s="49"/>
      <c r="Q2465" s="1"/>
      <c r="S2465" s="1"/>
      <c r="T2465" s="1"/>
      <c r="U2465" s="1"/>
      <c r="V2465" s="1"/>
      <c r="W2465" s="1"/>
      <c r="X2465" s="1"/>
      <c r="Y2465" s="1"/>
      <c r="AB2465" s="1"/>
      <c r="AC2465" s="1"/>
      <c r="AD2465" s="1"/>
      <c r="AE2465" s="1"/>
      <c r="AF2465" s="1"/>
      <c r="AG2465" s="1"/>
      <c r="AH2465" s="1"/>
      <c r="AI2465" s="1"/>
      <c r="AJ2465" s="1"/>
      <c r="AK2465" s="1"/>
      <c r="AL2465" s="1"/>
      <c r="AM2465" s="1"/>
    </row>
    <row r="2466" spans="16:39" x14ac:dyDescent="0.25">
      <c r="P2466" s="49"/>
      <c r="Q2466" s="1"/>
      <c r="S2466" s="1"/>
      <c r="T2466" s="1"/>
      <c r="U2466" s="1"/>
      <c r="V2466" s="1"/>
      <c r="W2466" s="1"/>
      <c r="X2466" s="1"/>
      <c r="Y2466" s="1"/>
      <c r="AB2466" s="1"/>
      <c r="AC2466" s="1"/>
      <c r="AD2466" s="1"/>
      <c r="AE2466" s="1"/>
      <c r="AF2466" s="1"/>
      <c r="AG2466" s="1"/>
      <c r="AH2466" s="1"/>
      <c r="AI2466" s="1"/>
      <c r="AJ2466" s="1"/>
      <c r="AK2466" s="1"/>
      <c r="AL2466" s="1"/>
      <c r="AM2466" s="1"/>
    </row>
    <row r="2467" spans="16:39" x14ac:dyDescent="0.25">
      <c r="P2467" s="49"/>
      <c r="Q2467" s="1"/>
      <c r="S2467" s="1"/>
      <c r="T2467" s="1"/>
      <c r="U2467" s="1"/>
      <c r="V2467" s="1"/>
      <c r="W2467" s="1"/>
      <c r="X2467" s="1"/>
      <c r="Y2467" s="1"/>
      <c r="AB2467" s="1"/>
      <c r="AC2467" s="1"/>
      <c r="AD2467" s="1"/>
      <c r="AE2467" s="1"/>
      <c r="AF2467" s="1"/>
      <c r="AG2467" s="1"/>
      <c r="AH2467" s="1"/>
      <c r="AI2467" s="1"/>
      <c r="AJ2467" s="1"/>
      <c r="AK2467" s="1"/>
      <c r="AL2467" s="1"/>
      <c r="AM2467" s="1"/>
    </row>
    <row r="2468" spans="16:39" x14ac:dyDescent="0.25">
      <c r="P2468" s="49"/>
      <c r="Q2468" s="1"/>
      <c r="S2468" s="1"/>
      <c r="T2468" s="1"/>
      <c r="U2468" s="1"/>
      <c r="V2468" s="1"/>
      <c r="W2468" s="1"/>
      <c r="X2468" s="1"/>
      <c r="Y2468" s="1"/>
      <c r="AB2468" s="1"/>
      <c r="AC2468" s="1"/>
      <c r="AD2468" s="1"/>
      <c r="AE2468" s="1"/>
      <c r="AF2468" s="1"/>
      <c r="AG2468" s="1"/>
      <c r="AH2468" s="1"/>
      <c r="AI2468" s="1"/>
      <c r="AJ2468" s="1"/>
      <c r="AK2468" s="1"/>
      <c r="AL2468" s="1"/>
      <c r="AM2468" s="1"/>
    </row>
    <row r="2469" spans="16:39" x14ac:dyDescent="0.25">
      <c r="P2469" s="49"/>
      <c r="Q2469" s="1"/>
      <c r="S2469" s="1"/>
      <c r="T2469" s="1"/>
      <c r="U2469" s="1"/>
      <c r="V2469" s="1"/>
      <c r="W2469" s="1"/>
      <c r="X2469" s="1"/>
      <c r="Y2469" s="1"/>
      <c r="AB2469" s="1"/>
      <c r="AC2469" s="1"/>
      <c r="AD2469" s="1"/>
      <c r="AE2469" s="1"/>
      <c r="AF2469" s="1"/>
      <c r="AG2469" s="1"/>
      <c r="AH2469" s="1"/>
      <c r="AI2469" s="1"/>
      <c r="AJ2469" s="1"/>
      <c r="AK2469" s="1"/>
      <c r="AL2469" s="1"/>
      <c r="AM2469" s="1"/>
    </row>
    <row r="2470" spans="16:39" x14ac:dyDescent="0.25">
      <c r="P2470" s="49"/>
      <c r="Q2470" s="1"/>
      <c r="S2470" s="1"/>
      <c r="T2470" s="1"/>
      <c r="U2470" s="1"/>
      <c r="V2470" s="1"/>
      <c r="W2470" s="1"/>
      <c r="X2470" s="1"/>
      <c r="Y2470" s="1"/>
      <c r="AB2470" s="1"/>
      <c r="AC2470" s="1"/>
      <c r="AD2470" s="1"/>
      <c r="AE2470" s="1"/>
      <c r="AF2470" s="1"/>
      <c r="AG2470" s="1"/>
      <c r="AH2470" s="1"/>
      <c r="AI2470" s="1"/>
      <c r="AJ2470" s="1"/>
      <c r="AK2470" s="1"/>
      <c r="AL2470" s="1"/>
      <c r="AM2470" s="1"/>
    </row>
    <row r="2471" spans="16:39" x14ac:dyDescent="0.25">
      <c r="P2471" s="49"/>
      <c r="Q2471" s="1"/>
      <c r="S2471" s="1"/>
      <c r="T2471" s="1"/>
      <c r="U2471" s="1"/>
      <c r="V2471" s="1"/>
      <c r="W2471" s="1"/>
      <c r="X2471" s="1"/>
      <c r="Y2471" s="1"/>
      <c r="AB2471" s="1"/>
      <c r="AC2471" s="1"/>
      <c r="AD2471" s="1"/>
      <c r="AE2471" s="1"/>
      <c r="AF2471" s="1"/>
      <c r="AG2471" s="1"/>
      <c r="AH2471" s="1"/>
      <c r="AI2471" s="1"/>
      <c r="AJ2471" s="1"/>
      <c r="AK2471" s="1"/>
      <c r="AL2471" s="1"/>
      <c r="AM2471" s="1"/>
    </row>
    <row r="2472" spans="16:39" x14ac:dyDescent="0.25">
      <c r="P2472" s="49"/>
      <c r="Q2472" s="1"/>
      <c r="S2472" s="1"/>
      <c r="T2472" s="1"/>
      <c r="U2472" s="1"/>
      <c r="V2472" s="1"/>
      <c r="W2472" s="1"/>
      <c r="X2472" s="1"/>
      <c r="Y2472" s="1"/>
      <c r="AB2472" s="1"/>
      <c r="AC2472" s="1"/>
      <c r="AD2472" s="1"/>
      <c r="AE2472" s="1"/>
      <c r="AF2472" s="1"/>
      <c r="AG2472" s="1"/>
      <c r="AH2472" s="1"/>
      <c r="AI2472" s="1"/>
      <c r="AJ2472" s="1"/>
      <c r="AK2472" s="1"/>
      <c r="AL2472" s="1"/>
      <c r="AM2472" s="1"/>
    </row>
    <row r="2473" spans="16:39" x14ac:dyDescent="0.25">
      <c r="P2473" s="49"/>
      <c r="Q2473" s="1"/>
      <c r="S2473" s="1"/>
      <c r="T2473" s="1"/>
      <c r="U2473" s="1"/>
      <c r="V2473" s="1"/>
      <c r="W2473" s="1"/>
      <c r="X2473" s="1"/>
      <c r="Y2473" s="1"/>
      <c r="AB2473" s="1"/>
      <c r="AC2473" s="1"/>
      <c r="AD2473" s="1"/>
      <c r="AE2473" s="1"/>
      <c r="AF2473" s="1"/>
      <c r="AG2473" s="1"/>
      <c r="AH2473" s="1"/>
      <c r="AI2473" s="1"/>
      <c r="AJ2473" s="1"/>
      <c r="AK2473" s="1"/>
      <c r="AL2473" s="1"/>
      <c r="AM2473" s="1"/>
    </row>
    <row r="2474" spans="16:39" x14ac:dyDescent="0.25">
      <c r="P2474" s="49"/>
      <c r="Q2474" s="1"/>
      <c r="S2474" s="1"/>
      <c r="T2474" s="1"/>
      <c r="U2474" s="1"/>
      <c r="V2474" s="1"/>
      <c r="W2474" s="1"/>
      <c r="X2474" s="1"/>
      <c r="Y2474" s="1"/>
      <c r="AB2474" s="1"/>
      <c r="AC2474" s="1"/>
      <c r="AD2474" s="1"/>
      <c r="AE2474" s="1"/>
      <c r="AF2474" s="1"/>
      <c r="AG2474" s="1"/>
      <c r="AH2474" s="1"/>
      <c r="AI2474" s="1"/>
      <c r="AJ2474" s="1"/>
      <c r="AK2474" s="1"/>
      <c r="AL2474" s="1"/>
      <c r="AM2474" s="1"/>
    </row>
    <row r="2475" spans="16:39" x14ac:dyDescent="0.25">
      <c r="P2475" s="49"/>
      <c r="Q2475" s="1"/>
      <c r="S2475" s="1"/>
      <c r="T2475" s="1"/>
      <c r="U2475" s="1"/>
      <c r="V2475" s="1"/>
      <c r="W2475" s="1"/>
      <c r="X2475" s="1"/>
      <c r="Y2475" s="1"/>
      <c r="AB2475" s="1"/>
      <c r="AC2475" s="1"/>
      <c r="AD2475" s="1"/>
      <c r="AE2475" s="1"/>
      <c r="AF2475" s="1"/>
      <c r="AG2475" s="1"/>
      <c r="AH2475" s="1"/>
      <c r="AI2475" s="1"/>
      <c r="AJ2475" s="1"/>
      <c r="AK2475" s="1"/>
      <c r="AL2475" s="1"/>
      <c r="AM2475" s="1"/>
    </row>
    <row r="2476" spans="16:39" x14ac:dyDescent="0.25">
      <c r="P2476" s="49"/>
      <c r="Q2476" s="1"/>
      <c r="S2476" s="1"/>
      <c r="T2476" s="1"/>
      <c r="U2476" s="1"/>
      <c r="V2476" s="1"/>
      <c r="W2476" s="1"/>
      <c r="X2476" s="1"/>
      <c r="Y2476" s="1"/>
      <c r="AB2476" s="1"/>
      <c r="AC2476" s="1"/>
      <c r="AD2476" s="1"/>
      <c r="AE2476" s="1"/>
      <c r="AF2476" s="1"/>
      <c r="AG2476" s="1"/>
      <c r="AH2476" s="1"/>
      <c r="AI2476" s="1"/>
      <c r="AJ2476" s="1"/>
      <c r="AK2476" s="1"/>
      <c r="AL2476" s="1"/>
      <c r="AM2476" s="1"/>
    </row>
    <row r="2477" spans="16:39" x14ac:dyDescent="0.25">
      <c r="P2477" s="49"/>
      <c r="Q2477" s="1"/>
      <c r="S2477" s="1"/>
      <c r="T2477" s="1"/>
      <c r="U2477" s="1"/>
      <c r="V2477" s="1"/>
      <c r="W2477" s="1"/>
      <c r="X2477" s="1"/>
      <c r="Y2477" s="1"/>
      <c r="AB2477" s="1"/>
      <c r="AC2477" s="1"/>
      <c r="AD2477" s="1"/>
      <c r="AE2477" s="1"/>
      <c r="AF2477" s="1"/>
      <c r="AG2477" s="1"/>
      <c r="AH2477" s="1"/>
      <c r="AI2477" s="1"/>
      <c r="AJ2477" s="1"/>
      <c r="AK2477" s="1"/>
      <c r="AL2477" s="1"/>
      <c r="AM2477" s="1"/>
    </row>
    <row r="2478" spans="16:39" x14ac:dyDescent="0.25">
      <c r="P2478" s="49"/>
      <c r="Q2478" s="1"/>
      <c r="S2478" s="1"/>
      <c r="T2478" s="1"/>
      <c r="U2478" s="1"/>
      <c r="V2478" s="1"/>
      <c r="W2478" s="1"/>
      <c r="X2478" s="1"/>
      <c r="Y2478" s="1"/>
      <c r="AB2478" s="1"/>
      <c r="AC2478" s="1"/>
      <c r="AD2478" s="1"/>
      <c r="AE2478" s="1"/>
      <c r="AF2478" s="1"/>
      <c r="AG2478" s="1"/>
      <c r="AH2478" s="1"/>
      <c r="AI2478" s="1"/>
      <c r="AJ2478" s="1"/>
      <c r="AK2478" s="1"/>
      <c r="AL2478" s="1"/>
      <c r="AM2478" s="1"/>
    </row>
    <row r="2479" spans="16:39" x14ac:dyDescent="0.25">
      <c r="P2479" s="49"/>
      <c r="Q2479" s="1"/>
      <c r="S2479" s="1"/>
      <c r="T2479" s="1"/>
      <c r="U2479" s="1"/>
      <c r="V2479" s="1"/>
      <c r="W2479" s="1"/>
      <c r="X2479" s="1"/>
      <c r="Y2479" s="1"/>
      <c r="AB2479" s="1"/>
      <c r="AC2479" s="1"/>
      <c r="AD2479" s="1"/>
      <c r="AE2479" s="1"/>
      <c r="AF2479" s="1"/>
      <c r="AG2479" s="1"/>
      <c r="AH2479" s="1"/>
      <c r="AI2479" s="1"/>
      <c r="AJ2479" s="1"/>
      <c r="AK2479" s="1"/>
      <c r="AL2479" s="1"/>
      <c r="AM2479" s="1"/>
    </row>
    <row r="2480" spans="16:39" x14ac:dyDescent="0.25">
      <c r="P2480" s="49"/>
      <c r="Q2480" s="1"/>
      <c r="S2480" s="1"/>
      <c r="T2480" s="1"/>
      <c r="U2480" s="1"/>
      <c r="V2480" s="1"/>
      <c r="W2480" s="1"/>
      <c r="X2480" s="1"/>
      <c r="Y2480" s="1"/>
      <c r="AB2480" s="1"/>
      <c r="AC2480" s="1"/>
      <c r="AD2480" s="1"/>
      <c r="AE2480" s="1"/>
      <c r="AF2480" s="1"/>
      <c r="AG2480" s="1"/>
      <c r="AH2480" s="1"/>
      <c r="AI2480" s="1"/>
      <c r="AJ2480" s="1"/>
      <c r="AK2480" s="1"/>
      <c r="AL2480" s="1"/>
      <c r="AM2480" s="1"/>
    </row>
    <row r="2481" spans="16:39" x14ac:dyDescent="0.25">
      <c r="P2481" s="49"/>
      <c r="Q2481" s="1"/>
      <c r="S2481" s="1"/>
      <c r="T2481" s="1"/>
      <c r="U2481" s="1"/>
      <c r="V2481" s="1"/>
      <c r="W2481" s="1"/>
      <c r="X2481" s="1"/>
      <c r="Y2481" s="1"/>
      <c r="AB2481" s="1"/>
      <c r="AC2481" s="1"/>
      <c r="AD2481" s="1"/>
      <c r="AE2481" s="1"/>
      <c r="AF2481" s="1"/>
      <c r="AG2481" s="1"/>
      <c r="AH2481" s="1"/>
      <c r="AI2481" s="1"/>
      <c r="AJ2481" s="1"/>
      <c r="AK2481" s="1"/>
      <c r="AL2481" s="1"/>
      <c r="AM2481" s="1"/>
    </row>
    <row r="2482" spans="16:39" x14ac:dyDescent="0.25">
      <c r="P2482" s="49"/>
      <c r="Q2482" s="1"/>
      <c r="S2482" s="1"/>
      <c r="T2482" s="1"/>
      <c r="U2482" s="1"/>
      <c r="V2482" s="1"/>
      <c r="W2482" s="1"/>
      <c r="X2482" s="1"/>
      <c r="Y2482" s="1"/>
      <c r="AB2482" s="1"/>
      <c r="AC2482" s="1"/>
      <c r="AD2482" s="1"/>
      <c r="AE2482" s="1"/>
      <c r="AF2482" s="1"/>
      <c r="AG2482" s="1"/>
      <c r="AH2482" s="1"/>
      <c r="AI2482" s="1"/>
      <c r="AJ2482" s="1"/>
      <c r="AK2482" s="1"/>
      <c r="AL2482" s="1"/>
      <c r="AM2482" s="1"/>
    </row>
    <row r="2483" spans="16:39" x14ac:dyDescent="0.25">
      <c r="P2483" s="49"/>
      <c r="Q2483" s="1"/>
      <c r="S2483" s="1"/>
      <c r="T2483" s="1"/>
      <c r="U2483" s="1"/>
      <c r="V2483" s="1"/>
      <c r="W2483" s="1"/>
      <c r="X2483" s="1"/>
      <c r="Y2483" s="1"/>
      <c r="AB2483" s="1"/>
      <c r="AC2483" s="1"/>
      <c r="AD2483" s="1"/>
      <c r="AE2483" s="1"/>
      <c r="AF2483" s="1"/>
      <c r="AG2483" s="1"/>
      <c r="AH2483" s="1"/>
      <c r="AI2483" s="1"/>
      <c r="AJ2483" s="1"/>
      <c r="AK2483" s="1"/>
      <c r="AL2483" s="1"/>
      <c r="AM2483" s="1"/>
    </row>
    <row r="2484" spans="16:39" x14ac:dyDescent="0.25">
      <c r="P2484" s="49"/>
      <c r="Q2484" s="1"/>
      <c r="S2484" s="1"/>
      <c r="T2484" s="1"/>
      <c r="U2484" s="1"/>
      <c r="V2484" s="1"/>
      <c r="W2484" s="1"/>
      <c r="X2484" s="1"/>
      <c r="Y2484" s="1"/>
      <c r="AB2484" s="1"/>
      <c r="AC2484" s="1"/>
      <c r="AD2484" s="1"/>
      <c r="AE2484" s="1"/>
      <c r="AF2484" s="1"/>
      <c r="AG2484" s="1"/>
      <c r="AH2484" s="1"/>
      <c r="AI2484" s="1"/>
      <c r="AJ2484" s="1"/>
      <c r="AK2484" s="1"/>
      <c r="AL2484" s="1"/>
      <c r="AM2484" s="1"/>
    </row>
    <row r="2485" spans="16:39" x14ac:dyDescent="0.25">
      <c r="P2485" s="49"/>
      <c r="Q2485" s="1"/>
      <c r="S2485" s="1"/>
      <c r="T2485" s="1"/>
      <c r="U2485" s="1"/>
      <c r="V2485" s="1"/>
      <c r="W2485" s="1"/>
      <c r="X2485" s="1"/>
      <c r="Y2485" s="1"/>
      <c r="AB2485" s="1"/>
      <c r="AC2485" s="1"/>
      <c r="AD2485" s="1"/>
      <c r="AE2485" s="1"/>
      <c r="AF2485" s="1"/>
      <c r="AG2485" s="1"/>
      <c r="AH2485" s="1"/>
      <c r="AI2485" s="1"/>
      <c r="AJ2485" s="1"/>
      <c r="AK2485" s="1"/>
      <c r="AL2485" s="1"/>
      <c r="AM2485" s="1"/>
    </row>
    <row r="2486" spans="16:39" x14ac:dyDescent="0.25">
      <c r="P2486" s="49"/>
      <c r="Q2486" s="1"/>
      <c r="S2486" s="1"/>
      <c r="T2486" s="1"/>
      <c r="U2486" s="1"/>
      <c r="V2486" s="1"/>
      <c r="W2486" s="1"/>
      <c r="X2486" s="1"/>
      <c r="Y2486" s="1"/>
      <c r="AB2486" s="1"/>
      <c r="AC2486" s="1"/>
      <c r="AD2486" s="1"/>
      <c r="AE2486" s="1"/>
      <c r="AF2486" s="1"/>
      <c r="AG2486" s="1"/>
      <c r="AH2486" s="1"/>
      <c r="AI2486" s="1"/>
      <c r="AJ2486" s="1"/>
      <c r="AK2486" s="1"/>
      <c r="AL2486" s="1"/>
      <c r="AM2486" s="1"/>
    </row>
    <row r="2487" spans="16:39" x14ac:dyDescent="0.25">
      <c r="P2487" s="49"/>
      <c r="Q2487" s="1"/>
      <c r="S2487" s="1"/>
      <c r="T2487" s="1"/>
      <c r="U2487" s="1"/>
      <c r="V2487" s="1"/>
      <c r="W2487" s="1"/>
      <c r="X2487" s="1"/>
      <c r="Y2487" s="1"/>
      <c r="AB2487" s="1"/>
      <c r="AC2487" s="1"/>
      <c r="AD2487" s="1"/>
      <c r="AE2487" s="1"/>
      <c r="AF2487" s="1"/>
      <c r="AG2487" s="1"/>
      <c r="AH2487" s="1"/>
      <c r="AI2487" s="1"/>
      <c r="AJ2487" s="1"/>
      <c r="AK2487" s="1"/>
      <c r="AL2487" s="1"/>
      <c r="AM2487" s="1"/>
    </row>
    <row r="2488" spans="16:39" x14ac:dyDescent="0.25">
      <c r="P2488" s="49"/>
      <c r="Q2488" s="1"/>
      <c r="S2488" s="1"/>
      <c r="T2488" s="1"/>
      <c r="U2488" s="1"/>
      <c r="V2488" s="1"/>
      <c r="W2488" s="1"/>
      <c r="X2488" s="1"/>
      <c r="Y2488" s="1"/>
      <c r="AB2488" s="1"/>
      <c r="AC2488" s="1"/>
      <c r="AD2488" s="1"/>
      <c r="AE2488" s="1"/>
      <c r="AF2488" s="1"/>
      <c r="AG2488" s="1"/>
      <c r="AH2488" s="1"/>
      <c r="AI2488" s="1"/>
      <c r="AJ2488" s="1"/>
      <c r="AK2488" s="1"/>
      <c r="AL2488" s="1"/>
      <c r="AM2488" s="1"/>
    </row>
    <row r="2489" spans="16:39" x14ac:dyDescent="0.25">
      <c r="P2489" s="49"/>
      <c r="Q2489" s="1"/>
      <c r="S2489" s="1"/>
      <c r="T2489" s="1"/>
      <c r="U2489" s="1"/>
      <c r="V2489" s="1"/>
      <c r="W2489" s="1"/>
      <c r="X2489" s="1"/>
      <c r="Y2489" s="1"/>
      <c r="AB2489" s="1"/>
      <c r="AC2489" s="1"/>
      <c r="AD2489" s="1"/>
      <c r="AE2489" s="1"/>
      <c r="AF2489" s="1"/>
      <c r="AG2489" s="1"/>
      <c r="AH2489" s="1"/>
      <c r="AI2489" s="1"/>
      <c r="AJ2489" s="1"/>
      <c r="AK2489" s="1"/>
      <c r="AL2489" s="1"/>
      <c r="AM2489" s="1"/>
    </row>
    <row r="2490" spans="16:39" x14ac:dyDescent="0.25">
      <c r="P2490" s="49"/>
      <c r="Q2490" s="1"/>
      <c r="S2490" s="1"/>
      <c r="T2490" s="1"/>
      <c r="U2490" s="1"/>
      <c r="V2490" s="1"/>
      <c r="W2490" s="1"/>
      <c r="X2490" s="1"/>
      <c r="Y2490" s="1"/>
      <c r="AB2490" s="1"/>
      <c r="AC2490" s="1"/>
      <c r="AD2490" s="1"/>
      <c r="AE2490" s="1"/>
      <c r="AF2490" s="1"/>
      <c r="AG2490" s="1"/>
      <c r="AH2490" s="1"/>
      <c r="AI2490" s="1"/>
      <c r="AJ2490" s="1"/>
      <c r="AK2490" s="1"/>
      <c r="AL2490" s="1"/>
      <c r="AM2490" s="1"/>
    </row>
    <row r="2491" spans="16:39" x14ac:dyDescent="0.25">
      <c r="P2491" s="49"/>
      <c r="Q2491" s="1"/>
      <c r="S2491" s="1"/>
      <c r="T2491" s="1"/>
      <c r="U2491" s="1"/>
      <c r="V2491" s="1"/>
      <c r="W2491" s="1"/>
      <c r="X2491" s="1"/>
      <c r="Y2491" s="1"/>
      <c r="AB2491" s="1"/>
      <c r="AC2491" s="1"/>
      <c r="AD2491" s="1"/>
      <c r="AE2491" s="1"/>
      <c r="AF2491" s="1"/>
      <c r="AG2491" s="1"/>
      <c r="AH2491" s="1"/>
      <c r="AI2491" s="1"/>
      <c r="AJ2491" s="1"/>
      <c r="AK2491" s="1"/>
      <c r="AL2491" s="1"/>
      <c r="AM2491" s="1"/>
    </row>
    <row r="2492" spans="16:39" x14ac:dyDescent="0.25">
      <c r="P2492" s="49"/>
      <c r="Q2492" s="1"/>
      <c r="S2492" s="1"/>
      <c r="T2492" s="1"/>
      <c r="U2492" s="1"/>
      <c r="V2492" s="1"/>
      <c r="W2492" s="1"/>
      <c r="X2492" s="1"/>
      <c r="Y2492" s="1"/>
      <c r="AB2492" s="1"/>
      <c r="AC2492" s="1"/>
      <c r="AD2492" s="1"/>
      <c r="AE2492" s="1"/>
      <c r="AF2492" s="1"/>
      <c r="AG2492" s="1"/>
      <c r="AH2492" s="1"/>
      <c r="AI2492" s="1"/>
      <c r="AJ2492" s="1"/>
      <c r="AK2492" s="1"/>
      <c r="AL2492" s="1"/>
      <c r="AM2492" s="1"/>
    </row>
    <row r="2493" spans="16:39" x14ac:dyDescent="0.25">
      <c r="P2493" s="49"/>
      <c r="Q2493" s="1"/>
      <c r="S2493" s="1"/>
      <c r="T2493" s="1"/>
      <c r="U2493" s="1"/>
      <c r="V2493" s="1"/>
      <c r="W2493" s="1"/>
      <c r="X2493" s="1"/>
      <c r="Y2493" s="1"/>
      <c r="AB2493" s="1"/>
      <c r="AC2493" s="1"/>
      <c r="AD2493" s="1"/>
      <c r="AE2493" s="1"/>
      <c r="AF2493" s="1"/>
      <c r="AG2493" s="1"/>
      <c r="AH2493" s="1"/>
      <c r="AI2493" s="1"/>
      <c r="AJ2493" s="1"/>
      <c r="AK2493" s="1"/>
      <c r="AL2493" s="1"/>
      <c r="AM2493" s="1"/>
    </row>
    <row r="2494" spans="16:39" x14ac:dyDescent="0.25">
      <c r="P2494" s="49"/>
      <c r="Q2494" s="1"/>
      <c r="S2494" s="1"/>
      <c r="T2494" s="1"/>
      <c r="U2494" s="1"/>
      <c r="V2494" s="1"/>
      <c r="W2494" s="1"/>
      <c r="X2494" s="1"/>
      <c r="Y2494" s="1"/>
      <c r="AB2494" s="1"/>
      <c r="AC2494" s="1"/>
      <c r="AD2494" s="1"/>
      <c r="AE2494" s="1"/>
      <c r="AF2494" s="1"/>
      <c r="AG2494" s="1"/>
      <c r="AH2494" s="1"/>
      <c r="AI2494" s="1"/>
      <c r="AJ2494" s="1"/>
      <c r="AK2494" s="1"/>
      <c r="AL2494" s="1"/>
      <c r="AM2494" s="1"/>
    </row>
    <row r="2495" spans="16:39" x14ac:dyDescent="0.25">
      <c r="P2495" s="49"/>
      <c r="Q2495" s="1"/>
      <c r="S2495" s="1"/>
      <c r="T2495" s="1"/>
      <c r="U2495" s="1"/>
      <c r="V2495" s="1"/>
      <c r="W2495" s="1"/>
      <c r="X2495" s="1"/>
      <c r="Y2495" s="1"/>
      <c r="AB2495" s="1"/>
      <c r="AC2495" s="1"/>
      <c r="AD2495" s="1"/>
      <c r="AE2495" s="1"/>
      <c r="AF2495" s="1"/>
      <c r="AG2495" s="1"/>
      <c r="AH2495" s="1"/>
      <c r="AI2495" s="1"/>
      <c r="AJ2495" s="1"/>
      <c r="AK2495" s="1"/>
      <c r="AL2495" s="1"/>
      <c r="AM2495" s="1"/>
    </row>
    <row r="2496" spans="16:39" x14ac:dyDescent="0.25">
      <c r="P2496" s="49"/>
      <c r="Q2496" s="1"/>
      <c r="S2496" s="1"/>
      <c r="T2496" s="1"/>
      <c r="U2496" s="1"/>
      <c r="V2496" s="1"/>
      <c r="W2496" s="1"/>
      <c r="X2496" s="1"/>
      <c r="Y2496" s="1"/>
      <c r="AB2496" s="1"/>
      <c r="AC2496" s="1"/>
      <c r="AD2496" s="1"/>
      <c r="AE2496" s="1"/>
      <c r="AF2496" s="1"/>
      <c r="AG2496" s="1"/>
      <c r="AH2496" s="1"/>
      <c r="AI2496" s="1"/>
      <c r="AJ2496" s="1"/>
      <c r="AK2496" s="1"/>
      <c r="AL2496" s="1"/>
      <c r="AM2496" s="1"/>
    </row>
    <row r="2497" spans="16:39" x14ac:dyDescent="0.25">
      <c r="P2497" s="49"/>
      <c r="Q2497" s="1"/>
      <c r="S2497" s="1"/>
      <c r="T2497" s="1"/>
      <c r="U2497" s="1"/>
      <c r="V2497" s="1"/>
      <c r="W2497" s="1"/>
      <c r="X2497" s="1"/>
      <c r="Y2497" s="1"/>
      <c r="AB2497" s="1"/>
      <c r="AC2497" s="1"/>
      <c r="AD2497" s="1"/>
      <c r="AE2497" s="1"/>
      <c r="AF2497" s="1"/>
      <c r="AG2497" s="1"/>
      <c r="AH2497" s="1"/>
      <c r="AI2497" s="1"/>
      <c r="AJ2497" s="1"/>
      <c r="AK2497" s="1"/>
      <c r="AL2497" s="1"/>
      <c r="AM2497" s="1"/>
    </row>
    <row r="2498" spans="16:39" x14ac:dyDescent="0.25">
      <c r="P2498" s="49"/>
      <c r="Q2498" s="1"/>
      <c r="S2498" s="1"/>
      <c r="T2498" s="1"/>
      <c r="U2498" s="1"/>
      <c r="V2498" s="1"/>
      <c r="W2498" s="1"/>
      <c r="X2498" s="1"/>
      <c r="Y2498" s="1"/>
      <c r="AB2498" s="1"/>
      <c r="AC2498" s="1"/>
      <c r="AD2498" s="1"/>
      <c r="AE2498" s="1"/>
      <c r="AF2498" s="1"/>
      <c r="AG2498" s="1"/>
      <c r="AH2498" s="1"/>
      <c r="AI2498" s="1"/>
      <c r="AJ2498" s="1"/>
      <c r="AK2498" s="1"/>
      <c r="AL2498" s="1"/>
      <c r="AM2498" s="1"/>
    </row>
    <row r="2499" spans="16:39" x14ac:dyDescent="0.25">
      <c r="P2499" s="49"/>
      <c r="Q2499" s="1"/>
      <c r="S2499" s="1"/>
      <c r="T2499" s="1"/>
      <c r="U2499" s="1"/>
      <c r="V2499" s="1"/>
      <c r="W2499" s="1"/>
      <c r="X2499" s="1"/>
      <c r="Y2499" s="1"/>
      <c r="AB2499" s="1"/>
      <c r="AC2499" s="1"/>
      <c r="AD2499" s="1"/>
      <c r="AE2499" s="1"/>
      <c r="AF2499" s="1"/>
      <c r="AG2499" s="1"/>
      <c r="AH2499" s="1"/>
      <c r="AI2499" s="1"/>
      <c r="AJ2499" s="1"/>
      <c r="AK2499" s="1"/>
      <c r="AL2499" s="1"/>
      <c r="AM2499" s="1"/>
    </row>
    <row r="2500" spans="16:39" x14ac:dyDescent="0.25">
      <c r="P2500" s="49"/>
      <c r="Q2500" s="1"/>
      <c r="S2500" s="1"/>
      <c r="T2500" s="1"/>
      <c r="U2500" s="1"/>
      <c r="V2500" s="1"/>
      <c r="W2500" s="1"/>
      <c r="X2500" s="1"/>
      <c r="Y2500" s="1"/>
      <c r="AB2500" s="1"/>
      <c r="AC2500" s="1"/>
      <c r="AD2500" s="1"/>
      <c r="AE2500" s="1"/>
      <c r="AF2500" s="1"/>
      <c r="AG2500" s="1"/>
      <c r="AH2500" s="1"/>
      <c r="AI2500" s="1"/>
      <c r="AJ2500" s="1"/>
      <c r="AK2500" s="1"/>
      <c r="AL2500" s="1"/>
      <c r="AM2500" s="1"/>
    </row>
    <row r="2501" spans="16:39" x14ac:dyDescent="0.25">
      <c r="P2501" s="49"/>
      <c r="Q2501" s="1"/>
      <c r="S2501" s="1"/>
      <c r="T2501" s="1"/>
      <c r="U2501" s="1"/>
      <c r="V2501" s="1"/>
      <c r="W2501" s="1"/>
      <c r="X2501" s="1"/>
      <c r="Y2501" s="1"/>
      <c r="AB2501" s="1"/>
      <c r="AC2501" s="1"/>
      <c r="AD2501" s="1"/>
      <c r="AE2501" s="1"/>
      <c r="AF2501" s="1"/>
      <c r="AG2501" s="1"/>
      <c r="AH2501" s="1"/>
      <c r="AI2501" s="1"/>
      <c r="AJ2501" s="1"/>
      <c r="AK2501" s="1"/>
      <c r="AL2501" s="1"/>
      <c r="AM2501" s="1"/>
    </row>
    <row r="2502" spans="16:39" x14ac:dyDescent="0.25">
      <c r="P2502" s="49"/>
      <c r="Q2502" s="1"/>
      <c r="S2502" s="1"/>
      <c r="T2502" s="1"/>
      <c r="U2502" s="1"/>
      <c r="V2502" s="1"/>
      <c r="W2502" s="1"/>
      <c r="X2502" s="1"/>
      <c r="Y2502" s="1"/>
      <c r="AB2502" s="1"/>
      <c r="AC2502" s="1"/>
      <c r="AD2502" s="1"/>
      <c r="AE2502" s="1"/>
      <c r="AF2502" s="1"/>
      <c r="AG2502" s="1"/>
      <c r="AH2502" s="1"/>
      <c r="AI2502" s="1"/>
      <c r="AJ2502" s="1"/>
      <c r="AK2502" s="1"/>
      <c r="AL2502" s="1"/>
      <c r="AM2502" s="1"/>
    </row>
    <row r="2503" spans="16:39" x14ac:dyDescent="0.25">
      <c r="P2503" s="49"/>
      <c r="Q2503" s="1"/>
      <c r="S2503" s="1"/>
      <c r="T2503" s="1"/>
      <c r="U2503" s="1"/>
      <c r="V2503" s="1"/>
      <c r="W2503" s="1"/>
      <c r="X2503" s="1"/>
      <c r="Y2503" s="1"/>
      <c r="AB2503" s="1"/>
      <c r="AC2503" s="1"/>
      <c r="AD2503" s="1"/>
      <c r="AE2503" s="1"/>
      <c r="AF2503" s="1"/>
      <c r="AG2503" s="1"/>
      <c r="AH2503" s="1"/>
      <c r="AI2503" s="1"/>
      <c r="AJ2503" s="1"/>
      <c r="AK2503" s="1"/>
      <c r="AL2503" s="1"/>
      <c r="AM2503" s="1"/>
    </row>
    <row r="2504" spans="16:39" x14ac:dyDescent="0.25">
      <c r="P2504" s="49"/>
      <c r="Q2504" s="1"/>
      <c r="S2504" s="1"/>
      <c r="T2504" s="1"/>
      <c r="U2504" s="1"/>
      <c r="V2504" s="1"/>
      <c r="W2504" s="1"/>
      <c r="X2504" s="1"/>
      <c r="Y2504" s="1"/>
      <c r="AB2504" s="1"/>
      <c r="AC2504" s="1"/>
      <c r="AD2504" s="1"/>
      <c r="AE2504" s="1"/>
      <c r="AF2504" s="1"/>
      <c r="AG2504" s="1"/>
      <c r="AH2504" s="1"/>
      <c r="AI2504" s="1"/>
      <c r="AJ2504" s="1"/>
      <c r="AK2504" s="1"/>
      <c r="AL2504" s="1"/>
      <c r="AM2504" s="1"/>
    </row>
    <row r="2505" spans="16:39" x14ac:dyDescent="0.25">
      <c r="P2505" s="49"/>
      <c r="Q2505" s="1"/>
      <c r="S2505" s="1"/>
      <c r="T2505" s="1"/>
      <c r="U2505" s="1"/>
      <c r="V2505" s="1"/>
      <c r="W2505" s="1"/>
      <c r="X2505" s="1"/>
      <c r="Y2505" s="1"/>
      <c r="AB2505" s="1"/>
      <c r="AC2505" s="1"/>
      <c r="AD2505" s="1"/>
      <c r="AE2505" s="1"/>
      <c r="AF2505" s="1"/>
      <c r="AG2505" s="1"/>
      <c r="AH2505" s="1"/>
      <c r="AI2505" s="1"/>
      <c r="AJ2505" s="1"/>
      <c r="AK2505" s="1"/>
      <c r="AL2505" s="1"/>
      <c r="AM2505" s="1"/>
    </row>
    <row r="2506" spans="16:39" x14ac:dyDescent="0.25">
      <c r="P2506" s="49"/>
      <c r="Q2506" s="1"/>
      <c r="S2506" s="1"/>
      <c r="T2506" s="1"/>
      <c r="U2506" s="1"/>
      <c r="V2506" s="1"/>
      <c r="W2506" s="1"/>
      <c r="X2506" s="1"/>
      <c r="Y2506" s="1"/>
      <c r="AB2506" s="1"/>
      <c r="AC2506" s="1"/>
      <c r="AD2506" s="1"/>
      <c r="AE2506" s="1"/>
      <c r="AF2506" s="1"/>
      <c r="AG2506" s="1"/>
      <c r="AH2506" s="1"/>
      <c r="AI2506" s="1"/>
      <c r="AJ2506" s="1"/>
      <c r="AK2506" s="1"/>
      <c r="AL2506" s="1"/>
      <c r="AM2506" s="1"/>
    </row>
    <row r="2507" spans="16:39" x14ac:dyDescent="0.25">
      <c r="P2507" s="49"/>
      <c r="Q2507" s="1"/>
      <c r="S2507" s="1"/>
      <c r="T2507" s="1"/>
      <c r="U2507" s="1"/>
      <c r="V2507" s="1"/>
      <c r="W2507" s="1"/>
      <c r="X2507" s="1"/>
      <c r="Y2507" s="1"/>
      <c r="AB2507" s="1"/>
      <c r="AC2507" s="1"/>
      <c r="AD2507" s="1"/>
      <c r="AE2507" s="1"/>
      <c r="AF2507" s="1"/>
      <c r="AG2507" s="1"/>
      <c r="AH2507" s="1"/>
      <c r="AI2507" s="1"/>
      <c r="AJ2507" s="1"/>
      <c r="AK2507" s="1"/>
      <c r="AL2507" s="1"/>
      <c r="AM2507" s="1"/>
    </row>
    <row r="2508" spans="16:39" x14ac:dyDescent="0.25">
      <c r="P2508" s="49"/>
      <c r="Q2508" s="1"/>
      <c r="S2508" s="1"/>
      <c r="T2508" s="1"/>
      <c r="U2508" s="1"/>
      <c r="V2508" s="1"/>
      <c r="W2508" s="1"/>
      <c r="X2508" s="1"/>
      <c r="Y2508" s="1"/>
      <c r="AB2508" s="1"/>
      <c r="AC2508" s="1"/>
      <c r="AD2508" s="1"/>
      <c r="AE2508" s="1"/>
      <c r="AF2508" s="1"/>
      <c r="AG2508" s="1"/>
      <c r="AH2508" s="1"/>
      <c r="AI2508" s="1"/>
      <c r="AJ2508" s="1"/>
      <c r="AK2508" s="1"/>
      <c r="AL2508" s="1"/>
      <c r="AM2508" s="1"/>
    </row>
    <row r="2509" spans="16:39" x14ac:dyDescent="0.25">
      <c r="P2509" s="49"/>
      <c r="Q2509" s="1"/>
      <c r="S2509" s="1"/>
      <c r="T2509" s="1"/>
      <c r="U2509" s="1"/>
      <c r="V2509" s="1"/>
      <c r="W2509" s="1"/>
      <c r="X2509" s="1"/>
      <c r="Y2509" s="1"/>
      <c r="AB2509" s="1"/>
      <c r="AC2509" s="1"/>
      <c r="AD2509" s="1"/>
      <c r="AE2509" s="1"/>
      <c r="AF2509" s="1"/>
      <c r="AG2509" s="1"/>
      <c r="AH2509" s="1"/>
      <c r="AI2509" s="1"/>
      <c r="AJ2509" s="1"/>
      <c r="AK2509" s="1"/>
      <c r="AL2509" s="1"/>
      <c r="AM2509" s="1"/>
    </row>
    <row r="2510" spans="16:39" x14ac:dyDescent="0.25">
      <c r="P2510" s="49"/>
      <c r="Q2510" s="1"/>
      <c r="S2510" s="1"/>
      <c r="T2510" s="1"/>
      <c r="U2510" s="1"/>
      <c r="V2510" s="1"/>
      <c r="W2510" s="1"/>
      <c r="X2510" s="1"/>
      <c r="Y2510" s="1"/>
      <c r="AB2510" s="1"/>
      <c r="AC2510" s="1"/>
      <c r="AD2510" s="1"/>
      <c r="AE2510" s="1"/>
      <c r="AF2510" s="1"/>
      <c r="AG2510" s="1"/>
      <c r="AH2510" s="1"/>
      <c r="AI2510" s="1"/>
      <c r="AJ2510" s="1"/>
      <c r="AK2510" s="1"/>
      <c r="AL2510" s="1"/>
      <c r="AM2510" s="1"/>
    </row>
    <row r="2511" spans="16:39" x14ac:dyDescent="0.25">
      <c r="P2511" s="49"/>
      <c r="Q2511" s="1"/>
      <c r="S2511" s="1"/>
      <c r="T2511" s="1"/>
      <c r="U2511" s="1"/>
      <c r="V2511" s="1"/>
      <c r="W2511" s="1"/>
      <c r="X2511" s="1"/>
      <c r="Y2511" s="1"/>
      <c r="AB2511" s="1"/>
      <c r="AC2511" s="1"/>
      <c r="AD2511" s="1"/>
      <c r="AE2511" s="1"/>
      <c r="AF2511" s="1"/>
      <c r="AG2511" s="1"/>
      <c r="AH2511" s="1"/>
      <c r="AI2511" s="1"/>
      <c r="AJ2511" s="1"/>
      <c r="AK2511" s="1"/>
      <c r="AL2511" s="1"/>
      <c r="AM2511" s="1"/>
    </row>
    <row r="2512" spans="16:39" x14ac:dyDescent="0.25">
      <c r="P2512" s="49"/>
      <c r="Q2512" s="1"/>
      <c r="S2512" s="1"/>
      <c r="T2512" s="1"/>
      <c r="U2512" s="1"/>
      <c r="V2512" s="1"/>
      <c r="W2512" s="1"/>
      <c r="X2512" s="1"/>
      <c r="Y2512" s="1"/>
      <c r="AB2512" s="1"/>
      <c r="AC2512" s="1"/>
      <c r="AD2512" s="1"/>
      <c r="AE2512" s="1"/>
      <c r="AF2512" s="1"/>
      <c r="AG2512" s="1"/>
      <c r="AH2512" s="1"/>
      <c r="AI2512" s="1"/>
      <c r="AJ2512" s="1"/>
      <c r="AK2512" s="1"/>
      <c r="AL2512" s="1"/>
      <c r="AM2512" s="1"/>
    </row>
    <row r="2513" spans="16:39" x14ac:dyDescent="0.25">
      <c r="P2513" s="49"/>
      <c r="Q2513" s="1"/>
      <c r="S2513" s="1"/>
      <c r="T2513" s="1"/>
      <c r="U2513" s="1"/>
      <c r="V2513" s="1"/>
      <c r="W2513" s="1"/>
      <c r="X2513" s="1"/>
      <c r="Y2513" s="1"/>
      <c r="AB2513" s="1"/>
      <c r="AC2513" s="1"/>
      <c r="AD2513" s="1"/>
      <c r="AE2513" s="1"/>
      <c r="AF2513" s="1"/>
      <c r="AG2513" s="1"/>
      <c r="AH2513" s="1"/>
      <c r="AI2513" s="1"/>
      <c r="AJ2513" s="1"/>
      <c r="AK2513" s="1"/>
      <c r="AL2513" s="1"/>
      <c r="AM2513" s="1"/>
    </row>
    <row r="2514" spans="16:39" x14ac:dyDescent="0.25">
      <c r="P2514" s="49"/>
      <c r="Q2514" s="1"/>
      <c r="S2514" s="1"/>
      <c r="T2514" s="1"/>
      <c r="U2514" s="1"/>
      <c r="V2514" s="1"/>
      <c r="W2514" s="1"/>
      <c r="X2514" s="1"/>
      <c r="Y2514" s="1"/>
      <c r="AB2514" s="1"/>
      <c r="AC2514" s="1"/>
      <c r="AD2514" s="1"/>
      <c r="AE2514" s="1"/>
      <c r="AF2514" s="1"/>
      <c r="AG2514" s="1"/>
      <c r="AH2514" s="1"/>
      <c r="AI2514" s="1"/>
      <c r="AJ2514" s="1"/>
      <c r="AK2514" s="1"/>
      <c r="AL2514" s="1"/>
      <c r="AM2514" s="1"/>
    </row>
    <row r="2515" spans="16:39" x14ac:dyDescent="0.25">
      <c r="P2515" s="49"/>
      <c r="Q2515" s="1"/>
      <c r="S2515" s="1"/>
      <c r="T2515" s="1"/>
      <c r="U2515" s="1"/>
      <c r="V2515" s="1"/>
      <c r="W2515" s="1"/>
      <c r="X2515" s="1"/>
      <c r="Y2515" s="1"/>
      <c r="AB2515" s="1"/>
      <c r="AC2515" s="1"/>
      <c r="AD2515" s="1"/>
      <c r="AE2515" s="1"/>
      <c r="AF2515" s="1"/>
      <c r="AG2515" s="1"/>
      <c r="AH2515" s="1"/>
      <c r="AI2515" s="1"/>
      <c r="AJ2515" s="1"/>
      <c r="AK2515" s="1"/>
      <c r="AL2515" s="1"/>
      <c r="AM2515" s="1"/>
    </row>
    <row r="2516" spans="16:39" x14ac:dyDescent="0.25">
      <c r="P2516" s="49"/>
      <c r="Q2516" s="1"/>
      <c r="S2516" s="1"/>
      <c r="T2516" s="1"/>
      <c r="U2516" s="1"/>
      <c r="V2516" s="1"/>
      <c r="W2516" s="1"/>
      <c r="X2516" s="1"/>
      <c r="Y2516" s="1"/>
      <c r="AB2516" s="1"/>
      <c r="AC2516" s="1"/>
      <c r="AD2516" s="1"/>
      <c r="AE2516" s="1"/>
      <c r="AF2516" s="1"/>
      <c r="AG2516" s="1"/>
      <c r="AH2516" s="1"/>
      <c r="AI2516" s="1"/>
      <c r="AJ2516" s="1"/>
      <c r="AK2516" s="1"/>
      <c r="AL2516" s="1"/>
      <c r="AM2516" s="1"/>
    </row>
    <row r="2517" spans="16:39" x14ac:dyDescent="0.25">
      <c r="P2517" s="49"/>
      <c r="Q2517" s="1"/>
      <c r="S2517" s="1"/>
      <c r="T2517" s="1"/>
      <c r="U2517" s="1"/>
      <c r="V2517" s="1"/>
      <c r="W2517" s="1"/>
      <c r="X2517" s="1"/>
      <c r="Y2517" s="1"/>
      <c r="AB2517" s="1"/>
      <c r="AC2517" s="1"/>
      <c r="AD2517" s="1"/>
      <c r="AE2517" s="1"/>
      <c r="AF2517" s="1"/>
      <c r="AG2517" s="1"/>
      <c r="AH2517" s="1"/>
      <c r="AI2517" s="1"/>
      <c r="AJ2517" s="1"/>
      <c r="AK2517" s="1"/>
      <c r="AL2517" s="1"/>
      <c r="AM2517" s="1"/>
    </row>
    <row r="2518" spans="16:39" x14ac:dyDescent="0.25">
      <c r="P2518" s="49"/>
      <c r="Q2518" s="1"/>
      <c r="S2518" s="1"/>
      <c r="T2518" s="1"/>
      <c r="U2518" s="1"/>
      <c r="V2518" s="1"/>
      <c r="W2518" s="1"/>
      <c r="X2518" s="1"/>
      <c r="Y2518" s="1"/>
      <c r="AB2518" s="1"/>
      <c r="AC2518" s="1"/>
      <c r="AD2518" s="1"/>
      <c r="AE2518" s="1"/>
      <c r="AF2518" s="1"/>
      <c r="AG2518" s="1"/>
      <c r="AH2518" s="1"/>
      <c r="AI2518" s="1"/>
      <c r="AJ2518" s="1"/>
      <c r="AK2518" s="1"/>
      <c r="AL2518" s="1"/>
      <c r="AM2518" s="1"/>
    </row>
    <row r="2519" spans="16:39" x14ac:dyDescent="0.25">
      <c r="P2519" s="49"/>
      <c r="Q2519" s="1"/>
      <c r="S2519" s="1"/>
      <c r="T2519" s="1"/>
      <c r="U2519" s="1"/>
      <c r="V2519" s="1"/>
      <c r="W2519" s="1"/>
      <c r="X2519" s="1"/>
      <c r="Y2519" s="1"/>
      <c r="AB2519" s="1"/>
      <c r="AC2519" s="1"/>
      <c r="AD2519" s="1"/>
      <c r="AE2519" s="1"/>
      <c r="AF2519" s="1"/>
      <c r="AG2519" s="1"/>
      <c r="AH2519" s="1"/>
      <c r="AI2519" s="1"/>
      <c r="AJ2519" s="1"/>
      <c r="AK2519" s="1"/>
      <c r="AL2519" s="1"/>
      <c r="AM2519" s="1"/>
    </row>
    <row r="2520" spans="16:39" x14ac:dyDescent="0.25">
      <c r="P2520" s="49"/>
      <c r="Q2520" s="1"/>
      <c r="S2520" s="1"/>
      <c r="T2520" s="1"/>
      <c r="U2520" s="1"/>
      <c r="V2520" s="1"/>
      <c r="W2520" s="1"/>
      <c r="X2520" s="1"/>
      <c r="Y2520" s="1"/>
      <c r="AB2520" s="1"/>
      <c r="AC2520" s="1"/>
      <c r="AD2520" s="1"/>
      <c r="AE2520" s="1"/>
      <c r="AF2520" s="1"/>
      <c r="AG2520" s="1"/>
      <c r="AH2520" s="1"/>
      <c r="AI2520" s="1"/>
      <c r="AJ2520" s="1"/>
      <c r="AK2520" s="1"/>
      <c r="AL2520" s="1"/>
      <c r="AM2520" s="1"/>
    </row>
    <row r="2521" spans="16:39" x14ac:dyDescent="0.25">
      <c r="P2521" s="49"/>
      <c r="Q2521" s="1"/>
      <c r="S2521" s="1"/>
      <c r="T2521" s="1"/>
      <c r="U2521" s="1"/>
      <c r="V2521" s="1"/>
      <c r="W2521" s="1"/>
      <c r="X2521" s="1"/>
      <c r="Y2521" s="1"/>
      <c r="AB2521" s="1"/>
      <c r="AC2521" s="1"/>
      <c r="AD2521" s="1"/>
      <c r="AE2521" s="1"/>
      <c r="AF2521" s="1"/>
      <c r="AG2521" s="1"/>
      <c r="AH2521" s="1"/>
      <c r="AI2521" s="1"/>
      <c r="AJ2521" s="1"/>
      <c r="AK2521" s="1"/>
      <c r="AL2521" s="1"/>
      <c r="AM2521" s="1"/>
    </row>
    <row r="2522" spans="16:39" x14ac:dyDescent="0.25">
      <c r="P2522" s="49"/>
      <c r="Q2522" s="1"/>
      <c r="S2522" s="1"/>
      <c r="T2522" s="1"/>
      <c r="U2522" s="1"/>
      <c r="V2522" s="1"/>
      <c r="W2522" s="1"/>
      <c r="X2522" s="1"/>
      <c r="Y2522" s="1"/>
      <c r="AB2522" s="1"/>
      <c r="AC2522" s="1"/>
      <c r="AD2522" s="1"/>
      <c r="AE2522" s="1"/>
      <c r="AF2522" s="1"/>
      <c r="AG2522" s="1"/>
      <c r="AH2522" s="1"/>
      <c r="AI2522" s="1"/>
      <c r="AJ2522" s="1"/>
      <c r="AK2522" s="1"/>
      <c r="AL2522" s="1"/>
      <c r="AM2522" s="1"/>
    </row>
    <row r="2523" spans="16:39" x14ac:dyDescent="0.25">
      <c r="P2523" s="49"/>
      <c r="Q2523" s="1"/>
      <c r="S2523" s="1"/>
      <c r="T2523" s="1"/>
      <c r="U2523" s="1"/>
      <c r="V2523" s="1"/>
      <c r="W2523" s="1"/>
      <c r="X2523" s="1"/>
      <c r="Y2523" s="1"/>
      <c r="AB2523" s="1"/>
      <c r="AC2523" s="1"/>
      <c r="AD2523" s="1"/>
      <c r="AE2523" s="1"/>
      <c r="AF2523" s="1"/>
      <c r="AG2523" s="1"/>
      <c r="AH2523" s="1"/>
      <c r="AI2523" s="1"/>
      <c r="AJ2523" s="1"/>
      <c r="AK2523" s="1"/>
      <c r="AL2523" s="1"/>
      <c r="AM2523" s="1"/>
    </row>
    <row r="2524" spans="16:39" x14ac:dyDescent="0.25">
      <c r="P2524" s="49"/>
      <c r="Q2524" s="1"/>
      <c r="S2524" s="1"/>
      <c r="T2524" s="1"/>
      <c r="U2524" s="1"/>
      <c r="V2524" s="1"/>
      <c r="W2524" s="1"/>
      <c r="X2524" s="1"/>
      <c r="Y2524" s="1"/>
      <c r="AB2524" s="1"/>
      <c r="AC2524" s="1"/>
      <c r="AD2524" s="1"/>
      <c r="AE2524" s="1"/>
      <c r="AF2524" s="1"/>
      <c r="AG2524" s="1"/>
      <c r="AH2524" s="1"/>
      <c r="AI2524" s="1"/>
      <c r="AJ2524" s="1"/>
      <c r="AK2524" s="1"/>
      <c r="AL2524" s="1"/>
      <c r="AM2524" s="1"/>
    </row>
    <row r="2525" spans="16:39" x14ac:dyDescent="0.25">
      <c r="P2525" s="49"/>
      <c r="Q2525" s="1"/>
      <c r="S2525" s="1"/>
      <c r="T2525" s="1"/>
      <c r="U2525" s="1"/>
      <c r="V2525" s="1"/>
      <c r="W2525" s="1"/>
      <c r="X2525" s="1"/>
      <c r="Y2525" s="1"/>
      <c r="AB2525" s="1"/>
      <c r="AC2525" s="1"/>
      <c r="AD2525" s="1"/>
      <c r="AE2525" s="1"/>
      <c r="AF2525" s="1"/>
      <c r="AG2525" s="1"/>
      <c r="AH2525" s="1"/>
      <c r="AI2525" s="1"/>
      <c r="AJ2525" s="1"/>
      <c r="AK2525" s="1"/>
      <c r="AL2525" s="1"/>
      <c r="AM2525" s="1"/>
    </row>
    <row r="2526" spans="16:39" x14ac:dyDescent="0.25">
      <c r="P2526" s="49"/>
      <c r="Q2526" s="1"/>
      <c r="S2526" s="1"/>
      <c r="T2526" s="1"/>
      <c r="U2526" s="1"/>
      <c r="V2526" s="1"/>
      <c r="W2526" s="1"/>
      <c r="X2526" s="1"/>
      <c r="Y2526" s="1"/>
      <c r="AB2526" s="1"/>
      <c r="AC2526" s="1"/>
      <c r="AD2526" s="1"/>
      <c r="AE2526" s="1"/>
      <c r="AF2526" s="1"/>
      <c r="AG2526" s="1"/>
      <c r="AH2526" s="1"/>
      <c r="AI2526" s="1"/>
      <c r="AJ2526" s="1"/>
      <c r="AK2526" s="1"/>
      <c r="AL2526" s="1"/>
      <c r="AM2526" s="1"/>
    </row>
    <row r="2527" spans="16:39" x14ac:dyDescent="0.25">
      <c r="P2527" s="49"/>
      <c r="Q2527" s="1"/>
      <c r="S2527" s="1"/>
      <c r="T2527" s="1"/>
      <c r="U2527" s="1"/>
      <c r="V2527" s="1"/>
      <c r="W2527" s="1"/>
      <c r="X2527" s="1"/>
      <c r="Y2527" s="1"/>
      <c r="AB2527" s="1"/>
      <c r="AC2527" s="1"/>
      <c r="AD2527" s="1"/>
      <c r="AE2527" s="1"/>
      <c r="AF2527" s="1"/>
      <c r="AG2527" s="1"/>
      <c r="AH2527" s="1"/>
      <c r="AI2527" s="1"/>
      <c r="AJ2527" s="1"/>
      <c r="AK2527" s="1"/>
      <c r="AL2527" s="1"/>
      <c r="AM2527" s="1"/>
    </row>
    <row r="2528" spans="16:39" x14ac:dyDescent="0.25">
      <c r="P2528" s="49"/>
      <c r="Q2528" s="1"/>
      <c r="S2528" s="1"/>
      <c r="T2528" s="1"/>
      <c r="U2528" s="1"/>
      <c r="V2528" s="1"/>
      <c r="W2528" s="1"/>
      <c r="X2528" s="1"/>
      <c r="Y2528" s="1"/>
      <c r="AB2528" s="1"/>
      <c r="AC2528" s="1"/>
      <c r="AD2528" s="1"/>
      <c r="AE2528" s="1"/>
      <c r="AF2528" s="1"/>
      <c r="AG2528" s="1"/>
      <c r="AH2528" s="1"/>
      <c r="AI2528" s="1"/>
      <c r="AJ2528" s="1"/>
      <c r="AK2528" s="1"/>
      <c r="AL2528" s="1"/>
      <c r="AM2528" s="1"/>
    </row>
    <row r="2529" spans="16:39" x14ac:dyDescent="0.25">
      <c r="P2529" s="49"/>
      <c r="Q2529" s="1"/>
      <c r="S2529" s="1"/>
      <c r="T2529" s="1"/>
      <c r="U2529" s="1"/>
      <c r="V2529" s="1"/>
      <c r="W2529" s="1"/>
      <c r="X2529" s="1"/>
      <c r="Y2529" s="1"/>
      <c r="AB2529" s="1"/>
      <c r="AC2529" s="1"/>
      <c r="AD2529" s="1"/>
      <c r="AE2529" s="1"/>
      <c r="AF2529" s="1"/>
      <c r="AG2529" s="1"/>
      <c r="AH2529" s="1"/>
      <c r="AI2529" s="1"/>
      <c r="AJ2529" s="1"/>
      <c r="AK2529" s="1"/>
      <c r="AL2529" s="1"/>
      <c r="AM2529" s="1"/>
    </row>
    <row r="2530" spans="16:39" x14ac:dyDescent="0.25">
      <c r="P2530" s="49"/>
      <c r="Q2530" s="1"/>
      <c r="S2530" s="1"/>
      <c r="T2530" s="1"/>
      <c r="U2530" s="1"/>
      <c r="V2530" s="1"/>
      <c r="W2530" s="1"/>
      <c r="X2530" s="1"/>
      <c r="Y2530" s="1"/>
      <c r="AB2530" s="1"/>
      <c r="AC2530" s="1"/>
      <c r="AD2530" s="1"/>
      <c r="AE2530" s="1"/>
      <c r="AF2530" s="1"/>
      <c r="AG2530" s="1"/>
      <c r="AH2530" s="1"/>
      <c r="AI2530" s="1"/>
      <c r="AJ2530" s="1"/>
      <c r="AK2530" s="1"/>
      <c r="AL2530" s="1"/>
      <c r="AM2530" s="1"/>
    </row>
    <row r="2531" spans="16:39" x14ac:dyDescent="0.25">
      <c r="P2531" s="49"/>
      <c r="Q2531" s="1"/>
      <c r="S2531" s="1"/>
      <c r="T2531" s="1"/>
      <c r="U2531" s="1"/>
      <c r="V2531" s="1"/>
      <c r="W2531" s="1"/>
      <c r="X2531" s="1"/>
      <c r="Y2531" s="1"/>
      <c r="AB2531" s="1"/>
      <c r="AC2531" s="1"/>
      <c r="AD2531" s="1"/>
      <c r="AE2531" s="1"/>
      <c r="AF2531" s="1"/>
      <c r="AG2531" s="1"/>
      <c r="AH2531" s="1"/>
      <c r="AI2531" s="1"/>
      <c r="AJ2531" s="1"/>
      <c r="AK2531" s="1"/>
      <c r="AL2531" s="1"/>
      <c r="AM2531" s="1"/>
    </row>
    <row r="2532" spans="16:39" x14ac:dyDescent="0.25">
      <c r="P2532" s="49"/>
      <c r="Q2532" s="1"/>
      <c r="S2532" s="1"/>
      <c r="T2532" s="1"/>
      <c r="U2532" s="1"/>
      <c r="V2532" s="1"/>
      <c r="W2532" s="1"/>
      <c r="X2532" s="1"/>
      <c r="Y2532" s="1"/>
      <c r="AB2532" s="1"/>
      <c r="AC2532" s="1"/>
      <c r="AD2532" s="1"/>
      <c r="AE2532" s="1"/>
      <c r="AF2532" s="1"/>
      <c r="AG2532" s="1"/>
      <c r="AH2532" s="1"/>
      <c r="AI2532" s="1"/>
      <c r="AJ2532" s="1"/>
      <c r="AK2532" s="1"/>
      <c r="AL2532" s="1"/>
      <c r="AM2532" s="1"/>
    </row>
    <row r="2533" spans="16:39" x14ac:dyDescent="0.25">
      <c r="P2533" s="49"/>
      <c r="Q2533" s="1"/>
      <c r="S2533" s="1"/>
      <c r="T2533" s="1"/>
      <c r="U2533" s="1"/>
      <c r="V2533" s="1"/>
      <c r="W2533" s="1"/>
      <c r="X2533" s="1"/>
      <c r="Y2533" s="1"/>
      <c r="AB2533" s="1"/>
      <c r="AC2533" s="1"/>
      <c r="AD2533" s="1"/>
      <c r="AE2533" s="1"/>
      <c r="AF2533" s="1"/>
      <c r="AG2533" s="1"/>
      <c r="AH2533" s="1"/>
      <c r="AI2533" s="1"/>
      <c r="AJ2533" s="1"/>
      <c r="AK2533" s="1"/>
      <c r="AL2533" s="1"/>
      <c r="AM2533" s="1"/>
    </row>
    <row r="2534" spans="16:39" x14ac:dyDescent="0.25">
      <c r="P2534" s="49"/>
      <c r="Q2534" s="1"/>
      <c r="S2534" s="1"/>
      <c r="T2534" s="1"/>
      <c r="U2534" s="1"/>
      <c r="V2534" s="1"/>
      <c r="W2534" s="1"/>
      <c r="X2534" s="1"/>
      <c r="Y2534" s="1"/>
      <c r="AB2534" s="1"/>
      <c r="AC2534" s="1"/>
      <c r="AD2534" s="1"/>
      <c r="AE2534" s="1"/>
      <c r="AF2534" s="1"/>
      <c r="AG2534" s="1"/>
      <c r="AH2534" s="1"/>
      <c r="AI2534" s="1"/>
      <c r="AJ2534" s="1"/>
      <c r="AK2534" s="1"/>
      <c r="AL2534" s="1"/>
      <c r="AM2534" s="1"/>
    </row>
    <row r="2535" spans="16:39" x14ac:dyDescent="0.25">
      <c r="P2535" s="49"/>
      <c r="Q2535" s="1"/>
      <c r="S2535" s="1"/>
      <c r="T2535" s="1"/>
      <c r="U2535" s="1"/>
      <c r="V2535" s="1"/>
      <c r="W2535" s="1"/>
      <c r="X2535" s="1"/>
      <c r="Y2535" s="1"/>
      <c r="AB2535" s="1"/>
      <c r="AC2535" s="1"/>
      <c r="AD2535" s="1"/>
      <c r="AE2535" s="1"/>
      <c r="AF2535" s="1"/>
      <c r="AG2535" s="1"/>
      <c r="AH2535" s="1"/>
      <c r="AI2535" s="1"/>
      <c r="AJ2535" s="1"/>
      <c r="AK2535" s="1"/>
      <c r="AL2535" s="1"/>
      <c r="AM2535" s="1"/>
    </row>
    <row r="2536" spans="16:39" x14ac:dyDescent="0.25">
      <c r="P2536" s="49"/>
      <c r="Q2536" s="1"/>
      <c r="S2536" s="1"/>
      <c r="T2536" s="1"/>
      <c r="U2536" s="1"/>
      <c r="V2536" s="1"/>
      <c r="W2536" s="1"/>
      <c r="X2536" s="1"/>
      <c r="Y2536" s="1"/>
      <c r="AB2536" s="1"/>
      <c r="AC2536" s="1"/>
      <c r="AD2536" s="1"/>
      <c r="AE2536" s="1"/>
      <c r="AF2536" s="1"/>
      <c r="AG2536" s="1"/>
      <c r="AH2536" s="1"/>
      <c r="AI2536" s="1"/>
      <c r="AJ2536" s="1"/>
      <c r="AK2536" s="1"/>
      <c r="AL2536" s="1"/>
      <c r="AM2536" s="1"/>
    </row>
    <row r="2537" spans="16:39" x14ac:dyDescent="0.25">
      <c r="P2537" s="49"/>
      <c r="Q2537" s="1"/>
      <c r="S2537" s="1"/>
      <c r="T2537" s="1"/>
      <c r="U2537" s="1"/>
      <c r="V2537" s="1"/>
      <c r="W2537" s="1"/>
      <c r="X2537" s="1"/>
      <c r="Y2537" s="1"/>
      <c r="AB2537" s="1"/>
      <c r="AC2537" s="1"/>
      <c r="AD2537" s="1"/>
      <c r="AE2537" s="1"/>
      <c r="AF2537" s="1"/>
      <c r="AG2537" s="1"/>
      <c r="AH2537" s="1"/>
      <c r="AI2537" s="1"/>
      <c r="AJ2537" s="1"/>
      <c r="AK2537" s="1"/>
      <c r="AL2537" s="1"/>
      <c r="AM2537" s="1"/>
    </row>
    <row r="2538" spans="16:39" x14ac:dyDescent="0.25">
      <c r="P2538" s="49"/>
      <c r="Q2538" s="1"/>
      <c r="S2538" s="1"/>
      <c r="T2538" s="1"/>
      <c r="U2538" s="1"/>
      <c r="V2538" s="1"/>
      <c r="W2538" s="1"/>
      <c r="X2538" s="1"/>
      <c r="Y2538" s="1"/>
      <c r="AB2538" s="1"/>
      <c r="AC2538" s="1"/>
      <c r="AD2538" s="1"/>
      <c r="AE2538" s="1"/>
      <c r="AF2538" s="1"/>
      <c r="AG2538" s="1"/>
      <c r="AH2538" s="1"/>
      <c r="AI2538" s="1"/>
      <c r="AJ2538" s="1"/>
      <c r="AK2538" s="1"/>
      <c r="AL2538" s="1"/>
      <c r="AM2538" s="1"/>
    </row>
    <row r="2539" spans="16:39" x14ac:dyDescent="0.25">
      <c r="P2539" s="49"/>
      <c r="Q2539" s="1"/>
      <c r="S2539" s="1"/>
      <c r="T2539" s="1"/>
      <c r="U2539" s="1"/>
      <c r="V2539" s="1"/>
      <c r="W2539" s="1"/>
      <c r="X2539" s="1"/>
      <c r="Y2539" s="1"/>
      <c r="AB2539" s="1"/>
      <c r="AC2539" s="1"/>
      <c r="AD2539" s="1"/>
      <c r="AE2539" s="1"/>
      <c r="AF2539" s="1"/>
      <c r="AG2539" s="1"/>
      <c r="AH2539" s="1"/>
      <c r="AI2539" s="1"/>
      <c r="AJ2539" s="1"/>
      <c r="AK2539" s="1"/>
      <c r="AL2539" s="1"/>
      <c r="AM2539" s="1"/>
    </row>
    <row r="2540" spans="16:39" x14ac:dyDescent="0.25">
      <c r="P2540" s="49"/>
      <c r="Q2540" s="1"/>
      <c r="S2540" s="1"/>
      <c r="T2540" s="1"/>
      <c r="U2540" s="1"/>
      <c r="V2540" s="1"/>
      <c r="W2540" s="1"/>
      <c r="X2540" s="1"/>
      <c r="Y2540" s="1"/>
      <c r="AB2540" s="1"/>
      <c r="AC2540" s="1"/>
      <c r="AD2540" s="1"/>
      <c r="AE2540" s="1"/>
      <c r="AF2540" s="1"/>
      <c r="AG2540" s="1"/>
      <c r="AH2540" s="1"/>
      <c r="AI2540" s="1"/>
      <c r="AJ2540" s="1"/>
      <c r="AK2540" s="1"/>
      <c r="AL2540" s="1"/>
      <c r="AM2540" s="1"/>
    </row>
    <row r="2541" spans="16:39" x14ac:dyDescent="0.25">
      <c r="P2541" s="49"/>
      <c r="Q2541" s="1"/>
      <c r="S2541" s="1"/>
      <c r="T2541" s="1"/>
      <c r="U2541" s="1"/>
      <c r="V2541" s="1"/>
      <c r="W2541" s="1"/>
      <c r="X2541" s="1"/>
      <c r="Y2541" s="1"/>
      <c r="AB2541" s="1"/>
      <c r="AC2541" s="1"/>
      <c r="AD2541" s="1"/>
      <c r="AE2541" s="1"/>
      <c r="AF2541" s="1"/>
      <c r="AG2541" s="1"/>
      <c r="AH2541" s="1"/>
      <c r="AI2541" s="1"/>
      <c r="AJ2541" s="1"/>
      <c r="AK2541" s="1"/>
      <c r="AL2541" s="1"/>
      <c r="AM2541" s="1"/>
    </row>
    <row r="2542" spans="16:39" x14ac:dyDescent="0.25">
      <c r="P2542" s="49"/>
      <c r="Q2542" s="1"/>
      <c r="S2542" s="1"/>
      <c r="T2542" s="1"/>
      <c r="U2542" s="1"/>
      <c r="V2542" s="1"/>
      <c r="W2542" s="1"/>
      <c r="X2542" s="1"/>
      <c r="Y2542" s="1"/>
      <c r="AB2542" s="1"/>
      <c r="AC2542" s="1"/>
      <c r="AD2542" s="1"/>
      <c r="AE2542" s="1"/>
      <c r="AF2542" s="1"/>
      <c r="AG2542" s="1"/>
      <c r="AH2542" s="1"/>
      <c r="AI2542" s="1"/>
      <c r="AJ2542" s="1"/>
      <c r="AK2542" s="1"/>
      <c r="AL2542" s="1"/>
      <c r="AM2542" s="1"/>
    </row>
    <row r="2543" spans="16:39" x14ac:dyDescent="0.25">
      <c r="P2543" s="49"/>
      <c r="Q2543" s="1"/>
      <c r="S2543" s="1"/>
      <c r="T2543" s="1"/>
      <c r="U2543" s="1"/>
      <c r="V2543" s="1"/>
      <c r="W2543" s="1"/>
      <c r="X2543" s="1"/>
      <c r="Y2543" s="1"/>
      <c r="AB2543" s="1"/>
      <c r="AC2543" s="1"/>
      <c r="AD2543" s="1"/>
      <c r="AE2543" s="1"/>
      <c r="AF2543" s="1"/>
      <c r="AG2543" s="1"/>
      <c r="AH2543" s="1"/>
      <c r="AI2543" s="1"/>
      <c r="AJ2543" s="1"/>
      <c r="AK2543" s="1"/>
      <c r="AL2543" s="1"/>
      <c r="AM2543" s="1"/>
    </row>
    <row r="2544" spans="16:39" x14ac:dyDescent="0.25">
      <c r="P2544" s="49"/>
      <c r="Q2544" s="1"/>
      <c r="S2544" s="1"/>
      <c r="T2544" s="1"/>
      <c r="U2544" s="1"/>
      <c r="V2544" s="1"/>
      <c r="W2544" s="1"/>
      <c r="X2544" s="1"/>
      <c r="Y2544" s="1"/>
      <c r="AB2544" s="1"/>
      <c r="AC2544" s="1"/>
      <c r="AD2544" s="1"/>
      <c r="AE2544" s="1"/>
      <c r="AF2544" s="1"/>
      <c r="AG2544" s="1"/>
      <c r="AH2544" s="1"/>
      <c r="AI2544" s="1"/>
      <c r="AJ2544" s="1"/>
      <c r="AK2544" s="1"/>
      <c r="AL2544" s="1"/>
      <c r="AM2544" s="1"/>
    </row>
    <row r="2545" spans="16:39" x14ac:dyDescent="0.25">
      <c r="P2545" s="49"/>
      <c r="Q2545" s="1"/>
      <c r="S2545" s="1"/>
      <c r="T2545" s="1"/>
      <c r="U2545" s="1"/>
      <c r="V2545" s="1"/>
      <c r="W2545" s="1"/>
      <c r="X2545" s="1"/>
      <c r="Y2545" s="1"/>
      <c r="AB2545" s="1"/>
      <c r="AC2545" s="1"/>
      <c r="AD2545" s="1"/>
      <c r="AE2545" s="1"/>
      <c r="AF2545" s="1"/>
      <c r="AG2545" s="1"/>
      <c r="AH2545" s="1"/>
      <c r="AI2545" s="1"/>
      <c r="AJ2545" s="1"/>
      <c r="AK2545" s="1"/>
      <c r="AL2545" s="1"/>
      <c r="AM2545" s="1"/>
    </row>
    <row r="2546" spans="16:39" x14ac:dyDescent="0.25">
      <c r="P2546" s="49"/>
      <c r="Q2546" s="1"/>
      <c r="S2546" s="1"/>
      <c r="T2546" s="1"/>
      <c r="U2546" s="1"/>
      <c r="V2546" s="1"/>
      <c r="W2546" s="1"/>
      <c r="X2546" s="1"/>
      <c r="Y2546" s="1"/>
      <c r="AB2546" s="1"/>
      <c r="AC2546" s="1"/>
      <c r="AD2546" s="1"/>
      <c r="AE2546" s="1"/>
      <c r="AF2546" s="1"/>
      <c r="AG2546" s="1"/>
      <c r="AH2546" s="1"/>
      <c r="AI2546" s="1"/>
      <c r="AJ2546" s="1"/>
      <c r="AK2546" s="1"/>
      <c r="AL2546" s="1"/>
      <c r="AM2546" s="1"/>
    </row>
    <row r="2547" spans="16:39" x14ac:dyDescent="0.25">
      <c r="P2547" s="49"/>
      <c r="Q2547" s="1"/>
      <c r="S2547" s="1"/>
      <c r="T2547" s="1"/>
      <c r="U2547" s="1"/>
      <c r="V2547" s="1"/>
      <c r="W2547" s="1"/>
      <c r="X2547" s="1"/>
      <c r="Y2547" s="1"/>
      <c r="AB2547" s="1"/>
      <c r="AC2547" s="1"/>
      <c r="AD2547" s="1"/>
      <c r="AE2547" s="1"/>
      <c r="AF2547" s="1"/>
      <c r="AG2547" s="1"/>
      <c r="AH2547" s="1"/>
      <c r="AI2547" s="1"/>
      <c r="AJ2547" s="1"/>
      <c r="AK2547" s="1"/>
      <c r="AL2547" s="1"/>
      <c r="AM2547" s="1"/>
    </row>
    <row r="2548" spans="16:39" x14ac:dyDescent="0.25">
      <c r="P2548" s="49"/>
      <c r="Q2548" s="1"/>
      <c r="S2548" s="1"/>
      <c r="T2548" s="1"/>
      <c r="U2548" s="1"/>
      <c r="V2548" s="1"/>
      <c r="W2548" s="1"/>
      <c r="X2548" s="1"/>
      <c r="Y2548" s="1"/>
      <c r="AB2548" s="1"/>
      <c r="AC2548" s="1"/>
      <c r="AD2548" s="1"/>
      <c r="AE2548" s="1"/>
      <c r="AF2548" s="1"/>
      <c r="AG2548" s="1"/>
      <c r="AH2548" s="1"/>
      <c r="AI2548" s="1"/>
      <c r="AJ2548" s="1"/>
      <c r="AK2548" s="1"/>
      <c r="AL2548" s="1"/>
      <c r="AM2548" s="1"/>
    </row>
    <row r="2549" spans="16:39" x14ac:dyDescent="0.25">
      <c r="P2549" s="49"/>
      <c r="Q2549" s="1"/>
      <c r="S2549" s="1"/>
      <c r="T2549" s="1"/>
      <c r="U2549" s="1"/>
      <c r="V2549" s="1"/>
      <c r="W2549" s="1"/>
      <c r="X2549" s="1"/>
      <c r="Y2549" s="1"/>
      <c r="AB2549" s="1"/>
      <c r="AC2549" s="1"/>
      <c r="AD2549" s="1"/>
      <c r="AE2549" s="1"/>
      <c r="AF2549" s="1"/>
      <c r="AG2549" s="1"/>
      <c r="AH2549" s="1"/>
      <c r="AI2549" s="1"/>
      <c r="AJ2549" s="1"/>
      <c r="AK2549" s="1"/>
      <c r="AL2549" s="1"/>
      <c r="AM2549" s="1"/>
    </row>
    <row r="2550" spans="16:39" x14ac:dyDescent="0.25">
      <c r="P2550" s="49"/>
      <c r="Q2550" s="1"/>
      <c r="S2550" s="1"/>
      <c r="T2550" s="1"/>
      <c r="U2550" s="1"/>
      <c r="V2550" s="1"/>
      <c r="W2550" s="1"/>
      <c r="X2550" s="1"/>
      <c r="Y2550" s="1"/>
      <c r="AB2550" s="1"/>
      <c r="AC2550" s="1"/>
      <c r="AD2550" s="1"/>
      <c r="AE2550" s="1"/>
      <c r="AF2550" s="1"/>
      <c r="AG2550" s="1"/>
      <c r="AH2550" s="1"/>
      <c r="AI2550" s="1"/>
      <c r="AJ2550" s="1"/>
      <c r="AK2550" s="1"/>
      <c r="AL2550" s="1"/>
      <c r="AM2550" s="1"/>
    </row>
    <row r="2551" spans="16:39" x14ac:dyDescent="0.25">
      <c r="P2551" s="49"/>
      <c r="Q2551" s="1"/>
      <c r="S2551" s="1"/>
      <c r="T2551" s="1"/>
      <c r="U2551" s="1"/>
      <c r="V2551" s="1"/>
      <c r="W2551" s="1"/>
      <c r="X2551" s="1"/>
      <c r="Y2551" s="1"/>
      <c r="AB2551" s="1"/>
      <c r="AC2551" s="1"/>
      <c r="AD2551" s="1"/>
      <c r="AE2551" s="1"/>
      <c r="AF2551" s="1"/>
      <c r="AG2551" s="1"/>
      <c r="AH2551" s="1"/>
      <c r="AI2551" s="1"/>
      <c r="AJ2551" s="1"/>
      <c r="AK2551" s="1"/>
      <c r="AL2551" s="1"/>
      <c r="AM2551" s="1"/>
    </row>
    <row r="2552" spans="16:39" x14ac:dyDescent="0.25">
      <c r="P2552" s="49"/>
      <c r="Q2552" s="1"/>
      <c r="S2552" s="1"/>
      <c r="T2552" s="1"/>
      <c r="U2552" s="1"/>
      <c r="V2552" s="1"/>
      <c r="W2552" s="1"/>
      <c r="X2552" s="1"/>
      <c r="Y2552" s="1"/>
      <c r="AB2552" s="1"/>
      <c r="AC2552" s="1"/>
      <c r="AD2552" s="1"/>
      <c r="AE2552" s="1"/>
      <c r="AF2552" s="1"/>
      <c r="AG2552" s="1"/>
      <c r="AH2552" s="1"/>
      <c r="AI2552" s="1"/>
      <c r="AJ2552" s="1"/>
      <c r="AK2552" s="1"/>
      <c r="AL2552" s="1"/>
      <c r="AM2552" s="1"/>
    </row>
    <row r="2553" spans="16:39" x14ac:dyDescent="0.25">
      <c r="P2553" s="49"/>
      <c r="Q2553" s="1"/>
      <c r="S2553" s="1"/>
      <c r="T2553" s="1"/>
      <c r="U2553" s="1"/>
      <c r="V2553" s="1"/>
      <c r="W2553" s="1"/>
      <c r="X2553" s="1"/>
      <c r="Y2553" s="1"/>
      <c r="AB2553" s="1"/>
      <c r="AC2553" s="1"/>
      <c r="AD2553" s="1"/>
      <c r="AE2553" s="1"/>
      <c r="AF2553" s="1"/>
      <c r="AG2553" s="1"/>
      <c r="AH2553" s="1"/>
      <c r="AI2553" s="1"/>
      <c r="AJ2553" s="1"/>
      <c r="AK2553" s="1"/>
      <c r="AL2553" s="1"/>
      <c r="AM2553" s="1"/>
    </row>
    <row r="2554" spans="16:39" x14ac:dyDescent="0.25">
      <c r="P2554" s="49"/>
      <c r="Q2554" s="1"/>
      <c r="S2554" s="1"/>
      <c r="T2554" s="1"/>
      <c r="U2554" s="1"/>
      <c r="V2554" s="1"/>
      <c r="W2554" s="1"/>
      <c r="X2554" s="1"/>
      <c r="Y2554" s="1"/>
      <c r="AB2554" s="1"/>
      <c r="AC2554" s="1"/>
      <c r="AD2554" s="1"/>
      <c r="AE2554" s="1"/>
      <c r="AF2554" s="1"/>
      <c r="AG2554" s="1"/>
      <c r="AH2554" s="1"/>
      <c r="AI2554" s="1"/>
      <c r="AJ2554" s="1"/>
      <c r="AK2554" s="1"/>
      <c r="AL2554" s="1"/>
      <c r="AM2554" s="1"/>
    </row>
    <row r="2555" spans="16:39" x14ac:dyDescent="0.25">
      <c r="P2555" s="49"/>
      <c r="Q2555" s="1"/>
      <c r="S2555" s="1"/>
      <c r="T2555" s="1"/>
      <c r="U2555" s="1"/>
      <c r="V2555" s="1"/>
      <c r="W2555" s="1"/>
      <c r="X2555" s="1"/>
      <c r="Y2555" s="1"/>
      <c r="AB2555" s="1"/>
      <c r="AC2555" s="1"/>
      <c r="AD2555" s="1"/>
      <c r="AE2555" s="1"/>
      <c r="AF2555" s="1"/>
      <c r="AG2555" s="1"/>
      <c r="AH2555" s="1"/>
      <c r="AI2555" s="1"/>
      <c r="AJ2555" s="1"/>
      <c r="AK2555" s="1"/>
      <c r="AL2555" s="1"/>
      <c r="AM2555" s="1"/>
    </row>
    <row r="2556" spans="16:39" x14ac:dyDescent="0.25">
      <c r="P2556" s="49"/>
      <c r="Q2556" s="1"/>
      <c r="S2556" s="1"/>
      <c r="T2556" s="1"/>
      <c r="U2556" s="1"/>
      <c r="V2556" s="1"/>
      <c r="W2556" s="1"/>
      <c r="X2556" s="1"/>
      <c r="Y2556" s="1"/>
      <c r="AB2556" s="1"/>
      <c r="AC2556" s="1"/>
      <c r="AD2556" s="1"/>
      <c r="AE2556" s="1"/>
      <c r="AF2556" s="1"/>
      <c r="AG2556" s="1"/>
      <c r="AH2556" s="1"/>
      <c r="AI2556" s="1"/>
      <c r="AJ2556" s="1"/>
      <c r="AK2556" s="1"/>
      <c r="AL2556" s="1"/>
      <c r="AM2556" s="1"/>
    </row>
    <row r="2557" spans="16:39" x14ac:dyDescent="0.25">
      <c r="P2557" s="49"/>
      <c r="Q2557" s="1"/>
      <c r="S2557" s="1"/>
      <c r="T2557" s="1"/>
      <c r="U2557" s="1"/>
      <c r="V2557" s="1"/>
      <c r="W2557" s="1"/>
      <c r="X2557" s="1"/>
      <c r="Y2557" s="1"/>
      <c r="AB2557" s="1"/>
      <c r="AC2557" s="1"/>
      <c r="AD2557" s="1"/>
      <c r="AE2557" s="1"/>
      <c r="AF2557" s="1"/>
      <c r="AG2557" s="1"/>
      <c r="AH2557" s="1"/>
      <c r="AI2557" s="1"/>
      <c r="AJ2557" s="1"/>
      <c r="AK2557" s="1"/>
      <c r="AL2557" s="1"/>
      <c r="AM2557" s="1"/>
    </row>
    <row r="2558" spans="16:39" x14ac:dyDescent="0.25">
      <c r="P2558" s="49"/>
      <c r="Q2558" s="1"/>
      <c r="S2558" s="1"/>
      <c r="T2558" s="1"/>
      <c r="U2558" s="1"/>
      <c r="V2558" s="1"/>
      <c r="W2558" s="1"/>
      <c r="X2558" s="1"/>
      <c r="Y2558" s="1"/>
      <c r="AB2558" s="1"/>
      <c r="AC2558" s="1"/>
      <c r="AD2558" s="1"/>
      <c r="AE2558" s="1"/>
      <c r="AF2558" s="1"/>
      <c r="AG2558" s="1"/>
      <c r="AH2558" s="1"/>
      <c r="AI2558" s="1"/>
      <c r="AJ2558" s="1"/>
      <c r="AK2558" s="1"/>
      <c r="AL2558" s="1"/>
      <c r="AM2558" s="1"/>
    </row>
    <row r="2559" spans="16:39" x14ac:dyDescent="0.25">
      <c r="P2559" s="49"/>
      <c r="Q2559" s="1"/>
      <c r="S2559" s="1"/>
      <c r="T2559" s="1"/>
      <c r="U2559" s="1"/>
      <c r="V2559" s="1"/>
      <c r="W2559" s="1"/>
      <c r="X2559" s="1"/>
      <c r="Y2559" s="1"/>
      <c r="AB2559" s="1"/>
      <c r="AC2559" s="1"/>
      <c r="AD2559" s="1"/>
      <c r="AE2559" s="1"/>
      <c r="AF2559" s="1"/>
      <c r="AG2559" s="1"/>
      <c r="AH2559" s="1"/>
      <c r="AI2559" s="1"/>
      <c r="AJ2559" s="1"/>
      <c r="AK2559" s="1"/>
      <c r="AL2559" s="1"/>
      <c r="AM2559" s="1"/>
    </row>
    <row r="2560" spans="16:39" x14ac:dyDescent="0.25">
      <c r="P2560" s="49"/>
      <c r="Q2560" s="1"/>
      <c r="S2560" s="1"/>
      <c r="T2560" s="1"/>
      <c r="U2560" s="1"/>
      <c r="V2560" s="1"/>
      <c r="W2560" s="1"/>
      <c r="X2560" s="1"/>
      <c r="Y2560" s="1"/>
      <c r="AB2560" s="1"/>
      <c r="AC2560" s="1"/>
      <c r="AD2560" s="1"/>
      <c r="AE2560" s="1"/>
      <c r="AF2560" s="1"/>
      <c r="AG2560" s="1"/>
      <c r="AH2560" s="1"/>
      <c r="AI2560" s="1"/>
      <c r="AJ2560" s="1"/>
      <c r="AK2560" s="1"/>
      <c r="AL2560" s="1"/>
      <c r="AM2560" s="1"/>
    </row>
    <row r="2561" spans="16:39" x14ac:dyDescent="0.25">
      <c r="P2561" s="49"/>
      <c r="Q2561" s="1"/>
      <c r="S2561" s="1"/>
      <c r="T2561" s="1"/>
      <c r="U2561" s="1"/>
      <c r="V2561" s="1"/>
      <c r="W2561" s="1"/>
      <c r="X2561" s="1"/>
      <c r="Y2561" s="1"/>
      <c r="AB2561" s="1"/>
      <c r="AC2561" s="1"/>
      <c r="AD2561" s="1"/>
      <c r="AE2561" s="1"/>
      <c r="AF2561" s="1"/>
      <c r="AG2561" s="1"/>
      <c r="AH2561" s="1"/>
      <c r="AI2561" s="1"/>
      <c r="AJ2561" s="1"/>
      <c r="AK2561" s="1"/>
      <c r="AL2561" s="1"/>
      <c r="AM2561" s="1"/>
    </row>
    <row r="2562" spans="16:39" x14ac:dyDescent="0.25">
      <c r="P2562" s="49"/>
      <c r="Q2562" s="1"/>
      <c r="S2562" s="1"/>
      <c r="T2562" s="1"/>
      <c r="U2562" s="1"/>
      <c r="V2562" s="1"/>
      <c r="W2562" s="1"/>
      <c r="X2562" s="1"/>
      <c r="Y2562" s="1"/>
      <c r="AB2562" s="1"/>
      <c r="AC2562" s="1"/>
      <c r="AD2562" s="1"/>
      <c r="AE2562" s="1"/>
      <c r="AF2562" s="1"/>
      <c r="AG2562" s="1"/>
      <c r="AH2562" s="1"/>
      <c r="AI2562" s="1"/>
      <c r="AJ2562" s="1"/>
      <c r="AK2562" s="1"/>
      <c r="AL2562" s="1"/>
      <c r="AM2562" s="1"/>
    </row>
    <row r="2563" spans="16:39" x14ac:dyDescent="0.25">
      <c r="P2563" s="49"/>
      <c r="Q2563" s="1"/>
      <c r="S2563" s="1"/>
      <c r="T2563" s="1"/>
      <c r="U2563" s="1"/>
      <c r="V2563" s="1"/>
      <c r="W2563" s="1"/>
      <c r="X2563" s="1"/>
      <c r="Y2563" s="1"/>
      <c r="AB2563" s="1"/>
      <c r="AC2563" s="1"/>
      <c r="AD2563" s="1"/>
      <c r="AE2563" s="1"/>
      <c r="AF2563" s="1"/>
      <c r="AG2563" s="1"/>
      <c r="AH2563" s="1"/>
      <c r="AI2563" s="1"/>
      <c r="AJ2563" s="1"/>
      <c r="AK2563" s="1"/>
      <c r="AL2563" s="1"/>
      <c r="AM2563" s="1"/>
    </row>
    <row r="2564" spans="16:39" x14ac:dyDescent="0.25">
      <c r="P2564" s="49"/>
      <c r="Q2564" s="1"/>
      <c r="S2564" s="1"/>
      <c r="T2564" s="1"/>
      <c r="U2564" s="1"/>
      <c r="V2564" s="1"/>
      <c r="W2564" s="1"/>
      <c r="X2564" s="1"/>
      <c r="Y2564" s="1"/>
      <c r="AB2564" s="1"/>
      <c r="AC2564" s="1"/>
      <c r="AD2564" s="1"/>
      <c r="AE2564" s="1"/>
      <c r="AF2564" s="1"/>
      <c r="AG2564" s="1"/>
      <c r="AH2564" s="1"/>
      <c r="AI2564" s="1"/>
      <c r="AJ2564" s="1"/>
      <c r="AK2564" s="1"/>
      <c r="AL2564" s="1"/>
      <c r="AM2564" s="1"/>
    </row>
    <row r="2565" spans="16:39" x14ac:dyDescent="0.25">
      <c r="P2565" s="49"/>
      <c r="Q2565" s="1"/>
      <c r="S2565" s="1"/>
      <c r="T2565" s="1"/>
      <c r="U2565" s="1"/>
      <c r="V2565" s="1"/>
      <c r="W2565" s="1"/>
      <c r="X2565" s="1"/>
      <c r="Y2565" s="1"/>
      <c r="AB2565" s="1"/>
      <c r="AC2565" s="1"/>
      <c r="AD2565" s="1"/>
      <c r="AE2565" s="1"/>
      <c r="AF2565" s="1"/>
      <c r="AG2565" s="1"/>
      <c r="AH2565" s="1"/>
      <c r="AI2565" s="1"/>
      <c r="AJ2565" s="1"/>
      <c r="AK2565" s="1"/>
      <c r="AL2565" s="1"/>
      <c r="AM2565" s="1"/>
    </row>
    <row r="2566" spans="16:39" x14ac:dyDescent="0.25">
      <c r="P2566" s="49"/>
      <c r="Q2566" s="1"/>
      <c r="S2566" s="1"/>
      <c r="T2566" s="1"/>
      <c r="U2566" s="1"/>
      <c r="V2566" s="1"/>
      <c r="W2566" s="1"/>
      <c r="X2566" s="1"/>
      <c r="Y2566" s="1"/>
      <c r="AB2566" s="1"/>
      <c r="AC2566" s="1"/>
      <c r="AD2566" s="1"/>
      <c r="AE2566" s="1"/>
      <c r="AF2566" s="1"/>
      <c r="AG2566" s="1"/>
      <c r="AH2566" s="1"/>
      <c r="AI2566" s="1"/>
      <c r="AJ2566" s="1"/>
      <c r="AK2566" s="1"/>
      <c r="AL2566" s="1"/>
      <c r="AM2566" s="1"/>
    </row>
    <row r="2567" spans="16:39" x14ac:dyDescent="0.25">
      <c r="P2567" s="49"/>
      <c r="Q2567" s="1"/>
      <c r="S2567" s="1"/>
      <c r="T2567" s="1"/>
      <c r="U2567" s="1"/>
      <c r="V2567" s="1"/>
      <c r="W2567" s="1"/>
      <c r="X2567" s="1"/>
      <c r="Y2567" s="1"/>
      <c r="AB2567" s="1"/>
      <c r="AC2567" s="1"/>
      <c r="AD2567" s="1"/>
      <c r="AE2567" s="1"/>
      <c r="AF2567" s="1"/>
      <c r="AG2567" s="1"/>
      <c r="AH2567" s="1"/>
      <c r="AI2567" s="1"/>
      <c r="AJ2567" s="1"/>
      <c r="AK2567" s="1"/>
      <c r="AL2567" s="1"/>
      <c r="AM2567" s="1"/>
    </row>
    <row r="2568" spans="16:39" x14ac:dyDescent="0.25">
      <c r="P2568" s="49"/>
      <c r="Q2568" s="1"/>
      <c r="S2568" s="1"/>
      <c r="T2568" s="1"/>
      <c r="U2568" s="1"/>
      <c r="V2568" s="1"/>
      <c r="W2568" s="1"/>
      <c r="X2568" s="1"/>
      <c r="Y2568" s="1"/>
      <c r="AB2568" s="1"/>
      <c r="AC2568" s="1"/>
      <c r="AD2568" s="1"/>
      <c r="AE2568" s="1"/>
      <c r="AF2568" s="1"/>
      <c r="AG2568" s="1"/>
      <c r="AH2568" s="1"/>
      <c r="AI2568" s="1"/>
      <c r="AJ2568" s="1"/>
      <c r="AK2568" s="1"/>
      <c r="AL2568" s="1"/>
      <c r="AM2568" s="1"/>
    </row>
    <row r="2569" spans="16:39" x14ac:dyDescent="0.25">
      <c r="P2569" s="49"/>
      <c r="Q2569" s="1"/>
      <c r="S2569" s="1"/>
      <c r="T2569" s="1"/>
      <c r="U2569" s="1"/>
      <c r="V2569" s="1"/>
      <c r="W2569" s="1"/>
      <c r="X2569" s="1"/>
      <c r="Y2569" s="1"/>
      <c r="AB2569" s="1"/>
      <c r="AC2569" s="1"/>
      <c r="AD2569" s="1"/>
      <c r="AE2569" s="1"/>
      <c r="AF2569" s="1"/>
      <c r="AG2569" s="1"/>
      <c r="AH2569" s="1"/>
      <c r="AI2569" s="1"/>
      <c r="AJ2569" s="1"/>
      <c r="AK2569" s="1"/>
      <c r="AL2569" s="1"/>
      <c r="AM2569" s="1"/>
    </row>
    <row r="2570" spans="16:39" x14ac:dyDescent="0.25">
      <c r="P2570" s="49"/>
      <c r="Q2570" s="1"/>
      <c r="S2570" s="1"/>
      <c r="T2570" s="1"/>
      <c r="U2570" s="1"/>
      <c r="V2570" s="1"/>
      <c r="W2570" s="1"/>
      <c r="X2570" s="1"/>
      <c r="Y2570" s="1"/>
      <c r="AB2570" s="1"/>
      <c r="AC2570" s="1"/>
      <c r="AD2570" s="1"/>
      <c r="AE2570" s="1"/>
      <c r="AF2570" s="1"/>
      <c r="AG2570" s="1"/>
      <c r="AH2570" s="1"/>
      <c r="AI2570" s="1"/>
      <c r="AJ2570" s="1"/>
      <c r="AK2570" s="1"/>
      <c r="AL2570" s="1"/>
      <c r="AM2570" s="1"/>
    </row>
    <row r="2571" spans="16:39" x14ac:dyDescent="0.25">
      <c r="P2571" s="49"/>
      <c r="Q2571" s="1"/>
      <c r="S2571" s="1"/>
      <c r="T2571" s="1"/>
      <c r="U2571" s="1"/>
      <c r="V2571" s="1"/>
      <c r="W2571" s="1"/>
      <c r="X2571" s="1"/>
      <c r="Y2571" s="1"/>
      <c r="AB2571" s="1"/>
      <c r="AC2571" s="1"/>
      <c r="AD2571" s="1"/>
      <c r="AE2571" s="1"/>
      <c r="AF2571" s="1"/>
      <c r="AG2571" s="1"/>
      <c r="AH2571" s="1"/>
      <c r="AI2571" s="1"/>
      <c r="AJ2571" s="1"/>
      <c r="AK2571" s="1"/>
      <c r="AL2571" s="1"/>
      <c r="AM2571" s="1"/>
    </row>
    <row r="2572" spans="16:39" x14ac:dyDescent="0.25">
      <c r="P2572" s="49"/>
      <c r="Q2572" s="1"/>
      <c r="S2572" s="1"/>
      <c r="T2572" s="1"/>
      <c r="U2572" s="1"/>
      <c r="V2572" s="1"/>
      <c r="W2572" s="1"/>
      <c r="X2572" s="1"/>
      <c r="Y2572" s="1"/>
      <c r="AB2572" s="1"/>
      <c r="AC2572" s="1"/>
      <c r="AD2572" s="1"/>
      <c r="AE2572" s="1"/>
      <c r="AF2572" s="1"/>
      <c r="AG2572" s="1"/>
      <c r="AH2572" s="1"/>
      <c r="AI2572" s="1"/>
      <c r="AJ2572" s="1"/>
      <c r="AK2572" s="1"/>
      <c r="AL2572" s="1"/>
      <c r="AM2572" s="1"/>
    </row>
    <row r="2573" spans="16:39" x14ac:dyDescent="0.25">
      <c r="P2573" s="49"/>
      <c r="Q2573" s="1"/>
      <c r="S2573" s="1"/>
      <c r="T2573" s="1"/>
      <c r="U2573" s="1"/>
      <c r="V2573" s="1"/>
      <c r="W2573" s="1"/>
      <c r="X2573" s="1"/>
      <c r="Y2573" s="1"/>
      <c r="AB2573" s="1"/>
      <c r="AC2573" s="1"/>
      <c r="AD2573" s="1"/>
      <c r="AE2573" s="1"/>
      <c r="AF2573" s="1"/>
      <c r="AG2573" s="1"/>
      <c r="AH2573" s="1"/>
      <c r="AI2573" s="1"/>
      <c r="AJ2573" s="1"/>
      <c r="AK2573" s="1"/>
      <c r="AL2573" s="1"/>
      <c r="AM2573" s="1"/>
    </row>
    <row r="2574" spans="16:39" x14ac:dyDescent="0.25">
      <c r="P2574" s="49"/>
      <c r="Q2574" s="1"/>
      <c r="S2574" s="1"/>
      <c r="T2574" s="1"/>
      <c r="U2574" s="1"/>
      <c r="V2574" s="1"/>
      <c r="W2574" s="1"/>
      <c r="X2574" s="1"/>
      <c r="Y2574" s="1"/>
      <c r="AB2574" s="1"/>
      <c r="AC2574" s="1"/>
      <c r="AD2574" s="1"/>
      <c r="AE2574" s="1"/>
      <c r="AF2574" s="1"/>
      <c r="AG2574" s="1"/>
      <c r="AH2574" s="1"/>
      <c r="AI2574" s="1"/>
      <c r="AJ2574" s="1"/>
      <c r="AK2574" s="1"/>
      <c r="AL2574" s="1"/>
      <c r="AM2574" s="1"/>
    </row>
    <row r="2575" spans="16:39" x14ac:dyDescent="0.25">
      <c r="P2575" s="49"/>
      <c r="Q2575" s="1"/>
      <c r="S2575" s="1"/>
      <c r="T2575" s="1"/>
      <c r="U2575" s="1"/>
      <c r="V2575" s="1"/>
      <c r="W2575" s="1"/>
      <c r="X2575" s="1"/>
      <c r="Y2575" s="1"/>
      <c r="AB2575" s="1"/>
      <c r="AC2575" s="1"/>
      <c r="AD2575" s="1"/>
      <c r="AE2575" s="1"/>
      <c r="AF2575" s="1"/>
      <c r="AG2575" s="1"/>
      <c r="AH2575" s="1"/>
      <c r="AI2575" s="1"/>
      <c r="AJ2575" s="1"/>
      <c r="AK2575" s="1"/>
      <c r="AL2575" s="1"/>
      <c r="AM2575" s="1"/>
    </row>
    <row r="2576" spans="16:39" x14ac:dyDescent="0.25">
      <c r="P2576" s="49"/>
      <c r="Q2576" s="1"/>
      <c r="S2576" s="1"/>
      <c r="T2576" s="1"/>
      <c r="U2576" s="1"/>
      <c r="V2576" s="1"/>
      <c r="W2576" s="1"/>
      <c r="X2576" s="1"/>
      <c r="Y2576" s="1"/>
      <c r="AB2576" s="1"/>
      <c r="AC2576" s="1"/>
      <c r="AD2576" s="1"/>
      <c r="AE2576" s="1"/>
      <c r="AF2576" s="1"/>
      <c r="AG2576" s="1"/>
      <c r="AH2576" s="1"/>
      <c r="AI2576" s="1"/>
      <c r="AJ2576" s="1"/>
      <c r="AK2576" s="1"/>
      <c r="AL2576" s="1"/>
      <c r="AM2576" s="1"/>
    </row>
    <row r="2577" spans="16:39" x14ac:dyDescent="0.25">
      <c r="P2577" s="49"/>
      <c r="Q2577" s="1"/>
      <c r="S2577" s="1"/>
      <c r="T2577" s="1"/>
      <c r="U2577" s="1"/>
      <c r="V2577" s="1"/>
      <c r="W2577" s="1"/>
      <c r="X2577" s="1"/>
      <c r="Y2577" s="1"/>
      <c r="AB2577" s="1"/>
      <c r="AC2577" s="1"/>
      <c r="AD2577" s="1"/>
      <c r="AE2577" s="1"/>
      <c r="AF2577" s="1"/>
      <c r="AG2577" s="1"/>
      <c r="AH2577" s="1"/>
      <c r="AI2577" s="1"/>
      <c r="AJ2577" s="1"/>
      <c r="AK2577" s="1"/>
      <c r="AL2577" s="1"/>
      <c r="AM2577" s="1"/>
    </row>
    <row r="2578" spans="16:39" x14ac:dyDescent="0.25">
      <c r="P2578" s="49"/>
      <c r="Q2578" s="1"/>
      <c r="S2578" s="1"/>
      <c r="T2578" s="1"/>
      <c r="U2578" s="1"/>
      <c r="V2578" s="1"/>
      <c r="W2578" s="1"/>
      <c r="X2578" s="1"/>
      <c r="Y2578" s="1"/>
      <c r="AB2578" s="1"/>
      <c r="AC2578" s="1"/>
      <c r="AD2578" s="1"/>
      <c r="AE2578" s="1"/>
      <c r="AF2578" s="1"/>
      <c r="AG2578" s="1"/>
      <c r="AH2578" s="1"/>
      <c r="AI2578" s="1"/>
      <c r="AJ2578" s="1"/>
      <c r="AK2578" s="1"/>
      <c r="AL2578" s="1"/>
      <c r="AM2578" s="1"/>
    </row>
    <row r="2579" spans="16:39" x14ac:dyDescent="0.25">
      <c r="P2579" s="49"/>
      <c r="Q2579" s="1"/>
      <c r="S2579" s="1"/>
      <c r="T2579" s="1"/>
      <c r="U2579" s="1"/>
      <c r="V2579" s="1"/>
      <c r="W2579" s="1"/>
      <c r="X2579" s="1"/>
      <c r="Y2579" s="1"/>
      <c r="AB2579" s="1"/>
      <c r="AC2579" s="1"/>
      <c r="AD2579" s="1"/>
      <c r="AE2579" s="1"/>
      <c r="AF2579" s="1"/>
      <c r="AG2579" s="1"/>
      <c r="AH2579" s="1"/>
      <c r="AI2579" s="1"/>
      <c r="AJ2579" s="1"/>
      <c r="AK2579" s="1"/>
      <c r="AL2579" s="1"/>
      <c r="AM2579" s="1"/>
    </row>
    <row r="2580" spans="16:39" x14ac:dyDescent="0.25">
      <c r="P2580" s="49"/>
      <c r="Q2580" s="1"/>
      <c r="S2580" s="1"/>
      <c r="T2580" s="1"/>
      <c r="U2580" s="1"/>
      <c r="V2580" s="1"/>
      <c r="W2580" s="1"/>
      <c r="X2580" s="1"/>
      <c r="Y2580" s="1"/>
      <c r="AB2580" s="1"/>
      <c r="AC2580" s="1"/>
      <c r="AD2580" s="1"/>
      <c r="AE2580" s="1"/>
      <c r="AF2580" s="1"/>
      <c r="AG2580" s="1"/>
      <c r="AH2580" s="1"/>
      <c r="AI2580" s="1"/>
      <c r="AJ2580" s="1"/>
      <c r="AK2580" s="1"/>
      <c r="AL2580" s="1"/>
      <c r="AM2580" s="1"/>
    </row>
    <row r="2581" spans="16:39" x14ac:dyDescent="0.25">
      <c r="P2581" s="49"/>
      <c r="Q2581" s="1"/>
      <c r="S2581" s="1"/>
      <c r="T2581" s="1"/>
      <c r="U2581" s="1"/>
      <c r="V2581" s="1"/>
      <c r="W2581" s="1"/>
      <c r="X2581" s="1"/>
      <c r="Y2581" s="1"/>
      <c r="AB2581" s="1"/>
      <c r="AC2581" s="1"/>
      <c r="AD2581" s="1"/>
      <c r="AE2581" s="1"/>
      <c r="AF2581" s="1"/>
      <c r="AG2581" s="1"/>
      <c r="AH2581" s="1"/>
      <c r="AI2581" s="1"/>
      <c r="AJ2581" s="1"/>
      <c r="AK2581" s="1"/>
      <c r="AL2581" s="1"/>
      <c r="AM2581" s="1"/>
    </row>
    <row r="2582" spans="16:39" x14ac:dyDescent="0.25">
      <c r="P2582" s="49"/>
      <c r="Q2582" s="1"/>
      <c r="S2582" s="1"/>
      <c r="T2582" s="1"/>
      <c r="U2582" s="1"/>
      <c r="V2582" s="1"/>
      <c r="W2582" s="1"/>
      <c r="X2582" s="1"/>
      <c r="Y2582" s="1"/>
      <c r="AB2582" s="1"/>
      <c r="AC2582" s="1"/>
      <c r="AD2582" s="1"/>
      <c r="AE2582" s="1"/>
      <c r="AF2582" s="1"/>
      <c r="AG2582" s="1"/>
      <c r="AH2582" s="1"/>
      <c r="AI2582" s="1"/>
      <c r="AJ2582" s="1"/>
      <c r="AK2582" s="1"/>
      <c r="AL2582" s="1"/>
      <c r="AM2582" s="1"/>
    </row>
    <row r="2583" spans="16:39" x14ac:dyDescent="0.25">
      <c r="P2583" s="49"/>
      <c r="Q2583" s="1"/>
      <c r="S2583" s="1"/>
      <c r="T2583" s="1"/>
      <c r="U2583" s="1"/>
      <c r="V2583" s="1"/>
      <c r="W2583" s="1"/>
      <c r="X2583" s="1"/>
      <c r="Y2583" s="1"/>
      <c r="AB2583" s="1"/>
      <c r="AC2583" s="1"/>
      <c r="AD2583" s="1"/>
      <c r="AE2583" s="1"/>
      <c r="AF2583" s="1"/>
      <c r="AG2583" s="1"/>
      <c r="AH2583" s="1"/>
      <c r="AI2583" s="1"/>
      <c r="AJ2583" s="1"/>
      <c r="AK2583" s="1"/>
      <c r="AL2583" s="1"/>
      <c r="AM2583" s="1"/>
    </row>
    <row r="2584" spans="16:39" x14ac:dyDescent="0.25">
      <c r="P2584" s="49"/>
      <c r="Q2584" s="1"/>
      <c r="S2584" s="1"/>
      <c r="T2584" s="1"/>
      <c r="U2584" s="1"/>
      <c r="V2584" s="1"/>
      <c r="W2584" s="1"/>
      <c r="X2584" s="1"/>
      <c r="Y2584" s="1"/>
      <c r="AB2584" s="1"/>
      <c r="AC2584" s="1"/>
      <c r="AD2584" s="1"/>
      <c r="AE2584" s="1"/>
      <c r="AF2584" s="1"/>
      <c r="AG2584" s="1"/>
      <c r="AH2584" s="1"/>
      <c r="AI2584" s="1"/>
      <c r="AJ2584" s="1"/>
      <c r="AK2584" s="1"/>
      <c r="AL2584" s="1"/>
      <c r="AM2584" s="1"/>
    </row>
    <row r="2585" spans="16:39" x14ac:dyDescent="0.25">
      <c r="P2585" s="49"/>
      <c r="Q2585" s="1"/>
      <c r="S2585" s="1"/>
      <c r="T2585" s="1"/>
      <c r="U2585" s="1"/>
      <c r="V2585" s="1"/>
      <c r="W2585" s="1"/>
      <c r="X2585" s="1"/>
      <c r="Y2585" s="1"/>
      <c r="AB2585" s="1"/>
      <c r="AC2585" s="1"/>
      <c r="AD2585" s="1"/>
      <c r="AE2585" s="1"/>
      <c r="AF2585" s="1"/>
      <c r="AG2585" s="1"/>
      <c r="AH2585" s="1"/>
      <c r="AI2585" s="1"/>
      <c r="AJ2585" s="1"/>
      <c r="AK2585" s="1"/>
      <c r="AL2585" s="1"/>
      <c r="AM2585" s="1"/>
    </row>
    <row r="2586" spans="16:39" x14ac:dyDescent="0.25">
      <c r="P2586" s="49"/>
      <c r="Q2586" s="1"/>
      <c r="S2586" s="1"/>
      <c r="T2586" s="1"/>
      <c r="U2586" s="1"/>
      <c r="V2586" s="1"/>
      <c r="W2586" s="1"/>
      <c r="X2586" s="1"/>
      <c r="Y2586" s="1"/>
      <c r="AB2586" s="1"/>
      <c r="AC2586" s="1"/>
      <c r="AD2586" s="1"/>
      <c r="AE2586" s="1"/>
      <c r="AF2586" s="1"/>
      <c r="AG2586" s="1"/>
      <c r="AH2586" s="1"/>
      <c r="AI2586" s="1"/>
      <c r="AJ2586" s="1"/>
      <c r="AK2586" s="1"/>
      <c r="AL2586" s="1"/>
      <c r="AM2586" s="1"/>
    </row>
    <row r="2587" spans="16:39" x14ac:dyDescent="0.25">
      <c r="P2587" s="49"/>
      <c r="Q2587" s="1"/>
      <c r="S2587" s="1"/>
      <c r="T2587" s="1"/>
      <c r="U2587" s="1"/>
      <c r="V2587" s="1"/>
      <c r="W2587" s="1"/>
      <c r="X2587" s="1"/>
      <c r="Y2587" s="1"/>
      <c r="AB2587" s="1"/>
      <c r="AC2587" s="1"/>
      <c r="AD2587" s="1"/>
      <c r="AE2587" s="1"/>
      <c r="AF2587" s="1"/>
      <c r="AG2587" s="1"/>
      <c r="AH2587" s="1"/>
      <c r="AI2587" s="1"/>
      <c r="AJ2587" s="1"/>
      <c r="AK2587" s="1"/>
      <c r="AL2587" s="1"/>
      <c r="AM2587" s="1"/>
    </row>
    <row r="2588" spans="16:39" x14ac:dyDescent="0.25">
      <c r="P2588" s="49"/>
      <c r="Q2588" s="1"/>
      <c r="S2588" s="1"/>
      <c r="T2588" s="1"/>
      <c r="U2588" s="1"/>
      <c r="V2588" s="1"/>
      <c r="W2588" s="1"/>
      <c r="X2588" s="1"/>
      <c r="Y2588" s="1"/>
      <c r="AB2588" s="1"/>
      <c r="AC2588" s="1"/>
      <c r="AD2588" s="1"/>
      <c r="AE2588" s="1"/>
      <c r="AF2588" s="1"/>
      <c r="AG2588" s="1"/>
      <c r="AH2588" s="1"/>
      <c r="AI2588" s="1"/>
      <c r="AJ2588" s="1"/>
      <c r="AK2588" s="1"/>
      <c r="AL2588" s="1"/>
      <c r="AM2588" s="1"/>
    </row>
    <row r="2589" spans="16:39" x14ac:dyDescent="0.25">
      <c r="P2589" s="49"/>
      <c r="Q2589" s="1"/>
      <c r="S2589" s="1"/>
      <c r="T2589" s="1"/>
      <c r="U2589" s="1"/>
      <c r="V2589" s="1"/>
      <c r="W2589" s="1"/>
      <c r="X2589" s="1"/>
      <c r="Y2589" s="1"/>
      <c r="AB2589" s="1"/>
      <c r="AC2589" s="1"/>
      <c r="AD2589" s="1"/>
      <c r="AE2589" s="1"/>
      <c r="AF2589" s="1"/>
      <c r="AG2589" s="1"/>
      <c r="AH2589" s="1"/>
      <c r="AI2589" s="1"/>
      <c r="AJ2589" s="1"/>
      <c r="AK2589" s="1"/>
      <c r="AL2589" s="1"/>
      <c r="AM2589" s="1"/>
    </row>
    <row r="2590" spans="16:39" x14ac:dyDescent="0.25">
      <c r="P2590" s="49"/>
      <c r="Q2590" s="1"/>
      <c r="S2590" s="1"/>
      <c r="T2590" s="1"/>
      <c r="U2590" s="1"/>
      <c r="V2590" s="1"/>
      <c r="W2590" s="1"/>
      <c r="X2590" s="1"/>
      <c r="Y2590" s="1"/>
      <c r="AB2590" s="1"/>
      <c r="AC2590" s="1"/>
      <c r="AD2590" s="1"/>
      <c r="AE2590" s="1"/>
      <c r="AF2590" s="1"/>
      <c r="AG2590" s="1"/>
      <c r="AH2590" s="1"/>
      <c r="AI2590" s="1"/>
      <c r="AJ2590" s="1"/>
      <c r="AK2590" s="1"/>
      <c r="AL2590" s="1"/>
      <c r="AM2590" s="1"/>
    </row>
    <row r="2591" spans="16:39" x14ac:dyDescent="0.25">
      <c r="P2591" s="49"/>
      <c r="Q2591" s="1"/>
      <c r="S2591" s="1"/>
      <c r="T2591" s="1"/>
      <c r="U2591" s="1"/>
      <c r="V2591" s="1"/>
      <c r="W2591" s="1"/>
      <c r="X2591" s="1"/>
      <c r="Y2591" s="1"/>
      <c r="AB2591" s="1"/>
      <c r="AC2591" s="1"/>
      <c r="AD2591" s="1"/>
      <c r="AE2591" s="1"/>
      <c r="AF2591" s="1"/>
      <c r="AG2591" s="1"/>
      <c r="AH2591" s="1"/>
      <c r="AI2591" s="1"/>
      <c r="AJ2591" s="1"/>
      <c r="AK2591" s="1"/>
      <c r="AL2591" s="1"/>
      <c r="AM2591" s="1"/>
    </row>
    <row r="2592" spans="16:39" x14ac:dyDescent="0.25">
      <c r="P2592" s="49"/>
      <c r="Q2592" s="1"/>
      <c r="S2592" s="1"/>
      <c r="T2592" s="1"/>
      <c r="U2592" s="1"/>
      <c r="V2592" s="1"/>
      <c r="W2592" s="1"/>
      <c r="X2592" s="1"/>
      <c r="Y2592" s="1"/>
      <c r="AB2592" s="1"/>
      <c r="AC2592" s="1"/>
      <c r="AD2592" s="1"/>
      <c r="AE2592" s="1"/>
      <c r="AF2592" s="1"/>
      <c r="AG2592" s="1"/>
      <c r="AH2592" s="1"/>
      <c r="AI2592" s="1"/>
      <c r="AJ2592" s="1"/>
      <c r="AK2592" s="1"/>
      <c r="AL2592" s="1"/>
      <c r="AM2592" s="1"/>
    </row>
    <row r="2593" spans="16:39" x14ac:dyDescent="0.25">
      <c r="P2593" s="49"/>
      <c r="Q2593" s="1"/>
      <c r="S2593" s="1"/>
      <c r="T2593" s="1"/>
      <c r="U2593" s="1"/>
      <c r="V2593" s="1"/>
      <c r="W2593" s="1"/>
      <c r="X2593" s="1"/>
      <c r="Y2593" s="1"/>
      <c r="AB2593" s="1"/>
      <c r="AC2593" s="1"/>
      <c r="AD2593" s="1"/>
      <c r="AE2593" s="1"/>
      <c r="AF2593" s="1"/>
      <c r="AG2593" s="1"/>
      <c r="AH2593" s="1"/>
      <c r="AI2593" s="1"/>
      <c r="AJ2593" s="1"/>
      <c r="AK2593" s="1"/>
      <c r="AL2593" s="1"/>
      <c r="AM2593" s="1"/>
    </row>
    <row r="2594" spans="16:39" x14ac:dyDescent="0.25">
      <c r="P2594" s="49"/>
      <c r="Q2594" s="1"/>
      <c r="S2594" s="1"/>
      <c r="T2594" s="1"/>
      <c r="U2594" s="1"/>
      <c r="V2594" s="1"/>
      <c r="W2594" s="1"/>
      <c r="X2594" s="1"/>
      <c r="Y2594" s="1"/>
      <c r="AB2594" s="1"/>
      <c r="AC2594" s="1"/>
      <c r="AD2594" s="1"/>
      <c r="AE2594" s="1"/>
      <c r="AF2594" s="1"/>
      <c r="AG2594" s="1"/>
      <c r="AH2594" s="1"/>
      <c r="AI2594" s="1"/>
      <c r="AJ2594" s="1"/>
      <c r="AK2594" s="1"/>
      <c r="AL2594" s="1"/>
      <c r="AM2594" s="1"/>
    </row>
    <row r="2595" spans="16:39" x14ac:dyDescent="0.25">
      <c r="P2595" s="49"/>
      <c r="Q2595" s="1"/>
      <c r="S2595" s="1"/>
      <c r="T2595" s="1"/>
      <c r="U2595" s="1"/>
      <c r="V2595" s="1"/>
      <c r="W2595" s="1"/>
      <c r="X2595" s="1"/>
      <c r="Y2595" s="1"/>
      <c r="AB2595" s="1"/>
      <c r="AC2595" s="1"/>
      <c r="AD2595" s="1"/>
      <c r="AE2595" s="1"/>
      <c r="AF2595" s="1"/>
      <c r="AG2595" s="1"/>
      <c r="AH2595" s="1"/>
      <c r="AI2595" s="1"/>
      <c r="AJ2595" s="1"/>
      <c r="AK2595" s="1"/>
      <c r="AL2595" s="1"/>
      <c r="AM2595" s="1"/>
    </row>
    <row r="2596" spans="16:39" x14ac:dyDescent="0.25">
      <c r="P2596" s="49"/>
      <c r="Q2596" s="1"/>
      <c r="S2596" s="1"/>
      <c r="T2596" s="1"/>
      <c r="U2596" s="1"/>
      <c r="V2596" s="1"/>
      <c r="W2596" s="1"/>
      <c r="X2596" s="1"/>
      <c r="Y2596" s="1"/>
      <c r="AB2596" s="1"/>
      <c r="AC2596" s="1"/>
      <c r="AD2596" s="1"/>
      <c r="AE2596" s="1"/>
      <c r="AF2596" s="1"/>
      <c r="AG2596" s="1"/>
      <c r="AH2596" s="1"/>
      <c r="AI2596" s="1"/>
      <c r="AJ2596" s="1"/>
      <c r="AK2596" s="1"/>
      <c r="AL2596" s="1"/>
      <c r="AM2596" s="1"/>
    </row>
    <row r="2597" spans="16:39" x14ac:dyDescent="0.25">
      <c r="P2597" s="49"/>
      <c r="Q2597" s="1"/>
      <c r="S2597" s="1"/>
      <c r="T2597" s="1"/>
      <c r="U2597" s="1"/>
      <c r="V2597" s="1"/>
      <c r="W2597" s="1"/>
      <c r="X2597" s="1"/>
      <c r="Y2597" s="1"/>
      <c r="AB2597" s="1"/>
      <c r="AC2597" s="1"/>
      <c r="AD2597" s="1"/>
      <c r="AE2597" s="1"/>
      <c r="AF2597" s="1"/>
      <c r="AG2597" s="1"/>
      <c r="AH2597" s="1"/>
      <c r="AI2597" s="1"/>
      <c r="AJ2597" s="1"/>
      <c r="AK2597" s="1"/>
      <c r="AL2597" s="1"/>
      <c r="AM2597" s="1"/>
    </row>
    <row r="2598" spans="16:39" x14ac:dyDescent="0.25">
      <c r="P2598" s="49"/>
      <c r="Q2598" s="1"/>
      <c r="S2598" s="1"/>
      <c r="T2598" s="1"/>
      <c r="U2598" s="1"/>
      <c r="V2598" s="1"/>
      <c r="W2598" s="1"/>
      <c r="X2598" s="1"/>
      <c r="Y2598" s="1"/>
      <c r="AB2598" s="1"/>
      <c r="AC2598" s="1"/>
      <c r="AD2598" s="1"/>
      <c r="AE2598" s="1"/>
      <c r="AF2598" s="1"/>
      <c r="AG2598" s="1"/>
      <c r="AH2598" s="1"/>
      <c r="AI2598" s="1"/>
      <c r="AJ2598" s="1"/>
      <c r="AK2598" s="1"/>
      <c r="AL2598" s="1"/>
      <c r="AM2598" s="1"/>
    </row>
    <row r="2599" spans="16:39" x14ac:dyDescent="0.25">
      <c r="P2599" s="49"/>
      <c r="Q2599" s="1"/>
      <c r="S2599" s="1"/>
      <c r="T2599" s="1"/>
      <c r="U2599" s="1"/>
      <c r="V2599" s="1"/>
      <c r="W2599" s="1"/>
      <c r="X2599" s="1"/>
      <c r="Y2599" s="1"/>
      <c r="AB2599" s="1"/>
      <c r="AC2599" s="1"/>
      <c r="AD2599" s="1"/>
      <c r="AE2599" s="1"/>
      <c r="AF2599" s="1"/>
      <c r="AG2599" s="1"/>
      <c r="AH2599" s="1"/>
      <c r="AI2599" s="1"/>
      <c r="AJ2599" s="1"/>
      <c r="AK2599" s="1"/>
      <c r="AL2599" s="1"/>
      <c r="AM2599" s="1"/>
    </row>
    <row r="2600" spans="16:39" x14ac:dyDescent="0.25">
      <c r="P2600" s="49"/>
      <c r="Q2600" s="1"/>
      <c r="S2600" s="1"/>
      <c r="T2600" s="1"/>
      <c r="U2600" s="1"/>
      <c r="V2600" s="1"/>
      <c r="W2600" s="1"/>
      <c r="X2600" s="1"/>
      <c r="Y2600" s="1"/>
      <c r="AB2600" s="1"/>
      <c r="AC2600" s="1"/>
      <c r="AD2600" s="1"/>
      <c r="AE2600" s="1"/>
      <c r="AF2600" s="1"/>
      <c r="AG2600" s="1"/>
      <c r="AH2600" s="1"/>
      <c r="AI2600" s="1"/>
      <c r="AJ2600" s="1"/>
      <c r="AK2600" s="1"/>
      <c r="AL2600" s="1"/>
      <c r="AM2600" s="1"/>
    </row>
    <row r="2601" spans="16:39" x14ac:dyDescent="0.25">
      <c r="P2601" s="49"/>
      <c r="Q2601" s="1"/>
      <c r="S2601" s="1"/>
      <c r="T2601" s="1"/>
      <c r="U2601" s="1"/>
      <c r="V2601" s="1"/>
      <c r="W2601" s="1"/>
      <c r="X2601" s="1"/>
      <c r="Y2601" s="1"/>
      <c r="AB2601" s="1"/>
      <c r="AC2601" s="1"/>
      <c r="AD2601" s="1"/>
      <c r="AE2601" s="1"/>
      <c r="AF2601" s="1"/>
      <c r="AG2601" s="1"/>
      <c r="AH2601" s="1"/>
      <c r="AI2601" s="1"/>
      <c r="AJ2601" s="1"/>
      <c r="AK2601" s="1"/>
      <c r="AL2601" s="1"/>
      <c r="AM2601" s="1"/>
    </row>
    <row r="2602" spans="16:39" x14ac:dyDescent="0.25">
      <c r="P2602" s="49"/>
      <c r="Q2602" s="1"/>
      <c r="S2602" s="1"/>
      <c r="T2602" s="1"/>
      <c r="U2602" s="1"/>
      <c r="V2602" s="1"/>
      <c r="W2602" s="1"/>
      <c r="X2602" s="1"/>
      <c r="Y2602" s="1"/>
      <c r="AB2602" s="1"/>
      <c r="AC2602" s="1"/>
      <c r="AD2602" s="1"/>
      <c r="AE2602" s="1"/>
      <c r="AF2602" s="1"/>
      <c r="AG2602" s="1"/>
      <c r="AH2602" s="1"/>
      <c r="AI2602" s="1"/>
      <c r="AJ2602" s="1"/>
      <c r="AK2602" s="1"/>
      <c r="AL2602" s="1"/>
      <c r="AM2602" s="1"/>
    </row>
    <row r="2603" spans="16:39" x14ac:dyDescent="0.25">
      <c r="P2603" s="49"/>
      <c r="Q2603" s="1"/>
      <c r="S2603" s="1"/>
      <c r="T2603" s="1"/>
      <c r="U2603" s="1"/>
      <c r="V2603" s="1"/>
      <c r="W2603" s="1"/>
      <c r="X2603" s="1"/>
      <c r="Y2603" s="1"/>
      <c r="AB2603" s="1"/>
      <c r="AC2603" s="1"/>
      <c r="AD2603" s="1"/>
      <c r="AE2603" s="1"/>
      <c r="AF2603" s="1"/>
      <c r="AG2603" s="1"/>
      <c r="AH2603" s="1"/>
      <c r="AI2603" s="1"/>
      <c r="AJ2603" s="1"/>
      <c r="AK2603" s="1"/>
      <c r="AL2603" s="1"/>
      <c r="AM2603" s="1"/>
    </row>
    <row r="2604" spans="16:39" x14ac:dyDescent="0.25">
      <c r="P2604" s="49"/>
      <c r="Q2604" s="1"/>
      <c r="S2604" s="1"/>
      <c r="T2604" s="1"/>
      <c r="U2604" s="1"/>
      <c r="V2604" s="1"/>
      <c r="W2604" s="1"/>
      <c r="X2604" s="1"/>
      <c r="Y2604" s="1"/>
      <c r="AB2604" s="1"/>
      <c r="AC2604" s="1"/>
      <c r="AD2604" s="1"/>
      <c r="AE2604" s="1"/>
      <c r="AF2604" s="1"/>
      <c r="AG2604" s="1"/>
      <c r="AH2604" s="1"/>
      <c r="AI2604" s="1"/>
      <c r="AJ2604" s="1"/>
      <c r="AK2604" s="1"/>
      <c r="AL2604" s="1"/>
      <c r="AM2604" s="1"/>
    </row>
    <row r="2605" spans="16:39" x14ac:dyDescent="0.25">
      <c r="P2605" s="49"/>
      <c r="Q2605" s="1"/>
      <c r="S2605" s="1"/>
      <c r="T2605" s="1"/>
      <c r="U2605" s="1"/>
      <c r="V2605" s="1"/>
      <c r="W2605" s="1"/>
      <c r="X2605" s="1"/>
      <c r="Y2605" s="1"/>
      <c r="AB2605" s="1"/>
      <c r="AC2605" s="1"/>
      <c r="AD2605" s="1"/>
      <c r="AE2605" s="1"/>
      <c r="AF2605" s="1"/>
      <c r="AG2605" s="1"/>
      <c r="AH2605" s="1"/>
      <c r="AI2605" s="1"/>
      <c r="AJ2605" s="1"/>
      <c r="AK2605" s="1"/>
      <c r="AL2605" s="1"/>
      <c r="AM2605" s="1"/>
    </row>
    <row r="2606" spans="16:39" x14ac:dyDescent="0.25">
      <c r="P2606" s="49"/>
      <c r="Q2606" s="1"/>
      <c r="S2606" s="1"/>
      <c r="T2606" s="1"/>
      <c r="U2606" s="1"/>
      <c r="V2606" s="1"/>
      <c r="W2606" s="1"/>
      <c r="X2606" s="1"/>
      <c r="Y2606" s="1"/>
      <c r="AB2606" s="1"/>
      <c r="AC2606" s="1"/>
      <c r="AD2606" s="1"/>
      <c r="AE2606" s="1"/>
      <c r="AF2606" s="1"/>
      <c r="AG2606" s="1"/>
      <c r="AH2606" s="1"/>
      <c r="AI2606" s="1"/>
      <c r="AJ2606" s="1"/>
      <c r="AK2606" s="1"/>
      <c r="AL2606" s="1"/>
      <c r="AM2606" s="1"/>
    </row>
    <row r="2607" spans="16:39" x14ac:dyDescent="0.25">
      <c r="P2607" s="49"/>
      <c r="Q2607" s="1"/>
      <c r="S2607" s="1"/>
      <c r="T2607" s="1"/>
      <c r="U2607" s="1"/>
      <c r="V2607" s="1"/>
      <c r="W2607" s="1"/>
      <c r="X2607" s="1"/>
      <c r="Y2607" s="1"/>
      <c r="AB2607" s="1"/>
      <c r="AC2607" s="1"/>
      <c r="AD2607" s="1"/>
      <c r="AE2607" s="1"/>
      <c r="AF2607" s="1"/>
      <c r="AG2607" s="1"/>
      <c r="AH2607" s="1"/>
      <c r="AI2607" s="1"/>
      <c r="AJ2607" s="1"/>
      <c r="AK2607" s="1"/>
      <c r="AL2607" s="1"/>
      <c r="AM2607" s="1"/>
    </row>
    <row r="2608" spans="16:39" x14ac:dyDescent="0.25">
      <c r="P2608" s="49"/>
      <c r="Q2608" s="1"/>
      <c r="S2608" s="1"/>
      <c r="T2608" s="1"/>
      <c r="U2608" s="1"/>
      <c r="V2608" s="1"/>
      <c r="W2608" s="1"/>
      <c r="X2608" s="1"/>
      <c r="Y2608" s="1"/>
      <c r="AB2608" s="1"/>
      <c r="AC2608" s="1"/>
      <c r="AD2608" s="1"/>
      <c r="AE2608" s="1"/>
      <c r="AF2608" s="1"/>
      <c r="AG2608" s="1"/>
      <c r="AH2608" s="1"/>
      <c r="AI2608" s="1"/>
      <c r="AJ2608" s="1"/>
      <c r="AK2608" s="1"/>
      <c r="AL2608" s="1"/>
      <c r="AM2608" s="1"/>
    </row>
    <row r="2609" spans="16:39" x14ac:dyDescent="0.25">
      <c r="P2609" s="49"/>
      <c r="Q2609" s="1"/>
      <c r="S2609" s="1"/>
      <c r="T2609" s="1"/>
      <c r="U2609" s="1"/>
      <c r="V2609" s="1"/>
      <c r="W2609" s="1"/>
      <c r="X2609" s="1"/>
      <c r="Y2609" s="1"/>
      <c r="AB2609" s="1"/>
      <c r="AC2609" s="1"/>
      <c r="AD2609" s="1"/>
      <c r="AE2609" s="1"/>
      <c r="AF2609" s="1"/>
      <c r="AG2609" s="1"/>
      <c r="AH2609" s="1"/>
      <c r="AI2609" s="1"/>
      <c r="AJ2609" s="1"/>
      <c r="AK2609" s="1"/>
      <c r="AL2609" s="1"/>
      <c r="AM2609" s="1"/>
    </row>
    <row r="2610" spans="16:39" x14ac:dyDescent="0.25">
      <c r="P2610" s="49"/>
      <c r="Q2610" s="1"/>
      <c r="S2610" s="1"/>
      <c r="T2610" s="1"/>
      <c r="U2610" s="1"/>
      <c r="V2610" s="1"/>
      <c r="W2610" s="1"/>
      <c r="X2610" s="1"/>
      <c r="Y2610" s="1"/>
      <c r="AB2610" s="1"/>
      <c r="AC2610" s="1"/>
      <c r="AD2610" s="1"/>
      <c r="AE2610" s="1"/>
      <c r="AF2610" s="1"/>
      <c r="AG2610" s="1"/>
      <c r="AH2610" s="1"/>
      <c r="AI2610" s="1"/>
      <c r="AJ2610" s="1"/>
      <c r="AK2610" s="1"/>
      <c r="AL2610" s="1"/>
      <c r="AM2610" s="1"/>
    </row>
    <row r="2611" spans="16:39" x14ac:dyDescent="0.25">
      <c r="P2611" s="49"/>
      <c r="Q2611" s="1"/>
      <c r="S2611" s="1"/>
      <c r="T2611" s="1"/>
      <c r="U2611" s="1"/>
      <c r="V2611" s="1"/>
      <c r="W2611" s="1"/>
      <c r="X2611" s="1"/>
      <c r="Y2611" s="1"/>
      <c r="AB2611" s="1"/>
      <c r="AC2611" s="1"/>
      <c r="AD2611" s="1"/>
      <c r="AE2611" s="1"/>
      <c r="AF2611" s="1"/>
      <c r="AG2611" s="1"/>
      <c r="AH2611" s="1"/>
      <c r="AI2611" s="1"/>
      <c r="AJ2611" s="1"/>
      <c r="AK2611" s="1"/>
      <c r="AL2611" s="1"/>
      <c r="AM2611" s="1"/>
    </row>
    <row r="2612" spans="16:39" x14ac:dyDescent="0.25">
      <c r="P2612" s="49"/>
      <c r="Q2612" s="1"/>
      <c r="S2612" s="1"/>
      <c r="T2612" s="1"/>
      <c r="U2612" s="1"/>
      <c r="V2612" s="1"/>
      <c r="W2612" s="1"/>
      <c r="X2612" s="1"/>
      <c r="Y2612" s="1"/>
      <c r="AB2612" s="1"/>
      <c r="AC2612" s="1"/>
      <c r="AD2612" s="1"/>
      <c r="AE2612" s="1"/>
      <c r="AF2612" s="1"/>
      <c r="AG2612" s="1"/>
      <c r="AH2612" s="1"/>
      <c r="AI2612" s="1"/>
      <c r="AJ2612" s="1"/>
      <c r="AK2612" s="1"/>
      <c r="AL2612" s="1"/>
      <c r="AM2612" s="1"/>
    </row>
    <row r="2613" spans="16:39" x14ac:dyDescent="0.25">
      <c r="P2613" s="49"/>
      <c r="Q2613" s="1"/>
      <c r="S2613" s="1"/>
      <c r="T2613" s="1"/>
      <c r="U2613" s="1"/>
      <c r="V2613" s="1"/>
      <c r="W2613" s="1"/>
      <c r="X2613" s="1"/>
      <c r="Y2613" s="1"/>
      <c r="AB2613" s="1"/>
      <c r="AC2613" s="1"/>
      <c r="AD2613" s="1"/>
      <c r="AE2613" s="1"/>
      <c r="AF2613" s="1"/>
      <c r="AG2613" s="1"/>
      <c r="AH2613" s="1"/>
      <c r="AI2613" s="1"/>
      <c r="AJ2613" s="1"/>
      <c r="AK2613" s="1"/>
      <c r="AL2613" s="1"/>
      <c r="AM2613" s="1"/>
    </row>
    <row r="2614" spans="16:39" x14ac:dyDescent="0.25">
      <c r="P2614" s="49"/>
      <c r="Q2614" s="1"/>
      <c r="S2614" s="1"/>
      <c r="T2614" s="1"/>
      <c r="U2614" s="1"/>
      <c r="V2614" s="1"/>
      <c r="W2614" s="1"/>
      <c r="X2614" s="1"/>
      <c r="Y2614" s="1"/>
      <c r="AB2614" s="1"/>
      <c r="AC2614" s="1"/>
      <c r="AD2614" s="1"/>
      <c r="AE2614" s="1"/>
      <c r="AF2614" s="1"/>
      <c r="AG2614" s="1"/>
      <c r="AH2614" s="1"/>
      <c r="AI2614" s="1"/>
      <c r="AJ2614" s="1"/>
      <c r="AK2614" s="1"/>
      <c r="AL2614" s="1"/>
      <c r="AM2614" s="1"/>
    </row>
    <row r="2615" spans="16:39" x14ac:dyDescent="0.25">
      <c r="P2615" s="49"/>
      <c r="Q2615" s="1"/>
      <c r="S2615" s="1"/>
      <c r="T2615" s="1"/>
      <c r="U2615" s="1"/>
      <c r="V2615" s="1"/>
      <c r="W2615" s="1"/>
      <c r="X2615" s="1"/>
      <c r="Y2615" s="1"/>
      <c r="AB2615" s="1"/>
      <c r="AC2615" s="1"/>
      <c r="AD2615" s="1"/>
      <c r="AE2615" s="1"/>
      <c r="AF2615" s="1"/>
      <c r="AG2615" s="1"/>
      <c r="AH2615" s="1"/>
      <c r="AI2615" s="1"/>
      <c r="AJ2615" s="1"/>
      <c r="AK2615" s="1"/>
      <c r="AL2615" s="1"/>
      <c r="AM2615" s="1"/>
    </row>
    <row r="2616" spans="16:39" x14ac:dyDescent="0.25">
      <c r="P2616" s="49"/>
      <c r="Q2616" s="1"/>
      <c r="S2616" s="1"/>
      <c r="T2616" s="1"/>
      <c r="U2616" s="1"/>
      <c r="V2616" s="1"/>
      <c r="W2616" s="1"/>
      <c r="X2616" s="1"/>
      <c r="Y2616" s="1"/>
      <c r="AB2616" s="1"/>
      <c r="AC2616" s="1"/>
      <c r="AD2616" s="1"/>
      <c r="AE2616" s="1"/>
      <c r="AF2616" s="1"/>
      <c r="AG2616" s="1"/>
      <c r="AH2616" s="1"/>
      <c r="AI2616" s="1"/>
      <c r="AJ2616" s="1"/>
      <c r="AK2616" s="1"/>
      <c r="AL2616" s="1"/>
      <c r="AM2616" s="1"/>
    </row>
    <row r="2617" spans="16:39" x14ac:dyDescent="0.25">
      <c r="P2617" s="49"/>
      <c r="Q2617" s="1"/>
      <c r="S2617" s="1"/>
      <c r="T2617" s="1"/>
      <c r="U2617" s="1"/>
      <c r="V2617" s="1"/>
      <c r="W2617" s="1"/>
      <c r="X2617" s="1"/>
      <c r="Y2617" s="1"/>
      <c r="AB2617" s="1"/>
      <c r="AC2617" s="1"/>
      <c r="AD2617" s="1"/>
      <c r="AE2617" s="1"/>
      <c r="AF2617" s="1"/>
      <c r="AG2617" s="1"/>
      <c r="AH2617" s="1"/>
      <c r="AI2617" s="1"/>
      <c r="AJ2617" s="1"/>
      <c r="AK2617" s="1"/>
      <c r="AL2617" s="1"/>
      <c r="AM2617" s="1"/>
    </row>
    <row r="2618" spans="16:39" x14ac:dyDescent="0.25">
      <c r="P2618" s="49"/>
      <c r="Q2618" s="1"/>
      <c r="S2618" s="1"/>
      <c r="T2618" s="1"/>
      <c r="U2618" s="1"/>
      <c r="V2618" s="1"/>
      <c r="W2618" s="1"/>
      <c r="X2618" s="1"/>
      <c r="Y2618" s="1"/>
      <c r="AB2618" s="1"/>
      <c r="AC2618" s="1"/>
      <c r="AD2618" s="1"/>
      <c r="AE2618" s="1"/>
      <c r="AF2618" s="1"/>
      <c r="AG2618" s="1"/>
      <c r="AH2618" s="1"/>
      <c r="AI2618" s="1"/>
      <c r="AJ2618" s="1"/>
      <c r="AK2618" s="1"/>
      <c r="AL2618" s="1"/>
      <c r="AM2618" s="1"/>
    </row>
    <row r="2619" spans="16:39" x14ac:dyDescent="0.25">
      <c r="P2619" s="49"/>
      <c r="Q2619" s="1"/>
      <c r="S2619" s="1"/>
      <c r="T2619" s="1"/>
      <c r="U2619" s="1"/>
      <c r="V2619" s="1"/>
      <c r="W2619" s="1"/>
      <c r="X2619" s="1"/>
      <c r="Y2619" s="1"/>
      <c r="AB2619" s="1"/>
      <c r="AC2619" s="1"/>
      <c r="AD2619" s="1"/>
      <c r="AE2619" s="1"/>
      <c r="AF2619" s="1"/>
      <c r="AG2619" s="1"/>
      <c r="AH2619" s="1"/>
      <c r="AI2619" s="1"/>
      <c r="AJ2619" s="1"/>
      <c r="AK2619" s="1"/>
      <c r="AL2619" s="1"/>
      <c r="AM2619" s="1"/>
    </row>
    <row r="2620" spans="16:39" x14ac:dyDescent="0.25">
      <c r="P2620" s="49"/>
      <c r="Q2620" s="1"/>
      <c r="S2620" s="1"/>
      <c r="T2620" s="1"/>
      <c r="U2620" s="1"/>
      <c r="V2620" s="1"/>
      <c r="W2620" s="1"/>
      <c r="X2620" s="1"/>
      <c r="Y2620" s="1"/>
      <c r="AB2620" s="1"/>
      <c r="AC2620" s="1"/>
      <c r="AD2620" s="1"/>
      <c r="AE2620" s="1"/>
      <c r="AF2620" s="1"/>
      <c r="AG2620" s="1"/>
      <c r="AH2620" s="1"/>
      <c r="AI2620" s="1"/>
      <c r="AJ2620" s="1"/>
      <c r="AK2620" s="1"/>
      <c r="AL2620" s="1"/>
      <c r="AM2620" s="1"/>
    </row>
    <row r="2621" spans="16:39" x14ac:dyDescent="0.25">
      <c r="P2621" s="49"/>
      <c r="Q2621" s="1"/>
      <c r="S2621" s="1"/>
      <c r="T2621" s="1"/>
      <c r="U2621" s="1"/>
      <c r="V2621" s="1"/>
      <c r="W2621" s="1"/>
      <c r="X2621" s="1"/>
      <c r="Y2621" s="1"/>
      <c r="AB2621" s="1"/>
      <c r="AC2621" s="1"/>
      <c r="AD2621" s="1"/>
      <c r="AE2621" s="1"/>
      <c r="AF2621" s="1"/>
      <c r="AG2621" s="1"/>
      <c r="AH2621" s="1"/>
      <c r="AI2621" s="1"/>
      <c r="AJ2621" s="1"/>
      <c r="AK2621" s="1"/>
      <c r="AL2621" s="1"/>
      <c r="AM2621" s="1"/>
    </row>
    <row r="2622" spans="16:39" x14ac:dyDescent="0.25">
      <c r="P2622" s="49"/>
      <c r="Q2622" s="1"/>
      <c r="S2622" s="1"/>
      <c r="T2622" s="1"/>
      <c r="U2622" s="1"/>
      <c r="V2622" s="1"/>
      <c r="W2622" s="1"/>
      <c r="X2622" s="1"/>
      <c r="Y2622" s="1"/>
      <c r="AB2622" s="1"/>
      <c r="AC2622" s="1"/>
      <c r="AD2622" s="1"/>
      <c r="AE2622" s="1"/>
      <c r="AF2622" s="1"/>
      <c r="AG2622" s="1"/>
      <c r="AH2622" s="1"/>
      <c r="AI2622" s="1"/>
      <c r="AJ2622" s="1"/>
      <c r="AK2622" s="1"/>
      <c r="AL2622" s="1"/>
      <c r="AM2622" s="1"/>
    </row>
    <row r="2623" spans="16:39" x14ac:dyDescent="0.25">
      <c r="P2623" s="49"/>
      <c r="Q2623" s="1"/>
      <c r="S2623" s="1"/>
      <c r="T2623" s="1"/>
      <c r="U2623" s="1"/>
      <c r="V2623" s="1"/>
      <c r="W2623" s="1"/>
      <c r="X2623" s="1"/>
      <c r="Y2623" s="1"/>
      <c r="AB2623" s="1"/>
      <c r="AC2623" s="1"/>
      <c r="AD2623" s="1"/>
      <c r="AE2623" s="1"/>
      <c r="AF2623" s="1"/>
      <c r="AG2623" s="1"/>
      <c r="AH2623" s="1"/>
      <c r="AI2623" s="1"/>
      <c r="AJ2623" s="1"/>
      <c r="AK2623" s="1"/>
      <c r="AL2623" s="1"/>
      <c r="AM2623" s="1"/>
    </row>
    <row r="2624" spans="16:39" x14ac:dyDescent="0.25">
      <c r="P2624" s="49"/>
      <c r="Q2624" s="1"/>
      <c r="S2624" s="1"/>
      <c r="T2624" s="1"/>
      <c r="U2624" s="1"/>
      <c r="V2624" s="1"/>
      <c r="W2624" s="1"/>
      <c r="X2624" s="1"/>
      <c r="Y2624" s="1"/>
      <c r="AB2624" s="1"/>
      <c r="AC2624" s="1"/>
      <c r="AD2624" s="1"/>
      <c r="AE2624" s="1"/>
      <c r="AF2624" s="1"/>
      <c r="AG2624" s="1"/>
      <c r="AH2624" s="1"/>
      <c r="AI2624" s="1"/>
      <c r="AJ2624" s="1"/>
      <c r="AK2624" s="1"/>
      <c r="AL2624" s="1"/>
      <c r="AM2624" s="1"/>
    </row>
    <row r="2625" spans="16:39" x14ac:dyDescent="0.25">
      <c r="P2625" s="49"/>
      <c r="Q2625" s="1"/>
      <c r="S2625" s="1"/>
      <c r="T2625" s="1"/>
      <c r="U2625" s="1"/>
      <c r="V2625" s="1"/>
      <c r="W2625" s="1"/>
      <c r="X2625" s="1"/>
      <c r="Y2625" s="1"/>
      <c r="AB2625" s="1"/>
      <c r="AC2625" s="1"/>
      <c r="AD2625" s="1"/>
      <c r="AE2625" s="1"/>
      <c r="AF2625" s="1"/>
      <c r="AG2625" s="1"/>
      <c r="AH2625" s="1"/>
      <c r="AI2625" s="1"/>
      <c r="AJ2625" s="1"/>
      <c r="AK2625" s="1"/>
      <c r="AL2625" s="1"/>
      <c r="AM2625" s="1"/>
    </row>
    <row r="2626" spans="16:39" x14ac:dyDescent="0.25">
      <c r="P2626" s="49"/>
      <c r="Q2626" s="1"/>
      <c r="S2626" s="1"/>
      <c r="T2626" s="1"/>
      <c r="U2626" s="1"/>
      <c r="V2626" s="1"/>
      <c r="W2626" s="1"/>
      <c r="X2626" s="1"/>
      <c r="Y2626" s="1"/>
      <c r="AB2626" s="1"/>
      <c r="AC2626" s="1"/>
      <c r="AD2626" s="1"/>
      <c r="AE2626" s="1"/>
      <c r="AF2626" s="1"/>
      <c r="AG2626" s="1"/>
      <c r="AH2626" s="1"/>
      <c r="AI2626" s="1"/>
      <c r="AJ2626" s="1"/>
      <c r="AK2626" s="1"/>
      <c r="AL2626" s="1"/>
      <c r="AM2626" s="1"/>
    </row>
    <row r="2627" spans="16:39" x14ac:dyDescent="0.25">
      <c r="P2627" s="49"/>
      <c r="Q2627" s="1"/>
      <c r="S2627" s="1"/>
      <c r="T2627" s="1"/>
      <c r="U2627" s="1"/>
      <c r="V2627" s="1"/>
      <c r="W2627" s="1"/>
      <c r="X2627" s="1"/>
      <c r="Y2627" s="1"/>
      <c r="AB2627" s="1"/>
      <c r="AC2627" s="1"/>
      <c r="AD2627" s="1"/>
      <c r="AE2627" s="1"/>
      <c r="AF2627" s="1"/>
      <c r="AG2627" s="1"/>
      <c r="AH2627" s="1"/>
      <c r="AI2627" s="1"/>
      <c r="AJ2627" s="1"/>
      <c r="AK2627" s="1"/>
      <c r="AL2627" s="1"/>
      <c r="AM2627" s="1"/>
    </row>
    <row r="2628" spans="16:39" x14ac:dyDescent="0.25">
      <c r="P2628" s="49"/>
      <c r="Q2628" s="1"/>
      <c r="S2628" s="1"/>
      <c r="T2628" s="1"/>
      <c r="U2628" s="1"/>
      <c r="V2628" s="1"/>
      <c r="W2628" s="1"/>
      <c r="X2628" s="1"/>
      <c r="Y2628" s="1"/>
      <c r="AB2628" s="1"/>
      <c r="AC2628" s="1"/>
      <c r="AD2628" s="1"/>
      <c r="AE2628" s="1"/>
      <c r="AF2628" s="1"/>
      <c r="AG2628" s="1"/>
      <c r="AH2628" s="1"/>
      <c r="AI2628" s="1"/>
      <c r="AJ2628" s="1"/>
      <c r="AK2628" s="1"/>
      <c r="AL2628" s="1"/>
      <c r="AM2628" s="1"/>
    </row>
    <row r="2629" spans="16:39" x14ac:dyDescent="0.25">
      <c r="P2629" s="49"/>
      <c r="Q2629" s="1"/>
      <c r="S2629" s="1"/>
      <c r="T2629" s="1"/>
      <c r="U2629" s="1"/>
      <c r="V2629" s="1"/>
      <c r="W2629" s="1"/>
      <c r="X2629" s="1"/>
      <c r="Y2629" s="1"/>
      <c r="AB2629" s="1"/>
      <c r="AC2629" s="1"/>
      <c r="AD2629" s="1"/>
      <c r="AE2629" s="1"/>
      <c r="AF2629" s="1"/>
      <c r="AG2629" s="1"/>
      <c r="AH2629" s="1"/>
      <c r="AI2629" s="1"/>
      <c r="AJ2629" s="1"/>
      <c r="AK2629" s="1"/>
      <c r="AL2629" s="1"/>
      <c r="AM2629" s="1"/>
    </row>
    <row r="2630" spans="16:39" x14ac:dyDescent="0.25">
      <c r="P2630" s="49"/>
      <c r="Q2630" s="1"/>
      <c r="S2630" s="1"/>
      <c r="T2630" s="1"/>
      <c r="U2630" s="1"/>
      <c r="V2630" s="1"/>
      <c r="W2630" s="1"/>
      <c r="X2630" s="1"/>
      <c r="Y2630" s="1"/>
      <c r="AB2630" s="1"/>
      <c r="AC2630" s="1"/>
      <c r="AD2630" s="1"/>
      <c r="AE2630" s="1"/>
      <c r="AF2630" s="1"/>
      <c r="AG2630" s="1"/>
      <c r="AH2630" s="1"/>
      <c r="AI2630" s="1"/>
      <c r="AJ2630" s="1"/>
      <c r="AK2630" s="1"/>
      <c r="AL2630" s="1"/>
      <c r="AM2630" s="1"/>
    </row>
    <row r="2631" spans="16:39" x14ac:dyDescent="0.25">
      <c r="P2631" s="49"/>
      <c r="Q2631" s="1"/>
      <c r="S2631" s="1"/>
      <c r="T2631" s="1"/>
      <c r="U2631" s="1"/>
      <c r="V2631" s="1"/>
      <c r="W2631" s="1"/>
      <c r="X2631" s="1"/>
      <c r="Y2631" s="1"/>
      <c r="AB2631" s="1"/>
      <c r="AC2631" s="1"/>
      <c r="AD2631" s="1"/>
      <c r="AE2631" s="1"/>
      <c r="AF2631" s="1"/>
      <c r="AG2631" s="1"/>
      <c r="AH2631" s="1"/>
      <c r="AI2631" s="1"/>
      <c r="AJ2631" s="1"/>
      <c r="AK2631" s="1"/>
      <c r="AL2631" s="1"/>
      <c r="AM2631" s="1"/>
    </row>
    <row r="2632" spans="16:39" x14ac:dyDescent="0.25">
      <c r="P2632" s="49"/>
      <c r="Q2632" s="1"/>
      <c r="S2632" s="1"/>
      <c r="T2632" s="1"/>
      <c r="U2632" s="1"/>
      <c r="V2632" s="1"/>
      <c r="W2632" s="1"/>
      <c r="X2632" s="1"/>
      <c r="Y2632" s="1"/>
      <c r="AB2632" s="1"/>
      <c r="AC2632" s="1"/>
      <c r="AD2632" s="1"/>
      <c r="AE2632" s="1"/>
      <c r="AF2632" s="1"/>
      <c r="AG2632" s="1"/>
      <c r="AH2632" s="1"/>
      <c r="AI2632" s="1"/>
      <c r="AJ2632" s="1"/>
      <c r="AK2632" s="1"/>
      <c r="AL2632" s="1"/>
      <c r="AM2632" s="1"/>
    </row>
    <row r="2633" spans="16:39" x14ac:dyDescent="0.25">
      <c r="P2633" s="49"/>
      <c r="Q2633" s="1"/>
      <c r="S2633" s="1"/>
      <c r="T2633" s="1"/>
      <c r="U2633" s="1"/>
      <c r="V2633" s="1"/>
      <c r="W2633" s="1"/>
      <c r="X2633" s="1"/>
      <c r="Y2633" s="1"/>
      <c r="AB2633" s="1"/>
      <c r="AC2633" s="1"/>
      <c r="AD2633" s="1"/>
      <c r="AE2633" s="1"/>
      <c r="AF2633" s="1"/>
      <c r="AG2633" s="1"/>
      <c r="AH2633" s="1"/>
      <c r="AI2633" s="1"/>
      <c r="AJ2633" s="1"/>
      <c r="AK2633" s="1"/>
      <c r="AL2633" s="1"/>
      <c r="AM2633" s="1"/>
    </row>
    <row r="2634" spans="16:39" x14ac:dyDescent="0.25">
      <c r="P2634" s="49"/>
      <c r="Q2634" s="1"/>
      <c r="S2634" s="1"/>
      <c r="T2634" s="1"/>
      <c r="U2634" s="1"/>
      <c r="V2634" s="1"/>
      <c r="W2634" s="1"/>
      <c r="X2634" s="1"/>
      <c r="Y2634" s="1"/>
      <c r="AB2634" s="1"/>
      <c r="AC2634" s="1"/>
      <c r="AD2634" s="1"/>
      <c r="AE2634" s="1"/>
      <c r="AF2634" s="1"/>
      <c r="AG2634" s="1"/>
      <c r="AH2634" s="1"/>
      <c r="AI2634" s="1"/>
      <c r="AJ2634" s="1"/>
      <c r="AK2634" s="1"/>
      <c r="AL2634" s="1"/>
      <c r="AM2634" s="1"/>
    </row>
    <row r="2635" spans="16:39" x14ac:dyDescent="0.25">
      <c r="P2635" s="49"/>
      <c r="Q2635" s="1"/>
      <c r="S2635" s="1"/>
      <c r="T2635" s="1"/>
      <c r="U2635" s="1"/>
      <c r="V2635" s="1"/>
      <c r="W2635" s="1"/>
      <c r="X2635" s="1"/>
      <c r="Y2635" s="1"/>
      <c r="AB2635" s="1"/>
      <c r="AC2635" s="1"/>
      <c r="AD2635" s="1"/>
      <c r="AE2635" s="1"/>
      <c r="AF2635" s="1"/>
      <c r="AG2635" s="1"/>
      <c r="AH2635" s="1"/>
      <c r="AI2635" s="1"/>
      <c r="AJ2635" s="1"/>
      <c r="AK2635" s="1"/>
      <c r="AL2635" s="1"/>
      <c r="AM2635" s="1"/>
    </row>
    <row r="2636" spans="16:39" x14ac:dyDescent="0.25">
      <c r="P2636" s="49"/>
      <c r="Q2636" s="1"/>
      <c r="S2636" s="1"/>
      <c r="T2636" s="1"/>
      <c r="U2636" s="1"/>
      <c r="V2636" s="1"/>
      <c r="W2636" s="1"/>
      <c r="X2636" s="1"/>
      <c r="Y2636" s="1"/>
      <c r="AB2636" s="1"/>
      <c r="AC2636" s="1"/>
      <c r="AD2636" s="1"/>
      <c r="AE2636" s="1"/>
      <c r="AF2636" s="1"/>
      <c r="AG2636" s="1"/>
      <c r="AH2636" s="1"/>
      <c r="AI2636" s="1"/>
      <c r="AJ2636" s="1"/>
      <c r="AK2636" s="1"/>
      <c r="AL2636" s="1"/>
      <c r="AM2636" s="1"/>
    </row>
    <row r="2637" spans="16:39" x14ac:dyDescent="0.25">
      <c r="P2637" s="49"/>
      <c r="Q2637" s="1"/>
      <c r="S2637" s="1"/>
      <c r="T2637" s="1"/>
      <c r="U2637" s="1"/>
      <c r="V2637" s="1"/>
      <c r="W2637" s="1"/>
      <c r="X2637" s="1"/>
      <c r="Y2637" s="1"/>
      <c r="AB2637" s="1"/>
      <c r="AC2637" s="1"/>
      <c r="AD2637" s="1"/>
      <c r="AE2637" s="1"/>
      <c r="AF2637" s="1"/>
      <c r="AG2637" s="1"/>
      <c r="AH2637" s="1"/>
      <c r="AI2637" s="1"/>
      <c r="AJ2637" s="1"/>
      <c r="AK2637" s="1"/>
      <c r="AL2637" s="1"/>
      <c r="AM2637" s="1"/>
    </row>
    <row r="2638" spans="16:39" x14ac:dyDescent="0.25">
      <c r="P2638" s="49"/>
      <c r="Q2638" s="1"/>
      <c r="S2638" s="1"/>
      <c r="T2638" s="1"/>
      <c r="U2638" s="1"/>
      <c r="V2638" s="1"/>
      <c r="W2638" s="1"/>
      <c r="X2638" s="1"/>
      <c r="Y2638" s="1"/>
      <c r="AB2638" s="1"/>
      <c r="AC2638" s="1"/>
      <c r="AD2638" s="1"/>
      <c r="AE2638" s="1"/>
      <c r="AF2638" s="1"/>
      <c r="AG2638" s="1"/>
      <c r="AH2638" s="1"/>
      <c r="AI2638" s="1"/>
      <c r="AJ2638" s="1"/>
      <c r="AK2638" s="1"/>
      <c r="AL2638" s="1"/>
      <c r="AM2638" s="1"/>
    </row>
    <row r="2639" spans="16:39" x14ac:dyDescent="0.25">
      <c r="P2639" s="49"/>
      <c r="Q2639" s="1"/>
      <c r="S2639" s="1"/>
      <c r="T2639" s="1"/>
      <c r="U2639" s="1"/>
      <c r="V2639" s="1"/>
      <c r="W2639" s="1"/>
      <c r="X2639" s="1"/>
      <c r="Y2639" s="1"/>
      <c r="AB2639" s="1"/>
      <c r="AC2639" s="1"/>
      <c r="AD2639" s="1"/>
      <c r="AE2639" s="1"/>
      <c r="AF2639" s="1"/>
      <c r="AG2639" s="1"/>
      <c r="AH2639" s="1"/>
      <c r="AI2639" s="1"/>
      <c r="AJ2639" s="1"/>
      <c r="AK2639" s="1"/>
      <c r="AL2639" s="1"/>
      <c r="AM2639" s="1"/>
    </row>
    <row r="2640" spans="16:39" x14ac:dyDescent="0.25">
      <c r="P2640" s="49"/>
      <c r="Q2640" s="1"/>
      <c r="S2640" s="1"/>
      <c r="T2640" s="1"/>
      <c r="U2640" s="1"/>
      <c r="V2640" s="1"/>
      <c r="W2640" s="1"/>
      <c r="X2640" s="1"/>
      <c r="Y2640" s="1"/>
      <c r="AB2640" s="1"/>
      <c r="AC2640" s="1"/>
      <c r="AD2640" s="1"/>
      <c r="AE2640" s="1"/>
      <c r="AF2640" s="1"/>
      <c r="AG2640" s="1"/>
      <c r="AH2640" s="1"/>
      <c r="AI2640" s="1"/>
      <c r="AJ2640" s="1"/>
      <c r="AK2640" s="1"/>
      <c r="AL2640" s="1"/>
      <c r="AM2640" s="1"/>
    </row>
    <row r="2641" spans="16:39" x14ac:dyDescent="0.25">
      <c r="P2641" s="49"/>
      <c r="Q2641" s="1"/>
      <c r="S2641" s="1"/>
      <c r="T2641" s="1"/>
      <c r="U2641" s="1"/>
      <c r="V2641" s="1"/>
      <c r="W2641" s="1"/>
      <c r="X2641" s="1"/>
      <c r="Y2641" s="1"/>
      <c r="AB2641" s="1"/>
      <c r="AC2641" s="1"/>
      <c r="AD2641" s="1"/>
      <c r="AE2641" s="1"/>
      <c r="AF2641" s="1"/>
      <c r="AG2641" s="1"/>
      <c r="AH2641" s="1"/>
      <c r="AI2641" s="1"/>
      <c r="AJ2641" s="1"/>
      <c r="AK2641" s="1"/>
      <c r="AL2641" s="1"/>
      <c r="AM2641" s="1"/>
    </row>
    <row r="2642" spans="16:39" x14ac:dyDescent="0.25">
      <c r="P2642" s="49"/>
      <c r="Q2642" s="1"/>
      <c r="S2642" s="1"/>
      <c r="T2642" s="1"/>
      <c r="U2642" s="1"/>
      <c r="V2642" s="1"/>
      <c r="W2642" s="1"/>
      <c r="X2642" s="1"/>
      <c r="Y2642" s="1"/>
      <c r="AB2642" s="1"/>
      <c r="AC2642" s="1"/>
      <c r="AD2642" s="1"/>
      <c r="AE2642" s="1"/>
      <c r="AF2642" s="1"/>
      <c r="AG2642" s="1"/>
      <c r="AH2642" s="1"/>
      <c r="AI2642" s="1"/>
      <c r="AJ2642" s="1"/>
      <c r="AK2642" s="1"/>
      <c r="AL2642" s="1"/>
      <c r="AM2642" s="1"/>
    </row>
    <row r="2643" spans="16:39" x14ac:dyDescent="0.25">
      <c r="P2643" s="49"/>
      <c r="Q2643" s="1"/>
      <c r="S2643" s="1"/>
      <c r="T2643" s="1"/>
      <c r="U2643" s="1"/>
      <c r="V2643" s="1"/>
      <c r="W2643" s="1"/>
      <c r="X2643" s="1"/>
      <c r="Y2643" s="1"/>
      <c r="AB2643" s="1"/>
      <c r="AC2643" s="1"/>
      <c r="AD2643" s="1"/>
      <c r="AE2643" s="1"/>
      <c r="AF2643" s="1"/>
      <c r="AG2643" s="1"/>
      <c r="AH2643" s="1"/>
      <c r="AI2643" s="1"/>
      <c r="AJ2643" s="1"/>
      <c r="AK2643" s="1"/>
      <c r="AL2643" s="1"/>
      <c r="AM2643" s="1"/>
    </row>
    <row r="2644" spans="16:39" x14ac:dyDescent="0.25">
      <c r="P2644" s="49"/>
      <c r="Q2644" s="1"/>
      <c r="S2644" s="1"/>
      <c r="T2644" s="1"/>
      <c r="U2644" s="1"/>
      <c r="V2644" s="1"/>
      <c r="W2644" s="1"/>
      <c r="X2644" s="1"/>
      <c r="Y2644" s="1"/>
      <c r="AB2644" s="1"/>
      <c r="AC2644" s="1"/>
      <c r="AD2644" s="1"/>
      <c r="AE2644" s="1"/>
      <c r="AF2644" s="1"/>
      <c r="AG2644" s="1"/>
      <c r="AH2644" s="1"/>
      <c r="AI2644" s="1"/>
      <c r="AJ2644" s="1"/>
      <c r="AK2644" s="1"/>
      <c r="AL2644" s="1"/>
      <c r="AM2644" s="1"/>
    </row>
    <row r="2645" spans="16:39" x14ac:dyDescent="0.25">
      <c r="P2645" s="49"/>
      <c r="Q2645" s="1"/>
      <c r="S2645" s="1"/>
      <c r="T2645" s="1"/>
      <c r="U2645" s="1"/>
      <c r="V2645" s="1"/>
      <c r="W2645" s="1"/>
      <c r="X2645" s="1"/>
      <c r="Y2645" s="1"/>
      <c r="AB2645" s="1"/>
      <c r="AC2645" s="1"/>
      <c r="AD2645" s="1"/>
      <c r="AE2645" s="1"/>
      <c r="AF2645" s="1"/>
      <c r="AG2645" s="1"/>
      <c r="AH2645" s="1"/>
      <c r="AI2645" s="1"/>
      <c r="AJ2645" s="1"/>
      <c r="AK2645" s="1"/>
      <c r="AL2645" s="1"/>
      <c r="AM2645" s="1"/>
    </row>
    <row r="2646" spans="16:39" x14ac:dyDescent="0.25">
      <c r="P2646" s="49"/>
      <c r="Q2646" s="1"/>
      <c r="S2646" s="1"/>
      <c r="T2646" s="1"/>
      <c r="U2646" s="1"/>
      <c r="V2646" s="1"/>
      <c r="W2646" s="1"/>
      <c r="X2646" s="1"/>
      <c r="Y2646" s="1"/>
      <c r="AB2646" s="1"/>
      <c r="AC2646" s="1"/>
      <c r="AD2646" s="1"/>
      <c r="AE2646" s="1"/>
      <c r="AF2646" s="1"/>
      <c r="AG2646" s="1"/>
      <c r="AH2646" s="1"/>
      <c r="AI2646" s="1"/>
      <c r="AJ2646" s="1"/>
      <c r="AK2646" s="1"/>
      <c r="AL2646" s="1"/>
      <c r="AM2646" s="1"/>
    </row>
    <row r="2647" spans="16:39" x14ac:dyDescent="0.25">
      <c r="P2647" s="49"/>
      <c r="Q2647" s="1"/>
      <c r="S2647" s="1"/>
      <c r="T2647" s="1"/>
      <c r="U2647" s="1"/>
      <c r="V2647" s="1"/>
      <c r="W2647" s="1"/>
      <c r="X2647" s="1"/>
      <c r="Y2647" s="1"/>
      <c r="AB2647" s="1"/>
      <c r="AC2647" s="1"/>
      <c r="AD2647" s="1"/>
      <c r="AE2647" s="1"/>
      <c r="AF2647" s="1"/>
      <c r="AG2647" s="1"/>
      <c r="AH2647" s="1"/>
      <c r="AI2647" s="1"/>
      <c r="AJ2647" s="1"/>
      <c r="AK2647" s="1"/>
      <c r="AL2647" s="1"/>
      <c r="AM2647" s="1"/>
    </row>
    <row r="2648" spans="16:39" x14ac:dyDescent="0.25">
      <c r="P2648" s="49"/>
      <c r="Q2648" s="1"/>
      <c r="S2648" s="1"/>
      <c r="T2648" s="1"/>
      <c r="U2648" s="1"/>
      <c r="V2648" s="1"/>
      <c r="W2648" s="1"/>
      <c r="X2648" s="1"/>
      <c r="Y2648" s="1"/>
      <c r="AB2648" s="1"/>
      <c r="AC2648" s="1"/>
      <c r="AD2648" s="1"/>
      <c r="AE2648" s="1"/>
      <c r="AF2648" s="1"/>
      <c r="AG2648" s="1"/>
      <c r="AH2648" s="1"/>
      <c r="AI2648" s="1"/>
      <c r="AJ2648" s="1"/>
      <c r="AK2648" s="1"/>
      <c r="AL2648" s="1"/>
      <c r="AM2648" s="1"/>
    </row>
    <row r="2649" spans="16:39" x14ac:dyDescent="0.25">
      <c r="P2649" s="49"/>
      <c r="Q2649" s="1"/>
      <c r="S2649" s="1"/>
      <c r="T2649" s="1"/>
      <c r="U2649" s="1"/>
      <c r="V2649" s="1"/>
      <c r="W2649" s="1"/>
      <c r="X2649" s="1"/>
      <c r="Y2649" s="1"/>
      <c r="AB2649" s="1"/>
      <c r="AC2649" s="1"/>
      <c r="AD2649" s="1"/>
      <c r="AE2649" s="1"/>
      <c r="AF2649" s="1"/>
      <c r="AG2649" s="1"/>
      <c r="AH2649" s="1"/>
      <c r="AI2649" s="1"/>
      <c r="AJ2649" s="1"/>
      <c r="AK2649" s="1"/>
      <c r="AL2649" s="1"/>
      <c r="AM2649" s="1"/>
    </row>
    <row r="2650" spans="16:39" x14ac:dyDescent="0.25">
      <c r="P2650" s="49"/>
      <c r="Q2650" s="1"/>
      <c r="S2650" s="1"/>
      <c r="T2650" s="1"/>
      <c r="U2650" s="1"/>
      <c r="V2650" s="1"/>
      <c r="W2650" s="1"/>
      <c r="X2650" s="1"/>
      <c r="Y2650" s="1"/>
      <c r="AB2650" s="1"/>
      <c r="AC2650" s="1"/>
      <c r="AD2650" s="1"/>
      <c r="AE2650" s="1"/>
      <c r="AF2650" s="1"/>
      <c r="AG2650" s="1"/>
      <c r="AH2650" s="1"/>
      <c r="AI2650" s="1"/>
      <c r="AJ2650" s="1"/>
      <c r="AK2650" s="1"/>
      <c r="AL2650" s="1"/>
      <c r="AM2650" s="1"/>
    </row>
    <row r="2651" spans="16:39" x14ac:dyDescent="0.25">
      <c r="P2651" s="49"/>
      <c r="Q2651" s="1"/>
      <c r="S2651" s="1"/>
      <c r="T2651" s="1"/>
      <c r="U2651" s="1"/>
      <c r="V2651" s="1"/>
      <c r="W2651" s="1"/>
      <c r="X2651" s="1"/>
      <c r="Y2651" s="1"/>
      <c r="AB2651" s="1"/>
      <c r="AC2651" s="1"/>
      <c r="AD2651" s="1"/>
      <c r="AE2651" s="1"/>
      <c r="AF2651" s="1"/>
      <c r="AG2651" s="1"/>
      <c r="AH2651" s="1"/>
      <c r="AI2651" s="1"/>
      <c r="AJ2651" s="1"/>
      <c r="AK2651" s="1"/>
      <c r="AL2651" s="1"/>
      <c r="AM2651" s="1"/>
    </row>
    <row r="2652" spans="16:39" x14ac:dyDescent="0.25">
      <c r="P2652" s="49"/>
      <c r="Q2652" s="1"/>
      <c r="S2652" s="1"/>
      <c r="T2652" s="1"/>
      <c r="U2652" s="1"/>
      <c r="V2652" s="1"/>
      <c r="W2652" s="1"/>
      <c r="X2652" s="1"/>
      <c r="Y2652" s="1"/>
      <c r="AB2652" s="1"/>
      <c r="AC2652" s="1"/>
      <c r="AD2652" s="1"/>
      <c r="AE2652" s="1"/>
      <c r="AF2652" s="1"/>
      <c r="AG2652" s="1"/>
      <c r="AH2652" s="1"/>
      <c r="AI2652" s="1"/>
      <c r="AJ2652" s="1"/>
      <c r="AK2652" s="1"/>
      <c r="AL2652" s="1"/>
      <c r="AM2652" s="1"/>
    </row>
    <row r="2653" spans="16:39" x14ac:dyDescent="0.25">
      <c r="P2653" s="49"/>
      <c r="Q2653" s="1"/>
      <c r="S2653" s="1"/>
      <c r="T2653" s="1"/>
      <c r="U2653" s="1"/>
      <c r="V2653" s="1"/>
      <c r="W2653" s="1"/>
      <c r="X2653" s="1"/>
      <c r="Y2653" s="1"/>
      <c r="AB2653" s="1"/>
      <c r="AC2653" s="1"/>
      <c r="AD2653" s="1"/>
      <c r="AE2653" s="1"/>
      <c r="AF2653" s="1"/>
      <c r="AG2653" s="1"/>
      <c r="AH2653" s="1"/>
      <c r="AI2653" s="1"/>
      <c r="AJ2653" s="1"/>
      <c r="AK2653" s="1"/>
      <c r="AL2653" s="1"/>
      <c r="AM2653" s="1"/>
    </row>
    <row r="2654" spans="16:39" x14ac:dyDescent="0.25">
      <c r="P2654" s="49"/>
      <c r="Q2654" s="1"/>
      <c r="S2654" s="1"/>
      <c r="T2654" s="1"/>
      <c r="U2654" s="1"/>
      <c r="V2654" s="1"/>
      <c r="W2654" s="1"/>
      <c r="X2654" s="1"/>
      <c r="Y2654" s="1"/>
      <c r="AB2654" s="1"/>
      <c r="AC2654" s="1"/>
      <c r="AD2654" s="1"/>
      <c r="AE2654" s="1"/>
      <c r="AF2654" s="1"/>
      <c r="AG2654" s="1"/>
      <c r="AH2654" s="1"/>
      <c r="AI2654" s="1"/>
      <c r="AJ2654" s="1"/>
      <c r="AK2654" s="1"/>
      <c r="AL2654" s="1"/>
      <c r="AM2654" s="1"/>
    </row>
    <row r="2655" spans="16:39" x14ac:dyDescent="0.25">
      <c r="P2655" s="49"/>
      <c r="Q2655" s="1"/>
      <c r="S2655" s="1"/>
      <c r="T2655" s="1"/>
      <c r="U2655" s="1"/>
      <c r="V2655" s="1"/>
      <c r="W2655" s="1"/>
      <c r="X2655" s="1"/>
      <c r="Y2655" s="1"/>
      <c r="AB2655" s="1"/>
      <c r="AC2655" s="1"/>
      <c r="AD2655" s="1"/>
      <c r="AE2655" s="1"/>
      <c r="AF2655" s="1"/>
      <c r="AG2655" s="1"/>
      <c r="AH2655" s="1"/>
      <c r="AI2655" s="1"/>
      <c r="AJ2655" s="1"/>
      <c r="AK2655" s="1"/>
      <c r="AL2655" s="1"/>
      <c r="AM2655" s="1"/>
    </row>
    <row r="2656" spans="16:39" x14ac:dyDescent="0.25">
      <c r="P2656" s="49"/>
      <c r="Q2656" s="1"/>
      <c r="S2656" s="1"/>
      <c r="T2656" s="1"/>
      <c r="U2656" s="1"/>
      <c r="V2656" s="1"/>
      <c r="W2656" s="1"/>
      <c r="X2656" s="1"/>
      <c r="Y2656" s="1"/>
      <c r="AB2656" s="1"/>
      <c r="AC2656" s="1"/>
      <c r="AD2656" s="1"/>
      <c r="AE2656" s="1"/>
      <c r="AF2656" s="1"/>
      <c r="AG2656" s="1"/>
      <c r="AH2656" s="1"/>
      <c r="AI2656" s="1"/>
      <c r="AJ2656" s="1"/>
      <c r="AK2656" s="1"/>
      <c r="AL2656" s="1"/>
      <c r="AM2656" s="1"/>
    </row>
    <row r="2657" spans="16:39" x14ac:dyDescent="0.25">
      <c r="P2657" s="49"/>
      <c r="Q2657" s="1"/>
      <c r="S2657" s="1"/>
      <c r="T2657" s="1"/>
      <c r="U2657" s="1"/>
      <c r="V2657" s="1"/>
      <c r="W2657" s="1"/>
      <c r="X2657" s="1"/>
      <c r="Y2657" s="1"/>
      <c r="AB2657" s="1"/>
      <c r="AC2657" s="1"/>
      <c r="AD2657" s="1"/>
      <c r="AE2657" s="1"/>
      <c r="AF2657" s="1"/>
      <c r="AG2657" s="1"/>
      <c r="AH2657" s="1"/>
      <c r="AI2657" s="1"/>
      <c r="AJ2657" s="1"/>
      <c r="AK2657" s="1"/>
      <c r="AL2657" s="1"/>
      <c r="AM2657" s="1"/>
    </row>
    <row r="2658" spans="16:39" x14ac:dyDescent="0.25">
      <c r="P2658" s="49"/>
      <c r="Q2658" s="1"/>
      <c r="S2658" s="1"/>
      <c r="T2658" s="1"/>
      <c r="U2658" s="1"/>
      <c r="V2658" s="1"/>
      <c r="W2658" s="1"/>
      <c r="X2658" s="1"/>
      <c r="Y2658" s="1"/>
      <c r="AB2658" s="1"/>
      <c r="AC2658" s="1"/>
      <c r="AD2658" s="1"/>
      <c r="AE2658" s="1"/>
      <c r="AF2658" s="1"/>
      <c r="AG2658" s="1"/>
      <c r="AH2658" s="1"/>
      <c r="AI2658" s="1"/>
      <c r="AJ2658" s="1"/>
      <c r="AK2658" s="1"/>
      <c r="AL2658" s="1"/>
      <c r="AM2658" s="1"/>
    </row>
    <row r="2659" spans="16:39" x14ac:dyDescent="0.25">
      <c r="P2659" s="49"/>
      <c r="Q2659" s="1"/>
      <c r="S2659" s="1"/>
      <c r="T2659" s="1"/>
      <c r="U2659" s="1"/>
      <c r="V2659" s="1"/>
      <c r="W2659" s="1"/>
      <c r="X2659" s="1"/>
      <c r="Y2659" s="1"/>
      <c r="AB2659" s="1"/>
      <c r="AC2659" s="1"/>
      <c r="AD2659" s="1"/>
      <c r="AE2659" s="1"/>
      <c r="AF2659" s="1"/>
      <c r="AG2659" s="1"/>
      <c r="AH2659" s="1"/>
      <c r="AI2659" s="1"/>
      <c r="AJ2659" s="1"/>
      <c r="AK2659" s="1"/>
      <c r="AL2659" s="1"/>
      <c r="AM2659" s="1"/>
    </row>
    <row r="2660" spans="16:39" x14ac:dyDescent="0.25">
      <c r="P2660" s="49"/>
      <c r="Q2660" s="1"/>
      <c r="S2660" s="1"/>
      <c r="T2660" s="1"/>
      <c r="U2660" s="1"/>
      <c r="V2660" s="1"/>
      <c r="W2660" s="1"/>
      <c r="X2660" s="1"/>
      <c r="Y2660" s="1"/>
      <c r="AB2660" s="1"/>
      <c r="AC2660" s="1"/>
      <c r="AD2660" s="1"/>
      <c r="AE2660" s="1"/>
      <c r="AF2660" s="1"/>
      <c r="AG2660" s="1"/>
      <c r="AH2660" s="1"/>
      <c r="AI2660" s="1"/>
      <c r="AJ2660" s="1"/>
      <c r="AK2660" s="1"/>
      <c r="AL2660" s="1"/>
      <c r="AM2660" s="1"/>
    </row>
    <row r="2661" spans="16:39" x14ac:dyDescent="0.25">
      <c r="P2661" s="49"/>
      <c r="Q2661" s="1"/>
      <c r="S2661" s="1"/>
      <c r="T2661" s="1"/>
      <c r="U2661" s="1"/>
      <c r="V2661" s="1"/>
      <c r="W2661" s="1"/>
      <c r="X2661" s="1"/>
      <c r="Y2661" s="1"/>
      <c r="AB2661" s="1"/>
      <c r="AC2661" s="1"/>
      <c r="AD2661" s="1"/>
      <c r="AE2661" s="1"/>
      <c r="AF2661" s="1"/>
      <c r="AG2661" s="1"/>
      <c r="AH2661" s="1"/>
      <c r="AI2661" s="1"/>
      <c r="AJ2661" s="1"/>
      <c r="AK2661" s="1"/>
      <c r="AL2661" s="1"/>
      <c r="AM2661" s="1"/>
    </row>
    <row r="2662" spans="16:39" x14ac:dyDescent="0.25">
      <c r="P2662" s="49"/>
      <c r="Q2662" s="1"/>
      <c r="S2662" s="1"/>
      <c r="T2662" s="1"/>
      <c r="U2662" s="1"/>
      <c r="V2662" s="1"/>
      <c r="W2662" s="1"/>
      <c r="X2662" s="1"/>
      <c r="Y2662" s="1"/>
      <c r="AB2662" s="1"/>
      <c r="AC2662" s="1"/>
      <c r="AD2662" s="1"/>
      <c r="AE2662" s="1"/>
      <c r="AF2662" s="1"/>
      <c r="AG2662" s="1"/>
      <c r="AH2662" s="1"/>
      <c r="AI2662" s="1"/>
      <c r="AJ2662" s="1"/>
      <c r="AK2662" s="1"/>
      <c r="AL2662" s="1"/>
      <c r="AM2662" s="1"/>
    </row>
    <row r="2663" spans="16:39" x14ac:dyDescent="0.25">
      <c r="P2663" s="49"/>
      <c r="Q2663" s="1"/>
      <c r="S2663" s="1"/>
      <c r="T2663" s="1"/>
      <c r="U2663" s="1"/>
      <c r="V2663" s="1"/>
      <c r="W2663" s="1"/>
      <c r="X2663" s="1"/>
      <c r="Y2663" s="1"/>
      <c r="AB2663" s="1"/>
      <c r="AC2663" s="1"/>
      <c r="AD2663" s="1"/>
      <c r="AE2663" s="1"/>
      <c r="AF2663" s="1"/>
      <c r="AG2663" s="1"/>
      <c r="AH2663" s="1"/>
      <c r="AI2663" s="1"/>
      <c r="AJ2663" s="1"/>
      <c r="AK2663" s="1"/>
      <c r="AL2663" s="1"/>
      <c r="AM2663" s="1"/>
    </row>
    <row r="2664" spans="16:39" x14ac:dyDescent="0.25">
      <c r="P2664" s="49"/>
      <c r="Q2664" s="1"/>
      <c r="S2664" s="1"/>
      <c r="T2664" s="1"/>
      <c r="U2664" s="1"/>
      <c r="V2664" s="1"/>
      <c r="W2664" s="1"/>
      <c r="X2664" s="1"/>
      <c r="Y2664" s="1"/>
      <c r="AB2664" s="1"/>
      <c r="AC2664" s="1"/>
      <c r="AD2664" s="1"/>
      <c r="AE2664" s="1"/>
      <c r="AF2664" s="1"/>
      <c r="AG2664" s="1"/>
      <c r="AH2664" s="1"/>
      <c r="AI2664" s="1"/>
      <c r="AJ2664" s="1"/>
      <c r="AK2664" s="1"/>
      <c r="AL2664" s="1"/>
      <c r="AM2664" s="1"/>
    </row>
    <row r="2665" spans="16:39" x14ac:dyDescent="0.25">
      <c r="P2665" s="49"/>
      <c r="Q2665" s="1"/>
      <c r="S2665" s="1"/>
      <c r="T2665" s="1"/>
      <c r="U2665" s="1"/>
      <c r="V2665" s="1"/>
      <c r="W2665" s="1"/>
      <c r="X2665" s="1"/>
      <c r="Y2665" s="1"/>
      <c r="AB2665" s="1"/>
      <c r="AC2665" s="1"/>
      <c r="AD2665" s="1"/>
      <c r="AE2665" s="1"/>
      <c r="AF2665" s="1"/>
      <c r="AG2665" s="1"/>
      <c r="AH2665" s="1"/>
      <c r="AI2665" s="1"/>
      <c r="AJ2665" s="1"/>
      <c r="AK2665" s="1"/>
      <c r="AL2665" s="1"/>
      <c r="AM2665" s="1"/>
    </row>
    <row r="2666" spans="16:39" x14ac:dyDescent="0.25">
      <c r="P2666" s="49"/>
      <c r="Q2666" s="1"/>
      <c r="S2666" s="1"/>
      <c r="T2666" s="1"/>
      <c r="U2666" s="1"/>
      <c r="V2666" s="1"/>
      <c r="W2666" s="1"/>
      <c r="X2666" s="1"/>
      <c r="Y2666" s="1"/>
      <c r="AB2666" s="1"/>
      <c r="AC2666" s="1"/>
      <c r="AD2666" s="1"/>
      <c r="AE2666" s="1"/>
      <c r="AF2666" s="1"/>
      <c r="AG2666" s="1"/>
      <c r="AH2666" s="1"/>
      <c r="AI2666" s="1"/>
      <c r="AJ2666" s="1"/>
      <c r="AK2666" s="1"/>
      <c r="AL2666" s="1"/>
      <c r="AM2666" s="1"/>
    </row>
    <row r="2667" spans="16:39" x14ac:dyDescent="0.25">
      <c r="P2667" s="49"/>
      <c r="Q2667" s="1"/>
      <c r="S2667" s="1"/>
      <c r="T2667" s="1"/>
      <c r="U2667" s="1"/>
      <c r="V2667" s="1"/>
      <c r="W2667" s="1"/>
      <c r="X2667" s="1"/>
      <c r="Y2667" s="1"/>
      <c r="AB2667" s="1"/>
      <c r="AC2667" s="1"/>
      <c r="AD2667" s="1"/>
      <c r="AE2667" s="1"/>
      <c r="AF2667" s="1"/>
      <c r="AG2667" s="1"/>
      <c r="AH2667" s="1"/>
      <c r="AI2667" s="1"/>
      <c r="AJ2667" s="1"/>
      <c r="AK2667" s="1"/>
      <c r="AL2667" s="1"/>
      <c r="AM2667" s="1"/>
    </row>
    <row r="2668" spans="16:39" x14ac:dyDescent="0.25">
      <c r="P2668" s="49"/>
      <c r="Q2668" s="1"/>
      <c r="S2668" s="1"/>
      <c r="T2668" s="1"/>
      <c r="U2668" s="1"/>
      <c r="V2668" s="1"/>
      <c r="W2668" s="1"/>
      <c r="X2668" s="1"/>
      <c r="Y2668" s="1"/>
      <c r="AB2668" s="1"/>
      <c r="AC2668" s="1"/>
      <c r="AD2668" s="1"/>
      <c r="AE2668" s="1"/>
      <c r="AF2668" s="1"/>
      <c r="AG2668" s="1"/>
      <c r="AH2668" s="1"/>
      <c r="AI2668" s="1"/>
      <c r="AJ2668" s="1"/>
      <c r="AK2668" s="1"/>
      <c r="AL2668" s="1"/>
      <c r="AM2668" s="1"/>
    </row>
    <row r="2669" spans="16:39" x14ac:dyDescent="0.25">
      <c r="P2669" s="49"/>
      <c r="Q2669" s="1"/>
      <c r="S2669" s="1"/>
      <c r="T2669" s="1"/>
      <c r="U2669" s="1"/>
      <c r="V2669" s="1"/>
      <c r="W2669" s="1"/>
      <c r="X2669" s="1"/>
      <c r="Y2669" s="1"/>
      <c r="AB2669" s="1"/>
      <c r="AC2669" s="1"/>
      <c r="AD2669" s="1"/>
      <c r="AE2669" s="1"/>
      <c r="AF2669" s="1"/>
      <c r="AG2669" s="1"/>
      <c r="AH2669" s="1"/>
      <c r="AI2669" s="1"/>
      <c r="AJ2669" s="1"/>
      <c r="AK2669" s="1"/>
      <c r="AL2669" s="1"/>
      <c r="AM2669" s="1"/>
    </row>
    <row r="2670" spans="16:39" x14ac:dyDescent="0.25">
      <c r="P2670" s="49"/>
      <c r="Q2670" s="1"/>
      <c r="S2670" s="1"/>
      <c r="T2670" s="1"/>
      <c r="U2670" s="1"/>
      <c r="V2670" s="1"/>
      <c r="W2670" s="1"/>
      <c r="X2670" s="1"/>
      <c r="Y2670" s="1"/>
      <c r="AB2670" s="1"/>
      <c r="AC2670" s="1"/>
      <c r="AD2670" s="1"/>
      <c r="AE2670" s="1"/>
      <c r="AF2670" s="1"/>
      <c r="AG2670" s="1"/>
      <c r="AH2670" s="1"/>
      <c r="AI2670" s="1"/>
      <c r="AJ2670" s="1"/>
      <c r="AK2670" s="1"/>
      <c r="AL2670" s="1"/>
      <c r="AM2670" s="1"/>
    </row>
    <row r="2671" spans="16:39" x14ac:dyDescent="0.25">
      <c r="P2671" s="49"/>
      <c r="Q2671" s="1"/>
      <c r="S2671" s="1"/>
      <c r="T2671" s="1"/>
      <c r="U2671" s="1"/>
      <c r="V2671" s="1"/>
      <c r="W2671" s="1"/>
      <c r="X2671" s="1"/>
      <c r="Y2671" s="1"/>
      <c r="AB2671" s="1"/>
      <c r="AC2671" s="1"/>
      <c r="AD2671" s="1"/>
      <c r="AE2671" s="1"/>
      <c r="AF2671" s="1"/>
      <c r="AG2671" s="1"/>
      <c r="AH2671" s="1"/>
      <c r="AI2671" s="1"/>
      <c r="AJ2671" s="1"/>
      <c r="AK2671" s="1"/>
      <c r="AL2671" s="1"/>
      <c r="AM2671" s="1"/>
    </row>
    <row r="2672" spans="16:39" x14ac:dyDescent="0.25">
      <c r="P2672" s="49"/>
      <c r="Q2672" s="1"/>
      <c r="S2672" s="1"/>
      <c r="T2672" s="1"/>
      <c r="U2672" s="1"/>
      <c r="V2672" s="1"/>
      <c r="W2672" s="1"/>
      <c r="X2672" s="1"/>
      <c r="Y2672" s="1"/>
      <c r="AB2672" s="1"/>
      <c r="AC2672" s="1"/>
      <c r="AD2672" s="1"/>
      <c r="AE2672" s="1"/>
      <c r="AF2672" s="1"/>
      <c r="AG2672" s="1"/>
      <c r="AH2672" s="1"/>
      <c r="AI2672" s="1"/>
      <c r="AJ2672" s="1"/>
      <c r="AK2672" s="1"/>
      <c r="AL2672" s="1"/>
      <c r="AM2672" s="1"/>
    </row>
    <row r="2673" spans="16:39" x14ac:dyDescent="0.25">
      <c r="P2673" s="49"/>
      <c r="Q2673" s="1"/>
      <c r="S2673" s="1"/>
      <c r="T2673" s="1"/>
      <c r="U2673" s="1"/>
      <c r="V2673" s="1"/>
      <c r="W2673" s="1"/>
      <c r="X2673" s="1"/>
      <c r="Y2673" s="1"/>
      <c r="AB2673" s="1"/>
      <c r="AC2673" s="1"/>
      <c r="AD2673" s="1"/>
      <c r="AE2673" s="1"/>
      <c r="AF2673" s="1"/>
      <c r="AG2673" s="1"/>
      <c r="AH2673" s="1"/>
      <c r="AI2673" s="1"/>
      <c r="AJ2673" s="1"/>
      <c r="AK2673" s="1"/>
      <c r="AL2673" s="1"/>
      <c r="AM2673" s="1"/>
    </row>
    <row r="2674" spans="16:39" x14ac:dyDescent="0.25">
      <c r="P2674" s="49"/>
      <c r="Q2674" s="1"/>
      <c r="S2674" s="1"/>
      <c r="T2674" s="1"/>
      <c r="U2674" s="1"/>
      <c r="V2674" s="1"/>
      <c r="W2674" s="1"/>
      <c r="X2674" s="1"/>
      <c r="Y2674" s="1"/>
      <c r="AB2674" s="1"/>
      <c r="AC2674" s="1"/>
      <c r="AD2674" s="1"/>
      <c r="AE2674" s="1"/>
      <c r="AF2674" s="1"/>
      <c r="AG2674" s="1"/>
      <c r="AH2674" s="1"/>
      <c r="AI2674" s="1"/>
      <c r="AJ2674" s="1"/>
      <c r="AK2674" s="1"/>
      <c r="AL2674" s="1"/>
      <c r="AM2674" s="1"/>
    </row>
    <row r="2675" spans="16:39" x14ac:dyDescent="0.25">
      <c r="P2675" s="49"/>
      <c r="Q2675" s="1"/>
      <c r="S2675" s="1"/>
      <c r="T2675" s="1"/>
      <c r="U2675" s="1"/>
      <c r="V2675" s="1"/>
      <c r="W2675" s="1"/>
      <c r="X2675" s="1"/>
      <c r="Y2675" s="1"/>
      <c r="AB2675" s="1"/>
      <c r="AC2675" s="1"/>
      <c r="AD2675" s="1"/>
      <c r="AE2675" s="1"/>
      <c r="AF2675" s="1"/>
      <c r="AG2675" s="1"/>
      <c r="AH2675" s="1"/>
      <c r="AI2675" s="1"/>
      <c r="AJ2675" s="1"/>
      <c r="AK2675" s="1"/>
      <c r="AL2675" s="1"/>
      <c r="AM2675" s="1"/>
    </row>
    <row r="2676" spans="16:39" x14ac:dyDescent="0.25">
      <c r="P2676" s="49"/>
      <c r="Q2676" s="1"/>
      <c r="S2676" s="1"/>
      <c r="T2676" s="1"/>
      <c r="U2676" s="1"/>
      <c r="V2676" s="1"/>
      <c r="W2676" s="1"/>
      <c r="X2676" s="1"/>
      <c r="Y2676" s="1"/>
      <c r="AB2676" s="1"/>
      <c r="AC2676" s="1"/>
      <c r="AD2676" s="1"/>
      <c r="AE2676" s="1"/>
      <c r="AF2676" s="1"/>
      <c r="AG2676" s="1"/>
      <c r="AH2676" s="1"/>
      <c r="AI2676" s="1"/>
      <c r="AJ2676" s="1"/>
      <c r="AK2676" s="1"/>
      <c r="AL2676" s="1"/>
      <c r="AM2676" s="1"/>
    </row>
    <row r="2677" spans="16:39" x14ac:dyDescent="0.25">
      <c r="P2677" s="49"/>
      <c r="Q2677" s="1"/>
      <c r="S2677" s="1"/>
      <c r="T2677" s="1"/>
      <c r="U2677" s="1"/>
      <c r="V2677" s="1"/>
      <c r="W2677" s="1"/>
      <c r="X2677" s="1"/>
      <c r="Y2677" s="1"/>
      <c r="AB2677" s="1"/>
      <c r="AC2677" s="1"/>
      <c r="AD2677" s="1"/>
      <c r="AE2677" s="1"/>
      <c r="AF2677" s="1"/>
      <c r="AG2677" s="1"/>
      <c r="AH2677" s="1"/>
      <c r="AI2677" s="1"/>
      <c r="AJ2677" s="1"/>
      <c r="AK2677" s="1"/>
      <c r="AL2677" s="1"/>
      <c r="AM2677" s="1"/>
    </row>
    <row r="2678" spans="16:39" x14ac:dyDescent="0.25">
      <c r="P2678" s="49"/>
      <c r="Q2678" s="1"/>
      <c r="S2678" s="1"/>
      <c r="T2678" s="1"/>
      <c r="U2678" s="1"/>
      <c r="V2678" s="1"/>
      <c r="W2678" s="1"/>
      <c r="X2678" s="1"/>
      <c r="Y2678" s="1"/>
      <c r="AB2678" s="1"/>
      <c r="AC2678" s="1"/>
      <c r="AD2678" s="1"/>
      <c r="AE2678" s="1"/>
      <c r="AF2678" s="1"/>
      <c r="AG2678" s="1"/>
      <c r="AH2678" s="1"/>
      <c r="AI2678" s="1"/>
      <c r="AJ2678" s="1"/>
      <c r="AK2678" s="1"/>
      <c r="AL2678" s="1"/>
      <c r="AM2678" s="1"/>
    </row>
    <row r="2679" spans="16:39" x14ac:dyDescent="0.25">
      <c r="P2679" s="49"/>
      <c r="Q2679" s="1"/>
      <c r="S2679" s="1"/>
      <c r="T2679" s="1"/>
      <c r="U2679" s="1"/>
      <c r="V2679" s="1"/>
      <c r="W2679" s="1"/>
      <c r="X2679" s="1"/>
      <c r="Y2679" s="1"/>
      <c r="AB2679" s="1"/>
      <c r="AC2679" s="1"/>
      <c r="AD2679" s="1"/>
      <c r="AE2679" s="1"/>
      <c r="AF2679" s="1"/>
      <c r="AG2679" s="1"/>
      <c r="AH2679" s="1"/>
      <c r="AI2679" s="1"/>
      <c r="AJ2679" s="1"/>
      <c r="AK2679" s="1"/>
      <c r="AL2679" s="1"/>
      <c r="AM2679" s="1"/>
    </row>
    <row r="2680" spans="16:39" x14ac:dyDescent="0.25">
      <c r="P2680" s="49"/>
      <c r="Q2680" s="1"/>
      <c r="S2680" s="1"/>
      <c r="T2680" s="1"/>
      <c r="U2680" s="1"/>
      <c r="V2680" s="1"/>
      <c r="W2680" s="1"/>
      <c r="X2680" s="1"/>
      <c r="Y2680" s="1"/>
      <c r="AB2680" s="1"/>
      <c r="AC2680" s="1"/>
      <c r="AD2680" s="1"/>
      <c r="AE2680" s="1"/>
      <c r="AF2680" s="1"/>
      <c r="AG2680" s="1"/>
      <c r="AH2680" s="1"/>
      <c r="AI2680" s="1"/>
      <c r="AJ2680" s="1"/>
      <c r="AK2680" s="1"/>
      <c r="AL2680" s="1"/>
      <c r="AM2680" s="1"/>
    </row>
    <row r="2681" spans="16:39" x14ac:dyDescent="0.25">
      <c r="P2681" s="49"/>
      <c r="Q2681" s="1"/>
      <c r="S2681" s="1"/>
      <c r="T2681" s="1"/>
      <c r="U2681" s="1"/>
      <c r="V2681" s="1"/>
      <c r="W2681" s="1"/>
      <c r="X2681" s="1"/>
      <c r="Y2681" s="1"/>
      <c r="AB2681" s="1"/>
      <c r="AC2681" s="1"/>
      <c r="AD2681" s="1"/>
      <c r="AE2681" s="1"/>
      <c r="AF2681" s="1"/>
      <c r="AG2681" s="1"/>
      <c r="AH2681" s="1"/>
      <c r="AI2681" s="1"/>
      <c r="AJ2681" s="1"/>
      <c r="AK2681" s="1"/>
      <c r="AL2681" s="1"/>
      <c r="AM2681" s="1"/>
    </row>
    <row r="2682" spans="16:39" x14ac:dyDescent="0.25">
      <c r="P2682" s="49"/>
      <c r="Q2682" s="1"/>
      <c r="S2682" s="1"/>
      <c r="T2682" s="1"/>
      <c r="U2682" s="1"/>
      <c r="V2682" s="1"/>
      <c r="W2682" s="1"/>
      <c r="X2682" s="1"/>
      <c r="Y2682" s="1"/>
      <c r="AB2682" s="1"/>
      <c r="AC2682" s="1"/>
      <c r="AD2682" s="1"/>
      <c r="AE2682" s="1"/>
      <c r="AF2682" s="1"/>
      <c r="AG2682" s="1"/>
      <c r="AH2682" s="1"/>
      <c r="AI2682" s="1"/>
      <c r="AJ2682" s="1"/>
      <c r="AK2682" s="1"/>
      <c r="AL2682" s="1"/>
      <c r="AM2682" s="1"/>
    </row>
    <row r="2683" spans="16:39" x14ac:dyDescent="0.25">
      <c r="P2683" s="49"/>
      <c r="Q2683" s="1"/>
      <c r="S2683" s="1"/>
      <c r="T2683" s="1"/>
      <c r="U2683" s="1"/>
      <c r="V2683" s="1"/>
      <c r="W2683" s="1"/>
      <c r="X2683" s="1"/>
      <c r="Y2683" s="1"/>
      <c r="AB2683" s="1"/>
      <c r="AC2683" s="1"/>
      <c r="AD2683" s="1"/>
      <c r="AE2683" s="1"/>
      <c r="AF2683" s="1"/>
      <c r="AG2683" s="1"/>
      <c r="AH2683" s="1"/>
      <c r="AI2683" s="1"/>
      <c r="AJ2683" s="1"/>
      <c r="AK2683" s="1"/>
      <c r="AL2683" s="1"/>
      <c r="AM2683" s="1"/>
    </row>
    <row r="2684" spans="16:39" x14ac:dyDescent="0.25">
      <c r="P2684" s="49"/>
      <c r="Q2684" s="1"/>
      <c r="S2684" s="1"/>
      <c r="T2684" s="1"/>
      <c r="U2684" s="1"/>
      <c r="V2684" s="1"/>
      <c r="W2684" s="1"/>
      <c r="X2684" s="1"/>
      <c r="Y2684" s="1"/>
      <c r="AB2684" s="1"/>
      <c r="AC2684" s="1"/>
      <c r="AD2684" s="1"/>
      <c r="AE2684" s="1"/>
      <c r="AF2684" s="1"/>
      <c r="AG2684" s="1"/>
      <c r="AH2684" s="1"/>
      <c r="AI2684" s="1"/>
      <c r="AJ2684" s="1"/>
      <c r="AK2684" s="1"/>
      <c r="AL2684" s="1"/>
      <c r="AM2684" s="1"/>
    </row>
    <row r="2685" spans="16:39" x14ac:dyDescent="0.25">
      <c r="P2685" s="49"/>
      <c r="Q2685" s="1"/>
      <c r="S2685" s="1"/>
      <c r="T2685" s="1"/>
      <c r="U2685" s="1"/>
      <c r="V2685" s="1"/>
      <c r="W2685" s="1"/>
      <c r="X2685" s="1"/>
      <c r="Y2685" s="1"/>
      <c r="AB2685" s="1"/>
      <c r="AC2685" s="1"/>
      <c r="AD2685" s="1"/>
      <c r="AE2685" s="1"/>
      <c r="AF2685" s="1"/>
      <c r="AG2685" s="1"/>
      <c r="AH2685" s="1"/>
      <c r="AI2685" s="1"/>
      <c r="AJ2685" s="1"/>
      <c r="AK2685" s="1"/>
      <c r="AL2685" s="1"/>
      <c r="AM2685" s="1"/>
    </row>
    <row r="2686" spans="16:39" x14ac:dyDescent="0.25">
      <c r="P2686" s="49"/>
      <c r="Q2686" s="1"/>
      <c r="S2686" s="1"/>
      <c r="T2686" s="1"/>
      <c r="U2686" s="1"/>
      <c r="V2686" s="1"/>
      <c r="W2686" s="1"/>
      <c r="X2686" s="1"/>
      <c r="Y2686" s="1"/>
      <c r="AB2686" s="1"/>
      <c r="AC2686" s="1"/>
      <c r="AD2686" s="1"/>
      <c r="AE2686" s="1"/>
      <c r="AF2686" s="1"/>
      <c r="AG2686" s="1"/>
      <c r="AH2686" s="1"/>
      <c r="AI2686" s="1"/>
      <c r="AJ2686" s="1"/>
      <c r="AK2686" s="1"/>
      <c r="AL2686" s="1"/>
      <c r="AM2686" s="1"/>
    </row>
    <row r="2687" spans="16:39" x14ac:dyDescent="0.25">
      <c r="P2687" s="49"/>
      <c r="Q2687" s="1"/>
      <c r="S2687" s="1"/>
      <c r="T2687" s="1"/>
      <c r="U2687" s="1"/>
      <c r="V2687" s="1"/>
      <c r="W2687" s="1"/>
      <c r="X2687" s="1"/>
      <c r="Y2687" s="1"/>
      <c r="AB2687" s="1"/>
      <c r="AC2687" s="1"/>
      <c r="AD2687" s="1"/>
      <c r="AE2687" s="1"/>
      <c r="AF2687" s="1"/>
      <c r="AG2687" s="1"/>
      <c r="AH2687" s="1"/>
      <c r="AI2687" s="1"/>
      <c r="AJ2687" s="1"/>
      <c r="AK2687" s="1"/>
      <c r="AL2687" s="1"/>
      <c r="AM2687" s="1"/>
    </row>
    <row r="2688" spans="16:39" x14ac:dyDescent="0.25">
      <c r="P2688" s="49"/>
      <c r="Q2688" s="1"/>
      <c r="S2688" s="1"/>
      <c r="T2688" s="1"/>
      <c r="U2688" s="1"/>
      <c r="V2688" s="1"/>
      <c r="W2688" s="1"/>
      <c r="X2688" s="1"/>
      <c r="Y2688" s="1"/>
      <c r="AB2688" s="1"/>
      <c r="AC2688" s="1"/>
      <c r="AD2688" s="1"/>
      <c r="AE2688" s="1"/>
      <c r="AF2688" s="1"/>
      <c r="AG2688" s="1"/>
      <c r="AH2688" s="1"/>
      <c r="AI2688" s="1"/>
      <c r="AJ2688" s="1"/>
      <c r="AK2688" s="1"/>
      <c r="AL2688" s="1"/>
      <c r="AM2688" s="1"/>
    </row>
    <row r="2689" spans="16:39" x14ac:dyDescent="0.25">
      <c r="P2689" s="49"/>
      <c r="Q2689" s="1"/>
      <c r="S2689" s="1"/>
      <c r="T2689" s="1"/>
      <c r="U2689" s="1"/>
      <c r="V2689" s="1"/>
      <c r="W2689" s="1"/>
      <c r="X2689" s="1"/>
      <c r="Y2689" s="1"/>
      <c r="AB2689" s="1"/>
      <c r="AC2689" s="1"/>
      <c r="AD2689" s="1"/>
      <c r="AE2689" s="1"/>
      <c r="AF2689" s="1"/>
      <c r="AG2689" s="1"/>
      <c r="AH2689" s="1"/>
      <c r="AI2689" s="1"/>
      <c r="AJ2689" s="1"/>
      <c r="AK2689" s="1"/>
      <c r="AL2689" s="1"/>
      <c r="AM2689" s="1"/>
    </row>
    <row r="2690" spans="16:39" x14ac:dyDescent="0.25">
      <c r="P2690" s="49"/>
      <c r="Q2690" s="1"/>
      <c r="S2690" s="1"/>
      <c r="T2690" s="1"/>
      <c r="U2690" s="1"/>
      <c r="V2690" s="1"/>
      <c r="W2690" s="1"/>
      <c r="X2690" s="1"/>
      <c r="Y2690" s="1"/>
      <c r="AB2690" s="1"/>
      <c r="AC2690" s="1"/>
      <c r="AD2690" s="1"/>
      <c r="AE2690" s="1"/>
      <c r="AF2690" s="1"/>
      <c r="AG2690" s="1"/>
      <c r="AH2690" s="1"/>
      <c r="AI2690" s="1"/>
      <c r="AJ2690" s="1"/>
      <c r="AK2690" s="1"/>
      <c r="AL2690" s="1"/>
      <c r="AM2690" s="1"/>
    </row>
    <row r="2691" spans="16:39" x14ac:dyDescent="0.25">
      <c r="P2691" s="49"/>
      <c r="Q2691" s="1"/>
      <c r="S2691" s="1"/>
      <c r="T2691" s="1"/>
      <c r="U2691" s="1"/>
      <c r="V2691" s="1"/>
      <c r="W2691" s="1"/>
      <c r="X2691" s="1"/>
      <c r="Y2691" s="1"/>
      <c r="AB2691" s="1"/>
      <c r="AC2691" s="1"/>
      <c r="AD2691" s="1"/>
      <c r="AE2691" s="1"/>
      <c r="AF2691" s="1"/>
      <c r="AG2691" s="1"/>
      <c r="AH2691" s="1"/>
      <c r="AI2691" s="1"/>
      <c r="AJ2691" s="1"/>
      <c r="AK2691" s="1"/>
      <c r="AL2691" s="1"/>
      <c r="AM2691" s="1"/>
    </row>
    <row r="2692" spans="16:39" x14ac:dyDescent="0.25">
      <c r="P2692" s="49"/>
      <c r="Q2692" s="1"/>
      <c r="S2692" s="1"/>
      <c r="T2692" s="1"/>
      <c r="U2692" s="1"/>
      <c r="V2692" s="1"/>
      <c r="W2692" s="1"/>
      <c r="X2692" s="1"/>
      <c r="Y2692" s="1"/>
      <c r="AB2692" s="1"/>
      <c r="AC2692" s="1"/>
      <c r="AD2692" s="1"/>
      <c r="AE2692" s="1"/>
      <c r="AF2692" s="1"/>
      <c r="AG2692" s="1"/>
      <c r="AH2692" s="1"/>
      <c r="AI2692" s="1"/>
      <c r="AJ2692" s="1"/>
      <c r="AK2692" s="1"/>
      <c r="AL2692" s="1"/>
      <c r="AM2692" s="1"/>
    </row>
    <row r="2693" spans="16:39" x14ac:dyDescent="0.25">
      <c r="P2693" s="49"/>
      <c r="Q2693" s="1"/>
      <c r="S2693" s="1"/>
      <c r="T2693" s="1"/>
      <c r="U2693" s="1"/>
      <c r="V2693" s="1"/>
      <c r="W2693" s="1"/>
      <c r="X2693" s="1"/>
      <c r="Y2693" s="1"/>
      <c r="AB2693" s="1"/>
      <c r="AC2693" s="1"/>
      <c r="AD2693" s="1"/>
      <c r="AE2693" s="1"/>
      <c r="AF2693" s="1"/>
      <c r="AG2693" s="1"/>
      <c r="AH2693" s="1"/>
      <c r="AI2693" s="1"/>
      <c r="AJ2693" s="1"/>
      <c r="AK2693" s="1"/>
      <c r="AL2693" s="1"/>
      <c r="AM2693" s="1"/>
    </row>
    <row r="2694" spans="16:39" x14ac:dyDescent="0.25">
      <c r="P2694" s="49"/>
      <c r="Q2694" s="1"/>
      <c r="S2694" s="1"/>
      <c r="T2694" s="1"/>
      <c r="U2694" s="1"/>
      <c r="V2694" s="1"/>
      <c r="W2694" s="1"/>
      <c r="X2694" s="1"/>
      <c r="Y2694" s="1"/>
      <c r="AB2694" s="1"/>
      <c r="AC2694" s="1"/>
      <c r="AD2694" s="1"/>
      <c r="AE2694" s="1"/>
      <c r="AF2694" s="1"/>
      <c r="AG2694" s="1"/>
      <c r="AH2694" s="1"/>
      <c r="AI2694" s="1"/>
      <c r="AJ2694" s="1"/>
      <c r="AK2694" s="1"/>
      <c r="AL2694" s="1"/>
      <c r="AM2694" s="1"/>
    </row>
    <row r="2695" spans="16:39" x14ac:dyDescent="0.25">
      <c r="P2695" s="49"/>
      <c r="Q2695" s="1"/>
      <c r="S2695" s="1"/>
      <c r="T2695" s="1"/>
      <c r="U2695" s="1"/>
      <c r="V2695" s="1"/>
      <c r="W2695" s="1"/>
      <c r="X2695" s="1"/>
      <c r="Y2695" s="1"/>
      <c r="AB2695" s="1"/>
      <c r="AC2695" s="1"/>
      <c r="AD2695" s="1"/>
      <c r="AE2695" s="1"/>
      <c r="AF2695" s="1"/>
      <c r="AG2695" s="1"/>
      <c r="AH2695" s="1"/>
      <c r="AI2695" s="1"/>
      <c r="AJ2695" s="1"/>
      <c r="AK2695" s="1"/>
      <c r="AL2695" s="1"/>
      <c r="AM2695" s="1"/>
    </row>
    <row r="2696" spans="16:39" x14ac:dyDescent="0.25">
      <c r="P2696" s="49"/>
      <c r="Q2696" s="1"/>
      <c r="S2696" s="1"/>
      <c r="T2696" s="1"/>
      <c r="U2696" s="1"/>
      <c r="V2696" s="1"/>
      <c r="W2696" s="1"/>
      <c r="X2696" s="1"/>
      <c r="Y2696" s="1"/>
      <c r="AB2696" s="1"/>
      <c r="AC2696" s="1"/>
      <c r="AD2696" s="1"/>
      <c r="AE2696" s="1"/>
      <c r="AF2696" s="1"/>
      <c r="AG2696" s="1"/>
      <c r="AH2696" s="1"/>
      <c r="AI2696" s="1"/>
      <c r="AJ2696" s="1"/>
      <c r="AK2696" s="1"/>
      <c r="AL2696" s="1"/>
      <c r="AM2696" s="1"/>
    </row>
    <row r="2697" spans="16:39" x14ac:dyDescent="0.25">
      <c r="P2697" s="49"/>
      <c r="Q2697" s="1"/>
      <c r="S2697" s="1"/>
      <c r="T2697" s="1"/>
      <c r="U2697" s="1"/>
      <c r="V2697" s="1"/>
      <c r="W2697" s="1"/>
      <c r="X2697" s="1"/>
      <c r="Y2697" s="1"/>
      <c r="AB2697" s="1"/>
      <c r="AC2697" s="1"/>
      <c r="AD2697" s="1"/>
      <c r="AE2697" s="1"/>
      <c r="AF2697" s="1"/>
      <c r="AG2697" s="1"/>
      <c r="AH2697" s="1"/>
      <c r="AI2697" s="1"/>
      <c r="AJ2697" s="1"/>
      <c r="AK2697" s="1"/>
      <c r="AL2697" s="1"/>
      <c r="AM2697" s="1"/>
    </row>
    <row r="2698" spans="16:39" x14ac:dyDescent="0.25">
      <c r="P2698" s="49"/>
      <c r="Q2698" s="1"/>
      <c r="S2698" s="1"/>
      <c r="T2698" s="1"/>
      <c r="U2698" s="1"/>
      <c r="V2698" s="1"/>
      <c r="W2698" s="1"/>
      <c r="X2698" s="1"/>
      <c r="Y2698" s="1"/>
      <c r="AB2698" s="1"/>
      <c r="AC2698" s="1"/>
      <c r="AD2698" s="1"/>
      <c r="AE2698" s="1"/>
      <c r="AF2698" s="1"/>
      <c r="AG2698" s="1"/>
      <c r="AH2698" s="1"/>
      <c r="AI2698" s="1"/>
      <c r="AJ2698" s="1"/>
      <c r="AK2698" s="1"/>
      <c r="AL2698" s="1"/>
      <c r="AM2698" s="1"/>
    </row>
    <row r="2699" spans="16:39" x14ac:dyDescent="0.25">
      <c r="P2699" s="49"/>
      <c r="Q2699" s="1"/>
      <c r="S2699" s="1"/>
      <c r="T2699" s="1"/>
      <c r="U2699" s="1"/>
      <c r="V2699" s="1"/>
      <c r="W2699" s="1"/>
      <c r="X2699" s="1"/>
      <c r="Y2699" s="1"/>
      <c r="AB2699" s="1"/>
      <c r="AC2699" s="1"/>
      <c r="AD2699" s="1"/>
      <c r="AE2699" s="1"/>
      <c r="AF2699" s="1"/>
      <c r="AG2699" s="1"/>
      <c r="AH2699" s="1"/>
      <c r="AI2699" s="1"/>
      <c r="AJ2699" s="1"/>
      <c r="AK2699" s="1"/>
      <c r="AL2699" s="1"/>
      <c r="AM2699" s="1"/>
    </row>
    <row r="2700" spans="16:39" x14ac:dyDescent="0.25">
      <c r="P2700" s="49"/>
      <c r="Q2700" s="1"/>
      <c r="S2700" s="1"/>
      <c r="T2700" s="1"/>
      <c r="U2700" s="1"/>
      <c r="V2700" s="1"/>
      <c r="W2700" s="1"/>
      <c r="X2700" s="1"/>
      <c r="Y2700" s="1"/>
      <c r="AB2700" s="1"/>
      <c r="AC2700" s="1"/>
      <c r="AD2700" s="1"/>
      <c r="AE2700" s="1"/>
      <c r="AF2700" s="1"/>
      <c r="AG2700" s="1"/>
      <c r="AH2700" s="1"/>
      <c r="AI2700" s="1"/>
      <c r="AJ2700" s="1"/>
      <c r="AK2700" s="1"/>
      <c r="AL2700" s="1"/>
      <c r="AM2700" s="1"/>
    </row>
    <row r="2701" spans="16:39" x14ac:dyDescent="0.25">
      <c r="P2701" s="49"/>
      <c r="Q2701" s="1"/>
      <c r="S2701" s="1"/>
      <c r="T2701" s="1"/>
      <c r="U2701" s="1"/>
      <c r="V2701" s="1"/>
      <c r="W2701" s="1"/>
      <c r="X2701" s="1"/>
      <c r="Y2701" s="1"/>
      <c r="AB2701" s="1"/>
      <c r="AC2701" s="1"/>
      <c r="AD2701" s="1"/>
      <c r="AE2701" s="1"/>
      <c r="AF2701" s="1"/>
      <c r="AG2701" s="1"/>
      <c r="AH2701" s="1"/>
      <c r="AI2701" s="1"/>
      <c r="AJ2701" s="1"/>
      <c r="AK2701" s="1"/>
      <c r="AL2701" s="1"/>
      <c r="AM2701" s="1"/>
    </row>
    <row r="2702" spans="16:39" x14ac:dyDescent="0.25">
      <c r="P2702" s="49"/>
      <c r="Q2702" s="1"/>
      <c r="S2702" s="1"/>
      <c r="T2702" s="1"/>
      <c r="U2702" s="1"/>
      <c r="V2702" s="1"/>
      <c r="W2702" s="1"/>
      <c r="X2702" s="1"/>
      <c r="Y2702" s="1"/>
      <c r="AB2702" s="1"/>
      <c r="AC2702" s="1"/>
      <c r="AD2702" s="1"/>
      <c r="AE2702" s="1"/>
      <c r="AF2702" s="1"/>
      <c r="AG2702" s="1"/>
      <c r="AH2702" s="1"/>
      <c r="AI2702" s="1"/>
      <c r="AJ2702" s="1"/>
      <c r="AK2702" s="1"/>
      <c r="AL2702" s="1"/>
      <c r="AM2702" s="1"/>
    </row>
    <row r="2703" spans="16:39" x14ac:dyDescent="0.25">
      <c r="P2703" s="49"/>
      <c r="Q2703" s="1"/>
      <c r="S2703" s="1"/>
      <c r="T2703" s="1"/>
      <c r="U2703" s="1"/>
      <c r="V2703" s="1"/>
      <c r="W2703" s="1"/>
      <c r="X2703" s="1"/>
      <c r="Y2703" s="1"/>
      <c r="AB2703" s="1"/>
      <c r="AC2703" s="1"/>
      <c r="AD2703" s="1"/>
      <c r="AE2703" s="1"/>
      <c r="AF2703" s="1"/>
      <c r="AG2703" s="1"/>
      <c r="AH2703" s="1"/>
      <c r="AI2703" s="1"/>
      <c r="AJ2703" s="1"/>
      <c r="AK2703" s="1"/>
      <c r="AL2703" s="1"/>
      <c r="AM2703" s="1"/>
    </row>
    <row r="2704" spans="16:39" x14ac:dyDescent="0.25">
      <c r="P2704" s="49"/>
      <c r="Q2704" s="1"/>
      <c r="S2704" s="1"/>
      <c r="T2704" s="1"/>
      <c r="U2704" s="1"/>
      <c r="V2704" s="1"/>
      <c r="W2704" s="1"/>
      <c r="X2704" s="1"/>
      <c r="Y2704" s="1"/>
      <c r="AB2704" s="1"/>
      <c r="AC2704" s="1"/>
      <c r="AD2704" s="1"/>
      <c r="AE2704" s="1"/>
      <c r="AF2704" s="1"/>
      <c r="AG2704" s="1"/>
      <c r="AH2704" s="1"/>
      <c r="AI2704" s="1"/>
      <c r="AJ2704" s="1"/>
      <c r="AK2704" s="1"/>
      <c r="AL2704" s="1"/>
      <c r="AM2704" s="1"/>
    </row>
    <row r="2705" spans="16:39" x14ac:dyDescent="0.25">
      <c r="P2705" s="49"/>
      <c r="Q2705" s="1"/>
      <c r="S2705" s="1"/>
      <c r="T2705" s="1"/>
      <c r="U2705" s="1"/>
      <c r="V2705" s="1"/>
      <c r="W2705" s="1"/>
      <c r="X2705" s="1"/>
      <c r="Y2705" s="1"/>
      <c r="AB2705" s="1"/>
      <c r="AC2705" s="1"/>
      <c r="AD2705" s="1"/>
      <c r="AE2705" s="1"/>
      <c r="AF2705" s="1"/>
      <c r="AG2705" s="1"/>
      <c r="AH2705" s="1"/>
      <c r="AI2705" s="1"/>
      <c r="AJ2705" s="1"/>
      <c r="AK2705" s="1"/>
      <c r="AL2705" s="1"/>
      <c r="AM2705" s="1"/>
    </row>
    <row r="2706" spans="16:39" x14ac:dyDescent="0.25">
      <c r="P2706" s="49"/>
      <c r="Q2706" s="1"/>
      <c r="S2706" s="1"/>
      <c r="T2706" s="1"/>
      <c r="U2706" s="1"/>
      <c r="V2706" s="1"/>
      <c r="W2706" s="1"/>
      <c r="X2706" s="1"/>
      <c r="Y2706" s="1"/>
      <c r="AB2706" s="1"/>
      <c r="AC2706" s="1"/>
      <c r="AD2706" s="1"/>
      <c r="AE2706" s="1"/>
      <c r="AF2706" s="1"/>
      <c r="AG2706" s="1"/>
      <c r="AH2706" s="1"/>
      <c r="AI2706" s="1"/>
      <c r="AJ2706" s="1"/>
      <c r="AK2706" s="1"/>
      <c r="AL2706" s="1"/>
      <c r="AM2706" s="1"/>
    </row>
    <row r="2707" spans="16:39" x14ac:dyDescent="0.25">
      <c r="P2707" s="49"/>
      <c r="Q2707" s="1"/>
      <c r="S2707" s="1"/>
      <c r="T2707" s="1"/>
      <c r="U2707" s="1"/>
      <c r="V2707" s="1"/>
      <c r="W2707" s="1"/>
      <c r="X2707" s="1"/>
      <c r="Y2707" s="1"/>
      <c r="AB2707" s="1"/>
      <c r="AC2707" s="1"/>
      <c r="AD2707" s="1"/>
      <c r="AE2707" s="1"/>
      <c r="AF2707" s="1"/>
      <c r="AG2707" s="1"/>
      <c r="AH2707" s="1"/>
      <c r="AI2707" s="1"/>
      <c r="AJ2707" s="1"/>
      <c r="AK2707" s="1"/>
      <c r="AL2707" s="1"/>
      <c r="AM2707" s="1"/>
    </row>
    <row r="2708" spans="16:39" x14ac:dyDescent="0.25">
      <c r="P2708" s="49"/>
      <c r="Q2708" s="1"/>
      <c r="S2708" s="1"/>
      <c r="T2708" s="1"/>
      <c r="U2708" s="1"/>
      <c r="V2708" s="1"/>
      <c r="W2708" s="1"/>
      <c r="X2708" s="1"/>
      <c r="Y2708" s="1"/>
      <c r="AB2708" s="1"/>
      <c r="AC2708" s="1"/>
      <c r="AD2708" s="1"/>
      <c r="AE2708" s="1"/>
      <c r="AF2708" s="1"/>
      <c r="AG2708" s="1"/>
      <c r="AH2708" s="1"/>
      <c r="AI2708" s="1"/>
      <c r="AJ2708" s="1"/>
      <c r="AK2708" s="1"/>
      <c r="AL2708" s="1"/>
      <c r="AM2708" s="1"/>
    </row>
    <row r="2709" spans="16:39" x14ac:dyDescent="0.25">
      <c r="P2709" s="49"/>
      <c r="Q2709" s="1"/>
      <c r="S2709" s="1"/>
      <c r="T2709" s="1"/>
      <c r="U2709" s="1"/>
      <c r="V2709" s="1"/>
      <c r="W2709" s="1"/>
      <c r="X2709" s="1"/>
      <c r="Y2709" s="1"/>
      <c r="AB2709" s="1"/>
      <c r="AC2709" s="1"/>
      <c r="AD2709" s="1"/>
      <c r="AE2709" s="1"/>
      <c r="AF2709" s="1"/>
      <c r="AG2709" s="1"/>
      <c r="AH2709" s="1"/>
      <c r="AI2709" s="1"/>
      <c r="AJ2709" s="1"/>
      <c r="AK2709" s="1"/>
      <c r="AL2709" s="1"/>
      <c r="AM2709" s="1"/>
    </row>
    <row r="2710" spans="16:39" x14ac:dyDescent="0.25">
      <c r="P2710" s="49"/>
      <c r="Q2710" s="1"/>
      <c r="S2710" s="1"/>
      <c r="T2710" s="1"/>
      <c r="U2710" s="1"/>
      <c r="V2710" s="1"/>
      <c r="W2710" s="1"/>
      <c r="X2710" s="1"/>
      <c r="Y2710" s="1"/>
      <c r="AB2710" s="1"/>
      <c r="AC2710" s="1"/>
      <c r="AD2710" s="1"/>
      <c r="AE2710" s="1"/>
      <c r="AF2710" s="1"/>
      <c r="AG2710" s="1"/>
      <c r="AH2710" s="1"/>
      <c r="AI2710" s="1"/>
      <c r="AJ2710" s="1"/>
      <c r="AK2710" s="1"/>
      <c r="AL2710" s="1"/>
      <c r="AM2710" s="1"/>
    </row>
    <row r="2711" spans="16:39" x14ac:dyDescent="0.25">
      <c r="P2711" s="49"/>
      <c r="Q2711" s="1"/>
      <c r="S2711" s="1"/>
      <c r="T2711" s="1"/>
      <c r="U2711" s="1"/>
      <c r="V2711" s="1"/>
      <c r="W2711" s="1"/>
      <c r="X2711" s="1"/>
      <c r="Y2711" s="1"/>
      <c r="AB2711" s="1"/>
      <c r="AC2711" s="1"/>
      <c r="AD2711" s="1"/>
      <c r="AE2711" s="1"/>
      <c r="AF2711" s="1"/>
      <c r="AG2711" s="1"/>
      <c r="AH2711" s="1"/>
      <c r="AI2711" s="1"/>
      <c r="AJ2711" s="1"/>
      <c r="AK2711" s="1"/>
      <c r="AL2711" s="1"/>
      <c r="AM2711" s="1"/>
    </row>
    <row r="2712" spans="16:39" x14ac:dyDescent="0.25">
      <c r="P2712" s="49"/>
      <c r="Q2712" s="1"/>
      <c r="S2712" s="1"/>
      <c r="T2712" s="1"/>
      <c r="U2712" s="1"/>
      <c r="V2712" s="1"/>
      <c r="W2712" s="1"/>
      <c r="X2712" s="1"/>
      <c r="Y2712" s="1"/>
      <c r="AB2712" s="1"/>
      <c r="AC2712" s="1"/>
      <c r="AD2712" s="1"/>
      <c r="AE2712" s="1"/>
      <c r="AF2712" s="1"/>
      <c r="AG2712" s="1"/>
      <c r="AH2712" s="1"/>
      <c r="AI2712" s="1"/>
      <c r="AJ2712" s="1"/>
      <c r="AK2712" s="1"/>
      <c r="AL2712" s="1"/>
      <c r="AM2712" s="1"/>
    </row>
    <row r="2713" spans="16:39" x14ac:dyDescent="0.25">
      <c r="P2713" s="49"/>
      <c r="Q2713" s="1"/>
      <c r="S2713" s="1"/>
      <c r="T2713" s="1"/>
      <c r="U2713" s="1"/>
      <c r="V2713" s="1"/>
      <c r="W2713" s="1"/>
      <c r="X2713" s="1"/>
      <c r="Y2713" s="1"/>
      <c r="AB2713" s="1"/>
      <c r="AC2713" s="1"/>
      <c r="AD2713" s="1"/>
      <c r="AE2713" s="1"/>
      <c r="AF2713" s="1"/>
      <c r="AG2713" s="1"/>
      <c r="AH2713" s="1"/>
      <c r="AI2713" s="1"/>
      <c r="AJ2713" s="1"/>
      <c r="AK2713" s="1"/>
      <c r="AL2713" s="1"/>
      <c r="AM2713" s="1"/>
    </row>
    <row r="2714" spans="16:39" x14ac:dyDescent="0.25">
      <c r="P2714" s="49"/>
      <c r="Q2714" s="1"/>
      <c r="S2714" s="1"/>
      <c r="T2714" s="1"/>
      <c r="U2714" s="1"/>
      <c r="V2714" s="1"/>
      <c r="W2714" s="1"/>
      <c r="X2714" s="1"/>
      <c r="Y2714" s="1"/>
      <c r="AB2714" s="1"/>
      <c r="AC2714" s="1"/>
      <c r="AD2714" s="1"/>
      <c r="AE2714" s="1"/>
      <c r="AF2714" s="1"/>
      <c r="AG2714" s="1"/>
      <c r="AH2714" s="1"/>
      <c r="AI2714" s="1"/>
      <c r="AJ2714" s="1"/>
      <c r="AK2714" s="1"/>
      <c r="AL2714" s="1"/>
      <c r="AM2714" s="1"/>
    </row>
    <row r="2715" spans="16:39" x14ac:dyDescent="0.25">
      <c r="P2715" s="49"/>
      <c r="Q2715" s="1"/>
      <c r="S2715" s="1"/>
      <c r="T2715" s="1"/>
      <c r="U2715" s="1"/>
      <c r="V2715" s="1"/>
      <c r="W2715" s="1"/>
      <c r="X2715" s="1"/>
      <c r="Y2715" s="1"/>
      <c r="AB2715" s="1"/>
      <c r="AC2715" s="1"/>
      <c r="AD2715" s="1"/>
      <c r="AE2715" s="1"/>
      <c r="AF2715" s="1"/>
      <c r="AG2715" s="1"/>
      <c r="AH2715" s="1"/>
      <c r="AI2715" s="1"/>
      <c r="AJ2715" s="1"/>
      <c r="AK2715" s="1"/>
      <c r="AL2715" s="1"/>
      <c r="AM2715" s="1"/>
    </row>
    <row r="2716" spans="16:39" x14ac:dyDescent="0.25">
      <c r="P2716" s="49"/>
      <c r="Q2716" s="1"/>
      <c r="S2716" s="1"/>
      <c r="T2716" s="1"/>
      <c r="U2716" s="1"/>
      <c r="V2716" s="1"/>
      <c r="W2716" s="1"/>
      <c r="X2716" s="1"/>
      <c r="Y2716" s="1"/>
      <c r="AB2716" s="1"/>
      <c r="AC2716" s="1"/>
      <c r="AD2716" s="1"/>
      <c r="AE2716" s="1"/>
      <c r="AF2716" s="1"/>
      <c r="AG2716" s="1"/>
      <c r="AH2716" s="1"/>
      <c r="AI2716" s="1"/>
      <c r="AJ2716" s="1"/>
      <c r="AK2716" s="1"/>
      <c r="AL2716" s="1"/>
      <c r="AM2716" s="1"/>
    </row>
    <row r="2717" spans="16:39" x14ac:dyDescent="0.25">
      <c r="P2717" s="49"/>
      <c r="Q2717" s="1"/>
      <c r="S2717" s="1"/>
      <c r="T2717" s="1"/>
      <c r="U2717" s="1"/>
      <c r="V2717" s="1"/>
      <c r="W2717" s="1"/>
      <c r="X2717" s="1"/>
      <c r="Y2717" s="1"/>
      <c r="AB2717" s="1"/>
      <c r="AC2717" s="1"/>
      <c r="AD2717" s="1"/>
      <c r="AE2717" s="1"/>
      <c r="AF2717" s="1"/>
      <c r="AG2717" s="1"/>
      <c r="AH2717" s="1"/>
      <c r="AI2717" s="1"/>
      <c r="AJ2717" s="1"/>
      <c r="AK2717" s="1"/>
      <c r="AL2717" s="1"/>
      <c r="AM2717" s="1"/>
    </row>
    <row r="2718" spans="16:39" x14ac:dyDescent="0.25">
      <c r="P2718" s="49"/>
      <c r="Q2718" s="1"/>
      <c r="S2718" s="1"/>
      <c r="T2718" s="1"/>
      <c r="U2718" s="1"/>
      <c r="V2718" s="1"/>
      <c r="W2718" s="1"/>
      <c r="X2718" s="1"/>
      <c r="Y2718" s="1"/>
      <c r="AB2718" s="1"/>
      <c r="AC2718" s="1"/>
      <c r="AD2718" s="1"/>
      <c r="AE2718" s="1"/>
      <c r="AF2718" s="1"/>
      <c r="AG2718" s="1"/>
      <c r="AH2718" s="1"/>
      <c r="AI2718" s="1"/>
      <c r="AJ2718" s="1"/>
      <c r="AK2718" s="1"/>
      <c r="AL2718" s="1"/>
      <c r="AM2718" s="1"/>
    </row>
    <row r="2719" spans="16:39" x14ac:dyDescent="0.25">
      <c r="P2719" s="49"/>
      <c r="Q2719" s="1"/>
      <c r="S2719" s="1"/>
      <c r="T2719" s="1"/>
      <c r="U2719" s="1"/>
      <c r="V2719" s="1"/>
      <c r="W2719" s="1"/>
      <c r="X2719" s="1"/>
      <c r="Y2719" s="1"/>
      <c r="AB2719" s="1"/>
      <c r="AC2719" s="1"/>
      <c r="AD2719" s="1"/>
      <c r="AE2719" s="1"/>
      <c r="AF2719" s="1"/>
      <c r="AG2719" s="1"/>
      <c r="AH2719" s="1"/>
      <c r="AI2719" s="1"/>
      <c r="AJ2719" s="1"/>
      <c r="AK2719" s="1"/>
      <c r="AL2719" s="1"/>
      <c r="AM2719" s="1"/>
    </row>
    <row r="2720" spans="16:39" x14ac:dyDescent="0.25">
      <c r="P2720" s="49"/>
      <c r="Q2720" s="1"/>
      <c r="S2720" s="1"/>
      <c r="T2720" s="1"/>
      <c r="U2720" s="1"/>
      <c r="V2720" s="1"/>
      <c r="W2720" s="1"/>
      <c r="X2720" s="1"/>
      <c r="Y2720" s="1"/>
      <c r="AB2720" s="1"/>
      <c r="AC2720" s="1"/>
      <c r="AD2720" s="1"/>
      <c r="AE2720" s="1"/>
      <c r="AF2720" s="1"/>
      <c r="AG2720" s="1"/>
      <c r="AH2720" s="1"/>
      <c r="AI2720" s="1"/>
      <c r="AJ2720" s="1"/>
      <c r="AK2720" s="1"/>
      <c r="AL2720" s="1"/>
      <c r="AM2720" s="1"/>
    </row>
    <row r="2721" spans="16:39" x14ac:dyDescent="0.25">
      <c r="P2721" s="49"/>
      <c r="Q2721" s="1"/>
      <c r="S2721" s="1"/>
      <c r="T2721" s="1"/>
      <c r="U2721" s="1"/>
      <c r="V2721" s="1"/>
      <c r="W2721" s="1"/>
      <c r="X2721" s="1"/>
      <c r="Y2721" s="1"/>
      <c r="AB2721" s="1"/>
      <c r="AC2721" s="1"/>
      <c r="AD2721" s="1"/>
      <c r="AE2721" s="1"/>
      <c r="AF2721" s="1"/>
      <c r="AG2721" s="1"/>
      <c r="AH2721" s="1"/>
      <c r="AI2721" s="1"/>
      <c r="AJ2721" s="1"/>
      <c r="AK2721" s="1"/>
      <c r="AL2721" s="1"/>
      <c r="AM2721" s="1"/>
    </row>
    <row r="2722" spans="16:39" x14ac:dyDescent="0.25">
      <c r="P2722" s="49"/>
      <c r="Q2722" s="1"/>
      <c r="S2722" s="1"/>
      <c r="T2722" s="1"/>
      <c r="U2722" s="1"/>
      <c r="V2722" s="1"/>
      <c r="W2722" s="1"/>
      <c r="X2722" s="1"/>
      <c r="Y2722" s="1"/>
      <c r="AB2722" s="1"/>
      <c r="AC2722" s="1"/>
      <c r="AD2722" s="1"/>
      <c r="AE2722" s="1"/>
      <c r="AF2722" s="1"/>
      <c r="AG2722" s="1"/>
      <c r="AH2722" s="1"/>
      <c r="AI2722" s="1"/>
      <c r="AJ2722" s="1"/>
      <c r="AK2722" s="1"/>
      <c r="AL2722" s="1"/>
      <c r="AM2722" s="1"/>
    </row>
    <row r="2723" spans="16:39" x14ac:dyDescent="0.25">
      <c r="P2723" s="49"/>
      <c r="Q2723" s="1"/>
      <c r="S2723" s="1"/>
      <c r="T2723" s="1"/>
      <c r="U2723" s="1"/>
      <c r="V2723" s="1"/>
      <c r="W2723" s="1"/>
      <c r="X2723" s="1"/>
      <c r="Y2723" s="1"/>
      <c r="AB2723" s="1"/>
      <c r="AC2723" s="1"/>
      <c r="AD2723" s="1"/>
      <c r="AE2723" s="1"/>
      <c r="AF2723" s="1"/>
      <c r="AG2723" s="1"/>
      <c r="AH2723" s="1"/>
      <c r="AI2723" s="1"/>
      <c r="AJ2723" s="1"/>
      <c r="AK2723" s="1"/>
      <c r="AL2723" s="1"/>
      <c r="AM2723" s="1"/>
    </row>
    <row r="2724" spans="16:39" x14ac:dyDescent="0.25">
      <c r="P2724" s="49"/>
      <c r="Q2724" s="1"/>
      <c r="S2724" s="1"/>
      <c r="T2724" s="1"/>
      <c r="U2724" s="1"/>
      <c r="V2724" s="1"/>
      <c r="W2724" s="1"/>
      <c r="X2724" s="1"/>
      <c r="Y2724" s="1"/>
      <c r="AB2724" s="1"/>
      <c r="AC2724" s="1"/>
      <c r="AD2724" s="1"/>
      <c r="AE2724" s="1"/>
      <c r="AF2724" s="1"/>
      <c r="AG2724" s="1"/>
      <c r="AH2724" s="1"/>
      <c r="AI2724" s="1"/>
      <c r="AJ2724" s="1"/>
      <c r="AK2724" s="1"/>
      <c r="AL2724" s="1"/>
      <c r="AM2724" s="1"/>
    </row>
    <row r="2725" spans="16:39" x14ac:dyDescent="0.25">
      <c r="P2725" s="49"/>
      <c r="Q2725" s="1"/>
      <c r="S2725" s="1"/>
      <c r="T2725" s="1"/>
      <c r="U2725" s="1"/>
      <c r="V2725" s="1"/>
      <c r="W2725" s="1"/>
      <c r="X2725" s="1"/>
      <c r="Y2725" s="1"/>
      <c r="AB2725" s="1"/>
      <c r="AC2725" s="1"/>
      <c r="AD2725" s="1"/>
      <c r="AE2725" s="1"/>
      <c r="AF2725" s="1"/>
      <c r="AG2725" s="1"/>
      <c r="AH2725" s="1"/>
      <c r="AI2725" s="1"/>
      <c r="AJ2725" s="1"/>
      <c r="AK2725" s="1"/>
      <c r="AL2725" s="1"/>
      <c r="AM2725" s="1"/>
    </row>
    <row r="2726" spans="16:39" x14ac:dyDescent="0.25">
      <c r="P2726" s="49"/>
      <c r="Q2726" s="1"/>
      <c r="S2726" s="1"/>
      <c r="T2726" s="1"/>
      <c r="U2726" s="1"/>
      <c r="V2726" s="1"/>
      <c r="W2726" s="1"/>
      <c r="X2726" s="1"/>
      <c r="Y2726" s="1"/>
      <c r="AB2726" s="1"/>
      <c r="AC2726" s="1"/>
      <c r="AD2726" s="1"/>
      <c r="AE2726" s="1"/>
      <c r="AF2726" s="1"/>
      <c r="AG2726" s="1"/>
      <c r="AH2726" s="1"/>
      <c r="AI2726" s="1"/>
      <c r="AJ2726" s="1"/>
      <c r="AK2726" s="1"/>
      <c r="AL2726" s="1"/>
      <c r="AM2726" s="1"/>
    </row>
    <row r="2727" spans="16:39" x14ac:dyDescent="0.25">
      <c r="P2727" s="49"/>
      <c r="Q2727" s="1"/>
      <c r="S2727" s="1"/>
      <c r="T2727" s="1"/>
      <c r="U2727" s="1"/>
      <c r="V2727" s="1"/>
      <c r="W2727" s="1"/>
      <c r="X2727" s="1"/>
      <c r="Y2727" s="1"/>
      <c r="AB2727" s="1"/>
      <c r="AC2727" s="1"/>
      <c r="AD2727" s="1"/>
      <c r="AE2727" s="1"/>
      <c r="AF2727" s="1"/>
      <c r="AG2727" s="1"/>
      <c r="AH2727" s="1"/>
      <c r="AI2727" s="1"/>
      <c r="AJ2727" s="1"/>
      <c r="AK2727" s="1"/>
      <c r="AL2727" s="1"/>
      <c r="AM2727" s="1"/>
    </row>
    <row r="2728" spans="16:39" x14ac:dyDescent="0.25">
      <c r="P2728" s="49"/>
      <c r="Q2728" s="1"/>
      <c r="S2728" s="1"/>
      <c r="T2728" s="1"/>
      <c r="U2728" s="1"/>
      <c r="V2728" s="1"/>
      <c r="W2728" s="1"/>
      <c r="X2728" s="1"/>
      <c r="Y2728" s="1"/>
      <c r="AB2728" s="1"/>
      <c r="AC2728" s="1"/>
      <c r="AD2728" s="1"/>
      <c r="AE2728" s="1"/>
      <c r="AF2728" s="1"/>
      <c r="AG2728" s="1"/>
      <c r="AH2728" s="1"/>
      <c r="AI2728" s="1"/>
      <c r="AJ2728" s="1"/>
      <c r="AK2728" s="1"/>
      <c r="AL2728" s="1"/>
      <c r="AM2728" s="1"/>
    </row>
    <row r="2729" spans="16:39" x14ac:dyDescent="0.25">
      <c r="P2729" s="49"/>
      <c r="Q2729" s="1"/>
      <c r="S2729" s="1"/>
      <c r="T2729" s="1"/>
      <c r="U2729" s="1"/>
      <c r="V2729" s="1"/>
      <c r="W2729" s="1"/>
      <c r="X2729" s="1"/>
      <c r="Y2729" s="1"/>
      <c r="AB2729" s="1"/>
      <c r="AC2729" s="1"/>
      <c r="AD2729" s="1"/>
      <c r="AE2729" s="1"/>
      <c r="AF2729" s="1"/>
      <c r="AG2729" s="1"/>
      <c r="AH2729" s="1"/>
      <c r="AI2729" s="1"/>
      <c r="AJ2729" s="1"/>
      <c r="AK2729" s="1"/>
      <c r="AL2729" s="1"/>
      <c r="AM2729" s="1"/>
    </row>
    <row r="2730" spans="16:39" x14ac:dyDescent="0.25">
      <c r="P2730" s="49"/>
      <c r="Q2730" s="1"/>
      <c r="S2730" s="1"/>
      <c r="T2730" s="1"/>
      <c r="U2730" s="1"/>
      <c r="V2730" s="1"/>
      <c r="W2730" s="1"/>
      <c r="X2730" s="1"/>
      <c r="Y2730" s="1"/>
      <c r="AB2730" s="1"/>
      <c r="AC2730" s="1"/>
      <c r="AD2730" s="1"/>
      <c r="AE2730" s="1"/>
      <c r="AF2730" s="1"/>
      <c r="AG2730" s="1"/>
      <c r="AH2730" s="1"/>
      <c r="AI2730" s="1"/>
      <c r="AJ2730" s="1"/>
      <c r="AK2730" s="1"/>
      <c r="AL2730" s="1"/>
      <c r="AM2730" s="1"/>
    </row>
    <row r="2731" spans="16:39" x14ac:dyDescent="0.25">
      <c r="P2731" s="49"/>
      <c r="Q2731" s="1"/>
      <c r="S2731" s="1"/>
      <c r="T2731" s="1"/>
      <c r="U2731" s="1"/>
      <c r="V2731" s="1"/>
      <c r="W2731" s="1"/>
      <c r="X2731" s="1"/>
      <c r="Y2731" s="1"/>
      <c r="AB2731" s="1"/>
      <c r="AC2731" s="1"/>
      <c r="AD2731" s="1"/>
      <c r="AE2731" s="1"/>
      <c r="AF2731" s="1"/>
      <c r="AG2731" s="1"/>
      <c r="AH2731" s="1"/>
      <c r="AI2731" s="1"/>
      <c r="AJ2731" s="1"/>
      <c r="AK2731" s="1"/>
      <c r="AL2731" s="1"/>
      <c r="AM2731" s="1"/>
    </row>
    <row r="2732" spans="16:39" x14ac:dyDescent="0.25">
      <c r="P2732" s="49"/>
      <c r="Q2732" s="1"/>
      <c r="S2732" s="1"/>
      <c r="T2732" s="1"/>
      <c r="U2732" s="1"/>
      <c r="V2732" s="1"/>
      <c r="W2732" s="1"/>
      <c r="X2732" s="1"/>
      <c r="Y2732" s="1"/>
      <c r="AB2732" s="1"/>
      <c r="AC2732" s="1"/>
      <c r="AD2732" s="1"/>
      <c r="AE2732" s="1"/>
      <c r="AF2732" s="1"/>
      <c r="AG2732" s="1"/>
      <c r="AH2732" s="1"/>
      <c r="AI2732" s="1"/>
      <c r="AJ2732" s="1"/>
      <c r="AK2732" s="1"/>
      <c r="AL2732" s="1"/>
      <c r="AM2732" s="1"/>
    </row>
    <row r="2733" spans="16:39" x14ac:dyDescent="0.25">
      <c r="P2733" s="49"/>
      <c r="Q2733" s="1"/>
      <c r="S2733" s="1"/>
      <c r="T2733" s="1"/>
      <c r="U2733" s="1"/>
      <c r="V2733" s="1"/>
      <c r="W2733" s="1"/>
      <c r="X2733" s="1"/>
      <c r="Y2733" s="1"/>
      <c r="AB2733" s="1"/>
      <c r="AC2733" s="1"/>
      <c r="AD2733" s="1"/>
      <c r="AE2733" s="1"/>
      <c r="AF2733" s="1"/>
      <c r="AG2733" s="1"/>
      <c r="AH2733" s="1"/>
      <c r="AI2733" s="1"/>
      <c r="AJ2733" s="1"/>
      <c r="AK2733" s="1"/>
      <c r="AL2733" s="1"/>
      <c r="AM2733" s="1"/>
    </row>
    <row r="2734" spans="16:39" x14ac:dyDescent="0.25">
      <c r="P2734" s="49"/>
      <c r="Q2734" s="1"/>
      <c r="S2734" s="1"/>
      <c r="T2734" s="1"/>
      <c r="U2734" s="1"/>
      <c r="V2734" s="1"/>
      <c r="W2734" s="1"/>
      <c r="X2734" s="1"/>
      <c r="Y2734" s="1"/>
      <c r="AB2734" s="1"/>
      <c r="AC2734" s="1"/>
      <c r="AD2734" s="1"/>
      <c r="AE2734" s="1"/>
      <c r="AF2734" s="1"/>
      <c r="AG2734" s="1"/>
      <c r="AH2734" s="1"/>
      <c r="AI2734" s="1"/>
      <c r="AJ2734" s="1"/>
      <c r="AK2734" s="1"/>
      <c r="AL2734" s="1"/>
      <c r="AM2734" s="1"/>
    </row>
    <row r="2735" spans="16:39" x14ac:dyDescent="0.25">
      <c r="P2735" s="49"/>
      <c r="Q2735" s="1"/>
      <c r="S2735" s="1"/>
      <c r="T2735" s="1"/>
      <c r="U2735" s="1"/>
      <c r="V2735" s="1"/>
      <c r="W2735" s="1"/>
      <c r="X2735" s="1"/>
      <c r="Y2735" s="1"/>
      <c r="AB2735" s="1"/>
      <c r="AC2735" s="1"/>
      <c r="AD2735" s="1"/>
      <c r="AE2735" s="1"/>
      <c r="AF2735" s="1"/>
      <c r="AG2735" s="1"/>
      <c r="AH2735" s="1"/>
      <c r="AI2735" s="1"/>
      <c r="AJ2735" s="1"/>
      <c r="AK2735" s="1"/>
      <c r="AL2735" s="1"/>
      <c r="AM2735" s="1"/>
    </row>
    <row r="2736" spans="16:39" x14ac:dyDescent="0.25">
      <c r="P2736" s="49"/>
      <c r="Q2736" s="1"/>
      <c r="S2736" s="1"/>
      <c r="T2736" s="1"/>
      <c r="U2736" s="1"/>
      <c r="V2736" s="1"/>
      <c r="W2736" s="1"/>
      <c r="X2736" s="1"/>
      <c r="Y2736" s="1"/>
      <c r="AB2736" s="1"/>
      <c r="AC2736" s="1"/>
      <c r="AD2736" s="1"/>
      <c r="AE2736" s="1"/>
      <c r="AF2736" s="1"/>
      <c r="AG2736" s="1"/>
      <c r="AH2736" s="1"/>
      <c r="AI2736" s="1"/>
      <c r="AJ2736" s="1"/>
      <c r="AK2736" s="1"/>
      <c r="AL2736" s="1"/>
      <c r="AM2736" s="1"/>
    </row>
    <row r="2737" spans="16:39" x14ac:dyDescent="0.25">
      <c r="P2737" s="49"/>
      <c r="Q2737" s="1"/>
      <c r="S2737" s="1"/>
      <c r="T2737" s="1"/>
      <c r="U2737" s="1"/>
      <c r="V2737" s="1"/>
      <c r="W2737" s="1"/>
      <c r="X2737" s="1"/>
      <c r="Y2737" s="1"/>
      <c r="AB2737" s="1"/>
      <c r="AC2737" s="1"/>
      <c r="AD2737" s="1"/>
      <c r="AE2737" s="1"/>
      <c r="AF2737" s="1"/>
      <c r="AG2737" s="1"/>
      <c r="AH2737" s="1"/>
      <c r="AI2737" s="1"/>
      <c r="AJ2737" s="1"/>
      <c r="AK2737" s="1"/>
      <c r="AL2737" s="1"/>
      <c r="AM2737" s="1"/>
    </row>
    <row r="2738" spans="16:39" x14ac:dyDescent="0.25">
      <c r="P2738" s="49"/>
      <c r="Q2738" s="1"/>
      <c r="S2738" s="1"/>
      <c r="T2738" s="1"/>
      <c r="U2738" s="1"/>
      <c r="V2738" s="1"/>
      <c r="W2738" s="1"/>
      <c r="X2738" s="1"/>
      <c r="Y2738" s="1"/>
      <c r="AB2738" s="1"/>
      <c r="AC2738" s="1"/>
      <c r="AD2738" s="1"/>
      <c r="AE2738" s="1"/>
      <c r="AF2738" s="1"/>
      <c r="AG2738" s="1"/>
      <c r="AH2738" s="1"/>
      <c r="AI2738" s="1"/>
      <c r="AJ2738" s="1"/>
      <c r="AK2738" s="1"/>
      <c r="AL2738" s="1"/>
      <c r="AM2738" s="1"/>
    </row>
    <row r="2739" spans="16:39" x14ac:dyDescent="0.25">
      <c r="P2739" s="49"/>
      <c r="Q2739" s="1"/>
      <c r="S2739" s="1"/>
      <c r="T2739" s="1"/>
      <c r="U2739" s="1"/>
      <c r="V2739" s="1"/>
      <c r="W2739" s="1"/>
      <c r="X2739" s="1"/>
      <c r="Y2739" s="1"/>
      <c r="AB2739" s="1"/>
      <c r="AC2739" s="1"/>
      <c r="AD2739" s="1"/>
      <c r="AE2739" s="1"/>
      <c r="AF2739" s="1"/>
      <c r="AG2739" s="1"/>
      <c r="AH2739" s="1"/>
      <c r="AI2739" s="1"/>
      <c r="AJ2739" s="1"/>
      <c r="AK2739" s="1"/>
      <c r="AL2739" s="1"/>
      <c r="AM2739" s="1"/>
    </row>
    <row r="2740" spans="16:39" x14ac:dyDescent="0.25">
      <c r="P2740" s="49"/>
      <c r="Q2740" s="1"/>
      <c r="S2740" s="1"/>
      <c r="T2740" s="1"/>
      <c r="U2740" s="1"/>
      <c r="V2740" s="1"/>
      <c r="W2740" s="1"/>
      <c r="X2740" s="1"/>
      <c r="Y2740" s="1"/>
      <c r="AB2740" s="1"/>
      <c r="AC2740" s="1"/>
      <c r="AD2740" s="1"/>
      <c r="AE2740" s="1"/>
      <c r="AF2740" s="1"/>
      <c r="AG2740" s="1"/>
      <c r="AH2740" s="1"/>
      <c r="AI2740" s="1"/>
      <c r="AJ2740" s="1"/>
      <c r="AK2740" s="1"/>
      <c r="AL2740" s="1"/>
      <c r="AM2740" s="1"/>
    </row>
    <row r="2741" spans="16:39" x14ac:dyDescent="0.25">
      <c r="P2741" s="49"/>
      <c r="Q2741" s="1"/>
      <c r="S2741" s="1"/>
      <c r="T2741" s="1"/>
      <c r="U2741" s="1"/>
      <c r="V2741" s="1"/>
      <c r="W2741" s="1"/>
      <c r="X2741" s="1"/>
      <c r="Y2741" s="1"/>
      <c r="AB2741" s="1"/>
      <c r="AC2741" s="1"/>
      <c r="AD2741" s="1"/>
      <c r="AE2741" s="1"/>
      <c r="AF2741" s="1"/>
      <c r="AG2741" s="1"/>
      <c r="AH2741" s="1"/>
      <c r="AI2741" s="1"/>
      <c r="AJ2741" s="1"/>
      <c r="AK2741" s="1"/>
      <c r="AL2741" s="1"/>
      <c r="AM2741" s="1"/>
    </row>
    <row r="2742" spans="16:39" x14ac:dyDescent="0.25">
      <c r="P2742" s="49"/>
      <c r="Q2742" s="1"/>
      <c r="S2742" s="1"/>
      <c r="T2742" s="1"/>
      <c r="U2742" s="1"/>
      <c r="V2742" s="1"/>
      <c r="W2742" s="1"/>
      <c r="X2742" s="1"/>
      <c r="Y2742" s="1"/>
      <c r="AB2742" s="1"/>
      <c r="AC2742" s="1"/>
      <c r="AD2742" s="1"/>
      <c r="AE2742" s="1"/>
      <c r="AF2742" s="1"/>
      <c r="AG2742" s="1"/>
      <c r="AH2742" s="1"/>
      <c r="AI2742" s="1"/>
      <c r="AJ2742" s="1"/>
      <c r="AK2742" s="1"/>
      <c r="AL2742" s="1"/>
      <c r="AM2742" s="1"/>
    </row>
    <row r="2743" spans="16:39" x14ac:dyDescent="0.25">
      <c r="P2743" s="49"/>
      <c r="Q2743" s="1"/>
      <c r="S2743" s="1"/>
      <c r="T2743" s="1"/>
      <c r="U2743" s="1"/>
      <c r="V2743" s="1"/>
      <c r="W2743" s="1"/>
      <c r="X2743" s="1"/>
      <c r="Y2743" s="1"/>
      <c r="AB2743" s="1"/>
      <c r="AC2743" s="1"/>
      <c r="AD2743" s="1"/>
      <c r="AE2743" s="1"/>
      <c r="AF2743" s="1"/>
      <c r="AG2743" s="1"/>
      <c r="AH2743" s="1"/>
      <c r="AI2743" s="1"/>
      <c r="AJ2743" s="1"/>
      <c r="AK2743" s="1"/>
      <c r="AL2743" s="1"/>
      <c r="AM2743" s="1"/>
    </row>
    <row r="2744" spans="16:39" x14ac:dyDescent="0.25">
      <c r="P2744" s="49"/>
      <c r="Q2744" s="1"/>
      <c r="S2744" s="1"/>
      <c r="T2744" s="1"/>
      <c r="U2744" s="1"/>
      <c r="V2744" s="1"/>
      <c r="W2744" s="1"/>
      <c r="X2744" s="1"/>
      <c r="Y2744" s="1"/>
      <c r="AB2744" s="1"/>
      <c r="AC2744" s="1"/>
      <c r="AD2744" s="1"/>
      <c r="AE2744" s="1"/>
      <c r="AF2744" s="1"/>
      <c r="AG2744" s="1"/>
      <c r="AH2744" s="1"/>
      <c r="AI2744" s="1"/>
      <c r="AJ2744" s="1"/>
      <c r="AK2744" s="1"/>
      <c r="AL2744" s="1"/>
      <c r="AM2744" s="1"/>
    </row>
    <row r="2745" spans="16:39" x14ac:dyDescent="0.25">
      <c r="P2745" s="49"/>
      <c r="Q2745" s="1"/>
      <c r="S2745" s="1"/>
      <c r="T2745" s="1"/>
      <c r="U2745" s="1"/>
      <c r="V2745" s="1"/>
      <c r="W2745" s="1"/>
      <c r="X2745" s="1"/>
      <c r="Y2745" s="1"/>
      <c r="AB2745" s="1"/>
      <c r="AC2745" s="1"/>
      <c r="AD2745" s="1"/>
      <c r="AE2745" s="1"/>
      <c r="AF2745" s="1"/>
      <c r="AG2745" s="1"/>
      <c r="AH2745" s="1"/>
      <c r="AI2745" s="1"/>
      <c r="AJ2745" s="1"/>
      <c r="AK2745" s="1"/>
      <c r="AL2745" s="1"/>
      <c r="AM2745" s="1"/>
    </row>
    <row r="2746" spans="16:39" x14ac:dyDescent="0.25">
      <c r="P2746" s="49"/>
      <c r="Q2746" s="1"/>
      <c r="S2746" s="1"/>
      <c r="T2746" s="1"/>
      <c r="U2746" s="1"/>
      <c r="V2746" s="1"/>
      <c r="W2746" s="1"/>
      <c r="X2746" s="1"/>
      <c r="Y2746" s="1"/>
      <c r="AB2746" s="1"/>
      <c r="AC2746" s="1"/>
      <c r="AD2746" s="1"/>
      <c r="AE2746" s="1"/>
      <c r="AF2746" s="1"/>
      <c r="AG2746" s="1"/>
      <c r="AH2746" s="1"/>
      <c r="AI2746" s="1"/>
      <c r="AJ2746" s="1"/>
      <c r="AK2746" s="1"/>
      <c r="AL2746" s="1"/>
      <c r="AM2746" s="1"/>
    </row>
    <row r="2747" spans="16:39" x14ac:dyDescent="0.25">
      <c r="P2747" s="49"/>
      <c r="Q2747" s="1"/>
      <c r="S2747" s="1"/>
      <c r="T2747" s="1"/>
      <c r="U2747" s="1"/>
      <c r="V2747" s="1"/>
      <c r="W2747" s="1"/>
      <c r="X2747" s="1"/>
      <c r="Y2747" s="1"/>
      <c r="AB2747" s="1"/>
      <c r="AC2747" s="1"/>
      <c r="AD2747" s="1"/>
      <c r="AE2747" s="1"/>
      <c r="AF2747" s="1"/>
      <c r="AG2747" s="1"/>
      <c r="AH2747" s="1"/>
      <c r="AI2747" s="1"/>
      <c r="AJ2747" s="1"/>
      <c r="AK2747" s="1"/>
      <c r="AL2747" s="1"/>
      <c r="AM2747" s="1"/>
    </row>
    <row r="2748" spans="16:39" x14ac:dyDescent="0.25">
      <c r="P2748" s="49"/>
      <c r="Q2748" s="1"/>
      <c r="S2748" s="1"/>
      <c r="T2748" s="1"/>
      <c r="U2748" s="1"/>
      <c r="V2748" s="1"/>
      <c r="W2748" s="1"/>
      <c r="X2748" s="1"/>
      <c r="Y2748" s="1"/>
      <c r="AB2748" s="1"/>
      <c r="AC2748" s="1"/>
      <c r="AD2748" s="1"/>
      <c r="AE2748" s="1"/>
      <c r="AF2748" s="1"/>
      <c r="AG2748" s="1"/>
      <c r="AH2748" s="1"/>
      <c r="AI2748" s="1"/>
      <c r="AJ2748" s="1"/>
      <c r="AK2748" s="1"/>
      <c r="AL2748" s="1"/>
      <c r="AM2748" s="1"/>
    </row>
    <row r="2749" spans="16:39" x14ac:dyDescent="0.25">
      <c r="P2749" s="49"/>
      <c r="Q2749" s="1"/>
      <c r="S2749" s="1"/>
      <c r="T2749" s="1"/>
      <c r="U2749" s="1"/>
      <c r="V2749" s="1"/>
      <c r="W2749" s="1"/>
      <c r="X2749" s="1"/>
      <c r="Y2749" s="1"/>
      <c r="AB2749" s="1"/>
      <c r="AC2749" s="1"/>
      <c r="AD2749" s="1"/>
      <c r="AE2749" s="1"/>
      <c r="AF2749" s="1"/>
      <c r="AG2749" s="1"/>
      <c r="AH2749" s="1"/>
      <c r="AI2749" s="1"/>
      <c r="AJ2749" s="1"/>
      <c r="AK2749" s="1"/>
      <c r="AL2749" s="1"/>
      <c r="AM2749" s="1"/>
    </row>
    <row r="2750" spans="16:39" x14ac:dyDescent="0.25">
      <c r="P2750" s="49"/>
      <c r="Q2750" s="1"/>
      <c r="S2750" s="1"/>
      <c r="T2750" s="1"/>
      <c r="U2750" s="1"/>
      <c r="V2750" s="1"/>
      <c r="W2750" s="1"/>
      <c r="X2750" s="1"/>
      <c r="Y2750" s="1"/>
      <c r="AB2750" s="1"/>
      <c r="AC2750" s="1"/>
      <c r="AD2750" s="1"/>
      <c r="AE2750" s="1"/>
      <c r="AF2750" s="1"/>
      <c r="AG2750" s="1"/>
      <c r="AH2750" s="1"/>
      <c r="AI2750" s="1"/>
      <c r="AJ2750" s="1"/>
      <c r="AK2750" s="1"/>
      <c r="AL2750" s="1"/>
      <c r="AM2750" s="1"/>
    </row>
    <row r="2751" spans="16:39" x14ac:dyDescent="0.25">
      <c r="P2751" s="49"/>
      <c r="Q2751" s="1"/>
      <c r="S2751" s="1"/>
      <c r="T2751" s="1"/>
      <c r="U2751" s="1"/>
      <c r="V2751" s="1"/>
      <c r="W2751" s="1"/>
      <c r="X2751" s="1"/>
      <c r="Y2751" s="1"/>
      <c r="AB2751" s="1"/>
      <c r="AC2751" s="1"/>
      <c r="AD2751" s="1"/>
      <c r="AE2751" s="1"/>
      <c r="AF2751" s="1"/>
      <c r="AG2751" s="1"/>
      <c r="AH2751" s="1"/>
      <c r="AI2751" s="1"/>
      <c r="AJ2751" s="1"/>
      <c r="AK2751" s="1"/>
      <c r="AL2751" s="1"/>
      <c r="AM2751" s="1"/>
    </row>
    <row r="2752" spans="16:39" x14ac:dyDescent="0.25">
      <c r="P2752" s="49"/>
      <c r="Q2752" s="1"/>
      <c r="S2752" s="1"/>
      <c r="T2752" s="1"/>
      <c r="U2752" s="1"/>
      <c r="V2752" s="1"/>
      <c r="W2752" s="1"/>
      <c r="X2752" s="1"/>
      <c r="Y2752" s="1"/>
      <c r="AB2752" s="1"/>
      <c r="AC2752" s="1"/>
      <c r="AD2752" s="1"/>
      <c r="AE2752" s="1"/>
      <c r="AF2752" s="1"/>
      <c r="AG2752" s="1"/>
      <c r="AH2752" s="1"/>
      <c r="AI2752" s="1"/>
      <c r="AJ2752" s="1"/>
      <c r="AK2752" s="1"/>
      <c r="AL2752" s="1"/>
      <c r="AM2752" s="1"/>
    </row>
    <row r="2753" spans="16:39" x14ac:dyDescent="0.25">
      <c r="P2753" s="49"/>
      <c r="Q2753" s="1"/>
      <c r="S2753" s="1"/>
      <c r="T2753" s="1"/>
      <c r="U2753" s="1"/>
      <c r="V2753" s="1"/>
      <c r="W2753" s="1"/>
      <c r="X2753" s="1"/>
      <c r="Y2753" s="1"/>
      <c r="AB2753" s="1"/>
      <c r="AC2753" s="1"/>
      <c r="AD2753" s="1"/>
      <c r="AE2753" s="1"/>
      <c r="AF2753" s="1"/>
      <c r="AG2753" s="1"/>
      <c r="AH2753" s="1"/>
      <c r="AI2753" s="1"/>
      <c r="AJ2753" s="1"/>
      <c r="AK2753" s="1"/>
      <c r="AL2753" s="1"/>
      <c r="AM2753" s="1"/>
    </row>
    <row r="2754" spans="16:39" x14ac:dyDescent="0.25">
      <c r="P2754" s="49"/>
      <c r="Q2754" s="1"/>
      <c r="S2754" s="1"/>
      <c r="T2754" s="1"/>
      <c r="U2754" s="1"/>
      <c r="V2754" s="1"/>
      <c r="W2754" s="1"/>
      <c r="X2754" s="1"/>
      <c r="Y2754" s="1"/>
      <c r="AB2754" s="1"/>
      <c r="AC2754" s="1"/>
      <c r="AD2754" s="1"/>
      <c r="AE2754" s="1"/>
      <c r="AF2754" s="1"/>
      <c r="AG2754" s="1"/>
      <c r="AH2754" s="1"/>
      <c r="AI2754" s="1"/>
      <c r="AJ2754" s="1"/>
      <c r="AK2754" s="1"/>
      <c r="AL2754" s="1"/>
      <c r="AM2754" s="1"/>
    </row>
    <row r="2755" spans="16:39" x14ac:dyDescent="0.25">
      <c r="P2755" s="49"/>
      <c r="Q2755" s="1"/>
      <c r="S2755" s="1"/>
      <c r="T2755" s="1"/>
      <c r="U2755" s="1"/>
      <c r="V2755" s="1"/>
      <c r="W2755" s="1"/>
      <c r="X2755" s="1"/>
      <c r="Y2755" s="1"/>
      <c r="AB2755" s="1"/>
      <c r="AC2755" s="1"/>
      <c r="AD2755" s="1"/>
      <c r="AE2755" s="1"/>
      <c r="AF2755" s="1"/>
      <c r="AG2755" s="1"/>
      <c r="AH2755" s="1"/>
      <c r="AI2755" s="1"/>
      <c r="AJ2755" s="1"/>
      <c r="AK2755" s="1"/>
      <c r="AL2755" s="1"/>
      <c r="AM2755" s="1"/>
    </row>
    <row r="2756" spans="16:39" x14ac:dyDescent="0.25">
      <c r="P2756" s="49"/>
      <c r="Q2756" s="1"/>
      <c r="S2756" s="1"/>
      <c r="T2756" s="1"/>
      <c r="U2756" s="1"/>
      <c r="V2756" s="1"/>
      <c r="W2756" s="1"/>
      <c r="X2756" s="1"/>
      <c r="Y2756" s="1"/>
      <c r="AB2756" s="1"/>
      <c r="AC2756" s="1"/>
      <c r="AD2756" s="1"/>
      <c r="AE2756" s="1"/>
      <c r="AF2756" s="1"/>
      <c r="AG2756" s="1"/>
      <c r="AH2756" s="1"/>
      <c r="AI2756" s="1"/>
      <c r="AJ2756" s="1"/>
      <c r="AK2756" s="1"/>
      <c r="AL2756" s="1"/>
      <c r="AM2756" s="1"/>
    </row>
    <row r="2757" spans="16:39" x14ac:dyDescent="0.25">
      <c r="P2757" s="49"/>
      <c r="Q2757" s="1"/>
      <c r="S2757" s="1"/>
      <c r="T2757" s="1"/>
      <c r="U2757" s="1"/>
      <c r="V2757" s="1"/>
      <c r="W2757" s="1"/>
      <c r="X2757" s="1"/>
      <c r="Y2757" s="1"/>
      <c r="AB2757" s="1"/>
      <c r="AC2757" s="1"/>
      <c r="AD2757" s="1"/>
      <c r="AE2757" s="1"/>
      <c r="AF2757" s="1"/>
      <c r="AG2757" s="1"/>
      <c r="AH2757" s="1"/>
      <c r="AI2757" s="1"/>
      <c r="AJ2757" s="1"/>
      <c r="AK2757" s="1"/>
      <c r="AL2757" s="1"/>
      <c r="AM2757" s="1"/>
    </row>
    <row r="2758" spans="16:39" x14ac:dyDescent="0.25">
      <c r="P2758" s="49"/>
      <c r="Q2758" s="1"/>
      <c r="S2758" s="1"/>
      <c r="T2758" s="1"/>
      <c r="U2758" s="1"/>
      <c r="V2758" s="1"/>
      <c r="W2758" s="1"/>
      <c r="X2758" s="1"/>
      <c r="Y2758" s="1"/>
      <c r="AB2758" s="1"/>
      <c r="AC2758" s="1"/>
      <c r="AD2758" s="1"/>
      <c r="AE2758" s="1"/>
      <c r="AF2758" s="1"/>
      <c r="AG2758" s="1"/>
      <c r="AH2758" s="1"/>
      <c r="AI2758" s="1"/>
      <c r="AJ2758" s="1"/>
      <c r="AK2758" s="1"/>
      <c r="AL2758" s="1"/>
      <c r="AM2758" s="1"/>
    </row>
    <row r="2759" spans="16:39" x14ac:dyDescent="0.25">
      <c r="P2759" s="49"/>
      <c r="Q2759" s="1"/>
      <c r="S2759" s="1"/>
      <c r="T2759" s="1"/>
      <c r="U2759" s="1"/>
      <c r="V2759" s="1"/>
      <c r="W2759" s="1"/>
      <c r="X2759" s="1"/>
      <c r="Y2759" s="1"/>
      <c r="AB2759" s="1"/>
      <c r="AC2759" s="1"/>
      <c r="AD2759" s="1"/>
      <c r="AE2759" s="1"/>
      <c r="AF2759" s="1"/>
      <c r="AG2759" s="1"/>
      <c r="AH2759" s="1"/>
      <c r="AI2759" s="1"/>
      <c r="AJ2759" s="1"/>
      <c r="AK2759" s="1"/>
      <c r="AL2759" s="1"/>
      <c r="AM2759" s="1"/>
    </row>
    <row r="2760" spans="16:39" x14ac:dyDescent="0.25">
      <c r="P2760" s="49"/>
      <c r="Q2760" s="1"/>
      <c r="S2760" s="1"/>
      <c r="T2760" s="1"/>
      <c r="U2760" s="1"/>
      <c r="V2760" s="1"/>
      <c r="W2760" s="1"/>
      <c r="X2760" s="1"/>
      <c r="Y2760" s="1"/>
      <c r="AB2760" s="1"/>
      <c r="AC2760" s="1"/>
      <c r="AD2760" s="1"/>
      <c r="AE2760" s="1"/>
      <c r="AF2760" s="1"/>
      <c r="AG2760" s="1"/>
      <c r="AH2760" s="1"/>
      <c r="AI2760" s="1"/>
      <c r="AJ2760" s="1"/>
      <c r="AK2760" s="1"/>
      <c r="AL2760" s="1"/>
      <c r="AM2760" s="1"/>
    </row>
    <row r="2761" spans="16:39" x14ac:dyDescent="0.25">
      <c r="P2761" s="49"/>
      <c r="Q2761" s="1"/>
      <c r="S2761" s="1"/>
      <c r="T2761" s="1"/>
      <c r="U2761" s="1"/>
      <c r="V2761" s="1"/>
      <c r="W2761" s="1"/>
      <c r="X2761" s="1"/>
      <c r="Y2761" s="1"/>
      <c r="AB2761" s="1"/>
      <c r="AC2761" s="1"/>
      <c r="AD2761" s="1"/>
      <c r="AE2761" s="1"/>
      <c r="AF2761" s="1"/>
      <c r="AG2761" s="1"/>
      <c r="AH2761" s="1"/>
      <c r="AI2761" s="1"/>
      <c r="AJ2761" s="1"/>
      <c r="AK2761" s="1"/>
      <c r="AL2761" s="1"/>
      <c r="AM2761" s="1"/>
    </row>
    <row r="2762" spans="16:39" x14ac:dyDescent="0.25">
      <c r="P2762" s="49"/>
      <c r="Q2762" s="1"/>
      <c r="S2762" s="1"/>
      <c r="T2762" s="1"/>
      <c r="U2762" s="1"/>
      <c r="V2762" s="1"/>
      <c r="W2762" s="1"/>
      <c r="X2762" s="1"/>
      <c r="Y2762" s="1"/>
      <c r="AB2762" s="1"/>
      <c r="AC2762" s="1"/>
      <c r="AD2762" s="1"/>
      <c r="AE2762" s="1"/>
      <c r="AF2762" s="1"/>
      <c r="AG2762" s="1"/>
      <c r="AH2762" s="1"/>
      <c r="AI2762" s="1"/>
      <c r="AJ2762" s="1"/>
      <c r="AK2762" s="1"/>
      <c r="AL2762" s="1"/>
      <c r="AM2762" s="1"/>
    </row>
    <row r="2763" spans="16:39" x14ac:dyDescent="0.25">
      <c r="P2763" s="49"/>
      <c r="Q2763" s="1"/>
      <c r="S2763" s="1"/>
      <c r="T2763" s="1"/>
      <c r="U2763" s="1"/>
      <c r="V2763" s="1"/>
      <c r="W2763" s="1"/>
      <c r="X2763" s="1"/>
      <c r="Y2763" s="1"/>
      <c r="AB2763" s="1"/>
      <c r="AC2763" s="1"/>
      <c r="AD2763" s="1"/>
      <c r="AE2763" s="1"/>
      <c r="AF2763" s="1"/>
      <c r="AG2763" s="1"/>
      <c r="AH2763" s="1"/>
      <c r="AI2763" s="1"/>
      <c r="AJ2763" s="1"/>
      <c r="AK2763" s="1"/>
      <c r="AL2763" s="1"/>
      <c r="AM2763" s="1"/>
    </row>
    <row r="2764" spans="16:39" x14ac:dyDescent="0.25">
      <c r="P2764" s="49"/>
      <c r="Q2764" s="1"/>
      <c r="S2764" s="1"/>
      <c r="T2764" s="1"/>
      <c r="U2764" s="1"/>
      <c r="V2764" s="1"/>
      <c r="W2764" s="1"/>
      <c r="X2764" s="1"/>
      <c r="Y2764" s="1"/>
      <c r="AB2764" s="1"/>
      <c r="AC2764" s="1"/>
      <c r="AD2764" s="1"/>
      <c r="AE2764" s="1"/>
      <c r="AF2764" s="1"/>
      <c r="AG2764" s="1"/>
      <c r="AH2764" s="1"/>
      <c r="AI2764" s="1"/>
      <c r="AJ2764" s="1"/>
      <c r="AK2764" s="1"/>
      <c r="AL2764" s="1"/>
      <c r="AM2764" s="1"/>
    </row>
    <row r="2765" spans="16:39" x14ac:dyDescent="0.25">
      <c r="P2765" s="49"/>
      <c r="Q2765" s="1"/>
      <c r="S2765" s="1"/>
      <c r="T2765" s="1"/>
      <c r="U2765" s="1"/>
      <c r="V2765" s="1"/>
      <c r="W2765" s="1"/>
      <c r="X2765" s="1"/>
      <c r="Y2765" s="1"/>
      <c r="AB2765" s="1"/>
      <c r="AC2765" s="1"/>
      <c r="AD2765" s="1"/>
      <c r="AE2765" s="1"/>
      <c r="AF2765" s="1"/>
      <c r="AG2765" s="1"/>
      <c r="AH2765" s="1"/>
      <c r="AI2765" s="1"/>
      <c r="AJ2765" s="1"/>
      <c r="AK2765" s="1"/>
      <c r="AL2765" s="1"/>
      <c r="AM2765" s="1"/>
    </row>
    <row r="2766" spans="16:39" x14ac:dyDescent="0.25">
      <c r="P2766" s="49"/>
      <c r="Q2766" s="1"/>
      <c r="S2766" s="1"/>
      <c r="T2766" s="1"/>
      <c r="U2766" s="1"/>
      <c r="V2766" s="1"/>
      <c r="W2766" s="1"/>
      <c r="X2766" s="1"/>
      <c r="Y2766" s="1"/>
      <c r="AB2766" s="1"/>
      <c r="AC2766" s="1"/>
      <c r="AD2766" s="1"/>
      <c r="AE2766" s="1"/>
      <c r="AF2766" s="1"/>
      <c r="AG2766" s="1"/>
      <c r="AH2766" s="1"/>
      <c r="AI2766" s="1"/>
      <c r="AJ2766" s="1"/>
      <c r="AK2766" s="1"/>
      <c r="AL2766" s="1"/>
      <c r="AM2766" s="1"/>
    </row>
    <row r="2767" spans="16:39" x14ac:dyDescent="0.25">
      <c r="P2767" s="49"/>
      <c r="Q2767" s="1"/>
      <c r="S2767" s="1"/>
      <c r="T2767" s="1"/>
      <c r="U2767" s="1"/>
      <c r="V2767" s="1"/>
      <c r="W2767" s="1"/>
      <c r="X2767" s="1"/>
      <c r="Y2767" s="1"/>
      <c r="AB2767" s="1"/>
      <c r="AC2767" s="1"/>
      <c r="AD2767" s="1"/>
      <c r="AE2767" s="1"/>
      <c r="AF2767" s="1"/>
      <c r="AG2767" s="1"/>
      <c r="AH2767" s="1"/>
      <c r="AI2767" s="1"/>
      <c r="AJ2767" s="1"/>
      <c r="AK2767" s="1"/>
      <c r="AL2767" s="1"/>
      <c r="AM2767" s="1"/>
    </row>
    <row r="2768" spans="16:39" x14ac:dyDescent="0.25">
      <c r="P2768" s="49"/>
      <c r="Q2768" s="1"/>
      <c r="S2768" s="1"/>
      <c r="T2768" s="1"/>
      <c r="U2768" s="1"/>
      <c r="V2768" s="1"/>
      <c r="W2768" s="1"/>
      <c r="X2768" s="1"/>
      <c r="Y2768" s="1"/>
      <c r="AB2768" s="1"/>
      <c r="AC2768" s="1"/>
      <c r="AD2768" s="1"/>
      <c r="AE2768" s="1"/>
      <c r="AF2768" s="1"/>
      <c r="AG2768" s="1"/>
      <c r="AH2768" s="1"/>
      <c r="AI2768" s="1"/>
      <c r="AJ2768" s="1"/>
      <c r="AK2768" s="1"/>
      <c r="AL2768" s="1"/>
      <c r="AM2768" s="1"/>
    </row>
    <row r="2769" spans="16:39" x14ac:dyDescent="0.25">
      <c r="P2769" s="49"/>
      <c r="Q2769" s="1"/>
      <c r="S2769" s="1"/>
      <c r="T2769" s="1"/>
      <c r="U2769" s="1"/>
      <c r="V2769" s="1"/>
      <c r="W2769" s="1"/>
      <c r="X2769" s="1"/>
      <c r="Y2769" s="1"/>
      <c r="AB2769" s="1"/>
      <c r="AC2769" s="1"/>
      <c r="AD2769" s="1"/>
      <c r="AE2769" s="1"/>
      <c r="AF2769" s="1"/>
      <c r="AG2769" s="1"/>
      <c r="AH2769" s="1"/>
      <c r="AI2769" s="1"/>
      <c r="AJ2769" s="1"/>
      <c r="AK2769" s="1"/>
      <c r="AL2769" s="1"/>
      <c r="AM2769" s="1"/>
    </row>
    <row r="2770" spans="16:39" x14ac:dyDescent="0.25">
      <c r="P2770" s="49"/>
      <c r="Q2770" s="1"/>
      <c r="S2770" s="1"/>
      <c r="T2770" s="1"/>
      <c r="U2770" s="1"/>
      <c r="V2770" s="1"/>
      <c r="W2770" s="1"/>
      <c r="X2770" s="1"/>
      <c r="Y2770" s="1"/>
      <c r="AB2770" s="1"/>
      <c r="AC2770" s="1"/>
      <c r="AD2770" s="1"/>
      <c r="AE2770" s="1"/>
      <c r="AF2770" s="1"/>
      <c r="AG2770" s="1"/>
      <c r="AH2770" s="1"/>
      <c r="AI2770" s="1"/>
      <c r="AJ2770" s="1"/>
      <c r="AK2770" s="1"/>
      <c r="AL2770" s="1"/>
      <c r="AM2770" s="1"/>
    </row>
    <row r="2771" spans="16:39" x14ac:dyDescent="0.25">
      <c r="P2771" s="49"/>
      <c r="Q2771" s="1"/>
      <c r="S2771" s="1"/>
      <c r="T2771" s="1"/>
      <c r="U2771" s="1"/>
      <c r="V2771" s="1"/>
      <c r="W2771" s="1"/>
      <c r="X2771" s="1"/>
      <c r="Y2771" s="1"/>
      <c r="AB2771" s="1"/>
      <c r="AC2771" s="1"/>
      <c r="AD2771" s="1"/>
      <c r="AE2771" s="1"/>
      <c r="AF2771" s="1"/>
      <c r="AG2771" s="1"/>
      <c r="AH2771" s="1"/>
      <c r="AI2771" s="1"/>
      <c r="AJ2771" s="1"/>
      <c r="AK2771" s="1"/>
      <c r="AL2771" s="1"/>
      <c r="AM2771" s="1"/>
    </row>
    <row r="2772" spans="16:39" x14ac:dyDescent="0.25">
      <c r="P2772" s="49"/>
      <c r="Q2772" s="1"/>
      <c r="S2772" s="1"/>
      <c r="T2772" s="1"/>
      <c r="U2772" s="1"/>
      <c r="V2772" s="1"/>
      <c r="W2772" s="1"/>
      <c r="X2772" s="1"/>
      <c r="Y2772" s="1"/>
      <c r="AB2772" s="1"/>
      <c r="AC2772" s="1"/>
      <c r="AD2772" s="1"/>
      <c r="AE2772" s="1"/>
      <c r="AF2772" s="1"/>
      <c r="AG2772" s="1"/>
      <c r="AH2772" s="1"/>
      <c r="AI2772" s="1"/>
      <c r="AJ2772" s="1"/>
      <c r="AK2772" s="1"/>
      <c r="AL2772" s="1"/>
      <c r="AM2772" s="1"/>
    </row>
    <row r="2773" spans="16:39" x14ac:dyDescent="0.25">
      <c r="P2773" s="49"/>
      <c r="Q2773" s="1"/>
      <c r="S2773" s="1"/>
      <c r="T2773" s="1"/>
      <c r="U2773" s="1"/>
      <c r="V2773" s="1"/>
      <c r="W2773" s="1"/>
      <c r="X2773" s="1"/>
      <c r="Y2773" s="1"/>
      <c r="AB2773" s="1"/>
      <c r="AC2773" s="1"/>
      <c r="AD2773" s="1"/>
      <c r="AE2773" s="1"/>
      <c r="AF2773" s="1"/>
      <c r="AG2773" s="1"/>
      <c r="AH2773" s="1"/>
      <c r="AI2773" s="1"/>
      <c r="AJ2773" s="1"/>
      <c r="AK2773" s="1"/>
      <c r="AL2773" s="1"/>
      <c r="AM2773" s="1"/>
    </row>
    <row r="2774" spans="16:39" x14ac:dyDescent="0.25">
      <c r="P2774" s="49"/>
      <c r="Q2774" s="1"/>
      <c r="S2774" s="1"/>
      <c r="T2774" s="1"/>
      <c r="U2774" s="1"/>
      <c r="V2774" s="1"/>
      <c r="W2774" s="1"/>
      <c r="X2774" s="1"/>
      <c r="Y2774" s="1"/>
      <c r="AB2774" s="1"/>
      <c r="AC2774" s="1"/>
      <c r="AD2774" s="1"/>
      <c r="AE2774" s="1"/>
      <c r="AF2774" s="1"/>
      <c r="AG2774" s="1"/>
      <c r="AH2774" s="1"/>
      <c r="AI2774" s="1"/>
      <c r="AJ2774" s="1"/>
      <c r="AK2774" s="1"/>
      <c r="AL2774" s="1"/>
      <c r="AM2774" s="1"/>
    </row>
    <row r="2775" spans="16:39" x14ac:dyDescent="0.25">
      <c r="P2775" s="49"/>
      <c r="Q2775" s="1"/>
      <c r="S2775" s="1"/>
      <c r="T2775" s="1"/>
      <c r="U2775" s="1"/>
      <c r="V2775" s="1"/>
      <c r="W2775" s="1"/>
      <c r="X2775" s="1"/>
      <c r="Y2775" s="1"/>
      <c r="AB2775" s="1"/>
      <c r="AC2775" s="1"/>
      <c r="AD2775" s="1"/>
      <c r="AE2775" s="1"/>
      <c r="AF2775" s="1"/>
      <c r="AG2775" s="1"/>
      <c r="AH2775" s="1"/>
      <c r="AI2775" s="1"/>
      <c r="AJ2775" s="1"/>
      <c r="AK2775" s="1"/>
      <c r="AL2775" s="1"/>
      <c r="AM2775" s="1"/>
    </row>
    <row r="2776" spans="16:39" x14ac:dyDescent="0.25">
      <c r="P2776" s="49"/>
      <c r="Q2776" s="1"/>
      <c r="S2776" s="1"/>
      <c r="T2776" s="1"/>
      <c r="U2776" s="1"/>
      <c r="V2776" s="1"/>
      <c r="W2776" s="1"/>
      <c r="X2776" s="1"/>
      <c r="Y2776" s="1"/>
      <c r="AB2776" s="1"/>
      <c r="AC2776" s="1"/>
      <c r="AD2776" s="1"/>
      <c r="AE2776" s="1"/>
      <c r="AF2776" s="1"/>
      <c r="AG2776" s="1"/>
      <c r="AH2776" s="1"/>
      <c r="AI2776" s="1"/>
      <c r="AJ2776" s="1"/>
      <c r="AK2776" s="1"/>
      <c r="AL2776" s="1"/>
      <c r="AM2776" s="1"/>
    </row>
    <row r="2777" spans="16:39" x14ac:dyDescent="0.25">
      <c r="P2777" s="49"/>
      <c r="Q2777" s="1"/>
      <c r="S2777" s="1"/>
      <c r="T2777" s="1"/>
      <c r="U2777" s="1"/>
      <c r="V2777" s="1"/>
      <c r="W2777" s="1"/>
      <c r="X2777" s="1"/>
      <c r="Y2777" s="1"/>
      <c r="AB2777" s="1"/>
      <c r="AC2777" s="1"/>
      <c r="AD2777" s="1"/>
      <c r="AE2777" s="1"/>
      <c r="AF2777" s="1"/>
      <c r="AG2777" s="1"/>
      <c r="AH2777" s="1"/>
      <c r="AI2777" s="1"/>
      <c r="AJ2777" s="1"/>
      <c r="AK2777" s="1"/>
      <c r="AL2777" s="1"/>
      <c r="AM2777" s="1"/>
    </row>
    <row r="2778" spans="16:39" x14ac:dyDescent="0.25">
      <c r="P2778" s="49"/>
      <c r="Q2778" s="1"/>
      <c r="S2778" s="1"/>
      <c r="T2778" s="1"/>
      <c r="U2778" s="1"/>
      <c r="V2778" s="1"/>
      <c r="W2778" s="1"/>
      <c r="X2778" s="1"/>
      <c r="Y2778" s="1"/>
      <c r="AB2778" s="1"/>
      <c r="AC2778" s="1"/>
      <c r="AD2778" s="1"/>
      <c r="AE2778" s="1"/>
      <c r="AF2778" s="1"/>
      <c r="AG2778" s="1"/>
      <c r="AH2778" s="1"/>
      <c r="AI2778" s="1"/>
      <c r="AJ2778" s="1"/>
      <c r="AK2778" s="1"/>
      <c r="AL2778" s="1"/>
      <c r="AM2778" s="1"/>
    </row>
    <row r="2779" spans="16:39" x14ac:dyDescent="0.25">
      <c r="P2779" s="49"/>
      <c r="Q2779" s="1"/>
      <c r="S2779" s="1"/>
      <c r="T2779" s="1"/>
      <c r="U2779" s="1"/>
      <c r="V2779" s="1"/>
      <c r="W2779" s="1"/>
      <c r="X2779" s="1"/>
      <c r="Y2779" s="1"/>
      <c r="AB2779" s="1"/>
      <c r="AC2779" s="1"/>
      <c r="AD2779" s="1"/>
      <c r="AE2779" s="1"/>
      <c r="AF2779" s="1"/>
      <c r="AG2779" s="1"/>
      <c r="AH2779" s="1"/>
      <c r="AI2779" s="1"/>
      <c r="AJ2779" s="1"/>
      <c r="AK2779" s="1"/>
      <c r="AL2779" s="1"/>
      <c r="AM2779" s="1"/>
    </row>
    <row r="2780" spans="16:39" x14ac:dyDescent="0.25">
      <c r="P2780" s="49"/>
      <c r="Q2780" s="1"/>
      <c r="S2780" s="1"/>
      <c r="T2780" s="1"/>
      <c r="U2780" s="1"/>
      <c r="V2780" s="1"/>
      <c r="W2780" s="1"/>
      <c r="X2780" s="1"/>
      <c r="Y2780" s="1"/>
      <c r="AB2780" s="1"/>
      <c r="AC2780" s="1"/>
      <c r="AD2780" s="1"/>
      <c r="AE2780" s="1"/>
      <c r="AF2780" s="1"/>
      <c r="AG2780" s="1"/>
      <c r="AH2780" s="1"/>
      <c r="AI2780" s="1"/>
      <c r="AJ2780" s="1"/>
      <c r="AK2780" s="1"/>
      <c r="AL2780" s="1"/>
      <c r="AM2780" s="1"/>
    </row>
    <row r="2781" spans="16:39" x14ac:dyDescent="0.25">
      <c r="P2781" s="49"/>
      <c r="Q2781" s="1"/>
      <c r="S2781" s="1"/>
      <c r="T2781" s="1"/>
      <c r="U2781" s="1"/>
      <c r="V2781" s="1"/>
      <c r="W2781" s="1"/>
      <c r="X2781" s="1"/>
      <c r="Y2781" s="1"/>
      <c r="AB2781" s="1"/>
      <c r="AC2781" s="1"/>
      <c r="AD2781" s="1"/>
      <c r="AE2781" s="1"/>
      <c r="AF2781" s="1"/>
      <c r="AG2781" s="1"/>
      <c r="AH2781" s="1"/>
      <c r="AI2781" s="1"/>
      <c r="AJ2781" s="1"/>
      <c r="AK2781" s="1"/>
      <c r="AL2781" s="1"/>
      <c r="AM2781" s="1"/>
    </row>
    <row r="2782" spans="16:39" x14ac:dyDescent="0.25">
      <c r="P2782" s="49"/>
      <c r="Q2782" s="1"/>
      <c r="S2782" s="1"/>
      <c r="T2782" s="1"/>
      <c r="U2782" s="1"/>
      <c r="V2782" s="1"/>
      <c r="W2782" s="1"/>
      <c r="X2782" s="1"/>
      <c r="Y2782" s="1"/>
      <c r="AB2782" s="1"/>
      <c r="AC2782" s="1"/>
      <c r="AD2782" s="1"/>
      <c r="AE2782" s="1"/>
      <c r="AF2782" s="1"/>
      <c r="AG2782" s="1"/>
      <c r="AH2782" s="1"/>
      <c r="AI2782" s="1"/>
      <c r="AJ2782" s="1"/>
      <c r="AK2782" s="1"/>
      <c r="AL2782" s="1"/>
      <c r="AM2782" s="1"/>
    </row>
    <row r="2783" spans="16:39" x14ac:dyDescent="0.25">
      <c r="P2783" s="49"/>
      <c r="Q2783" s="1"/>
      <c r="S2783" s="1"/>
      <c r="T2783" s="1"/>
      <c r="U2783" s="1"/>
      <c r="V2783" s="1"/>
      <c r="W2783" s="1"/>
      <c r="X2783" s="1"/>
      <c r="Y2783" s="1"/>
      <c r="AB2783" s="1"/>
      <c r="AC2783" s="1"/>
      <c r="AD2783" s="1"/>
      <c r="AE2783" s="1"/>
      <c r="AF2783" s="1"/>
      <c r="AG2783" s="1"/>
      <c r="AH2783" s="1"/>
      <c r="AI2783" s="1"/>
      <c r="AJ2783" s="1"/>
      <c r="AK2783" s="1"/>
      <c r="AL2783" s="1"/>
      <c r="AM2783" s="1"/>
    </row>
    <row r="2784" spans="16:39" x14ac:dyDescent="0.25">
      <c r="P2784" s="49"/>
      <c r="Q2784" s="1"/>
      <c r="S2784" s="1"/>
      <c r="T2784" s="1"/>
      <c r="U2784" s="1"/>
      <c r="V2784" s="1"/>
      <c r="W2784" s="1"/>
      <c r="X2784" s="1"/>
      <c r="Y2784" s="1"/>
      <c r="AB2784" s="1"/>
      <c r="AC2784" s="1"/>
      <c r="AD2784" s="1"/>
      <c r="AE2784" s="1"/>
      <c r="AF2784" s="1"/>
      <c r="AG2784" s="1"/>
      <c r="AH2784" s="1"/>
      <c r="AI2784" s="1"/>
      <c r="AJ2784" s="1"/>
      <c r="AK2784" s="1"/>
      <c r="AL2784" s="1"/>
      <c r="AM2784" s="1"/>
    </row>
    <row r="2785" spans="16:39" x14ac:dyDescent="0.25">
      <c r="P2785" s="49"/>
      <c r="Q2785" s="1"/>
      <c r="S2785" s="1"/>
      <c r="T2785" s="1"/>
      <c r="U2785" s="1"/>
      <c r="V2785" s="1"/>
      <c r="W2785" s="1"/>
      <c r="X2785" s="1"/>
      <c r="Y2785" s="1"/>
      <c r="AB2785" s="1"/>
      <c r="AC2785" s="1"/>
      <c r="AD2785" s="1"/>
      <c r="AE2785" s="1"/>
      <c r="AF2785" s="1"/>
      <c r="AG2785" s="1"/>
      <c r="AH2785" s="1"/>
      <c r="AI2785" s="1"/>
      <c r="AJ2785" s="1"/>
      <c r="AK2785" s="1"/>
      <c r="AL2785" s="1"/>
      <c r="AM2785" s="1"/>
    </row>
    <row r="2786" spans="16:39" x14ac:dyDescent="0.25">
      <c r="P2786" s="49"/>
      <c r="Q2786" s="1"/>
      <c r="S2786" s="1"/>
      <c r="T2786" s="1"/>
      <c r="U2786" s="1"/>
      <c r="V2786" s="1"/>
      <c r="W2786" s="1"/>
      <c r="X2786" s="1"/>
      <c r="Y2786" s="1"/>
      <c r="AB2786" s="1"/>
      <c r="AC2786" s="1"/>
      <c r="AD2786" s="1"/>
      <c r="AE2786" s="1"/>
      <c r="AF2786" s="1"/>
      <c r="AG2786" s="1"/>
      <c r="AH2786" s="1"/>
      <c r="AI2786" s="1"/>
      <c r="AJ2786" s="1"/>
      <c r="AK2786" s="1"/>
      <c r="AL2786" s="1"/>
      <c r="AM2786" s="1"/>
    </row>
    <row r="2787" spans="16:39" x14ac:dyDescent="0.25">
      <c r="P2787" s="49"/>
      <c r="Q2787" s="1"/>
      <c r="S2787" s="1"/>
      <c r="T2787" s="1"/>
      <c r="U2787" s="1"/>
      <c r="V2787" s="1"/>
      <c r="W2787" s="1"/>
      <c r="X2787" s="1"/>
      <c r="Y2787" s="1"/>
      <c r="AB2787" s="1"/>
      <c r="AC2787" s="1"/>
      <c r="AD2787" s="1"/>
      <c r="AE2787" s="1"/>
      <c r="AF2787" s="1"/>
      <c r="AG2787" s="1"/>
      <c r="AH2787" s="1"/>
      <c r="AI2787" s="1"/>
      <c r="AJ2787" s="1"/>
      <c r="AK2787" s="1"/>
      <c r="AL2787" s="1"/>
      <c r="AM2787" s="1"/>
    </row>
    <row r="2788" spans="16:39" x14ac:dyDescent="0.25">
      <c r="P2788" s="49"/>
      <c r="Q2788" s="1"/>
      <c r="S2788" s="1"/>
      <c r="T2788" s="1"/>
      <c r="U2788" s="1"/>
      <c r="V2788" s="1"/>
      <c r="W2788" s="1"/>
      <c r="X2788" s="1"/>
      <c r="Y2788" s="1"/>
      <c r="AB2788" s="1"/>
      <c r="AC2788" s="1"/>
      <c r="AD2788" s="1"/>
      <c r="AE2788" s="1"/>
      <c r="AF2788" s="1"/>
      <c r="AG2788" s="1"/>
      <c r="AH2788" s="1"/>
      <c r="AI2788" s="1"/>
      <c r="AJ2788" s="1"/>
      <c r="AK2788" s="1"/>
      <c r="AL2788" s="1"/>
      <c r="AM2788" s="1"/>
    </row>
    <row r="2789" spans="16:39" x14ac:dyDescent="0.25">
      <c r="P2789" s="49"/>
      <c r="Q2789" s="1"/>
      <c r="S2789" s="1"/>
      <c r="T2789" s="1"/>
      <c r="U2789" s="1"/>
      <c r="V2789" s="1"/>
      <c r="W2789" s="1"/>
      <c r="X2789" s="1"/>
      <c r="Y2789" s="1"/>
      <c r="AB2789" s="1"/>
      <c r="AC2789" s="1"/>
      <c r="AD2789" s="1"/>
      <c r="AE2789" s="1"/>
      <c r="AF2789" s="1"/>
      <c r="AG2789" s="1"/>
      <c r="AH2789" s="1"/>
      <c r="AI2789" s="1"/>
      <c r="AJ2789" s="1"/>
      <c r="AK2789" s="1"/>
      <c r="AL2789" s="1"/>
      <c r="AM2789" s="1"/>
    </row>
    <row r="2790" spans="16:39" x14ac:dyDescent="0.25">
      <c r="P2790" s="49"/>
      <c r="Q2790" s="1"/>
      <c r="S2790" s="1"/>
      <c r="T2790" s="1"/>
      <c r="U2790" s="1"/>
      <c r="V2790" s="1"/>
      <c r="W2790" s="1"/>
      <c r="X2790" s="1"/>
      <c r="Y2790" s="1"/>
      <c r="AB2790" s="1"/>
      <c r="AC2790" s="1"/>
      <c r="AD2790" s="1"/>
      <c r="AE2790" s="1"/>
      <c r="AF2790" s="1"/>
      <c r="AG2790" s="1"/>
      <c r="AH2790" s="1"/>
      <c r="AI2790" s="1"/>
      <c r="AJ2790" s="1"/>
      <c r="AK2790" s="1"/>
      <c r="AL2790" s="1"/>
      <c r="AM2790" s="1"/>
    </row>
    <row r="2791" spans="16:39" x14ac:dyDescent="0.25">
      <c r="P2791" s="49"/>
      <c r="Q2791" s="1"/>
      <c r="S2791" s="1"/>
      <c r="T2791" s="1"/>
      <c r="U2791" s="1"/>
      <c r="V2791" s="1"/>
      <c r="W2791" s="1"/>
      <c r="X2791" s="1"/>
      <c r="Y2791" s="1"/>
      <c r="AB2791" s="1"/>
      <c r="AC2791" s="1"/>
      <c r="AD2791" s="1"/>
      <c r="AE2791" s="1"/>
      <c r="AF2791" s="1"/>
      <c r="AG2791" s="1"/>
      <c r="AH2791" s="1"/>
      <c r="AI2791" s="1"/>
      <c r="AJ2791" s="1"/>
      <c r="AK2791" s="1"/>
      <c r="AL2791" s="1"/>
      <c r="AM2791" s="1"/>
    </row>
    <row r="2792" spans="16:39" x14ac:dyDescent="0.25">
      <c r="P2792" s="49"/>
      <c r="Q2792" s="1"/>
      <c r="S2792" s="1"/>
      <c r="T2792" s="1"/>
      <c r="U2792" s="1"/>
      <c r="V2792" s="1"/>
      <c r="W2792" s="1"/>
      <c r="X2792" s="1"/>
      <c r="Y2792" s="1"/>
      <c r="AB2792" s="1"/>
      <c r="AC2792" s="1"/>
      <c r="AD2792" s="1"/>
      <c r="AE2792" s="1"/>
      <c r="AF2792" s="1"/>
      <c r="AG2792" s="1"/>
      <c r="AH2792" s="1"/>
      <c r="AI2792" s="1"/>
      <c r="AJ2792" s="1"/>
      <c r="AK2792" s="1"/>
      <c r="AL2792" s="1"/>
      <c r="AM2792" s="1"/>
    </row>
    <row r="2793" spans="16:39" x14ac:dyDescent="0.25">
      <c r="P2793" s="49"/>
      <c r="Q2793" s="1"/>
      <c r="S2793" s="1"/>
      <c r="T2793" s="1"/>
      <c r="U2793" s="1"/>
      <c r="V2793" s="1"/>
      <c r="W2793" s="1"/>
      <c r="X2793" s="1"/>
      <c r="Y2793" s="1"/>
      <c r="AB2793" s="1"/>
      <c r="AC2793" s="1"/>
      <c r="AD2793" s="1"/>
      <c r="AE2793" s="1"/>
      <c r="AF2793" s="1"/>
      <c r="AG2793" s="1"/>
      <c r="AH2793" s="1"/>
      <c r="AI2793" s="1"/>
      <c r="AJ2793" s="1"/>
      <c r="AK2793" s="1"/>
      <c r="AL2793" s="1"/>
      <c r="AM2793" s="1"/>
    </row>
    <row r="2794" spans="16:39" x14ac:dyDescent="0.25">
      <c r="P2794" s="49"/>
      <c r="Q2794" s="1"/>
      <c r="S2794" s="1"/>
      <c r="T2794" s="1"/>
      <c r="U2794" s="1"/>
      <c r="V2794" s="1"/>
      <c r="W2794" s="1"/>
      <c r="X2794" s="1"/>
      <c r="Y2794" s="1"/>
      <c r="AB2794" s="1"/>
      <c r="AC2794" s="1"/>
      <c r="AD2794" s="1"/>
      <c r="AE2794" s="1"/>
      <c r="AF2794" s="1"/>
      <c r="AG2794" s="1"/>
      <c r="AH2794" s="1"/>
      <c r="AI2794" s="1"/>
      <c r="AJ2794" s="1"/>
      <c r="AK2794" s="1"/>
      <c r="AL2794" s="1"/>
      <c r="AM2794" s="1"/>
    </row>
    <row r="2795" spans="16:39" x14ac:dyDescent="0.25">
      <c r="P2795" s="49"/>
      <c r="Q2795" s="1"/>
      <c r="S2795" s="1"/>
      <c r="T2795" s="1"/>
      <c r="U2795" s="1"/>
      <c r="V2795" s="1"/>
      <c r="W2795" s="1"/>
      <c r="X2795" s="1"/>
      <c r="Y2795" s="1"/>
      <c r="AB2795" s="1"/>
      <c r="AC2795" s="1"/>
      <c r="AD2795" s="1"/>
      <c r="AE2795" s="1"/>
      <c r="AF2795" s="1"/>
      <c r="AG2795" s="1"/>
      <c r="AH2795" s="1"/>
      <c r="AI2795" s="1"/>
      <c r="AJ2795" s="1"/>
      <c r="AK2795" s="1"/>
      <c r="AL2795" s="1"/>
      <c r="AM2795" s="1"/>
    </row>
    <row r="2796" spans="16:39" x14ac:dyDescent="0.25">
      <c r="P2796" s="49"/>
      <c r="Q2796" s="1"/>
      <c r="S2796" s="1"/>
      <c r="T2796" s="1"/>
      <c r="U2796" s="1"/>
      <c r="V2796" s="1"/>
      <c r="W2796" s="1"/>
      <c r="X2796" s="1"/>
      <c r="Y2796" s="1"/>
      <c r="AB2796" s="1"/>
      <c r="AC2796" s="1"/>
      <c r="AD2796" s="1"/>
      <c r="AE2796" s="1"/>
      <c r="AF2796" s="1"/>
      <c r="AG2796" s="1"/>
      <c r="AH2796" s="1"/>
      <c r="AI2796" s="1"/>
      <c r="AJ2796" s="1"/>
      <c r="AK2796" s="1"/>
      <c r="AL2796" s="1"/>
      <c r="AM2796" s="1"/>
    </row>
    <row r="2797" spans="16:39" x14ac:dyDescent="0.25">
      <c r="P2797" s="49"/>
      <c r="Q2797" s="1"/>
      <c r="S2797" s="1"/>
      <c r="T2797" s="1"/>
      <c r="U2797" s="1"/>
      <c r="V2797" s="1"/>
      <c r="W2797" s="1"/>
      <c r="X2797" s="1"/>
      <c r="Y2797" s="1"/>
      <c r="AB2797" s="1"/>
      <c r="AC2797" s="1"/>
      <c r="AD2797" s="1"/>
      <c r="AE2797" s="1"/>
      <c r="AF2797" s="1"/>
      <c r="AG2797" s="1"/>
      <c r="AH2797" s="1"/>
      <c r="AI2797" s="1"/>
      <c r="AJ2797" s="1"/>
      <c r="AK2797" s="1"/>
      <c r="AL2797" s="1"/>
      <c r="AM2797" s="1"/>
    </row>
    <row r="2798" spans="16:39" x14ac:dyDescent="0.25">
      <c r="P2798" s="49"/>
      <c r="Q2798" s="1"/>
      <c r="S2798" s="1"/>
      <c r="T2798" s="1"/>
      <c r="U2798" s="1"/>
      <c r="V2798" s="1"/>
      <c r="W2798" s="1"/>
      <c r="X2798" s="1"/>
      <c r="Y2798" s="1"/>
      <c r="AB2798" s="1"/>
      <c r="AC2798" s="1"/>
      <c r="AD2798" s="1"/>
      <c r="AE2798" s="1"/>
      <c r="AF2798" s="1"/>
      <c r="AG2798" s="1"/>
      <c r="AH2798" s="1"/>
      <c r="AI2798" s="1"/>
      <c r="AJ2798" s="1"/>
      <c r="AK2798" s="1"/>
      <c r="AL2798" s="1"/>
      <c r="AM2798" s="1"/>
    </row>
    <row r="2799" spans="16:39" x14ac:dyDescent="0.25">
      <c r="P2799" s="49"/>
      <c r="Q2799" s="1"/>
      <c r="S2799" s="1"/>
      <c r="T2799" s="1"/>
      <c r="U2799" s="1"/>
      <c r="V2799" s="1"/>
      <c r="W2799" s="1"/>
      <c r="X2799" s="1"/>
      <c r="Y2799" s="1"/>
      <c r="AB2799" s="1"/>
      <c r="AC2799" s="1"/>
      <c r="AD2799" s="1"/>
      <c r="AE2799" s="1"/>
      <c r="AF2799" s="1"/>
      <c r="AG2799" s="1"/>
      <c r="AH2799" s="1"/>
      <c r="AI2799" s="1"/>
      <c r="AJ2799" s="1"/>
      <c r="AK2799" s="1"/>
      <c r="AL2799" s="1"/>
      <c r="AM2799" s="1"/>
    </row>
    <row r="2800" spans="16:39" x14ac:dyDescent="0.25">
      <c r="P2800" s="49"/>
      <c r="Q2800" s="1"/>
      <c r="S2800" s="1"/>
      <c r="T2800" s="1"/>
      <c r="U2800" s="1"/>
      <c r="V2800" s="1"/>
      <c r="W2800" s="1"/>
      <c r="X2800" s="1"/>
      <c r="Y2800" s="1"/>
      <c r="AB2800" s="1"/>
      <c r="AC2800" s="1"/>
      <c r="AD2800" s="1"/>
      <c r="AE2800" s="1"/>
      <c r="AF2800" s="1"/>
      <c r="AG2800" s="1"/>
      <c r="AH2800" s="1"/>
      <c r="AI2800" s="1"/>
      <c r="AJ2800" s="1"/>
      <c r="AK2800" s="1"/>
      <c r="AL2800" s="1"/>
      <c r="AM2800" s="1"/>
    </row>
    <row r="2801" spans="16:39" x14ac:dyDescent="0.25">
      <c r="P2801" s="49"/>
      <c r="Q2801" s="1"/>
      <c r="S2801" s="1"/>
      <c r="T2801" s="1"/>
      <c r="U2801" s="1"/>
      <c r="V2801" s="1"/>
      <c r="W2801" s="1"/>
      <c r="X2801" s="1"/>
      <c r="Y2801" s="1"/>
      <c r="AB2801" s="1"/>
      <c r="AC2801" s="1"/>
      <c r="AD2801" s="1"/>
      <c r="AE2801" s="1"/>
      <c r="AF2801" s="1"/>
      <c r="AG2801" s="1"/>
      <c r="AH2801" s="1"/>
      <c r="AI2801" s="1"/>
      <c r="AJ2801" s="1"/>
      <c r="AK2801" s="1"/>
      <c r="AL2801" s="1"/>
      <c r="AM2801" s="1"/>
    </row>
    <row r="2802" spans="16:39" x14ac:dyDescent="0.25">
      <c r="P2802" s="49"/>
      <c r="Q2802" s="1"/>
      <c r="S2802" s="1"/>
      <c r="T2802" s="1"/>
      <c r="U2802" s="1"/>
      <c r="V2802" s="1"/>
      <c r="W2802" s="1"/>
      <c r="X2802" s="1"/>
      <c r="Y2802" s="1"/>
      <c r="AB2802" s="1"/>
      <c r="AC2802" s="1"/>
      <c r="AD2802" s="1"/>
      <c r="AE2802" s="1"/>
      <c r="AF2802" s="1"/>
      <c r="AG2802" s="1"/>
      <c r="AH2802" s="1"/>
      <c r="AI2802" s="1"/>
      <c r="AJ2802" s="1"/>
      <c r="AK2802" s="1"/>
      <c r="AL2802" s="1"/>
      <c r="AM2802" s="1"/>
    </row>
    <row r="2803" spans="16:39" x14ac:dyDescent="0.25">
      <c r="P2803" s="49"/>
      <c r="Q2803" s="1"/>
      <c r="S2803" s="1"/>
      <c r="T2803" s="1"/>
      <c r="U2803" s="1"/>
      <c r="V2803" s="1"/>
      <c r="W2803" s="1"/>
      <c r="X2803" s="1"/>
      <c r="Y2803" s="1"/>
      <c r="AB2803" s="1"/>
      <c r="AC2803" s="1"/>
      <c r="AD2803" s="1"/>
      <c r="AE2803" s="1"/>
      <c r="AF2803" s="1"/>
      <c r="AG2803" s="1"/>
      <c r="AH2803" s="1"/>
      <c r="AI2803" s="1"/>
      <c r="AJ2803" s="1"/>
      <c r="AK2803" s="1"/>
      <c r="AL2803" s="1"/>
      <c r="AM2803" s="1"/>
    </row>
    <row r="2804" spans="16:39" x14ac:dyDescent="0.25">
      <c r="P2804" s="49"/>
      <c r="Q2804" s="1"/>
      <c r="S2804" s="1"/>
      <c r="T2804" s="1"/>
      <c r="U2804" s="1"/>
      <c r="V2804" s="1"/>
      <c r="W2804" s="1"/>
      <c r="X2804" s="1"/>
      <c r="Y2804" s="1"/>
      <c r="AB2804" s="1"/>
      <c r="AC2804" s="1"/>
      <c r="AD2804" s="1"/>
      <c r="AE2804" s="1"/>
      <c r="AF2804" s="1"/>
      <c r="AG2804" s="1"/>
      <c r="AH2804" s="1"/>
      <c r="AI2804" s="1"/>
      <c r="AJ2804" s="1"/>
      <c r="AK2804" s="1"/>
      <c r="AL2804" s="1"/>
      <c r="AM2804" s="1"/>
    </row>
    <row r="2805" spans="16:39" x14ac:dyDescent="0.25">
      <c r="P2805" s="49"/>
      <c r="Q2805" s="1"/>
      <c r="S2805" s="1"/>
      <c r="T2805" s="1"/>
      <c r="U2805" s="1"/>
      <c r="V2805" s="1"/>
      <c r="W2805" s="1"/>
      <c r="X2805" s="1"/>
      <c r="Y2805" s="1"/>
      <c r="AB2805" s="1"/>
      <c r="AC2805" s="1"/>
      <c r="AD2805" s="1"/>
      <c r="AE2805" s="1"/>
      <c r="AF2805" s="1"/>
      <c r="AG2805" s="1"/>
      <c r="AH2805" s="1"/>
      <c r="AI2805" s="1"/>
      <c r="AJ2805" s="1"/>
      <c r="AK2805" s="1"/>
      <c r="AL2805" s="1"/>
      <c r="AM2805" s="1"/>
    </row>
    <row r="2806" spans="16:39" x14ac:dyDescent="0.25">
      <c r="P2806" s="49"/>
      <c r="Q2806" s="1"/>
      <c r="S2806" s="1"/>
      <c r="T2806" s="1"/>
      <c r="U2806" s="1"/>
      <c r="V2806" s="1"/>
      <c r="W2806" s="1"/>
      <c r="X2806" s="1"/>
      <c r="Y2806" s="1"/>
      <c r="AB2806" s="1"/>
      <c r="AC2806" s="1"/>
      <c r="AD2806" s="1"/>
      <c r="AE2806" s="1"/>
      <c r="AF2806" s="1"/>
      <c r="AG2806" s="1"/>
      <c r="AH2806" s="1"/>
      <c r="AI2806" s="1"/>
      <c r="AJ2806" s="1"/>
      <c r="AK2806" s="1"/>
      <c r="AL2806" s="1"/>
      <c r="AM2806" s="1"/>
    </row>
    <row r="2807" spans="16:39" x14ac:dyDescent="0.25">
      <c r="P2807" s="49"/>
      <c r="Q2807" s="1"/>
      <c r="S2807" s="1"/>
      <c r="T2807" s="1"/>
      <c r="U2807" s="1"/>
      <c r="V2807" s="1"/>
      <c r="W2807" s="1"/>
      <c r="X2807" s="1"/>
      <c r="Y2807" s="1"/>
      <c r="AB2807" s="1"/>
      <c r="AC2807" s="1"/>
      <c r="AD2807" s="1"/>
      <c r="AE2807" s="1"/>
      <c r="AF2807" s="1"/>
      <c r="AG2807" s="1"/>
      <c r="AH2807" s="1"/>
      <c r="AI2807" s="1"/>
      <c r="AJ2807" s="1"/>
      <c r="AK2807" s="1"/>
      <c r="AL2807" s="1"/>
      <c r="AM2807" s="1"/>
    </row>
    <row r="2808" spans="16:39" x14ac:dyDescent="0.25">
      <c r="P2808" s="49"/>
      <c r="Q2808" s="1"/>
      <c r="S2808" s="1"/>
      <c r="T2808" s="1"/>
      <c r="U2808" s="1"/>
      <c r="V2808" s="1"/>
      <c r="W2808" s="1"/>
      <c r="X2808" s="1"/>
      <c r="Y2808" s="1"/>
      <c r="AB2808" s="1"/>
      <c r="AC2808" s="1"/>
      <c r="AD2808" s="1"/>
      <c r="AE2808" s="1"/>
      <c r="AF2808" s="1"/>
      <c r="AG2808" s="1"/>
      <c r="AH2808" s="1"/>
      <c r="AI2808" s="1"/>
      <c r="AJ2808" s="1"/>
      <c r="AK2808" s="1"/>
      <c r="AL2808" s="1"/>
      <c r="AM2808" s="1"/>
    </row>
    <row r="2809" spans="16:39" x14ac:dyDescent="0.25">
      <c r="P2809" s="49"/>
      <c r="Q2809" s="1"/>
      <c r="S2809" s="1"/>
      <c r="T2809" s="1"/>
      <c r="U2809" s="1"/>
      <c r="V2809" s="1"/>
      <c r="W2809" s="1"/>
      <c r="X2809" s="1"/>
      <c r="Y2809" s="1"/>
      <c r="AB2809" s="1"/>
      <c r="AC2809" s="1"/>
      <c r="AD2809" s="1"/>
      <c r="AE2809" s="1"/>
      <c r="AF2809" s="1"/>
      <c r="AG2809" s="1"/>
      <c r="AH2809" s="1"/>
      <c r="AI2809" s="1"/>
      <c r="AJ2809" s="1"/>
      <c r="AK2809" s="1"/>
      <c r="AL2809" s="1"/>
      <c r="AM2809" s="1"/>
    </row>
    <row r="2810" spans="16:39" x14ac:dyDescent="0.25">
      <c r="P2810" s="49"/>
      <c r="Q2810" s="1"/>
      <c r="S2810" s="1"/>
      <c r="T2810" s="1"/>
      <c r="U2810" s="1"/>
      <c r="V2810" s="1"/>
      <c r="W2810" s="1"/>
      <c r="X2810" s="1"/>
      <c r="Y2810" s="1"/>
      <c r="AB2810" s="1"/>
      <c r="AC2810" s="1"/>
      <c r="AD2810" s="1"/>
      <c r="AE2810" s="1"/>
      <c r="AF2810" s="1"/>
      <c r="AG2810" s="1"/>
      <c r="AH2810" s="1"/>
      <c r="AI2810" s="1"/>
      <c r="AJ2810" s="1"/>
      <c r="AK2810" s="1"/>
      <c r="AL2810" s="1"/>
      <c r="AM2810" s="1"/>
    </row>
    <row r="2811" spans="16:39" x14ac:dyDescent="0.25">
      <c r="P2811" s="49"/>
      <c r="Q2811" s="1"/>
      <c r="S2811" s="1"/>
      <c r="T2811" s="1"/>
      <c r="U2811" s="1"/>
      <c r="V2811" s="1"/>
      <c r="W2811" s="1"/>
      <c r="X2811" s="1"/>
      <c r="Y2811" s="1"/>
      <c r="AB2811" s="1"/>
      <c r="AC2811" s="1"/>
      <c r="AD2811" s="1"/>
      <c r="AE2811" s="1"/>
      <c r="AF2811" s="1"/>
      <c r="AG2811" s="1"/>
      <c r="AH2811" s="1"/>
      <c r="AI2811" s="1"/>
      <c r="AJ2811" s="1"/>
      <c r="AK2811" s="1"/>
      <c r="AL2811" s="1"/>
      <c r="AM2811" s="1"/>
    </row>
    <row r="2812" spans="16:39" x14ac:dyDescent="0.25">
      <c r="P2812" s="49"/>
      <c r="Q2812" s="1"/>
      <c r="S2812" s="1"/>
      <c r="T2812" s="1"/>
      <c r="U2812" s="1"/>
      <c r="V2812" s="1"/>
      <c r="W2812" s="1"/>
      <c r="X2812" s="1"/>
      <c r="Y2812" s="1"/>
      <c r="AB2812" s="1"/>
      <c r="AC2812" s="1"/>
      <c r="AD2812" s="1"/>
      <c r="AE2812" s="1"/>
      <c r="AF2812" s="1"/>
      <c r="AG2812" s="1"/>
      <c r="AH2812" s="1"/>
      <c r="AI2812" s="1"/>
      <c r="AJ2812" s="1"/>
      <c r="AK2812" s="1"/>
      <c r="AL2812" s="1"/>
      <c r="AM2812" s="1"/>
    </row>
    <row r="2813" spans="16:39" x14ac:dyDescent="0.25">
      <c r="P2813" s="49"/>
      <c r="Q2813" s="1"/>
      <c r="S2813" s="1"/>
      <c r="T2813" s="1"/>
      <c r="U2813" s="1"/>
      <c r="V2813" s="1"/>
      <c r="W2813" s="1"/>
      <c r="X2813" s="1"/>
      <c r="Y2813" s="1"/>
      <c r="AB2813" s="1"/>
      <c r="AC2813" s="1"/>
      <c r="AD2813" s="1"/>
      <c r="AE2813" s="1"/>
      <c r="AF2813" s="1"/>
      <c r="AG2813" s="1"/>
      <c r="AH2813" s="1"/>
      <c r="AI2813" s="1"/>
      <c r="AJ2813" s="1"/>
      <c r="AK2813" s="1"/>
      <c r="AL2813" s="1"/>
      <c r="AM2813" s="1"/>
    </row>
    <row r="2814" spans="16:39" x14ac:dyDescent="0.25">
      <c r="P2814" s="49"/>
      <c r="Q2814" s="1"/>
      <c r="S2814" s="1"/>
      <c r="T2814" s="1"/>
      <c r="U2814" s="1"/>
      <c r="V2814" s="1"/>
      <c r="W2814" s="1"/>
      <c r="X2814" s="1"/>
      <c r="Y2814" s="1"/>
      <c r="AB2814" s="1"/>
      <c r="AC2814" s="1"/>
      <c r="AD2814" s="1"/>
      <c r="AE2814" s="1"/>
      <c r="AF2814" s="1"/>
      <c r="AG2814" s="1"/>
      <c r="AH2814" s="1"/>
      <c r="AI2814" s="1"/>
      <c r="AJ2814" s="1"/>
      <c r="AK2814" s="1"/>
      <c r="AL2814" s="1"/>
      <c r="AM2814" s="1"/>
    </row>
    <row r="2815" spans="16:39" x14ac:dyDescent="0.25">
      <c r="P2815" s="49"/>
      <c r="Q2815" s="1"/>
      <c r="S2815" s="1"/>
      <c r="T2815" s="1"/>
      <c r="U2815" s="1"/>
      <c r="V2815" s="1"/>
      <c r="W2815" s="1"/>
      <c r="X2815" s="1"/>
      <c r="Y2815" s="1"/>
      <c r="AB2815" s="1"/>
      <c r="AC2815" s="1"/>
      <c r="AD2815" s="1"/>
      <c r="AE2815" s="1"/>
      <c r="AF2815" s="1"/>
      <c r="AG2815" s="1"/>
      <c r="AH2815" s="1"/>
      <c r="AI2815" s="1"/>
      <c r="AJ2815" s="1"/>
      <c r="AK2815" s="1"/>
      <c r="AL2815" s="1"/>
      <c r="AM2815" s="1"/>
    </row>
    <row r="2816" spans="16:39" x14ac:dyDescent="0.25">
      <c r="P2816" s="49"/>
      <c r="Q2816" s="1"/>
      <c r="S2816" s="1"/>
      <c r="T2816" s="1"/>
      <c r="U2816" s="1"/>
      <c r="V2816" s="1"/>
      <c r="W2816" s="1"/>
      <c r="X2816" s="1"/>
      <c r="Y2816" s="1"/>
      <c r="AB2816" s="1"/>
      <c r="AC2816" s="1"/>
      <c r="AD2816" s="1"/>
      <c r="AE2816" s="1"/>
      <c r="AF2816" s="1"/>
      <c r="AG2816" s="1"/>
      <c r="AH2816" s="1"/>
      <c r="AI2816" s="1"/>
      <c r="AJ2816" s="1"/>
      <c r="AK2816" s="1"/>
      <c r="AL2816" s="1"/>
      <c r="AM2816" s="1"/>
    </row>
    <row r="2817" spans="16:39" x14ac:dyDescent="0.25">
      <c r="P2817" s="49"/>
      <c r="Q2817" s="1"/>
      <c r="S2817" s="1"/>
      <c r="T2817" s="1"/>
      <c r="U2817" s="1"/>
      <c r="V2817" s="1"/>
      <c r="W2817" s="1"/>
      <c r="X2817" s="1"/>
      <c r="Y2817" s="1"/>
      <c r="AB2817" s="1"/>
      <c r="AC2817" s="1"/>
      <c r="AD2817" s="1"/>
      <c r="AE2817" s="1"/>
      <c r="AF2817" s="1"/>
      <c r="AG2817" s="1"/>
      <c r="AH2817" s="1"/>
      <c r="AI2817" s="1"/>
      <c r="AJ2817" s="1"/>
      <c r="AK2817" s="1"/>
      <c r="AL2817" s="1"/>
      <c r="AM2817" s="1"/>
    </row>
    <row r="2818" spans="16:39" x14ac:dyDescent="0.25">
      <c r="P2818" s="49"/>
      <c r="Q2818" s="1"/>
      <c r="S2818" s="1"/>
      <c r="T2818" s="1"/>
      <c r="U2818" s="1"/>
      <c r="V2818" s="1"/>
      <c r="W2818" s="1"/>
      <c r="X2818" s="1"/>
      <c r="Y2818" s="1"/>
      <c r="AB2818" s="1"/>
      <c r="AC2818" s="1"/>
      <c r="AD2818" s="1"/>
      <c r="AE2818" s="1"/>
      <c r="AF2818" s="1"/>
      <c r="AG2818" s="1"/>
      <c r="AH2818" s="1"/>
      <c r="AI2818" s="1"/>
      <c r="AJ2818" s="1"/>
      <c r="AK2818" s="1"/>
      <c r="AL2818" s="1"/>
      <c r="AM2818" s="1"/>
    </row>
    <row r="2819" spans="16:39" x14ac:dyDescent="0.25">
      <c r="P2819" s="49"/>
      <c r="Q2819" s="1"/>
      <c r="S2819" s="1"/>
      <c r="T2819" s="1"/>
      <c r="U2819" s="1"/>
      <c r="V2819" s="1"/>
      <c r="W2819" s="1"/>
      <c r="X2819" s="1"/>
      <c r="Y2819" s="1"/>
      <c r="AB2819" s="1"/>
      <c r="AC2819" s="1"/>
      <c r="AD2819" s="1"/>
      <c r="AE2819" s="1"/>
      <c r="AF2819" s="1"/>
      <c r="AG2819" s="1"/>
      <c r="AH2819" s="1"/>
      <c r="AI2819" s="1"/>
      <c r="AJ2819" s="1"/>
      <c r="AK2819" s="1"/>
      <c r="AL2819" s="1"/>
      <c r="AM2819" s="1"/>
    </row>
    <row r="2820" spans="16:39" x14ac:dyDescent="0.25">
      <c r="P2820" s="49"/>
      <c r="Q2820" s="1"/>
      <c r="S2820" s="1"/>
      <c r="T2820" s="1"/>
      <c r="U2820" s="1"/>
      <c r="V2820" s="1"/>
      <c r="W2820" s="1"/>
      <c r="X2820" s="1"/>
      <c r="Y2820" s="1"/>
      <c r="AB2820" s="1"/>
      <c r="AC2820" s="1"/>
      <c r="AD2820" s="1"/>
      <c r="AE2820" s="1"/>
      <c r="AF2820" s="1"/>
      <c r="AG2820" s="1"/>
      <c r="AH2820" s="1"/>
      <c r="AI2820" s="1"/>
      <c r="AJ2820" s="1"/>
      <c r="AK2820" s="1"/>
      <c r="AL2820" s="1"/>
      <c r="AM2820" s="1"/>
    </row>
    <row r="2821" spans="16:39" x14ac:dyDescent="0.25">
      <c r="P2821" s="49"/>
      <c r="Q2821" s="1"/>
      <c r="S2821" s="1"/>
      <c r="T2821" s="1"/>
      <c r="U2821" s="1"/>
      <c r="V2821" s="1"/>
      <c r="W2821" s="1"/>
      <c r="X2821" s="1"/>
      <c r="Y2821" s="1"/>
      <c r="AB2821" s="1"/>
      <c r="AC2821" s="1"/>
      <c r="AD2821" s="1"/>
      <c r="AE2821" s="1"/>
      <c r="AF2821" s="1"/>
      <c r="AG2821" s="1"/>
      <c r="AH2821" s="1"/>
      <c r="AI2821" s="1"/>
      <c r="AJ2821" s="1"/>
      <c r="AK2821" s="1"/>
      <c r="AL2821" s="1"/>
      <c r="AM2821" s="1"/>
    </row>
    <row r="2822" spans="16:39" x14ac:dyDescent="0.25">
      <c r="P2822" s="49"/>
      <c r="Q2822" s="1"/>
      <c r="S2822" s="1"/>
      <c r="T2822" s="1"/>
      <c r="U2822" s="1"/>
      <c r="V2822" s="1"/>
      <c r="W2822" s="1"/>
      <c r="X2822" s="1"/>
      <c r="Y2822" s="1"/>
      <c r="AB2822" s="1"/>
      <c r="AC2822" s="1"/>
      <c r="AD2822" s="1"/>
      <c r="AE2822" s="1"/>
      <c r="AF2822" s="1"/>
      <c r="AG2822" s="1"/>
      <c r="AH2822" s="1"/>
      <c r="AI2822" s="1"/>
      <c r="AJ2822" s="1"/>
      <c r="AK2822" s="1"/>
      <c r="AL2822" s="1"/>
      <c r="AM2822" s="1"/>
    </row>
    <row r="2823" spans="16:39" x14ac:dyDescent="0.25">
      <c r="P2823" s="49"/>
      <c r="Q2823" s="1"/>
      <c r="S2823" s="1"/>
      <c r="T2823" s="1"/>
      <c r="U2823" s="1"/>
      <c r="V2823" s="1"/>
      <c r="W2823" s="1"/>
      <c r="X2823" s="1"/>
      <c r="Y2823" s="1"/>
      <c r="AB2823" s="1"/>
      <c r="AC2823" s="1"/>
      <c r="AD2823" s="1"/>
      <c r="AE2823" s="1"/>
      <c r="AF2823" s="1"/>
      <c r="AG2823" s="1"/>
      <c r="AH2823" s="1"/>
      <c r="AI2823" s="1"/>
      <c r="AJ2823" s="1"/>
      <c r="AK2823" s="1"/>
      <c r="AL2823" s="1"/>
      <c r="AM2823" s="1"/>
    </row>
    <row r="2824" spans="16:39" x14ac:dyDescent="0.25">
      <c r="P2824" s="49"/>
      <c r="Q2824" s="1"/>
      <c r="S2824" s="1"/>
      <c r="T2824" s="1"/>
      <c r="U2824" s="1"/>
      <c r="V2824" s="1"/>
      <c r="W2824" s="1"/>
      <c r="X2824" s="1"/>
      <c r="Y2824" s="1"/>
      <c r="AB2824" s="1"/>
      <c r="AC2824" s="1"/>
      <c r="AD2824" s="1"/>
      <c r="AE2824" s="1"/>
      <c r="AF2824" s="1"/>
      <c r="AG2824" s="1"/>
      <c r="AH2824" s="1"/>
      <c r="AI2824" s="1"/>
      <c r="AJ2824" s="1"/>
      <c r="AK2824" s="1"/>
      <c r="AL2824" s="1"/>
      <c r="AM2824" s="1"/>
    </row>
    <row r="2825" spans="16:39" x14ac:dyDescent="0.25">
      <c r="P2825" s="49"/>
      <c r="Q2825" s="1"/>
      <c r="S2825" s="1"/>
      <c r="T2825" s="1"/>
      <c r="U2825" s="1"/>
      <c r="V2825" s="1"/>
      <c r="W2825" s="1"/>
      <c r="X2825" s="1"/>
      <c r="Y2825" s="1"/>
      <c r="AB2825" s="1"/>
      <c r="AC2825" s="1"/>
      <c r="AD2825" s="1"/>
      <c r="AE2825" s="1"/>
      <c r="AF2825" s="1"/>
      <c r="AG2825" s="1"/>
      <c r="AH2825" s="1"/>
      <c r="AI2825" s="1"/>
      <c r="AJ2825" s="1"/>
      <c r="AK2825" s="1"/>
      <c r="AL2825" s="1"/>
      <c r="AM2825" s="1"/>
    </row>
    <row r="2826" spans="16:39" x14ac:dyDescent="0.25">
      <c r="P2826" s="49"/>
      <c r="Q2826" s="1"/>
      <c r="S2826" s="1"/>
      <c r="T2826" s="1"/>
      <c r="U2826" s="1"/>
      <c r="V2826" s="1"/>
      <c r="W2826" s="1"/>
      <c r="X2826" s="1"/>
      <c r="Y2826" s="1"/>
      <c r="AB2826" s="1"/>
      <c r="AC2826" s="1"/>
      <c r="AD2826" s="1"/>
      <c r="AE2826" s="1"/>
      <c r="AF2826" s="1"/>
      <c r="AG2826" s="1"/>
      <c r="AH2826" s="1"/>
      <c r="AI2826" s="1"/>
      <c r="AJ2826" s="1"/>
      <c r="AK2826" s="1"/>
      <c r="AL2826" s="1"/>
      <c r="AM2826" s="1"/>
    </row>
    <row r="2827" spans="16:39" x14ac:dyDescent="0.25">
      <c r="P2827" s="49"/>
      <c r="Q2827" s="1"/>
      <c r="S2827" s="1"/>
      <c r="T2827" s="1"/>
      <c r="U2827" s="1"/>
      <c r="V2827" s="1"/>
      <c r="W2827" s="1"/>
      <c r="X2827" s="1"/>
      <c r="Y2827" s="1"/>
      <c r="AB2827" s="1"/>
      <c r="AC2827" s="1"/>
      <c r="AD2827" s="1"/>
      <c r="AE2827" s="1"/>
      <c r="AF2827" s="1"/>
      <c r="AG2827" s="1"/>
      <c r="AH2827" s="1"/>
      <c r="AI2827" s="1"/>
      <c r="AJ2827" s="1"/>
      <c r="AK2827" s="1"/>
      <c r="AL2827" s="1"/>
      <c r="AM2827" s="1"/>
    </row>
    <row r="2828" spans="16:39" x14ac:dyDescent="0.25">
      <c r="P2828" s="49"/>
      <c r="Q2828" s="1"/>
      <c r="S2828" s="1"/>
      <c r="T2828" s="1"/>
      <c r="U2828" s="1"/>
      <c r="V2828" s="1"/>
      <c r="W2828" s="1"/>
      <c r="X2828" s="1"/>
      <c r="Y2828" s="1"/>
      <c r="AB2828" s="1"/>
      <c r="AC2828" s="1"/>
      <c r="AD2828" s="1"/>
      <c r="AE2828" s="1"/>
      <c r="AF2828" s="1"/>
      <c r="AG2828" s="1"/>
      <c r="AH2828" s="1"/>
      <c r="AI2828" s="1"/>
      <c r="AJ2828" s="1"/>
      <c r="AK2828" s="1"/>
      <c r="AL2828" s="1"/>
      <c r="AM2828" s="1"/>
    </row>
    <row r="2829" spans="16:39" x14ac:dyDescent="0.25">
      <c r="P2829" s="49"/>
      <c r="Q2829" s="1"/>
      <c r="S2829" s="1"/>
      <c r="T2829" s="1"/>
      <c r="U2829" s="1"/>
      <c r="V2829" s="1"/>
      <c r="W2829" s="1"/>
      <c r="X2829" s="1"/>
      <c r="Y2829" s="1"/>
      <c r="AB2829" s="1"/>
      <c r="AC2829" s="1"/>
      <c r="AD2829" s="1"/>
      <c r="AE2829" s="1"/>
      <c r="AF2829" s="1"/>
      <c r="AG2829" s="1"/>
      <c r="AH2829" s="1"/>
      <c r="AI2829" s="1"/>
      <c r="AJ2829" s="1"/>
      <c r="AK2829" s="1"/>
      <c r="AL2829" s="1"/>
      <c r="AM2829" s="1"/>
    </row>
    <row r="2830" spans="16:39" x14ac:dyDescent="0.25">
      <c r="P2830" s="49"/>
      <c r="Q2830" s="1"/>
      <c r="S2830" s="1"/>
      <c r="T2830" s="1"/>
      <c r="U2830" s="1"/>
      <c r="V2830" s="1"/>
      <c r="W2830" s="1"/>
      <c r="X2830" s="1"/>
      <c r="Y2830" s="1"/>
      <c r="AB2830" s="1"/>
      <c r="AC2830" s="1"/>
      <c r="AD2830" s="1"/>
      <c r="AE2830" s="1"/>
      <c r="AF2830" s="1"/>
      <c r="AG2830" s="1"/>
      <c r="AH2830" s="1"/>
      <c r="AI2830" s="1"/>
      <c r="AJ2830" s="1"/>
      <c r="AK2830" s="1"/>
      <c r="AL2830" s="1"/>
      <c r="AM2830" s="1"/>
    </row>
    <row r="2831" spans="16:39" x14ac:dyDescent="0.25">
      <c r="P2831" s="49"/>
      <c r="Q2831" s="1"/>
      <c r="S2831" s="1"/>
      <c r="T2831" s="1"/>
      <c r="U2831" s="1"/>
      <c r="V2831" s="1"/>
      <c r="W2831" s="1"/>
      <c r="X2831" s="1"/>
      <c r="Y2831" s="1"/>
      <c r="AB2831" s="1"/>
      <c r="AC2831" s="1"/>
      <c r="AD2831" s="1"/>
      <c r="AE2831" s="1"/>
      <c r="AF2831" s="1"/>
      <c r="AG2831" s="1"/>
      <c r="AH2831" s="1"/>
      <c r="AI2831" s="1"/>
      <c r="AJ2831" s="1"/>
      <c r="AK2831" s="1"/>
      <c r="AL2831" s="1"/>
      <c r="AM2831" s="1"/>
    </row>
    <row r="2832" spans="16:39" x14ac:dyDescent="0.25">
      <c r="P2832" s="49"/>
      <c r="Q2832" s="1"/>
      <c r="S2832" s="1"/>
      <c r="T2832" s="1"/>
      <c r="U2832" s="1"/>
      <c r="V2832" s="1"/>
      <c r="W2832" s="1"/>
      <c r="X2832" s="1"/>
      <c r="Y2832" s="1"/>
      <c r="AB2832" s="1"/>
      <c r="AC2832" s="1"/>
      <c r="AD2832" s="1"/>
      <c r="AE2832" s="1"/>
      <c r="AF2832" s="1"/>
      <c r="AG2832" s="1"/>
      <c r="AH2832" s="1"/>
      <c r="AI2832" s="1"/>
      <c r="AJ2832" s="1"/>
      <c r="AK2832" s="1"/>
      <c r="AL2832" s="1"/>
      <c r="AM2832" s="1"/>
    </row>
    <row r="2833" spans="16:39" x14ac:dyDescent="0.25">
      <c r="P2833" s="49"/>
      <c r="Q2833" s="1"/>
      <c r="S2833" s="1"/>
      <c r="T2833" s="1"/>
      <c r="U2833" s="1"/>
      <c r="V2833" s="1"/>
      <c r="W2833" s="1"/>
      <c r="X2833" s="1"/>
      <c r="Y2833" s="1"/>
      <c r="AB2833" s="1"/>
      <c r="AC2833" s="1"/>
      <c r="AD2833" s="1"/>
      <c r="AE2833" s="1"/>
      <c r="AF2833" s="1"/>
      <c r="AG2833" s="1"/>
      <c r="AH2833" s="1"/>
      <c r="AI2833" s="1"/>
      <c r="AJ2833" s="1"/>
      <c r="AK2833" s="1"/>
      <c r="AL2833" s="1"/>
      <c r="AM2833" s="1"/>
    </row>
    <row r="2834" spans="16:39" x14ac:dyDescent="0.25">
      <c r="P2834" s="49"/>
      <c r="Q2834" s="1"/>
      <c r="S2834" s="1"/>
      <c r="T2834" s="1"/>
      <c r="U2834" s="1"/>
      <c r="V2834" s="1"/>
      <c r="W2834" s="1"/>
      <c r="X2834" s="1"/>
      <c r="Y2834" s="1"/>
      <c r="AB2834" s="1"/>
      <c r="AC2834" s="1"/>
      <c r="AD2834" s="1"/>
      <c r="AE2834" s="1"/>
      <c r="AF2834" s="1"/>
      <c r="AG2834" s="1"/>
      <c r="AH2834" s="1"/>
      <c r="AI2834" s="1"/>
      <c r="AJ2834" s="1"/>
      <c r="AK2834" s="1"/>
      <c r="AL2834" s="1"/>
      <c r="AM2834" s="1"/>
    </row>
    <row r="2835" spans="16:39" x14ac:dyDescent="0.25">
      <c r="P2835" s="49"/>
      <c r="Q2835" s="1"/>
      <c r="S2835" s="1"/>
      <c r="T2835" s="1"/>
      <c r="U2835" s="1"/>
      <c r="V2835" s="1"/>
      <c r="W2835" s="1"/>
      <c r="X2835" s="1"/>
      <c r="Y2835" s="1"/>
      <c r="AB2835" s="1"/>
      <c r="AC2835" s="1"/>
      <c r="AD2835" s="1"/>
      <c r="AE2835" s="1"/>
      <c r="AF2835" s="1"/>
      <c r="AG2835" s="1"/>
      <c r="AH2835" s="1"/>
      <c r="AI2835" s="1"/>
      <c r="AJ2835" s="1"/>
      <c r="AK2835" s="1"/>
      <c r="AL2835" s="1"/>
      <c r="AM2835" s="1"/>
    </row>
    <row r="2836" spans="16:39" x14ac:dyDescent="0.25">
      <c r="P2836" s="49"/>
      <c r="Q2836" s="1"/>
      <c r="S2836" s="1"/>
      <c r="T2836" s="1"/>
      <c r="U2836" s="1"/>
      <c r="V2836" s="1"/>
      <c r="W2836" s="1"/>
      <c r="X2836" s="1"/>
      <c r="Y2836" s="1"/>
      <c r="AB2836" s="1"/>
      <c r="AC2836" s="1"/>
      <c r="AD2836" s="1"/>
      <c r="AE2836" s="1"/>
      <c r="AF2836" s="1"/>
      <c r="AG2836" s="1"/>
      <c r="AH2836" s="1"/>
      <c r="AI2836" s="1"/>
      <c r="AJ2836" s="1"/>
      <c r="AK2836" s="1"/>
      <c r="AL2836" s="1"/>
      <c r="AM2836" s="1"/>
    </row>
    <row r="2837" spans="16:39" x14ac:dyDescent="0.25">
      <c r="P2837" s="49"/>
      <c r="Q2837" s="1"/>
      <c r="S2837" s="1"/>
      <c r="T2837" s="1"/>
      <c r="U2837" s="1"/>
      <c r="V2837" s="1"/>
      <c r="W2837" s="1"/>
      <c r="X2837" s="1"/>
      <c r="Y2837" s="1"/>
      <c r="AB2837" s="1"/>
      <c r="AC2837" s="1"/>
      <c r="AD2837" s="1"/>
      <c r="AE2837" s="1"/>
      <c r="AF2837" s="1"/>
      <c r="AG2837" s="1"/>
      <c r="AH2837" s="1"/>
      <c r="AI2837" s="1"/>
      <c r="AJ2837" s="1"/>
      <c r="AK2837" s="1"/>
      <c r="AL2837" s="1"/>
      <c r="AM2837" s="1"/>
    </row>
    <row r="2838" spans="16:39" x14ac:dyDescent="0.25">
      <c r="P2838" s="49"/>
      <c r="Q2838" s="1"/>
      <c r="S2838" s="1"/>
      <c r="T2838" s="1"/>
      <c r="U2838" s="1"/>
      <c r="V2838" s="1"/>
      <c r="W2838" s="1"/>
      <c r="X2838" s="1"/>
      <c r="Y2838" s="1"/>
      <c r="AB2838" s="1"/>
      <c r="AC2838" s="1"/>
      <c r="AD2838" s="1"/>
      <c r="AE2838" s="1"/>
      <c r="AF2838" s="1"/>
      <c r="AG2838" s="1"/>
      <c r="AH2838" s="1"/>
      <c r="AI2838" s="1"/>
      <c r="AJ2838" s="1"/>
      <c r="AK2838" s="1"/>
      <c r="AL2838" s="1"/>
      <c r="AM2838" s="1"/>
    </row>
    <row r="2839" spans="16:39" x14ac:dyDescent="0.25">
      <c r="P2839" s="49"/>
      <c r="Q2839" s="1"/>
      <c r="S2839" s="1"/>
      <c r="T2839" s="1"/>
      <c r="U2839" s="1"/>
      <c r="V2839" s="1"/>
      <c r="W2839" s="1"/>
      <c r="X2839" s="1"/>
      <c r="Y2839" s="1"/>
      <c r="AB2839" s="1"/>
      <c r="AC2839" s="1"/>
      <c r="AD2839" s="1"/>
      <c r="AE2839" s="1"/>
      <c r="AF2839" s="1"/>
      <c r="AG2839" s="1"/>
      <c r="AH2839" s="1"/>
      <c r="AI2839" s="1"/>
      <c r="AJ2839" s="1"/>
      <c r="AK2839" s="1"/>
      <c r="AL2839" s="1"/>
      <c r="AM2839" s="1"/>
    </row>
    <row r="2840" spans="16:39" x14ac:dyDescent="0.25">
      <c r="P2840" s="49"/>
      <c r="Q2840" s="1"/>
      <c r="S2840" s="1"/>
      <c r="T2840" s="1"/>
      <c r="U2840" s="1"/>
      <c r="V2840" s="1"/>
      <c r="W2840" s="1"/>
      <c r="X2840" s="1"/>
      <c r="Y2840" s="1"/>
      <c r="AB2840" s="1"/>
      <c r="AC2840" s="1"/>
      <c r="AD2840" s="1"/>
      <c r="AE2840" s="1"/>
      <c r="AF2840" s="1"/>
      <c r="AG2840" s="1"/>
      <c r="AH2840" s="1"/>
      <c r="AI2840" s="1"/>
      <c r="AJ2840" s="1"/>
      <c r="AK2840" s="1"/>
      <c r="AL2840" s="1"/>
      <c r="AM2840" s="1"/>
    </row>
    <row r="2841" spans="16:39" x14ac:dyDescent="0.25">
      <c r="P2841" s="49"/>
      <c r="Q2841" s="1"/>
      <c r="S2841" s="1"/>
      <c r="T2841" s="1"/>
      <c r="U2841" s="1"/>
      <c r="V2841" s="1"/>
      <c r="W2841" s="1"/>
      <c r="X2841" s="1"/>
      <c r="Y2841" s="1"/>
      <c r="AB2841" s="1"/>
      <c r="AC2841" s="1"/>
      <c r="AD2841" s="1"/>
      <c r="AE2841" s="1"/>
      <c r="AF2841" s="1"/>
      <c r="AG2841" s="1"/>
      <c r="AH2841" s="1"/>
      <c r="AI2841" s="1"/>
      <c r="AJ2841" s="1"/>
      <c r="AK2841" s="1"/>
      <c r="AL2841" s="1"/>
      <c r="AM2841" s="1"/>
    </row>
    <row r="2842" spans="16:39" x14ac:dyDescent="0.25">
      <c r="P2842" s="49"/>
      <c r="Q2842" s="1"/>
      <c r="S2842" s="1"/>
      <c r="T2842" s="1"/>
      <c r="U2842" s="1"/>
      <c r="V2842" s="1"/>
      <c r="W2842" s="1"/>
      <c r="X2842" s="1"/>
      <c r="Y2842" s="1"/>
      <c r="AB2842" s="1"/>
      <c r="AC2842" s="1"/>
      <c r="AD2842" s="1"/>
      <c r="AE2842" s="1"/>
      <c r="AF2842" s="1"/>
      <c r="AG2842" s="1"/>
      <c r="AH2842" s="1"/>
      <c r="AI2842" s="1"/>
      <c r="AJ2842" s="1"/>
      <c r="AK2842" s="1"/>
      <c r="AL2842" s="1"/>
      <c r="AM2842" s="1"/>
    </row>
    <row r="2843" spans="16:39" x14ac:dyDescent="0.25">
      <c r="P2843" s="49"/>
      <c r="Q2843" s="1"/>
      <c r="S2843" s="1"/>
      <c r="T2843" s="1"/>
      <c r="U2843" s="1"/>
      <c r="V2843" s="1"/>
      <c r="W2843" s="1"/>
      <c r="X2843" s="1"/>
      <c r="Y2843" s="1"/>
      <c r="AB2843" s="1"/>
      <c r="AC2843" s="1"/>
      <c r="AD2843" s="1"/>
      <c r="AE2843" s="1"/>
      <c r="AF2843" s="1"/>
      <c r="AG2843" s="1"/>
      <c r="AH2843" s="1"/>
      <c r="AI2843" s="1"/>
      <c r="AJ2843" s="1"/>
      <c r="AK2843" s="1"/>
      <c r="AL2843" s="1"/>
      <c r="AM2843" s="1"/>
    </row>
    <row r="2844" spans="16:39" x14ac:dyDescent="0.25">
      <c r="P2844" s="49"/>
      <c r="Q2844" s="1"/>
      <c r="S2844" s="1"/>
      <c r="T2844" s="1"/>
      <c r="U2844" s="1"/>
      <c r="V2844" s="1"/>
      <c r="W2844" s="1"/>
      <c r="X2844" s="1"/>
      <c r="Y2844" s="1"/>
      <c r="AB2844" s="1"/>
      <c r="AC2844" s="1"/>
      <c r="AD2844" s="1"/>
      <c r="AE2844" s="1"/>
      <c r="AF2844" s="1"/>
      <c r="AG2844" s="1"/>
      <c r="AH2844" s="1"/>
      <c r="AI2844" s="1"/>
      <c r="AJ2844" s="1"/>
      <c r="AK2844" s="1"/>
      <c r="AL2844" s="1"/>
      <c r="AM2844" s="1"/>
    </row>
    <row r="2845" spans="16:39" x14ac:dyDescent="0.25">
      <c r="P2845" s="49"/>
      <c r="Q2845" s="1"/>
      <c r="S2845" s="1"/>
      <c r="T2845" s="1"/>
      <c r="U2845" s="1"/>
      <c r="V2845" s="1"/>
      <c r="W2845" s="1"/>
      <c r="X2845" s="1"/>
      <c r="Y2845" s="1"/>
      <c r="AB2845" s="1"/>
      <c r="AC2845" s="1"/>
      <c r="AD2845" s="1"/>
      <c r="AE2845" s="1"/>
      <c r="AF2845" s="1"/>
      <c r="AG2845" s="1"/>
      <c r="AH2845" s="1"/>
      <c r="AI2845" s="1"/>
      <c r="AJ2845" s="1"/>
      <c r="AK2845" s="1"/>
      <c r="AL2845" s="1"/>
      <c r="AM2845" s="1"/>
    </row>
    <row r="2846" spans="16:39" x14ac:dyDescent="0.25">
      <c r="P2846" s="49"/>
      <c r="Q2846" s="1"/>
      <c r="S2846" s="1"/>
      <c r="T2846" s="1"/>
      <c r="U2846" s="1"/>
      <c r="V2846" s="1"/>
      <c r="W2846" s="1"/>
      <c r="X2846" s="1"/>
      <c r="Y2846" s="1"/>
      <c r="AB2846" s="1"/>
      <c r="AC2846" s="1"/>
      <c r="AD2846" s="1"/>
      <c r="AE2846" s="1"/>
      <c r="AF2846" s="1"/>
      <c r="AG2846" s="1"/>
      <c r="AH2846" s="1"/>
      <c r="AI2846" s="1"/>
      <c r="AJ2846" s="1"/>
      <c r="AK2846" s="1"/>
      <c r="AL2846" s="1"/>
      <c r="AM2846" s="1"/>
    </row>
    <row r="2847" spans="16:39" x14ac:dyDescent="0.25">
      <c r="P2847" s="49"/>
      <c r="Q2847" s="1"/>
      <c r="S2847" s="1"/>
      <c r="T2847" s="1"/>
      <c r="U2847" s="1"/>
      <c r="V2847" s="1"/>
      <c r="W2847" s="1"/>
      <c r="X2847" s="1"/>
      <c r="Y2847" s="1"/>
      <c r="AB2847" s="1"/>
      <c r="AC2847" s="1"/>
      <c r="AD2847" s="1"/>
      <c r="AE2847" s="1"/>
      <c r="AF2847" s="1"/>
      <c r="AG2847" s="1"/>
      <c r="AH2847" s="1"/>
      <c r="AI2847" s="1"/>
      <c r="AJ2847" s="1"/>
      <c r="AK2847" s="1"/>
      <c r="AL2847" s="1"/>
      <c r="AM2847" s="1"/>
    </row>
    <row r="2848" spans="16:39" x14ac:dyDescent="0.25">
      <c r="P2848" s="49"/>
      <c r="Q2848" s="1"/>
      <c r="S2848" s="1"/>
      <c r="T2848" s="1"/>
      <c r="U2848" s="1"/>
      <c r="V2848" s="1"/>
      <c r="W2848" s="1"/>
      <c r="X2848" s="1"/>
      <c r="Y2848" s="1"/>
      <c r="AB2848" s="1"/>
      <c r="AC2848" s="1"/>
      <c r="AD2848" s="1"/>
      <c r="AE2848" s="1"/>
      <c r="AF2848" s="1"/>
      <c r="AG2848" s="1"/>
      <c r="AH2848" s="1"/>
      <c r="AI2848" s="1"/>
      <c r="AJ2848" s="1"/>
      <c r="AK2848" s="1"/>
      <c r="AL2848" s="1"/>
      <c r="AM2848" s="1"/>
    </row>
    <row r="2849" spans="16:39" x14ac:dyDescent="0.25">
      <c r="P2849" s="49"/>
      <c r="Q2849" s="1"/>
      <c r="S2849" s="1"/>
      <c r="T2849" s="1"/>
      <c r="U2849" s="1"/>
      <c r="V2849" s="1"/>
      <c r="W2849" s="1"/>
      <c r="X2849" s="1"/>
      <c r="Y2849" s="1"/>
      <c r="AB2849" s="1"/>
      <c r="AC2849" s="1"/>
      <c r="AD2849" s="1"/>
      <c r="AE2849" s="1"/>
      <c r="AF2849" s="1"/>
      <c r="AG2849" s="1"/>
      <c r="AH2849" s="1"/>
      <c r="AI2849" s="1"/>
      <c r="AJ2849" s="1"/>
      <c r="AK2849" s="1"/>
      <c r="AL2849" s="1"/>
      <c r="AM2849" s="1"/>
    </row>
    <row r="2850" spans="16:39" x14ac:dyDescent="0.25">
      <c r="P2850" s="49"/>
      <c r="Q2850" s="1"/>
      <c r="S2850" s="1"/>
      <c r="T2850" s="1"/>
      <c r="U2850" s="1"/>
      <c r="V2850" s="1"/>
      <c r="W2850" s="1"/>
      <c r="X2850" s="1"/>
      <c r="Y2850" s="1"/>
      <c r="AB2850" s="1"/>
      <c r="AC2850" s="1"/>
      <c r="AD2850" s="1"/>
      <c r="AE2850" s="1"/>
      <c r="AF2850" s="1"/>
      <c r="AG2850" s="1"/>
      <c r="AH2850" s="1"/>
      <c r="AI2850" s="1"/>
      <c r="AJ2850" s="1"/>
      <c r="AK2850" s="1"/>
      <c r="AL2850" s="1"/>
      <c r="AM2850" s="1"/>
    </row>
    <row r="2851" spans="16:39" x14ac:dyDescent="0.25">
      <c r="P2851" s="49"/>
      <c r="Q2851" s="1"/>
      <c r="S2851" s="1"/>
      <c r="T2851" s="1"/>
      <c r="U2851" s="1"/>
      <c r="V2851" s="1"/>
      <c r="W2851" s="1"/>
      <c r="X2851" s="1"/>
      <c r="Y2851" s="1"/>
      <c r="AB2851" s="1"/>
      <c r="AC2851" s="1"/>
      <c r="AD2851" s="1"/>
      <c r="AE2851" s="1"/>
      <c r="AF2851" s="1"/>
      <c r="AG2851" s="1"/>
      <c r="AH2851" s="1"/>
      <c r="AI2851" s="1"/>
      <c r="AJ2851" s="1"/>
      <c r="AK2851" s="1"/>
      <c r="AL2851" s="1"/>
      <c r="AM2851" s="1"/>
    </row>
    <row r="2852" spans="16:39" x14ac:dyDescent="0.25">
      <c r="P2852" s="49"/>
      <c r="Q2852" s="1"/>
      <c r="S2852" s="1"/>
      <c r="T2852" s="1"/>
      <c r="U2852" s="1"/>
      <c r="V2852" s="1"/>
      <c r="W2852" s="1"/>
      <c r="X2852" s="1"/>
      <c r="Y2852" s="1"/>
      <c r="AB2852" s="1"/>
      <c r="AC2852" s="1"/>
      <c r="AD2852" s="1"/>
      <c r="AE2852" s="1"/>
      <c r="AF2852" s="1"/>
      <c r="AG2852" s="1"/>
      <c r="AH2852" s="1"/>
      <c r="AI2852" s="1"/>
      <c r="AJ2852" s="1"/>
      <c r="AK2852" s="1"/>
      <c r="AL2852" s="1"/>
      <c r="AM2852" s="1"/>
    </row>
    <row r="2853" spans="16:39" x14ac:dyDescent="0.25">
      <c r="P2853" s="49"/>
      <c r="Q2853" s="1"/>
      <c r="S2853" s="1"/>
      <c r="T2853" s="1"/>
      <c r="U2853" s="1"/>
      <c r="V2853" s="1"/>
      <c r="W2853" s="1"/>
      <c r="X2853" s="1"/>
      <c r="Y2853" s="1"/>
      <c r="AB2853" s="1"/>
      <c r="AC2853" s="1"/>
      <c r="AD2853" s="1"/>
      <c r="AE2853" s="1"/>
      <c r="AF2853" s="1"/>
      <c r="AG2853" s="1"/>
      <c r="AH2853" s="1"/>
      <c r="AI2853" s="1"/>
      <c r="AJ2853" s="1"/>
      <c r="AK2853" s="1"/>
      <c r="AL2853" s="1"/>
      <c r="AM2853" s="1"/>
    </row>
    <row r="2854" spans="16:39" x14ac:dyDescent="0.25">
      <c r="P2854" s="49"/>
      <c r="Q2854" s="1"/>
      <c r="S2854" s="1"/>
      <c r="T2854" s="1"/>
      <c r="U2854" s="1"/>
      <c r="V2854" s="1"/>
      <c r="W2854" s="1"/>
      <c r="X2854" s="1"/>
      <c r="Y2854" s="1"/>
      <c r="AB2854" s="1"/>
      <c r="AC2854" s="1"/>
      <c r="AD2854" s="1"/>
      <c r="AE2854" s="1"/>
      <c r="AF2854" s="1"/>
      <c r="AG2854" s="1"/>
      <c r="AH2854" s="1"/>
      <c r="AI2854" s="1"/>
      <c r="AJ2854" s="1"/>
      <c r="AK2854" s="1"/>
      <c r="AL2854" s="1"/>
      <c r="AM2854" s="1"/>
    </row>
    <row r="2855" spans="16:39" x14ac:dyDescent="0.25">
      <c r="P2855" s="49"/>
      <c r="Q2855" s="1"/>
      <c r="S2855" s="1"/>
      <c r="T2855" s="1"/>
      <c r="U2855" s="1"/>
      <c r="V2855" s="1"/>
      <c r="W2855" s="1"/>
      <c r="X2855" s="1"/>
      <c r="Y2855" s="1"/>
      <c r="AB2855" s="1"/>
      <c r="AC2855" s="1"/>
      <c r="AD2855" s="1"/>
      <c r="AE2855" s="1"/>
      <c r="AF2855" s="1"/>
      <c r="AG2855" s="1"/>
      <c r="AH2855" s="1"/>
      <c r="AI2855" s="1"/>
      <c r="AJ2855" s="1"/>
      <c r="AK2855" s="1"/>
      <c r="AL2855" s="1"/>
      <c r="AM2855" s="1"/>
    </row>
    <row r="2856" spans="16:39" x14ac:dyDescent="0.25">
      <c r="P2856" s="49"/>
      <c r="Q2856" s="1"/>
      <c r="S2856" s="1"/>
      <c r="T2856" s="1"/>
      <c r="U2856" s="1"/>
      <c r="V2856" s="1"/>
      <c r="W2856" s="1"/>
      <c r="X2856" s="1"/>
      <c r="Y2856" s="1"/>
      <c r="AB2856" s="1"/>
      <c r="AC2856" s="1"/>
      <c r="AD2856" s="1"/>
      <c r="AE2856" s="1"/>
      <c r="AF2856" s="1"/>
      <c r="AG2856" s="1"/>
      <c r="AH2856" s="1"/>
      <c r="AI2856" s="1"/>
      <c r="AJ2856" s="1"/>
      <c r="AK2856" s="1"/>
      <c r="AL2856" s="1"/>
      <c r="AM2856" s="1"/>
    </row>
    <row r="2857" spans="16:39" x14ac:dyDescent="0.25">
      <c r="P2857" s="49"/>
      <c r="Q2857" s="1"/>
      <c r="S2857" s="1"/>
      <c r="T2857" s="1"/>
      <c r="U2857" s="1"/>
      <c r="V2857" s="1"/>
      <c r="W2857" s="1"/>
      <c r="X2857" s="1"/>
      <c r="Y2857" s="1"/>
      <c r="AB2857" s="1"/>
      <c r="AC2857" s="1"/>
      <c r="AD2857" s="1"/>
      <c r="AE2857" s="1"/>
      <c r="AF2857" s="1"/>
      <c r="AG2857" s="1"/>
      <c r="AH2857" s="1"/>
      <c r="AI2857" s="1"/>
      <c r="AJ2857" s="1"/>
      <c r="AK2857" s="1"/>
      <c r="AL2857" s="1"/>
      <c r="AM2857" s="1"/>
    </row>
    <row r="2858" spans="16:39" x14ac:dyDescent="0.25">
      <c r="P2858" s="49"/>
      <c r="Q2858" s="1"/>
      <c r="S2858" s="1"/>
      <c r="T2858" s="1"/>
      <c r="U2858" s="1"/>
      <c r="V2858" s="1"/>
      <c r="W2858" s="1"/>
      <c r="X2858" s="1"/>
      <c r="Y2858" s="1"/>
      <c r="AB2858" s="1"/>
      <c r="AC2858" s="1"/>
      <c r="AD2858" s="1"/>
      <c r="AE2858" s="1"/>
      <c r="AF2858" s="1"/>
      <c r="AG2858" s="1"/>
      <c r="AH2858" s="1"/>
      <c r="AI2858" s="1"/>
      <c r="AJ2858" s="1"/>
      <c r="AK2858" s="1"/>
      <c r="AL2858" s="1"/>
      <c r="AM2858" s="1"/>
    </row>
    <row r="2859" spans="16:39" x14ac:dyDescent="0.25">
      <c r="P2859" s="49"/>
      <c r="Q2859" s="1"/>
      <c r="S2859" s="1"/>
      <c r="T2859" s="1"/>
      <c r="U2859" s="1"/>
      <c r="V2859" s="1"/>
      <c r="W2859" s="1"/>
      <c r="X2859" s="1"/>
      <c r="Y2859" s="1"/>
      <c r="AB2859" s="1"/>
      <c r="AC2859" s="1"/>
      <c r="AD2859" s="1"/>
      <c r="AE2859" s="1"/>
      <c r="AF2859" s="1"/>
      <c r="AG2859" s="1"/>
      <c r="AH2859" s="1"/>
      <c r="AI2859" s="1"/>
      <c r="AJ2859" s="1"/>
      <c r="AK2859" s="1"/>
      <c r="AL2859" s="1"/>
      <c r="AM2859" s="1"/>
    </row>
    <row r="2860" spans="16:39" x14ac:dyDescent="0.25">
      <c r="P2860" s="49"/>
      <c r="Q2860" s="1"/>
      <c r="S2860" s="1"/>
      <c r="T2860" s="1"/>
      <c r="U2860" s="1"/>
      <c r="V2860" s="1"/>
      <c r="W2860" s="1"/>
      <c r="X2860" s="1"/>
      <c r="Y2860" s="1"/>
      <c r="AB2860" s="1"/>
      <c r="AC2860" s="1"/>
      <c r="AD2860" s="1"/>
      <c r="AE2860" s="1"/>
      <c r="AF2860" s="1"/>
      <c r="AG2860" s="1"/>
      <c r="AH2860" s="1"/>
      <c r="AI2860" s="1"/>
      <c r="AJ2860" s="1"/>
      <c r="AK2860" s="1"/>
      <c r="AL2860" s="1"/>
      <c r="AM2860" s="1"/>
    </row>
    <row r="2861" spans="16:39" x14ac:dyDescent="0.25">
      <c r="P2861" s="49"/>
      <c r="Q2861" s="1"/>
      <c r="S2861" s="1"/>
      <c r="T2861" s="1"/>
      <c r="U2861" s="1"/>
      <c r="V2861" s="1"/>
      <c r="W2861" s="1"/>
      <c r="X2861" s="1"/>
      <c r="Y2861" s="1"/>
      <c r="AB2861" s="1"/>
      <c r="AC2861" s="1"/>
      <c r="AD2861" s="1"/>
      <c r="AE2861" s="1"/>
      <c r="AF2861" s="1"/>
      <c r="AG2861" s="1"/>
      <c r="AH2861" s="1"/>
      <c r="AI2861" s="1"/>
      <c r="AJ2861" s="1"/>
      <c r="AK2861" s="1"/>
      <c r="AL2861" s="1"/>
      <c r="AM2861" s="1"/>
    </row>
    <row r="2862" spans="16:39" x14ac:dyDescent="0.25">
      <c r="P2862" s="49"/>
      <c r="Q2862" s="1"/>
      <c r="S2862" s="1"/>
      <c r="T2862" s="1"/>
      <c r="U2862" s="1"/>
      <c r="V2862" s="1"/>
      <c r="W2862" s="1"/>
      <c r="X2862" s="1"/>
      <c r="Y2862" s="1"/>
      <c r="AB2862" s="1"/>
      <c r="AC2862" s="1"/>
      <c r="AD2862" s="1"/>
      <c r="AE2862" s="1"/>
      <c r="AF2862" s="1"/>
      <c r="AG2862" s="1"/>
      <c r="AH2862" s="1"/>
      <c r="AI2862" s="1"/>
      <c r="AJ2862" s="1"/>
      <c r="AK2862" s="1"/>
      <c r="AL2862" s="1"/>
      <c r="AM2862" s="1"/>
    </row>
    <row r="2863" spans="16:39" x14ac:dyDescent="0.25">
      <c r="P2863" s="49"/>
      <c r="Q2863" s="1"/>
      <c r="S2863" s="1"/>
      <c r="T2863" s="1"/>
      <c r="U2863" s="1"/>
      <c r="V2863" s="1"/>
      <c r="W2863" s="1"/>
      <c r="X2863" s="1"/>
      <c r="Y2863" s="1"/>
      <c r="AB2863" s="1"/>
      <c r="AC2863" s="1"/>
      <c r="AD2863" s="1"/>
      <c r="AE2863" s="1"/>
      <c r="AF2863" s="1"/>
      <c r="AG2863" s="1"/>
      <c r="AH2863" s="1"/>
      <c r="AI2863" s="1"/>
      <c r="AJ2863" s="1"/>
      <c r="AK2863" s="1"/>
      <c r="AL2863" s="1"/>
      <c r="AM2863" s="1"/>
    </row>
    <row r="2864" spans="16:39" x14ac:dyDescent="0.25">
      <c r="P2864" s="49"/>
      <c r="Q2864" s="1"/>
      <c r="S2864" s="1"/>
      <c r="T2864" s="1"/>
      <c r="U2864" s="1"/>
      <c r="V2864" s="1"/>
      <c r="W2864" s="1"/>
      <c r="X2864" s="1"/>
      <c r="Y2864" s="1"/>
      <c r="AB2864" s="1"/>
      <c r="AC2864" s="1"/>
      <c r="AD2864" s="1"/>
      <c r="AE2864" s="1"/>
      <c r="AF2864" s="1"/>
      <c r="AG2864" s="1"/>
      <c r="AH2864" s="1"/>
      <c r="AI2864" s="1"/>
      <c r="AJ2864" s="1"/>
      <c r="AK2864" s="1"/>
      <c r="AL2864" s="1"/>
      <c r="AM2864" s="1"/>
    </row>
    <row r="2865" spans="16:39" x14ac:dyDescent="0.25">
      <c r="P2865" s="49"/>
      <c r="Q2865" s="1"/>
      <c r="S2865" s="1"/>
      <c r="T2865" s="1"/>
      <c r="U2865" s="1"/>
      <c r="V2865" s="1"/>
      <c r="W2865" s="1"/>
      <c r="X2865" s="1"/>
      <c r="Y2865" s="1"/>
      <c r="AB2865" s="1"/>
      <c r="AC2865" s="1"/>
      <c r="AD2865" s="1"/>
      <c r="AE2865" s="1"/>
      <c r="AF2865" s="1"/>
      <c r="AG2865" s="1"/>
      <c r="AH2865" s="1"/>
      <c r="AI2865" s="1"/>
      <c r="AJ2865" s="1"/>
      <c r="AK2865" s="1"/>
      <c r="AL2865" s="1"/>
      <c r="AM2865" s="1"/>
    </row>
    <row r="2866" spans="16:39" x14ac:dyDescent="0.25">
      <c r="P2866" s="49"/>
      <c r="Q2866" s="1"/>
      <c r="S2866" s="1"/>
      <c r="T2866" s="1"/>
      <c r="U2866" s="1"/>
      <c r="V2866" s="1"/>
      <c r="W2866" s="1"/>
      <c r="X2866" s="1"/>
      <c r="Y2866" s="1"/>
      <c r="AB2866" s="1"/>
      <c r="AC2866" s="1"/>
      <c r="AD2866" s="1"/>
      <c r="AE2866" s="1"/>
      <c r="AF2866" s="1"/>
      <c r="AG2866" s="1"/>
      <c r="AH2866" s="1"/>
      <c r="AI2866" s="1"/>
      <c r="AJ2866" s="1"/>
      <c r="AK2866" s="1"/>
      <c r="AL2866" s="1"/>
      <c r="AM2866" s="1"/>
    </row>
    <row r="2867" spans="16:39" x14ac:dyDescent="0.25">
      <c r="P2867" s="49"/>
      <c r="Q2867" s="1"/>
      <c r="S2867" s="1"/>
      <c r="T2867" s="1"/>
      <c r="U2867" s="1"/>
      <c r="V2867" s="1"/>
      <c r="W2867" s="1"/>
      <c r="X2867" s="1"/>
      <c r="Y2867" s="1"/>
      <c r="AB2867" s="1"/>
      <c r="AC2867" s="1"/>
      <c r="AD2867" s="1"/>
      <c r="AE2867" s="1"/>
      <c r="AF2867" s="1"/>
      <c r="AG2867" s="1"/>
      <c r="AH2867" s="1"/>
      <c r="AI2867" s="1"/>
      <c r="AJ2867" s="1"/>
      <c r="AK2867" s="1"/>
      <c r="AL2867" s="1"/>
      <c r="AM2867" s="1"/>
    </row>
    <row r="2868" spans="16:39" x14ac:dyDescent="0.25">
      <c r="P2868" s="49"/>
      <c r="Q2868" s="1"/>
      <c r="S2868" s="1"/>
      <c r="T2868" s="1"/>
      <c r="U2868" s="1"/>
      <c r="V2868" s="1"/>
      <c r="W2868" s="1"/>
      <c r="X2868" s="1"/>
      <c r="Y2868" s="1"/>
      <c r="AB2868" s="1"/>
      <c r="AC2868" s="1"/>
      <c r="AD2868" s="1"/>
      <c r="AE2868" s="1"/>
      <c r="AF2868" s="1"/>
      <c r="AG2868" s="1"/>
      <c r="AH2868" s="1"/>
      <c r="AI2868" s="1"/>
      <c r="AJ2868" s="1"/>
      <c r="AK2868" s="1"/>
      <c r="AL2868" s="1"/>
      <c r="AM2868" s="1"/>
    </row>
    <row r="2869" spans="16:39" x14ac:dyDescent="0.25">
      <c r="P2869" s="49"/>
      <c r="Q2869" s="1"/>
      <c r="S2869" s="1"/>
      <c r="T2869" s="1"/>
      <c r="U2869" s="1"/>
      <c r="V2869" s="1"/>
      <c r="W2869" s="1"/>
      <c r="X2869" s="1"/>
      <c r="Y2869" s="1"/>
      <c r="AB2869" s="1"/>
      <c r="AC2869" s="1"/>
      <c r="AD2869" s="1"/>
      <c r="AE2869" s="1"/>
      <c r="AF2869" s="1"/>
      <c r="AG2869" s="1"/>
      <c r="AH2869" s="1"/>
      <c r="AI2869" s="1"/>
      <c r="AJ2869" s="1"/>
      <c r="AK2869" s="1"/>
      <c r="AL2869" s="1"/>
      <c r="AM2869" s="1"/>
    </row>
    <row r="2870" spans="16:39" x14ac:dyDescent="0.25">
      <c r="P2870" s="49"/>
      <c r="Q2870" s="1"/>
      <c r="S2870" s="1"/>
      <c r="T2870" s="1"/>
      <c r="U2870" s="1"/>
      <c r="V2870" s="1"/>
      <c r="W2870" s="1"/>
      <c r="X2870" s="1"/>
      <c r="Y2870" s="1"/>
      <c r="AB2870" s="1"/>
      <c r="AC2870" s="1"/>
      <c r="AD2870" s="1"/>
      <c r="AE2870" s="1"/>
      <c r="AF2870" s="1"/>
      <c r="AG2870" s="1"/>
      <c r="AH2870" s="1"/>
      <c r="AI2870" s="1"/>
      <c r="AJ2870" s="1"/>
      <c r="AK2870" s="1"/>
      <c r="AL2870" s="1"/>
      <c r="AM2870" s="1"/>
    </row>
    <row r="2871" spans="16:39" x14ac:dyDescent="0.25">
      <c r="P2871" s="49"/>
      <c r="Q2871" s="1"/>
      <c r="S2871" s="1"/>
      <c r="T2871" s="1"/>
      <c r="U2871" s="1"/>
      <c r="V2871" s="1"/>
      <c r="W2871" s="1"/>
      <c r="X2871" s="1"/>
      <c r="Y2871" s="1"/>
      <c r="AB2871" s="1"/>
      <c r="AC2871" s="1"/>
      <c r="AD2871" s="1"/>
      <c r="AE2871" s="1"/>
      <c r="AF2871" s="1"/>
      <c r="AG2871" s="1"/>
      <c r="AH2871" s="1"/>
      <c r="AI2871" s="1"/>
      <c r="AJ2871" s="1"/>
      <c r="AK2871" s="1"/>
      <c r="AL2871" s="1"/>
      <c r="AM2871" s="1"/>
    </row>
    <row r="2872" spans="16:39" x14ac:dyDescent="0.25">
      <c r="P2872" s="49"/>
      <c r="Q2872" s="1"/>
      <c r="S2872" s="1"/>
      <c r="T2872" s="1"/>
      <c r="U2872" s="1"/>
      <c r="V2872" s="1"/>
      <c r="W2872" s="1"/>
      <c r="X2872" s="1"/>
      <c r="Y2872" s="1"/>
      <c r="AB2872" s="1"/>
      <c r="AC2872" s="1"/>
      <c r="AD2872" s="1"/>
      <c r="AE2872" s="1"/>
      <c r="AF2872" s="1"/>
      <c r="AG2872" s="1"/>
      <c r="AH2872" s="1"/>
      <c r="AI2872" s="1"/>
      <c r="AJ2872" s="1"/>
      <c r="AK2872" s="1"/>
      <c r="AL2872" s="1"/>
      <c r="AM2872" s="1"/>
    </row>
    <row r="2873" spans="16:39" x14ac:dyDescent="0.25">
      <c r="P2873" s="49"/>
      <c r="Q2873" s="1"/>
      <c r="S2873" s="1"/>
      <c r="T2873" s="1"/>
      <c r="U2873" s="1"/>
      <c r="V2873" s="1"/>
      <c r="W2873" s="1"/>
      <c r="X2873" s="1"/>
      <c r="Y2873" s="1"/>
      <c r="AB2873" s="1"/>
      <c r="AC2873" s="1"/>
      <c r="AD2873" s="1"/>
      <c r="AE2873" s="1"/>
      <c r="AF2873" s="1"/>
      <c r="AG2873" s="1"/>
      <c r="AH2873" s="1"/>
      <c r="AI2873" s="1"/>
      <c r="AJ2873" s="1"/>
      <c r="AK2873" s="1"/>
      <c r="AL2873" s="1"/>
      <c r="AM2873" s="1"/>
    </row>
    <row r="2874" spans="16:39" x14ac:dyDescent="0.25">
      <c r="P2874" s="49"/>
      <c r="Q2874" s="1"/>
      <c r="S2874" s="1"/>
      <c r="T2874" s="1"/>
      <c r="U2874" s="1"/>
      <c r="V2874" s="1"/>
      <c r="W2874" s="1"/>
      <c r="X2874" s="1"/>
      <c r="Y2874" s="1"/>
      <c r="AB2874" s="1"/>
      <c r="AC2874" s="1"/>
      <c r="AD2874" s="1"/>
      <c r="AE2874" s="1"/>
      <c r="AF2874" s="1"/>
      <c r="AG2874" s="1"/>
      <c r="AH2874" s="1"/>
      <c r="AI2874" s="1"/>
      <c r="AJ2874" s="1"/>
      <c r="AK2874" s="1"/>
      <c r="AL2874" s="1"/>
      <c r="AM2874" s="1"/>
    </row>
    <row r="2875" spans="16:39" x14ac:dyDescent="0.25">
      <c r="P2875" s="49"/>
      <c r="Q2875" s="1"/>
      <c r="S2875" s="1"/>
      <c r="T2875" s="1"/>
      <c r="U2875" s="1"/>
      <c r="V2875" s="1"/>
      <c r="W2875" s="1"/>
      <c r="X2875" s="1"/>
      <c r="Y2875" s="1"/>
      <c r="AB2875" s="1"/>
      <c r="AC2875" s="1"/>
      <c r="AD2875" s="1"/>
      <c r="AE2875" s="1"/>
      <c r="AF2875" s="1"/>
      <c r="AG2875" s="1"/>
      <c r="AH2875" s="1"/>
      <c r="AI2875" s="1"/>
      <c r="AJ2875" s="1"/>
      <c r="AK2875" s="1"/>
      <c r="AL2875" s="1"/>
      <c r="AM2875" s="1"/>
    </row>
    <row r="2876" spans="16:39" x14ac:dyDescent="0.25">
      <c r="P2876" s="49"/>
      <c r="Q2876" s="1"/>
      <c r="S2876" s="1"/>
      <c r="T2876" s="1"/>
      <c r="U2876" s="1"/>
      <c r="V2876" s="1"/>
      <c r="W2876" s="1"/>
      <c r="X2876" s="1"/>
      <c r="Y2876" s="1"/>
      <c r="AB2876" s="1"/>
      <c r="AC2876" s="1"/>
      <c r="AD2876" s="1"/>
      <c r="AE2876" s="1"/>
      <c r="AF2876" s="1"/>
      <c r="AG2876" s="1"/>
      <c r="AH2876" s="1"/>
      <c r="AI2876" s="1"/>
      <c r="AJ2876" s="1"/>
      <c r="AK2876" s="1"/>
      <c r="AL2876" s="1"/>
      <c r="AM2876" s="1"/>
    </row>
    <row r="2877" spans="16:39" x14ac:dyDescent="0.25">
      <c r="P2877" s="49"/>
      <c r="Q2877" s="1"/>
      <c r="S2877" s="1"/>
      <c r="T2877" s="1"/>
      <c r="U2877" s="1"/>
      <c r="V2877" s="1"/>
      <c r="W2877" s="1"/>
      <c r="X2877" s="1"/>
      <c r="Y2877" s="1"/>
      <c r="AB2877" s="1"/>
      <c r="AC2877" s="1"/>
      <c r="AD2877" s="1"/>
      <c r="AE2877" s="1"/>
      <c r="AF2877" s="1"/>
      <c r="AG2877" s="1"/>
      <c r="AH2877" s="1"/>
      <c r="AI2877" s="1"/>
      <c r="AJ2877" s="1"/>
      <c r="AK2877" s="1"/>
      <c r="AL2877" s="1"/>
      <c r="AM2877" s="1"/>
    </row>
    <row r="2878" spans="16:39" x14ac:dyDescent="0.25">
      <c r="P2878" s="49"/>
      <c r="Q2878" s="1"/>
      <c r="S2878" s="1"/>
      <c r="T2878" s="1"/>
      <c r="U2878" s="1"/>
      <c r="V2878" s="1"/>
      <c r="W2878" s="1"/>
      <c r="X2878" s="1"/>
      <c r="Y2878" s="1"/>
      <c r="AB2878" s="1"/>
      <c r="AC2878" s="1"/>
      <c r="AD2878" s="1"/>
      <c r="AE2878" s="1"/>
      <c r="AF2878" s="1"/>
      <c r="AG2878" s="1"/>
      <c r="AH2878" s="1"/>
      <c r="AI2878" s="1"/>
      <c r="AJ2878" s="1"/>
      <c r="AK2878" s="1"/>
      <c r="AL2878" s="1"/>
      <c r="AM2878" s="1"/>
    </row>
    <row r="2879" spans="16:39" x14ac:dyDescent="0.25">
      <c r="P2879" s="49"/>
      <c r="Q2879" s="1"/>
      <c r="S2879" s="1"/>
      <c r="T2879" s="1"/>
      <c r="U2879" s="1"/>
      <c r="V2879" s="1"/>
      <c r="W2879" s="1"/>
      <c r="X2879" s="1"/>
      <c r="Y2879" s="1"/>
      <c r="AB2879" s="1"/>
      <c r="AC2879" s="1"/>
      <c r="AD2879" s="1"/>
      <c r="AE2879" s="1"/>
      <c r="AF2879" s="1"/>
      <c r="AG2879" s="1"/>
      <c r="AH2879" s="1"/>
      <c r="AI2879" s="1"/>
      <c r="AJ2879" s="1"/>
      <c r="AK2879" s="1"/>
      <c r="AL2879" s="1"/>
      <c r="AM2879" s="1"/>
    </row>
    <row r="2880" spans="16:39" x14ac:dyDescent="0.25">
      <c r="P2880" s="49"/>
      <c r="Q2880" s="1"/>
      <c r="S2880" s="1"/>
      <c r="T2880" s="1"/>
      <c r="U2880" s="1"/>
      <c r="V2880" s="1"/>
      <c r="W2880" s="1"/>
      <c r="X2880" s="1"/>
      <c r="Y2880" s="1"/>
      <c r="AB2880" s="1"/>
      <c r="AC2880" s="1"/>
      <c r="AD2880" s="1"/>
      <c r="AE2880" s="1"/>
      <c r="AF2880" s="1"/>
      <c r="AG2880" s="1"/>
      <c r="AH2880" s="1"/>
      <c r="AI2880" s="1"/>
      <c r="AJ2880" s="1"/>
      <c r="AK2880" s="1"/>
      <c r="AL2880" s="1"/>
      <c r="AM2880" s="1"/>
    </row>
    <row r="2881" spans="16:39" x14ac:dyDescent="0.25">
      <c r="P2881" s="49"/>
      <c r="Q2881" s="1"/>
      <c r="S2881" s="1"/>
      <c r="T2881" s="1"/>
      <c r="U2881" s="1"/>
      <c r="V2881" s="1"/>
      <c r="W2881" s="1"/>
      <c r="X2881" s="1"/>
      <c r="Y2881" s="1"/>
      <c r="AB2881" s="1"/>
      <c r="AC2881" s="1"/>
      <c r="AD2881" s="1"/>
      <c r="AE2881" s="1"/>
      <c r="AF2881" s="1"/>
      <c r="AG2881" s="1"/>
      <c r="AH2881" s="1"/>
      <c r="AI2881" s="1"/>
      <c r="AJ2881" s="1"/>
      <c r="AK2881" s="1"/>
      <c r="AL2881" s="1"/>
      <c r="AM2881" s="1"/>
    </row>
    <row r="2882" spans="16:39" x14ac:dyDescent="0.25">
      <c r="P2882" s="49"/>
      <c r="Q2882" s="1"/>
      <c r="S2882" s="1"/>
      <c r="T2882" s="1"/>
      <c r="U2882" s="1"/>
      <c r="V2882" s="1"/>
      <c r="W2882" s="1"/>
      <c r="X2882" s="1"/>
      <c r="Y2882" s="1"/>
      <c r="AB2882" s="1"/>
      <c r="AC2882" s="1"/>
      <c r="AD2882" s="1"/>
      <c r="AE2882" s="1"/>
      <c r="AF2882" s="1"/>
      <c r="AG2882" s="1"/>
      <c r="AH2882" s="1"/>
      <c r="AI2882" s="1"/>
      <c r="AJ2882" s="1"/>
      <c r="AK2882" s="1"/>
      <c r="AL2882" s="1"/>
      <c r="AM2882" s="1"/>
    </row>
    <row r="2883" spans="16:39" x14ac:dyDescent="0.25">
      <c r="P2883" s="49"/>
      <c r="Q2883" s="1"/>
      <c r="S2883" s="1"/>
      <c r="T2883" s="1"/>
      <c r="U2883" s="1"/>
      <c r="V2883" s="1"/>
      <c r="W2883" s="1"/>
      <c r="X2883" s="1"/>
      <c r="Y2883" s="1"/>
      <c r="AB2883" s="1"/>
      <c r="AC2883" s="1"/>
      <c r="AD2883" s="1"/>
      <c r="AE2883" s="1"/>
      <c r="AF2883" s="1"/>
      <c r="AG2883" s="1"/>
      <c r="AH2883" s="1"/>
      <c r="AI2883" s="1"/>
      <c r="AJ2883" s="1"/>
      <c r="AK2883" s="1"/>
      <c r="AL2883" s="1"/>
      <c r="AM2883" s="1"/>
    </row>
    <row r="2884" spans="16:39" x14ac:dyDescent="0.25">
      <c r="P2884" s="49"/>
      <c r="Q2884" s="1"/>
      <c r="S2884" s="1"/>
      <c r="T2884" s="1"/>
      <c r="U2884" s="1"/>
      <c r="V2884" s="1"/>
      <c r="W2884" s="1"/>
      <c r="X2884" s="1"/>
      <c r="Y2884" s="1"/>
      <c r="AB2884" s="1"/>
      <c r="AC2884" s="1"/>
      <c r="AD2884" s="1"/>
      <c r="AE2884" s="1"/>
      <c r="AF2884" s="1"/>
      <c r="AG2884" s="1"/>
      <c r="AH2884" s="1"/>
      <c r="AI2884" s="1"/>
      <c r="AJ2884" s="1"/>
      <c r="AK2884" s="1"/>
      <c r="AL2884" s="1"/>
      <c r="AM2884" s="1"/>
    </row>
    <row r="2885" spans="16:39" x14ac:dyDescent="0.25">
      <c r="P2885" s="49"/>
      <c r="Q2885" s="1"/>
      <c r="S2885" s="1"/>
      <c r="T2885" s="1"/>
      <c r="U2885" s="1"/>
      <c r="V2885" s="1"/>
      <c r="W2885" s="1"/>
      <c r="X2885" s="1"/>
      <c r="Y2885" s="1"/>
      <c r="AB2885" s="1"/>
      <c r="AC2885" s="1"/>
      <c r="AD2885" s="1"/>
      <c r="AE2885" s="1"/>
      <c r="AF2885" s="1"/>
      <c r="AG2885" s="1"/>
      <c r="AH2885" s="1"/>
      <c r="AI2885" s="1"/>
      <c r="AJ2885" s="1"/>
      <c r="AK2885" s="1"/>
      <c r="AL2885" s="1"/>
      <c r="AM2885" s="1"/>
    </row>
    <row r="2886" spans="16:39" x14ac:dyDescent="0.25">
      <c r="P2886" s="49"/>
      <c r="Q2886" s="1"/>
      <c r="S2886" s="1"/>
      <c r="T2886" s="1"/>
      <c r="U2886" s="1"/>
      <c r="V2886" s="1"/>
      <c r="W2886" s="1"/>
      <c r="X2886" s="1"/>
      <c r="Y2886" s="1"/>
      <c r="AB2886" s="1"/>
      <c r="AC2886" s="1"/>
      <c r="AD2886" s="1"/>
      <c r="AE2886" s="1"/>
      <c r="AF2886" s="1"/>
      <c r="AG2886" s="1"/>
      <c r="AH2886" s="1"/>
      <c r="AI2886" s="1"/>
      <c r="AJ2886" s="1"/>
      <c r="AK2886" s="1"/>
      <c r="AL2886" s="1"/>
      <c r="AM2886" s="1"/>
    </row>
    <row r="2887" spans="16:39" x14ac:dyDescent="0.25">
      <c r="P2887" s="49"/>
      <c r="Q2887" s="1"/>
      <c r="S2887" s="1"/>
      <c r="T2887" s="1"/>
      <c r="U2887" s="1"/>
      <c r="V2887" s="1"/>
      <c r="W2887" s="1"/>
      <c r="X2887" s="1"/>
      <c r="Y2887" s="1"/>
      <c r="AB2887" s="1"/>
      <c r="AC2887" s="1"/>
      <c r="AD2887" s="1"/>
      <c r="AE2887" s="1"/>
      <c r="AF2887" s="1"/>
      <c r="AG2887" s="1"/>
      <c r="AH2887" s="1"/>
      <c r="AI2887" s="1"/>
      <c r="AJ2887" s="1"/>
      <c r="AK2887" s="1"/>
      <c r="AL2887" s="1"/>
      <c r="AM2887" s="1"/>
    </row>
    <row r="2888" spans="16:39" x14ac:dyDescent="0.25">
      <c r="P2888" s="49"/>
      <c r="Q2888" s="1"/>
      <c r="S2888" s="1"/>
      <c r="T2888" s="1"/>
      <c r="U2888" s="1"/>
      <c r="V2888" s="1"/>
      <c r="W2888" s="1"/>
      <c r="X2888" s="1"/>
      <c r="Y2888" s="1"/>
      <c r="AB2888" s="1"/>
      <c r="AC2888" s="1"/>
      <c r="AD2888" s="1"/>
      <c r="AE2888" s="1"/>
      <c r="AF2888" s="1"/>
      <c r="AG2888" s="1"/>
      <c r="AH2888" s="1"/>
      <c r="AI2888" s="1"/>
      <c r="AJ2888" s="1"/>
      <c r="AK2888" s="1"/>
      <c r="AL2888" s="1"/>
      <c r="AM2888" s="1"/>
    </row>
    <row r="2889" spans="16:39" x14ac:dyDescent="0.25">
      <c r="P2889" s="49"/>
      <c r="Q2889" s="1"/>
      <c r="S2889" s="1"/>
      <c r="T2889" s="1"/>
      <c r="U2889" s="1"/>
      <c r="V2889" s="1"/>
      <c r="W2889" s="1"/>
      <c r="X2889" s="1"/>
      <c r="Y2889" s="1"/>
      <c r="AB2889" s="1"/>
      <c r="AC2889" s="1"/>
      <c r="AD2889" s="1"/>
      <c r="AE2889" s="1"/>
      <c r="AF2889" s="1"/>
      <c r="AG2889" s="1"/>
      <c r="AH2889" s="1"/>
      <c r="AI2889" s="1"/>
      <c r="AJ2889" s="1"/>
      <c r="AK2889" s="1"/>
      <c r="AL2889" s="1"/>
      <c r="AM2889" s="1"/>
    </row>
    <row r="2890" spans="16:39" x14ac:dyDescent="0.25">
      <c r="P2890" s="49"/>
      <c r="Q2890" s="1"/>
      <c r="S2890" s="1"/>
      <c r="T2890" s="1"/>
      <c r="U2890" s="1"/>
      <c r="V2890" s="1"/>
      <c r="W2890" s="1"/>
      <c r="X2890" s="1"/>
      <c r="Y2890" s="1"/>
      <c r="AB2890" s="1"/>
      <c r="AC2890" s="1"/>
      <c r="AD2890" s="1"/>
      <c r="AE2890" s="1"/>
      <c r="AF2890" s="1"/>
      <c r="AG2890" s="1"/>
      <c r="AH2890" s="1"/>
      <c r="AI2890" s="1"/>
      <c r="AJ2890" s="1"/>
      <c r="AK2890" s="1"/>
      <c r="AL2890" s="1"/>
      <c r="AM2890" s="1"/>
    </row>
    <row r="2891" spans="16:39" x14ac:dyDescent="0.25">
      <c r="P2891" s="49"/>
      <c r="Q2891" s="1"/>
      <c r="S2891" s="1"/>
      <c r="T2891" s="1"/>
      <c r="U2891" s="1"/>
      <c r="V2891" s="1"/>
      <c r="W2891" s="1"/>
      <c r="X2891" s="1"/>
      <c r="Y2891" s="1"/>
      <c r="AB2891" s="1"/>
      <c r="AC2891" s="1"/>
      <c r="AD2891" s="1"/>
      <c r="AE2891" s="1"/>
      <c r="AF2891" s="1"/>
      <c r="AG2891" s="1"/>
      <c r="AH2891" s="1"/>
      <c r="AI2891" s="1"/>
      <c r="AJ2891" s="1"/>
      <c r="AK2891" s="1"/>
      <c r="AL2891" s="1"/>
      <c r="AM2891" s="1"/>
    </row>
    <row r="2892" spans="16:39" x14ac:dyDescent="0.25">
      <c r="P2892" s="49"/>
      <c r="Q2892" s="1"/>
      <c r="S2892" s="1"/>
      <c r="T2892" s="1"/>
      <c r="U2892" s="1"/>
      <c r="V2892" s="1"/>
      <c r="W2892" s="1"/>
      <c r="X2892" s="1"/>
      <c r="Y2892" s="1"/>
      <c r="AB2892" s="1"/>
      <c r="AC2892" s="1"/>
      <c r="AD2892" s="1"/>
      <c r="AE2892" s="1"/>
      <c r="AF2892" s="1"/>
      <c r="AG2892" s="1"/>
      <c r="AH2892" s="1"/>
      <c r="AI2892" s="1"/>
      <c r="AJ2892" s="1"/>
      <c r="AK2892" s="1"/>
      <c r="AL2892" s="1"/>
      <c r="AM2892" s="1"/>
    </row>
    <row r="2893" spans="16:39" x14ac:dyDescent="0.25">
      <c r="P2893" s="49"/>
      <c r="Q2893" s="1"/>
      <c r="S2893" s="1"/>
      <c r="T2893" s="1"/>
      <c r="U2893" s="1"/>
      <c r="V2893" s="1"/>
      <c r="W2893" s="1"/>
      <c r="X2893" s="1"/>
      <c r="Y2893" s="1"/>
      <c r="AB2893" s="1"/>
      <c r="AC2893" s="1"/>
      <c r="AD2893" s="1"/>
      <c r="AE2893" s="1"/>
      <c r="AF2893" s="1"/>
      <c r="AG2893" s="1"/>
      <c r="AH2893" s="1"/>
      <c r="AI2893" s="1"/>
      <c r="AJ2893" s="1"/>
      <c r="AK2893" s="1"/>
      <c r="AL2893" s="1"/>
      <c r="AM2893" s="1"/>
    </row>
    <row r="2894" spans="16:39" x14ac:dyDescent="0.25">
      <c r="P2894" s="49"/>
      <c r="Q2894" s="1"/>
      <c r="S2894" s="1"/>
      <c r="T2894" s="1"/>
      <c r="U2894" s="1"/>
      <c r="V2894" s="1"/>
      <c r="W2894" s="1"/>
      <c r="X2894" s="1"/>
      <c r="Y2894" s="1"/>
      <c r="AB2894" s="1"/>
      <c r="AC2894" s="1"/>
      <c r="AD2894" s="1"/>
      <c r="AE2894" s="1"/>
      <c r="AF2894" s="1"/>
      <c r="AG2894" s="1"/>
      <c r="AH2894" s="1"/>
      <c r="AI2894" s="1"/>
      <c r="AJ2894" s="1"/>
      <c r="AK2894" s="1"/>
      <c r="AL2894" s="1"/>
      <c r="AM2894" s="1"/>
    </row>
    <row r="2895" spans="16:39" x14ac:dyDescent="0.25">
      <c r="P2895" s="49"/>
      <c r="Q2895" s="1"/>
      <c r="S2895" s="1"/>
      <c r="T2895" s="1"/>
      <c r="U2895" s="1"/>
      <c r="V2895" s="1"/>
      <c r="W2895" s="1"/>
      <c r="X2895" s="1"/>
      <c r="Y2895" s="1"/>
      <c r="AB2895" s="1"/>
      <c r="AC2895" s="1"/>
      <c r="AD2895" s="1"/>
      <c r="AE2895" s="1"/>
      <c r="AF2895" s="1"/>
      <c r="AG2895" s="1"/>
      <c r="AH2895" s="1"/>
      <c r="AI2895" s="1"/>
      <c r="AJ2895" s="1"/>
      <c r="AK2895" s="1"/>
      <c r="AL2895" s="1"/>
      <c r="AM2895" s="1"/>
    </row>
    <row r="2896" spans="16:39" x14ac:dyDescent="0.25">
      <c r="P2896" s="49"/>
      <c r="Q2896" s="1"/>
      <c r="S2896" s="1"/>
      <c r="T2896" s="1"/>
      <c r="U2896" s="1"/>
      <c r="V2896" s="1"/>
      <c r="W2896" s="1"/>
      <c r="X2896" s="1"/>
      <c r="Y2896" s="1"/>
      <c r="AB2896" s="1"/>
      <c r="AC2896" s="1"/>
      <c r="AD2896" s="1"/>
      <c r="AE2896" s="1"/>
      <c r="AF2896" s="1"/>
      <c r="AG2896" s="1"/>
      <c r="AH2896" s="1"/>
      <c r="AI2896" s="1"/>
      <c r="AJ2896" s="1"/>
      <c r="AK2896" s="1"/>
      <c r="AL2896" s="1"/>
      <c r="AM2896" s="1"/>
    </row>
    <row r="2897" spans="16:39" x14ac:dyDescent="0.25">
      <c r="P2897" s="49"/>
      <c r="Q2897" s="1"/>
      <c r="S2897" s="1"/>
      <c r="T2897" s="1"/>
      <c r="U2897" s="1"/>
      <c r="V2897" s="1"/>
      <c r="W2897" s="1"/>
      <c r="X2897" s="1"/>
      <c r="Y2897" s="1"/>
      <c r="AB2897" s="1"/>
      <c r="AC2897" s="1"/>
      <c r="AD2897" s="1"/>
      <c r="AE2897" s="1"/>
      <c r="AF2897" s="1"/>
      <c r="AG2897" s="1"/>
      <c r="AH2897" s="1"/>
      <c r="AI2897" s="1"/>
      <c r="AJ2897" s="1"/>
      <c r="AK2897" s="1"/>
      <c r="AL2897" s="1"/>
      <c r="AM2897" s="1"/>
    </row>
    <row r="2898" spans="16:39" x14ac:dyDescent="0.25">
      <c r="P2898" s="49"/>
      <c r="Q2898" s="1"/>
      <c r="S2898" s="1"/>
      <c r="T2898" s="1"/>
      <c r="U2898" s="1"/>
      <c r="V2898" s="1"/>
      <c r="W2898" s="1"/>
      <c r="X2898" s="1"/>
      <c r="Y2898" s="1"/>
      <c r="AB2898" s="1"/>
      <c r="AC2898" s="1"/>
      <c r="AD2898" s="1"/>
      <c r="AE2898" s="1"/>
      <c r="AF2898" s="1"/>
      <c r="AG2898" s="1"/>
      <c r="AH2898" s="1"/>
      <c r="AI2898" s="1"/>
      <c r="AJ2898" s="1"/>
      <c r="AK2898" s="1"/>
      <c r="AL2898" s="1"/>
      <c r="AM2898" s="1"/>
    </row>
    <row r="2899" spans="16:39" x14ac:dyDescent="0.25">
      <c r="P2899" s="49"/>
      <c r="Q2899" s="1"/>
      <c r="S2899" s="1"/>
      <c r="T2899" s="1"/>
      <c r="U2899" s="1"/>
      <c r="V2899" s="1"/>
      <c r="W2899" s="1"/>
      <c r="X2899" s="1"/>
      <c r="Y2899" s="1"/>
      <c r="AB2899" s="1"/>
      <c r="AC2899" s="1"/>
      <c r="AD2899" s="1"/>
      <c r="AE2899" s="1"/>
      <c r="AF2899" s="1"/>
      <c r="AG2899" s="1"/>
      <c r="AH2899" s="1"/>
      <c r="AI2899" s="1"/>
      <c r="AJ2899" s="1"/>
      <c r="AK2899" s="1"/>
      <c r="AL2899" s="1"/>
      <c r="AM2899" s="1"/>
    </row>
    <row r="2900" spans="16:39" x14ac:dyDescent="0.25">
      <c r="P2900" s="49"/>
      <c r="Q2900" s="1"/>
      <c r="S2900" s="1"/>
      <c r="T2900" s="1"/>
      <c r="U2900" s="1"/>
      <c r="V2900" s="1"/>
      <c r="W2900" s="1"/>
      <c r="X2900" s="1"/>
      <c r="Y2900" s="1"/>
      <c r="AB2900" s="1"/>
      <c r="AC2900" s="1"/>
      <c r="AD2900" s="1"/>
      <c r="AE2900" s="1"/>
      <c r="AF2900" s="1"/>
      <c r="AG2900" s="1"/>
      <c r="AH2900" s="1"/>
      <c r="AI2900" s="1"/>
      <c r="AJ2900" s="1"/>
      <c r="AK2900" s="1"/>
      <c r="AL2900" s="1"/>
      <c r="AM2900" s="1"/>
    </row>
    <row r="2901" spans="16:39" x14ac:dyDescent="0.25">
      <c r="P2901" s="49"/>
      <c r="Q2901" s="1"/>
      <c r="S2901" s="1"/>
      <c r="T2901" s="1"/>
      <c r="U2901" s="1"/>
      <c r="V2901" s="1"/>
      <c r="W2901" s="1"/>
      <c r="X2901" s="1"/>
      <c r="Y2901" s="1"/>
      <c r="AB2901" s="1"/>
      <c r="AC2901" s="1"/>
      <c r="AD2901" s="1"/>
      <c r="AE2901" s="1"/>
      <c r="AF2901" s="1"/>
      <c r="AG2901" s="1"/>
      <c r="AH2901" s="1"/>
      <c r="AI2901" s="1"/>
      <c r="AJ2901" s="1"/>
      <c r="AK2901" s="1"/>
      <c r="AL2901" s="1"/>
      <c r="AM2901" s="1"/>
    </row>
    <row r="2902" spans="16:39" x14ac:dyDescent="0.25">
      <c r="P2902" s="49"/>
      <c r="Q2902" s="1"/>
      <c r="S2902" s="1"/>
      <c r="T2902" s="1"/>
      <c r="U2902" s="1"/>
      <c r="V2902" s="1"/>
      <c r="W2902" s="1"/>
      <c r="X2902" s="1"/>
      <c r="Y2902" s="1"/>
      <c r="AB2902" s="1"/>
      <c r="AC2902" s="1"/>
      <c r="AD2902" s="1"/>
      <c r="AE2902" s="1"/>
      <c r="AF2902" s="1"/>
      <c r="AG2902" s="1"/>
      <c r="AH2902" s="1"/>
      <c r="AI2902" s="1"/>
      <c r="AJ2902" s="1"/>
      <c r="AK2902" s="1"/>
      <c r="AL2902" s="1"/>
      <c r="AM2902" s="1"/>
    </row>
    <row r="2903" spans="16:39" x14ac:dyDescent="0.25">
      <c r="P2903" s="49"/>
      <c r="Q2903" s="1"/>
      <c r="S2903" s="1"/>
      <c r="T2903" s="1"/>
      <c r="U2903" s="1"/>
      <c r="V2903" s="1"/>
      <c r="W2903" s="1"/>
      <c r="X2903" s="1"/>
      <c r="Y2903" s="1"/>
      <c r="AB2903" s="1"/>
      <c r="AC2903" s="1"/>
      <c r="AD2903" s="1"/>
      <c r="AE2903" s="1"/>
      <c r="AF2903" s="1"/>
      <c r="AG2903" s="1"/>
      <c r="AH2903" s="1"/>
      <c r="AI2903" s="1"/>
      <c r="AJ2903" s="1"/>
      <c r="AK2903" s="1"/>
      <c r="AL2903" s="1"/>
      <c r="AM2903" s="1"/>
    </row>
    <row r="2904" spans="16:39" x14ac:dyDescent="0.25">
      <c r="P2904" s="49"/>
      <c r="Q2904" s="1"/>
      <c r="S2904" s="1"/>
      <c r="T2904" s="1"/>
      <c r="U2904" s="1"/>
      <c r="V2904" s="1"/>
      <c r="W2904" s="1"/>
      <c r="X2904" s="1"/>
      <c r="Y2904" s="1"/>
      <c r="AB2904" s="1"/>
      <c r="AC2904" s="1"/>
      <c r="AD2904" s="1"/>
      <c r="AE2904" s="1"/>
      <c r="AF2904" s="1"/>
      <c r="AG2904" s="1"/>
      <c r="AH2904" s="1"/>
      <c r="AI2904" s="1"/>
      <c r="AJ2904" s="1"/>
      <c r="AK2904" s="1"/>
      <c r="AL2904" s="1"/>
      <c r="AM2904" s="1"/>
    </row>
    <row r="2905" spans="16:39" x14ac:dyDescent="0.25">
      <c r="P2905" s="49"/>
      <c r="Q2905" s="1"/>
      <c r="S2905" s="1"/>
      <c r="T2905" s="1"/>
      <c r="U2905" s="1"/>
      <c r="V2905" s="1"/>
      <c r="W2905" s="1"/>
      <c r="X2905" s="1"/>
      <c r="Y2905" s="1"/>
      <c r="AB2905" s="1"/>
      <c r="AC2905" s="1"/>
      <c r="AD2905" s="1"/>
      <c r="AE2905" s="1"/>
      <c r="AF2905" s="1"/>
      <c r="AG2905" s="1"/>
      <c r="AH2905" s="1"/>
      <c r="AI2905" s="1"/>
      <c r="AJ2905" s="1"/>
      <c r="AK2905" s="1"/>
      <c r="AL2905" s="1"/>
      <c r="AM2905" s="1"/>
    </row>
    <row r="2906" spans="16:39" x14ac:dyDescent="0.25">
      <c r="P2906" s="49"/>
      <c r="Q2906" s="1"/>
      <c r="S2906" s="1"/>
      <c r="T2906" s="1"/>
      <c r="U2906" s="1"/>
      <c r="V2906" s="1"/>
      <c r="W2906" s="1"/>
      <c r="X2906" s="1"/>
      <c r="Y2906" s="1"/>
      <c r="AB2906" s="1"/>
      <c r="AC2906" s="1"/>
      <c r="AD2906" s="1"/>
      <c r="AE2906" s="1"/>
      <c r="AF2906" s="1"/>
      <c r="AG2906" s="1"/>
      <c r="AH2906" s="1"/>
      <c r="AI2906" s="1"/>
      <c r="AJ2906" s="1"/>
      <c r="AK2906" s="1"/>
      <c r="AL2906" s="1"/>
      <c r="AM2906" s="1"/>
    </row>
    <row r="2907" spans="16:39" x14ac:dyDescent="0.25">
      <c r="P2907" s="49"/>
      <c r="Q2907" s="1"/>
      <c r="S2907" s="1"/>
      <c r="T2907" s="1"/>
      <c r="U2907" s="1"/>
      <c r="V2907" s="1"/>
      <c r="W2907" s="1"/>
      <c r="X2907" s="1"/>
      <c r="Y2907" s="1"/>
      <c r="AB2907" s="1"/>
      <c r="AC2907" s="1"/>
      <c r="AD2907" s="1"/>
      <c r="AE2907" s="1"/>
      <c r="AF2907" s="1"/>
      <c r="AG2907" s="1"/>
      <c r="AH2907" s="1"/>
      <c r="AI2907" s="1"/>
      <c r="AJ2907" s="1"/>
      <c r="AK2907" s="1"/>
      <c r="AL2907" s="1"/>
      <c r="AM2907" s="1"/>
    </row>
    <row r="2908" spans="16:39" x14ac:dyDescent="0.25">
      <c r="P2908" s="49"/>
      <c r="Q2908" s="1"/>
      <c r="S2908" s="1"/>
      <c r="T2908" s="1"/>
      <c r="U2908" s="1"/>
      <c r="V2908" s="1"/>
      <c r="W2908" s="1"/>
      <c r="X2908" s="1"/>
      <c r="Y2908" s="1"/>
      <c r="AB2908" s="1"/>
      <c r="AC2908" s="1"/>
      <c r="AD2908" s="1"/>
      <c r="AE2908" s="1"/>
      <c r="AF2908" s="1"/>
      <c r="AG2908" s="1"/>
      <c r="AH2908" s="1"/>
      <c r="AI2908" s="1"/>
      <c r="AJ2908" s="1"/>
      <c r="AK2908" s="1"/>
      <c r="AL2908" s="1"/>
      <c r="AM2908" s="1"/>
    </row>
    <row r="2909" spans="16:39" x14ac:dyDescent="0.25">
      <c r="P2909" s="49"/>
      <c r="Q2909" s="1"/>
      <c r="S2909" s="1"/>
      <c r="T2909" s="1"/>
      <c r="U2909" s="1"/>
      <c r="V2909" s="1"/>
      <c r="W2909" s="1"/>
      <c r="X2909" s="1"/>
      <c r="Y2909" s="1"/>
      <c r="AB2909" s="1"/>
      <c r="AC2909" s="1"/>
      <c r="AD2909" s="1"/>
      <c r="AE2909" s="1"/>
      <c r="AF2909" s="1"/>
      <c r="AG2909" s="1"/>
      <c r="AH2909" s="1"/>
      <c r="AI2909" s="1"/>
      <c r="AJ2909" s="1"/>
      <c r="AK2909" s="1"/>
      <c r="AL2909" s="1"/>
      <c r="AM2909" s="1"/>
    </row>
    <row r="2910" spans="16:39" x14ac:dyDescent="0.25">
      <c r="P2910" s="49"/>
      <c r="Q2910" s="1"/>
      <c r="S2910" s="1"/>
      <c r="T2910" s="1"/>
      <c r="U2910" s="1"/>
      <c r="V2910" s="1"/>
      <c r="W2910" s="1"/>
      <c r="X2910" s="1"/>
      <c r="Y2910" s="1"/>
      <c r="AB2910" s="1"/>
      <c r="AC2910" s="1"/>
      <c r="AD2910" s="1"/>
      <c r="AE2910" s="1"/>
      <c r="AF2910" s="1"/>
      <c r="AG2910" s="1"/>
      <c r="AH2910" s="1"/>
      <c r="AI2910" s="1"/>
      <c r="AJ2910" s="1"/>
      <c r="AK2910" s="1"/>
      <c r="AL2910" s="1"/>
      <c r="AM2910" s="1"/>
    </row>
    <row r="2911" spans="16:39" x14ac:dyDescent="0.25">
      <c r="P2911" s="49"/>
      <c r="Q2911" s="1"/>
      <c r="S2911" s="1"/>
      <c r="T2911" s="1"/>
      <c r="U2911" s="1"/>
      <c r="V2911" s="1"/>
      <c r="W2911" s="1"/>
      <c r="X2911" s="1"/>
      <c r="Y2911" s="1"/>
      <c r="AB2911" s="1"/>
      <c r="AC2911" s="1"/>
      <c r="AD2911" s="1"/>
      <c r="AE2911" s="1"/>
      <c r="AF2911" s="1"/>
      <c r="AG2911" s="1"/>
      <c r="AH2911" s="1"/>
      <c r="AI2911" s="1"/>
      <c r="AJ2911" s="1"/>
      <c r="AK2911" s="1"/>
      <c r="AL2911" s="1"/>
      <c r="AM2911" s="1"/>
    </row>
    <row r="2912" spans="16:39" x14ac:dyDescent="0.25">
      <c r="P2912" s="49"/>
      <c r="Q2912" s="1"/>
      <c r="S2912" s="1"/>
      <c r="T2912" s="1"/>
      <c r="U2912" s="1"/>
      <c r="V2912" s="1"/>
      <c r="W2912" s="1"/>
      <c r="X2912" s="1"/>
      <c r="Y2912" s="1"/>
      <c r="AB2912" s="1"/>
      <c r="AC2912" s="1"/>
      <c r="AD2912" s="1"/>
      <c r="AE2912" s="1"/>
      <c r="AF2912" s="1"/>
      <c r="AG2912" s="1"/>
      <c r="AH2912" s="1"/>
      <c r="AI2912" s="1"/>
      <c r="AJ2912" s="1"/>
      <c r="AK2912" s="1"/>
      <c r="AL2912" s="1"/>
      <c r="AM2912" s="1"/>
    </row>
    <row r="2913" spans="16:39" x14ac:dyDescent="0.25">
      <c r="P2913" s="49"/>
      <c r="Q2913" s="1"/>
      <c r="S2913" s="1"/>
      <c r="T2913" s="1"/>
      <c r="U2913" s="1"/>
      <c r="V2913" s="1"/>
      <c r="W2913" s="1"/>
      <c r="X2913" s="1"/>
      <c r="Y2913" s="1"/>
      <c r="AB2913" s="1"/>
      <c r="AC2913" s="1"/>
      <c r="AD2913" s="1"/>
      <c r="AE2913" s="1"/>
      <c r="AF2913" s="1"/>
      <c r="AG2913" s="1"/>
      <c r="AH2913" s="1"/>
      <c r="AI2913" s="1"/>
      <c r="AJ2913" s="1"/>
      <c r="AK2913" s="1"/>
      <c r="AL2913" s="1"/>
      <c r="AM2913" s="1"/>
    </row>
    <row r="2914" spans="16:39" x14ac:dyDescent="0.25">
      <c r="P2914" s="49"/>
      <c r="Q2914" s="1"/>
      <c r="S2914" s="1"/>
      <c r="T2914" s="1"/>
      <c r="U2914" s="1"/>
      <c r="V2914" s="1"/>
      <c r="W2914" s="1"/>
      <c r="X2914" s="1"/>
      <c r="Y2914" s="1"/>
      <c r="AB2914" s="1"/>
      <c r="AC2914" s="1"/>
      <c r="AD2914" s="1"/>
      <c r="AE2914" s="1"/>
      <c r="AF2914" s="1"/>
      <c r="AG2914" s="1"/>
      <c r="AH2914" s="1"/>
      <c r="AI2914" s="1"/>
      <c r="AJ2914" s="1"/>
      <c r="AK2914" s="1"/>
      <c r="AL2914" s="1"/>
      <c r="AM2914" s="1"/>
    </row>
    <row r="2915" spans="16:39" x14ac:dyDescent="0.25">
      <c r="P2915" s="49"/>
      <c r="Q2915" s="1"/>
      <c r="S2915" s="1"/>
      <c r="T2915" s="1"/>
      <c r="U2915" s="1"/>
      <c r="V2915" s="1"/>
      <c r="W2915" s="1"/>
      <c r="X2915" s="1"/>
      <c r="Y2915" s="1"/>
      <c r="AB2915" s="1"/>
      <c r="AC2915" s="1"/>
      <c r="AD2915" s="1"/>
      <c r="AE2915" s="1"/>
      <c r="AF2915" s="1"/>
      <c r="AG2915" s="1"/>
      <c r="AH2915" s="1"/>
      <c r="AI2915" s="1"/>
      <c r="AJ2915" s="1"/>
      <c r="AK2915" s="1"/>
      <c r="AL2915" s="1"/>
      <c r="AM2915" s="1"/>
    </row>
    <row r="2916" spans="16:39" x14ac:dyDescent="0.25">
      <c r="P2916" s="49"/>
      <c r="Q2916" s="1"/>
      <c r="S2916" s="1"/>
      <c r="T2916" s="1"/>
      <c r="U2916" s="1"/>
      <c r="V2916" s="1"/>
      <c r="W2916" s="1"/>
      <c r="X2916" s="1"/>
      <c r="Y2916" s="1"/>
      <c r="AB2916" s="1"/>
      <c r="AC2916" s="1"/>
      <c r="AD2916" s="1"/>
      <c r="AE2916" s="1"/>
      <c r="AF2916" s="1"/>
      <c r="AG2916" s="1"/>
      <c r="AH2916" s="1"/>
      <c r="AI2916" s="1"/>
      <c r="AJ2916" s="1"/>
      <c r="AK2916" s="1"/>
      <c r="AL2916" s="1"/>
      <c r="AM2916" s="1"/>
    </row>
    <row r="2917" spans="16:39" x14ac:dyDescent="0.25">
      <c r="P2917" s="49"/>
      <c r="Q2917" s="1"/>
      <c r="S2917" s="1"/>
      <c r="T2917" s="1"/>
      <c r="U2917" s="1"/>
      <c r="V2917" s="1"/>
      <c r="W2917" s="1"/>
      <c r="X2917" s="1"/>
      <c r="Y2917" s="1"/>
      <c r="AB2917" s="1"/>
      <c r="AC2917" s="1"/>
      <c r="AD2917" s="1"/>
      <c r="AE2917" s="1"/>
      <c r="AF2917" s="1"/>
      <c r="AG2917" s="1"/>
      <c r="AH2917" s="1"/>
      <c r="AI2917" s="1"/>
      <c r="AJ2917" s="1"/>
      <c r="AK2917" s="1"/>
      <c r="AL2917" s="1"/>
      <c r="AM2917" s="1"/>
    </row>
    <row r="2918" spans="16:39" x14ac:dyDescent="0.25">
      <c r="P2918" s="49"/>
      <c r="Q2918" s="1"/>
      <c r="S2918" s="1"/>
      <c r="T2918" s="1"/>
      <c r="U2918" s="1"/>
      <c r="V2918" s="1"/>
      <c r="W2918" s="1"/>
      <c r="X2918" s="1"/>
      <c r="Y2918" s="1"/>
      <c r="AB2918" s="1"/>
      <c r="AC2918" s="1"/>
      <c r="AD2918" s="1"/>
      <c r="AE2918" s="1"/>
      <c r="AF2918" s="1"/>
      <c r="AG2918" s="1"/>
      <c r="AH2918" s="1"/>
      <c r="AI2918" s="1"/>
      <c r="AJ2918" s="1"/>
      <c r="AK2918" s="1"/>
      <c r="AL2918" s="1"/>
      <c r="AM2918" s="1"/>
    </row>
    <row r="2919" spans="16:39" x14ac:dyDescent="0.25">
      <c r="P2919" s="49"/>
      <c r="Q2919" s="1"/>
      <c r="S2919" s="1"/>
      <c r="T2919" s="1"/>
      <c r="U2919" s="1"/>
      <c r="V2919" s="1"/>
      <c r="W2919" s="1"/>
      <c r="X2919" s="1"/>
      <c r="Y2919" s="1"/>
      <c r="AB2919" s="1"/>
      <c r="AC2919" s="1"/>
      <c r="AD2919" s="1"/>
      <c r="AE2919" s="1"/>
      <c r="AF2919" s="1"/>
      <c r="AG2919" s="1"/>
      <c r="AH2919" s="1"/>
      <c r="AI2919" s="1"/>
      <c r="AJ2919" s="1"/>
      <c r="AK2919" s="1"/>
      <c r="AL2919" s="1"/>
      <c r="AM2919" s="1"/>
    </row>
    <row r="2920" spans="16:39" x14ac:dyDescent="0.25">
      <c r="P2920" s="49"/>
      <c r="Q2920" s="1"/>
      <c r="S2920" s="1"/>
      <c r="T2920" s="1"/>
      <c r="U2920" s="1"/>
      <c r="V2920" s="1"/>
      <c r="W2920" s="1"/>
      <c r="X2920" s="1"/>
      <c r="Y2920" s="1"/>
      <c r="AB2920" s="1"/>
      <c r="AC2920" s="1"/>
      <c r="AD2920" s="1"/>
      <c r="AE2920" s="1"/>
      <c r="AF2920" s="1"/>
      <c r="AG2920" s="1"/>
      <c r="AH2920" s="1"/>
      <c r="AI2920" s="1"/>
      <c r="AJ2920" s="1"/>
      <c r="AK2920" s="1"/>
      <c r="AL2920" s="1"/>
      <c r="AM2920" s="1"/>
    </row>
    <row r="2921" spans="16:39" x14ac:dyDescent="0.25">
      <c r="P2921" s="49"/>
      <c r="Q2921" s="1"/>
      <c r="S2921" s="1"/>
      <c r="T2921" s="1"/>
      <c r="U2921" s="1"/>
      <c r="V2921" s="1"/>
      <c r="W2921" s="1"/>
      <c r="X2921" s="1"/>
      <c r="Y2921" s="1"/>
      <c r="AB2921" s="1"/>
      <c r="AC2921" s="1"/>
      <c r="AD2921" s="1"/>
      <c r="AE2921" s="1"/>
      <c r="AF2921" s="1"/>
      <c r="AG2921" s="1"/>
      <c r="AH2921" s="1"/>
      <c r="AI2921" s="1"/>
      <c r="AJ2921" s="1"/>
      <c r="AK2921" s="1"/>
      <c r="AL2921" s="1"/>
      <c r="AM2921" s="1"/>
    </row>
    <row r="2922" spans="16:39" x14ac:dyDescent="0.25">
      <c r="P2922" s="49"/>
      <c r="Q2922" s="1"/>
      <c r="S2922" s="1"/>
      <c r="T2922" s="1"/>
      <c r="U2922" s="1"/>
      <c r="V2922" s="1"/>
      <c r="W2922" s="1"/>
      <c r="X2922" s="1"/>
      <c r="Y2922" s="1"/>
      <c r="AB2922" s="1"/>
      <c r="AC2922" s="1"/>
      <c r="AD2922" s="1"/>
      <c r="AE2922" s="1"/>
      <c r="AF2922" s="1"/>
      <c r="AG2922" s="1"/>
      <c r="AH2922" s="1"/>
      <c r="AI2922" s="1"/>
      <c r="AJ2922" s="1"/>
      <c r="AK2922" s="1"/>
      <c r="AL2922" s="1"/>
      <c r="AM2922" s="1"/>
    </row>
    <row r="2923" spans="16:39" x14ac:dyDescent="0.25">
      <c r="P2923" s="49"/>
      <c r="Q2923" s="1"/>
      <c r="S2923" s="1"/>
      <c r="T2923" s="1"/>
      <c r="U2923" s="1"/>
      <c r="V2923" s="1"/>
      <c r="W2923" s="1"/>
      <c r="X2923" s="1"/>
      <c r="Y2923" s="1"/>
      <c r="AB2923" s="1"/>
      <c r="AC2923" s="1"/>
      <c r="AD2923" s="1"/>
      <c r="AE2923" s="1"/>
      <c r="AF2923" s="1"/>
      <c r="AG2923" s="1"/>
      <c r="AH2923" s="1"/>
      <c r="AI2923" s="1"/>
      <c r="AJ2923" s="1"/>
      <c r="AK2923" s="1"/>
      <c r="AL2923" s="1"/>
      <c r="AM2923" s="1"/>
    </row>
    <row r="2924" spans="16:39" x14ac:dyDescent="0.25">
      <c r="P2924" s="49"/>
      <c r="Q2924" s="1"/>
      <c r="S2924" s="1"/>
      <c r="T2924" s="1"/>
      <c r="U2924" s="1"/>
      <c r="V2924" s="1"/>
      <c r="W2924" s="1"/>
      <c r="X2924" s="1"/>
      <c r="Y2924" s="1"/>
      <c r="AB2924" s="1"/>
      <c r="AC2924" s="1"/>
      <c r="AD2924" s="1"/>
      <c r="AE2924" s="1"/>
      <c r="AF2924" s="1"/>
      <c r="AG2924" s="1"/>
      <c r="AH2924" s="1"/>
      <c r="AI2924" s="1"/>
      <c r="AJ2924" s="1"/>
      <c r="AK2924" s="1"/>
      <c r="AL2924" s="1"/>
      <c r="AM2924" s="1"/>
    </row>
    <row r="2925" spans="16:39" x14ac:dyDescent="0.25">
      <c r="P2925" s="49"/>
      <c r="Q2925" s="1"/>
      <c r="S2925" s="1"/>
      <c r="T2925" s="1"/>
      <c r="U2925" s="1"/>
      <c r="V2925" s="1"/>
      <c r="W2925" s="1"/>
      <c r="X2925" s="1"/>
      <c r="Y2925" s="1"/>
      <c r="AB2925" s="1"/>
      <c r="AC2925" s="1"/>
      <c r="AD2925" s="1"/>
      <c r="AE2925" s="1"/>
      <c r="AF2925" s="1"/>
      <c r="AG2925" s="1"/>
      <c r="AH2925" s="1"/>
      <c r="AI2925" s="1"/>
      <c r="AJ2925" s="1"/>
      <c r="AK2925" s="1"/>
      <c r="AL2925" s="1"/>
      <c r="AM2925" s="1"/>
    </row>
    <row r="2926" spans="16:39" x14ac:dyDescent="0.25">
      <c r="P2926" s="49"/>
      <c r="Q2926" s="1"/>
      <c r="S2926" s="1"/>
      <c r="T2926" s="1"/>
      <c r="U2926" s="1"/>
      <c r="V2926" s="1"/>
      <c r="W2926" s="1"/>
      <c r="X2926" s="1"/>
      <c r="Y2926" s="1"/>
      <c r="AB2926" s="1"/>
      <c r="AC2926" s="1"/>
      <c r="AD2926" s="1"/>
      <c r="AE2926" s="1"/>
      <c r="AF2926" s="1"/>
      <c r="AG2926" s="1"/>
      <c r="AH2926" s="1"/>
      <c r="AI2926" s="1"/>
      <c r="AJ2926" s="1"/>
      <c r="AK2926" s="1"/>
      <c r="AL2926" s="1"/>
      <c r="AM2926" s="1"/>
    </row>
    <row r="2927" spans="16:39" x14ac:dyDescent="0.25">
      <c r="P2927" s="49"/>
      <c r="Q2927" s="1"/>
      <c r="S2927" s="1"/>
      <c r="T2927" s="1"/>
      <c r="U2927" s="1"/>
      <c r="V2927" s="1"/>
      <c r="W2927" s="1"/>
      <c r="X2927" s="1"/>
      <c r="Y2927" s="1"/>
      <c r="AB2927" s="1"/>
      <c r="AC2927" s="1"/>
      <c r="AD2927" s="1"/>
      <c r="AE2927" s="1"/>
      <c r="AF2927" s="1"/>
      <c r="AG2927" s="1"/>
      <c r="AH2927" s="1"/>
      <c r="AI2927" s="1"/>
      <c r="AJ2927" s="1"/>
      <c r="AK2927" s="1"/>
      <c r="AL2927" s="1"/>
      <c r="AM2927" s="1"/>
    </row>
    <row r="2928" spans="16:39" x14ac:dyDescent="0.25">
      <c r="P2928" s="49"/>
      <c r="Q2928" s="1"/>
      <c r="S2928" s="1"/>
      <c r="T2928" s="1"/>
      <c r="U2928" s="1"/>
      <c r="V2928" s="1"/>
      <c r="W2928" s="1"/>
      <c r="X2928" s="1"/>
      <c r="Y2928" s="1"/>
      <c r="AB2928" s="1"/>
      <c r="AC2928" s="1"/>
      <c r="AD2928" s="1"/>
      <c r="AE2928" s="1"/>
      <c r="AF2928" s="1"/>
      <c r="AG2928" s="1"/>
      <c r="AH2928" s="1"/>
      <c r="AI2928" s="1"/>
      <c r="AJ2928" s="1"/>
      <c r="AK2928" s="1"/>
      <c r="AL2928" s="1"/>
      <c r="AM2928" s="1"/>
    </row>
    <row r="2929" spans="16:39" x14ac:dyDescent="0.25">
      <c r="P2929" s="49"/>
      <c r="Q2929" s="1"/>
      <c r="S2929" s="1"/>
      <c r="T2929" s="1"/>
      <c r="U2929" s="1"/>
      <c r="V2929" s="1"/>
      <c r="W2929" s="1"/>
      <c r="X2929" s="1"/>
      <c r="Y2929" s="1"/>
      <c r="AB2929" s="1"/>
      <c r="AC2929" s="1"/>
      <c r="AD2929" s="1"/>
      <c r="AE2929" s="1"/>
      <c r="AF2929" s="1"/>
      <c r="AG2929" s="1"/>
      <c r="AH2929" s="1"/>
      <c r="AI2929" s="1"/>
      <c r="AJ2929" s="1"/>
      <c r="AK2929" s="1"/>
      <c r="AL2929" s="1"/>
      <c r="AM2929" s="1"/>
    </row>
    <row r="2930" spans="16:39" x14ac:dyDescent="0.25">
      <c r="P2930" s="49"/>
      <c r="Q2930" s="1"/>
      <c r="S2930" s="1"/>
      <c r="T2930" s="1"/>
      <c r="U2930" s="1"/>
      <c r="V2930" s="1"/>
      <c r="W2930" s="1"/>
      <c r="X2930" s="1"/>
      <c r="Y2930" s="1"/>
      <c r="AB2930" s="1"/>
      <c r="AC2930" s="1"/>
      <c r="AD2930" s="1"/>
      <c r="AE2930" s="1"/>
      <c r="AF2930" s="1"/>
      <c r="AG2930" s="1"/>
      <c r="AH2930" s="1"/>
      <c r="AI2930" s="1"/>
      <c r="AJ2930" s="1"/>
      <c r="AK2930" s="1"/>
      <c r="AL2930" s="1"/>
      <c r="AM2930" s="1"/>
    </row>
    <row r="2931" spans="16:39" x14ac:dyDescent="0.25">
      <c r="P2931" s="49"/>
      <c r="Q2931" s="1"/>
      <c r="S2931" s="1"/>
      <c r="T2931" s="1"/>
      <c r="U2931" s="1"/>
      <c r="V2931" s="1"/>
      <c r="W2931" s="1"/>
      <c r="X2931" s="1"/>
      <c r="Y2931" s="1"/>
      <c r="AB2931" s="1"/>
      <c r="AC2931" s="1"/>
      <c r="AD2931" s="1"/>
      <c r="AE2931" s="1"/>
      <c r="AF2931" s="1"/>
      <c r="AG2931" s="1"/>
      <c r="AH2931" s="1"/>
      <c r="AI2931" s="1"/>
      <c r="AJ2931" s="1"/>
      <c r="AK2931" s="1"/>
      <c r="AL2931" s="1"/>
      <c r="AM2931" s="1"/>
    </row>
    <row r="2932" spans="16:39" x14ac:dyDescent="0.25">
      <c r="P2932" s="49"/>
      <c r="Q2932" s="1"/>
      <c r="S2932" s="1"/>
      <c r="T2932" s="1"/>
      <c r="U2932" s="1"/>
      <c r="V2932" s="1"/>
      <c r="W2932" s="1"/>
      <c r="X2932" s="1"/>
      <c r="Y2932" s="1"/>
      <c r="AB2932" s="1"/>
      <c r="AC2932" s="1"/>
      <c r="AD2932" s="1"/>
      <c r="AE2932" s="1"/>
      <c r="AF2932" s="1"/>
      <c r="AG2932" s="1"/>
      <c r="AH2932" s="1"/>
      <c r="AI2932" s="1"/>
      <c r="AJ2932" s="1"/>
      <c r="AK2932" s="1"/>
      <c r="AL2932" s="1"/>
      <c r="AM2932" s="1"/>
    </row>
    <row r="2933" spans="16:39" x14ac:dyDescent="0.25">
      <c r="P2933" s="49"/>
      <c r="Q2933" s="1"/>
      <c r="S2933" s="1"/>
      <c r="T2933" s="1"/>
      <c r="U2933" s="1"/>
      <c r="V2933" s="1"/>
      <c r="W2933" s="1"/>
      <c r="X2933" s="1"/>
      <c r="Y2933" s="1"/>
      <c r="AB2933" s="1"/>
      <c r="AC2933" s="1"/>
      <c r="AD2933" s="1"/>
      <c r="AE2933" s="1"/>
      <c r="AF2933" s="1"/>
      <c r="AG2933" s="1"/>
      <c r="AH2933" s="1"/>
      <c r="AI2933" s="1"/>
      <c r="AJ2933" s="1"/>
      <c r="AK2933" s="1"/>
      <c r="AL2933" s="1"/>
      <c r="AM2933" s="1"/>
    </row>
    <row r="2934" spans="16:39" x14ac:dyDescent="0.25">
      <c r="P2934" s="49"/>
      <c r="Q2934" s="1"/>
      <c r="S2934" s="1"/>
      <c r="T2934" s="1"/>
      <c r="U2934" s="1"/>
      <c r="V2934" s="1"/>
      <c r="W2934" s="1"/>
      <c r="X2934" s="1"/>
      <c r="Y2934" s="1"/>
      <c r="AB2934" s="1"/>
      <c r="AC2934" s="1"/>
      <c r="AD2934" s="1"/>
      <c r="AE2934" s="1"/>
      <c r="AF2934" s="1"/>
      <c r="AG2934" s="1"/>
      <c r="AH2934" s="1"/>
      <c r="AI2934" s="1"/>
      <c r="AJ2934" s="1"/>
      <c r="AK2934" s="1"/>
      <c r="AL2934" s="1"/>
      <c r="AM2934" s="1"/>
    </row>
    <row r="2935" spans="16:39" x14ac:dyDescent="0.25">
      <c r="P2935" s="49"/>
      <c r="Q2935" s="1"/>
      <c r="S2935" s="1"/>
      <c r="T2935" s="1"/>
      <c r="U2935" s="1"/>
      <c r="V2935" s="1"/>
      <c r="W2935" s="1"/>
      <c r="X2935" s="1"/>
      <c r="Y2935" s="1"/>
      <c r="AB2935" s="1"/>
      <c r="AC2935" s="1"/>
      <c r="AD2935" s="1"/>
      <c r="AE2935" s="1"/>
      <c r="AF2935" s="1"/>
      <c r="AG2935" s="1"/>
      <c r="AH2935" s="1"/>
      <c r="AI2935" s="1"/>
      <c r="AJ2935" s="1"/>
      <c r="AK2935" s="1"/>
      <c r="AL2935" s="1"/>
      <c r="AM2935" s="1"/>
    </row>
    <row r="2936" spans="16:39" x14ac:dyDescent="0.25">
      <c r="P2936" s="49"/>
      <c r="Q2936" s="1"/>
      <c r="S2936" s="1"/>
      <c r="T2936" s="1"/>
      <c r="U2936" s="1"/>
      <c r="V2936" s="1"/>
      <c r="W2936" s="1"/>
      <c r="X2936" s="1"/>
      <c r="Y2936" s="1"/>
      <c r="AB2936" s="1"/>
      <c r="AC2936" s="1"/>
      <c r="AD2936" s="1"/>
      <c r="AE2936" s="1"/>
      <c r="AF2936" s="1"/>
      <c r="AG2936" s="1"/>
      <c r="AH2936" s="1"/>
      <c r="AI2936" s="1"/>
      <c r="AJ2936" s="1"/>
      <c r="AK2936" s="1"/>
      <c r="AL2936" s="1"/>
      <c r="AM2936" s="1"/>
    </row>
    <row r="2937" spans="16:39" x14ac:dyDescent="0.25">
      <c r="P2937" s="49"/>
      <c r="Q2937" s="1"/>
      <c r="S2937" s="1"/>
      <c r="T2937" s="1"/>
      <c r="U2937" s="1"/>
      <c r="V2937" s="1"/>
      <c r="W2937" s="1"/>
      <c r="X2937" s="1"/>
      <c r="Y2937" s="1"/>
      <c r="AB2937" s="1"/>
      <c r="AC2937" s="1"/>
      <c r="AD2937" s="1"/>
      <c r="AE2937" s="1"/>
      <c r="AF2937" s="1"/>
      <c r="AG2937" s="1"/>
      <c r="AH2937" s="1"/>
      <c r="AI2937" s="1"/>
      <c r="AJ2937" s="1"/>
      <c r="AK2937" s="1"/>
      <c r="AL2937" s="1"/>
      <c r="AM2937" s="1"/>
    </row>
    <row r="2938" spans="16:39" x14ac:dyDescent="0.25">
      <c r="P2938" s="49"/>
      <c r="Q2938" s="1"/>
      <c r="S2938" s="1"/>
      <c r="T2938" s="1"/>
      <c r="U2938" s="1"/>
      <c r="V2938" s="1"/>
      <c r="W2938" s="1"/>
      <c r="X2938" s="1"/>
      <c r="Y2938" s="1"/>
      <c r="AB2938" s="1"/>
      <c r="AC2938" s="1"/>
      <c r="AD2938" s="1"/>
      <c r="AE2938" s="1"/>
      <c r="AF2938" s="1"/>
      <c r="AG2938" s="1"/>
      <c r="AH2938" s="1"/>
      <c r="AI2938" s="1"/>
      <c r="AJ2938" s="1"/>
      <c r="AK2938" s="1"/>
      <c r="AL2938" s="1"/>
      <c r="AM2938" s="1"/>
    </row>
    <row r="2939" spans="16:39" x14ac:dyDescent="0.25">
      <c r="P2939" s="49"/>
      <c r="Q2939" s="1"/>
      <c r="S2939" s="1"/>
      <c r="T2939" s="1"/>
      <c r="U2939" s="1"/>
      <c r="V2939" s="1"/>
      <c r="W2939" s="1"/>
      <c r="X2939" s="1"/>
      <c r="Y2939" s="1"/>
      <c r="AB2939" s="1"/>
      <c r="AC2939" s="1"/>
      <c r="AD2939" s="1"/>
      <c r="AE2939" s="1"/>
      <c r="AF2939" s="1"/>
      <c r="AG2939" s="1"/>
      <c r="AH2939" s="1"/>
      <c r="AI2939" s="1"/>
      <c r="AJ2939" s="1"/>
      <c r="AK2939" s="1"/>
      <c r="AL2939" s="1"/>
      <c r="AM2939" s="1"/>
    </row>
    <row r="2940" spans="16:39" x14ac:dyDescent="0.25">
      <c r="P2940" s="49"/>
      <c r="Q2940" s="1"/>
      <c r="S2940" s="1"/>
      <c r="T2940" s="1"/>
      <c r="U2940" s="1"/>
      <c r="V2940" s="1"/>
      <c r="W2940" s="1"/>
      <c r="X2940" s="1"/>
      <c r="Y2940" s="1"/>
      <c r="AB2940" s="1"/>
      <c r="AC2940" s="1"/>
      <c r="AD2940" s="1"/>
      <c r="AE2940" s="1"/>
      <c r="AF2940" s="1"/>
      <c r="AG2940" s="1"/>
      <c r="AH2940" s="1"/>
      <c r="AI2940" s="1"/>
      <c r="AJ2940" s="1"/>
      <c r="AK2940" s="1"/>
      <c r="AL2940" s="1"/>
      <c r="AM2940" s="1"/>
    </row>
    <row r="2941" spans="16:39" x14ac:dyDescent="0.25">
      <c r="P2941" s="49"/>
      <c r="Q2941" s="1"/>
      <c r="S2941" s="1"/>
      <c r="T2941" s="1"/>
      <c r="U2941" s="1"/>
      <c r="V2941" s="1"/>
      <c r="W2941" s="1"/>
      <c r="X2941" s="1"/>
      <c r="Y2941" s="1"/>
      <c r="AB2941" s="1"/>
      <c r="AC2941" s="1"/>
      <c r="AD2941" s="1"/>
      <c r="AE2941" s="1"/>
      <c r="AF2941" s="1"/>
      <c r="AG2941" s="1"/>
      <c r="AH2941" s="1"/>
      <c r="AI2941" s="1"/>
      <c r="AJ2941" s="1"/>
      <c r="AK2941" s="1"/>
      <c r="AL2941" s="1"/>
      <c r="AM2941" s="1"/>
    </row>
    <row r="2942" spans="16:39" x14ac:dyDescent="0.25">
      <c r="P2942" s="49"/>
      <c r="Q2942" s="1"/>
      <c r="S2942" s="1"/>
      <c r="T2942" s="1"/>
      <c r="U2942" s="1"/>
      <c r="V2942" s="1"/>
      <c r="W2942" s="1"/>
      <c r="X2942" s="1"/>
      <c r="Y2942" s="1"/>
      <c r="AB2942" s="1"/>
      <c r="AC2942" s="1"/>
      <c r="AD2942" s="1"/>
      <c r="AE2942" s="1"/>
      <c r="AF2942" s="1"/>
      <c r="AG2942" s="1"/>
      <c r="AH2942" s="1"/>
      <c r="AI2942" s="1"/>
      <c r="AJ2942" s="1"/>
      <c r="AK2942" s="1"/>
      <c r="AL2942" s="1"/>
      <c r="AM2942" s="1"/>
    </row>
    <row r="2943" spans="16:39" x14ac:dyDescent="0.25">
      <c r="P2943" s="49"/>
      <c r="Q2943" s="1"/>
      <c r="S2943" s="1"/>
      <c r="T2943" s="1"/>
      <c r="U2943" s="1"/>
      <c r="V2943" s="1"/>
      <c r="W2943" s="1"/>
      <c r="X2943" s="1"/>
      <c r="Y2943" s="1"/>
      <c r="AB2943" s="1"/>
      <c r="AC2943" s="1"/>
      <c r="AD2943" s="1"/>
      <c r="AE2943" s="1"/>
      <c r="AF2943" s="1"/>
      <c r="AG2943" s="1"/>
      <c r="AH2943" s="1"/>
      <c r="AI2943" s="1"/>
      <c r="AJ2943" s="1"/>
      <c r="AK2943" s="1"/>
      <c r="AL2943" s="1"/>
      <c r="AM2943" s="1"/>
    </row>
    <row r="2944" spans="16:39" x14ac:dyDescent="0.25">
      <c r="P2944" s="49"/>
      <c r="Q2944" s="1"/>
      <c r="S2944" s="1"/>
      <c r="T2944" s="1"/>
      <c r="U2944" s="1"/>
      <c r="V2944" s="1"/>
      <c r="W2944" s="1"/>
      <c r="X2944" s="1"/>
      <c r="Y2944" s="1"/>
      <c r="AB2944" s="1"/>
      <c r="AC2944" s="1"/>
      <c r="AD2944" s="1"/>
      <c r="AE2944" s="1"/>
      <c r="AF2944" s="1"/>
      <c r="AG2944" s="1"/>
      <c r="AH2944" s="1"/>
      <c r="AI2944" s="1"/>
      <c r="AJ2944" s="1"/>
      <c r="AK2944" s="1"/>
      <c r="AL2944" s="1"/>
      <c r="AM2944" s="1"/>
    </row>
    <row r="2945" spans="16:39" x14ac:dyDescent="0.25">
      <c r="P2945" s="49"/>
      <c r="Q2945" s="1"/>
      <c r="S2945" s="1"/>
      <c r="T2945" s="1"/>
      <c r="U2945" s="1"/>
      <c r="V2945" s="1"/>
      <c r="W2945" s="1"/>
      <c r="X2945" s="1"/>
      <c r="Y2945" s="1"/>
      <c r="AB2945" s="1"/>
      <c r="AC2945" s="1"/>
      <c r="AD2945" s="1"/>
      <c r="AE2945" s="1"/>
      <c r="AF2945" s="1"/>
      <c r="AG2945" s="1"/>
      <c r="AH2945" s="1"/>
      <c r="AI2945" s="1"/>
      <c r="AJ2945" s="1"/>
      <c r="AK2945" s="1"/>
      <c r="AL2945" s="1"/>
      <c r="AM2945" s="1"/>
    </row>
    <row r="2946" spans="16:39" x14ac:dyDescent="0.25">
      <c r="P2946" s="49"/>
      <c r="Q2946" s="1"/>
      <c r="S2946" s="1"/>
      <c r="T2946" s="1"/>
      <c r="U2946" s="1"/>
      <c r="V2946" s="1"/>
      <c r="W2946" s="1"/>
      <c r="X2946" s="1"/>
      <c r="Y2946" s="1"/>
      <c r="AB2946" s="1"/>
      <c r="AC2946" s="1"/>
      <c r="AD2946" s="1"/>
      <c r="AE2946" s="1"/>
      <c r="AF2946" s="1"/>
      <c r="AG2946" s="1"/>
      <c r="AH2946" s="1"/>
      <c r="AI2946" s="1"/>
      <c r="AJ2946" s="1"/>
      <c r="AK2946" s="1"/>
      <c r="AL2946" s="1"/>
      <c r="AM2946" s="1"/>
    </row>
    <row r="2947" spans="16:39" x14ac:dyDescent="0.25">
      <c r="P2947" s="49"/>
      <c r="Q2947" s="1"/>
      <c r="S2947" s="1"/>
      <c r="T2947" s="1"/>
      <c r="U2947" s="1"/>
      <c r="V2947" s="1"/>
      <c r="W2947" s="1"/>
      <c r="X2947" s="1"/>
      <c r="Y2947" s="1"/>
      <c r="AB2947" s="1"/>
      <c r="AC2947" s="1"/>
      <c r="AD2947" s="1"/>
      <c r="AE2947" s="1"/>
      <c r="AF2947" s="1"/>
      <c r="AG2947" s="1"/>
      <c r="AH2947" s="1"/>
      <c r="AI2947" s="1"/>
      <c r="AJ2947" s="1"/>
      <c r="AK2947" s="1"/>
      <c r="AL2947" s="1"/>
      <c r="AM2947" s="1"/>
    </row>
    <row r="2948" spans="16:39" x14ac:dyDescent="0.25">
      <c r="P2948" s="49"/>
      <c r="Q2948" s="1"/>
      <c r="S2948" s="1"/>
      <c r="T2948" s="1"/>
      <c r="U2948" s="1"/>
      <c r="V2948" s="1"/>
      <c r="W2948" s="1"/>
      <c r="X2948" s="1"/>
      <c r="Y2948" s="1"/>
      <c r="AB2948" s="1"/>
      <c r="AC2948" s="1"/>
      <c r="AD2948" s="1"/>
      <c r="AE2948" s="1"/>
      <c r="AF2948" s="1"/>
      <c r="AG2948" s="1"/>
      <c r="AH2948" s="1"/>
      <c r="AI2948" s="1"/>
      <c r="AJ2948" s="1"/>
      <c r="AK2948" s="1"/>
      <c r="AL2948" s="1"/>
      <c r="AM2948" s="1"/>
    </row>
    <row r="2949" spans="16:39" x14ac:dyDescent="0.25">
      <c r="P2949" s="49"/>
      <c r="Q2949" s="1"/>
      <c r="S2949" s="1"/>
      <c r="T2949" s="1"/>
      <c r="U2949" s="1"/>
      <c r="V2949" s="1"/>
      <c r="W2949" s="1"/>
      <c r="X2949" s="1"/>
      <c r="Y2949" s="1"/>
      <c r="AB2949" s="1"/>
      <c r="AC2949" s="1"/>
      <c r="AD2949" s="1"/>
      <c r="AE2949" s="1"/>
      <c r="AF2949" s="1"/>
      <c r="AG2949" s="1"/>
      <c r="AH2949" s="1"/>
      <c r="AI2949" s="1"/>
      <c r="AJ2949" s="1"/>
      <c r="AK2949" s="1"/>
      <c r="AL2949" s="1"/>
      <c r="AM2949" s="1"/>
    </row>
    <row r="2950" spans="16:39" x14ac:dyDescent="0.25">
      <c r="P2950" s="49"/>
      <c r="Q2950" s="1"/>
      <c r="S2950" s="1"/>
      <c r="T2950" s="1"/>
      <c r="U2950" s="1"/>
      <c r="V2950" s="1"/>
      <c r="W2950" s="1"/>
      <c r="X2950" s="1"/>
      <c r="Y2950" s="1"/>
      <c r="AB2950" s="1"/>
      <c r="AC2950" s="1"/>
      <c r="AD2950" s="1"/>
      <c r="AE2950" s="1"/>
      <c r="AF2950" s="1"/>
      <c r="AG2950" s="1"/>
      <c r="AH2950" s="1"/>
      <c r="AI2950" s="1"/>
      <c r="AJ2950" s="1"/>
      <c r="AK2950" s="1"/>
      <c r="AL2950" s="1"/>
      <c r="AM2950" s="1"/>
    </row>
    <row r="2951" spans="16:39" x14ac:dyDescent="0.25">
      <c r="P2951" s="49"/>
      <c r="Q2951" s="1"/>
      <c r="S2951" s="1"/>
      <c r="T2951" s="1"/>
      <c r="U2951" s="1"/>
      <c r="V2951" s="1"/>
      <c r="W2951" s="1"/>
      <c r="X2951" s="1"/>
      <c r="Y2951" s="1"/>
      <c r="AB2951" s="1"/>
      <c r="AC2951" s="1"/>
      <c r="AD2951" s="1"/>
      <c r="AE2951" s="1"/>
      <c r="AF2951" s="1"/>
      <c r="AG2951" s="1"/>
      <c r="AH2951" s="1"/>
      <c r="AI2951" s="1"/>
      <c r="AJ2951" s="1"/>
      <c r="AK2951" s="1"/>
      <c r="AL2951" s="1"/>
      <c r="AM2951" s="1"/>
    </row>
    <row r="2952" spans="16:39" x14ac:dyDescent="0.25">
      <c r="P2952" s="49"/>
      <c r="Q2952" s="1"/>
      <c r="S2952" s="1"/>
      <c r="T2952" s="1"/>
      <c r="U2952" s="1"/>
      <c r="V2952" s="1"/>
      <c r="W2952" s="1"/>
      <c r="X2952" s="1"/>
      <c r="Y2952" s="1"/>
      <c r="AB2952" s="1"/>
      <c r="AC2952" s="1"/>
      <c r="AD2952" s="1"/>
      <c r="AE2952" s="1"/>
      <c r="AF2952" s="1"/>
      <c r="AG2952" s="1"/>
      <c r="AH2952" s="1"/>
      <c r="AI2952" s="1"/>
      <c r="AJ2952" s="1"/>
      <c r="AK2952" s="1"/>
      <c r="AL2952" s="1"/>
      <c r="AM2952" s="1"/>
    </row>
    <row r="2953" spans="16:39" x14ac:dyDescent="0.25">
      <c r="P2953" s="49"/>
      <c r="Q2953" s="1"/>
      <c r="S2953" s="1"/>
      <c r="T2953" s="1"/>
      <c r="U2953" s="1"/>
      <c r="V2953" s="1"/>
      <c r="W2953" s="1"/>
      <c r="X2953" s="1"/>
      <c r="Y2953" s="1"/>
      <c r="AB2953" s="1"/>
      <c r="AC2953" s="1"/>
      <c r="AD2953" s="1"/>
      <c r="AE2953" s="1"/>
      <c r="AF2953" s="1"/>
      <c r="AG2953" s="1"/>
      <c r="AH2953" s="1"/>
      <c r="AI2953" s="1"/>
      <c r="AJ2953" s="1"/>
      <c r="AK2953" s="1"/>
      <c r="AL2953" s="1"/>
      <c r="AM2953" s="1"/>
    </row>
    <row r="2954" spans="16:39" x14ac:dyDescent="0.25">
      <c r="P2954" s="49"/>
      <c r="Q2954" s="1"/>
      <c r="S2954" s="1"/>
      <c r="T2954" s="1"/>
      <c r="U2954" s="1"/>
      <c r="V2954" s="1"/>
      <c r="W2954" s="1"/>
      <c r="X2954" s="1"/>
      <c r="Y2954" s="1"/>
      <c r="AB2954" s="1"/>
      <c r="AC2954" s="1"/>
      <c r="AD2954" s="1"/>
      <c r="AE2954" s="1"/>
      <c r="AF2954" s="1"/>
      <c r="AG2954" s="1"/>
      <c r="AH2954" s="1"/>
      <c r="AI2954" s="1"/>
      <c r="AJ2954" s="1"/>
      <c r="AK2954" s="1"/>
      <c r="AL2954" s="1"/>
      <c r="AM2954" s="1"/>
    </row>
    <row r="2955" spans="16:39" x14ac:dyDescent="0.25">
      <c r="P2955" s="49"/>
      <c r="Q2955" s="1"/>
      <c r="S2955" s="1"/>
      <c r="T2955" s="1"/>
      <c r="U2955" s="1"/>
      <c r="V2955" s="1"/>
      <c r="W2955" s="1"/>
      <c r="X2955" s="1"/>
      <c r="Y2955" s="1"/>
      <c r="AB2955" s="1"/>
      <c r="AC2955" s="1"/>
      <c r="AD2955" s="1"/>
      <c r="AE2955" s="1"/>
      <c r="AF2955" s="1"/>
      <c r="AG2955" s="1"/>
      <c r="AH2955" s="1"/>
      <c r="AI2955" s="1"/>
      <c r="AJ2955" s="1"/>
      <c r="AK2955" s="1"/>
      <c r="AL2955" s="1"/>
      <c r="AM2955" s="1"/>
    </row>
    <row r="2956" spans="16:39" x14ac:dyDescent="0.25">
      <c r="P2956" s="49"/>
      <c r="Q2956" s="1"/>
      <c r="S2956" s="1"/>
      <c r="T2956" s="1"/>
      <c r="U2956" s="1"/>
      <c r="V2956" s="1"/>
      <c r="W2956" s="1"/>
      <c r="X2956" s="1"/>
      <c r="Y2956" s="1"/>
      <c r="AB2956" s="1"/>
      <c r="AC2956" s="1"/>
      <c r="AD2956" s="1"/>
      <c r="AE2956" s="1"/>
      <c r="AF2956" s="1"/>
      <c r="AG2956" s="1"/>
      <c r="AH2956" s="1"/>
      <c r="AI2956" s="1"/>
      <c r="AJ2956" s="1"/>
      <c r="AK2956" s="1"/>
      <c r="AL2956" s="1"/>
      <c r="AM2956" s="1"/>
    </row>
    <row r="2957" spans="16:39" x14ac:dyDescent="0.25">
      <c r="P2957" s="49"/>
      <c r="Q2957" s="1"/>
      <c r="S2957" s="1"/>
      <c r="T2957" s="1"/>
      <c r="U2957" s="1"/>
      <c r="V2957" s="1"/>
      <c r="W2957" s="1"/>
      <c r="X2957" s="1"/>
      <c r="Y2957" s="1"/>
      <c r="AB2957" s="1"/>
      <c r="AC2957" s="1"/>
      <c r="AD2957" s="1"/>
      <c r="AE2957" s="1"/>
      <c r="AF2957" s="1"/>
      <c r="AG2957" s="1"/>
      <c r="AH2957" s="1"/>
      <c r="AI2957" s="1"/>
      <c r="AJ2957" s="1"/>
      <c r="AK2957" s="1"/>
      <c r="AL2957" s="1"/>
      <c r="AM2957" s="1"/>
    </row>
    <row r="2958" spans="16:39" x14ac:dyDescent="0.25">
      <c r="P2958" s="49"/>
      <c r="Q2958" s="1"/>
      <c r="S2958" s="1"/>
      <c r="T2958" s="1"/>
      <c r="U2958" s="1"/>
      <c r="V2958" s="1"/>
      <c r="W2958" s="1"/>
      <c r="X2958" s="1"/>
      <c r="Y2958" s="1"/>
      <c r="AB2958" s="1"/>
      <c r="AC2958" s="1"/>
      <c r="AD2958" s="1"/>
      <c r="AE2958" s="1"/>
      <c r="AF2958" s="1"/>
      <c r="AG2958" s="1"/>
      <c r="AH2958" s="1"/>
      <c r="AI2958" s="1"/>
      <c r="AJ2958" s="1"/>
      <c r="AK2958" s="1"/>
      <c r="AL2958" s="1"/>
      <c r="AM2958" s="1"/>
    </row>
    <row r="2959" spans="16:39" x14ac:dyDescent="0.25">
      <c r="P2959" s="49"/>
      <c r="Q2959" s="1"/>
      <c r="S2959" s="1"/>
      <c r="T2959" s="1"/>
      <c r="U2959" s="1"/>
      <c r="V2959" s="1"/>
      <c r="W2959" s="1"/>
      <c r="X2959" s="1"/>
      <c r="Y2959" s="1"/>
      <c r="AB2959" s="1"/>
      <c r="AC2959" s="1"/>
      <c r="AD2959" s="1"/>
      <c r="AE2959" s="1"/>
      <c r="AF2959" s="1"/>
      <c r="AG2959" s="1"/>
      <c r="AH2959" s="1"/>
      <c r="AI2959" s="1"/>
      <c r="AJ2959" s="1"/>
      <c r="AK2959" s="1"/>
      <c r="AL2959" s="1"/>
      <c r="AM2959" s="1"/>
    </row>
    <row r="2960" spans="16:39" x14ac:dyDescent="0.25">
      <c r="P2960" s="49"/>
      <c r="Q2960" s="1"/>
      <c r="S2960" s="1"/>
      <c r="T2960" s="1"/>
      <c r="U2960" s="1"/>
      <c r="V2960" s="1"/>
      <c r="W2960" s="1"/>
      <c r="X2960" s="1"/>
      <c r="Y2960" s="1"/>
      <c r="AB2960" s="1"/>
      <c r="AC2960" s="1"/>
      <c r="AD2960" s="1"/>
      <c r="AE2960" s="1"/>
      <c r="AF2960" s="1"/>
      <c r="AG2960" s="1"/>
      <c r="AH2960" s="1"/>
      <c r="AI2960" s="1"/>
      <c r="AJ2960" s="1"/>
      <c r="AK2960" s="1"/>
      <c r="AL2960" s="1"/>
      <c r="AM2960" s="1"/>
    </row>
    <row r="2961" spans="16:39" x14ac:dyDescent="0.25">
      <c r="P2961" s="49"/>
      <c r="Q2961" s="1"/>
      <c r="S2961" s="1"/>
      <c r="T2961" s="1"/>
      <c r="U2961" s="1"/>
      <c r="V2961" s="1"/>
      <c r="W2961" s="1"/>
      <c r="X2961" s="1"/>
      <c r="Y2961" s="1"/>
      <c r="AB2961" s="1"/>
      <c r="AC2961" s="1"/>
      <c r="AD2961" s="1"/>
      <c r="AE2961" s="1"/>
      <c r="AF2961" s="1"/>
      <c r="AG2961" s="1"/>
      <c r="AH2961" s="1"/>
      <c r="AI2961" s="1"/>
      <c r="AJ2961" s="1"/>
      <c r="AK2961" s="1"/>
      <c r="AL2961" s="1"/>
      <c r="AM2961" s="1"/>
    </row>
    <row r="2962" spans="16:39" x14ac:dyDescent="0.25">
      <c r="P2962" s="49"/>
      <c r="Q2962" s="1"/>
      <c r="S2962" s="1"/>
      <c r="T2962" s="1"/>
      <c r="U2962" s="1"/>
      <c r="V2962" s="1"/>
      <c r="W2962" s="1"/>
      <c r="X2962" s="1"/>
      <c r="Y2962" s="1"/>
      <c r="AB2962" s="1"/>
      <c r="AC2962" s="1"/>
      <c r="AD2962" s="1"/>
      <c r="AE2962" s="1"/>
      <c r="AF2962" s="1"/>
      <c r="AG2962" s="1"/>
      <c r="AH2962" s="1"/>
      <c r="AI2962" s="1"/>
      <c r="AJ2962" s="1"/>
      <c r="AK2962" s="1"/>
      <c r="AL2962" s="1"/>
      <c r="AM2962" s="1"/>
    </row>
    <row r="2963" spans="16:39" x14ac:dyDescent="0.25">
      <c r="P2963" s="49"/>
      <c r="Q2963" s="1"/>
      <c r="S2963" s="1"/>
      <c r="T2963" s="1"/>
      <c r="U2963" s="1"/>
      <c r="V2963" s="1"/>
      <c r="W2963" s="1"/>
      <c r="X2963" s="1"/>
      <c r="Y2963" s="1"/>
      <c r="AB2963" s="1"/>
      <c r="AC2963" s="1"/>
      <c r="AD2963" s="1"/>
      <c r="AE2963" s="1"/>
      <c r="AF2963" s="1"/>
      <c r="AG2963" s="1"/>
      <c r="AH2963" s="1"/>
      <c r="AI2963" s="1"/>
      <c r="AJ2963" s="1"/>
      <c r="AK2963" s="1"/>
      <c r="AL2963" s="1"/>
      <c r="AM2963" s="1"/>
    </row>
    <row r="2964" spans="16:39" x14ac:dyDescent="0.25">
      <c r="P2964" s="49"/>
      <c r="Q2964" s="1"/>
      <c r="S2964" s="1"/>
      <c r="T2964" s="1"/>
      <c r="U2964" s="1"/>
      <c r="V2964" s="1"/>
      <c r="W2964" s="1"/>
      <c r="X2964" s="1"/>
      <c r="Y2964" s="1"/>
      <c r="AB2964" s="1"/>
      <c r="AC2964" s="1"/>
      <c r="AD2964" s="1"/>
      <c r="AE2964" s="1"/>
      <c r="AF2964" s="1"/>
      <c r="AG2964" s="1"/>
      <c r="AH2964" s="1"/>
      <c r="AI2964" s="1"/>
      <c r="AJ2964" s="1"/>
      <c r="AK2964" s="1"/>
      <c r="AL2964" s="1"/>
      <c r="AM2964" s="1"/>
    </row>
    <row r="2965" spans="16:39" x14ac:dyDescent="0.25">
      <c r="P2965" s="49"/>
      <c r="Q2965" s="1"/>
      <c r="S2965" s="1"/>
      <c r="T2965" s="1"/>
      <c r="U2965" s="1"/>
      <c r="V2965" s="1"/>
      <c r="W2965" s="1"/>
      <c r="X2965" s="1"/>
      <c r="Y2965" s="1"/>
      <c r="AB2965" s="1"/>
      <c r="AC2965" s="1"/>
      <c r="AD2965" s="1"/>
      <c r="AE2965" s="1"/>
      <c r="AF2965" s="1"/>
      <c r="AG2965" s="1"/>
      <c r="AH2965" s="1"/>
      <c r="AI2965" s="1"/>
      <c r="AJ2965" s="1"/>
      <c r="AK2965" s="1"/>
      <c r="AL2965" s="1"/>
      <c r="AM2965" s="1"/>
    </row>
    <row r="2966" spans="16:39" x14ac:dyDescent="0.25">
      <c r="P2966" s="49"/>
      <c r="Q2966" s="1"/>
      <c r="S2966" s="1"/>
      <c r="T2966" s="1"/>
      <c r="U2966" s="1"/>
      <c r="V2966" s="1"/>
      <c r="W2966" s="1"/>
      <c r="X2966" s="1"/>
      <c r="Y2966" s="1"/>
      <c r="AB2966" s="1"/>
      <c r="AC2966" s="1"/>
      <c r="AD2966" s="1"/>
      <c r="AE2966" s="1"/>
      <c r="AF2966" s="1"/>
      <c r="AG2966" s="1"/>
      <c r="AH2966" s="1"/>
      <c r="AI2966" s="1"/>
      <c r="AJ2966" s="1"/>
      <c r="AK2966" s="1"/>
      <c r="AL2966" s="1"/>
      <c r="AM2966" s="1"/>
    </row>
    <row r="2967" spans="16:39" x14ac:dyDescent="0.25">
      <c r="P2967" s="49"/>
      <c r="Q2967" s="1"/>
      <c r="S2967" s="1"/>
      <c r="T2967" s="1"/>
      <c r="U2967" s="1"/>
      <c r="V2967" s="1"/>
      <c r="W2967" s="1"/>
      <c r="X2967" s="1"/>
      <c r="Y2967" s="1"/>
      <c r="AB2967" s="1"/>
      <c r="AC2967" s="1"/>
      <c r="AD2967" s="1"/>
      <c r="AE2967" s="1"/>
      <c r="AF2967" s="1"/>
      <c r="AG2967" s="1"/>
      <c r="AH2967" s="1"/>
      <c r="AI2967" s="1"/>
      <c r="AJ2967" s="1"/>
      <c r="AK2967" s="1"/>
      <c r="AL2967" s="1"/>
      <c r="AM2967" s="1"/>
    </row>
    <row r="2968" spans="16:39" x14ac:dyDescent="0.25">
      <c r="P2968" s="49"/>
      <c r="Q2968" s="1"/>
      <c r="S2968" s="1"/>
      <c r="T2968" s="1"/>
      <c r="U2968" s="1"/>
      <c r="V2968" s="1"/>
      <c r="W2968" s="1"/>
      <c r="X2968" s="1"/>
      <c r="Y2968" s="1"/>
      <c r="AB2968" s="1"/>
      <c r="AC2968" s="1"/>
      <c r="AD2968" s="1"/>
      <c r="AE2968" s="1"/>
      <c r="AF2968" s="1"/>
      <c r="AG2968" s="1"/>
      <c r="AH2968" s="1"/>
      <c r="AI2968" s="1"/>
      <c r="AJ2968" s="1"/>
      <c r="AK2968" s="1"/>
      <c r="AL2968" s="1"/>
      <c r="AM2968" s="1"/>
    </row>
    <row r="2969" spans="16:39" x14ac:dyDescent="0.25">
      <c r="P2969" s="49"/>
      <c r="Q2969" s="1"/>
      <c r="S2969" s="1"/>
      <c r="T2969" s="1"/>
      <c r="U2969" s="1"/>
      <c r="V2969" s="1"/>
      <c r="W2969" s="1"/>
      <c r="X2969" s="1"/>
      <c r="Y2969" s="1"/>
      <c r="AB2969" s="1"/>
      <c r="AC2969" s="1"/>
      <c r="AD2969" s="1"/>
      <c r="AE2969" s="1"/>
      <c r="AF2969" s="1"/>
      <c r="AG2969" s="1"/>
      <c r="AH2969" s="1"/>
      <c r="AI2969" s="1"/>
      <c r="AJ2969" s="1"/>
      <c r="AK2969" s="1"/>
      <c r="AL2969" s="1"/>
      <c r="AM2969" s="1"/>
    </row>
    <row r="2970" spans="16:39" x14ac:dyDescent="0.25">
      <c r="P2970" s="49"/>
      <c r="Q2970" s="1"/>
      <c r="S2970" s="1"/>
      <c r="T2970" s="1"/>
      <c r="U2970" s="1"/>
      <c r="V2970" s="1"/>
      <c r="W2970" s="1"/>
      <c r="X2970" s="1"/>
      <c r="Y2970" s="1"/>
      <c r="AB2970" s="1"/>
      <c r="AC2970" s="1"/>
      <c r="AD2970" s="1"/>
      <c r="AE2970" s="1"/>
      <c r="AF2970" s="1"/>
      <c r="AG2970" s="1"/>
      <c r="AH2970" s="1"/>
      <c r="AI2970" s="1"/>
      <c r="AJ2970" s="1"/>
      <c r="AK2970" s="1"/>
      <c r="AL2970" s="1"/>
      <c r="AM2970" s="1"/>
    </row>
    <row r="2971" spans="16:39" x14ac:dyDescent="0.25">
      <c r="P2971" s="49"/>
      <c r="Q2971" s="1"/>
      <c r="S2971" s="1"/>
      <c r="T2971" s="1"/>
      <c r="U2971" s="1"/>
      <c r="V2971" s="1"/>
      <c r="W2971" s="1"/>
      <c r="X2971" s="1"/>
      <c r="Y2971" s="1"/>
      <c r="AB2971" s="1"/>
      <c r="AC2971" s="1"/>
      <c r="AD2971" s="1"/>
      <c r="AE2971" s="1"/>
      <c r="AF2971" s="1"/>
      <c r="AG2971" s="1"/>
      <c r="AH2971" s="1"/>
      <c r="AI2971" s="1"/>
      <c r="AJ2971" s="1"/>
      <c r="AK2971" s="1"/>
      <c r="AL2971" s="1"/>
      <c r="AM2971" s="1"/>
    </row>
    <row r="2972" spans="16:39" x14ac:dyDescent="0.25">
      <c r="P2972" s="49"/>
      <c r="Q2972" s="1"/>
      <c r="S2972" s="1"/>
      <c r="T2972" s="1"/>
      <c r="U2972" s="1"/>
      <c r="V2972" s="1"/>
      <c r="W2972" s="1"/>
      <c r="X2972" s="1"/>
      <c r="Y2972" s="1"/>
      <c r="AB2972" s="1"/>
      <c r="AC2972" s="1"/>
      <c r="AD2972" s="1"/>
      <c r="AE2972" s="1"/>
      <c r="AF2972" s="1"/>
      <c r="AG2972" s="1"/>
      <c r="AH2972" s="1"/>
      <c r="AI2972" s="1"/>
      <c r="AJ2972" s="1"/>
      <c r="AK2972" s="1"/>
      <c r="AL2972" s="1"/>
      <c r="AM2972" s="1"/>
    </row>
    <row r="2973" spans="16:39" x14ac:dyDescent="0.25">
      <c r="P2973" s="49"/>
      <c r="Q2973" s="1"/>
      <c r="S2973" s="1"/>
      <c r="T2973" s="1"/>
      <c r="U2973" s="1"/>
      <c r="V2973" s="1"/>
      <c r="W2973" s="1"/>
      <c r="X2973" s="1"/>
      <c r="Y2973" s="1"/>
      <c r="AB2973" s="1"/>
      <c r="AC2973" s="1"/>
      <c r="AD2973" s="1"/>
      <c r="AE2973" s="1"/>
      <c r="AF2973" s="1"/>
      <c r="AG2973" s="1"/>
      <c r="AH2973" s="1"/>
      <c r="AI2973" s="1"/>
      <c r="AJ2973" s="1"/>
      <c r="AK2973" s="1"/>
      <c r="AL2973" s="1"/>
      <c r="AM2973" s="1"/>
    </row>
    <row r="2974" spans="16:39" x14ac:dyDescent="0.25">
      <c r="P2974" s="49"/>
      <c r="Q2974" s="1"/>
      <c r="S2974" s="1"/>
      <c r="T2974" s="1"/>
      <c r="U2974" s="1"/>
      <c r="V2974" s="1"/>
      <c r="W2974" s="1"/>
      <c r="X2974" s="1"/>
      <c r="Y2974" s="1"/>
      <c r="AB2974" s="1"/>
      <c r="AC2974" s="1"/>
      <c r="AD2974" s="1"/>
      <c r="AE2974" s="1"/>
      <c r="AF2974" s="1"/>
      <c r="AG2974" s="1"/>
      <c r="AH2974" s="1"/>
      <c r="AI2974" s="1"/>
      <c r="AJ2974" s="1"/>
      <c r="AK2974" s="1"/>
      <c r="AL2974" s="1"/>
      <c r="AM2974" s="1"/>
    </row>
    <row r="2975" spans="16:39" x14ac:dyDescent="0.25">
      <c r="P2975" s="49"/>
      <c r="Q2975" s="1"/>
      <c r="S2975" s="1"/>
      <c r="T2975" s="1"/>
      <c r="U2975" s="1"/>
      <c r="V2975" s="1"/>
      <c r="W2975" s="1"/>
      <c r="X2975" s="1"/>
      <c r="Y2975" s="1"/>
      <c r="AB2975" s="1"/>
      <c r="AC2975" s="1"/>
      <c r="AD2975" s="1"/>
      <c r="AE2975" s="1"/>
      <c r="AF2975" s="1"/>
      <c r="AG2975" s="1"/>
      <c r="AH2975" s="1"/>
      <c r="AI2975" s="1"/>
      <c r="AJ2975" s="1"/>
      <c r="AK2975" s="1"/>
      <c r="AL2975" s="1"/>
      <c r="AM2975" s="1"/>
    </row>
    <row r="2976" spans="16:39" x14ac:dyDescent="0.25">
      <c r="P2976" s="49"/>
      <c r="Q2976" s="1"/>
      <c r="S2976" s="1"/>
      <c r="T2976" s="1"/>
      <c r="U2976" s="1"/>
      <c r="V2976" s="1"/>
      <c r="W2976" s="1"/>
      <c r="X2976" s="1"/>
      <c r="Y2976" s="1"/>
      <c r="AB2976" s="1"/>
      <c r="AC2976" s="1"/>
      <c r="AD2976" s="1"/>
      <c r="AE2976" s="1"/>
      <c r="AF2976" s="1"/>
      <c r="AG2976" s="1"/>
      <c r="AH2976" s="1"/>
      <c r="AI2976" s="1"/>
      <c r="AJ2976" s="1"/>
      <c r="AK2976" s="1"/>
      <c r="AL2976" s="1"/>
      <c r="AM2976" s="1"/>
    </row>
    <row r="2977" spans="16:39" x14ac:dyDescent="0.25">
      <c r="P2977" s="49"/>
      <c r="Q2977" s="1"/>
      <c r="S2977" s="1"/>
      <c r="T2977" s="1"/>
      <c r="U2977" s="1"/>
      <c r="V2977" s="1"/>
      <c r="W2977" s="1"/>
      <c r="X2977" s="1"/>
      <c r="Y2977" s="1"/>
      <c r="AB2977" s="1"/>
      <c r="AC2977" s="1"/>
      <c r="AD2977" s="1"/>
      <c r="AE2977" s="1"/>
      <c r="AF2977" s="1"/>
      <c r="AG2977" s="1"/>
      <c r="AH2977" s="1"/>
      <c r="AI2977" s="1"/>
      <c r="AJ2977" s="1"/>
      <c r="AK2977" s="1"/>
      <c r="AL2977" s="1"/>
      <c r="AM2977" s="1"/>
    </row>
    <row r="2978" spans="16:39" x14ac:dyDescent="0.25">
      <c r="P2978" s="49"/>
      <c r="Q2978" s="1"/>
      <c r="S2978" s="1"/>
      <c r="T2978" s="1"/>
      <c r="U2978" s="1"/>
      <c r="V2978" s="1"/>
      <c r="W2978" s="1"/>
      <c r="X2978" s="1"/>
      <c r="Y2978" s="1"/>
      <c r="AB2978" s="1"/>
      <c r="AC2978" s="1"/>
      <c r="AD2978" s="1"/>
      <c r="AE2978" s="1"/>
      <c r="AF2978" s="1"/>
      <c r="AG2978" s="1"/>
      <c r="AH2978" s="1"/>
      <c r="AI2978" s="1"/>
      <c r="AJ2978" s="1"/>
      <c r="AK2978" s="1"/>
      <c r="AL2978" s="1"/>
      <c r="AM2978" s="1"/>
    </row>
    <row r="2979" spans="16:39" x14ac:dyDescent="0.25">
      <c r="P2979" s="49"/>
      <c r="Q2979" s="1"/>
      <c r="S2979" s="1"/>
      <c r="T2979" s="1"/>
      <c r="U2979" s="1"/>
      <c r="V2979" s="1"/>
      <c r="W2979" s="1"/>
      <c r="X2979" s="1"/>
      <c r="Y2979" s="1"/>
      <c r="AB2979" s="1"/>
      <c r="AC2979" s="1"/>
      <c r="AD2979" s="1"/>
      <c r="AE2979" s="1"/>
      <c r="AF2979" s="1"/>
      <c r="AG2979" s="1"/>
      <c r="AH2979" s="1"/>
      <c r="AI2979" s="1"/>
      <c r="AJ2979" s="1"/>
      <c r="AK2979" s="1"/>
      <c r="AL2979" s="1"/>
      <c r="AM2979" s="1"/>
    </row>
    <row r="2980" spans="16:39" x14ac:dyDescent="0.25">
      <c r="P2980" s="49"/>
      <c r="Q2980" s="1"/>
      <c r="S2980" s="1"/>
      <c r="T2980" s="1"/>
      <c r="U2980" s="1"/>
      <c r="V2980" s="1"/>
      <c r="W2980" s="1"/>
      <c r="X2980" s="1"/>
      <c r="Y2980" s="1"/>
      <c r="AB2980" s="1"/>
      <c r="AC2980" s="1"/>
      <c r="AD2980" s="1"/>
      <c r="AE2980" s="1"/>
      <c r="AF2980" s="1"/>
      <c r="AG2980" s="1"/>
      <c r="AH2980" s="1"/>
      <c r="AI2980" s="1"/>
      <c r="AJ2980" s="1"/>
      <c r="AK2980" s="1"/>
      <c r="AL2980" s="1"/>
      <c r="AM2980" s="1"/>
    </row>
    <row r="2981" spans="16:39" x14ac:dyDescent="0.25">
      <c r="P2981" s="49"/>
      <c r="Q2981" s="1"/>
      <c r="S2981" s="1"/>
      <c r="T2981" s="1"/>
      <c r="U2981" s="1"/>
      <c r="V2981" s="1"/>
      <c r="W2981" s="1"/>
      <c r="X2981" s="1"/>
      <c r="Y2981" s="1"/>
      <c r="AB2981" s="1"/>
      <c r="AC2981" s="1"/>
      <c r="AD2981" s="1"/>
      <c r="AE2981" s="1"/>
      <c r="AF2981" s="1"/>
      <c r="AG2981" s="1"/>
      <c r="AH2981" s="1"/>
      <c r="AI2981" s="1"/>
      <c r="AJ2981" s="1"/>
      <c r="AK2981" s="1"/>
      <c r="AL2981" s="1"/>
      <c r="AM2981" s="1"/>
    </row>
    <row r="2982" spans="16:39" x14ac:dyDescent="0.25">
      <c r="P2982" s="49"/>
      <c r="Q2982" s="1"/>
      <c r="S2982" s="1"/>
      <c r="T2982" s="1"/>
      <c r="U2982" s="1"/>
      <c r="V2982" s="1"/>
      <c r="W2982" s="1"/>
      <c r="X2982" s="1"/>
      <c r="Y2982" s="1"/>
      <c r="AB2982" s="1"/>
      <c r="AC2982" s="1"/>
      <c r="AD2982" s="1"/>
      <c r="AE2982" s="1"/>
      <c r="AF2982" s="1"/>
      <c r="AG2982" s="1"/>
      <c r="AH2982" s="1"/>
      <c r="AI2982" s="1"/>
      <c r="AJ2982" s="1"/>
      <c r="AK2982" s="1"/>
      <c r="AL2982" s="1"/>
      <c r="AM2982" s="1"/>
    </row>
    <row r="2983" spans="16:39" x14ac:dyDescent="0.25">
      <c r="P2983" s="49"/>
      <c r="Q2983" s="1"/>
      <c r="S2983" s="1"/>
      <c r="T2983" s="1"/>
      <c r="U2983" s="1"/>
      <c r="V2983" s="1"/>
      <c r="W2983" s="1"/>
      <c r="X2983" s="1"/>
      <c r="Y2983" s="1"/>
      <c r="AB2983" s="1"/>
      <c r="AC2983" s="1"/>
      <c r="AD2983" s="1"/>
      <c r="AE2983" s="1"/>
      <c r="AF2983" s="1"/>
      <c r="AG2983" s="1"/>
      <c r="AH2983" s="1"/>
      <c r="AI2983" s="1"/>
      <c r="AJ2983" s="1"/>
      <c r="AK2983" s="1"/>
      <c r="AL2983" s="1"/>
      <c r="AM2983" s="1"/>
    </row>
    <row r="2984" spans="16:39" x14ac:dyDescent="0.25">
      <c r="P2984" s="49"/>
      <c r="Q2984" s="1"/>
      <c r="S2984" s="1"/>
      <c r="T2984" s="1"/>
      <c r="U2984" s="1"/>
      <c r="V2984" s="1"/>
      <c r="W2984" s="1"/>
      <c r="X2984" s="1"/>
      <c r="Y2984" s="1"/>
      <c r="AB2984" s="1"/>
      <c r="AC2984" s="1"/>
      <c r="AD2984" s="1"/>
      <c r="AE2984" s="1"/>
      <c r="AF2984" s="1"/>
      <c r="AG2984" s="1"/>
      <c r="AH2984" s="1"/>
      <c r="AI2984" s="1"/>
      <c r="AJ2984" s="1"/>
      <c r="AK2984" s="1"/>
      <c r="AL2984" s="1"/>
      <c r="AM2984" s="1"/>
    </row>
    <row r="2985" spans="16:39" x14ac:dyDescent="0.25">
      <c r="P2985" s="49"/>
      <c r="Q2985" s="1"/>
      <c r="S2985" s="1"/>
      <c r="T2985" s="1"/>
      <c r="U2985" s="1"/>
      <c r="V2985" s="1"/>
      <c r="W2985" s="1"/>
      <c r="X2985" s="1"/>
      <c r="Y2985" s="1"/>
      <c r="AB2985" s="1"/>
      <c r="AC2985" s="1"/>
      <c r="AD2985" s="1"/>
      <c r="AE2985" s="1"/>
      <c r="AF2985" s="1"/>
      <c r="AG2985" s="1"/>
      <c r="AH2985" s="1"/>
      <c r="AI2985" s="1"/>
      <c r="AJ2985" s="1"/>
      <c r="AK2985" s="1"/>
      <c r="AL2985" s="1"/>
      <c r="AM2985" s="1"/>
    </row>
    <row r="2986" spans="16:39" x14ac:dyDescent="0.25">
      <c r="P2986" s="49"/>
      <c r="Q2986" s="1"/>
      <c r="S2986" s="1"/>
      <c r="T2986" s="1"/>
      <c r="U2986" s="1"/>
      <c r="V2986" s="1"/>
      <c r="W2986" s="1"/>
      <c r="X2986" s="1"/>
      <c r="Y2986" s="1"/>
      <c r="AB2986" s="1"/>
      <c r="AC2986" s="1"/>
      <c r="AD2986" s="1"/>
      <c r="AE2986" s="1"/>
      <c r="AF2986" s="1"/>
      <c r="AG2986" s="1"/>
      <c r="AH2986" s="1"/>
      <c r="AI2986" s="1"/>
      <c r="AJ2986" s="1"/>
      <c r="AK2986" s="1"/>
      <c r="AL2986" s="1"/>
      <c r="AM2986" s="1"/>
    </row>
    <row r="2987" spans="16:39" x14ac:dyDescent="0.25">
      <c r="P2987" s="49"/>
      <c r="Q2987" s="1"/>
      <c r="S2987" s="1"/>
      <c r="T2987" s="1"/>
      <c r="U2987" s="1"/>
      <c r="V2987" s="1"/>
      <c r="W2987" s="1"/>
      <c r="X2987" s="1"/>
      <c r="Y2987" s="1"/>
      <c r="AB2987" s="1"/>
      <c r="AC2987" s="1"/>
      <c r="AD2987" s="1"/>
      <c r="AE2987" s="1"/>
      <c r="AF2987" s="1"/>
      <c r="AG2987" s="1"/>
      <c r="AH2987" s="1"/>
      <c r="AI2987" s="1"/>
      <c r="AJ2987" s="1"/>
      <c r="AK2987" s="1"/>
      <c r="AL2987" s="1"/>
      <c r="AM2987" s="1"/>
    </row>
    <row r="2988" spans="16:39" x14ac:dyDescent="0.25">
      <c r="P2988" s="49"/>
      <c r="Q2988" s="1"/>
      <c r="S2988" s="1"/>
      <c r="T2988" s="1"/>
      <c r="U2988" s="1"/>
      <c r="V2988" s="1"/>
      <c r="W2988" s="1"/>
      <c r="X2988" s="1"/>
      <c r="Y2988" s="1"/>
      <c r="AB2988" s="1"/>
      <c r="AC2988" s="1"/>
      <c r="AD2988" s="1"/>
      <c r="AE2988" s="1"/>
      <c r="AF2988" s="1"/>
      <c r="AG2988" s="1"/>
      <c r="AH2988" s="1"/>
      <c r="AI2988" s="1"/>
      <c r="AJ2988" s="1"/>
      <c r="AK2988" s="1"/>
      <c r="AL2988" s="1"/>
      <c r="AM2988" s="1"/>
    </row>
    <row r="2989" spans="16:39" x14ac:dyDescent="0.25">
      <c r="P2989" s="49"/>
      <c r="Q2989" s="1"/>
      <c r="S2989" s="1"/>
      <c r="T2989" s="1"/>
      <c r="U2989" s="1"/>
      <c r="V2989" s="1"/>
      <c r="W2989" s="1"/>
      <c r="X2989" s="1"/>
      <c r="Y2989" s="1"/>
      <c r="AB2989" s="1"/>
      <c r="AC2989" s="1"/>
      <c r="AD2989" s="1"/>
      <c r="AE2989" s="1"/>
      <c r="AF2989" s="1"/>
      <c r="AG2989" s="1"/>
      <c r="AH2989" s="1"/>
      <c r="AI2989" s="1"/>
      <c r="AJ2989" s="1"/>
      <c r="AK2989" s="1"/>
      <c r="AL2989" s="1"/>
      <c r="AM2989" s="1"/>
    </row>
    <row r="2990" spans="16:39" x14ac:dyDescent="0.25">
      <c r="P2990" s="49"/>
      <c r="Q2990" s="1"/>
      <c r="S2990" s="1"/>
      <c r="T2990" s="1"/>
      <c r="U2990" s="1"/>
      <c r="V2990" s="1"/>
      <c r="W2990" s="1"/>
      <c r="X2990" s="1"/>
      <c r="Y2990" s="1"/>
      <c r="AB2990" s="1"/>
      <c r="AC2990" s="1"/>
      <c r="AD2990" s="1"/>
      <c r="AE2990" s="1"/>
      <c r="AF2990" s="1"/>
      <c r="AG2990" s="1"/>
      <c r="AH2990" s="1"/>
      <c r="AI2990" s="1"/>
      <c r="AJ2990" s="1"/>
      <c r="AK2990" s="1"/>
      <c r="AL2990" s="1"/>
      <c r="AM2990" s="1"/>
    </row>
    <row r="2991" spans="16:39" x14ac:dyDescent="0.25">
      <c r="P2991" s="49"/>
      <c r="Q2991" s="1"/>
      <c r="S2991" s="1"/>
      <c r="T2991" s="1"/>
      <c r="U2991" s="1"/>
      <c r="V2991" s="1"/>
      <c r="W2991" s="1"/>
      <c r="X2991" s="1"/>
      <c r="Y2991" s="1"/>
      <c r="AB2991" s="1"/>
      <c r="AC2991" s="1"/>
      <c r="AD2991" s="1"/>
      <c r="AE2991" s="1"/>
      <c r="AF2991" s="1"/>
      <c r="AG2991" s="1"/>
      <c r="AH2991" s="1"/>
      <c r="AI2991" s="1"/>
      <c r="AJ2991" s="1"/>
      <c r="AK2991" s="1"/>
      <c r="AL2991" s="1"/>
      <c r="AM2991" s="1"/>
    </row>
    <row r="2992" spans="16:39" x14ac:dyDescent="0.25">
      <c r="P2992" s="49"/>
      <c r="Q2992" s="1"/>
      <c r="S2992" s="1"/>
      <c r="T2992" s="1"/>
      <c r="U2992" s="1"/>
      <c r="V2992" s="1"/>
      <c r="W2992" s="1"/>
      <c r="X2992" s="1"/>
      <c r="Y2992" s="1"/>
      <c r="AB2992" s="1"/>
      <c r="AC2992" s="1"/>
      <c r="AD2992" s="1"/>
      <c r="AE2992" s="1"/>
      <c r="AF2992" s="1"/>
      <c r="AG2992" s="1"/>
      <c r="AH2992" s="1"/>
      <c r="AI2992" s="1"/>
      <c r="AJ2992" s="1"/>
      <c r="AK2992" s="1"/>
      <c r="AL2992" s="1"/>
      <c r="AM2992" s="1"/>
    </row>
    <row r="2993" spans="16:39" x14ac:dyDescent="0.25">
      <c r="P2993" s="49"/>
      <c r="Q2993" s="1"/>
      <c r="S2993" s="1"/>
      <c r="T2993" s="1"/>
      <c r="U2993" s="1"/>
      <c r="V2993" s="1"/>
      <c r="W2993" s="1"/>
      <c r="X2993" s="1"/>
      <c r="Y2993" s="1"/>
      <c r="AB2993" s="1"/>
      <c r="AC2993" s="1"/>
      <c r="AD2993" s="1"/>
      <c r="AE2993" s="1"/>
      <c r="AF2993" s="1"/>
      <c r="AG2993" s="1"/>
      <c r="AH2993" s="1"/>
      <c r="AI2993" s="1"/>
      <c r="AJ2993" s="1"/>
      <c r="AK2993" s="1"/>
      <c r="AL2993" s="1"/>
      <c r="AM2993" s="1"/>
    </row>
    <row r="2994" spans="16:39" x14ac:dyDescent="0.25">
      <c r="P2994" s="49"/>
      <c r="Q2994" s="1"/>
      <c r="S2994" s="1"/>
      <c r="T2994" s="1"/>
      <c r="U2994" s="1"/>
      <c r="V2994" s="1"/>
      <c r="W2994" s="1"/>
      <c r="X2994" s="1"/>
      <c r="Y2994" s="1"/>
      <c r="AB2994" s="1"/>
      <c r="AC2994" s="1"/>
      <c r="AD2994" s="1"/>
      <c r="AE2994" s="1"/>
      <c r="AF2994" s="1"/>
      <c r="AG2994" s="1"/>
      <c r="AH2994" s="1"/>
      <c r="AI2994" s="1"/>
      <c r="AJ2994" s="1"/>
      <c r="AK2994" s="1"/>
      <c r="AL2994" s="1"/>
      <c r="AM2994" s="1"/>
    </row>
    <row r="2995" spans="16:39" x14ac:dyDescent="0.25">
      <c r="P2995" s="49"/>
      <c r="Q2995" s="1"/>
      <c r="S2995" s="1"/>
      <c r="T2995" s="1"/>
      <c r="U2995" s="1"/>
      <c r="V2995" s="1"/>
      <c r="W2995" s="1"/>
      <c r="X2995" s="1"/>
      <c r="Y2995" s="1"/>
      <c r="AB2995" s="1"/>
      <c r="AC2995" s="1"/>
      <c r="AD2995" s="1"/>
      <c r="AE2995" s="1"/>
      <c r="AF2995" s="1"/>
      <c r="AG2995" s="1"/>
      <c r="AH2995" s="1"/>
      <c r="AI2995" s="1"/>
      <c r="AJ2995" s="1"/>
      <c r="AK2995" s="1"/>
      <c r="AL2995" s="1"/>
      <c r="AM2995" s="1"/>
    </row>
    <row r="2996" spans="16:39" x14ac:dyDescent="0.25">
      <c r="P2996" s="49"/>
      <c r="Q2996" s="1"/>
      <c r="S2996" s="1"/>
      <c r="T2996" s="1"/>
      <c r="U2996" s="1"/>
      <c r="V2996" s="1"/>
      <c r="W2996" s="1"/>
      <c r="X2996" s="1"/>
      <c r="Y2996" s="1"/>
      <c r="AB2996" s="1"/>
      <c r="AC2996" s="1"/>
      <c r="AD2996" s="1"/>
      <c r="AE2996" s="1"/>
      <c r="AF2996" s="1"/>
      <c r="AG2996" s="1"/>
      <c r="AH2996" s="1"/>
      <c r="AI2996" s="1"/>
      <c r="AJ2996" s="1"/>
      <c r="AK2996" s="1"/>
      <c r="AL2996" s="1"/>
      <c r="AM2996" s="1"/>
    </row>
    <row r="2997" spans="16:39" x14ac:dyDescent="0.25">
      <c r="P2997" s="49"/>
      <c r="Q2997" s="1"/>
      <c r="S2997" s="1"/>
      <c r="T2997" s="1"/>
      <c r="U2997" s="1"/>
      <c r="V2997" s="1"/>
      <c r="W2997" s="1"/>
      <c r="X2997" s="1"/>
      <c r="Y2997" s="1"/>
      <c r="AB2997" s="1"/>
      <c r="AC2997" s="1"/>
      <c r="AD2997" s="1"/>
      <c r="AE2997" s="1"/>
      <c r="AF2997" s="1"/>
      <c r="AG2997" s="1"/>
      <c r="AH2997" s="1"/>
      <c r="AI2997" s="1"/>
      <c r="AJ2997" s="1"/>
      <c r="AK2997" s="1"/>
      <c r="AL2997" s="1"/>
      <c r="AM2997" s="1"/>
    </row>
    <row r="2998" spans="16:39" x14ac:dyDescent="0.25">
      <c r="P2998" s="49"/>
      <c r="Q2998" s="1"/>
      <c r="S2998" s="1"/>
      <c r="T2998" s="1"/>
      <c r="U2998" s="1"/>
      <c r="V2998" s="1"/>
      <c r="W2998" s="1"/>
      <c r="X2998" s="1"/>
      <c r="Y2998" s="1"/>
      <c r="AB2998" s="1"/>
      <c r="AC2998" s="1"/>
      <c r="AD2998" s="1"/>
      <c r="AE2998" s="1"/>
      <c r="AF2998" s="1"/>
      <c r="AG2998" s="1"/>
      <c r="AH2998" s="1"/>
      <c r="AI2998" s="1"/>
      <c r="AJ2998" s="1"/>
      <c r="AK2998" s="1"/>
      <c r="AL2998" s="1"/>
      <c r="AM2998" s="1"/>
    </row>
    <row r="2999" spans="16:39" x14ac:dyDescent="0.25">
      <c r="P2999" s="49"/>
      <c r="Q2999" s="1"/>
      <c r="S2999" s="1"/>
      <c r="T2999" s="1"/>
      <c r="U2999" s="1"/>
      <c r="V2999" s="1"/>
      <c r="W2999" s="1"/>
      <c r="X2999" s="1"/>
      <c r="Y2999" s="1"/>
      <c r="AB2999" s="1"/>
      <c r="AC2999" s="1"/>
      <c r="AD2999" s="1"/>
      <c r="AE2999" s="1"/>
      <c r="AF2999" s="1"/>
      <c r="AG2999" s="1"/>
      <c r="AH2999" s="1"/>
      <c r="AI2999" s="1"/>
      <c r="AJ2999" s="1"/>
      <c r="AK2999" s="1"/>
      <c r="AL2999" s="1"/>
      <c r="AM2999" s="1"/>
    </row>
    <row r="3000" spans="16:39" x14ac:dyDescent="0.25">
      <c r="P3000" s="49"/>
      <c r="Q3000" s="1"/>
      <c r="S3000" s="1"/>
      <c r="T3000" s="1"/>
      <c r="U3000" s="1"/>
      <c r="V3000" s="1"/>
      <c r="W3000" s="1"/>
      <c r="X3000" s="1"/>
      <c r="Y3000" s="1"/>
      <c r="AB3000" s="1"/>
      <c r="AC3000" s="1"/>
      <c r="AD3000" s="1"/>
      <c r="AE3000" s="1"/>
      <c r="AF3000" s="1"/>
      <c r="AG3000" s="1"/>
      <c r="AH3000" s="1"/>
      <c r="AI3000" s="1"/>
      <c r="AJ3000" s="1"/>
      <c r="AK3000" s="1"/>
      <c r="AL3000" s="1"/>
      <c r="AM3000" s="1"/>
    </row>
    <row r="3001" spans="16:39" x14ac:dyDescent="0.25">
      <c r="P3001" s="49"/>
      <c r="Q3001" s="1"/>
      <c r="S3001" s="1"/>
      <c r="T3001" s="1"/>
      <c r="U3001" s="1"/>
      <c r="V3001" s="1"/>
      <c r="W3001" s="1"/>
      <c r="X3001" s="1"/>
      <c r="Y3001" s="1"/>
      <c r="AB3001" s="1"/>
      <c r="AC3001" s="1"/>
      <c r="AD3001" s="1"/>
      <c r="AE3001" s="1"/>
      <c r="AF3001" s="1"/>
      <c r="AG3001" s="1"/>
      <c r="AH3001" s="1"/>
      <c r="AI3001" s="1"/>
      <c r="AJ3001" s="1"/>
      <c r="AK3001" s="1"/>
      <c r="AL3001" s="1"/>
      <c r="AM3001" s="1"/>
    </row>
    <row r="3002" spans="16:39" x14ac:dyDescent="0.25">
      <c r="P3002" s="49"/>
      <c r="Q3002" s="1"/>
      <c r="S3002" s="1"/>
      <c r="T3002" s="1"/>
      <c r="U3002" s="1"/>
      <c r="V3002" s="1"/>
      <c r="W3002" s="1"/>
      <c r="X3002" s="1"/>
      <c r="Y3002" s="1"/>
      <c r="AB3002" s="1"/>
      <c r="AC3002" s="1"/>
      <c r="AD3002" s="1"/>
      <c r="AE3002" s="1"/>
      <c r="AF3002" s="1"/>
      <c r="AG3002" s="1"/>
      <c r="AH3002" s="1"/>
      <c r="AI3002" s="1"/>
      <c r="AJ3002" s="1"/>
      <c r="AK3002" s="1"/>
      <c r="AL3002" s="1"/>
      <c r="AM3002" s="1"/>
    </row>
    <row r="3003" spans="16:39" x14ac:dyDescent="0.25">
      <c r="P3003" s="49"/>
      <c r="Q3003" s="1"/>
      <c r="S3003" s="1"/>
      <c r="T3003" s="1"/>
      <c r="U3003" s="1"/>
      <c r="V3003" s="1"/>
      <c r="W3003" s="1"/>
      <c r="X3003" s="1"/>
      <c r="Y3003" s="1"/>
      <c r="AB3003" s="1"/>
      <c r="AC3003" s="1"/>
      <c r="AD3003" s="1"/>
      <c r="AE3003" s="1"/>
      <c r="AF3003" s="1"/>
      <c r="AG3003" s="1"/>
      <c r="AH3003" s="1"/>
      <c r="AI3003" s="1"/>
      <c r="AJ3003" s="1"/>
      <c r="AK3003" s="1"/>
      <c r="AL3003" s="1"/>
      <c r="AM3003" s="1"/>
    </row>
    <row r="3004" spans="16:39" x14ac:dyDescent="0.25">
      <c r="P3004" s="49"/>
      <c r="Q3004" s="1"/>
      <c r="S3004" s="1"/>
      <c r="T3004" s="1"/>
      <c r="U3004" s="1"/>
      <c r="V3004" s="1"/>
      <c r="W3004" s="1"/>
      <c r="X3004" s="1"/>
      <c r="Y3004" s="1"/>
      <c r="AB3004" s="1"/>
      <c r="AC3004" s="1"/>
      <c r="AD3004" s="1"/>
      <c r="AE3004" s="1"/>
      <c r="AF3004" s="1"/>
      <c r="AG3004" s="1"/>
      <c r="AH3004" s="1"/>
      <c r="AI3004" s="1"/>
      <c r="AJ3004" s="1"/>
      <c r="AK3004" s="1"/>
      <c r="AL3004" s="1"/>
      <c r="AM3004" s="1"/>
    </row>
    <row r="3005" spans="16:39" x14ac:dyDescent="0.25">
      <c r="P3005" s="49"/>
      <c r="Q3005" s="1"/>
      <c r="S3005" s="1"/>
      <c r="T3005" s="1"/>
      <c r="U3005" s="1"/>
      <c r="V3005" s="1"/>
      <c r="W3005" s="1"/>
      <c r="X3005" s="1"/>
      <c r="Y3005" s="1"/>
      <c r="AB3005" s="1"/>
      <c r="AC3005" s="1"/>
      <c r="AD3005" s="1"/>
      <c r="AE3005" s="1"/>
      <c r="AF3005" s="1"/>
      <c r="AG3005" s="1"/>
      <c r="AH3005" s="1"/>
      <c r="AI3005" s="1"/>
      <c r="AJ3005" s="1"/>
      <c r="AK3005" s="1"/>
      <c r="AL3005" s="1"/>
      <c r="AM3005" s="1"/>
    </row>
    <row r="3006" spans="16:39" x14ac:dyDescent="0.25">
      <c r="P3006" s="49"/>
      <c r="Q3006" s="1"/>
      <c r="S3006" s="1"/>
      <c r="T3006" s="1"/>
      <c r="U3006" s="1"/>
      <c r="V3006" s="1"/>
      <c r="W3006" s="1"/>
      <c r="X3006" s="1"/>
      <c r="Y3006" s="1"/>
      <c r="AB3006" s="1"/>
      <c r="AC3006" s="1"/>
      <c r="AD3006" s="1"/>
      <c r="AE3006" s="1"/>
      <c r="AF3006" s="1"/>
      <c r="AG3006" s="1"/>
      <c r="AH3006" s="1"/>
      <c r="AI3006" s="1"/>
      <c r="AJ3006" s="1"/>
      <c r="AK3006" s="1"/>
      <c r="AL3006" s="1"/>
      <c r="AM3006" s="1"/>
    </row>
    <row r="3007" spans="16:39" x14ac:dyDescent="0.25">
      <c r="P3007" s="49"/>
      <c r="Q3007" s="1"/>
      <c r="S3007" s="1"/>
      <c r="T3007" s="1"/>
      <c r="U3007" s="1"/>
      <c r="V3007" s="1"/>
      <c r="W3007" s="1"/>
      <c r="X3007" s="1"/>
      <c r="Y3007" s="1"/>
      <c r="AB3007" s="1"/>
      <c r="AC3007" s="1"/>
      <c r="AD3007" s="1"/>
      <c r="AE3007" s="1"/>
      <c r="AF3007" s="1"/>
      <c r="AG3007" s="1"/>
      <c r="AH3007" s="1"/>
      <c r="AI3007" s="1"/>
      <c r="AJ3007" s="1"/>
      <c r="AK3007" s="1"/>
      <c r="AL3007" s="1"/>
      <c r="AM3007" s="1"/>
    </row>
    <row r="3008" spans="16:39" x14ac:dyDescent="0.25">
      <c r="P3008" s="49"/>
      <c r="Q3008" s="1"/>
      <c r="S3008" s="1"/>
      <c r="T3008" s="1"/>
      <c r="U3008" s="1"/>
      <c r="V3008" s="1"/>
      <c r="W3008" s="1"/>
      <c r="X3008" s="1"/>
      <c r="Y3008" s="1"/>
      <c r="AB3008" s="1"/>
      <c r="AC3008" s="1"/>
      <c r="AD3008" s="1"/>
      <c r="AE3008" s="1"/>
      <c r="AF3008" s="1"/>
      <c r="AG3008" s="1"/>
      <c r="AH3008" s="1"/>
      <c r="AI3008" s="1"/>
      <c r="AJ3008" s="1"/>
      <c r="AK3008" s="1"/>
      <c r="AL3008" s="1"/>
      <c r="AM3008" s="1"/>
    </row>
    <row r="3009" spans="16:39" x14ac:dyDescent="0.25">
      <c r="P3009" s="49"/>
      <c r="Q3009" s="1"/>
      <c r="S3009" s="1"/>
      <c r="T3009" s="1"/>
      <c r="U3009" s="1"/>
      <c r="V3009" s="1"/>
      <c r="W3009" s="1"/>
      <c r="X3009" s="1"/>
      <c r="Y3009" s="1"/>
      <c r="AB3009" s="1"/>
      <c r="AC3009" s="1"/>
      <c r="AD3009" s="1"/>
      <c r="AE3009" s="1"/>
      <c r="AF3009" s="1"/>
      <c r="AG3009" s="1"/>
      <c r="AH3009" s="1"/>
      <c r="AI3009" s="1"/>
      <c r="AJ3009" s="1"/>
      <c r="AK3009" s="1"/>
      <c r="AL3009" s="1"/>
      <c r="AM3009" s="1"/>
    </row>
    <row r="3010" spans="16:39" x14ac:dyDescent="0.25">
      <c r="P3010" s="49"/>
      <c r="Q3010" s="1"/>
      <c r="S3010" s="1"/>
      <c r="T3010" s="1"/>
      <c r="U3010" s="1"/>
      <c r="V3010" s="1"/>
      <c r="W3010" s="1"/>
      <c r="X3010" s="1"/>
      <c r="Y3010" s="1"/>
      <c r="AB3010" s="1"/>
      <c r="AC3010" s="1"/>
      <c r="AD3010" s="1"/>
      <c r="AE3010" s="1"/>
      <c r="AF3010" s="1"/>
      <c r="AG3010" s="1"/>
      <c r="AH3010" s="1"/>
      <c r="AI3010" s="1"/>
      <c r="AJ3010" s="1"/>
      <c r="AK3010" s="1"/>
      <c r="AL3010" s="1"/>
      <c r="AM3010" s="1"/>
    </row>
    <row r="3011" spans="16:39" x14ac:dyDescent="0.25">
      <c r="P3011" s="49"/>
      <c r="Q3011" s="1"/>
      <c r="S3011" s="1"/>
      <c r="T3011" s="1"/>
      <c r="U3011" s="1"/>
      <c r="V3011" s="1"/>
      <c r="W3011" s="1"/>
      <c r="X3011" s="1"/>
      <c r="Y3011" s="1"/>
      <c r="AB3011" s="1"/>
      <c r="AC3011" s="1"/>
      <c r="AD3011" s="1"/>
      <c r="AE3011" s="1"/>
      <c r="AF3011" s="1"/>
      <c r="AG3011" s="1"/>
      <c r="AH3011" s="1"/>
      <c r="AI3011" s="1"/>
      <c r="AJ3011" s="1"/>
      <c r="AK3011" s="1"/>
      <c r="AL3011" s="1"/>
      <c r="AM3011" s="1"/>
    </row>
    <row r="3012" spans="16:39" x14ac:dyDescent="0.25">
      <c r="P3012" s="49"/>
      <c r="Q3012" s="1"/>
      <c r="S3012" s="1"/>
      <c r="T3012" s="1"/>
      <c r="U3012" s="1"/>
      <c r="V3012" s="1"/>
      <c r="W3012" s="1"/>
      <c r="X3012" s="1"/>
      <c r="Y3012" s="1"/>
      <c r="AB3012" s="1"/>
      <c r="AC3012" s="1"/>
      <c r="AD3012" s="1"/>
      <c r="AE3012" s="1"/>
      <c r="AF3012" s="1"/>
      <c r="AG3012" s="1"/>
      <c r="AH3012" s="1"/>
      <c r="AI3012" s="1"/>
      <c r="AJ3012" s="1"/>
      <c r="AK3012" s="1"/>
      <c r="AL3012" s="1"/>
      <c r="AM3012" s="1"/>
    </row>
    <row r="3013" spans="16:39" x14ac:dyDescent="0.25">
      <c r="P3013" s="49"/>
      <c r="Q3013" s="1"/>
      <c r="S3013" s="1"/>
      <c r="T3013" s="1"/>
      <c r="U3013" s="1"/>
      <c r="V3013" s="1"/>
      <c r="W3013" s="1"/>
      <c r="X3013" s="1"/>
      <c r="Y3013" s="1"/>
      <c r="AB3013" s="1"/>
      <c r="AC3013" s="1"/>
      <c r="AD3013" s="1"/>
      <c r="AE3013" s="1"/>
      <c r="AF3013" s="1"/>
      <c r="AG3013" s="1"/>
      <c r="AH3013" s="1"/>
      <c r="AI3013" s="1"/>
      <c r="AJ3013" s="1"/>
      <c r="AK3013" s="1"/>
      <c r="AL3013" s="1"/>
      <c r="AM3013" s="1"/>
    </row>
    <row r="3014" spans="16:39" x14ac:dyDescent="0.25">
      <c r="P3014" s="49"/>
      <c r="Q3014" s="1"/>
      <c r="S3014" s="1"/>
      <c r="T3014" s="1"/>
      <c r="U3014" s="1"/>
      <c r="V3014" s="1"/>
      <c r="W3014" s="1"/>
      <c r="X3014" s="1"/>
      <c r="Y3014" s="1"/>
      <c r="AB3014" s="1"/>
      <c r="AC3014" s="1"/>
      <c r="AD3014" s="1"/>
      <c r="AE3014" s="1"/>
      <c r="AF3014" s="1"/>
      <c r="AG3014" s="1"/>
      <c r="AH3014" s="1"/>
      <c r="AI3014" s="1"/>
      <c r="AJ3014" s="1"/>
      <c r="AK3014" s="1"/>
      <c r="AL3014" s="1"/>
      <c r="AM3014" s="1"/>
    </row>
    <row r="3015" spans="16:39" x14ac:dyDescent="0.25">
      <c r="P3015" s="49"/>
      <c r="Q3015" s="1"/>
      <c r="S3015" s="1"/>
      <c r="T3015" s="1"/>
      <c r="U3015" s="1"/>
      <c r="V3015" s="1"/>
      <c r="W3015" s="1"/>
      <c r="X3015" s="1"/>
      <c r="Y3015" s="1"/>
      <c r="AB3015" s="1"/>
      <c r="AC3015" s="1"/>
      <c r="AD3015" s="1"/>
      <c r="AE3015" s="1"/>
      <c r="AF3015" s="1"/>
      <c r="AG3015" s="1"/>
      <c r="AH3015" s="1"/>
      <c r="AI3015" s="1"/>
      <c r="AJ3015" s="1"/>
      <c r="AK3015" s="1"/>
      <c r="AL3015" s="1"/>
      <c r="AM3015" s="1"/>
    </row>
    <row r="3016" spans="16:39" x14ac:dyDescent="0.25">
      <c r="P3016" s="49"/>
      <c r="Q3016" s="1"/>
      <c r="S3016" s="1"/>
      <c r="T3016" s="1"/>
      <c r="U3016" s="1"/>
      <c r="V3016" s="1"/>
      <c r="W3016" s="1"/>
      <c r="X3016" s="1"/>
      <c r="Y3016" s="1"/>
      <c r="AB3016" s="1"/>
      <c r="AC3016" s="1"/>
      <c r="AD3016" s="1"/>
      <c r="AE3016" s="1"/>
      <c r="AF3016" s="1"/>
      <c r="AG3016" s="1"/>
      <c r="AH3016" s="1"/>
      <c r="AI3016" s="1"/>
      <c r="AJ3016" s="1"/>
      <c r="AK3016" s="1"/>
      <c r="AL3016" s="1"/>
      <c r="AM3016" s="1"/>
    </row>
    <row r="3017" spans="16:39" x14ac:dyDescent="0.25">
      <c r="P3017" s="49"/>
      <c r="Q3017" s="1"/>
      <c r="S3017" s="1"/>
      <c r="T3017" s="1"/>
      <c r="U3017" s="1"/>
      <c r="V3017" s="1"/>
      <c r="W3017" s="1"/>
      <c r="X3017" s="1"/>
      <c r="Y3017" s="1"/>
      <c r="AB3017" s="1"/>
      <c r="AC3017" s="1"/>
      <c r="AD3017" s="1"/>
      <c r="AE3017" s="1"/>
      <c r="AF3017" s="1"/>
      <c r="AG3017" s="1"/>
      <c r="AH3017" s="1"/>
      <c r="AI3017" s="1"/>
      <c r="AJ3017" s="1"/>
      <c r="AK3017" s="1"/>
      <c r="AL3017" s="1"/>
      <c r="AM3017" s="1"/>
    </row>
    <row r="3018" spans="16:39" x14ac:dyDescent="0.25">
      <c r="P3018" s="49"/>
      <c r="Q3018" s="1"/>
      <c r="S3018" s="1"/>
      <c r="T3018" s="1"/>
      <c r="U3018" s="1"/>
      <c r="V3018" s="1"/>
      <c r="W3018" s="1"/>
      <c r="X3018" s="1"/>
      <c r="Y3018" s="1"/>
      <c r="AB3018" s="1"/>
      <c r="AC3018" s="1"/>
      <c r="AD3018" s="1"/>
      <c r="AE3018" s="1"/>
      <c r="AF3018" s="1"/>
      <c r="AG3018" s="1"/>
      <c r="AH3018" s="1"/>
      <c r="AI3018" s="1"/>
      <c r="AJ3018" s="1"/>
      <c r="AK3018" s="1"/>
      <c r="AL3018" s="1"/>
      <c r="AM3018" s="1"/>
    </row>
    <row r="3019" spans="16:39" x14ac:dyDescent="0.25">
      <c r="P3019" s="49"/>
      <c r="Q3019" s="1"/>
      <c r="S3019" s="1"/>
      <c r="T3019" s="1"/>
      <c r="U3019" s="1"/>
      <c r="V3019" s="1"/>
      <c r="W3019" s="1"/>
      <c r="X3019" s="1"/>
      <c r="Y3019" s="1"/>
      <c r="AB3019" s="1"/>
      <c r="AC3019" s="1"/>
      <c r="AD3019" s="1"/>
      <c r="AE3019" s="1"/>
      <c r="AF3019" s="1"/>
      <c r="AG3019" s="1"/>
      <c r="AH3019" s="1"/>
      <c r="AI3019" s="1"/>
      <c r="AJ3019" s="1"/>
      <c r="AK3019" s="1"/>
      <c r="AL3019" s="1"/>
      <c r="AM3019" s="1"/>
    </row>
    <row r="3020" spans="16:39" x14ac:dyDescent="0.25">
      <c r="P3020" s="49"/>
      <c r="Q3020" s="1"/>
      <c r="S3020" s="1"/>
      <c r="T3020" s="1"/>
      <c r="U3020" s="1"/>
      <c r="V3020" s="1"/>
      <c r="W3020" s="1"/>
      <c r="X3020" s="1"/>
      <c r="Y3020" s="1"/>
      <c r="AB3020" s="1"/>
      <c r="AC3020" s="1"/>
      <c r="AD3020" s="1"/>
      <c r="AE3020" s="1"/>
      <c r="AF3020" s="1"/>
      <c r="AG3020" s="1"/>
      <c r="AH3020" s="1"/>
      <c r="AI3020" s="1"/>
      <c r="AJ3020" s="1"/>
      <c r="AK3020" s="1"/>
      <c r="AL3020" s="1"/>
      <c r="AM3020" s="1"/>
    </row>
    <row r="3021" spans="16:39" x14ac:dyDescent="0.25">
      <c r="P3021" s="49"/>
      <c r="Q3021" s="1"/>
      <c r="S3021" s="1"/>
      <c r="T3021" s="1"/>
      <c r="U3021" s="1"/>
      <c r="V3021" s="1"/>
      <c r="W3021" s="1"/>
      <c r="X3021" s="1"/>
      <c r="Y3021" s="1"/>
      <c r="AB3021" s="1"/>
      <c r="AC3021" s="1"/>
      <c r="AD3021" s="1"/>
      <c r="AE3021" s="1"/>
      <c r="AF3021" s="1"/>
      <c r="AG3021" s="1"/>
      <c r="AH3021" s="1"/>
      <c r="AI3021" s="1"/>
      <c r="AJ3021" s="1"/>
      <c r="AK3021" s="1"/>
      <c r="AL3021" s="1"/>
      <c r="AM3021" s="1"/>
    </row>
    <row r="3022" spans="16:39" x14ac:dyDescent="0.25">
      <c r="P3022" s="49"/>
      <c r="Q3022" s="1"/>
      <c r="S3022" s="1"/>
      <c r="T3022" s="1"/>
      <c r="U3022" s="1"/>
      <c r="V3022" s="1"/>
      <c r="W3022" s="1"/>
      <c r="X3022" s="1"/>
      <c r="Y3022" s="1"/>
      <c r="AB3022" s="1"/>
      <c r="AC3022" s="1"/>
      <c r="AD3022" s="1"/>
      <c r="AE3022" s="1"/>
      <c r="AF3022" s="1"/>
      <c r="AG3022" s="1"/>
      <c r="AH3022" s="1"/>
      <c r="AI3022" s="1"/>
      <c r="AJ3022" s="1"/>
      <c r="AK3022" s="1"/>
      <c r="AL3022" s="1"/>
      <c r="AM3022" s="1"/>
    </row>
    <row r="3023" spans="16:39" x14ac:dyDescent="0.25">
      <c r="P3023" s="49"/>
      <c r="Q3023" s="1"/>
      <c r="S3023" s="1"/>
      <c r="T3023" s="1"/>
      <c r="U3023" s="1"/>
      <c r="V3023" s="1"/>
      <c r="W3023" s="1"/>
      <c r="X3023" s="1"/>
      <c r="Y3023" s="1"/>
      <c r="AB3023" s="1"/>
      <c r="AC3023" s="1"/>
      <c r="AD3023" s="1"/>
      <c r="AE3023" s="1"/>
      <c r="AF3023" s="1"/>
      <c r="AG3023" s="1"/>
      <c r="AH3023" s="1"/>
      <c r="AI3023" s="1"/>
      <c r="AJ3023" s="1"/>
      <c r="AK3023" s="1"/>
      <c r="AL3023" s="1"/>
      <c r="AM3023" s="1"/>
    </row>
    <row r="3024" spans="16:39" x14ac:dyDescent="0.25">
      <c r="P3024" s="49"/>
      <c r="Q3024" s="1"/>
      <c r="S3024" s="1"/>
      <c r="T3024" s="1"/>
      <c r="U3024" s="1"/>
      <c r="V3024" s="1"/>
      <c r="W3024" s="1"/>
      <c r="X3024" s="1"/>
      <c r="Y3024" s="1"/>
      <c r="AB3024" s="1"/>
      <c r="AC3024" s="1"/>
      <c r="AD3024" s="1"/>
      <c r="AE3024" s="1"/>
      <c r="AF3024" s="1"/>
      <c r="AG3024" s="1"/>
      <c r="AH3024" s="1"/>
      <c r="AI3024" s="1"/>
      <c r="AJ3024" s="1"/>
      <c r="AK3024" s="1"/>
      <c r="AL3024" s="1"/>
      <c r="AM3024" s="1"/>
    </row>
    <row r="3025" spans="16:39" x14ac:dyDescent="0.25">
      <c r="P3025" s="49"/>
      <c r="Q3025" s="1"/>
      <c r="S3025" s="1"/>
      <c r="T3025" s="1"/>
      <c r="U3025" s="1"/>
      <c r="V3025" s="1"/>
      <c r="W3025" s="1"/>
      <c r="X3025" s="1"/>
      <c r="Y3025" s="1"/>
      <c r="AB3025" s="1"/>
      <c r="AC3025" s="1"/>
      <c r="AD3025" s="1"/>
      <c r="AE3025" s="1"/>
      <c r="AF3025" s="1"/>
      <c r="AG3025" s="1"/>
      <c r="AH3025" s="1"/>
      <c r="AI3025" s="1"/>
      <c r="AJ3025" s="1"/>
      <c r="AK3025" s="1"/>
      <c r="AL3025" s="1"/>
      <c r="AM3025" s="1"/>
    </row>
    <row r="3026" spans="16:39" x14ac:dyDescent="0.25">
      <c r="P3026" s="49"/>
      <c r="Q3026" s="1"/>
      <c r="S3026" s="1"/>
      <c r="T3026" s="1"/>
      <c r="U3026" s="1"/>
      <c r="V3026" s="1"/>
      <c r="W3026" s="1"/>
      <c r="X3026" s="1"/>
      <c r="Y3026" s="1"/>
      <c r="AB3026" s="1"/>
      <c r="AC3026" s="1"/>
      <c r="AD3026" s="1"/>
      <c r="AE3026" s="1"/>
      <c r="AF3026" s="1"/>
      <c r="AG3026" s="1"/>
      <c r="AH3026" s="1"/>
      <c r="AI3026" s="1"/>
      <c r="AJ3026" s="1"/>
      <c r="AK3026" s="1"/>
      <c r="AL3026" s="1"/>
      <c r="AM3026" s="1"/>
    </row>
    <row r="3027" spans="16:39" x14ac:dyDescent="0.25">
      <c r="P3027" s="49"/>
      <c r="Q3027" s="1"/>
      <c r="S3027" s="1"/>
      <c r="T3027" s="1"/>
      <c r="U3027" s="1"/>
      <c r="V3027" s="1"/>
      <c r="W3027" s="1"/>
      <c r="X3027" s="1"/>
      <c r="Y3027" s="1"/>
      <c r="AB3027" s="1"/>
      <c r="AC3027" s="1"/>
      <c r="AD3027" s="1"/>
      <c r="AE3027" s="1"/>
      <c r="AF3027" s="1"/>
      <c r="AG3027" s="1"/>
      <c r="AH3027" s="1"/>
      <c r="AI3027" s="1"/>
      <c r="AJ3027" s="1"/>
      <c r="AK3027" s="1"/>
      <c r="AL3027" s="1"/>
      <c r="AM3027" s="1"/>
    </row>
    <row r="3028" spans="16:39" x14ac:dyDescent="0.25">
      <c r="P3028" s="49"/>
      <c r="Q3028" s="1"/>
      <c r="S3028" s="1"/>
      <c r="T3028" s="1"/>
      <c r="U3028" s="1"/>
      <c r="V3028" s="1"/>
      <c r="W3028" s="1"/>
      <c r="X3028" s="1"/>
      <c r="Y3028" s="1"/>
      <c r="AB3028" s="1"/>
      <c r="AC3028" s="1"/>
      <c r="AD3028" s="1"/>
      <c r="AE3028" s="1"/>
      <c r="AF3028" s="1"/>
      <c r="AG3028" s="1"/>
      <c r="AH3028" s="1"/>
      <c r="AI3028" s="1"/>
      <c r="AJ3028" s="1"/>
      <c r="AK3028" s="1"/>
      <c r="AL3028" s="1"/>
      <c r="AM3028" s="1"/>
    </row>
    <row r="3029" spans="16:39" x14ac:dyDescent="0.25">
      <c r="P3029" s="49"/>
      <c r="Q3029" s="1"/>
      <c r="S3029" s="1"/>
      <c r="T3029" s="1"/>
      <c r="U3029" s="1"/>
      <c r="V3029" s="1"/>
      <c r="W3029" s="1"/>
      <c r="X3029" s="1"/>
      <c r="Y3029" s="1"/>
      <c r="AB3029" s="1"/>
      <c r="AC3029" s="1"/>
      <c r="AD3029" s="1"/>
      <c r="AE3029" s="1"/>
      <c r="AF3029" s="1"/>
      <c r="AG3029" s="1"/>
      <c r="AH3029" s="1"/>
      <c r="AI3029" s="1"/>
      <c r="AJ3029" s="1"/>
      <c r="AK3029" s="1"/>
      <c r="AL3029" s="1"/>
      <c r="AM3029" s="1"/>
    </row>
    <row r="3030" spans="16:39" x14ac:dyDescent="0.25">
      <c r="P3030" s="49"/>
      <c r="Q3030" s="1"/>
      <c r="S3030" s="1"/>
      <c r="T3030" s="1"/>
      <c r="U3030" s="1"/>
      <c r="V3030" s="1"/>
      <c r="W3030" s="1"/>
      <c r="X3030" s="1"/>
      <c r="Y3030" s="1"/>
      <c r="AB3030" s="1"/>
      <c r="AC3030" s="1"/>
      <c r="AD3030" s="1"/>
      <c r="AE3030" s="1"/>
      <c r="AF3030" s="1"/>
      <c r="AG3030" s="1"/>
      <c r="AH3030" s="1"/>
      <c r="AI3030" s="1"/>
      <c r="AJ3030" s="1"/>
      <c r="AK3030" s="1"/>
      <c r="AL3030" s="1"/>
      <c r="AM3030" s="1"/>
    </row>
    <row r="3031" spans="16:39" x14ac:dyDescent="0.25">
      <c r="P3031" s="49"/>
      <c r="Q3031" s="1"/>
      <c r="S3031" s="1"/>
      <c r="T3031" s="1"/>
      <c r="U3031" s="1"/>
      <c r="V3031" s="1"/>
      <c r="W3031" s="1"/>
      <c r="X3031" s="1"/>
      <c r="Y3031" s="1"/>
      <c r="AB3031" s="1"/>
      <c r="AC3031" s="1"/>
      <c r="AD3031" s="1"/>
      <c r="AE3031" s="1"/>
      <c r="AF3031" s="1"/>
      <c r="AG3031" s="1"/>
      <c r="AH3031" s="1"/>
      <c r="AI3031" s="1"/>
      <c r="AJ3031" s="1"/>
      <c r="AK3031" s="1"/>
      <c r="AL3031" s="1"/>
      <c r="AM3031" s="1"/>
    </row>
    <row r="3032" spans="16:39" x14ac:dyDescent="0.25">
      <c r="P3032" s="49"/>
      <c r="Q3032" s="1"/>
      <c r="S3032" s="1"/>
      <c r="T3032" s="1"/>
      <c r="U3032" s="1"/>
      <c r="V3032" s="1"/>
      <c r="W3032" s="1"/>
      <c r="X3032" s="1"/>
      <c r="Y3032" s="1"/>
      <c r="AB3032" s="1"/>
      <c r="AC3032" s="1"/>
      <c r="AD3032" s="1"/>
      <c r="AE3032" s="1"/>
      <c r="AF3032" s="1"/>
      <c r="AG3032" s="1"/>
      <c r="AH3032" s="1"/>
      <c r="AI3032" s="1"/>
      <c r="AJ3032" s="1"/>
      <c r="AK3032" s="1"/>
      <c r="AL3032" s="1"/>
      <c r="AM3032" s="1"/>
    </row>
    <row r="3033" spans="16:39" x14ac:dyDescent="0.25">
      <c r="P3033" s="49"/>
      <c r="Q3033" s="1"/>
      <c r="S3033" s="1"/>
      <c r="T3033" s="1"/>
      <c r="U3033" s="1"/>
      <c r="V3033" s="1"/>
      <c r="W3033" s="1"/>
      <c r="X3033" s="1"/>
      <c r="Y3033" s="1"/>
      <c r="AB3033" s="1"/>
      <c r="AC3033" s="1"/>
      <c r="AD3033" s="1"/>
      <c r="AE3033" s="1"/>
      <c r="AF3033" s="1"/>
      <c r="AG3033" s="1"/>
      <c r="AH3033" s="1"/>
      <c r="AI3033" s="1"/>
      <c r="AJ3033" s="1"/>
      <c r="AK3033" s="1"/>
      <c r="AL3033" s="1"/>
      <c r="AM3033" s="1"/>
    </row>
    <row r="3034" spans="16:39" x14ac:dyDescent="0.25">
      <c r="P3034" s="49"/>
      <c r="Q3034" s="1"/>
      <c r="S3034" s="1"/>
      <c r="T3034" s="1"/>
      <c r="U3034" s="1"/>
      <c r="V3034" s="1"/>
      <c r="W3034" s="1"/>
      <c r="X3034" s="1"/>
      <c r="Y3034" s="1"/>
      <c r="AB3034" s="1"/>
      <c r="AC3034" s="1"/>
      <c r="AD3034" s="1"/>
      <c r="AE3034" s="1"/>
      <c r="AF3034" s="1"/>
      <c r="AG3034" s="1"/>
      <c r="AH3034" s="1"/>
      <c r="AI3034" s="1"/>
      <c r="AJ3034" s="1"/>
      <c r="AK3034" s="1"/>
      <c r="AL3034" s="1"/>
      <c r="AM3034" s="1"/>
    </row>
    <row r="3035" spans="16:39" x14ac:dyDescent="0.25">
      <c r="P3035" s="49"/>
      <c r="Q3035" s="1"/>
      <c r="S3035" s="1"/>
      <c r="T3035" s="1"/>
      <c r="U3035" s="1"/>
      <c r="V3035" s="1"/>
      <c r="W3035" s="1"/>
      <c r="X3035" s="1"/>
      <c r="Y3035" s="1"/>
      <c r="AB3035" s="1"/>
      <c r="AC3035" s="1"/>
      <c r="AD3035" s="1"/>
      <c r="AE3035" s="1"/>
      <c r="AF3035" s="1"/>
      <c r="AG3035" s="1"/>
      <c r="AH3035" s="1"/>
      <c r="AI3035" s="1"/>
      <c r="AJ3035" s="1"/>
      <c r="AK3035" s="1"/>
      <c r="AL3035" s="1"/>
      <c r="AM3035" s="1"/>
    </row>
    <row r="3036" spans="16:39" x14ac:dyDescent="0.25">
      <c r="P3036" s="49"/>
      <c r="Q3036" s="1"/>
      <c r="S3036" s="1"/>
      <c r="T3036" s="1"/>
      <c r="U3036" s="1"/>
      <c r="V3036" s="1"/>
      <c r="W3036" s="1"/>
      <c r="X3036" s="1"/>
      <c r="Y3036" s="1"/>
      <c r="AB3036" s="1"/>
      <c r="AC3036" s="1"/>
      <c r="AD3036" s="1"/>
      <c r="AE3036" s="1"/>
      <c r="AF3036" s="1"/>
      <c r="AG3036" s="1"/>
      <c r="AH3036" s="1"/>
      <c r="AI3036" s="1"/>
      <c r="AJ3036" s="1"/>
      <c r="AK3036" s="1"/>
      <c r="AL3036" s="1"/>
      <c r="AM3036" s="1"/>
    </row>
    <row r="3037" spans="16:39" x14ac:dyDescent="0.25">
      <c r="P3037" s="49"/>
      <c r="Q3037" s="1"/>
      <c r="S3037" s="1"/>
      <c r="T3037" s="1"/>
      <c r="U3037" s="1"/>
      <c r="V3037" s="1"/>
      <c r="W3037" s="1"/>
      <c r="X3037" s="1"/>
      <c r="Y3037" s="1"/>
      <c r="AB3037" s="1"/>
      <c r="AC3037" s="1"/>
      <c r="AD3037" s="1"/>
      <c r="AE3037" s="1"/>
      <c r="AF3037" s="1"/>
      <c r="AG3037" s="1"/>
      <c r="AH3037" s="1"/>
      <c r="AI3037" s="1"/>
      <c r="AJ3037" s="1"/>
      <c r="AK3037" s="1"/>
      <c r="AL3037" s="1"/>
      <c r="AM3037" s="1"/>
    </row>
    <row r="3038" spans="16:39" x14ac:dyDescent="0.25">
      <c r="P3038" s="49"/>
      <c r="Q3038" s="1"/>
      <c r="S3038" s="1"/>
      <c r="T3038" s="1"/>
      <c r="U3038" s="1"/>
      <c r="V3038" s="1"/>
      <c r="W3038" s="1"/>
      <c r="X3038" s="1"/>
      <c r="Y3038" s="1"/>
      <c r="AB3038" s="1"/>
      <c r="AC3038" s="1"/>
      <c r="AD3038" s="1"/>
      <c r="AE3038" s="1"/>
      <c r="AF3038" s="1"/>
      <c r="AG3038" s="1"/>
      <c r="AH3038" s="1"/>
      <c r="AI3038" s="1"/>
      <c r="AJ3038" s="1"/>
      <c r="AK3038" s="1"/>
      <c r="AL3038" s="1"/>
      <c r="AM3038" s="1"/>
    </row>
    <row r="3039" spans="16:39" x14ac:dyDescent="0.25">
      <c r="P3039" s="49"/>
      <c r="Q3039" s="1"/>
      <c r="S3039" s="1"/>
      <c r="T3039" s="1"/>
      <c r="U3039" s="1"/>
      <c r="V3039" s="1"/>
      <c r="W3039" s="1"/>
      <c r="X3039" s="1"/>
      <c r="Y3039" s="1"/>
      <c r="AB3039" s="1"/>
      <c r="AC3039" s="1"/>
      <c r="AD3039" s="1"/>
      <c r="AE3039" s="1"/>
      <c r="AF3039" s="1"/>
      <c r="AG3039" s="1"/>
      <c r="AH3039" s="1"/>
      <c r="AI3039" s="1"/>
      <c r="AJ3039" s="1"/>
      <c r="AK3039" s="1"/>
      <c r="AL3039" s="1"/>
      <c r="AM3039" s="1"/>
    </row>
    <row r="3040" spans="16:39" x14ac:dyDescent="0.25">
      <c r="P3040" s="49"/>
      <c r="Q3040" s="1"/>
      <c r="S3040" s="1"/>
      <c r="T3040" s="1"/>
      <c r="U3040" s="1"/>
      <c r="V3040" s="1"/>
      <c r="W3040" s="1"/>
      <c r="X3040" s="1"/>
      <c r="Y3040" s="1"/>
      <c r="AB3040" s="1"/>
      <c r="AC3040" s="1"/>
      <c r="AD3040" s="1"/>
      <c r="AE3040" s="1"/>
      <c r="AF3040" s="1"/>
      <c r="AG3040" s="1"/>
      <c r="AH3040" s="1"/>
      <c r="AI3040" s="1"/>
      <c r="AJ3040" s="1"/>
      <c r="AK3040" s="1"/>
      <c r="AL3040" s="1"/>
      <c r="AM3040" s="1"/>
    </row>
    <row r="3041" spans="16:39" x14ac:dyDescent="0.25">
      <c r="P3041" s="49"/>
      <c r="Q3041" s="1"/>
      <c r="S3041" s="1"/>
      <c r="T3041" s="1"/>
      <c r="U3041" s="1"/>
      <c r="V3041" s="1"/>
      <c r="W3041" s="1"/>
      <c r="X3041" s="1"/>
      <c r="Y3041" s="1"/>
      <c r="AB3041" s="1"/>
      <c r="AC3041" s="1"/>
      <c r="AD3041" s="1"/>
      <c r="AE3041" s="1"/>
      <c r="AF3041" s="1"/>
      <c r="AG3041" s="1"/>
      <c r="AH3041" s="1"/>
      <c r="AI3041" s="1"/>
      <c r="AJ3041" s="1"/>
      <c r="AK3041" s="1"/>
      <c r="AL3041" s="1"/>
      <c r="AM3041" s="1"/>
    </row>
    <row r="3042" spans="16:39" x14ac:dyDescent="0.25">
      <c r="P3042" s="49"/>
      <c r="Q3042" s="1"/>
      <c r="S3042" s="1"/>
      <c r="T3042" s="1"/>
      <c r="U3042" s="1"/>
      <c r="V3042" s="1"/>
      <c r="W3042" s="1"/>
      <c r="X3042" s="1"/>
      <c r="Y3042" s="1"/>
      <c r="AB3042" s="1"/>
      <c r="AC3042" s="1"/>
      <c r="AD3042" s="1"/>
      <c r="AE3042" s="1"/>
      <c r="AF3042" s="1"/>
      <c r="AG3042" s="1"/>
      <c r="AH3042" s="1"/>
      <c r="AI3042" s="1"/>
      <c r="AJ3042" s="1"/>
      <c r="AK3042" s="1"/>
      <c r="AL3042" s="1"/>
      <c r="AM3042" s="1"/>
    </row>
    <row r="3043" spans="16:39" x14ac:dyDescent="0.25">
      <c r="P3043" s="49"/>
      <c r="Q3043" s="1"/>
      <c r="S3043" s="1"/>
      <c r="T3043" s="1"/>
      <c r="U3043" s="1"/>
      <c r="V3043" s="1"/>
      <c r="W3043" s="1"/>
      <c r="X3043" s="1"/>
      <c r="Y3043" s="1"/>
      <c r="AB3043" s="1"/>
      <c r="AC3043" s="1"/>
      <c r="AD3043" s="1"/>
      <c r="AE3043" s="1"/>
      <c r="AF3043" s="1"/>
      <c r="AG3043" s="1"/>
      <c r="AH3043" s="1"/>
      <c r="AI3043" s="1"/>
      <c r="AJ3043" s="1"/>
      <c r="AK3043" s="1"/>
      <c r="AL3043" s="1"/>
      <c r="AM3043" s="1"/>
    </row>
    <row r="3044" spans="16:39" x14ac:dyDescent="0.25">
      <c r="P3044" s="49"/>
      <c r="Q3044" s="1"/>
      <c r="S3044" s="1"/>
      <c r="T3044" s="1"/>
      <c r="U3044" s="1"/>
      <c r="V3044" s="1"/>
      <c r="W3044" s="1"/>
      <c r="X3044" s="1"/>
      <c r="Y3044" s="1"/>
      <c r="AB3044" s="1"/>
      <c r="AC3044" s="1"/>
      <c r="AD3044" s="1"/>
      <c r="AE3044" s="1"/>
      <c r="AF3044" s="1"/>
      <c r="AG3044" s="1"/>
      <c r="AH3044" s="1"/>
      <c r="AI3044" s="1"/>
      <c r="AJ3044" s="1"/>
      <c r="AK3044" s="1"/>
      <c r="AL3044" s="1"/>
      <c r="AM3044" s="1"/>
    </row>
    <row r="3045" spans="16:39" x14ac:dyDescent="0.25">
      <c r="P3045" s="49"/>
      <c r="Q3045" s="1"/>
      <c r="S3045" s="1"/>
      <c r="T3045" s="1"/>
      <c r="U3045" s="1"/>
      <c r="V3045" s="1"/>
      <c r="W3045" s="1"/>
      <c r="X3045" s="1"/>
      <c r="Y3045" s="1"/>
      <c r="AB3045" s="1"/>
      <c r="AC3045" s="1"/>
      <c r="AD3045" s="1"/>
      <c r="AE3045" s="1"/>
      <c r="AF3045" s="1"/>
      <c r="AG3045" s="1"/>
      <c r="AH3045" s="1"/>
      <c r="AI3045" s="1"/>
      <c r="AJ3045" s="1"/>
      <c r="AK3045" s="1"/>
      <c r="AL3045" s="1"/>
      <c r="AM3045" s="1"/>
    </row>
    <row r="3046" spans="16:39" x14ac:dyDescent="0.25">
      <c r="P3046" s="49"/>
      <c r="Q3046" s="1"/>
      <c r="S3046" s="1"/>
      <c r="T3046" s="1"/>
      <c r="U3046" s="1"/>
      <c r="V3046" s="1"/>
      <c r="W3046" s="1"/>
      <c r="X3046" s="1"/>
      <c r="Y3046" s="1"/>
      <c r="AB3046" s="1"/>
      <c r="AC3046" s="1"/>
      <c r="AD3046" s="1"/>
      <c r="AE3046" s="1"/>
      <c r="AF3046" s="1"/>
      <c r="AG3046" s="1"/>
      <c r="AH3046" s="1"/>
      <c r="AI3046" s="1"/>
      <c r="AJ3046" s="1"/>
      <c r="AK3046" s="1"/>
      <c r="AL3046" s="1"/>
      <c r="AM3046" s="1"/>
    </row>
    <row r="3047" spans="16:39" x14ac:dyDescent="0.25">
      <c r="P3047" s="49"/>
      <c r="Q3047" s="1"/>
      <c r="S3047" s="1"/>
      <c r="T3047" s="1"/>
      <c r="U3047" s="1"/>
      <c r="V3047" s="1"/>
      <c r="W3047" s="1"/>
      <c r="X3047" s="1"/>
      <c r="Y3047" s="1"/>
      <c r="AB3047" s="1"/>
      <c r="AC3047" s="1"/>
      <c r="AD3047" s="1"/>
      <c r="AE3047" s="1"/>
      <c r="AF3047" s="1"/>
      <c r="AG3047" s="1"/>
      <c r="AH3047" s="1"/>
      <c r="AI3047" s="1"/>
      <c r="AJ3047" s="1"/>
      <c r="AK3047" s="1"/>
      <c r="AL3047" s="1"/>
      <c r="AM3047" s="1"/>
    </row>
    <row r="3048" spans="16:39" x14ac:dyDescent="0.25">
      <c r="P3048" s="49"/>
      <c r="Q3048" s="1"/>
      <c r="S3048" s="1"/>
      <c r="T3048" s="1"/>
      <c r="U3048" s="1"/>
      <c r="V3048" s="1"/>
      <c r="W3048" s="1"/>
      <c r="X3048" s="1"/>
      <c r="Y3048" s="1"/>
      <c r="AB3048" s="1"/>
      <c r="AC3048" s="1"/>
      <c r="AD3048" s="1"/>
      <c r="AE3048" s="1"/>
      <c r="AF3048" s="1"/>
      <c r="AG3048" s="1"/>
      <c r="AH3048" s="1"/>
      <c r="AI3048" s="1"/>
      <c r="AJ3048" s="1"/>
      <c r="AK3048" s="1"/>
      <c r="AL3048" s="1"/>
      <c r="AM3048" s="1"/>
    </row>
    <row r="3049" spans="16:39" x14ac:dyDescent="0.25">
      <c r="P3049" s="49"/>
      <c r="Q3049" s="1"/>
      <c r="S3049" s="1"/>
      <c r="T3049" s="1"/>
      <c r="U3049" s="1"/>
      <c r="V3049" s="1"/>
      <c r="W3049" s="1"/>
      <c r="X3049" s="1"/>
      <c r="Y3049" s="1"/>
      <c r="AB3049" s="1"/>
      <c r="AC3049" s="1"/>
      <c r="AD3049" s="1"/>
      <c r="AE3049" s="1"/>
      <c r="AF3049" s="1"/>
      <c r="AG3049" s="1"/>
      <c r="AH3049" s="1"/>
      <c r="AI3049" s="1"/>
      <c r="AJ3049" s="1"/>
      <c r="AK3049" s="1"/>
      <c r="AL3049" s="1"/>
      <c r="AM3049" s="1"/>
    </row>
    <row r="3050" spans="16:39" x14ac:dyDescent="0.25">
      <c r="P3050" s="49"/>
      <c r="Q3050" s="1"/>
      <c r="S3050" s="1"/>
      <c r="T3050" s="1"/>
      <c r="U3050" s="1"/>
      <c r="V3050" s="1"/>
      <c r="W3050" s="1"/>
      <c r="X3050" s="1"/>
      <c r="Y3050" s="1"/>
      <c r="AB3050" s="1"/>
      <c r="AC3050" s="1"/>
      <c r="AD3050" s="1"/>
      <c r="AE3050" s="1"/>
      <c r="AF3050" s="1"/>
      <c r="AG3050" s="1"/>
      <c r="AH3050" s="1"/>
      <c r="AI3050" s="1"/>
      <c r="AJ3050" s="1"/>
      <c r="AK3050" s="1"/>
      <c r="AL3050" s="1"/>
      <c r="AM3050" s="1"/>
    </row>
    <row r="3051" spans="16:39" x14ac:dyDescent="0.25">
      <c r="P3051" s="49"/>
      <c r="Q3051" s="1"/>
      <c r="S3051" s="1"/>
      <c r="T3051" s="1"/>
      <c r="U3051" s="1"/>
      <c r="V3051" s="1"/>
      <c r="W3051" s="1"/>
      <c r="X3051" s="1"/>
      <c r="Y3051" s="1"/>
      <c r="AB3051" s="1"/>
      <c r="AC3051" s="1"/>
      <c r="AD3051" s="1"/>
      <c r="AE3051" s="1"/>
      <c r="AF3051" s="1"/>
      <c r="AG3051" s="1"/>
      <c r="AH3051" s="1"/>
      <c r="AI3051" s="1"/>
      <c r="AJ3051" s="1"/>
      <c r="AK3051" s="1"/>
      <c r="AL3051" s="1"/>
      <c r="AM3051" s="1"/>
    </row>
    <row r="3052" spans="16:39" x14ac:dyDescent="0.25">
      <c r="P3052" s="49"/>
      <c r="Q3052" s="1"/>
      <c r="S3052" s="1"/>
      <c r="T3052" s="1"/>
      <c r="U3052" s="1"/>
      <c r="V3052" s="1"/>
      <c r="W3052" s="1"/>
      <c r="X3052" s="1"/>
      <c r="Y3052" s="1"/>
      <c r="AB3052" s="1"/>
      <c r="AC3052" s="1"/>
      <c r="AD3052" s="1"/>
      <c r="AE3052" s="1"/>
      <c r="AF3052" s="1"/>
      <c r="AG3052" s="1"/>
      <c r="AH3052" s="1"/>
      <c r="AI3052" s="1"/>
      <c r="AJ3052" s="1"/>
      <c r="AK3052" s="1"/>
      <c r="AL3052" s="1"/>
      <c r="AM3052" s="1"/>
    </row>
    <row r="3053" spans="16:39" x14ac:dyDescent="0.25">
      <c r="P3053" s="49"/>
      <c r="Q3053" s="1"/>
      <c r="S3053" s="1"/>
      <c r="T3053" s="1"/>
      <c r="U3053" s="1"/>
      <c r="V3053" s="1"/>
      <c r="W3053" s="1"/>
      <c r="X3053" s="1"/>
      <c r="Y3053" s="1"/>
      <c r="AB3053" s="1"/>
      <c r="AC3053" s="1"/>
      <c r="AD3053" s="1"/>
      <c r="AE3053" s="1"/>
      <c r="AF3053" s="1"/>
      <c r="AG3053" s="1"/>
      <c r="AH3053" s="1"/>
      <c r="AI3053" s="1"/>
      <c r="AJ3053" s="1"/>
      <c r="AK3053" s="1"/>
      <c r="AL3053" s="1"/>
      <c r="AM3053" s="1"/>
    </row>
    <row r="3054" spans="16:39" x14ac:dyDescent="0.25">
      <c r="P3054" s="49"/>
      <c r="Q3054" s="1"/>
      <c r="S3054" s="1"/>
      <c r="T3054" s="1"/>
      <c r="U3054" s="1"/>
      <c r="V3054" s="1"/>
      <c r="W3054" s="1"/>
      <c r="X3054" s="1"/>
      <c r="Y3054" s="1"/>
      <c r="AB3054" s="1"/>
      <c r="AC3054" s="1"/>
      <c r="AD3054" s="1"/>
      <c r="AE3054" s="1"/>
      <c r="AF3054" s="1"/>
      <c r="AG3054" s="1"/>
      <c r="AH3054" s="1"/>
      <c r="AI3054" s="1"/>
      <c r="AJ3054" s="1"/>
      <c r="AK3054" s="1"/>
      <c r="AL3054" s="1"/>
      <c r="AM3054" s="1"/>
    </row>
    <row r="3055" spans="16:39" x14ac:dyDescent="0.25">
      <c r="P3055" s="49"/>
      <c r="Q3055" s="1"/>
      <c r="S3055" s="1"/>
      <c r="T3055" s="1"/>
      <c r="U3055" s="1"/>
      <c r="V3055" s="1"/>
      <c r="W3055" s="1"/>
      <c r="X3055" s="1"/>
      <c r="Y3055" s="1"/>
      <c r="AB3055" s="1"/>
      <c r="AC3055" s="1"/>
      <c r="AD3055" s="1"/>
      <c r="AE3055" s="1"/>
      <c r="AF3055" s="1"/>
      <c r="AG3055" s="1"/>
      <c r="AH3055" s="1"/>
      <c r="AI3055" s="1"/>
      <c r="AJ3055" s="1"/>
      <c r="AK3055" s="1"/>
      <c r="AL3055" s="1"/>
      <c r="AM3055" s="1"/>
    </row>
    <row r="3056" spans="16:39" x14ac:dyDescent="0.25">
      <c r="P3056" s="49"/>
      <c r="Q3056" s="1"/>
      <c r="S3056" s="1"/>
      <c r="T3056" s="1"/>
      <c r="U3056" s="1"/>
      <c r="V3056" s="1"/>
      <c r="W3056" s="1"/>
      <c r="X3056" s="1"/>
      <c r="Y3056" s="1"/>
      <c r="AB3056" s="1"/>
      <c r="AC3056" s="1"/>
      <c r="AD3056" s="1"/>
      <c r="AE3056" s="1"/>
      <c r="AF3056" s="1"/>
      <c r="AG3056" s="1"/>
      <c r="AH3056" s="1"/>
      <c r="AI3056" s="1"/>
      <c r="AJ3056" s="1"/>
      <c r="AK3056" s="1"/>
      <c r="AL3056" s="1"/>
      <c r="AM3056" s="1"/>
    </row>
    <row r="3057" spans="16:39" x14ac:dyDescent="0.25">
      <c r="P3057" s="49"/>
      <c r="Q3057" s="1"/>
      <c r="S3057" s="1"/>
      <c r="T3057" s="1"/>
      <c r="U3057" s="1"/>
      <c r="V3057" s="1"/>
      <c r="W3057" s="1"/>
      <c r="X3057" s="1"/>
      <c r="Y3057" s="1"/>
      <c r="AB3057" s="1"/>
      <c r="AC3057" s="1"/>
      <c r="AD3057" s="1"/>
      <c r="AE3057" s="1"/>
      <c r="AF3057" s="1"/>
      <c r="AG3057" s="1"/>
      <c r="AH3057" s="1"/>
      <c r="AI3057" s="1"/>
      <c r="AJ3057" s="1"/>
      <c r="AK3057" s="1"/>
      <c r="AL3057" s="1"/>
      <c r="AM3057" s="1"/>
    </row>
    <row r="3058" spans="16:39" x14ac:dyDescent="0.25">
      <c r="P3058" s="49"/>
      <c r="Q3058" s="1"/>
      <c r="S3058" s="1"/>
      <c r="T3058" s="1"/>
      <c r="U3058" s="1"/>
      <c r="V3058" s="1"/>
      <c r="W3058" s="1"/>
      <c r="X3058" s="1"/>
      <c r="Y3058" s="1"/>
      <c r="AB3058" s="1"/>
      <c r="AC3058" s="1"/>
      <c r="AD3058" s="1"/>
      <c r="AE3058" s="1"/>
      <c r="AF3058" s="1"/>
      <c r="AG3058" s="1"/>
      <c r="AH3058" s="1"/>
      <c r="AI3058" s="1"/>
      <c r="AJ3058" s="1"/>
      <c r="AK3058" s="1"/>
      <c r="AL3058" s="1"/>
      <c r="AM3058" s="1"/>
    </row>
    <row r="3059" spans="16:39" x14ac:dyDescent="0.25">
      <c r="P3059" s="49"/>
      <c r="Q3059" s="1"/>
      <c r="S3059" s="1"/>
      <c r="T3059" s="1"/>
      <c r="U3059" s="1"/>
      <c r="V3059" s="1"/>
      <c r="W3059" s="1"/>
      <c r="X3059" s="1"/>
      <c r="Y3059" s="1"/>
      <c r="AB3059" s="1"/>
      <c r="AC3059" s="1"/>
      <c r="AD3059" s="1"/>
      <c r="AE3059" s="1"/>
      <c r="AF3059" s="1"/>
      <c r="AG3059" s="1"/>
      <c r="AH3059" s="1"/>
      <c r="AI3059" s="1"/>
      <c r="AJ3059" s="1"/>
      <c r="AK3059" s="1"/>
      <c r="AL3059" s="1"/>
      <c r="AM3059" s="1"/>
    </row>
    <row r="3060" spans="16:39" x14ac:dyDescent="0.25">
      <c r="P3060" s="49"/>
      <c r="Q3060" s="1"/>
      <c r="S3060" s="1"/>
      <c r="T3060" s="1"/>
      <c r="U3060" s="1"/>
      <c r="V3060" s="1"/>
      <c r="W3060" s="1"/>
      <c r="X3060" s="1"/>
      <c r="Y3060" s="1"/>
      <c r="AB3060" s="1"/>
      <c r="AC3060" s="1"/>
      <c r="AD3060" s="1"/>
      <c r="AE3060" s="1"/>
      <c r="AF3060" s="1"/>
      <c r="AG3060" s="1"/>
      <c r="AH3060" s="1"/>
      <c r="AI3060" s="1"/>
      <c r="AJ3060" s="1"/>
      <c r="AK3060" s="1"/>
      <c r="AL3060" s="1"/>
      <c r="AM3060" s="1"/>
    </row>
    <row r="3061" spans="16:39" x14ac:dyDescent="0.25">
      <c r="P3061" s="49"/>
      <c r="Q3061" s="1"/>
      <c r="S3061" s="1"/>
      <c r="T3061" s="1"/>
      <c r="U3061" s="1"/>
      <c r="V3061" s="1"/>
      <c r="W3061" s="1"/>
      <c r="X3061" s="1"/>
      <c r="Y3061" s="1"/>
      <c r="AB3061" s="1"/>
      <c r="AC3061" s="1"/>
      <c r="AD3061" s="1"/>
      <c r="AE3061" s="1"/>
      <c r="AF3061" s="1"/>
      <c r="AG3061" s="1"/>
      <c r="AH3061" s="1"/>
      <c r="AI3061" s="1"/>
      <c r="AJ3061" s="1"/>
      <c r="AK3061" s="1"/>
      <c r="AL3061" s="1"/>
      <c r="AM3061" s="1"/>
    </row>
    <row r="3062" spans="16:39" x14ac:dyDescent="0.25">
      <c r="P3062" s="49"/>
      <c r="Q3062" s="1"/>
      <c r="S3062" s="1"/>
      <c r="T3062" s="1"/>
      <c r="U3062" s="1"/>
      <c r="V3062" s="1"/>
      <c r="W3062" s="1"/>
      <c r="X3062" s="1"/>
      <c r="Y3062" s="1"/>
      <c r="AB3062" s="1"/>
      <c r="AC3062" s="1"/>
      <c r="AD3062" s="1"/>
      <c r="AE3062" s="1"/>
      <c r="AF3062" s="1"/>
      <c r="AG3062" s="1"/>
      <c r="AH3062" s="1"/>
      <c r="AI3062" s="1"/>
      <c r="AJ3062" s="1"/>
      <c r="AK3062" s="1"/>
      <c r="AL3062" s="1"/>
      <c r="AM3062" s="1"/>
    </row>
    <row r="3063" spans="16:39" x14ac:dyDescent="0.25">
      <c r="P3063" s="49"/>
      <c r="Q3063" s="1"/>
      <c r="S3063" s="1"/>
      <c r="T3063" s="1"/>
      <c r="U3063" s="1"/>
      <c r="V3063" s="1"/>
      <c r="W3063" s="1"/>
      <c r="X3063" s="1"/>
      <c r="Y3063" s="1"/>
      <c r="AB3063" s="1"/>
      <c r="AC3063" s="1"/>
      <c r="AD3063" s="1"/>
      <c r="AE3063" s="1"/>
      <c r="AF3063" s="1"/>
      <c r="AG3063" s="1"/>
      <c r="AH3063" s="1"/>
      <c r="AI3063" s="1"/>
      <c r="AJ3063" s="1"/>
      <c r="AK3063" s="1"/>
      <c r="AL3063" s="1"/>
      <c r="AM3063" s="1"/>
    </row>
    <row r="3064" spans="16:39" x14ac:dyDescent="0.25">
      <c r="P3064" s="49"/>
      <c r="Q3064" s="1"/>
      <c r="S3064" s="1"/>
      <c r="T3064" s="1"/>
      <c r="U3064" s="1"/>
      <c r="V3064" s="1"/>
      <c r="W3064" s="1"/>
      <c r="X3064" s="1"/>
      <c r="Y3064" s="1"/>
      <c r="AB3064" s="1"/>
      <c r="AC3064" s="1"/>
      <c r="AD3064" s="1"/>
      <c r="AE3064" s="1"/>
      <c r="AF3064" s="1"/>
      <c r="AG3064" s="1"/>
      <c r="AH3064" s="1"/>
      <c r="AI3064" s="1"/>
      <c r="AJ3064" s="1"/>
      <c r="AK3064" s="1"/>
      <c r="AL3064" s="1"/>
      <c r="AM3064" s="1"/>
    </row>
    <row r="3065" spans="16:39" x14ac:dyDescent="0.25">
      <c r="P3065" s="49"/>
      <c r="Q3065" s="1"/>
      <c r="S3065" s="1"/>
      <c r="T3065" s="1"/>
      <c r="U3065" s="1"/>
      <c r="V3065" s="1"/>
      <c r="W3065" s="1"/>
      <c r="X3065" s="1"/>
      <c r="Y3065" s="1"/>
      <c r="AB3065" s="1"/>
      <c r="AC3065" s="1"/>
      <c r="AD3065" s="1"/>
      <c r="AE3065" s="1"/>
      <c r="AF3065" s="1"/>
      <c r="AG3065" s="1"/>
      <c r="AH3065" s="1"/>
      <c r="AI3065" s="1"/>
      <c r="AJ3065" s="1"/>
      <c r="AK3065" s="1"/>
      <c r="AL3065" s="1"/>
      <c r="AM3065" s="1"/>
    </row>
    <row r="3066" spans="16:39" x14ac:dyDescent="0.25">
      <c r="P3066" s="49"/>
      <c r="Q3066" s="1"/>
      <c r="S3066" s="1"/>
      <c r="T3066" s="1"/>
      <c r="U3066" s="1"/>
      <c r="V3066" s="1"/>
      <c r="W3066" s="1"/>
      <c r="X3066" s="1"/>
      <c r="Y3066" s="1"/>
      <c r="AB3066" s="1"/>
      <c r="AC3066" s="1"/>
      <c r="AD3066" s="1"/>
      <c r="AE3066" s="1"/>
      <c r="AF3066" s="1"/>
      <c r="AG3066" s="1"/>
      <c r="AH3066" s="1"/>
      <c r="AI3066" s="1"/>
      <c r="AJ3066" s="1"/>
      <c r="AK3066" s="1"/>
      <c r="AL3066" s="1"/>
      <c r="AM3066" s="1"/>
    </row>
    <row r="3067" spans="16:39" x14ac:dyDescent="0.25">
      <c r="P3067" s="49"/>
      <c r="Q3067" s="1"/>
      <c r="S3067" s="1"/>
      <c r="T3067" s="1"/>
      <c r="U3067" s="1"/>
      <c r="V3067" s="1"/>
      <c r="W3067" s="1"/>
      <c r="X3067" s="1"/>
      <c r="Y3067" s="1"/>
      <c r="AB3067" s="1"/>
      <c r="AC3067" s="1"/>
      <c r="AD3067" s="1"/>
      <c r="AE3067" s="1"/>
      <c r="AF3067" s="1"/>
      <c r="AG3067" s="1"/>
      <c r="AH3067" s="1"/>
      <c r="AI3067" s="1"/>
      <c r="AJ3067" s="1"/>
      <c r="AK3067" s="1"/>
      <c r="AL3067" s="1"/>
      <c r="AM3067" s="1"/>
    </row>
    <row r="3068" spans="16:39" x14ac:dyDescent="0.25">
      <c r="P3068" s="49"/>
      <c r="Q3068" s="1"/>
      <c r="S3068" s="1"/>
      <c r="T3068" s="1"/>
      <c r="U3068" s="1"/>
      <c r="V3068" s="1"/>
      <c r="W3068" s="1"/>
      <c r="X3068" s="1"/>
      <c r="Y3068" s="1"/>
      <c r="AB3068" s="1"/>
      <c r="AC3068" s="1"/>
      <c r="AD3068" s="1"/>
      <c r="AE3068" s="1"/>
      <c r="AF3068" s="1"/>
      <c r="AG3068" s="1"/>
      <c r="AH3068" s="1"/>
      <c r="AI3068" s="1"/>
      <c r="AJ3068" s="1"/>
      <c r="AK3068" s="1"/>
      <c r="AL3068" s="1"/>
      <c r="AM3068" s="1"/>
    </row>
    <row r="3069" spans="16:39" x14ac:dyDescent="0.25">
      <c r="P3069" s="49"/>
      <c r="Q3069" s="1"/>
      <c r="S3069" s="1"/>
      <c r="T3069" s="1"/>
      <c r="U3069" s="1"/>
      <c r="V3069" s="1"/>
      <c r="W3069" s="1"/>
      <c r="X3069" s="1"/>
      <c r="Y3069" s="1"/>
      <c r="AB3069" s="1"/>
      <c r="AC3069" s="1"/>
      <c r="AD3069" s="1"/>
      <c r="AE3069" s="1"/>
      <c r="AF3069" s="1"/>
      <c r="AG3069" s="1"/>
      <c r="AH3069" s="1"/>
      <c r="AI3069" s="1"/>
      <c r="AJ3069" s="1"/>
      <c r="AK3069" s="1"/>
      <c r="AL3069" s="1"/>
      <c r="AM3069" s="1"/>
    </row>
    <row r="3070" spans="16:39" x14ac:dyDescent="0.25">
      <c r="P3070" s="49"/>
      <c r="Q3070" s="1"/>
      <c r="S3070" s="1"/>
      <c r="T3070" s="1"/>
      <c r="U3070" s="1"/>
      <c r="V3070" s="1"/>
      <c r="W3070" s="1"/>
      <c r="X3070" s="1"/>
      <c r="Y3070" s="1"/>
      <c r="AB3070" s="1"/>
      <c r="AC3070" s="1"/>
      <c r="AD3070" s="1"/>
      <c r="AE3070" s="1"/>
      <c r="AF3070" s="1"/>
      <c r="AG3070" s="1"/>
      <c r="AH3070" s="1"/>
      <c r="AI3070" s="1"/>
      <c r="AJ3070" s="1"/>
      <c r="AK3070" s="1"/>
      <c r="AL3070" s="1"/>
      <c r="AM3070" s="1"/>
    </row>
    <row r="3071" spans="16:39" x14ac:dyDescent="0.25">
      <c r="P3071" s="49"/>
      <c r="Q3071" s="1"/>
      <c r="S3071" s="1"/>
      <c r="T3071" s="1"/>
      <c r="U3071" s="1"/>
      <c r="V3071" s="1"/>
      <c r="W3071" s="1"/>
      <c r="X3071" s="1"/>
      <c r="Y3071" s="1"/>
      <c r="AB3071" s="1"/>
      <c r="AC3071" s="1"/>
      <c r="AD3071" s="1"/>
      <c r="AE3071" s="1"/>
      <c r="AF3071" s="1"/>
      <c r="AG3071" s="1"/>
      <c r="AH3071" s="1"/>
      <c r="AI3071" s="1"/>
      <c r="AJ3071" s="1"/>
      <c r="AK3071" s="1"/>
      <c r="AL3071" s="1"/>
      <c r="AM3071" s="1"/>
    </row>
    <row r="3072" spans="16:39" x14ac:dyDescent="0.25">
      <c r="P3072" s="49"/>
      <c r="Q3072" s="1"/>
      <c r="S3072" s="1"/>
      <c r="T3072" s="1"/>
      <c r="U3072" s="1"/>
      <c r="V3072" s="1"/>
      <c r="W3072" s="1"/>
      <c r="X3072" s="1"/>
      <c r="Y3072" s="1"/>
      <c r="AB3072" s="1"/>
      <c r="AC3072" s="1"/>
      <c r="AD3072" s="1"/>
      <c r="AE3072" s="1"/>
      <c r="AF3072" s="1"/>
      <c r="AG3072" s="1"/>
      <c r="AH3072" s="1"/>
      <c r="AI3072" s="1"/>
      <c r="AJ3072" s="1"/>
      <c r="AK3072" s="1"/>
      <c r="AL3072" s="1"/>
      <c r="AM3072" s="1"/>
    </row>
    <row r="3073" spans="16:39" x14ac:dyDescent="0.25">
      <c r="P3073" s="49"/>
      <c r="Q3073" s="1"/>
      <c r="S3073" s="1"/>
      <c r="T3073" s="1"/>
      <c r="U3073" s="1"/>
      <c r="V3073" s="1"/>
      <c r="W3073" s="1"/>
      <c r="X3073" s="1"/>
      <c r="Y3073" s="1"/>
      <c r="AB3073" s="1"/>
      <c r="AC3073" s="1"/>
      <c r="AD3073" s="1"/>
      <c r="AE3073" s="1"/>
      <c r="AF3073" s="1"/>
      <c r="AG3073" s="1"/>
      <c r="AH3073" s="1"/>
      <c r="AI3073" s="1"/>
      <c r="AJ3073" s="1"/>
      <c r="AK3073" s="1"/>
      <c r="AL3073" s="1"/>
      <c r="AM3073" s="1"/>
    </row>
    <row r="3074" spans="16:39" x14ac:dyDescent="0.25">
      <c r="P3074" s="49"/>
      <c r="Q3074" s="1"/>
      <c r="S3074" s="1"/>
      <c r="T3074" s="1"/>
      <c r="U3074" s="1"/>
      <c r="V3074" s="1"/>
      <c r="W3074" s="1"/>
      <c r="X3074" s="1"/>
      <c r="Y3074" s="1"/>
      <c r="AB3074" s="1"/>
      <c r="AC3074" s="1"/>
      <c r="AD3074" s="1"/>
      <c r="AE3074" s="1"/>
      <c r="AF3074" s="1"/>
      <c r="AG3074" s="1"/>
      <c r="AH3074" s="1"/>
      <c r="AI3074" s="1"/>
      <c r="AJ3074" s="1"/>
      <c r="AK3074" s="1"/>
      <c r="AL3074" s="1"/>
      <c r="AM3074" s="1"/>
    </row>
    <row r="3075" spans="16:39" x14ac:dyDescent="0.25">
      <c r="P3075" s="49"/>
      <c r="Q3075" s="1"/>
      <c r="S3075" s="1"/>
      <c r="T3075" s="1"/>
      <c r="U3075" s="1"/>
      <c r="V3075" s="1"/>
      <c r="W3075" s="1"/>
      <c r="X3075" s="1"/>
      <c r="Y3075" s="1"/>
      <c r="AB3075" s="1"/>
      <c r="AC3075" s="1"/>
      <c r="AD3075" s="1"/>
      <c r="AE3075" s="1"/>
      <c r="AF3075" s="1"/>
      <c r="AG3075" s="1"/>
      <c r="AH3075" s="1"/>
      <c r="AI3075" s="1"/>
      <c r="AJ3075" s="1"/>
      <c r="AK3075" s="1"/>
      <c r="AL3075" s="1"/>
      <c r="AM3075" s="1"/>
    </row>
    <row r="3076" spans="16:39" x14ac:dyDescent="0.25">
      <c r="P3076" s="49"/>
      <c r="Q3076" s="1"/>
      <c r="S3076" s="1"/>
      <c r="T3076" s="1"/>
      <c r="U3076" s="1"/>
      <c r="V3076" s="1"/>
      <c r="W3076" s="1"/>
      <c r="X3076" s="1"/>
      <c r="Y3076" s="1"/>
      <c r="AB3076" s="1"/>
      <c r="AC3076" s="1"/>
      <c r="AD3076" s="1"/>
      <c r="AE3076" s="1"/>
      <c r="AF3076" s="1"/>
      <c r="AG3076" s="1"/>
      <c r="AH3076" s="1"/>
      <c r="AI3076" s="1"/>
      <c r="AJ3076" s="1"/>
      <c r="AK3076" s="1"/>
      <c r="AL3076" s="1"/>
      <c r="AM3076" s="1"/>
    </row>
    <row r="3077" spans="16:39" x14ac:dyDescent="0.25">
      <c r="P3077" s="49"/>
      <c r="Q3077" s="1"/>
      <c r="S3077" s="1"/>
      <c r="T3077" s="1"/>
      <c r="U3077" s="1"/>
      <c r="V3077" s="1"/>
      <c r="W3077" s="1"/>
      <c r="X3077" s="1"/>
      <c r="Y3077" s="1"/>
      <c r="AB3077" s="1"/>
      <c r="AC3077" s="1"/>
      <c r="AD3077" s="1"/>
      <c r="AE3077" s="1"/>
      <c r="AF3077" s="1"/>
      <c r="AG3077" s="1"/>
      <c r="AH3077" s="1"/>
      <c r="AI3077" s="1"/>
      <c r="AJ3077" s="1"/>
      <c r="AK3077" s="1"/>
      <c r="AL3077" s="1"/>
      <c r="AM3077" s="1"/>
    </row>
    <row r="3078" spans="16:39" x14ac:dyDescent="0.25">
      <c r="P3078" s="49"/>
      <c r="Q3078" s="1"/>
      <c r="S3078" s="1"/>
      <c r="T3078" s="1"/>
      <c r="U3078" s="1"/>
      <c r="V3078" s="1"/>
      <c r="W3078" s="1"/>
      <c r="X3078" s="1"/>
      <c r="Y3078" s="1"/>
      <c r="AB3078" s="1"/>
      <c r="AC3078" s="1"/>
      <c r="AD3078" s="1"/>
      <c r="AE3078" s="1"/>
      <c r="AF3078" s="1"/>
      <c r="AG3078" s="1"/>
      <c r="AH3078" s="1"/>
      <c r="AI3078" s="1"/>
      <c r="AJ3078" s="1"/>
      <c r="AK3078" s="1"/>
      <c r="AL3078" s="1"/>
      <c r="AM3078" s="1"/>
    </row>
    <row r="3079" spans="16:39" x14ac:dyDescent="0.25">
      <c r="P3079" s="49"/>
      <c r="Q3079" s="1"/>
      <c r="S3079" s="1"/>
      <c r="T3079" s="1"/>
      <c r="U3079" s="1"/>
      <c r="V3079" s="1"/>
      <c r="W3079" s="1"/>
      <c r="X3079" s="1"/>
      <c r="Y3079" s="1"/>
      <c r="AB3079" s="1"/>
      <c r="AC3079" s="1"/>
      <c r="AD3079" s="1"/>
      <c r="AE3079" s="1"/>
      <c r="AF3079" s="1"/>
      <c r="AG3079" s="1"/>
      <c r="AH3079" s="1"/>
      <c r="AI3079" s="1"/>
      <c r="AJ3079" s="1"/>
      <c r="AK3079" s="1"/>
      <c r="AL3079" s="1"/>
      <c r="AM3079" s="1"/>
    </row>
    <row r="3080" spans="16:39" x14ac:dyDescent="0.25">
      <c r="P3080" s="49"/>
      <c r="Q3080" s="1"/>
      <c r="S3080" s="1"/>
      <c r="T3080" s="1"/>
      <c r="U3080" s="1"/>
      <c r="V3080" s="1"/>
      <c r="W3080" s="1"/>
      <c r="X3080" s="1"/>
      <c r="Y3080" s="1"/>
      <c r="AB3080" s="1"/>
      <c r="AC3080" s="1"/>
      <c r="AD3080" s="1"/>
      <c r="AE3080" s="1"/>
      <c r="AF3080" s="1"/>
      <c r="AG3080" s="1"/>
      <c r="AH3080" s="1"/>
      <c r="AI3080" s="1"/>
      <c r="AJ3080" s="1"/>
      <c r="AK3080" s="1"/>
      <c r="AL3080" s="1"/>
      <c r="AM3080" s="1"/>
    </row>
    <row r="3081" spans="16:39" x14ac:dyDescent="0.25">
      <c r="P3081" s="49"/>
      <c r="Q3081" s="1"/>
      <c r="S3081" s="1"/>
      <c r="T3081" s="1"/>
      <c r="U3081" s="1"/>
      <c r="V3081" s="1"/>
      <c r="W3081" s="1"/>
      <c r="X3081" s="1"/>
      <c r="Y3081" s="1"/>
      <c r="AB3081" s="1"/>
      <c r="AC3081" s="1"/>
      <c r="AD3081" s="1"/>
      <c r="AE3081" s="1"/>
      <c r="AF3081" s="1"/>
      <c r="AG3081" s="1"/>
      <c r="AH3081" s="1"/>
      <c r="AI3081" s="1"/>
      <c r="AJ3081" s="1"/>
      <c r="AK3081" s="1"/>
      <c r="AL3081" s="1"/>
      <c r="AM3081" s="1"/>
    </row>
    <row r="3082" spans="16:39" x14ac:dyDescent="0.25">
      <c r="P3082" s="49"/>
      <c r="Q3082" s="1"/>
      <c r="S3082" s="1"/>
      <c r="T3082" s="1"/>
      <c r="U3082" s="1"/>
      <c r="V3082" s="1"/>
      <c r="W3082" s="1"/>
      <c r="X3082" s="1"/>
      <c r="Y3082" s="1"/>
      <c r="AB3082" s="1"/>
      <c r="AC3082" s="1"/>
      <c r="AD3082" s="1"/>
      <c r="AE3082" s="1"/>
      <c r="AF3082" s="1"/>
      <c r="AG3082" s="1"/>
      <c r="AH3082" s="1"/>
      <c r="AI3082" s="1"/>
      <c r="AJ3082" s="1"/>
      <c r="AK3082" s="1"/>
      <c r="AL3082" s="1"/>
      <c r="AM3082" s="1"/>
    </row>
    <row r="3083" spans="16:39" x14ac:dyDescent="0.25">
      <c r="P3083" s="49"/>
      <c r="Q3083" s="1"/>
      <c r="S3083" s="1"/>
      <c r="T3083" s="1"/>
      <c r="U3083" s="1"/>
      <c r="V3083" s="1"/>
      <c r="W3083" s="1"/>
      <c r="X3083" s="1"/>
      <c r="Y3083" s="1"/>
      <c r="AB3083" s="1"/>
      <c r="AC3083" s="1"/>
      <c r="AD3083" s="1"/>
      <c r="AE3083" s="1"/>
      <c r="AF3083" s="1"/>
      <c r="AG3083" s="1"/>
      <c r="AH3083" s="1"/>
      <c r="AI3083" s="1"/>
      <c r="AJ3083" s="1"/>
      <c r="AK3083" s="1"/>
      <c r="AL3083" s="1"/>
      <c r="AM3083" s="1"/>
    </row>
    <row r="3084" spans="16:39" x14ac:dyDescent="0.25">
      <c r="P3084" s="49"/>
      <c r="Q3084" s="1"/>
      <c r="S3084" s="1"/>
      <c r="T3084" s="1"/>
      <c r="U3084" s="1"/>
      <c r="V3084" s="1"/>
      <c r="W3084" s="1"/>
      <c r="X3084" s="1"/>
      <c r="Y3084" s="1"/>
      <c r="AB3084" s="1"/>
      <c r="AC3084" s="1"/>
      <c r="AD3084" s="1"/>
      <c r="AE3084" s="1"/>
      <c r="AF3084" s="1"/>
      <c r="AG3084" s="1"/>
      <c r="AH3084" s="1"/>
      <c r="AI3084" s="1"/>
      <c r="AJ3084" s="1"/>
      <c r="AK3084" s="1"/>
      <c r="AL3084" s="1"/>
      <c r="AM3084" s="1"/>
    </row>
    <row r="3085" spans="16:39" x14ac:dyDescent="0.25">
      <c r="P3085" s="49"/>
      <c r="Q3085" s="1"/>
      <c r="S3085" s="1"/>
      <c r="T3085" s="1"/>
      <c r="U3085" s="1"/>
      <c r="V3085" s="1"/>
      <c r="W3085" s="1"/>
      <c r="X3085" s="1"/>
      <c r="Y3085" s="1"/>
      <c r="AB3085" s="1"/>
      <c r="AC3085" s="1"/>
      <c r="AD3085" s="1"/>
      <c r="AE3085" s="1"/>
      <c r="AF3085" s="1"/>
      <c r="AG3085" s="1"/>
      <c r="AH3085" s="1"/>
      <c r="AI3085" s="1"/>
      <c r="AJ3085" s="1"/>
      <c r="AK3085" s="1"/>
      <c r="AL3085" s="1"/>
      <c r="AM3085" s="1"/>
    </row>
    <row r="3086" spans="16:39" x14ac:dyDescent="0.25">
      <c r="P3086" s="49"/>
      <c r="Q3086" s="1"/>
      <c r="S3086" s="1"/>
      <c r="T3086" s="1"/>
      <c r="U3086" s="1"/>
      <c r="V3086" s="1"/>
      <c r="W3086" s="1"/>
      <c r="X3086" s="1"/>
      <c r="Y3086" s="1"/>
      <c r="AB3086" s="1"/>
      <c r="AC3086" s="1"/>
      <c r="AD3086" s="1"/>
      <c r="AE3086" s="1"/>
      <c r="AF3086" s="1"/>
      <c r="AG3086" s="1"/>
      <c r="AH3086" s="1"/>
      <c r="AI3086" s="1"/>
      <c r="AJ3086" s="1"/>
      <c r="AK3086" s="1"/>
      <c r="AL3086" s="1"/>
      <c r="AM3086" s="1"/>
    </row>
    <row r="3087" spans="16:39" x14ac:dyDescent="0.25">
      <c r="P3087" s="49"/>
      <c r="Q3087" s="1"/>
      <c r="S3087" s="1"/>
      <c r="T3087" s="1"/>
      <c r="U3087" s="1"/>
      <c r="V3087" s="1"/>
      <c r="W3087" s="1"/>
      <c r="X3087" s="1"/>
      <c r="Y3087" s="1"/>
      <c r="AB3087" s="1"/>
      <c r="AC3087" s="1"/>
      <c r="AD3087" s="1"/>
      <c r="AE3087" s="1"/>
      <c r="AF3087" s="1"/>
      <c r="AG3087" s="1"/>
      <c r="AH3087" s="1"/>
      <c r="AI3087" s="1"/>
      <c r="AJ3087" s="1"/>
      <c r="AK3087" s="1"/>
      <c r="AL3087" s="1"/>
      <c r="AM3087" s="1"/>
    </row>
    <row r="3088" spans="16:39" x14ac:dyDescent="0.25">
      <c r="P3088" s="49"/>
      <c r="Q3088" s="1"/>
      <c r="S3088" s="1"/>
      <c r="T3088" s="1"/>
      <c r="U3088" s="1"/>
      <c r="V3088" s="1"/>
      <c r="W3088" s="1"/>
      <c r="X3088" s="1"/>
      <c r="Y3088" s="1"/>
      <c r="AB3088" s="1"/>
      <c r="AC3088" s="1"/>
      <c r="AD3088" s="1"/>
      <c r="AE3088" s="1"/>
      <c r="AF3088" s="1"/>
      <c r="AG3088" s="1"/>
      <c r="AH3088" s="1"/>
      <c r="AI3088" s="1"/>
      <c r="AJ3088" s="1"/>
      <c r="AK3088" s="1"/>
      <c r="AL3088" s="1"/>
      <c r="AM3088" s="1"/>
    </row>
    <row r="3089" spans="16:39" x14ac:dyDescent="0.25">
      <c r="P3089" s="49"/>
      <c r="Q3089" s="1"/>
      <c r="S3089" s="1"/>
      <c r="T3089" s="1"/>
      <c r="U3089" s="1"/>
      <c r="V3089" s="1"/>
      <c r="W3089" s="1"/>
      <c r="X3089" s="1"/>
      <c r="Y3089" s="1"/>
      <c r="AB3089" s="1"/>
      <c r="AC3089" s="1"/>
      <c r="AD3089" s="1"/>
      <c r="AE3089" s="1"/>
      <c r="AF3089" s="1"/>
      <c r="AG3089" s="1"/>
      <c r="AH3089" s="1"/>
      <c r="AI3089" s="1"/>
      <c r="AJ3089" s="1"/>
      <c r="AK3089" s="1"/>
      <c r="AL3089" s="1"/>
      <c r="AM3089" s="1"/>
    </row>
    <row r="3090" spans="16:39" x14ac:dyDescent="0.25">
      <c r="P3090" s="49"/>
      <c r="Q3090" s="1"/>
      <c r="S3090" s="1"/>
      <c r="T3090" s="1"/>
      <c r="U3090" s="1"/>
      <c r="V3090" s="1"/>
      <c r="W3090" s="1"/>
      <c r="X3090" s="1"/>
      <c r="Y3090" s="1"/>
      <c r="AB3090" s="1"/>
      <c r="AC3090" s="1"/>
      <c r="AD3090" s="1"/>
      <c r="AE3090" s="1"/>
      <c r="AF3090" s="1"/>
      <c r="AG3090" s="1"/>
      <c r="AH3090" s="1"/>
      <c r="AI3090" s="1"/>
      <c r="AJ3090" s="1"/>
      <c r="AK3090" s="1"/>
      <c r="AL3090" s="1"/>
      <c r="AM3090" s="1"/>
    </row>
    <row r="3091" spans="16:39" x14ac:dyDescent="0.25">
      <c r="P3091" s="49"/>
      <c r="Q3091" s="1"/>
      <c r="S3091" s="1"/>
      <c r="T3091" s="1"/>
      <c r="U3091" s="1"/>
      <c r="V3091" s="1"/>
      <c r="W3091" s="1"/>
      <c r="X3091" s="1"/>
      <c r="Y3091" s="1"/>
      <c r="AB3091" s="1"/>
      <c r="AC3091" s="1"/>
      <c r="AD3091" s="1"/>
      <c r="AE3091" s="1"/>
      <c r="AF3091" s="1"/>
      <c r="AG3091" s="1"/>
      <c r="AH3091" s="1"/>
      <c r="AI3091" s="1"/>
      <c r="AJ3091" s="1"/>
      <c r="AK3091" s="1"/>
      <c r="AL3091" s="1"/>
      <c r="AM3091" s="1"/>
    </row>
    <row r="3092" spans="16:39" x14ac:dyDescent="0.25">
      <c r="P3092" s="49"/>
      <c r="Q3092" s="1"/>
      <c r="S3092" s="1"/>
      <c r="T3092" s="1"/>
      <c r="U3092" s="1"/>
      <c r="V3092" s="1"/>
      <c r="W3092" s="1"/>
      <c r="X3092" s="1"/>
      <c r="Y3092" s="1"/>
      <c r="AB3092" s="1"/>
      <c r="AC3092" s="1"/>
      <c r="AD3092" s="1"/>
      <c r="AE3092" s="1"/>
      <c r="AF3092" s="1"/>
      <c r="AG3092" s="1"/>
      <c r="AH3092" s="1"/>
      <c r="AI3092" s="1"/>
      <c r="AJ3092" s="1"/>
      <c r="AK3092" s="1"/>
      <c r="AL3092" s="1"/>
      <c r="AM3092" s="1"/>
    </row>
    <row r="3093" spans="16:39" x14ac:dyDescent="0.25">
      <c r="P3093" s="49"/>
      <c r="Q3093" s="1"/>
      <c r="S3093" s="1"/>
      <c r="T3093" s="1"/>
      <c r="U3093" s="1"/>
      <c r="V3093" s="1"/>
      <c r="W3093" s="1"/>
      <c r="X3093" s="1"/>
      <c r="Y3093" s="1"/>
      <c r="AB3093" s="1"/>
      <c r="AC3093" s="1"/>
      <c r="AD3093" s="1"/>
      <c r="AE3093" s="1"/>
      <c r="AF3093" s="1"/>
      <c r="AG3093" s="1"/>
      <c r="AH3093" s="1"/>
      <c r="AI3093" s="1"/>
      <c r="AJ3093" s="1"/>
      <c r="AK3093" s="1"/>
      <c r="AL3093" s="1"/>
      <c r="AM3093" s="1"/>
    </row>
    <row r="3094" spans="16:39" x14ac:dyDescent="0.25">
      <c r="P3094" s="49"/>
      <c r="Q3094" s="1"/>
      <c r="S3094" s="1"/>
      <c r="T3094" s="1"/>
      <c r="U3094" s="1"/>
      <c r="V3094" s="1"/>
      <c r="W3094" s="1"/>
      <c r="X3094" s="1"/>
      <c r="Y3094" s="1"/>
      <c r="AB3094" s="1"/>
      <c r="AC3094" s="1"/>
      <c r="AD3094" s="1"/>
      <c r="AE3094" s="1"/>
      <c r="AF3094" s="1"/>
      <c r="AG3094" s="1"/>
      <c r="AH3094" s="1"/>
      <c r="AI3094" s="1"/>
      <c r="AJ3094" s="1"/>
      <c r="AK3094" s="1"/>
      <c r="AL3094" s="1"/>
      <c r="AM3094" s="1"/>
    </row>
    <row r="3095" spans="16:39" x14ac:dyDescent="0.25">
      <c r="P3095" s="49"/>
      <c r="Q3095" s="1"/>
      <c r="S3095" s="1"/>
      <c r="T3095" s="1"/>
      <c r="U3095" s="1"/>
      <c r="V3095" s="1"/>
      <c r="W3095" s="1"/>
      <c r="X3095" s="1"/>
      <c r="Y3095" s="1"/>
      <c r="AB3095" s="1"/>
      <c r="AC3095" s="1"/>
      <c r="AD3095" s="1"/>
      <c r="AE3095" s="1"/>
      <c r="AF3095" s="1"/>
      <c r="AG3095" s="1"/>
      <c r="AH3095" s="1"/>
      <c r="AI3095" s="1"/>
      <c r="AJ3095" s="1"/>
      <c r="AK3095" s="1"/>
      <c r="AL3095" s="1"/>
      <c r="AM3095" s="1"/>
    </row>
    <row r="3096" spans="16:39" x14ac:dyDescent="0.25">
      <c r="P3096" s="49"/>
      <c r="Q3096" s="1"/>
      <c r="S3096" s="1"/>
      <c r="T3096" s="1"/>
      <c r="U3096" s="1"/>
      <c r="V3096" s="1"/>
      <c r="W3096" s="1"/>
      <c r="X3096" s="1"/>
      <c r="Y3096" s="1"/>
      <c r="AB3096" s="1"/>
      <c r="AC3096" s="1"/>
      <c r="AD3096" s="1"/>
      <c r="AE3096" s="1"/>
      <c r="AF3096" s="1"/>
      <c r="AG3096" s="1"/>
      <c r="AH3096" s="1"/>
      <c r="AI3096" s="1"/>
      <c r="AJ3096" s="1"/>
      <c r="AK3096" s="1"/>
      <c r="AL3096" s="1"/>
      <c r="AM3096" s="1"/>
    </row>
    <row r="3097" spans="16:39" x14ac:dyDescent="0.25">
      <c r="P3097" s="49"/>
      <c r="Q3097" s="1"/>
      <c r="S3097" s="1"/>
      <c r="T3097" s="1"/>
      <c r="U3097" s="1"/>
      <c r="V3097" s="1"/>
      <c r="W3097" s="1"/>
      <c r="X3097" s="1"/>
      <c r="Y3097" s="1"/>
      <c r="AB3097" s="1"/>
      <c r="AC3097" s="1"/>
      <c r="AD3097" s="1"/>
      <c r="AE3097" s="1"/>
      <c r="AF3097" s="1"/>
      <c r="AG3097" s="1"/>
      <c r="AH3097" s="1"/>
      <c r="AI3097" s="1"/>
      <c r="AJ3097" s="1"/>
      <c r="AK3097" s="1"/>
      <c r="AL3097" s="1"/>
      <c r="AM3097" s="1"/>
    </row>
    <row r="3098" spans="16:39" x14ac:dyDescent="0.25">
      <c r="P3098" s="49"/>
      <c r="Q3098" s="1"/>
      <c r="S3098" s="1"/>
      <c r="T3098" s="1"/>
      <c r="U3098" s="1"/>
      <c r="V3098" s="1"/>
      <c r="W3098" s="1"/>
      <c r="X3098" s="1"/>
      <c r="Y3098" s="1"/>
      <c r="AB3098" s="1"/>
      <c r="AC3098" s="1"/>
      <c r="AD3098" s="1"/>
      <c r="AE3098" s="1"/>
      <c r="AF3098" s="1"/>
      <c r="AG3098" s="1"/>
      <c r="AH3098" s="1"/>
      <c r="AI3098" s="1"/>
      <c r="AJ3098" s="1"/>
      <c r="AK3098" s="1"/>
      <c r="AL3098" s="1"/>
      <c r="AM3098" s="1"/>
    </row>
    <row r="3099" spans="16:39" x14ac:dyDescent="0.25">
      <c r="P3099" s="49"/>
      <c r="Q3099" s="1"/>
      <c r="S3099" s="1"/>
      <c r="T3099" s="1"/>
      <c r="U3099" s="1"/>
      <c r="V3099" s="1"/>
      <c r="W3099" s="1"/>
      <c r="X3099" s="1"/>
      <c r="Y3099" s="1"/>
      <c r="AB3099" s="1"/>
      <c r="AC3099" s="1"/>
      <c r="AD3099" s="1"/>
      <c r="AE3099" s="1"/>
      <c r="AF3099" s="1"/>
      <c r="AG3099" s="1"/>
      <c r="AH3099" s="1"/>
      <c r="AI3099" s="1"/>
      <c r="AJ3099" s="1"/>
      <c r="AK3099" s="1"/>
      <c r="AL3099" s="1"/>
      <c r="AM3099" s="1"/>
    </row>
    <row r="3100" spans="16:39" x14ac:dyDescent="0.25">
      <c r="P3100" s="49"/>
      <c r="Q3100" s="1"/>
      <c r="S3100" s="1"/>
      <c r="T3100" s="1"/>
      <c r="U3100" s="1"/>
      <c r="V3100" s="1"/>
      <c r="W3100" s="1"/>
      <c r="X3100" s="1"/>
      <c r="Y3100" s="1"/>
      <c r="AB3100" s="1"/>
      <c r="AC3100" s="1"/>
      <c r="AD3100" s="1"/>
      <c r="AE3100" s="1"/>
      <c r="AF3100" s="1"/>
      <c r="AG3100" s="1"/>
      <c r="AH3100" s="1"/>
      <c r="AI3100" s="1"/>
      <c r="AJ3100" s="1"/>
      <c r="AK3100" s="1"/>
      <c r="AL3100" s="1"/>
      <c r="AM3100" s="1"/>
    </row>
    <row r="3101" spans="16:39" x14ac:dyDescent="0.25">
      <c r="P3101" s="49"/>
      <c r="Q3101" s="1"/>
      <c r="S3101" s="1"/>
      <c r="T3101" s="1"/>
      <c r="U3101" s="1"/>
      <c r="V3101" s="1"/>
      <c r="W3101" s="1"/>
      <c r="X3101" s="1"/>
      <c r="Y3101" s="1"/>
      <c r="AB3101" s="1"/>
      <c r="AC3101" s="1"/>
      <c r="AD3101" s="1"/>
      <c r="AE3101" s="1"/>
      <c r="AF3101" s="1"/>
      <c r="AG3101" s="1"/>
      <c r="AH3101" s="1"/>
      <c r="AI3101" s="1"/>
      <c r="AJ3101" s="1"/>
      <c r="AK3101" s="1"/>
      <c r="AL3101" s="1"/>
      <c r="AM3101" s="1"/>
    </row>
    <row r="3102" spans="16:39" x14ac:dyDescent="0.25">
      <c r="P3102" s="49"/>
      <c r="Q3102" s="1"/>
      <c r="S3102" s="1"/>
      <c r="T3102" s="1"/>
      <c r="U3102" s="1"/>
      <c r="V3102" s="1"/>
      <c r="W3102" s="1"/>
      <c r="X3102" s="1"/>
      <c r="Y3102" s="1"/>
      <c r="AB3102" s="1"/>
      <c r="AC3102" s="1"/>
      <c r="AD3102" s="1"/>
      <c r="AE3102" s="1"/>
      <c r="AF3102" s="1"/>
      <c r="AG3102" s="1"/>
      <c r="AH3102" s="1"/>
      <c r="AI3102" s="1"/>
      <c r="AJ3102" s="1"/>
      <c r="AK3102" s="1"/>
      <c r="AL3102" s="1"/>
      <c r="AM3102" s="1"/>
    </row>
    <row r="3103" spans="16:39" x14ac:dyDescent="0.25">
      <c r="P3103" s="49"/>
      <c r="Q3103" s="1"/>
      <c r="S3103" s="1"/>
      <c r="T3103" s="1"/>
      <c r="U3103" s="1"/>
      <c r="V3103" s="1"/>
      <c r="W3103" s="1"/>
      <c r="X3103" s="1"/>
      <c r="Y3103" s="1"/>
      <c r="AB3103" s="1"/>
      <c r="AC3103" s="1"/>
      <c r="AD3103" s="1"/>
      <c r="AE3103" s="1"/>
      <c r="AF3103" s="1"/>
      <c r="AG3103" s="1"/>
      <c r="AH3103" s="1"/>
      <c r="AI3103" s="1"/>
      <c r="AJ3103" s="1"/>
      <c r="AK3103" s="1"/>
      <c r="AL3103" s="1"/>
      <c r="AM3103" s="1"/>
    </row>
    <row r="3104" spans="16:39" x14ac:dyDescent="0.25">
      <c r="P3104" s="49"/>
      <c r="Q3104" s="1"/>
      <c r="S3104" s="1"/>
      <c r="T3104" s="1"/>
      <c r="U3104" s="1"/>
      <c r="V3104" s="1"/>
      <c r="W3104" s="1"/>
      <c r="X3104" s="1"/>
      <c r="Y3104" s="1"/>
      <c r="AB3104" s="1"/>
      <c r="AC3104" s="1"/>
      <c r="AD3104" s="1"/>
      <c r="AE3104" s="1"/>
      <c r="AF3104" s="1"/>
      <c r="AG3104" s="1"/>
      <c r="AH3104" s="1"/>
      <c r="AI3104" s="1"/>
      <c r="AJ3104" s="1"/>
      <c r="AK3104" s="1"/>
      <c r="AL3104" s="1"/>
      <c r="AM3104" s="1"/>
    </row>
    <row r="3105" spans="16:39" x14ac:dyDescent="0.25">
      <c r="P3105" s="49"/>
      <c r="Q3105" s="1"/>
      <c r="S3105" s="1"/>
      <c r="T3105" s="1"/>
      <c r="U3105" s="1"/>
      <c r="V3105" s="1"/>
      <c r="W3105" s="1"/>
      <c r="X3105" s="1"/>
      <c r="Y3105" s="1"/>
      <c r="AB3105" s="1"/>
      <c r="AC3105" s="1"/>
      <c r="AD3105" s="1"/>
      <c r="AE3105" s="1"/>
      <c r="AF3105" s="1"/>
      <c r="AG3105" s="1"/>
      <c r="AH3105" s="1"/>
      <c r="AI3105" s="1"/>
      <c r="AJ3105" s="1"/>
      <c r="AK3105" s="1"/>
      <c r="AL3105" s="1"/>
      <c r="AM3105" s="1"/>
    </row>
    <row r="3106" spans="16:39" x14ac:dyDescent="0.25">
      <c r="P3106" s="49"/>
      <c r="Q3106" s="1"/>
      <c r="S3106" s="1"/>
      <c r="T3106" s="1"/>
      <c r="U3106" s="1"/>
      <c r="V3106" s="1"/>
      <c r="W3106" s="1"/>
      <c r="X3106" s="1"/>
      <c r="Y3106" s="1"/>
      <c r="AB3106" s="1"/>
      <c r="AC3106" s="1"/>
      <c r="AD3106" s="1"/>
      <c r="AE3106" s="1"/>
      <c r="AF3106" s="1"/>
      <c r="AG3106" s="1"/>
      <c r="AH3106" s="1"/>
      <c r="AI3106" s="1"/>
      <c r="AJ3106" s="1"/>
      <c r="AK3106" s="1"/>
      <c r="AL3106" s="1"/>
      <c r="AM3106" s="1"/>
    </row>
    <row r="3107" spans="16:39" x14ac:dyDescent="0.25">
      <c r="P3107" s="49"/>
      <c r="Q3107" s="1"/>
      <c r="S3107" s="1"/>
      <c r="T3107" s="1"/>
      <c r="U3107" s="1"/>
      <c r="V3107" s="1"/>
      <c r="W3107" s="1"/>
      <c r="X3107" s="1"/>
      <c r="Y3107" s="1"/>
      <c r="AB3107" s="1"/>
      <c r="AC3107" s="1"/>
      <c r="AD3107" s="1"/>
      <c r="AE3107" s="1"/>
      <c r="AF3107" s="1"/>
      <c r="AG3107" s="1"/>
      <c r="AH3107" s="1"/>
      <c r="AI3107" s="1"/>
      <c r="AJ3107" s="1"/>
      <c r="AK3107" s="1"/>
      <c r="AL3107" s="1"/>
      <c r="AM3107" s="1"/>
    </row>
    <row r="3108" spans="16:39" x14ac:dyDescent="0.25">
      <c r="P3108" s="49"/>
      <c r="Q3108" s="1"/>
      <c r="S3108" s="1"/>
      <c r="T3108" s="1"/>
      <c r="U3108" s="1"/>
      <c r="V3108" s="1"/>
      <c r="W3108" s="1"/>
      <c r="X3108" s="1"/>
      <c r="Y3108" s="1"/>
      <c r="AB3108" s="1"/>
      <c r="AC3108" s="1"/>
      <c r="AD3108" s="1"/>
      <c r="AE3108" s="1"/>
      <c r="AF3108" s="1"/>
      <c r="AG3108" s="1"/>
      <c r="AH3108" s="1"/>
      <c r="AI3108" s="1"/>
      <c r="AJ3108" s="1"/>
      <c r="AK3108" s="1"/>
      <c r="AL3108" s="1"/>
      <c r="AM3108" s="1"/>
    </row>
    <row r="3109" spans="16:39" x14ac:dyDescent="0.25">
      <c r="P3109" s="49"/>
      <c r="Q3109" s="1"/>
      <c r="S3109" s="1"/>
      <c r="T3109" s="1"/>
      <c r="U3109" s="1"/>
      <c r="V3109" s="1"/>
      <c r="W3109" s="1"/>
      <c r="X3109" s="1"/>
      <c r="Y3109" s="1"/>
      <c r="AB3109" s="1"/>
      <c r="AC3109" s="1"/>
      <c r="AD3109" s="1"/>
      <c r="AE3109" s="1"/>
      <c r="AF3109" s="1"/>
      <c r="AG3109" s="1"/>
      <c r="AH3109" s="1"/>
      <c r="AI3109" s="1"/>
      <c r="AJ3109" s="1"/>
      <c r="AK3109" s="1"/>
      <c r="AL3109" s="1"/>
      <c r="AM3109" s="1"/>
    </row>
    <row r="3110" spans="16:39" x14ac:dyDescent="0.25">
      <c r="P3110" s="49"/>
      <c r="Q3110" s="1"/>
      <c r="S3110" s="1"/>
      <c r="T3110" s="1"/>
      <c r="U3110" s="1"/>
      <c r="V3110" s="1"/>
      <c r="W3110" s="1"/>
      <c r="X3110" s="1"/>
      <c r="Y3110" s="1"/>
      <c r="AB3110" s="1"/>
      <c r="AC3110" s="1"/>
      <c r="AD3110" s="1"/>
      <c r="AE3110" s="1"/>
      <c r="AF3110" s="1"/>
      <c r="AG3110" s="1"/>
      <c r="AH3110" s="1"/>
      <c r="AI3110" s="1"/>
      <c r="AJ3110" s="1"/>
      <c r="AK3110" s="1"/>
      <c r="AL3110" s="1"/>
      <c r="AM3110" s="1"/>
    </row>
    <row r="3111" spans="16:39" x14ac:dyDescent="0.25">
      <c r="P3111" s="49"/>
      <c r="Q3111" s="1"/>
      <c r="S3111" s="1"/>
      <c r="T3111" s="1"/>
      <c r="U3111" s="1"/>
      <c r="V3111" s="1"/>
      <c r="W3111" s="1"/>
      <c r="X3111" s="1"/>
      <c r="Y3111" s="1"/>
      <c r="AB3111" s="1"/>
      <c r="AC3111" s="1"/>
      <c r="AD3111" s="1"/>
      <c r="AE3111" s="1"/>
      <c r="AF3111" s="1"/>
      <c r="AG3111" s="1"/>
      <c r="AH3111" s="1"/>
      <c r="AI3111" s="1"/>
      <c r="AJ3111" s="1"/>
      <c r="AK3111" s="1"/>
      <c r="AL3111" s="1"/>
      <c r="AM3111" s="1"/>
    </row>
    <row r="3112" spans="16:39" x14ac:dyDescent="0.25">
      <c r="P3112" s="49"/>
      <c r="Q3112" s="1"/>
      <c r="S3112" s="1"/>
      <c r="T3112" s="1"/>
      <c r="U3112" s="1"/>
      <c r="V3112" s="1"/>
      <c r="W3112" s="1"/>
      <c r="X3112" s="1"/>
      <c r="Y3112" s="1"/>
      <c r="AB3112" s="1"/>
      <c r="AC3112" s="1"/>
      <c r="AD3112" s="1"/>
      <c r="AE3112" s="1"/>
      <c r="AF3112" s="1"/>
      <c r="AG3112" s="1"/>
      <c r="AH3112" s="1"/>
      <c r="AI3112" s="1"/>
      <c r="AJ3112" s="1"/>
      <c r="AK3112" s="1"/>
      <c r="AL3112" s="1"/>
      <c r="AM3112" s="1"/>
    </row>
    <row r="3113" spans="16:39" x14ac:dyDescent="0.25">
      <c r="P3113" s="49"/>
      <c r="Q3113" s="1"/>
      <c r="S3113" s="1"/>
      <c r="T3113" s="1"/>
      <c r="U3113" s="1"/>
      <c r="V3113" s="1"/>
      <c r="W3113" s="1"/>
      <c r="X3113" s="1"/>
      <c r="Y3113" s="1"/>
      <c r="AB3113" s="1"/>
      <c r="AC3113" s="1"/>
      <c r="AD3113" s="1"/>
      <c r="AE3113" s="1"/>
      <c r="AF3113" s="1"/>
      <c r="AG3113" s="1"/>
      <c r="AH3113" s="1"/>
      <c r="AI3113" s="1"/>
      <c r="AJ3113" s="1"/>
      <c r="AK3113" s="1"/>
      <c r="AL3113" s="1"/>
      <c r="AM3113" s="1"/>
    </row>
    <row r="3114" spans="16:39" x14ac:dyDescent="0.25">
      <c r="P3114" s="49"/>
      <c r="Q3114" s="1"/>
      <c r="S3114" s="1"/>
      <c r="T3114" s="1"/>
      <c r="U3114" s="1"/>
      <c r="V3114" s="1"/>
      <c r="W3114" s="1"/>
      <c r="X3114" s="1"/>
      <c r="Y3114" s="1"/>
      <c r="AB3114" s="1"/>
      <c r="AC3114" s="1"/>
      <c r="AD3114" s="1"/>
      <c r="AE3114" s="1"/>
      <c r="AF3114" s="1"/>
      <c r="AG3114" s="1"/>
      <c r="AH3114" s="1"/>
      <c r="AI3114" s="1"/>
      <c r="AJ3114" s="1"/>
      <c r="AK3114" s="1"/>
      <c r="AL3114" s="1"/>
      <c r="AM3114" s="1"/>
    </row>
    <row r="3115" spans="16:39" x14ac:dyDescent="0.25">
      <c r="P3115" s="49"/>
      <c r="Q3115" s="1"/>
      <c r="S3115" s="1"/>
      <c r="T3115" s="1"/>
      <c r="U3115" s="1"/>
      <c r="V3115" s="1"/>
      <c r="W3115" s="1"/>
      <c r="X3115" s="1"/>
      <c r="Y3115" s="1"/>
      <c r="AB3115" s="1"/>
      <c r="AC3115" s="1"/>
      <c r="AD3115" s="1"/>
      <c r="AE3115" s="1"/>
      <c r="AF3115" s="1"/>
      <c r="AG3115" s="1"/>
      <c r="AH3115" s="1"/>
      <c r="AI3115" s="1"/>
      <c r="AJ3115" s="1"/>
      <c r="AK3115" s="1"/>
      <c r="AL3115" s="1"/>
      <c r="AM3115" s="1"/>
    </row>
    <row r="3116" spans="16:39" x14ac:dyDescent="0.25">
      <c r="P3116" s="49"/>
      <c r="Q3116" s="1"/>
      <c r="S3116" s="1"/>
      <c r="T3116" s="1"/>
      <c r="U3116" s="1"/>
      <c r="V3116" s="1"/>
      <c r="W3116" s="1"/>
      <c r="X3116" s="1"/>
      <c r="Y3116" s="1"/>
      <c r="AB3116" s="1"/>
      <c r="AC3116" s="1"/>
      <c r="AD3116" s="1"/>
      <c r="AE3116" s="1"/>
      <c r="AF3116" s="1"/>
      <c r="AG3116" s="1"/>
      <c r="AH3116" s="1"/>
      <c r="AI3116" s="1"/>
      <c r="AJ3116" s="1"/>
      <c r="AK3116" s="1"/>
      <c r="AL3116" s="1"/>
      <c r="AM3116" s="1"/>
    </row>
    <row r="3117" spans="16:39" x14ac:dyDescent="0.25">
      <c r="P3117" s="49"/>
      <c r="Q3117" s="1"/>
      <c r="S3117" s="1"/>
      <c r="T3117" s="1"/>
      <c r="U3117" s="1"/>
      <c r="V3117" s="1"/>
      <c r="W3117" s="1"/>
      <c r="X3117" s="1"/>
      <c r="Y3117" s="1"/>
      <c r="AB3117" s="1"/>
      <c r="AC3117" s="1"/>
      <c r="AD3117" s="1"/>
      <c r="AE3117" s="1"/>
      <c r="AF3117" s="1"/>
      <c r="AG3117" s="1"/>
      <c r="AH3117" s="1"/>
      <c r="AI3117" s="1"/>
      <c r="AJ3117" s="1"/>
      <c r="AK3117" s="1"/>
      <c r="AL3117" s="1"/>
      <c r="AM3117" s="1"/>
    </row>
    <row r="3118" spans="16:39" x14ac:dyDescent="0.25">
      <c r="P3118" s="49"/>
      <c r="Q3118" s="1"/>
      <c r="S3118" s="1"/>
      <c r="T3118" s="1"/>
      <c r="U3118" s="1"/>
      <c r="V3118" s="1"/>
      <c r="W3118" s="1"/>
      <c r="X3118" s="1"/>
      <c r="Y3118" s="1"/>
      <c r="AB3118" s="1"/>
      <c r="AC3118" s="1"/>
      <c r="AD3118" s="1"/>
      <c r="AE3118" s="1"/>
      <c r="AF3118" s="1"/>
      <c r="AG3118" s="1"/>
      <c r="AH3118" s="1"/>
      <c r="AI3118" s="1"/>
      <c r="AJ3118" s="1"/>
      <c r="AK3118" s="1"/>
      <c r="AL3118" s="1"/>
      <c r="AM3118" s="1"/>
    </row>
    <row r="3119" spans="16:39" x14ac:dyDescent="0.25">
      <c r="P3119" s="49"/>
      <c r="Q3119" s="1"/>
      <c r="S3119" s="1"/>
      <c r="T3119" s="1"/>
      <c r="U3119" s="1"/>
      <c r="V3119" s="1"/>
      <c r="W3119" s="1"/>
      <c r="X3119" s="1"/>
      <c r="Y3119" s="1"/>
      <c r="AB3119" s="1"/>
      <c r="AC3119" s="1"/>
      <c r="AD3119" s="1"/>
      <c r="AE3119" s="1"/>
      <c r="AF3119" s="1"/>
      <c r="AG3119" s="1"/>
      <c r="AH3119" s="1"/>
      <c r="AI3119" s="1"/>
      <c r="AJ3119" s="1"/>
      <c r="AK3119" s="1"/>
      <c r="AL3119" s="1"/>
      <c r="AM3119" s="1"/>
    </row>
    <row r="3120" spans="16:39" x14ac:dyDescent="0.25">
      <c r="P3120" s="49"/>
      <c r="Q3120" s="1"/>
      <c r="S3120" s="1"/>
      <c r="T3120" s="1"/>
      <c r="U3120" s="1"/>
      <c r="V3120" s="1"/>
      <c r="W3120" s="1"/>
      <c r="X3120" s="1"/>
      <c r="Y3120" s="1"/>
      <c r="AB3120" s="1"/>
      <c r="AC3120" s="1"/>
      <c r="AD3120" s="1"/>
      <c r="AE3120" s="1"/>
      <c r="AF3120" s="1"/>
      <c r="AG3120" s="1"/>
      <c r="AH3120" s="1"/>
      <c r="AI3120" s="1"/>
      <c r="AJ3120" s="1"/>
      <c r="AK3120" s="1"/>
      <c r="AL3120" s="1"/>
      <c r="AM3120" s="1"/>
    </row>
    <row r="3121" spans="16:39" x14ac:dyDescent="0.25">
      <c r="P3121" s="49"/>
      <c r="Q3121" s="1"/>
      <c r="S3121" s="1"/>
      <c r="T3121" s="1"/>
      <c r="U3121" s="1"/>
      <c r="V3121" s="1"/>
      <c r="W3121" s="1"/>
      <c r="X3121" s="1"/>
      <c r="Y3121" s="1"/>
      <c r="AB3121" s="1"/>
      <c r="AC3121" s="1"/>
      <c r="AD3121" s="1"/>
      <c r="AE3121" s="1"/>
      <c r="AF3121" s="1"/>
      <c r="AG3121" s="1"/>
      <c r="AH3121" s="1"/>
      <c r="AI3121" s="1"/>
      <c r="AJ3121" s="1"/>
      <c r="AK3121" s="1"/>
      <c r="AL3121" s="1"/>
      <c r="AM3121" s="1"/>
    </row>
    <row r="3122" spans="16:39" x14ac:dyDescent="0.25">
      <c r="P3122" s="49"/>
      <c r="Q3122" s="1"/>
      <c r="S3122" s="1"/>
      <c r="T3122" s="1"/>
      <c r="U3122" s="1"/>
      <c r="V3122" s="1"/>
      <c r="W3122" s="1"/>
      <c r="X3122" s="1"/>
      <c r="Y3122" s="1"/>
      <c r="AB3122" s="1"/>
      <c r="AC3122" s="1"/>
      <c r="AD3122" s="1"/>
      <c r="AE3122" s="1"/>
      <c r="AF3122" s="1"/>
      <c r="AG3122" s="1"/>
      <c r="AH3122" s="1"/>
      <c r="AI3122" s="1"/>
      <c r="AJ3122" s="1"/>
      <c r="AK3122" s="1"/>
      <c r="AL3122" s="1"/>
      <c r="AM3122" s="1"/>
    </row>
    <row r="3123" spans="16:39" x14ac:dyDescent="0.25">
      <c r="P3123" s="49"/>
      <c r="Q3123" s="1"/>
      <c r="S3123" s="1"/>
      <c r="T3123" s="1"/>
      <c r="U3123" s="1"/>
      <c r="V3123" s="1"/>
      <c r="W3123" s="1"/>
      <c r="X3123" s="1"/>
      <c r="Y3123" s="1"/>
      <c r="AB3123" s="1"/>
      <c r="AC3123" s="1"/>
      <c r="AD3123" s="1"/>
      <c r="AE3123" s="1"/>
      <c r="AF3123" s="1"/>
      <c r="AG3123" s="1"/>
      <c r="AH3123" s="1"/>
      <c r="AI3123" s="1"/>
      <c r="AJ3123" s="1"/>
      <c r="AK3123" s="1"/>
      <c r="AL3123" s="1"/>
      <c r="AM3123" s="1"/>
    </row>
    <row r="3124" spans="16:39" x14ac:dyDescent="0.25">
      <c r="P3124" s="49"/>
      <c r="Q3124" s="1"/>
      <c r="S3124" s="1"/>
      <c r="T3124" s="1"/>
      <c r="U3124" s="1"/>
      <c r="V3124" s="1"/>
      <c r="W3124" s="1"/>
      <c r="X3124" s="1"/>
      <c r="Y3124" s="1"/>
      <c r="AB3124" s="1"/>
      <c r="AC3124" s="1"/>
      <c r="AD3124" s="1"/>
      <c r="AE3124" s="1"/>
      <c r="AF3124" s="1"/>
      <c r="AG3124" s="1"/>
      <c r="AH3124" s="1"/>
      <c r="AI3124" s="1"/>
      <c r="AJ3124" s="1"/>
      <c r="AK3124" s="1"/>
      <c r="AL3124" s="1"/>
      <c r="AM3124" s="1"/>
    </row>
    <row r="3125" spans="16:39" x14ac:dyDescent="0.25">
      <c r="P3125" s="49"/>
      <c r="Q3125" s="1"/>
      <c r="S3125" s="1"/>
      <c r="T3125" s="1"/>
      <c r="U3125" s="1"/>
      <c r="V3125" s="1"/>
      <c r="W3125" s="1"/>
      <c r="X3125" s="1"/>
      <c r="Y3125" s="1"/>
      <c r="AB3125" s="1"/>
      <c r="AC3125" s="1"/>
      <c r="AD3125" s="1"/>
      <c r="AE3125" s="1"/>
      <c r="AF3125" s="1"/>
      <c r="AG3125" s="1"/>
      <c r="AH3125" s="1"/>
      <c r="AI3125" s="1"/>
      <c r="AJ3125" s="1"/>
      <c r="AK3125" s="1"/>
      <c r="AL3125" s="1"/>
      <c r="AM3125" s="1"/>
    </row>
    <row r="3126" spans="16:39" x14ac:dyDescent="0.25">
      <c r="P3126" s="49"/>
      <c r="Q3126" s="1"/>
      <c r="S3126" s="1"/>
      <c r="T3126" s="1"/>
      <c r="U3126" s="1"/>
      <c r="V3126" s="1"/>
      <c r="W3126" s="1"/>
      <c r="X3126" s="1"/>
      <c r="Y3126" s="1"/>
      <c r="AB3126" s="1"/>
      <c r="AC3126" s="1"/>
      <c r="AD3126" s="1"/>
      <c r="AE3126" s="1"/>
      <c r="AF3126" s="1"/>
      <c r="AG3126" s="1"/>
      <c r="AH3126" s="1"/>
      <c r="AI3126" s="1"/>
      <c r="AJ3126" s="1"/>
      <c r="AK3126" s="1"/>
      <c r="AL3126" s="1"/>
      <c r="AM3126" s="1"/>
    </row>
    <row r="3127" spans="16:39" x14ac:dyDescent="0.25">
      <c r="P3127" s="49"/>
      <c r="Q3127" s="1"/>
      <c r="S3127" s="1"/>
      <c r="T3127" s="1"/>
      <c r="U3127" s="1"/>
      <c r="V3127" s="1"/>
      <c r="W3127" s="1"/>
      <c r="X3127" s="1"/>
      <c r="Y3127" s="1"/>
      <c r="AB3127" s="1"/>
      <c r="AC3127" s="1"/>
      <c r="AD3127" s="1"/>
      <c r="AE3127" s="1"/>
      <c r="AF3127" s="1"/>
      <c r="AG3127" s="1"/>
      <c r="AH3127" s="1"/>
      <c r="AI3127" s="1"/>
      <c r="AJ3127" s="1"/>
      <c r="AK3127" s="1"/>
      <c r="AL3127" s="1"/>
      <c r="AM3127" s="1"/>
    </row>
    <row r="3128" spans="16:39" x14ac:dyDescent="0.25">
      <c r="P3128" s="49"/>
      <c r="Q3128" s="1"/>
      <c r="S3128" s="1"/>
      <c r="T3128" s="1"/>
      <c r="U3128" s="1"/>
      <c r="V3128" s="1"/>
      <c r="W3128" s="1"/>
      <c r="X3128" s="1"/>
      <c r="Y3128" s="1"/>
      <c r="AB3128" s="1"/>
      <c r="AC3128" s="1"/>
      <c r="AD3128" s="1"/>
      <c r="AE3128" s="1"/>
      <c r="AF3128" s="1"/>
      <c r="AG3128" s="1"/>
      <c r="AH3128" s="1"/>
      <c r="AI3128" s="1"/>
      <c r="AJ3128" s="1"/>
      <c r="AK3128" s="1"/>
      <c r="AL3128" s="1"/>
      <c r="AM3128" s="1"/>
    </row>
    <row r="3129" spans="16:39" x14ac:dyDescent="0.25">
      <c r="P3129" s="49"/>
      <c r="Q3129" s="1"/>
      <c r="S3129" s="1"/>
      <c r="T3129" s="1"/>
      <c r="U3129" s="1"/>
      <c r="V3129" s="1"/>
      <c r="W3129" s="1"/>
      <c r="X3129" s="1"/>
      <c r="Y3129" s="1"/>
      <c r="AB3129" s="1"/>
      <c r="AC3129" s="1"/>
      <c r="AD3129" s="1"/>
      <c r="AE3129" s="1"/>
      <c r="AF3129" s="1"/>
      <c r="AG3129" s="1"/>
      <c r="AH3129" s="1"/>
      <c r="AI3129" s="1"/>
      <c r="AJ3129" s="1"/>
      <c r="AK3129" s="1"/>
      <c r="AL3129" s="1"/>
      <c r="AM3129" s="1"/>
    </row>
    <row r="3130" spans="16:39" x14ac:dyDescent="0.25">
      <c r="P3130" s="49"/>
      <c r="Q3130" s="1"/>
      <c r="S3130" s="1"/>
      <c r="T3130" s="1"/>
      <c r="U3130" s="1"/>
      <c r="V3130" s="1"/>
      <c r="W3130" s="1"/>
      <c r="X3130" s="1"/>
      <c r="Y3130" s="1"/>
      <c r="AB3130" s="1"/>
      <c r="AC3130" s="1"/>
      <c r="AD3130" s="1"/>
      <c r="AE3130" s="1"/>
      <c r="AF3130" s="1"/>
      <c r="AG3130" s="1"/>
      <c r="AH3130" s="1"/>
      <c r="AI3130" s="1"/>
      <c r="AJ3130" s="1"/>
      <c r="AK3130" s="1"/>
      <c r="AL3130" s="1"/>
      <c r="AM3130" s="1"/>
    </row>
    <row r="3131" spans="16:39" x14ac:dyDescent="0.25">
      <c r="P3131" s="49"/>
      <c r="Q3131" s="1"/>
      <c r="S3131" s="1"/>
      <c r="T3131" s="1"/>
      <c r="U3131" s="1"/>
      <c r="V3131" s="1"/>
      <c r="W3131" s="1"/>
      <c r="X3131" s="1"/>
      <c r="Y3131" s="1"/>
      <c r="AB3131" s="1"/>
      <c r="AC3131" s="1"/>
      <c r="AD3131" s="1"/>
      <c r="AE3131" s="1"/>
      <c r="AF3131" s="1"/>
      <c r="AG3131" s="1"/>
      <c r="AH3131" s="1"/>
      <c r="AI3131" s="1"/>
      <c r="AJ3131" s="1"/>
      <c r="AK3131" s="1"/>
      <c r="AL3131" s="1"/>
      <c r="AM3131" s="1"/>
    </row>
    <row r="3132" spans="16:39" x14ac:dyDescent="0.25">
      <c r="P3132" s="49"/>
      <c r="Q3132" s="1"/>
      <c r="S3132" s="1"/>
      <c r="T3132" s="1"/>
      <c r="U3132" s="1"/>
      <c r="V3132" s="1"/>
      <c r="W3132" s="1"/>
      <c r="X3132" s="1"/>
      <c r="Y3132" s="1"/>
      <c r="AB3132" s="1"/>
      <c r="AC3132" s="1"/>
      <c r="AD3132" s="1"/>
      <c r="AE3132" s="1"/>
      <c r="AF3132" s="1"/>
      <c r="AG3132" s="1"/>
      <c r="AH3132" s="1"/>
      <c r="AI3132" s="1"/>
      <c r="AJ3132" s="1"/>
      <c r="AK3132" s="1"/>
      <c r="AL3132" s="1"/>
      <c r="AM3132" s="1"/>
    </row>
    <row r="3133" spans="16:39" x14ac:dyDescent="0.25">
      <c r="P3133" s="49"/>
      <c r="Q3133" s="1"/>
      <c r="S3133" s="1"/>
      <c r="T3133" s="1"/>
      <c r="U3133" s="1"/>
      <c r="V3133" s="1"/>
      <c r="W3133" s="1"/>
      <c r="X3133" s="1"/>
      <c r="Y3133" s="1"/>
      <c r="AB3133" s="1"/>
      <c r="AC3133" s="1"/>
      <c r="AD3133" s="1"/>
      <c r="AE3133" s="1"/>
      <c r="AF3133" s="1"/>
      <c r="AG3133" s="1"/>
      <c r="AH3133" s="1"/>
      <c r="AI3133" s="1"/>
      <c r="AJ3133" s="1"/>
      <c r="AK3133" s="1"/>
      <c r="AL3133" s="1"/>
      <c r="AM3133" s="1"/>
    </row>
    <row r="3134" spans="16:39" x14ac:dyDescent="0.25">
      <c r="P3134" s="49"/>
      <c r="Q3134" s="1"/>
      <c r="S3134" s="1"/>
      <c r="T3134" s="1"/>
      <c r="U3134" s="1"/>
      <c r="V3134" s="1"/>
      <c r="W3134" s="1"/>
      <c r="X3134" s="1"/>
      <c r="Y3134" s="1"/>
      <c r="AB3134" s="1"/>
      <c r="AC3134" s="1"/>
      <c r="AD3134" s="1"/>
      <c r="AE3134" s="1"/>
      <c r="AF3134" s="1"/>
      <c r="AG3134" s="1"/>
      <c r="AH3134" s="1"/>
      <c r="AI3134" s="1"/>
      <c r="AJ3134" s="1"/>
      <c r="AK3134" s="1"/>
      <c r="AL3134" s="1"/>
      <c r="AM3134" s="1"/>
    </row>
    <row r="3135" spans="16:39" x14ac:dyDescent="0.25">
      <c r="P3135" s="49"/>
      <c r="Q3135" s="1"/>
      <c r="S3135" s="1"/>
      <c r="T3135" s="1"/>
      <c r="U3135" s="1"/>
      <c r="V3135" s="1"/>
      <c r="W3135" s="1"/>
      <c r="X3135" s="1"/>
      <c r="Y3135" s="1"/>
      <c r="AB3135" s="1"/>
      <c r="AC3135" s="1"/>
      <c r="AD3135" s="1"/>
      <c r="AE3135" s="1"/>
      <c r="AF3135" s="1"/>
      <c r="AG3135" s="1"/>
      <c r="AH3135" s="1"/>
      <c r="AI3135" s="1"/>
      <c r="AJ3135" s="1"/>
      <c r="AK3135" s="1"/>
      <c r="AL3135" s="1"/>
      <c r="AM3135" s="1"/>
    </row>
    <row r="3136" spans="16:39" x14ac:dyDescent="0.25">
      <c r="P3136" s="49"/>
      <c r="Q3136" s="1"/>
      <c r="S3136" s="1"/>
      <c r="T3136" s="1"/>
      <c r="U3136" s="1"/>
      <c r="V3136" s="1"/>
      <c r="W3136" s="1"/>
      <c r="X3136" s="1"/>
      <c r="Y3136" s="1"/>
      <c r="AB3136" s="1"/>
      <c r="AC3136" s="1"/>
      <c r="AD3136" s="1"/>
      <c r="AE3136" s="1"/>
      <c r="AF3136" s="1"/>
      <c r="AG3136" s="1"/>
      <c r="AH3136" s="1"/>
      <c r="AI3136" s="1"/>
      <c r="AJ3136" s="1"/>
      <c r="AK3136" s="1"/>
      <c r="AL3136" s="1"/>
      <c r="AM3136" s="1"/>
    </row>
    <row r="3137" spans="16:39" x14ac:dyDescent="0.25">
      <c r="P3137" s="49"/>
      <c r="Q3137" s="1"/>
      <c r="S3137" s="1"/>
      <c r="T3137" s="1"/>
      <c r="U3137" s="1"/>
      <c r="V3137" s="1"/>
      <c r="W3137" s="1"/>
      <c r="X3137" s="1"/>
      <c r="Y3137" s="1"/>
      <c r="AB3137" s="1"/>
      <c r="AC3137" s="1"/>
      <c r="AD3137" s="1"/>
      <c r="AE3137" s="1"/>
      <c r="AF3137" s="1"/>
      <c r="AG3137" s="1"/>
      <c r="AH3137" s="1"/>
      <c r="AI3137" s="1"/>
      <c r="AJ3137" s="1"/>
      <c r="AK3137" s="1"/>
      <c r="AL3137" s="1"/>
      <c r="AM3137" s="1"/>
    </row>
    <row r="3138" spans="16:39" x14ac:dyDescent="0.25">
      <c r="P3138" s="49"/>
      <c r="Q3138" s="1"/>
      <c r="S3138" s="1"/>
      <c r="T3138" s="1"/>
      <c r="U3138" s="1"/>
      <c r="V3138" s="1"/>
      <c r="W3138" s="1"/>
      <c r="X3138" s="1"/>
      <c r="Y3138" s="1"/>
      <c r="AB3138" s="1"/>
      <c r="AC3138" s="1"/>
      <c r="AD3138" s="1"/>
      <c r="AE3138" s="1"/>
      <c r="AF3138" s="1"/>
      <c r="AG3138" s="1"/>
      <c r="AH3138" s="1"/>
      <c r="AI3138" s="1"/>
      <c r="AJ3138" s="1"/>
      <c r="AK3138" s="1"/>
      <c r="AL3138" s="1"/>
      <c r="AM3138" s="1"/>
    </row>
    <row r="3139" spans="16:39" x14ac:dyDescent="0.25">
      <c r="P3139" s="49"/>
      <c r="Q3139" s="1"/>
      <c r="S3139" s="1"/>
      <c r="T3139" s="1"/>
      <c r="U3139" s="1"/>
      <c r="V3139" s="1"/>
      <c r="W3139" s="1"/>
      <c r="X3139" s="1"/>
      <c r="Y3139" s="1"/>
      <c r="AB3139" s="1"/>
      <c r="AC3139" s="1"/>
      <c r="AD3139" s="1"/>
      <c r="AE3139" s="1"/>
      <c r="AF3139" s="1"/>
      <c r="AG3139" s="1"/>
      <c r="AH3139" s="1"/>
      <c r="AI3139" s="1"/>
      <c r="AJ3139" s="1"/>
      <c r="AK3139" s="1"/>
      <c r="AL3139" s="1"/>
      <c r="AM3139" s="1"/>
    </row>
    <row r="3140" spans="16:39" x14ac:dyDescent="0.25">
      <c r="P3140" s="49"/>
      <c r="Q3140" s="1"/>
      <c r="S3140" s="1"/>
      <c r="T3140" s="1"/>
      <c r="U3140" s="1"/>
      <c r="V3140" s="1"/>
      <c r="W3140" s="1"/>
      <c r="X3140" s="1"/>
      <c r="Y3140" s="1"/>
      <c r="AB3140" s="1"/>
      <c r="AC3140" s="1"/>
      <c r="AD3140" s="1"/>
      <c r="AE3140" s="1"/>
      <c r="AF3140" s="1"/>
      <c r="AG3140" s="1"/>
      <c r="AH3140" s="1"/>
      <c r="AI3140" s="1"/>
      <c r="AJ3140" s="1"/>
      <c r="AK3140" s="1"/>
      <c r="AL3140" s="1"/>
      <c r="AM3140" s="1"/>
    </row>
    <row r="3141" spans="16:39" x14ac:dyDescent="0.25">
      <c r="P3141" s="49"/>
      <c r="Q3141" s="1"/>
      <c r="S3141" s="1"/>
      <c r="T3141" s="1"/>
      <c r="U3141" s="1"/>
      <c r="V3141" s="1"/>
      <c r="W3141" s="1"/>
      <c r="X3141" s="1"/>
      <c r="Y3141" s="1"/>
      <c r="AB3141" s="1"/>
      <c r="AC3141" s="1"/>
      <c r="AD3141" s="1"/>
      <c r="AE3141" s="1"/>
      <c r="AF3141" s="1"/>
      <c r="AG3141" s="1"/>
      <c r="AH3141" s="1"/>
      <c r="AI3141" s="1"/>
      <c r="AJ3141" s="1"/>
      <c r="AK3141" s="1"/>
      <c r="AL3141" s="1"/>
      <c r="AM3141" s="1"/>
    </row>
    <row r="3142" spans="16:39" x14ac:dyDescent="0.25">
      <c r="P3142" s="49"/>
      <c r="Q3142" s="1"/>
      <c r="S3142" s="1"/>
      <c r="T3142" s="1"/>
      <c r="U3142" s="1"/>
      <c r="V3142" s="1"/>
      <c r="W3142" s="1"/>
      <c r="X3142" s="1"/>
      <c r="Y3142" s="1"/>
      <c r="AB3142" s="1"/>
      <c r="AC3142" s="1"/>
      <c r="AD3142" s="1"/>
      <c r="AE3142" s="1"/>
      <c r="AF3142" s="1"/>
      <c r="AG3142" s="1"/>
      <c r="AH3142" s="1"/>
      <c r="AI3142" s="1"/>
      <c r="AJ3142" s="1"/>
      <c r="AK3142" s="1"/>
      <c r="AL3142" s="1"/>
      <c r="AM3142" s="1"/>
    </row>
    <row r="3143" spans="16:39" x14ac:dyDescent="0.25">
      <c r="P3143" s="49"/>
      <c r="Q3143" s="1"/>
      <c r="S3143" s="1"/>
      <c r="T3143" s="1"/>
      <c r="U3143" s="1"/>
      <c r="V3143" s="1"/>
      <c r="W3143" s="1"/>
      <c r="X3143" s="1"/>
      <c r="Y3143" s="1"/>
      <c r="AB3143" s="1"/>
      <c r="AC3143" s="1"/>
      <c r="AD3143" s="1"/>
      <c r="AE3143" s="1"/>
      <c r="AF3143" s="1"/>
      <c r="AG3143" s="1"/>
      <c r="AH3143" s="1"/>
      <c r="AI3143" s="1"/>
      <c r="AJ3143" s="1"/>
      <c r="AK3143" s="1"/>
      <c r="AL3143" s="1"/>
      <c r="AM3143" s="1"/>
    </row>
    <row r="3144" spans="16:39" x14ac:dyDescent="0.25">
      <c r="P3144" s="49"/>
      <c r="Q3144" s="1"/>
      <c r="S3144" s="1"/>
      <c r="T3144" s="1"/>
      <c r="U3144" s="1"/>
      <c r="V3144" s="1"/>
      <c r="W3144" s="1"/>
      <c r="X3144" s="1"/>
      <c r="Y3144" s="1"/>
      <c r="AB3144" s="1"/>
      <c r="AC3144" s="1"/>
      <c r="AD3144" s="1"/>
      <c r="AE3144" s="1"/>
      <c r="AF3144" s="1"/>
      <c r="AG3144" s="1"/>
      <c r="AH3144" s="1"/>
      <c r="AI3144" s="1"/>
      <c r="AJ3144" s="1"/>
      <c r="AK3144" s="1"/>
      <c r="AL3144" s="1"/>
      <c r="AM3144" s="1"/>
    </row>
    <row r="3145" spans="16:39" x14ac:dyDescent="0.25">
      <c r="P3145" s="49"/>
      <c r="Q3145" s="1"/>
      <c r="S3145" s="1"/>
      <c r="T3145" s="1"/>
      <c r="U3145" s="1"/>
      <c r="V3145" s="1"/>
      <c r="W3145" s="1"/>
      <c r="X3145" s="1"/>
      <c r="Y3145" s="1"/>
      <c r="AB3145" s="1"/>
      <c r="AC3145" s="1"/>
      <c r="AD3145" s="1"/>
      <c r="AE3145" s="1"/>
      <c r="AF3145" s="1"/>
      <c r="AG3145" s="1"/>
      <c r="AH3145" s="1"/>
      <c r="AI3145" s="1"/>
      <c r="AJ3145" s="1"/>
      <c r="AK3145" s="1"/>
      <c r="AL3145" s="1"/>
      <c r="AM3145" s="1"/>
    </row>
    <row r="3146" spans="16:39" x14ac:dyDescent="0.25">
      <c r="P3146" s="49"/>
      <c r="Q3146" s="1"/>
      <c r="S3146" s="1"/>
      <c r="T3146" s="1"/>
      <c r="U3146" s="1"/>
      <c r="V3146" s="1"/>
      <c r="W3146" s="1"/>
      <c r="X3146" s="1"/>
      <c r="Y3146" s="1"/>
      <c r="AB3146" s="1"/>
      <c r="AC3146" s="1"/>
      <c r="AD3146" s="1"/>
      <c r="AE3146" s="1"/>
      <c r="AF3146" s="1"/>
      <c r="AG3146" s="1"/>
      <c r="AH3146" s="1"/>
      <c r="AI3146" s="1"/>
      <c r="AJ3146" s="1"/>
      <c r="AK3146" s="1"/>
      <c r="AL3146" s="1"/>
      <c r="AM3146" s="1"/>
    </row>
    <row r="3147" spans="16:39" x14ac:dyDescent="0.25">
      <c r="P3147" s="49"/>
      <c r="Q3147" s="1"/>
      <c r="S3147" s="1"/>
      <c r="T3147" s="1"/>
      <c r="U3147" s="1"/>
      <c r="V3147" s="1"/>
      <c r="W3147" s="1"/>
      <c r="X3147" s="1"/>
      <c r="Y3147" s="1"/>
      <c r="AB3147" s="1"/>
      <c r="AC3147" s="1"/>
      <c r="AD3147" s="1"/>
      <c r="AE3147" s="1"/>
      <c r="AF3147" s="1"/>
      <c r="AG3147" s="1"/>
      <c r="AH3147" s="1"/>
      <c r="AI3147" s="1"/>
      <c r="AJ3147" s="1"/>
      <c r="AK3147" s="1"/>
      <c r="AL3147" s="1"/>
      <c r="AM3147" s="1"/>
    </row>
    <row r="3148" spans="16:39" x14ac:dyDescent="0.25">
      <c r="P3148" s="49"/>
      <c r="Q3148" s="1"/>
      <c r="S3148" s="1"/>
      <c r="T3148" s="1"/>
      <c r="U3148" s="1"/>
      <c r="V3148" s="1"/>
      <c r="W3148" s="1"/>
      <c r="X3148" s="1"/>
      <c r="Y3148" s="1"/>
      <c r="AB3148" s="1"/>
      <c r="AC3148" s="1"/>
      <c r="AD3148" s="1"/>
      <c r="AE3148" s="1"/>
      <c r="AF3148" s="1"/>
      <c r="AG3148" s="1"/>
      <c r="AH3148" s="1"/>
      <c r="AI3148" s="1"/>
      <c r="AJ3148" s="1"/>
      <c r="AK3148" s="1"/>
      <c r="AL3148" s="1"/>
      <c r="AM3148" s="1"/>
    </row>
    <row r="3149" spans="16:39" x14ac:dyDescent="0.25">
      <c r="P3149" s="49"/>
      <c r="Q3149" s="1"/>
      <c r="S3149" s="1"/>
      <c r="T3149" s="1"/>
      <c r="U3149" s="1"/>
      <c r="V3149" s="1"/>
      <c r="W3149" s="1"/>
      <c r="X3149" s="1"/>
      <c r="Y3149" s="1"/>
      <c r="AB3149" s="1"/>
      <c r="AC3149" s="1"/>
      <c r="AD3149" s="1"/>
      <c r="AE3149" s="1"/>
      <c r="AF3149" s="1"/>
      <c r="AG3149" s="1"/>
      <c r="AH3149" s="1"/>
      <c r="AI3149" s="1"/>
      <c r="AJ3149" s="1"/>
      <c r="AK3149" s="1"/>
      <c r="AL3149" s="1"/>
      <c r="AM3149" s="1"/>
    </row>
    <row r="3150" spans="16:39" x14ac:dyDescent="0.25">
      <c r="P3150" s="49"/>
      <c r="Q3150" s="1"/>
      <c r="S3150" s="1"/>
      <c r="T3150" s="1"/>
      <c r="U3150" s="1"/>
      <c r="V3150" s="1"/>
      <c r="W3150" s="1"/>
      <c r="X3150" s="1"/>
      <c r="Y3150" s="1"/>
      <c r="AB3150" s="1"/>
      <c r="AC3150" s="1"/>
      <c r="AD3150" s="1"/>
      <c r="AE3150" s="1"/>
      <c r="AF3150" s="1"/>
      <c r="AG3150" s="1"/>
      <c r="AH3150" s="1"/>
      <c r="AI3150" s="1"/>
      <c r="AJ3150" s="1"/>
      <c r="AK3150" s="1"/>
      <c r="AL3150" s="1"/>
      <c r="AM3150" s="1"/>
    </row>
    <row r="3151" spans="16:39" x14ac:dyDescent="0.25">
      <c r="P3151" s="49"/>
      <c r="Q3151" s="1"/>
      <c r="S3151" s="1"/>
      <c r="T3151" s="1"/>
      <c r="U3151" s="1"/>
      <c r="V3151" s="1"/>
      <c r="W3151" s="1"/>
      <c r="X3151" s="1"/>
      <c r="Y3151" s="1"/>
      <c r="AB3151" s="1"/>
      <c r="AC3151" s="1"/>
      <c r="AD3151" s="1"/>
      <c r="AE3151" s="1"/>
      <c r="AF3151" s="1"/>
      <c r="AG3151" s="1"/>
      <c r="AH3151" s="1"/>
      <c r="AI3151" s="1"/>
      <c r="AJ3151" s="1"/>
      <c r="AK3151" s="1"/>
      <c r="AL3151" s="1"/>
      <c r="AM3151" s="1"/>
    </row>
    <row r="3152" spans="16:39" x14ac:dyDescent="0.25">
      <c r="P3152" s="49"/>
      <c r="Q3152" s="1"/>
      <c r="S3152" s="1"/>
      <c r="T3152" s="1"/>
      <c r="U3152" s="1"/>
      <c r="V3152" s="1"/>
      <c r="W3152" s="1"/>
      <c r="X3152" s="1"/>
      <c r="Y3152" s="1"/>
      <c r="AB3152" s="1"/>
      <c r="AC3152" s="1"/>
      <c r="AD3152" s="1"/>
      <c r="AE3152" s="1"/>
      <c r="AF3152" s="1"/>
      <c r="AG3152" s="1"/>
      <c r="AH3152" s="1"/>
      <c r="AI3152" s="1"/>
      <c r="AJ3152" s="1"/>
      <c r="AK3152" s="1"/>
      <c r="AL3152" s="1"/>
      <c r="AM3152" s="1"/>
    </row>
    <row r="3153" spans="16:39" x14ac:dyDescent="0.25">
      <c r="P3153" s="49"/>
      <c r="Q3153" s="1"/>
      <c r="S3153" s="1"/>
      <c r="T3153" s="1"/>
      <c r="U3153" s="1"/>
      <c r="V3153" s="1"/>
      <c r="W3153" s="1"/>
      <c r="X3153" s="1"/>
      <c r="Y3153" s="1"/>
      <c r="AB3153" s="1"/>
      <c r="AC3153" s="1"/>
      <c r="AD3153" s="1"/>
      <c r="AE3153" s="1"/>
      <c r="AF3153" s="1"/>
      <c r="AG3153" s="1"/>
      <c r="AH3153" s="1"/>
      <c r="AI3153" s="1"/>
      <c r="AJ3153" s="1"/>
      <c r="AK3153" s="1"/>
      <c r="AL3153" s="1"/>
      <c r="AM3153" s="1"/>
    </row>
    <row r="3154" spans="16:39" x14ac:dyDescent="0.25">
      <c r="P3154" s="49"/>
      <c r="Q3154" s="1"/>
      <c r="S3154" s="1"/>
      <c r="T3154" s="1"/>
      <c r="U3154" s="1"/>
      <c r="V3154" s="1"/>
      <c r="W3154" s="1"/>
      <c r="X3154" s="1"/>
      <c r="Y3154" s="1"/>
      <c r="AB3154" s="1"/>
      <c r="AC3154" s="1"/>
      <c r="AD3154" s="1"/>
      <c r="AE3154" s="1"/>
      <c r="AF3154" s="1"/>
      <c r="AG3154" s="1"/>
      <c r="AH3154" s="1"/>
      <c r="AI3154" s="1"/>
      <c r="AJ3154" s="1"/>
      <c r="AK3154" s="1"/>
      <c r="AL3154" s="1"/>
      <c r="AM3154" s="1"/>
    </row>
    <row r="3155" spans="16:39" x14ac:dyDescent="0.25">
      <c r="P3155" s="49"/>
      <c r="Q3155" s="1"/>
      <c r="S3155" s="1"/>
      <c r="T3155" s="1"/>
      <c r="U3155" s="1"/>
      <c r="V3155" s="1"/>
      <c r="W3155" s="1"/>
      <c r="X3155" s="1"/>
      <c r="Y3155" s="1"/>
      <c r="AB3155" s="1"/>
      <c r="AC3155" s="1"/>
      <c r="AD3155" s="1"/>
      <c r="AE3155" s="1"/>
      <c r="AF3155" s="1"/>
      <c r="AG3155" s="1"/>
      <c r="AH3155" s="1"/>
      <c r="AI3155" s="1"/>
      <c r="AJ3155" s="1"/>
      <c r="AK3155" s="1"/>
      <c r="AL3155" s="1"/>
      <c r="AM3155" s="1"/>
    </row>
    <row r="3156" spans="16:39" x14ac:dyDescent="0.25">
      <c r="P3156" s="49"/>
      <c r="Q3156" s="1"/>
      <c r="S3156" s="1"/>
      <c r="T3156" s="1"/>
      <c r="U3156" s="1"/>
      <c r="V3156" s="1"/>
      <c r="W3156" s="1"/>
      <c r="X3156" s="1"/>
      <c r="Y3156" s="1"/>
      <c r="AB3156" s="1"/>
      <c r="AC3156" s="1"/>
      <c r="AD3156" s="1"/>
      <c r="AE3156" s="1"/>
      <c r="AF3156" s="1"/>
      <c r="AG3156" s="1"/>
      <c r="AH3156" s="1"/>
      <c r="AI3156" s="1"/>
      <c r="AJ3156" s="1"/>
      <c r="AK3156" s="1"/>
      <c r="AL3156" s="1"/>
      <c r="AM3156" s="1"/>
    </row>
    <row r="3157" spans="16:39" x14ac:dyDescent="0.25">
      <c r="P3157" s="49"/>
      <c r="Q3157" s="1"/>
      <c r="S3157" s="1"/>
      <c r="T3157" s="1"/>
      <c r="U3157" s="1"/>
      <c r="V3157" s="1"/>
      <c r="W3157" s="1"/>
      <c r="X3157" s="1"/>
      <c r="Y3157" s="1"/>
      <c r="AB3157" s="1"/>
      <c r="AC3157" s="1"/>
      <c r="AD3157" s="1"/>
      <c r="AE3157" s="1"/>
      <c r="AF3157" s="1"/>
      <c r="AG3157" s="1"/>
      <c r="AH3157" s="1"/>
      <c r="AI3157" s="1"/>
      <c r="AJ3157" s="1"/>
      <c r="AK3157" s="1"/>
      <c r="AL3157" s="1"/>
      <c r="AM3157" s="1"/>
    </row>
    <row r="3158" spans="16:39" x14ac:dyDescent="0.25">
      <c r="P3158" s="49"/>
      <c r="Q3158" s="1"/>
      <c r="S3158" s="1"/>
      <c r="T3158" s="1"/>
      <c r="U3158" s="1"/>
      <c r="V3158" s="1"/>
      <c r="W3158" s="1"/>
      <c r="X3158" s="1"/>
      <c r="Y3158" s="1"/>
      <c r="AB3158" s="1"/>
      <c r="AC3158" s="1"/>
      <c r="AD3158" s="1"/>
      <c r="AE3158" s="1"/>
      <c r="AF3158" s="1"/>
      <c r="AG3158" s="1"/>
      <c r="AH3158" s="1"/>
      <c r="AI3158" s="1"/>
      <c r="AJ3158" s="1"/>
      <c r="AK3158" s="1"/>
      <c r="AL3158" s="1"/>
      <c r="AM3158" s="1"/>
    </row>
    <row r="3159" spans="16:39" x14ac:dyDescent="0.25">
      <c r="P3159" s="49"/>
      <c r="Q3159" s="1"/>
      <c r="S3159" s="1"/>
      <c r="T3159" s="1"/>
      <c r="U3159" s="1"/>
      <c r="V3159" s="1"/>
      <c r="W3159" s="1"/>
      <c r="X3159" s="1"/>
      <c r="Y3159" s="1"/>
      <c r="AB3159" s="1"/>
      <c r="AC3159" s="1"/>
      <c r="AD3159" s="1"/>
      <c r="AE3159" s="1"/>
      <c r="AF3159" s="1"/>
      <c r="AG3159" s="1"/>
      <c r="AH3159" s="1"/>
      <c r="AI3159" s="1"/>
      <c r="AJ3159" s="1"/>
      <c r="AK3159" s="1"/>
      <c r="AL3159" s="1"/>
      <c r="AM3159" s="1"/>
    </row>
    <row r="3160" spans="16:39" x14ac:dyDescent="0.25">
      <c r="P3160" s="49"/>
      <c r="Q3160" s="1"/>
      <c r="S3160" s="1"/>
      <c r="T3160" s="1"/>
      <c r="U3160" s="1"/>
      <c r="V3160" s="1"/>
      <c r="W3160" s="1"/>
      <c r="X3160" s="1"/>
      <c r="Y3160" s="1"/>
      <c r="AB3160" s="1"/>
      <c r="AC3160" s="1"/>
      <c r="AD3160" s="1"/>
      <c r="AE3160" s="1"/>
      <c r="AF3160" s="1"/>
      <c r="AG3160" s="1"/>
      <c r="AH3160" s="1"/>
      <c r="AI3160" s="1"/>
      <c r="AJ3160" s="1"/>
      <c r="AK3160" s="1"/>
      <c r="AL3160" s="1"/>
      <c r="AM3160" s="1"/>
    </row>
    <row r="3161" spans="16:39" x14ac:dyDescent="0.25">
      <c r="P3161" s="49"/>
      <c r="Q3161" s="1"/>
      <c r="S3161" s="1"/>
      <c r="T3161" s="1"/>
      <c r="U3161" s="1"/>
      <c r="V3161" s="1"/>
      <c r="W3161" s="1"/>
      <c r="X3161" s="1"/>
      <c r="Y3161" s="1"/>
      <c r="AB3161" s="1"/>
      <c r="AC3161" s="1"/>
      <c r="AD3161" s="1"/>
      <c r="AE3161" s="1"/>
      <c r="AF3161" s="1"/>
      <c r="AG3161" s="1"/>
      <c r="AH3161" s="1"/>
      <c r="AI3161" s="1"/>
      <c r="AJ3161" s="1"/>
      <c r="AK3161" s="1"/>
      <c r="AL3161" s="1"/>
      <c r="AM3161" s="1"/>
    </row>
    <row r="3162" spans="16:39" x14ac:dyDescent="0.25">
      <c r="P3162" s="49"/>
      <c r="Q3162" s="1"/>
      <c r="S3162" s="1"/>
      <c r="T3162" s="1"/>
      <c r="U3162" s="1"/>
      <c r="V3162" s="1"/>
      <c r="W3162" s="1"/>
      <c r="X3162" s="1"/>
      <c r="Y3162" s="1"/>
      <c r="AB3162" s="1"/>
      <c r="AC3162" s="1"/>
      <c r="AD3162" s="1"/>
      <c r="AE3162" s="1"/>
      <c r="AF3162" s="1"/>
      <c r="AG3162" s="1"/>
      <c r="AH3162" s="1"/>
      <c r="AI3162" s="1"/>
      <c r="AJ3162" s="1"/>
      <c r="AK3162" s="1"/>
      <c r="AL3162" s="1"/>
      <c r="AM3162" s="1"/>
    </row>
    <row r="3163" spans="16:39" x14ac:dyDescent="0.25">
      <c r="P3163" s="49"/>
      <c r="Q3163" s="1"/>
      <c r="S3163" s="1"/>
      <c r="T3163" s="1"/>
      <c r="U3163" s="1"/>
      <c r="V3163" s="1"/>
      <c r="W3163" s="1"/>
      <c r="X3163" s="1"/>
      <c r="Y3163" s="1"/>
      <c r="AB3163" s="1"/>
      <c r="AC3163" s="1"/>
      <c r="AD3163" s="1"/>
      <c r="AE3163" s="1"/>
      <c r="AF3163" s="1"/>
      <c r="AG3163" s="1"/>
      <c r="AH3163" s="1"/>
      <c r="AI3163" s="1"/>
      <c r="AJ3163" s="1"/>
      <c r="AK3163" s="1"/>
      <c r="AL3163" s="1"/>
      <c r="AM3163" s="1"/>
    </row>
    <row r="3164" spans="16:39" x14ac:dyDescent="0.25">
      <c r="P3164" s="49"/>
      <c r="Q3164" s="1"/>
      <c r="S3164" s="1"/>
      <c r="T3164" s="1"/>
      <c r="U3164" s="1"/>
      <c r="V3164" s="1"/>
      <c r="W3164" s="1"/>
      <c r="X3164" s="1"/>
      <c r="Y3164" s="1"/>
      <c r="AB3164" s="1"/>
      <c r="AC3164" s="1"/>
      <c r="AD3164" s="1"/>
      <c r="AE3164" s="1"/>
      <c r="AF3164" s="1"/>
      <c r="AG3164" s="1"/>
      <c r="AH3164" s="1"/>
      <c r="AI3164" s="1"/>
      <c r="AJ3164" s="1"/>
      <c r="AK3164" s="1"/>
      <c r="AL3164" s="1"/>
      <c r="AM3164" s="1"/>
    </row>
    <row r="3165" spans="16:39" x14ac:dyDescent="0.25">
      <c r="P3165" s="49"/>
      <c r="Q3165" s="1"/>
      <c r="S3165" s="1"/>
      <c r="T3165" s="1"/>
      <c r="U3165" s="1"/>
      <c r="V3165" s="1"/>
      <c r="W3165" s="1"/>
      <c r="X3165" s="1"/>
      <c r="Y3165" s="1"/>
      <c r="AB3165" s="1"/>
      <c r="AC3165" s="1"/>
      <c r="AD3165" s="1"/>
      <c r="AE3165" s="1"/>
      <c r="AF3165" s="1"/>
      <c r="AG3165" s="1"/>
      <c r="AH3165" s="1"/>
      <c r="AI3165" s="1"/>
      <c r="AJ3165" s="1"/>
      <c r="AK3165" s="1"/>
      <c r="AL3165" s="1"/>
      <c r="AM3165" s="1"/>
    </row>
    <row r="3166" spans="16:39" x14ac:dyDescent="0.25">
      <c r="P3166" s="49"/>
      <c r="Q3166" s="1"/>
      <c r="S3166" s="1"/>
      <c r="T3166" s="1"/>
      <c r="U3166" s="1"/>
      <c r="V3166" s="1"/>
      <c r="W3166" s="1"/>
      <c r="X3166" s="1"/>
      <c r="Y3166" s="1"/>
      <c r="AB3166" s="1"/>
      <c r="AC3166" s="1"/>
      <c r="AD3166" s="1"/>
      <c r="AE3166" s="1"/>
      <c r="AF3166" s="1"/>
      <c r="AG3166" s="1"/>
      <c r="AH3166" s="1"/>
      <c r="AI3166" s="1"/>
      <c r="AJ3166" s="1"/>
      <c r="AK3166" s="1"/>
      <c r="AL3166" s="1"/>
      <c r="AM3166" s="1"/>
    </row>
    <row r="3167" spans="16:39" x14ac:dyDescent="0.25">
      <c r="P3167" s="49"/>
      <c r="Q3167" s="1"/>
      <c r="S3167" s="1"/>
      <c r="T3167" s="1"/>
      <c r="U3167" s="1"/>
      <c r="V3167" s="1"/>
      <c r="W3167" s="1"/>
      <c r="X3167" s="1"/>
      <c r="Y3167" s="1"/>
      <c r="AB3167" s="1"/>
      <c r="AC3167" s="1"/>
      <c r="AD3167" s="1"/>
      <c r="AE3167" s="1"/>
      <c r="AF3167" s="1"/>
      <c r="AG3167" s="1"/>
      <c r="AH3167" s="1"/>
      <c r="AI3167" s="1"/>
      <c r="AJ3167" s="1"/>
      <c r="AK3167" s="1"/>
      <c r="AL3167" s="1"/>
      <c r="AM3167" s="1"/>
    </row>
    <row r="3168" spans="16:39" x14ac:dyDescent="0.25">
      <c r="P3168" s="49"/>
      <c r="Q3168" s="1"/>
      <c r="S3168" s="1"/>
      <c r="T3168" s="1"/>
      <c r="U3168" s="1"/>
      <c r="V3168" s="1"/>
      <c r="W3168" s="1"/>
      <c r="X3168" s="1"/>
      <c r="Y3168" s="1"/>
      <c r="AB3168" s="1"/>
      <c r="AC3168" s="1"/>
      <c r="AD3168" s="1"/>
      <c r="AE3168" s="1"/>
      <c r="AF3168" s="1"/>
      <c r="AG3168" s="1"/>
      <c r="AH3168" s="1"/>
      <c r="AI3168" s="1"/>
      <c r="AJ3168" s="1"/>
      <c r="AK3168" s="1"/>
      <c r="AL3168" s="1"/>
      <c r="AM3168" s="1"/>
    </row>
    <row r="3169" spans="16:39" x14ac:dyDescent="0.25">
      <c r="P3169" s="49"/>
      <c r="Q3169" s="1"/>
      <c r="S3169" s="1"/>
      <c r="T3169" s="1"/>
      <c r="U3169" s="1"/>
      <c r="V3169" s="1"/>
      <c r="W3169" s="1"/>
      <c r="X3169" s="1"/>
      <c r="Y3169" s="1"/>
      <c r="AB3169" s="1"/>
      <c r="AC3169" s="1"/>
      <c r="AD3169" s="1"/>
      <c r="AE3169" s="1"/>
      <c r="AF3169" s="1"/>
      <c r="AG3169" s="1"/>
      <c r="AH3169" s="1"/>
      <c r="AI3169" s="1"/>
      <c r="AJ3169" s="1"/>
      <c r="AK3169" s="1"/>
      <c r="AL3169" s="1"/>
      <c r="AM3169" s="1"/>
    </row>
    <row r="3170" spans="16:39" x14ac:dyDescent="0.25">
      <c r="P3170" s="49"/>
      <c r="Q3170" s="1"/>
      <c r="S3170" s="1"/>
      <c r="T3170" s="1"/>
      <c r="U3170" s="1"/>
      <c r="V3170" s="1"/>
      <c r="W3170" s="1"/>
      <c r="X3170" s="1"/>
      <c r="Y3170" s="1"/>
      <c r="AB3170" s="1"/>
      <c r="AC3170" s="1"/>
      <c r="AD3170" s="1"/>
      <c r="AE3170" s="1"/>
      <c r="AF3170" s="1"/>
      <c r="AG3170" s="1"/>
      <c r="AH3170" s="1"/>
      <c r="AI3170" s="1"/>
      <c r="AJ3170" s="1"/>
      <c r="AK3170" s="1"/>
      <c r="AL3170" s="1"/>
      <c r="AM3170" s="1"/>
    </row>
    <row r="3171" spans="16:39" x14ac:dyDescent="0.25">
      <c r="P3171" s="49"/>
      <c r="Q3171" s="1"/>
      <c r="S3171" s="1"/>
      <c r="T3171" s="1"/>
      <c r="U3171" s="1"/>
      <c r="V3171" s="1"/>
      <c r="W3171" s="1"/>
      <c r="X3171" s="1"/>
      <c r="Y3171" s="1"/>
      <c r="AB3171" s="1"/>
      <c r="AC3171" s="1"/>
      <c r="AD3171" s="1"/>
      <c r="AE3171" s="1"/>
      <c r="AF3171" s="1"/>
      <c r="AG3171" s="1"/>
      <c r="AH3171" s="1"/>
      <c r="AI3171" s="1"/>
      <c r="AJ3171" s="1"/>
      <c r="AK3171" s="1"/>
      <c r="AL3171" s="1"/>
      <c r="AM3171" s="1"/>
    </row>
    <row r="3172" spans="16:39" x14ac:dyDescent="0.25">
      <c r="P3172" s="49"/>
      <c r="Q3172" s="1"/>
      <c r="S3172" s="1"/>
      <c r="T3172" s="1"/>
      <c r="U3172" s="1"/>
      <c r="V3172" s="1"/>
      <c r="W3172" s="1"/>
      <c r="X3172" s="1"/>
      <c r="Y3172" s="1"/>
      <c r="AB3172" s="1"/>
      <c r="AC3172" s="1"/>
      <c r="AD3172" s="1"/>
      <c r="AE3172" s="1"/>
      <c r="AF3172" s="1"/>
      <c r="AG3172" s="1"/>
      <c r="AH3172" s="1"/>
      <c r="AI3172" s="1"/>
      <c r="AJ3172" s="1"/>
      <c r="AK3172" s="1"/>
      <c r="AL3172" s="1"/>
      <c r="AM3172" s="1"/>
    </row>
    <row r="3173" spans="16:39" x14ac:dyDescent="0.25">
      <c r="P3173" s="49"/>
      <c r="Q3173" s="1"/>
      <c r="S3173" s="1"/>
      <c r="T3173" s="1"/>
      <c r="U3173" s="1"/>
      <c r="V3173" s="1"/>
      <c r="W3173" s="1"/>
      <c r="X3173" s="1"/>
      <c r="Y3173" s="1"/>
      <c r="AB3173" s="1"/>
      <c r="AC3173" s="1"/>
      <c r="AD3173" s="1"/>
      <c r="AE3173" s="1"/>
      <c r="AF3173" s="1"/>
      <c r="AG3173" s="1"/>
      <c r="AH3173" s="1"/>
      <c r="AI3173" s="1"/>
      <c r="AJ3173" s="1"/>
      <c r="AK3173" s="1"/>
      <c r="AL3173" s="1"/>
      <c r="AM3173" s="1"/>
    </row>
    <row r="3174" spans="16:39" x14ac:dyDescent="0.25">
      <c r="P3174" s="49"/>
      <c r="Q3174" s="1"/>
      <c r="S3174" s="1"/>
      <c r="T3174" s="1"/>
      <c r="U3174" s="1"/>
      <c r="V3174" s="1"/>
      <c r="W3174" s="1"/>
      <c r="X3174" s="1"/>
      <c r="Y3174" s="1"/>
      <c r="AB3174" s="1"/>
      <c r="AC3174" s="1"/>
      <c r="AD3174" s="1"/>
      <c r="AE3174" s="1"/>
      <c r="AF3174" s="1"/>
      <c r="AG3174" s="1"/>
      <c r="AH3174" s="1"/>
      <c r="AI3174" s="1"/>
      <c r="AJ3174" s="1"/>
      <c r="AK3174" s="1"/>
      <c r="AL3174" s="1"/>
      <c r="AM3174" s="1"/>
    </row>
    <row r="3175" spans="16:39" x14ac:dyDescent="0.25">
      <c r="P3175" s="49"/>
      <c r="Q3175" s="1"/>
      <c r="S3175" s="1"/>
      <c r="T3175" s="1"/>
      <c r="U3175" s="1"/>
      <c r="V3175" s="1"/>
      <c r="W3175" s="1"/>
      <c r="X3175" s="1"/>
      <c r="Y3175" s="1"/>
      <c r="AB3175" s="1"/>
      <c r="AC3175" s="1"/>
      <c r="AD3175" s="1"/>
      <c r="AE3175" s="1"/>
      <c r="AF3175" s="1"/>
      <c r="AG3175" s="1"/>
      <c r="AH3175" s="1"/>
      <c r="AI3175" s="1"/>
      <c r="AJ3175" s="1"/>
      <c r="AK3175" s="1"/>
      <c r="AL3175" s="1"/>
      <c r="AM3175" s="1"/>
    </row>
    <row r="3176" spans="16:39" x14ac:dyDescent="0.25">
      <c r="P3176" s="49"/>
      <c r="Q3176" s="1"/>
      <c r="S3176" s="1"/>
      <c r="T3176" s="1"/>
      <c r="U3176" s="1"/>
      <c r="V3176" s="1"/>
      <c r="W3176" s="1"/>
      <c r="X3176" s="1"/>
      <c r="Y3176" s="1"/>
      <c r="AB3176" s="1"/>
      <c r="AC3176" s="1"/>
      <c r="AD3176" s="1"/>
      <c r="AE3176" s="1"/>
      <c r="AF3176" s="1"/>
      <c r="AG3176" s="1"/>
      <c r="AH3176" s="1"/>
      <c r="AI3176" s="1"/>
      <c r="AJ3176" s="1"/>
      <c r="AK3176" s="1"/>
      <c r="AL3176" s="1"/>
      <c r="AM3176" s="1"/>
    </row>
    <row r="3177" spans="16:39" x14ac:dyDescent="0.25">
      <c r="P3177" s="49"/>
      <c r="Q3177" s="1"/>
      <c r="S3177" s="1"/>
      <c r="T3177" s="1"/>
      <c r="U3177" s="1"/>
      <c r="V3177" s="1"/>
      <c r="W3177" s="1"/>
      <c r="X3177" s="1"/>
      <c r="Y3177" s="1"/>
      <c r="AB3177" s="1"/>
      <c r="AC3177" s="1"/>
      <c r="AD3177" s="1"/>
      <c r="AE3177" s="1"/>
      <c r="AF3177" s="1"/>
      <c r="AG3177" s="1"/>
      <c r="AH3177" s="1"/>
      <c r="AI3177" s="1"/>
      <c r="AJ3177" s="1"/>
      <c r="AK3177" s="1"/>
      <c r="AL3177" s="1"/>
      <c r="AM3177" s="1"/>
    </row>
    <row r="3178" spans="16:39" x14ac:dyDescent="0.25">
      <c r="P3178" s="49"/>
      <c r="Q3178" s="1"/>
      <c r="S3178" s="1"/>
      <c r="T3178" s="1"/>
      <c r="U3178" s="1"/>
      <c r="V3178" s="1"/>
      <c r="W3178" s="1"/>
      <c r="X3178" s="1"/>
      <c r="Y3178" s="1"/>
      <c r="AB3178" s="1"/>
      <c r="AC3178" s="1"/>
      <c r="AD3178" s="1"/>
      <c r="AE3178" s="1"/>
      <c r="AF3178" s="1"/>
      <c r="AG3178" s="1"/>
      <c r="AH3178" s="1"/>
      <c r="AI3178" s="1"/>
      <c r="AJ3178" s="1"/>
      <c r="AK3178" s="1"/>
      <c r="AL3178" s="1"/>
      <c r="AM3178" s="1"/>
    </row>
    <row r="3179" spans="16:39" x14ac:dyDescent="0.25">
      <c r="P3179" s="49"/>
      <c r="Q3179" s="1"/>
      <c r="S3179" s="1"/>
      <c r="T3179" s="1"/>
      <c r="U3179" s="1"/>
      <c r="V3179" s="1"/>
      <c r="W3179" s="1"/>
      <c r="X3179" s="1"/>
      <c r="Y3179" s="1"/>
      <c r="AB3179" s="1"/>
      <c r="AC3179" s="1"/>
      <c r="AD3179" s="1"/>
      <c r="AE3179" s="1"/>
      <c r="AF3179" s="1"/>
      <c r="AG3179" s="1"/>
      <c r="AH3179" s="1"/>
      <c r="AI3179" s="1"/>
      <c r="AJ3179" s="1"/>
      <c r="AK3179" s="1"/>
      <c r="AL3179" s="1"/>
      <c r="AM3179" s="1"/>
    </row>
    <row r="3180" spans="16:39" x14ac:dyDescent="0.25">
      <c r="P3180" s="49"/>
      <c r="Q3180" s="1"/>
      <c r="S3180" s="1"/>
      <c r="T3180" s="1"/>
      <c r="U3180" s="1"/>
      <c r="V3180" s="1"/>
      <c r="W3180" s="1"/>
      <c r="X3180" s="1"/>
      <c r="Y3180" s="1"/>
      <c r="AB3180" s="1"/>
      <c r="AC3180" s="1"/>
      <c r="AD3180" s="1"/>
      <c r="AE3180" s="1"/>
      <c r="AF3180" s="1"/>
      <c r="AG3180" s="1"/>
      <c r="AH3180" s="1"/>
      <c r="AI3180" s="1"/>
      <c r="AJ3180" s="1"/>
      <c r="AK3180" s="1"/>
      <c r="AL3180" s="1"/>
      <c r="AM3180" s="1"/>
    </row>
    <row r="3181" spans="16:39" x14ac:dyDescent="0.25">
      <c r="P3181" s="49"/>
      <c r="Q3181" s="1"/>
      <c r="S3181" s="1"/>
      <c r="T3181" s="1"/>
      <c r="U3181" s="1"/>
      <c r="V3181" s="1"/>
      <c r="W3181" s="1"/>
      <c r="X3181" s="1"/>
      <c r="Y3181" s="1"/>
      <c r="AB3181" s="1"/>
      <c r="AC3181" s="1"/>
      <c r="AD3181" s="1"/>
      <c r="AE3181" s="1"/>
      <c r="AF3181" s="1"/>
      <c r="AG3181" s="1"/>
      <c r="AH3181" s="1"/>
      <c r="AI3181" s="1"/>
      <c r="AJ3181" s="1"/>
      <c r="AK3181" s="1"/>
      <c r="AL3181" s="1"/>
      <c r="AM3181" s="1"/>
    </row>
    <row r="3182" spans="16:39" x14ac:dyDescent="0.25">
      <c r="P3182" s="49"/>
      <c r="Q3182" s="1"/>
      <c r="S3182" s="1"/>
      <c r="T3182" s="1"/>
      <c r="U3182" s="1"/>
      <c r="V3182" s="1"/>
      <c r="W3182" s="1"/>
      <c r="X3182" s="1"/>
      <c r="Y3182" s="1"/>
      <c r="AB3182" s="1"/>
      <c r="AC3182" s="1"/>
      <c r="AD3182" s="1"/>
      <c r="AE3182" s="1"/>
      <c r="AF3182" s="1"/>
      <c r="AG3182" s="1"/>
      <c r="AH3182" s="1"/>
      <c r="AI3182" s="1"/>
      <c r="AJ3182" s="1"/>
      <c r="AK3182" s="1"/>
      <c r="AL3182" s="1"/>
      <c r="AM3182" s="1"/>
    </row>
    <row r="3183" spans="16:39" x14ac:dyDescent="0.25">
      <c r="P3183" s="49"/>
      <c r="Q3183" s="1"/>
      <c r="S3183" s="1"/>
      <c r="T3183" s="1"/>
      <c r="U3183" s="1"/>
      <c r="V3183" s="1"/>
      <c r="W3183" s="1"/>
      <c r="X3183" s="1"/>
      <c r="Y3183" s="1"/>
      <c r="AB3183" s="1"/>
      <c r="AC3183" s="1"/>
      <c r="AD3183" s="1"/>
      <c r="AE3183" s="1"/>
      <c r="AF3183" s="1"/>
      <c r="AG3183" s="1"/>
      <c r="AH3183" s="1"/>
      <c r="AI3183" s="1"/>
      <c r="AJ3183" s="1"/>
      <c r="AK3183" s="1"/>
      <c r="AL3183" s="1"/>
      <c r="AM3183" s="1"/>
    </row>
    <row r="3184" spans="16:39" x14ac:dyDescent="0.25">
      <c r="P3184" s="49"/>
      <c r="Q3184" s="1"/>
      <c r="S3184" s="1"/>
      <c r="T3184" s="1"/>
      <c r="U3184" s="1"/>
      <c r="V3184" s="1"/>
      <c r="W3184" s="1"/>
      <c r="X3184" s="1"/>
      <c r="Y3184" s="1"/>
      <c r="AB3184" s="1"/>
      <c r="AC3184" s="1"/>
      <c r="AD3184" s="1"/>
      <c r="AE3184" s="1"/>
      <c r="AF3184" s="1"/>
      <c r="AG3184" s="1"/>
      <c r="AH3184" s="1"/>
      <c r="AI3184" s="1"/>
      <c r="AJ3184" s="1"/>
      <c r="AK3184" s="1"/>
      <c r="AL3184" s="1"/>
      <c r="AM3184" s="1"/>
    </row>
    <row r="3185" spans="16:39" x14ac:dyDescent="0.25">
      <c r="P3185" s="49"/>
      <c r="Q3185" s="1"/>
      <c r="S3185" s="1"/>
      <c r="T3185" s="1"/>
      <c r="U3185" s="1"/>
      <c r="V3185" s="1"/>
      <c r="W3185" s="1"/>
      <c r="X3185" s="1"/>
      <c r="Y3185" s="1"/>
      <c r="AB3185" s="1"/>
      <c r="AC3185" s="1"/>
      <c r="AD3185" s="1"/>
      <c r="AE3185" s="1"/>
      <c r="AF3185" s="1"/>
      <c r="AG3185" s="1"/>
      <c r="AH3185" s="1"/>
      <c r="AI3185" s="1"/>
      <c r="AJ3185" s="1"/>
      <c r="AK3185" s="1"/>
      <c r="AL3185" s="1"/>
      <c r="AM3185" s="1"/>
    </row>
    <row r="3186" spans="16:39" x14ac:dyDescent="0.25">
      <c r="P3186" s="49"/>
      <c r="Q3186" s="1"/>
      <c r="S3186" s="1"/>
      <c r="T3186" s="1"/>
      <c r="U3186" s="1"/>
      <c r="V3186" s="1"/>
      <c r="W3186" s="1"/>
      <c r="X3186" s="1"/>
      <c r="Y3186" s="1"/>
      <c r="AB3186" s="1"/>
      <c r="AC3186" s="1"/>
      <c r="AD3186" s="1"/>
      <c r="AE3186" s="1"/>
      <c r="AF3186" s="1"/>
      <c r="AG3186" s="1"/>
      <c r="AH3186" s="1"/>
      <c r="AI3186" s="1"/>
      <c r="AJ3186" s="1"/>
      <c r="AK3186" s="1"/>
      <c r="AL3186" s="1"/>
      <c r="AM3186" s="1"/>
    </row>
    <row r="3187" spans="16:39" x14ac:dyDescent="0.25">
      <c r="P3187" s="49"/>
      <c r="Q3187" s="1"/>
      <c r="S3187" s="1"/>
      <c r="T3187" s="1"/>
      <c r="U3187" s="1"/>
      <c r="V3187" s="1"/>
      <c r="W3187" s="1"/>
      <c r="X3187" s="1"/>
      <c r="Y3187" s="1"/>
      <c r="AB3187" s="1"/>
      <c r="AC3187" s="1"/>
      <c r="AD3187" s="1"/>
      <c r="AE3187" s="1"/>
      <c r="AF3187" s="1"/>
      <c r="AG3187" s="1"/>
      <c r="AH3187" s="1"/>
      <c r="AI3187" s="1"/>
      <c r="AJ3187" s="1"/>
      <c r="AK3187" s="1"/>
      <c r="AL3187" s="1"/>
      <c r="AM3187" s="1"/>
    </row>
    <row r="3188" spans="16:39" x14ac:dyDescent="0.25">
      <c r="P3188" s="49"/>
      <c r="Q3188" s="1"/>
      <c r="S3188" s="1"/>
      <c r="T3188" s="1"/>
      <c r="U3188" s="1"/>
      <c r="V3188" s="1"/>
      <c r="W3188" s="1"/>
      <c r="X3188" s="1"/>
      <c r="Y3188" s="1"/>
      <c r="AB3188" s="1"/>
      <c r="AC3188" s="1"/>
      <c r="AD3188" s="1"/>
      <c r="AE3188" s="1"/>
      <c r="AF3188" s="1"/>
      <c r="AG3188" s="1"/>
      <c r="AH3188" s="1"/>
      <c r="AI3188" s="1"/>
      <c r="AJ3188" s="1"/>
      <c r="AK3188" s="1"/>
      <c r="AL3188" s="1"/>
      <c r="AM3188" s="1"/>
    </row>
    <row r="3189" spans="16:39" x14ac:dyDescent="0.25">
      <c r="P3189" s="49"/>
      <c r="Q3189" s="1"/>
      <c r="S3189" s="1"/>
      <c r="T3189" s="1"/>
      <c r="U3189" s="1"/>
      <c r="V3189" s="1"/>
      <c r="W3189" s="1"/>
      <c r="X3189" s="1"/>
      <c r="Y3189" s="1"/>
      <c r="AB3189" s="1"/>
      <c r="AC3189" s="1"/>
      <c r="AD3189" s="1"/>
      <c r="AE3189" s="1"/>
      <c r="AF3189" s="1"/>
      <c r="AG3189" s="1"/>
      <c r="AH3189" s="1"/>
      <c r="AI3189" s="1"/>
      <c r="AJ3189" s="1"/>
      <c r="AK3189" s="1"/>
      <c r="AL3189" s="1"/>
      <c r="AM3189" s="1"/>
    </row>
    <row r="3190" spans="16:39" x14ac:dyDescent="0.25">
      <c r="P3190" s="49"/>
      <c r="Q3190" s="1"/>
      <c r="S3190" s="1"/>
      <c r="T3190" s="1"/>
      <c r="U3190" s="1"/>
      <c r="V3190" s="1"/>
      <c r="W3190" s="1"/>
      <c r="X3190" s="1"/>
      <c r="Y3190" s="1"/>
      <c r="AB3190" s="1"/>
      <c r="AC3190" s="1"/>
      <c r="AD3190" s="1"/>
      <c r="AE3190" s="1"/>
      <c r="AF3190" s="1"/>
      <c r="AG3190" s="1"/>
      <c r="AH3190" s="1"/>
      <c r="AI3190" s="1"/>
      <c r="AJ3190" s="1"/>
      <c r="AK3190" s="1"/>
      <c r="AL3190" s="1"/>
      <c r="AM3190" s="1"/>
    </row>
    <row r="3191" spans="16:39" x14ac:dyDescent="0.25">
      <c r="P3191" s="49"/>
      <c r="Q3191" s="1"/>
      <c r="S3191" s="1"/>
      <c r="T3191" s="1"/>
      <c r="U3191" s="1"/>
      <c r="V3191" s="1"/>
      <c r="W3191" s="1"/>
      <c r="X3191" s="1"/>
      <c r="Y3191" s="1"/>
      <c r="AB3191" s="1"/>
      <c r="AC3191" s="1"/>
      <c r="AD3191" s="1"/>
      <c r="AE3191" s="1"/>
      <c r="AF3191" s="1"/>
      <c r="AG3191" s="1"/>
      <c r="AH3191" s="1"/>
      <c r="AI3191" s="1"/>
      <c r="AJ3191" s="1"/>
      <c r="AK3191" s="1"/>
      <c r="AL3191" s="1"/>
      <c r="AM3191" s="1"/>
    </row>
    <row r="3192" spans="16:39" x14ac:dyDescent="0.25">
      <c r="P3192" s="49"/>
      <c r="Q3192" s="1"/>
      <c r="S3192" s="1"/>
      <c r="T3192" s="1"/>
      <c r="U3192" s="1"/>
      <c r="V3192" s="1"/>
      <c r="W3192" s="1"/>
      <c r="X3192" s="1"/>
      <c r="Y3192" s="1"/>
      <c r="AB3192" s="1"/>
      <c r="AC3192" s="1"/>
      <c r="AD3192" s="1"/>
      <c r="AE3192" s="1"/>
      <c r="AF3192" s="1"/>
      <c r="AG3192" s="1"/>
      <c r="AH3192" s="1"/>
      <c r="AI3192" s="1"/>
      <c r="AJ3192" s="1"/>
      <c r="AK3192" s="1"/>
      <c r="AL3192" s="1"/>
      <c r="AM3192" s="1"/>
    </row>
    <row r="3193" spans="16:39" x14ac:dyDescent="0.25">
      <c r="P3193" s="49"/>
      <c r="Q3193" s="1"/>
      <c r="S3193" s="1"/>
      <c r="T3193" s="1"/>
      <c r="U3193" s="1"/>
      <c r="V3193" s="1"/>
      <c r="W3193" s="1"/>
      <c r="X3193" s="1"/>
      <c r="Y3193" s="1"/>
      <c r="AB3193" s="1"/>
      <c r="AC3193" s="1"/>
      <c r="AD3193" s="1"/>
      <c r="AE3193" s="1"/>
      <c r="AF3193" s="1"/>
      <c r="AG3193" s="1"/>
      <c r="AH3193" s="1"/>
      <c r="AI3193" s="1"/>
      <c r="AJ3193" s="1"/>
      <c r="AK3193" s="1"/>
      <c r="AL3193" s="1"/>
      <c r="AM3193" s="1"/>
    </row>
    <row r="3194" spans="16:39" x14ac:dyDescent="0.25">
      <c r="P3194" s="49"/>
      <c r="Q3194" s="1"/>
      <c r="S3194" s="1"/>
      <c r="T3194" s="1"/>
      <c r="U3194" s="1"/>
      <c r="V3194" s="1"/>
      <c r="W3194" s="1"/>
      <c r="X3194" s="1"/>
      <c r="Y3194" s="1"/>
      <c r="AB3194" s="1"/>
      <c r="AC3194" s="1"/>
      <c r="AD3194" s="1"/>
      <c r="AE3194" s="1"/>
      <c r="AF3194" s="1"/>
      <c r="AG3194" s="1"/>
      <c r="AH3194" s="1"/>
      <c r="AI3194" s="1"/>
      <c r="AJ3194" s="1"/>
      <c r="AK3194" s="1"/>
      <c r="AL3194" s="1"/>
      <c r="AM3194" s="1"/>
    </row>
    <row r="3195" spans="16:39" x14ac:dyDescent="0.25">
      <c r="P3195" s="49"/>
      <c r="Q3195" s="1"/>
      <c r="S3195" s="1"/>
      <c r="T3195" s="1"/>
      <c r="U3195" s="1"/>
      <c r="V3195" s="1"/>
      <c r="W3195" s="1"/>
      <c r="X3195" s="1"/>
      <c r="Y3195" s="1"/>
      <c r="AB3195" s="1"/>
      <c r="AC3195" s="1"/>
      <c r="AD3195" s="1"/>
      <c r="AE3195" s="1"/>
      <c r="AF3195" s="1"/>
      <c r="AG3195" s="1"/>
      <c r="AH3195" s="1"/>
      <c r="AI3195" s="1"/>
      <c r="AJ3195" s="1"/>
      <c r="AK3195" s="1"/>
      <c r="AL3195" s="1"/>
      <c r="AM3195" s="1"/>
    </row>
    <row r="3196" spans="16:39" x14ac:dyDescent="0.25">
      <c r="P3196" s="49"/>
      <c r="Q3196" s="1"/>
      <c r="S3196" s="1"/>
      <c r="T3196" s="1"/>
      <c r="U3196" s="1"/>
      <c r="V3196" s="1"/>
      <c r="W3196" s="1"/>
      <c r="X3196" s="1"/>
      <c r="Y3196" s="1"/>
      <c r="AB3196" s="1"/>
      <c r="AC3196" s="1"/>
      <c r="AD3196" s="1"/>
      <c r="AE3196" s="1"/>
      <c r="AF3196" s="1"/>
      <c r="AG3196" s="1"/>
      <c r="AH3196" s="1"/>
      <c r="AI3196" s="1"/>
      <c r="AJ3196" s="1"/>
      <c r="AK3196" s="1"/>
      <c r="AL3196" s="1"/>
      <c r="AM3196" s="1"/>
    </row>
    <row r="3197" spans="16:39" x14ac:dyDescent="0.25">
      <c r="P3197" s="49"/>
      <c r="Q3197" s="1"/>
      <c r="S3197" s="1"/>
      <c r="T3197" s="1"/>
      <c r="U3197" s="1"/>
      <c r="V3197" s="1"/>
      <c r="W3197" s="1"/>
      <c r="X3197" s="1"/>
      <c r="Y3197" s="1"/>
      <c r="AB3197" s="1"/>
      <c r="AC3197" s="1"/>
      <c r="AD3197" s="1"/>
      <c r="AE3197" s="1"/>
      <c r="AF3197" s="1"/>
      <c r="AG3197" s="1"/>
      <c r="AH3197" s="1"/>
      <c r="AI3197" s="1"/>
      <c r="AJ3197" s="1"/>
      <c r="AK3197" s="1"/>
      <c r="AL3197" s="1"/>
      <c r="AM3197" s="1"/>
    </row>
    <row r="3198" spans="16:39" x14ac:dyDescent="0.25">
      <c r="P3198" s="49"/>
      <c r="Q3198" s="1"/>
      <c r="S3198" s="1"/>
      <c r="T3198" s="1"/>
      <c r="U3198" s="1"/>
      <c r="V3198" s="1"/>
      <c r="W3198" s="1"/>
      <c r="X3198" s="1"/>
      <c r="Y3198" s="1"/>
      <c r="AB3198" s="1"/>
      <c r="AC3198" s="1"/>
      <c r="AD3198" s="1"/>
      <c r="AE3198" s="1"/>
      <c r="AF3198" s="1"/>
      <c r="AG3198" s="1"/>
      <c r="AH3198" s="1"/>
      <c r="AI3198" s="1"/>
      <c r="AJ3198" s="1"/>
      <c r="AK3198" s="1"/>
      <c r="AL3198" s="1"/>
      <c r="AM3198" s="1"/>
    </row>
    <row r="3199" spans="16:39" x14ac:dyDescent="0.25">
      <c r="P3199" s="49"/>
      <c r="Q3199" s="1"/>
      <c r="S3199" s="1"/>
      <c r="T3199" s="1"/>
      <c r="U3199" s="1"/>
      <c r="V3199" s="1"/>
      <c r="W3199" s="1"/>
      <c r="X3199" s="1"/>
      <c r="Y3199" s="1"/>
      <c r="AB3199" s="1"/>
      <c r="AC3199" s="1"/>
      <c r="AD3199" s="1"/>
      <c r="AE3199" s="1"/>
      <c r="AF3199" s="1"/>
      <c r="AG3199" s="1"/>
      <c r="AH3199" s="1"/>
      <c r="AI3199" s="1"/>
      <c r="AJ3199" s="1"/>
      <c r="AK3199" s="1"/>
      <c r="AL3199" s="1"/>
      <c r="AM3199" s="1"/>
    </row>
    <row r="3200" spans="16:39" x14ac:dyDescent="0.25">
      <c r="P3200" s="49"/>
      <c r="Q3200" s="1"/>
      <c r="S3200" s="1"/>
      <c r="T3200" s="1"/>
      <c r="U3200" s="1"/>
      <c r="V3200" s="1"/>
      <c r="W3200" s="1"/>
      <c r="X3200" s="1"/>
      <c r="Y3200" s="1"/>
      <c r="AB3200" s="1"/>
      <c r="AC3200" s="1"/>
      <c r="AD3200" s="1"/>
      <c r="AE3200" s="1"/>
      <c r="AF3200" s="1"/>
      <c r="AG3200" s="1"/>
      <c r="AH3200" s="1"/>
      <c r="AI3200" s="1"/>
      <c r="AJ3200" s="1"/>
      <c r="AK3200" s="1"/>
      <c r="AL3200" s="1"/>
      <c r="AM3200" s="1"/>
    </row>
    <row r="3201" spans="16:39" x14ac:dyDescent="0.25">
      <c r="P3201" s="49"/>
      <c r="Q3201" s="1"/>
      <c r="S3201" s="1"/>
      <c r="T3201" s="1"/>
      <c r="U3201" s="1"/>
      <c r="V3201" s="1"/>
      <c r="W3201" s="1"/>
      <c r="X3201" s="1"/>
      <c r="Y3201" s="1"/>
      <c r="AB3201" s="1"/>
      <c r="AC3201" s="1"/>
      <c r="AD3201" s="1"/>
      <c r="AE3201" s="1"/>
      <c r="AF3201" s="1"/>
      <c r="AG3201" s="1"/>
      <c r="AH3201" s="1"/>
      <c r="AI3201" s="1"/>
      <c r="AJ3201" s="1"/>
      <c r="AK3201" s="1"/>
      <c r="AL3201" s="1"/>
      <c r="AM3201" s="1"/>
    </row>
    <row r="3202" spans="16:39" x14ac:dyDescent="0.25">
      <c r="P3202" s="49"/>
      <c r="Q3202" s="1"/>
      <c r="S3202" s="1"/>
      <c r="T3202" s="1"/>
      <c r="U3202" s="1"/>
      <c r="V3202" s="1"/>
      <c r="W3202" s="1"/>
      <c r="X3202" s="1"/>
      <c r="Y3202" s="1"/>
      <c r="AB3202" s="1"/>
      <c r="AC3202" s="1"/>
      <c r="AD3202" s="1"/>
      <c r="AE3202" s="1"/>
      <c r="AF3202" s="1"/>
      <c r="AG3202" s="1"/>
      <c r="AH3202" s="1"/>
      <c r="AI3202" s="1"/>
      <c r="AJ3202" s="1"/>
      <c r="AK3202" s="1"/>
      <c r="AL3202" s="1"/>
      <c r="AM3202" s="1"/>
    </row>
    <row r="3203" spans="16:39" x14ac:dyDescent="0.25">
      <c r="P3203" s="49"/>
      <c r="Q3203" s="1"/>
      <c r="S3203" s="1"/>
      <c r="T3203" s="1"/>
      <c r="U3203" s="1"/>
      <c r="V3203" s="1"/>
      <c r="W3203" s="1"/>
      <c r="X3203" s="1"/>
      <c r="Y3203" s="1"/>
      <c r="AB3203" s="1"/>
      <c r="AC3203" s="1"/>
      <c r="AD3203" s="1"/>
      <c r="AE3203" s="1"/>
      <c r="AF3203" s="1"/>
      <c r="AG3203" s="1"/>
      <c r="AH3203" s="1"/>
      <c r="AI3203" s="1"/>
      <c r="AJ3203" s="1"/>
      <c r="AK3203" s="1"/>
      <c r="AL3203" s="1"/>
      <c r="AM3203" s="1"/>
    </row>
    <row r="3204" spans="16:39" x14ac:dyDescent="0.25">
      <c r="P3204" s="49"/>
      <c r="Q3204" s="1"/>
      <c r="S3204" s="1"/>
      <c r="T3204" s="1"/>
      <c r="U3204" s="1"/>
      <c r="V3204" s="1"/>
      <c r="W3204" s="1"/>
      <c r="X3204" s="1"/>
      <c r="Y3204" s="1"/>
      <c r="AB3204" s="1"/>
      <c r="AC3204" s="1"/>
      <c r="AD3204" s="1"/>
      <c r="AE3204" s="1"/>
      <c r="AF3204" s="1"/>
      <c r="AG3204" s="1"/>
      <c r="AH3204" s="1"/>
      <c r="AI3204" s="1"/>
      <c r="AJ3204" s="1"/>
      <c r="AK3204" s="1"/>
      <c r="AL3204" s="1"/>
      <c r="AM3204" s="1"/>
    </row>
    <row r="3205" spans="16:39" x14ac:dyDescent="0.25">
      <c r="P3205" s="49"/>
      <c r="Q3205" s="1"/>
      <c r="S3205" s="1"/>
      <c r="T3205" s="1"/>
      <c r="U3205" s="1"/>
      <c r="V3205" s="1"/>
      <c r="W3205" s="1"/>
      <c r="X3205" s="1"/>
      <c r="Y3205" s="1"/>
      <c r="AB3205" s="1"/>
      <c r="AC3205" s="1"/>
      <c r="AD3205" s="1"/>
      <c r="AE3205" s="1"/>
      <c r="AF3205" s="1"/>
      <c r="AG3205" s="1"/>
      <c r="AH3205" s="1"/>
      <c r="AI3205" s="1"/>
      <c r="AJ3205" s="1"/>
      <c r="AK3205" s="1"/>
      <c r="AL3205" s="1"/>
      <c r="AM3205" s="1"/>
    </row>
    <row r="3206" spans="16:39" x14ac:dyDescent="0.25">
      <c r="P3206" s="49"/>
      <c r="Q3206" s="1"/>
      <c r="S3206" s="1"/>
      <c r="T3206" s="1"/>
      <c r="U3206" s="1"/>
      <c r="V3206" s="1"/>
      <c r="W3206" s="1"/>
      <c r="X3206" s="1"/>
      <c r="Y3206" s="1"/>
      <c r="AB3206" s="1"/>
      <c r="AC3206" s="1"/>
      <c r="AD3206" s="1"/>
      <c r="AE3206" s="1"/>
      <c r="AF3206" s="1"/>
      <c r="AG3206" s="1"/>
      <c r="AH3206" s="1"/>
      <c r="AI3206" s="1"/>
      <c r="AJ3206" s="1"/>
      <c r="AK3206" s="1"/>
      <c r="AL3206" s="1"/>
      <c r="AM3206" s="1"/>
    </row>
    <row r="3207" spans="16:39" x14ac:dyDescent="0.25">
      <c r="P3207" s="49"/>
      <c r="Q3207" s="1"/>
      <c r="S3207" s="1"/>
      <c r="T3207" s="1"/>
      <c r="U3207" s="1"/>
      <c r="V3207" s="1"/>
      <c r="W3207" s="1"/>
      <c r="X3207" s="1"/>
      <c r="Y3207" s="1"/>
      <c r="AB3207" s="1"/>
      <c r="AC3207" s="1"/>
      <c r="AD3207" s="1"/>
      <c r="AE3207" s="1"/>
      <c r="AF3207" s="1"/>
      <c r="AG3207" s="1"/>
      <c r="AH3207" s="1"/>
      <c r="AI3207" s="1"/>
      <c r="AJ3207" s="1"/>
      <c r="AK3207" s="1"/>
      <c r="AL3207" s="1"/>
      <c r="AM3207" s="1"/>
    </row>
    <row r="3208" spans="16:39" x14ac:dyDescent="0.25">
      <c r="P3208" s="49"/>
      <c r="Q3208" s="1"/>
      <c r="S3208" s="1"/>
      <c r="T3208" s="1"/>
      <c r="U3208" s="1"/>
      <c r="V3208" s="1"/>
      <c r="W3208" s="1"/>
      <c r="X3208" s="1"/>
      <c r="Y3208" s="1"/>
      <c r="AB3208" s="1"/>
      <c r="AC3208" s="1"/>
      <c r="AD3208" s="1"/>
      <c r="AE3208" s="1"/>
      <c r="AF3208" s="1"/>
      <c r="AG3208" s="1"/>
      <c r="AH3208" s="1"/>
      <c r="AI3208" s="1"/>
      <c r="AJ3208" s="1"/>
      <c r="AK3208" s="1"/>
      <c r="AL3208" s="1"/>
      <c r="AM3208" s="1"/>
    </row>
    <row r="3209" spans="16:39" x14ac:dyDescent="0.25">
      <c r="P3209" s="49"/>
      <c r="Q3209" s="1"/>
      <c r="S3209" s="1"/>
      <c r="T3209" s="1"/>
      <c r="U3209" s="1"/>
      <c r="V3209" s="1"/>
      <c r="W3209" s="1"/>
      <c r="X3209" s="1"/>
      <c r="Y3209" s="1"/>
      <c r="AB3209" s="1"/>
      <c r="AC3209" s="1"/>
      <c r="AD3209" s="1"/>
      <c r="AE3209" s="1"/>
      <c r="AF3209" s="1"/>
      <c r="AG3209" s="1"/>
      <c r="AH3209" s="1"/>
      <c r="AI3209" s="1"/>
      <c r="AJ3209" s="1"/>
      <c r="AK3209" s="1"/>
      <c r="AL3209" s="1"/>
      <c r="AM3209" s="1"/>
    </row>
    <row r="3210" spans="16:39" x14ac:dyDescent="0.25">
      <c r="P3210" s="49"/>
      <c r="Q3210" s="1"/>
      <c r="S3210" s="1"/>
      <c r="T3210" s="1"/>
      <c r="U3210" s="1"/>
      <c r="V3210" s="1"/>
      <c r="W3210" s="1"/>
      <c r="X3210" s="1"/>
      <c r="Y3210" s="1"/>
      <c r="AB3210" s="1"/>
      <c r="AC3210" s="1"/>
      <c r="AD3210" s="1"/>
      <c r="AE3210" s="1"/>
      <c r="AF3210" s="1"/>
      <c r="AG3210" s="1"/>
      <c r="AH3210" s="1"/>
      <c r="AI3210" s="1"/>
      <c r="AJ3210" s="1"/>
      <c r="AK3210" s="1"/>
      <c r="AL3210" s="1"/>
      <c r="AM3210" s="1"/>
    </row>
    <row r="3211" spans="16:39" x14ac:dyDescent="0.25">
      <c r="P3211" s="49"/>
      <c r="Q3211" s="1"/>
      <c r="S3211" s="1"/>
      <c r="T3211" s="1"/>
      <c r="U3211" s="1"/>
      <c r="V3211" s="1"/>
      <c r="W3211" s="1"/>
      <c r="X3211" s="1"/>
      <c r="Y3211" s="1"/>
      <c r="AB3211" s="1"/>
      <c r="AC3211" s="1"/>
      <c r="AD3211" s="1"/>
      <c r="AE3211" s="1"/>
      <c r="AF3211" s="1"/>
      <c r="AG3211" s="1"/>
      <c r="AH3211" s="1"/>
      <c r="AI3211" s="1"/>
      <c r="AJ3211" s="1"/>
      <c r="AK3211" s="1"/>
      <c r="AL3211" s="1"/>
      <c r="AM3211" s="1"/>
    </row>
    <row r="3212" spans="16:39" x14ac:dyDescent="0.25">
      <c r="P3212" s="49"/>
      <c r="Q3212" s="1"/>
      <c r="S3212" s="1"/>
      <c r="T3212" s="1"/>
      <c r="U3212" s="1"/>
      <c r="V3212" s="1"/>
      <c r="W3212" s="1"/>
      <c r="X3212" s="1"/>
      <c r="Y3212" s="1"/>
      <c r="AB3212" s="1"/>
      <c r="AC3212" s="1"/>
      <c r="AD3212" s="1"/>
      <c r="AE3212" s="1"/>
      <c r="AF3212" s="1"/>
      <c r="AG3212" s="1"/>
      <c r="AH3212" s="1"/>
      <c r="AI3212" s="1"/>
      <c r="AJ3212" s="1"/>
      <c r="AK3212" s="1"/>
      <c r="AL3212" s="1"/>
      <c r="AM3212" s="1"/>
    </row>
    <row r="3213" spans="16:39" x14ac:dyDescent="0.25">
      <c r="P3213" s="49"/>
      <c r="Q3213" s="1"/>
      <c r="S3213" s="1"/>
      <c r="T3213" s="1"/>
      <c r="U3213" s="1"/>
      <c r="V3213" s="1"/>
      <c r="W3213" s="1"/>
      <c r="X3213" s="1"/>
      <c r="Y3213" s="1"/>
      <c r="AB3213" s="1"/>
      <c r="AC3213" s="1"/>
      <c r="AD3213" s="1"/>
      <c r="AE3213" s="1"/>
      <c r="AF3213" s="1"/>
      <c r="AG3213" s="1"/>
      <c r="AH3213" s="1"/>
      <c r="AI3213" s="1"/>
      <c r="AJ3213" s="1"/>
      <c r="AK3213" s="1"/>
      <c r="AL3213" s="1"/>
      <c r="AM3213" s="1"/>
    </row>
    <row r="3214" spans="16:39" x14ac:dyDescent="0.25">
      <c r="P3214" s="49"/>
      <c r="Q3214" s="1"/>
      <c r="S3214" s="1"/>
      <c r="T3214" s="1"/>
      <c r="U3214" s="1"/>
      <c r="V3214" s="1"/>
      <c r="W3214" s="1"/>
      <c r="X3214" s="1"/>
      <c r="Y3214" s="1"/>
      <c r="AB3214" s="1"/>
      <c r="AC3214" s="1"/>
      <c r="AD3214" s="1"/>
      <c r="AE3214" s="1"/>
      <c r="AF3214" s="1"/>
      <c r="AG3214" s="1"/>
      <c r="AH3214" s="1"/>
      <c r="AI3214" s="1"/>
      <c r="AJ3214" s="1"/>
      <c r="AK3214" s="1"/>
      <c r="AL3214" s="1"/>
      <c r="AM3214" s="1"/>
    </row>
    <row r="3215" spans="16:39" x14ac:dyDescent="0.25">
      <c r="P3215" s="49"/>
      <c r="Q3215" s="1"/>
      <c r="S3215" s="1"/>
      <c r="T3215" s="1"/>
      <c r="U3215" s="1"/>
      <c r="V3215" s="1"/>
      <c r="W3215" s="1"/>
      <c r="X3215" s="1"/>
      <c r="Y3215" s="1"/>
      <c r="AB3215" s="1"/>
      <c r="AC3215" s="1"/>
      <c r="AD3215" s="1"/>
      <c r="AE3215" s="1"/>
      <c r="AF3215" s="1"/>
      <c r="AG3215" s="1"/>
      <c r="AH3215" s="1"/>
      <c r="AI3215" s="1"/>
      <c r="AJ3215" s="1"/>
      <c r="AK3215" s="1"/>
      <c r="AL3215" s="1"/>
      <c r="AM3215" s="1"/>
    </row>
    <row r="3216" spans="16:39" x14ac:dyDescent="0.25">
      <c r="P3216" s="49"/>
      <c r="Q3216" s="1"/>
      <c r="S3216" s="1"/>
      <c r="T3216" s="1"/>
      <c r="U3216" s="1"/>
      <c r="V3216" s="1"/>
      <c r="W3216" s="1"/>
      <c r="X3216" s="1"/>
      <c r="Y3216" s="1"/>
      <c r="AB3216" s="1"/>
      <c r="AC3216" s="1"/>
      <c r="AD3216" s="1"/>
      <c r="AE3216" s="1"/>
      <c r="AF3216" s="1"/>
      <c r="AG3216" s="1"/>
      <c r="AH3216" s="1"/>
      <c r="AI3216" s="1"/>
      <c r="AJ3216" s="1"/>
      <c r="AK3216" s="1"/>
      <c r="AL3216" s="1"/>
      <c r="AM3216" s="1"/>
    </row>
    <row r="3217" spans="16:39" x14ac:dyDescent="0.25">
      <c r="P3217" s="49"/>
      <c r="Q3217" s="1"/>
      <c r="S3217" s="1"/>
      <c r="T3217" s="1"/>
      <c r="U3217" s="1"/>
      <c r="V3217" s="1"/>
      <c r="W3217" s="1"/>
      <c r="X3217" s="1"/>
      <c r="Y3217" s="1"/>
      <c r="AB3217" s="1"/>
      <c r="AC3217" s="1"/>
      <c r="AD3217" s="1"/>
      <c r="AE3217" s="1"/>
      <c r="AF3217" s="1"/>
      <c r="AG3217" s="1"/>
      <c r="AH3217" s="1"/>
      <c r="AI3217" s="1"/>
      <c r="AJ3217" s="1"/>
      <c r="AK3217" s="1"/>
      <c r="AL3217" s="1"/>
      <c r="AM3217" s="1"/>
    </row>
    <row r="3218" spans="16:39" x14ac:dyDescent="0.25">
      <c r="P3218" s="49"/>
      <c r="Q3218" s="1"/>
      <c r="S3218" s="1"/>
      <c r="T3218" s="1"/>
      <c r="U3218" s="1"/>
      <c r="V3218" s="1"/>
      <c r="W3218" s="1"/>
      <c r="X3218" s="1"/>
      <c r="Y3218" s="1"/>
      <c r="AB3218" s="1"/>
      <c r="AC3218" s="1"/>
      <c r="AD3218" s="1"/>
      <c r="AE3218" s="1"/>
      <c r="AF3218" s="1"/>
      <c r="AG3218" s="1"/>
      <c r="AH3218" s="1"/>
      <c r="AI3218" s="1"/>
      <c r="AJ3218" s="1"/>
      <c r="AK3218" s="1"/>
      <c r="AL3218" s="1"/>
      <c r="AM3218" s="1"/>
    </row>
    <row r="3219" spans="16:39" x14ac:dyDescent="0.25">
      <c r="P3219" s="49"/>
      <c r="Q3219" s="1"/>
      <c r="S3219" s="1"/>
      <c r="T3219" s="1"/>
      <c r="U3219" s="1"/>
      <c r="V3219" s="1"/>
      <c r="W3219" s="1"/>
      <c r="X3219" s="1"/>
      <c r="Y3219" s="1"/>
      <c r="AB3219" s="1"/>
      <c r="AC3219" s="1"/>
      <c r="AD3219" s="1"/>
      <c r="AE3219" s="1"/>
      <c r="AF3219" s="1"/>
      <c r="AG3219" s="1"/>
      <c r="AH3219" s="1"/>
      <c r="AI3219" s="1"/>
      <c r="AJ3219" s="1"/>
      <c r="AK3219" s="1"/>
      <c r="AL3219" s="1"/>
      <c r="AM3219" s="1"/>
    </row>
    <row r="3220" spans="16:39" x14ac:dyDescent="0.25">
      <c r="P3220" s="49"/>
      <c r="Q3220" s="1"/>
      <c r="S3220" s="1"/>
      <c r="T3220" s="1"/>
      <c r="U3220" s="1"/>
      <c r="V3220" s="1"/>
      <c r="W3220" s="1"/>
      <c r="X3220" s="1"/>
      <c r="Y3220" s="1"/>
      <c r="AB3220" s="1"/>
      <c r="AC3220" s="1"/>
      <c r="AD3220" s="1"/>
      <c r="AE3220" s="1"/>
      <c r="AF3220" s="1"/>
      <c r="AG3220" s="1"/>
      <c r="AH3220" s="1"/>
      <c r="AI3220" s="1"/>
      <c r="AJ3220" s="1"/>
      <c r="AK3220" s="1"/>
      <c r="AL3220" s="1"/>
      <c r="AM3220" s="1"/>
    </row>
    <row r="3221" spans="16:39" x14ac:dyDescent="0.25">
      <c r="P3221" s="49"/>
      <c r="Q3221" s="1"/>
      <c r="S3221" s="1"/>
      <c r="T3221" s="1"/>
      <c r="U3221" s="1"/>
      <c r="V3221" s="1"/>
      <c r="W3221" s="1"/>
      <c r="X3221" s="1"/>
      <c r="Y3221" s="1"/>
      <c r="AB3221" s="1"/>
      <c r="AC3221" s="1"/>
      <c r="AD3221" s="1"/>
      <c r="AE3221" s="1"/>
      <c r="AF3221" s="1"/>
      <c r="AG3221" s="1"/>
      <c r="AH3221" s="1"/>
      <c r="AI3221" s="1"/>
      <c r="AJ3221" s="1"/>
      <c r="AK3221" s="1"/>
      <c r="AL3221" s="1"/>
      <c r="AM3221" s="1"/>
    </row>
    <row r="3222" spans="16:39" x14ac:dyDescent="0.25">
      <c r="P3222" s="49"/>
      <c r="Q3222" s="1"/>
      <c r="S3222" s="1"/>
      <c r="T3222" s="1"/>
      <c r="U3222" s="1"/>
      <c r="V3222" s="1"/>
      <c r="W3222" s="1"/>
      <c r="X3222" s="1"/>
      <c r="Y3222" s="1"/>
      <c r="AB3222" s="1"/>
      <c r="AC3222" s="1"/>
      <c r="AD3222" s="1"/>
      <c r="AE3222" s="1"/>
      <c r="AF3222" s="1"/>
      <c r="AG3222" s="1"/>
      <c r="AH3222" s="1"/>
      <c r="AI3222" s="1"/>
      <c r="AJ3222" s="1"/>
      <c r="AK3222" s="1"/>
      <c r="AL3222" s="1"/>
      <c r="AM3222" s="1"/>
    </row>
    <row r="3223" spans="16:39" x14ac:dyDescent="0.25">
      <c r="P3223" s="49"/>
      <c r="Q3223" s="1"/>
      <c r="S3223" s="1"/>
      <c r="T3223" s="1"/>
      <c r="U3223" s="1"/>
      <c r="V3223" s="1"/>
      <c r="W3223" s="1"/>
      <c r="X3223" s="1"/>
      <c r="Y3223" s="1"/>
      <c r="AB3223" s="1"/>
      <c r="AC3223" s="1"/>
      <c r="AD3223" s="1"/>
      <c r="AE3223" s="1"/>
      <c r="AF3223" s="1"/>
      <c r="AG3223" s="1"/>
      <c r="AH3223" s="1"/>
      <c r="AI3223" s="1"/>
      <c r="AJ3223" s="1"/>
      <c r="AK3223" s="1"/>
      <c r="AL3223" s="1"/>
      <c r="AM3223" s="1"/>
    </row>
    <row r="3224" spans="16:39" x14ac:dyDescent="0.25">
      <c r="P3224" s="49"/>
      <c r="Q3224" s="1"/>
      <c r="S3224" s="1"/>
      <c r="T3224" s="1"/>
      <c r="U3224" s="1"/>
      <c r="V3224" s="1"/>
      <c r="W3224" s="1"/>
      <c r="X3224" s="1"/>
      <c r="Y3224" s="1"/>
      <c r="AB3224" s="1"/>
      <c r="AC3224" s="1"/>
      <c r="AD3224" s="1"/>
      <c r="AE3224" s="1"/>
      <c r="AF3224" s="1"/>
      <c r="AG3224" s="1"/>
      <c r="AH3224" s="1"/>
      <c r="AI3224" s="1"/>
      <c r="AJ3224" s="1"/>
      <c r="AK3224" s="1"/>
      <c r="AL3224" s="1"/>
      <c r="AM3224" s="1"/>
    </row>
    <row r="3225" spans="16:39" x14ac:dyDescent="0.25">
      <c r="P3225" s="49"/>
      <c r="Q3225" s="1"/>
      <c r="S3225" s="1"/>
      <c r="T3225" s="1"/>
      <c r="U3225" s="1"/>
      <c r="V3225" s="1"/>
      <c r="W3225" s="1"/>
      <c r="X3225" s="1"/>
      <c r="Y3225" s="1"/>
      <c r="AB3225" s="1"/>
      <c r="AC3225" s="1"/>
      <c r="AD3225" s="1"/>
      <c r="AE3225" s="1"/>
      <c r="AF3225" s="1"/>
      <c r="AG3225" s="1"/>
      <c r="AH3225" s="1"/>
      <c r="AI3225" s="1"/>
      <c r="AJ3225" s="1"/>
      <c r="AK3225" s="1"/>
      <c r="AL3225" s="1"/>
      <c r="AM3225" s="1"/>
    </row>
    <row r="3226" spans="16:39" x14ac:dyDescent="0.25">
      <c r="P3226" s="49"/>
      <c r="Q3226" s="1"/>
      <c r="S3226" s="1"/>
      <c r="T3226" s="1"/>
      <c r="U3226" s="1"/>
      <c r="V3226" s="1"/>
      <c r="W3226" s="1"/>
      <c r="X3226" s="1"/>
      <c r="Y3226" s="1"/>
      <c r="AB3226" s="1"/>
      <c r="AC3226" s="1"/>
      <c r="AD3226" s="1"/>
      <c r="AE3226" s="1"/>
      <c r="AF3226" s="1"/>
      <c r="AG3226" s="1"/>
      <c r="AH3226" s="1"/>
      <c r="AI3226" s="1"/>
      <c r="AJ3226" s="1"/>
      <c r="AK3226" s="1"/>
      <c r="AL3226" s="1"/>
      <c r="AM3226" s="1"/>
    </row>
    <row r="3227" spans="16:39" x14ac:dyDescent="0.25">
      <c r="P3227" s="49"/>
      <c r="Q3227" s="1"/>
      <c r="S3227" s="1"/>
      <c r="T3227" s="1"/>
      <c r="U3227" s="1"/>
      <c r="V3227" s="1"/>
      <c r="W3227" s="1"/>
      <c r="X3227" s="1"/>
      <c r="Y3227" s="1"/>
      <c r="AB3227" s="1"/>
      <c r="AC3227" s="1"/>
      <c r="AD3227" s="1"/>
      <c r="AE3227" s="1"/>
      <c r="AF3227" s="1"/>
      <c r="AG3227" s="1"/>
      <c r="AH3227" s="1"/>
      <c r="AI3227" s="1"/>
      <c r="AJ3227" s="1"/>
      <c r="AK3227" s="1"/>
      <c r="AL3227" s="1"/>
      <c r="AM3227" s="1"/>
    </row>
    <row r="3228" spans="16:39" x14ac:dyDescent="0.25">
      <c r="P3228" s="49"/>
      <c r="Q3228" s="1"/>
      <c r="S3228" s="1"/>
      <c r="T3228" s="1"/>
      <c r="U3228" s="1"/>
      <c r="V3228" s="1"/>
      <c r="W3228" s="1"/>
      <c r="X3228" s="1"/>
      <c r="Y3228" s="1"/>
      <c r="AB3228" s="1"/>
      <c r="AC3228" s="1"/>
      <c r="AD3228" s="1"/>
      <c r="AE3228" s="1"/>
      <c r="AF3228" s="1"/>
      <c r="AG3228" s="1"/>
      <c r="AH3228" s="1"/>
      <c r="AI3228" s="1"/>
      <c r="AJ3228" s="1"/>
      <c r="AK3228" s="1"/>
      <c r="AL3228" s="1"/>
      <c r="AM3228" s="1"/>
    </row>
    <row r="3229" spans="16:39" x14ac:dyDescent="0.25">
      <c r="P3229" s="49"/>
      <c r="Q3229" s="1"/>
      <c r="S3229" s="1"/>
      <c r="T3229" s="1"/>
      <c r="U3229" s="1"/>
      <c r="V3229" s="1"/>
      <c r="W3229" s="1"/>
      <c r="X3229" s="1"/>
      <c r="Y3229" s="1"/>
      <c r="AB3229" s="1"/>
      <c r="AC3229" s="1"/>
      <c r="AD3229" s="1"/>
      <c r="AE3229" s="1"/>
      <c r="AF3229" s="1"/>
      <c r="AG3229" s="1"/>
      <c r="AH3229" s="1"/>
      <c r="AI3229" s="1"/>
      <c r="AJ3229" s="1"/>
      <c r="AK3229" s="1"/>
      <c r="AL3229" s="1"/>
      <c r="AM3229" s="1"/>
    </row>
    <row r="3230" spans="16:39" x14ac:dyDescent="0.25">
      <c r="P3230" s="49"/>
      <c r="Q3230" s="1"/>
      <c r="S3230" s="1"/>
      <c r="T3230" s="1"/>
      <c r="U3230" s="1"/>
      <c r="V3230" s="1"/>
      <c r="W3230" s="1"/>
      <c r="X3230" s="1"/>
      <c r="Y3230" s="1"/>
      <c r="AB3230" s="1"/>
      <c r="AC3230" s="1"/>
      <c r="AD3230" s="1"/>
      <c r="AE3230" s="1"/>
      <c r="AF3230" s="1"/>
      <c r="AG3230" s="1"/>
      <c r="AH3230" s="1"/>
      <c r="AI3230" s="1"/>
      <c r="AJ3230" s="1"/>
      <c r="AK3230" s="1"/>
      <c r="AL3230" s="1"/>
      <c r="AM3230" s="1"/>
    </row>
    <row r="3231" spans="16:39" x14ac:dyDescent="0.25">
      <c r="P3231" s="49"/>
      <c r="Q3231" s="1"/>
      <c r="S3231" s="1"/>
      <c r="T3231" s="1"/>
      <c r="U3231" s="1"/>
      <c r="V3231" s="1"/>
      <c r="W3231" s="1"/>
      <c r="X3231" s="1"/>
      <c r="Y3231" s="1"/>
      <c r="AB3231" s="1"/>
      <c r="AC3231" s="1"/>
      <c r="AD3231" s="1"/>
      <c r="AE3231" s="1"/>
      <c r="AF3231" s="1"/>
      <c r="AG3231" s="1"/>
      <c r="AH3231" s="1"/>
      <c r="AI3231" s="1"/>
      <c r="AJ3231" s="1"/>
      <c r="AK3231" s="1"/>
      <c r="AL3231" s="1"/>
      <c r="AM3231" s="1"/>
    </row>
    <row r="3232" spans="16:39" x14ac:dyDescent="0.25">
      <c r="P3232" s="49"/>
      <c r="Q3232" s="1"/>
      <c r="S3232" s="1"/>
      <c r="T3232" s="1"/>
      <c r="U3232" s="1"/>
      <c r="V3232" s="1"/>
      <c r="W3232" s="1"/>
      <c r="X3232" s="1"/>
      <c r="Y3232" s="1"/>
      <c r="AB3232" s="1"/>
      <c r="AC3232" s="1"/>
      <c r="AD3232" s="1"/>
      <c r="AE3232" s="1"/>
      <c r="AF3232" s="1"/>
      <c r="AG3232" s="1"/>
      <c r="AH3232" s="1"/>
      <c r="AI3232" s="1"/>
      <c r="AJ3232" s="1"/>
      <c r="AK3232" s="1"/>
      <c r="AL3232" s="1"/>
      <c r="AM3232" s="1"/>
    </row>
    <row r="3233" spans="16:39" x14ac:dyDescent="0.25">
      <c r="P3233" s="49"/>
      <c r="Q3233" s="1"/>
      <c r="S3233" s="1"/>
      <c r="T3233" s="1"/>
      <c r="U3233" s="1"/>
      <c r="V3233" s="1"/>
      <c r="W3233" s="1"/>
      <c r="X3233" s="1"/>
      <c r="Y3233" s="1"/>
      <c r="AB3233" s="1"/>
      <c r="AC3233" s="1"/>
      <c r="AD3233" s="1"/>
      <c r="AE3233" s="1"/>
      <c r="AF3233" s="1"/>
      <c r="AG3233" s="1"/>
      <c r="AH3233" s="1"/>
      <c r="AI3233" s="1"/>
      <c r="AJ3233" s="1"/>
      <c r="AK3233" s="1"/>
      <c r="AL3233" s="1"/>
      <c r="AM3233" s="1"/>
    </row>
    <row r="3234" spans="16:39" x14ac:dyDescent="0.25">
      <c r="P3234" s="49"/>
      <c r="Q3234" s="1"/>
      <c r="S3234" s="1"/>
      <c r="T3234" s="1"/>
      <c r="U3234" s="1"/>
      <c r="V3234" s="1"/>
      <c r="W3234" s="1"/>
      <c r="X3234" s="1"/>
      <c r="Y3234" s="1"/>
      <c r="AB3234" s="1"/>
      <c r="AC3234" s="1"/>
      <c r="AD3234" s="1"/>
      <c r="AE3234" s="1"/>
      <c r="AF3234" s="1"/>
      <c r="AG3234" s="1"/>
      <c r="AH3234" s="1"/>
      <c r="AI3234" s="1"/>
      <c r="AJ3234" s="1"/>
      <c r="AK3234" s="1"/>
      <c r="AL3234" s="1"/>
      <c r="AM3234" s="1"/>
    </row>
    <row r="3235" spans="16:39" x14ac:dyDescent="0.25">
      <c r="P3235" s="49"/>
      <c r="Q3235" s="1"/>
      <c r="S3235" s="1"/>
      <c r="T3235" s="1"/>
      <c r="U3235" s="1"/>
      <c r="V3235" s="1"/>
      <c r="W3235" s="1"/>
      <c r="X3235" s="1"/>
      <c r="Y3235" s="1"/>
      <c r="AB3235" s="1"/>
      <c r="AC3235" s="1"/>
      <c r="AD3235" s="1"/>
      <c r="AE3235" s="1"/>
      <c r="AF3235" s="1"/>
      <c r="AG3235" s="1"/>
      <c r="AH3235" s="1"/>
      <c r="AI3235" s="1"/>
      <c r="AJ3235" s="1"/>
      <c r="AK3235" s="1"/>
      <c r="AL3235" s="1"/>
      <c r="AM3235" s="1"/>
    </row>
    <row r="3236" spans="16:39" x14ac:dyDescent="0.25">
      <c r="P3236" s="49"/>
      <c r="Q3236" s="1"/>
      <c r="S3236" s="1"/>
      <c r="T3236" s="1"/>
      <c r="U3236" s="1"/>
      <c r="V3236" s="1"/>
      <c r="W3236" s="1"/>
      <c r="X3236" s="1"/>
      <c r="Y3236" s="1"/>
      <c r="AB3236" s="1"/>
      <c r="AC3236" s="1"/>
      <c r="AD3236" s="1"/>
      <c r="AE3236" s="1"/>
      <c r="AF3236" s="1"/>
      <c r="AG3236" s="1"/>
      <c r="AH3236" s="1"/>
      <c r="AI3236" s="1"/>
      <c r="AJ3236" s="1"/>
      <c r="AK3236" s="1"/>
      <c r="AL3236" s="1"/>
      <c r="AM3236" s="1"/>
    </row>
    <row r="3237" spans="16:39" x14ac:dyDescent="0.25">
      <c r="P3237" s="49"/>
      <c r="Q3237" s="1"/>
      <c r="S3237" s="1"/>
      <c r="T3237" s="1"/>
      <c r="U3237" s="1"/>
      <c r="V3237" s="1"/>
      <c r="W3237" s="1"/>
      <c r="X3237" s="1"/>
      <c r="Y3237" s="1"/>
      <c r="AB3237" s="1"/>
      <c r="AC3237" s="1"/>
      <c r="AD3237" s="1"/>
      <c r="AE3237" s="1"/>
      <c r="AF3237" s="1"/>
      <c r="AG3237" s="1"/>
      <c r="AH3237" s="1"/>
      <c r="AI3237" s="1"/>
      <c r="AJ3237" s="1"/>
      <c r="AK3237" s="1"/>
      <c r="AL3237" s="1"/>
      <c r="AM3237" s="1"/>
    </row>
    <row r="3238" spans="16:39" x14ac:dyDescent="0.25">
      <c r="P3238" s="49"/>
      <c r="Q3238" s="1"/>
      <c r="S3238" s="1"/>
      <c r="T3238" s="1"/>
      <c r="U3238" s="1"/>
      <c r="V3238" s="1"/>
      <c r="W3238" s="1"/>
      <c r="X3238" s="1"/>
      <c r="Y3238" s="1"/>
      <c r="AB3238" s="1"/>
      <c r="AC3238" s="1"/>
      <c r="AD3238" s="1"/>
      <c r="AE3238" s="1"/>
      <c r="AF3238" s="1"/>
      <c r="AG3238" s="1"/>
      <c r="AH3238" s="1"/>
      <c r="AI3238" s="1"/>
      <c r="AJ3238" s="1"/>
      <c r="AK3238" s="1"/>
      <c r="AL3238" s="1"/>
      <c r="AM3238" s="1"/>
    </row>
    <row r="3239" spans="16:39" x14ac:dyDescent="0.25">
      <c r="P3239" s="49"/>
      <c r="Q3239" s="1"/>
      <c r="S3239" s="1"/>
      <c r="T3239" s="1"/>
      <c r="U3239" s="1"/>
      <c r="V3239" s="1"/>
      <c r="W3239" s="1"/>
      <c r="X3239" s="1"/>
      <c r="Y3239" s="1"/>
      <c r="AB3239" s="1"/>
      <c r="AC3239" s="1"/>
      <c r="AD3239" s="1"/>
      <c r="AE3239" s="1"/>
      <c r="AF3239" s="1"/>
      <c r="AG3239" s="1"/>
      <c r="AH3239" s="1"/>
      <c r="AI3239" s="1"/>
      <c r="AJ3239" s="1"/>
      <c r="AK3239" s="1"/>
      <c r="AL3239" s="1"/>
      <c r="AM3239" s="1"/>
    </row>
    <row r="3240" spans="16:39" x14ac:dyDescent="0.25">
      <c r="P3240" s="49"/>
      <c r="Q3240" s="1"/>
      <c r="S3240" s="1"/>
      <c r="T3240" s="1"/>
      <c r="U3240" s="1"/>
      <c r="V3240" s="1"/>
      <c r="W3240" s="1"/>
      <c r="X3240" s="1"/>
      <c r="Y3240" s="1"/>
      <c r="AB3240" s="1"/>
      <c r="AC3240" s="1"/>
      <c r="AD3240" s="1"/>
      <c r="AE3240" s="1"/>
      <c r="AF3240" s="1"/>
      <c r="AG3240" s="1"/>
      <c r="AH3240" s="1"/>
      <c r="AI3240" s="1"/>
      <c r="AJ3240" s="1"/>
      <c r="AK3240" s="1"/>
      <c r="AL3240" s="1"/>
      <c r="AM3240" s="1"/>
    </row>
    <row r="3241" spans="16:39" x14ac:dyDescent="0.25">
      <c r="P3241" s="49"/>
      <c r="Q3241" s="1"/>
      <c r="S3241" s="1"/>
      <c r="T3241" s="1"/>
      <c r="U3241" s="1"/>
      <c r="V3241" s="1"/>
      <c r="W3241" s="1"/>
      <c r="X3241" s="1"/>
      <c r="Y3241" s="1"/>
      <c r="AB3241" s="1"/>
      <c r="AC3241" s="1"/>
      <c r="AD3241" s="1"/>
      <c r="AE3241" s="1"/>
      <c r="AF3241" s="1"/>
      <c r="AG3241" s="1"/>
      <c r="AH3241" s="1"/>
      <c r="AI3241" s="1"/>
      <c r="AJ3241" s="1"/>
      <c r="AK3241" s="1"/>
      <c r="AL3241" s="1"/>
      <c r="AM3241" s="1"/>
    </row>
    <row r="3242" spans="16:39" x14ac:dyDescent="0.25">
      <c r="P3242" s="49"/>
      <c r="Q3242" s="1"/>
      <c r="S3242" s="1"/>
      <c r="T3242" s="1"/>
      <c r="U3242" s="1"/>
      <c r="V3242" s="1"/>
      <c r="W3242" s="1"/>
      <c r="X3242" s="1"/>
      <c r="Y3242" s="1"/>
      <c r="AB3242" s="1"/>
      <c r="AC3242" s="1"/>
      <c r="AD3242" s="1"/>
      <c r="AE3242" s="1"/>
      <c r="AF3242" s="1"/>
      <c r="AG3242" s="1"/>
      <c r="AH3242" s="1"/>
      <c r="AI3242" s="1"/>
      <c r="AJ3242" s="1"/>
      <c r="AK3242" s="1"/>
      <c r="AL3242" s="1"/>
      <c r="AM3242" s="1"/>
    </row>
    <row r="3243" spans="16:39" x14ac:dyDescent="0.25">
      <c r="P3243" s="49"/>
      <c r="Q3243" s="1"/>
      <c r="S3243" s="1"/>
      <c r="T3243" s="1"/>
      <c r="U3243" s="1"/>
      <c r="V3243" s="1"/>
      <c r="W3243" s="1"/>
      <c r="X3243" s="1"/>
      <c r="Y3243" s="1"/>
      <c r="AB3243" s="1"/>
      <c r="AC3243" s="1"/>
      <c r="AD3243" s="1"/>
      <c r="AE3243" s="1"/>
      <c r="AF3243" s="1"/>
      <c r="AG3243" s="1"/>
      <c r="AH3243" s="1"/>
      <c r="AI3243" s="1"/>
      <c r="AJ3243" s="1"/>
      <c r="AK3243" s="1"/>
      <c r="AL3243" s="1"/>
      <c r="AM3243" s="1"/>
    </row>
    <row r="3244" spans="16:39" x14ac:dyDescent="0.25">
      <c r="P3244" s="49"/>
      <c r="Q3244" s="1"/>
      <c r="S3244" s="1"/>
      <c r="T3244" s="1"/>
      <c r="U3244" s="1"/>
      <c r="V3244" s="1"/>
      <c r="W3244" s="1"/>
      <c r="X3244" s="1"/>
      <c r="Y3244" s="1"/>
      <c r="AB3244" s="1"/>
      <c r="AC3244" s="1"/>
      <c r="AD3244" s="1"/>
      <c r="AE3244" s="1"/>
      <c r="AF3244" s="1"/>
      <c r="AG3244" s="1"/>
      <c r="AH3244" s="1"/>
      <c r="AI3244" s="1"/>
      <c r="AJ3244" s="1"/>
      <c r="AK3244" s="1"/>
      <c r="AL3244" s="1"/>
      <c r="AM3244" s="1"/>
    </row>
    <row r="3245" spans="16:39" x14ac:dyDescent="0.25">
      <c r="P3245" s="49"/>
      <c r="Q3245" s="1"/>
      <c r="S3245" s="1"/>
      <c r="T3245" s="1"/>
      <c r="U3245" s="1"/>
      <c r="V3245" s="1"/>
      <c r="W3245" s="1"/>
      <c r="X3245" s="1"/>
      <c r="Y3245" s="1"/>
      <c r="AB3245" s="1"/>
      <c r="AC3245" s="1"/>
      <c r="AD3245" s="1"/>
      <c r="AE3245" s="1"/>
      <c r="AF3245" s="1"/>
      <c r="AG3245" s="1"/>
      <c r="AH3245" s="1"/>
      <c r="AI3245" s="1"/>
      <c r="AJ3245" s="1"/>
      <c r="AK3245" s="1"/>
      <c r="AL3245" s="1"/>
      <c r="AM3245" s="1"/>
    </row>
    <row r="3246" spans="16:39" x14ac:dyDescent="0.25">
      <c r="P3246" s="49"/>
      <c r="Q3246" s="1"/>
      <c r="S3246" s="1"/>
      <c r="T3246" s="1"/>
      <c r="U3246" s="1"/>
      <c r="V3246" s="1"/>
      <c r="W3246" s="1"/>
      <c r="X3246" s="1"/>
      <c r="Y3246" s="1"/>
      <c r="AB3246" s="1"/>
      <c r="AC3246" s="1"/>
      <c r="AD3246" s="1"/>
      <c r="AE3246" s="1"/>
      <c r="AF3246" s="1"/>
      <c r="AG3246" s="1"/>
      <c r="AH3246" s="1"/>
      <c r="AI3246" s="1"/>
      <c r="AJ3246" s="1"/>
      <c r="AK3246" s="1"/>
      <c r="AL3246" s="1"/>
      <c r="AM3246" s="1"/>
    </row>
    <row r="3247" spans="16:39" x14ac:dyDescent="0.25">
      <c r="P3247" s="49"/>
      <c r="Q3247" s="1"/>
      <c r="S3247" s="1"/>
      <c r="T3247" s="1"/>
      <c r="U3247" s="1"/>
      <c r="V3247" s="1"/>
      <c r="W3247" s="1"/>
      <c r="X3247" s="1"/>
      <c r="Y3247" s="1"/>
      <c r="AB3247" s="1"/>
      <c r="AC3247" s="1"/>
      <c r="AD3247" s="1"/>
      <c r="AE3247" s="1"/>
      <c r="AF3247" s="1"/>
      <c r="AG3247" s="1"/>
      <c r="AH3247" s="1"/>
      <c r="AI3247" s="1"/>
      <c r="AJ3247" s="1"/>
      <c r="AK3247" s="1"/>
      <c r="AL3247" s="1"/>
      <c r="AM3247" s="1"/>
    </row>
    <row r="3248" spans="16:39" x14ac:dyDescent="0.25">
      <c r="P3248" s="49"/>
      <c r="Q3248" s="1"/>
      <c r="S3248" s="1"/>
      <c r="T3248" s="1"/>
      <c r="U3248" s="1"/>
      <c r="V3248" s="1"/>
      <c r="W3248" s="1"/>
      <c r="X3248" s="1"/>
      <c r="Y3248" s="1"/>
      <c r="AB3248" s="1"/>
      <c r="AC3248" s="1"/>
      <c r="AD3248" s="1"/>
      <c r="AE3248" s="1"/>
      <c r="AF3248" s="1"/>
      <c r="AG3248" s="1"/>
      <c r="AH3248" s="1"/>
      <c r="AI3248" s="1"/>
      <c r="AJ3248" s="1"/>
      <c r="AK3248" s="1"/>
      <c r="AL3248" s="1"/>
      <c r="AM3248" s="1"/>
    </row>
    <row r="3249" spans="16:39" x14ac:dyDescent="0.25">
      <c r="P3249" s="49"/>
      <c r="Q3249" s="1"/>
      <c r="S3249" s="1"/>
      <c r="T3249" s="1"/>
      <c r="U3249" s="1"/>
      <c r="V3249" s="1"/>
      <c r="W3249" s="1"/>
      <c r="X3249" s="1"/>
      <c r="Y3249" s="1"/>
      <c r="AB3249" s="1"/>
      <c r="AC3249" s="1"/>
      <c r="AD3249" s="1"/>
      <c r="AE3249" s="1"/>
      <c r="AF3249" s="1"/>
      <c r="AG3249" s="1"/>
      <c r="AH3249" s="1"/>
      <c r="AI3249" s="1"/>
      <c r="AJ3249" s="1"/>
      <c r="AK3249" s="1"/>
      <c r="AL3249" s="1"/>
      <c r="AM3249" s="1"/>
    </row>
    <row r="3250" spans="16:39" x14ac:dyDescent="0.25">
      <c r="P3250" s="49"/>
      <c r="Q3250" s="1"/>
      <c r="S3250" s="1"/>
      <c r="T3250" s="1"/>
      <c r="U3250" s="1"/>
      <c r="V3250" s="1"/>
      <c r="W3250" s="1"/>
      <c r="X3250" s="1"/>
      <c r="Y3250" s="1"/>
      <c r="AB3250" s="1"/>
      <c r="AC3250" s="1"/>
      <c r="AD3250" s="1"/>
      <c r="AE3250" s="1"/>
      <c r="AF3250" s="1"/>
      <c r="AG3250" s="1"/>
      <c r="AH3250" s="1"/>
      <c r="AI3250" s="1"/>
      <c r="AJ3250" s="1"/>
      <c r="AK3250" s="1"/>
      <c r="AL3250" s="1"/>
      <c r="AM3250" s="1"/>
    </row>
    <row r="3251" spans="16:39" x14ac:dyDescent="0.25">
      <c r="P3251" s="49"/>
      <c r="Q3251" s="1"/>
      <c r="S3251" s="1"/>
      <c r="T3251" s="1"/>
      <c r="U3251" s="1"/>
      <c r="V3251" s="1"/>
      <c r="W3251" s="1"/>
      <c r="X3251" s="1"/>
      <c r="Y3251" s="1"/>
      <c r="AB3251" s="1"/>
      <c r="AC3251" s="1"/>
      <c r="AD3251" s="1"/>
      <c r="AE3251" s="1"/>
      <c r="AF3251" s="1"/>
      <c r="AG3251" s="1"/>
      <c r="AH3251" s="1"/>
      <c r="AI3251" s="1"/>
      <c r="AJ3251" s="1"/>
      <c r="AK3251" s="1"/>
      <c r="AL3251" s="1"/>
      <c r="AM3251" s="1"/>
    </row>
    <row r="3252" spans="16:39" x14ac:dyDescent="0.25">
      <c r="P3252" s="49"/>
      <c r="Q3252" s="1"/>
      <c r="S3252" s="1"/>
      <c r="T3252" s="1"/>
      <c r="U3252" s="1"/>
      <c r="V3252" s="1"/>
      <c r="W3252" s="1"/>
      <c r="X3252" s="1"/>
      <c r="Y3252" s="1"/>
      <c r="AB3252" s="1"/>
      <c r="AC3252" s="1"/>
      <c r="AD3252" s="1"/>
      <c r="AE3252" s="1"/>
      <c r="AF3252" s="1"/>
      <c r="AG3252" s="1"/>
      <c r="AH3252" s="1"/>
      <c r="AI3252" s="1"/>
      <c r="AJ3252" s="1"/>
      <c r="AK3252" s="1"/>
      <c r="AL3252" s="1"/>
      <c r="AM3252" s="1"/>
    </row>
    <row r="3253" spans="16:39" x14ac:dyDescent="0.25">
      <c r="P3253" s="49"/>
      <c r="Q3253" s="1"/>
      <c r="S3253" s="1"/>
      <c r="T3253" s="1"/>
      <c r="U3253" s="1"/>
      <c r="V3253" s="1"/>
      <c r="W3253" s="1"/>
      <c r="X3253" s="1"/>
      <c r="Y3253" s="1"/>
      <c r="AB3253" s="1"/>
      <c r="AC3253" s="1"/>
      <c r="AD3253" s="1"/>
      <c r="AE3253" s="1"/>
      <c r="AF3253" s="1"/>
      <c r="AG3253" s="1"/>
      <c r="AH3253" s="1"/>
      <c r="AI3253" s="1"/>
      <c r="AJ3253" s="1"/>
      <c r="AK3253" s="1"/>
      <c r="AL3253" s="1"/>
      <c r="AM3253" s="1"/>
    </row>
    <row r="3254" spans="16:39" x14ac:dyDescent="0.25">
      <c r="P3254" s="49"/>
      <c r="Q3254" s="1"/>
      <c r="S3254" s="1"/>
      <c r="T3254" s="1"/>
      <c r="U3254" s="1"/>
      <c r="V3254" s="1"/>
      <c r="W3254" s="1"/>
      <c r="X3254" s="1"/>
      <c r="Y3254" s="1"/>
      <c r="AB3254" s="1"/>
      <c r="AC3254" s="1"/>
      <c r="AD3254" s="1"/>
      <c r="AE3254" s="1"/>
      <c r="AF3254" s="1"/>
      <c r="AG3254" s="1"/>
      <c r="AH3254" s="1"/>
      <c r="AI3254" s="1"/>
      <c r="AJ3254" s="1"/>
      <c r="AK3254" s="1"/>
      <c r="AL3254" s="1"/>
      <c r="AM3254" s="1"/>
    </row>
    <row r="3255" spans="16:39" x14ac:dyDescent="0.25">
      <c r="P3255" s="49"/>
      <c r="Q3255" s="1"/>
      <c r="S3255" s="1"/>
      <c r="T3255" s="1"/>
      <c r="U3255" s="1"/>
      <c r="V3255" s="1"/>
      <c r="W3255" s="1"/>
      <c r="X3255" s="1"/>
      <c r="Y3255" s="1"/>
      <c r="AB3255" s="1"/>
      <c r="AC3255" s="1"/>
      <c r="AD3255" s="1"/>
      <c r="AE3255" s="1"/>
      <c r="AF3255" s="1"/>
      <c r="AG3255" s="1"/>
      <c r="AH3255" s="1"/>
      <c r="AI3255" s="1"/>
      <c r="AJ3255" s="1"/>
      <c r="AK3255" s="1"/>
      <c r="AL3255" s="1"/>
      <c r="AM3255" s="1"/>
    </row>
    <row r="3256" spans="16:39" x14ac:dyDescent="0.25">
      <c r="P3256" s="49"/>
      <c r="Q3256" s="1"/>
      <c r="S3256" s="1"/>
      <c r="T3256" s="1"/>
      <c r="U3256" s="1"/>
      <c r="V3256" s="1"/>
      <c r="W3256" s="1"/>
      <c r="X3256" s="1"/>
      <c r="Y3256" s="1"/>
      <c r="AB3256" s="1"/>
      <c r="AC3256" s="1"/>
      <c r="AD3256" s="1"/>
      <c r="AE3256" s="1"/>
      <c r="AF3256" s="1"/>
      <c r="AG3256" s="1"/>
      <c r="AH3256" s="1"/>
      <c r="AI3256" s="1"/>
      <c r="AJ3256" s="1"/>
      <c r="AK3256" s="1"/>
      <c r="AL3256" s="1"/>
      <c r="AM3256" s="1"/>
    </row>
    <row r="3257" spans="16:39" x14ac:dyDescent="0.25">
      <c r="P3257" s="49"/>
      <c r="Q3257" s="1"/>
      <c r="S3257" s="1"/>
      <c r="T3257" s="1"/>
      <c r="U3257" s="1"/>
      <c r="V3257" s="1"/>
      <c r="W3257" s="1"/>
      <c r="X3257" s="1"/>
      <c r="Y3257" s="1"/>
      <c r="AB3257" s="1"/>
      <c r="AC3257" s="1"/>
      <c r="AD3257" s="1"/>
      <c r="AE3257" s="1"/>
      <c r="AF3257" s="1"/>
      <c r="AG3257" s="1"/>
      <c r="AH3257" s="1"/>
      <c r="AI3257" s="1"/>
      <c r="AJ3257" s="1"/>
      <c r="AK3257" s="1"/>
      <c r="AL3257" s="1"/>
      <c r="AM3257" s="1"/>
    </row>
    <row r="3258" spans="16:39" x14ac:dyDescent="0.25">
      <c r="P3258" s="49"/>
      <c r="Q3258" s="1"/>
      <c r="S3258" s="1"/>
      <c r="T3258" s="1"/>
      <c r="U3258" s="1"/>
      <c r="V3258" s="1"/>
      <c r="W3258" s="1"/>
      <c r="X3258" s="1"/>
      <c r="Y3258" s="1"/>
      <c r="AB3258" s="1"/>
      <c r="AC3258" s="1"/>
      <c r="AD3258" s="1"/>
      <c r="AE3258" s="1"/>
      <c r="AF3258" s="1"/>
      <c r="AG3258" s="1"/>
      <c r="AH3258" s="1"/>
      <c r="AI3258" s="1"/>
      <c r="AJ3258" s="1"/>
      <c r="AK3258" s="1"/>
      <c r="AL3258" s="1"/>
      <c r="AM3258" s="1"/>
    </row>
    <row r="3259" spans="16:39" x14ac:dyDescent="0.25">
      <c r="P3259" s="49"/>
      <c r="Q3259" s="1"/>
      <c r="S3259" s="1"/>
      <c r="T3259" s="1"/>
      <c r="U3259" s="1"/>
      <c r="V3259" s="1"/>
      <c r="W3259" s="1"/>
      <c r="X3259" s="1"/>
      <c r="Y3259" s="1"/>
      <c r="AB3259" s="1"/>
      <c r="AC3259" s="1"/>
      <c r="AD3259" s="1"/>
      <c r="AE3259" s="1"/>
      <c r="AF3259" s="1"/>
      <c r="AG3259" s="1"/>
      <c r="AH3259" s="1"/>
      <c r="AI3259" s="1"/>
      <c r="AJ3259" s="1"/>
      <c r="AK3259" s="1"/>
      <c r="AL3259" s="1"/>
      <c r="AM3259" s="1"/>
    </row>
    <row r="3260" spans="16:39" x14ac:dyDescent="0.25">
      <c r="P3260" s="49"/>
      <c r="Q3260" s="1"/>
      <c r="S3260" s="1"/>
      <c r="T3260" s="1"/>
      <c r="U3260" s="1"/>
      <c r="V3260" s="1"/>
      <c r="W3260" s="1"/>
      <c r="X3260" s="1"/>
      <c r="Y3260" s="1"/>
      <c r="AB3260" s="1"/>
      <c r="AC3260" s="1"/>
      <c r="AD3260" s="1"/>
      <c r="AE3260" s="1"/>
      <c r="AF3260" s="1"/>
      <c r="AG3260" s="1"/>
      <c r="AH3260" s="1"/>
      <c r="AI3260" s="1"/>
      <c r="AJ3260" s="1"/>
      <c r="AK3260" s="1"/>
      <c r="AL3260" s="1"/>
      <c r="AM3260" s="1"/>
    </row>
    <row r="3261" spans="16:39" x14ac:dyDescent="0.25">
      <c r="P3261" s="49"/>
      <c r="Q3261" s="1"/>
      <c r="S3261" s="1"/>
      <c r="T3261" s="1"/>
      <c r="U3261" s="1"/>
      <c r="V3261" s="1"/>
      <c r="W3261" s="1"/>
      <c r="X3261" s="1"/>
      <c r="Y3261" s="1"/>
      <c r="AB3261" s="1"/>
      <c r="AC3261" s="1"/>
      <c r="AD3261" s="1"/>
      <c r="AE3261" s="1"/>
      <c r="AF3261" s="1"/>
      <c r="AG3261" s="1"/>
      <c r="AH3261" s="1"/>
      <c r="AI3261" s="1"/>
      <c r="AJ3261" s="1"/>
      <c r="AK3261" s="1"/>
      <c r="AL3261" s="1"/>
      <c r="AM3261" s="1"/>
    </row>
    <row r="3262" spans="16:39" x14ac:dyDescent="0.25">
      <c r="P3262" s="49"/>
      <c r="Q3262" s="1"/>
      <c r="S3262" s="1"/>
      <c r="T3262" s="1"/>
      <c r="U3262" s="1"/>
      <c r="V3262" s="1"/>
      <c r="W3262" s="1"/>
      <c r="X3262" s="1"/>
      <c r="Y3262" s="1"/>
      <c r="AB3262" s="1"/>
      <c r="AC3262" s="1"/>
      <c r="AD3262" s="1"/>
      <c r="AE3262" s="1"/>
      <c r="AF3262" s="1"/>
      <c r="AG3262" s="1"/>
      <c r="AH3262" s="1"/>
      <c r="AI3262" s="1"/>
      <c r="AJ3262" s="1"/>
      <c r="AK3262" s="1"/>
      <c r="AL3262" s="1"/>
      <c r="AM3262" s="1"/>
    </row>
    <row r="3263" spans="16:39" x14ac:dyDescent="0.25">
      <c r="P3263" s="49"/>
      <c r="Q3263" s="1"/>
      <c r="S3263" s="1"/>
      <c r="T3263" s="1"/>
      <c r="U3263" s="1"/>
      <c r="V3263" s="1"/>
      <c r="W3263" s="1"/>
      <c r="X3263" s="1"/>
      <c r="Y3263" s="1"/>
      <c r="AB3263" s="1"/>
      <c r="AC3263" s="1"/>
      <c r="AD3263" s="1"/>
      <c r="AE3263" s="1"/>
      <c r="AF3263" s="1"/>
      <c r="AG3263" s="1"/>
      <c r="AH3263" s="1"/>
      <c r="AI3263" s="1"/>
      <c r="AJ3263" s="1"/>
      <c r="AK3263" s="1"/>
      <c r="AL3263" s="1"/>
      <c r="AM3263" s="1"/>
    </row>
    <row r="3264" spans="16:39" x14ac:dyDescent="0.25">
      <c r="P3264" s="49"/>
      <c r="Q3264" s="1"/>
      <c r="S3264" s="1"/>
      <c r="T3264" s="1"/>
      <c r="U3264" s="1"/>
      <c r="V3264" s="1"/>
      <c r="W3264" s="1"/>
      <c r="X3264" s="1"/>
      <c r="Y3264" s="1"/>
      <c r="AB3264" s="1"/>
      <c r="AC3264" s="1"/>
      <c r="AD3264" s="1"/>
      <c r="AE3264" s="1"/>
      <c r="AF3264" s="1"/>
      <c r="AG3264" s="1"/>
      <c r="AH3264" s="1"/>
      <c r="AI3264" s="1"/>
      <c r="AJ3264" s="1"/>
      <c r="AK3264" s="1"/>
      <c r="AL3264" s="1"/>
      <c r="AM3264" s="1"/>
    </row>
    <row r="3265" spans="16:39" x14ac:dyDescent="0.25">
      <c r="P3265" s="49"/>
      <c r="Q3265" s="1"/>
      <c r="S3265" s="1"/>
      <c r="T3265" s="1"/>
      <c r="U3265" s="1"/>
      <c r="V3265" s="1"/>
      <c r="W3265" s="1"/>
      <c r="X3265" s="1"/>
      <c r="Y3265" s="1"/>
      <c r="AB3265" s="1"/>
      <c r="AC3265" s="1"/>
      <c r="AD3265" s="1"/>
      <c r="AE3265" s="1"/>
      <c r="AF3265" s="1"/>
      <c r="AG3265" s="1"/>
      <c r="AH3265" s="1"/>
      <c r="AI3265" s="1"/>
      <c r="AJ3265" s="1"/>
      <c r="AK3265" s="1"/>
      <c r="AL3265" s="1"/>
      <c r="AM3265" s="1"/>
    </row>
    <row r="3266" spans="16:39" x14ac:dyDescent="0.25">
      <c r="P3266" s="49"/>
      <c r="Q3266" s="1"/>
      <c r="S3266" s="1"/>
      <c r="T3266" s="1"/>
      <c r="U3266" s="1"/>
      <c r="V3266" s="1"/>
      <c r="W3266" s="1"/>
      <c r="X3266" s="1"/>
      <c r="Y3266" s="1"/>
      <c r="AB3266" s="1"/>
      <c r="AC3266" s="1"/>
      <c r="AD3266" s="1"/>
      <c r="AE3266" s="1"/>
      <c r="AF3266" s="1"/>
      <c r="AG3266" s="1"/>
      <c r="AH3266" s="1"/>
      <c r="AI3266" s="1"/>
      <c r="AJ3266" s="1"/>
      <c r="AK3266" s="1"/>
      <c r="AL3266" s="1"/>
      <c r="AM3266" s="1"/>
    </row>
    <row r="3267" spans="16:39" x14ac:dyDescent="0.25">
      <c r="P3267" s="49"/>
      <c r="Q3267" s="1"/>
      <c r="S3267" s="1"/>
      <c r="T3267" s="1"/>
      <c r="U3267" s="1"/>
      <c r="V3267" s="1"/>
      <c r="W3267" s="1"/>
      <c r="X3267" s="1"/>
      <c r="Y3267" s="1"/>
      <c r="AB3267" s="1"/>
      <c r="AC3267" s="1"/>
      <c r="AD3267" s="1"/>
      <c r="AE3267" s="1"/>
      <c r="AF3267" s="1"/>
      <c r="AG3267" s="1"/>
      <c r="AH3267" s="1"/>
      <c r="AI3267" s="1"/>
      <c r="AJ3267" s="1"/>
      <c r="AK3267" s="1"/>
      <c r="AL3267" s="1"/>
      <c r="AM3267" s="1"/>
    </row>
    <row r="3268" spans="16:39" x14ac:dyDescent="0.25">
      <c r="P3268" s="49"/>
      <c r="Q3268" s="1"/>
      <c r="S3268" s="1"/>
      <c r="T3268" s="1"/>
      <c r="U3268" s="1"/>
      <c r="V3268" s="1"/>
      <c r="W3268" s="1"/>
      <c r="X3268" s="1"/>
      <c r="Y3268" s="1"/>
      <c r="AB3268" s="1"/>
      <c r="AC3268" s="1"/>
      <c r="AD3268" s="1"/>
      <c r="AE3268" s="1"/>
      <c r="AF3268" s="1"/>
      <c r="AG3268" s="1"/>
      <c r="AH3268" s="1"/>
      <c r="AI3268" s="1"/>
      <c r="AJ3268" s="1"/>
      <c r="AK3268" s="1"/>
      <c r="AL3268" s="1"/>
      <c r="AM3268" s="1"/>
    </row>
    <row r="3269" spans="16:39" x14ac:dyDescent="0.25">
      <c r="P3269" s="49"/>
      <c r="Q3269" s="1"/>
      <c r="S3269" s="1"/>
      <c r="T3269" s="1"/>
      <c r="U3269" s="1"/>
      <c r="V3269" s="1"/>
      <c r="W3269" s="1"/>
      <c r="X3269" s="1"/>
      <c r="Y3269" s="1"/>
      <c r="AB3269" s="1"/>
      <c r="AC3269" s="1"/>
      <c r="AD3269" s="1"/>
      <c r="AE3269" s="1"/>
      <c r="AF3269" s="1"/>
      <c r="AG3269" s="1"/>
      <c r="AH3269" s="1"/>
      <c r="AI3269" s="1"/>
      <c r="AJ3269" s="1"/>
      <c r="AK3269" s="1"/>
      <c r="AL3269" s="1"/>
      <c r="AM3269" s="1"/>
    </row>
    <row r="3270" spans="16:39" x14ac:dyDescent="0.25">
      <c r="P3270" s="49"/>
      <c r="Q3270" s="1"/>
      <c r="S3270" s="1"/>
      <c r="T3270" s="1"/>
      <c r="U3270" s="1"/>
      <c r="V3270" s="1"/>
      <c r="W3270" s="1"/>
      <c r="X3270" s="1"/>
      <c r="Y3270" s="1"/>
      <c r="AB3270" s="1"/>
      <c r="AC3270" s="1"/>
      <c r="AD3270" s="1"/>
      <c r="AE3270" s="1"/>
      <c r="AF3270" s="1"/>
      <c r="AG3270" s="1"/>
      <c r="AH3270" s="1"/>
      <c r="AI3270" s="1"/>
      <c r="AJ3270" s="1"/>
      <c r="AK3270" s="1"/>
      <c r="AL3270" s="1"/>
      <c r="AM3270" s="1"/>
    </row>
    <row r="3271" spans="16:39" x14ac:dyDescent="0.25">
      <c r="P3271" s="49"/>
      <c r="Q3271" s="1"/>
      <c r="S3271" s="1"/>
      <c r="T3271" s="1"/>
      <c r="U3271" s="1"/>
      <c r="V3271" s="1"/>
      <c r="W3271" s="1"/>
      <c r="X3271" s="1"/>
      <c r="Y3271" s="1"/>
      <c r="AB3271" s="1"/>
      <c r="AC3271" s="1"/>
      <c r="AD3271" s="1"/>
      <c r="AE3271" s="1"/>
      <c r="AF3271" s="1"/>
      <c r="AG3271" s="1"/>
      <c r="AH3271" s="1"/>
      <c r="AI3271" s="1"/>
      <c r="AJ3271" s="1"/>
      <c r="AK3271" s="1"/>
      <c r="AL3271" s="1"/>
      <c r="AM3271" s="1"/>
    </row>
    <row r="3272" spans="16:39" x14ac:dyDescent="0.25">
      <c r="P3272" s="49"/>
      <c r="Q3272" s="1"/>
      <c r="S3272" s="1"/>
      <c r="T3272" s="1"/>
      <c r="U3272" s="1"/>
      <c r="V3272" s="1"/>
      <c r="W3272" s="1"/>
      <c r="X3272" s="1"/>
      <c r="Y3272" s="1"/>
      <c r="AB3272" s="1"/>
      <c r="AC3272" s="1"/>
      <c r="AD3272" s="1"/>
      <c r="AE3272" s="1"/>
      <c r="AF3272" s="1"/>
      <c r="AG3272" s="1"/>
      <c r="AH3272" s="1"/>
      <c r="AI3272" s="1"/>
      <c r="AJ3272" s="1"/>
      <c r="AK3272" s="1"/>
      <c r="AL3272" s="1"/>
      <c r="AM3272" s="1"/>
    </row>
    <row r="3273" spans="16:39" x14ac:dyDescent="0.25">
      <c r="P3273" s="49"/>
      <c r="Q3273" s="1"/>
      <c r="S3273" s="1"/>
      <c r="T3273" s="1"/>
      <c r="U3273" s="1"/>
      <c r="V3273" s="1"/>
      <c r="W3273" s="1"/>
      <c r="X3273" s="1"/>
      <c r="Y3273" s="1"/>
      <c r="AB3273" s="1"/>
      <c r="AC3273" s="1"/>
      <c r="AD3273" s="1"/>
      <c r="AE3273" s="1"/>
      <c r="AF3273" s="1"/>
      <c r="AG3273" s="1"/>
      <c r="AH3273" s="1"/>
      <c r="AI3273" s="1"/>
      <c r="AJ3273" s="1"/>
      <c r="AK3273" s="1"/>
      <c r="AL3273" s="1"/>
      <c r="AM3273" s="1"/>
    </row>
    <row r="3274" spans="16:39" x14ac:dyDescent="0.25">
      <c r="P3274" s="49"/>
      <c r="Q3274" s="1"/>
      <c r="S3274" s="1"/>
      <c r="T3274" s="1"/>
      <c r="U3274" s="1"/>
      <c r="V3274" s="1"/>
      <c r="W3274" s="1"/>
      <c r="X3274" s="1"/>
      <c r="Y3274" s="1"/>
      <c r="AB3274" s="1"/>
      <c r="AC3274" s="1"/>
      <c r="AD3274" s="1"/>
      <c r="AE3274" s="1"/>
      <c r="AF3274" s="1"/>
      <c r="AG3274" s="1"/>
      <c r="AH3274" s="1"/>
      <c r="AI3274" s="1"/>
      <c r="AJ3274" s="1"/>
      <c r="AK3274" s="1"/>
      <c r="AL3274" s="1"/>
      <c r="AM3274" s="1"/>
    </row>
    <row r="3275" spans="16:39" x14ac:dyDescent="0.25">
      <c r="P3275" s="49"/>
      <c r="Q3275" s="1"/>
      <c r="S3275" s="1"/>
      <c r="T3275" s="1"/>
      <c r="U3275" s="1"/>
      <c r="V3275" s="1"/>
      <c r="W3275" s="1"/>
      <c r="X3275" s="1"/>
      <c r="Y3275" s="1"/>
      <c r="AB3275" s="1"/>
      <c r="AC3275" s="1"/>
      <c r="AD3275" s="1"/>
      <c r="AE3275" s="1"/>
      <c r="AF3275" s="1"/>
      <c r="AG3275" s="1"/>
      <c r="AH3275" s="1"/>
      <c r="AI3275" s="1"/>
      <c r="AJ3275" s="1"/>
      <c r="AK3275" s="1"/>
      <c r="AL3275" s="1"/>
      <c r="AM3275" s="1"/>
    </row>
    <row r="3276" spans="16:39" x14ac:dyDescent="0.25">
      <c r="P3276" s="49"/>
      <c r="Q3276" s="1"/>
      <c r="S3276" s="1"/>
      <c r="T3276" s="1"/>
      <c r="U3276" s="1"/>
      <c r="V3276" s="1"/>
      <c r="W3276" s="1"/>
      <c r="X3276" s="1"/>
      <c r="Y3276" s="1"/>
      <c r="AB3276" s="1"/>
      <c r="AC3276" s="1"/>
      <c r="AD3276" s="1"/>
      <c r="AE3276" s="1"/>
      <c r="AF3276" s="1"/>
      <c r="AG3276" s="1"/>
      <c r="AH3276" s="1"/>
      <c r="AI3276" s="1"/>
      <c r="AJ3276" s="1"/>
      <c r="AK3276" s="1"/>
      <c r="AL3276" s="1"/>
      <c r="AM3276" s="1"/>
    </row>
    <row r="3277" spans="16:39" x14ac:dyDescent="0.25">
      <c r="P3277" s="49"/>
      <c r="Q3277" s="1"/>
      <c r="S3277" s="1"/>
      <c r="T3277" s="1"/>
      <c r="U3277" s="1"/>
      <c r="V3277" s="1"/>
      <c r="W3277" s="1"/>
      <c r="X3277" s="1"/>
      <c r="Y3277" s="1"/>
      <c r="AB3277" s="1"/>
      <c r="AC3277" s="1"/>
      <c r="AD3277" s="1"/>
      <c r="AE3277" s="1"/>
      <c r="AF3277" s="1"/>
      <c r="AG3277" s="1"/>
      <c r="AH3277" s="1"/>
      <c r="AI3277" s="1"/>
      <c r="AJ3277" s="1"/>
      <c r="AK3277" s="1"/>
      <c r="AL3277" s="1"/>
      <c r="AM3277" s="1"/>
    </row>
    <row r="3278" spans="16:39" x14ac:dyDescent="0.25">
      <c r="P3278" s="49"/>
      <c r="Q3278" s="1"/>
      <c r="S3278" s="1"/>
      <c r="T3278" s="1"/>
      <c r="U3278" s="1"/>
      <c r="V3278" s="1"/>
      <c r="W3278" s="1"/>
      <c r="X3278" s="1"/>
      <c r="Y3278" s="1"/>
      <c r="AB3278" s="1"/>
      <c r="AC3278" s="1"/>
      <c r="AD3278" s="1"/>
      <c r="AE3278" s="1"/>
      <c r="AF3278" s="1"/>
      <c r="AG3278" s="1"/>
      <c r="AH3278" s="1"/>
      <c r="AI3278" s="1"/>
      <c r="AJ3278" s="1"/>
      <c r="AK3278" s="1"/>
      <c r="AL3278" s="1"/>
      <c r="AM3278" s="1"/>
    </row>
    <row r="3279" spans="16:39" x14ac:dyDescent="0.25">
      <c r="P3279" s="49"/>
      <c r="Q3279" s="1"/>
      <c r="S3279" s="1"/>
      <c r="T3279" s="1"/>
      <c r="U3279" s="1"/>
      <c r="V3279" s="1"/>
      <c r="W3279" s="1"/>
      <c r="X3279" s="1"/>
      <c r="Y3279" s="1"/>
      <c r="AB3279" s="1"/>
      <c r="AC3279" s="1"/>
      <c r="AD3279" s="1"/>
      <c r="AE3279" s="1"/>
      <c r="AF3279" s="1"/>
      <c r="AG3279" s="1"/>
      <c r="AH3279" s="1"/>
      <c r="AI3279" s="1"/>
      <c r="AJ3279" s="1"/>
      <c r="AK3279" s="1"/>
      <c r="AL3279" s="1"/>
      <c r="AM3279" s="1"/>
    </row>
    <row r="3280" spans="16:39" x14ac:dyDescent="0.25">
      <c r="P3280" s="49"/>
      <c r="Q3280" s="1"/>
      <c r="S3280" s="1"/>
      <c r="T3280" s="1"/>
      <c r="U3280" s="1"/>
      <c r="V3280" s="1"/>
      <c r="W3280" s="1"/>
      <c r="X3280" s="1"/>
      <c r="Y3280" s="1"/>
      <c r="AB3280" s="1"/>
      <c r="AC3280" s="1"/>
      <c r="AD3280" s="1"/>
      <c r="AE3280" s="1"/>
      <c r="AF3280" s="1"/>
      <c r="AG3280" s="1"/>
      <c r="AH3280" s="1"/>
      <c r="AI3280" s="1"/>
      <c r="AJ3280" s="1"/>
      <c r="AK3280" s="1"/>
      <c r="AL3280" s="1"/>
      <c r="AM3280" s="1"/>
    </row>
    <row r="3281" spans="16:39" x14ac:dyDescent="0.25">
      <c r="P3281" s="49"/>
      <c r="Q3281" s="1"/>
      <c r="S3281" s="1"/>
      <c r="T3281" s="1"/>
      <c r="U3281" s="1"/>
      <c r="V3281" s="1"/>
      <c r="W3281" s="1"/>
      <c r="X3281" s="1"/>
      <c r="Y3281" s="1"/>
      <c r="AB3281" s="1"/>
      <c r="AC3281" s="1"/>
      <c r="AD3281" s="1"/>
      <c r="AE3281" s="1"/>
      <c r="AF3281" s="1"/>
      <c r="AG3281" s="1"/>
      <c r="AH3281" s="1"/>
      <c r="AI3281" s="1"/>
      <c r="AJ3281" s="1"/>
      <c r="AK3281" s="1"/>
      <c r="AL3281" s="1"/>
      <c r="AM3281" s="1"/>
    </row>
    <row r="3282" spans="16:39" x14ac:dyDescent="0.25">
      <c r="P3282" s="49"/>
      <c r="Q3282" s="1"/>
      <c r="S3282" s="1"/>
      <c r="T3282" s="1"/>
      <c r="U3282" s="1"/>
      <c r="V3282" s="1"/>
      <c r="W3282" s="1"/>
      <c r="X3282" s="1"/>
      <c r="Y3282" s="1"/>
      <c r="AB3282" s="1"/>
      <c r="AC3282" s="1"/>
      <c r="AD3282" s="1"/>
      <c r="AE3282" s="1"/>
      <c r="AF3282" s="1"/>
      <c r="AG3282" s="1"/>
      <c r="AH3282" s="1"/>
      <c r="AI3282" s="1"/>
      <c r="AJ3282" s="1"/>
      <c r="AK3282" s="1"/>
      <c r="AL3282" s="1"/>
      <c r="AM3282" s="1"/>
    </row>
    <row r="3283" spans="16:39" x14ac:dyDescent="0.25">
      <c r="P3283" s="49"/>
      <c r="Q3283" s="1"/>
      <c r="S3283" s="1"/>
      <c r="T3283" s="1"/>
      <c r="U3283" s="1"/>
      <c r="V3283" s="1"/>
      <c r="W3283" s="1"/>
      <c r="X3283" s="1"/>
      <c r="Y3283" s="1"/>
      <c r="AB3283" s="1"/>
      <c r="AC3283" s="1"/>
      <c r="AD3283" s="1"/>
      <c r="AE3283" s="1"/>
      <c r="AF3283" s="1"/>
      <c r="AG3283" s="1"/>
      <c r="AH3283" s="1"/>
      <c r="AI3283" s="1"/>
      <c r="AJ3283" s="1"/>
      <c r="AK3283" s="1"/>
      <c r="AL3283" s="1"/>
      <c r="AM3283" s="1"/>
    </row>
    <row r="3284" spans="16:39" x14ac:dyDescent="0.25">
      <c r="P3284" s="49"/>
      <c r="Q3284" s="1"/>
      <c r="S3284" s="1"/>
      <c r="T3284" s="1"/>
      <c r="U3284" s="1"/>
      <c r="V3284" s="1"/>
      <c r="W3284" s="1"/>
      <c r="X3284" s="1"/>
      <c r="Y3284" s="1"/>
      <c r="AB3284" s="1"/>
      <c r="AC3284" s="1"/>
      <c r="AD3284" s="1"/>
      <c r="AE3284" s="1"/>
      <c r="AF3284" s="1"/>
      <c r="AG3284" s="1"/>
      <c r="AH3284" s="1"/>
      <c r="AI3284" s="1"/>
      <c r="AJ3284" s="1"/>
      <c r="AK3284" s="1"/>
      <c r="AL3284" s="1"/>
      <c r="AM3284" s="1"/>
    </row>
    <row r="3285" spans="16:39" x14ac:dyDescent="0.25">
      <c r="P3285" s="49"/>
      <c r="Q3285" s="1"/>
      <c r="S3285" s="1"/>
      <c r="T3285" s="1"/>
      <c r="U3285" s="1"/>
      <c r="V3285" s="1"/>
      <c r="W3285" s="1"/>
      <c r="X3285" s="1"/>
      <c r="Y3285" s="1"/>
      <c r="AB3285" s="1"/>
      <c r="AC3285" s="1"/>
      <c r="AD3285" s="1"/>
      <c r="AE3285" s="1"/>
      <c r="AF3285" s="1"/>
      <c r="AG3285" s="1"/>
      <c r="AH3285" s="1"/>
      <c r="AI3285" s="1"/>
      <c r="AJ3285" s="1"/>
      <c r="AK3285" s="1"/>
      <c r="AL3285" s="1"/>
      <c r="AM3285" s="1"/>
    </row>
    <row r="3286" spans="16:39" x14ac:dyDescent="0.25">
      <c r="P3286" s="49"/>
      <c r="Q3286" s="1"/>
      <c r="S3286" s="1"/>
      <c r="T3286" s="1"/>
      <c r="U3286" s="1"/>
      <c r="V3286" s="1"/>
      <c r="W3286" s="1"/>
      <c r="X3286" s="1"/>
      <c r="Y3286" s="1"/>
      <c r="AB3286" s="1"/>
      <c r="AC3286" s="1"/>
      <c r="AD3286" s="1"/>
      <c r="AE3286" s="1"/>
      <c r="AF3286" s="1"/>
      <c r="AG3286" s="1"/>
      <c r="AH3286" s="1"/>
      <c r="AI3286" s="1"/>
      <c r="AJ3286" s="1"/>
      <c r="AK3286" s="1"/>
      <c r="AL3286" s="1"/>
      <c r="AM3286" s="1"/>
    </row>
    <row r="3287" spans="16:39" x14ac:dyDescent="0.25">
      <c r="P3287" s="49"/>
      <c r="Q3287" s="1"/>
      <c r="S3287" s="1"/>
      <c r="T3287" s="1"/>
      <c r="U3287" s="1"/>
      <c r="V3287" s="1"/>
      <c r="W3287" s="1"/>
      <c r="X3287" s="1"/>
      <c r="Y3287" s="1"/>
      <c r="AB3287" s="1"/>
      <c r="AC3287" s="1"/>
      <c r="AD3287" s="1"/>
      <c r="AE3287" s="1"/>
      <c r="AF3287" s="1"/>
      <c r="AG3287" s="1"/>
      <c r="AH3287" s="1"/>
      <c r="AI3287" s="1"/>
      <c r="AJ3287" s="1"/>
      <c r="AK3287" s="1"/>
      <c r="AL3287" s="1"/>
      <c r="AM3287" s="1"/>
    </row>
    <row r="3288" spans="16:39" x14ac:dyDescent="0.25">
      <c r="P3288" s="49"/>
      <c r="Q3288" s="1"/>
      <c r="S3288" s="1"/>
      <c r="T3288" s="1"/>
      <c r="U3288" s="1"/>
      <c r="V3288" s="1"/>
      <c r="W3288" s="1"/>
      <c r="X3288" s="1"/>
      <c r="Y3288" s="1"/>
      <c r="AB3288" s="1"/>
      <c r="AC3288" s="1"/>
      <c r="AD3288" s="1"/>
      <c r="AE3288" s="1"/>
      <c r="AF3288" s="1"/>
      <c r="AG3288" s="1"/>
      <c r="AH3288" s="1"/>
      <c r="AI3288" s="1"/>
      <c r="AJ3288" s="1"/>
      <c r="AK3288" s="1"/>
      <c r="AL3288" s="1"/>
      <c r="AM3288" s="1"/>
    </row>
    <row r="3289" spans="16:39" x14ac:dyDescent="0.25">
      <c r="P3289" s="49"/>
      <c r="Q3289" s="1"/>
      <c r="S3289" s="1"/>
      <c r="T3289" s="1"/>
      <c r="U3289" s="1"/>
      <c r="V3289" s="1"/>
      <c r="W3289" s="1"/>
      <c r="X3289" s="1"/>
      <c r="Y3289" s="1"/>
      <c r="AB3289" s="1"/>
      <c r="AC3289" s="1"/>
      <c r="AD3289" s="1"/>
      <c r="AE3289" s="1"/>
      <c r="AF3289" s="1"/>
      <c r="AG3289" s="1"/>
      <c r="AH3289" s="1"/>
      <c r="AI3289" s="1"/>
      <c r="AJ3289" s="1"/>
      <c r="AK3289" s="1"/>
      <c r="AL3289" s="1"/>
      <c r="AM3289" s="1"/>
    </row>
    <row r="3290" spans="16:39" x14ac:dyDescent="0.25">
      <c r="P3290" s="49"/>
      <c r="Q3290" s="1"/>
      <c r="S3290" s="1"/>
      <c r="T3290" s="1"/>
      <c r="U3290" s="1"/>
      <c r="V3290" s="1"/>
      <c r="W3290" s="1"/>
      <c r="X3290" s="1"/>
      <c r="Y3290" s="1"/>
      <c r="AB3290" s="1"/>
      <c r="AC3290" s="1"/>
      <c r="AD3290" s="1"/>
      <c r="AE3290" s="1"/>
      <c r="AF3290" s="1"/>
      <c r="AG3290" s="1"/>
      <c r="AH3290" s="1"/>
      <c r="AI3290" s="1"/>
      <c r="AJ3290" s="1"/>
      <c r="AK3290" s="1"/>
      <c r="AL3290" s="1"/>
      <c r="AM3290" s="1"/>
    </row>
    <row r="3291" spans="16:39" x14ac:dyDescent="0.25">
      <c r="P3291" s="49"/>
      <c r="Q3291" s="1"/>
      <c r="S3291" s="1"/>
      <c r="T3291" s="1"/>
      <c r="U3291" s="1"/>
      <c r="V3291" s="1"/>
      <c r="W3291" s="1"/>
      <c r="X3291" s="1"/>
      <c r="Y3291" s="1"/>
      <c r="AB3291" s="1"/>
      <c r="AC3291" s="1"/>
      <c r="AD3291" s="1"/>
      <c r="AE3291" s="1"/>
      <c r="AF3291" s="1"/>
      <c r="AG3291" s="1"/>
      <c r="AH3291" s="1"/>
      <c r="AI3291" s="1"/>
      <c r="AJ3291" s="1"/>
      <c r="AK3291" s="1"/>
      <c r="AL3291" s="1"/>
      <c r="AM3291" s="1"/>
    </row>
    <row r="3292" spans="16:39" x14ac:dyDescent="0.25">
      <c r="P3292" s="49"/>
      <c r="Q3292" s="1"/>
      <c r="S3292" s="1"/>
      <c r="T3292" s="1"/>
      <c r="U3292" s="1"/>
      <c r="V3292" s="1"/>
      <c r="W3292" s="1"/>
      <c r="X3292" s="1"/>
      <c r="Y3292" s="1"/>
      <c r="AB3292" s="1"/>
      <c r="AC3292" s="1"/>
      <c r="AD3292" s="1"/>
      <c r="AE3292" s="1"/>
      <c r="AF3292" s="1"/>
      <c r="AG3292" s="1"/>
      <c r="AH3292" s="1"/>
      <c r="AI3292" s="1"/>
      <c r="AJ3292" s="1"/>
      <c r="AK3292" s="1"/>
      <c r="AL3292" s="1"/>
      <c r="AM3292" s="1"/>
    </row>
    <row r="3293" spans="16:39" x14ac:dyDescent="0.25">
      <c r="P3293" s="49"/>
      <c r="Q3293" s="1"/>
      <c r="S3293" s="1"/>
      <c r="T3293" s="1"/>
      <c r="U3293" s="1"/>
      <c r="V3293" s="1"/>
      <c r="W3293" s="1"/>
      <c r="X3293" s="1"/>
      <c r="Y3293" s="1"/>
      <c r="AB3293" s="1"/>
      <c r="AC3293" s="1"/>
      <c r="AD3293" s="1"/>
      <c r="AE3293" s="1"/>
      <c r="AF3293" s="1"/>
      <c r="AG3293" s="1"/>
      <c r="AH3293" s="1"/>
      <c r="AI3293" s="1"/>
      <c r="AJ3293" s="1"/>
      <c r="AK3293" s="1"/>
      <c r="AL3293" s="1"/>
      <c r="AM3293" s="1"/>
    </row>
    <row r="3294" spans="16:39" x14ac:dyDescent="0.25">
      <c r="P3294" s="49"/>
      <c r="Q3294" s="1"/>
      <c r="S3294" s="1"/>
      <c r="T3294" s="1"/>
      <c r="U3294" s="1"/>
      <c r="V3294" s="1"/>
      <c r="W3294" s="1"/>
      <c r="X3294" s="1"/>
      <c r="Y3294" s="1"/>
      <c r="AB3294" s="1"/>
      <c r="AC3294" s="1"/>
      <c r="AD3294" s="1"/>
      <c r="AE3294" s="1"/>
      <c r="AF3294" s="1"/>
      <c r="AG3294" s="1"/>
      <c r="AH3294" s="1"/>
      <c r="AI3294" s="1"/>
      <c r="AJ3294" s="1"/>
      <c r="AK3294" s="1"/>
      <c r="AL3294" s="1"/>
      <c r="AM3294" s="1"/>
    </row>
    <row r="3295" spans="16:39" x14ac:dyDescent="0.25">
      <c r="P3295" s="49"/>
      <c r="Q3295" s="1"/>
      <c r="S3295" s="1"/>
      <c r="T3295" s="1"/>
      <c r="U3295" s="1"/>
      <c r="V3295" s="1"/>
      <c r="W3295" s="1"/>
      <c r="X3295" s="1"/>
      <c r="Y3295" s="1"/>
      <c r="AB3295" s="1"/>
      <c r="AC3295" s="1"/>
      <c r="AD3295" s="1"/>
      <c r="AE3295" s="1"/>
      <c r="AF3295" s="1"/>
      <c r="AG3295" s="1"/>
      <c r="AH3295" s="1"/>
      <c r="AI3295" s="1"/>
      <c r="AJ3295" s="1"/>
      <c r="AK3295" s="1"/>
      <c r="AL3295" s="1"/>
      <c r="AM3295" s="1"/>
    </row>
    <row r="3296" spans="16:39" x14ac:dyDescent="0.25">
      <c r="P3296" s="49"/>
      <c r="Q3296" s="1"/>
      <c r="S3296" s="1"/>
      <c r="T3296" s="1"/>
      <c r="U3296" s="1"/>
      <c r="V3296" s="1"/>
      <c r="W3296" s="1"/>
      <c r="X3296" s="1"/>
      <c r="Y3296" s="1"/>
      <c r="AB3296" s="1"/>
      <c r="AC3296" s="1"/>
      <c r="AD3296" s="1"/>
      <c r="AE3296" s="1"/>
      <c r="AF3296" s="1"/>
      <c r="AG3296" s="1"/>
      <c r="AH3296" s="1"/>
      <c r="AI3296" s="1"/>
      <c r="AJ3296" s="1"/>
      <c r="AK3296" s="1"/>
      <c r="AL3296" s="1"/>
      <c r="AM3296" s="1"/>
    </row>
    <row r="3297" spans="16:39" x14ac:dyDescent="0.25">
      <c r="P3297" s="49"/>
      <c r="Q3297" s="1"/>
      <c r="S3297" s="1"/>
      <c r="T3297" s="1"/>
      <c r="U3297" s="1"/>
      <c r="V3297" s="1"/>
      <c r="W3297" s="1"/>
      <c r="X3297" s="1"/>
      <c r="Y3297" s="1"/>
      <c r="AB3297" s="1"/>
      <c r="AC3297" s="1"/>
      <c r="AD3297" s="1"/>
      <c r="AE3297" s="1"/>
      <c r="AF3297" s="1"/>
      <c r="AG3297" s="1"/>
      <c r="AH3297" s="1"/>
      <c r="AI3297" s="1"/>
      <c r="AJ3297" s="1"/>
      <c r="AK3297" s="1"/>
      <c r="AL3297" s="1"/>
      <c r="AM3297" s="1"/>
    </row>
    <row r="3298" spans="16:39" x14ac:dyDescent="0.25">
      <c r="P3298" s="49"/>
      <c r="Q3298" s="1"/>
      <c r="S3298" s="1"/>
      <c r="T3298" s="1"/>
      <c r="U3298" s="1"/>
      <c r="V3298" s="1"/>
      <c r="W3298" s="1"/>
      <c r="X3298" s="1"/>
      <c r="Y3298" s="1"/>
      <c r="AB3298" s="1"/>
      <c r="AC3298" s="1"/>
      <c r="AD3298" s="1"/>
      <c r="AE3298" s="1"/>
      <c r="AF3298" s="1"/>
      <c r="AG3298" s="1"/>
      <c r="AH3298" s="1"/>
      <c r="AI3298" s="1"/>
      <c r="AJ3298" s="1"/>
      <c r="AK3298" s="1"/>
      <c r="AL3298" s="1"/>
      <c r="AM3298" s="1"/>
    </row>
    <row r="3299" spans="16:39" x14ac:dyDescent="0.25">
      <c r="P3299" s="49"/>
      <c r="Q3299" s="1"/>
      <c r="S3299" s="1"/>
      <c r="T3299" s="1"/>
      <c r="U3299" s="1"/>
      <c r="V3299" s="1"/>
      <c r="W3299" s="1"/>
      <c r="X3299" s="1"/>
      <c r="Y3299" s="1"/>
      <c r="AB3299" s="1"/>
      <c r="AC3299" s="1"/>
      <c r="AD3299" s="1"/>
      <c r="AE3299" s="1"/>
      <c r="AF3299" s="1"/>
      <c r="AG3299" s="1"/>
      <c r="AH3299" s="1"/>
      <c r="AI3299" s="1"/>
      <c r="AJ3299" s="1"/>
      <c r="AK3299" s="1"/>
      <c r="AL3299" s="1"/>
      <c r="AM3299" s="1"/>
    </row>
    <row r="3300" spans="16:39" x14ac:dyDescent="0.25">
      <c r="P3300" s="49"/>
      <c r="Q3300" s="1"/>
      <c r="S3300" s="1"/>
      <c r="T3300" s="1"/>
      <c r="U3300" s="1"/>
      <c r="V3300" s="1"/>
      <c r="W3300" s="1"/>
      <c r="X3300" s="1"/>
      <c r="Y3300" s="1"/>
      <c r="AB3300" s="1"/>
      <c r="AC3300" s="1"/>
      <c r="AD3300" s="1"/>
      <c r="AE3300" s="1"/>
      <c r="AF3300" s="1"/>
      <c r="AG3300" s="1"/>
      <c r="AH3300" s="1"/>
      <c r="AI3300" s="1"/>
      <c r="AJ3300" s="1"/>
      <c r="AK3300" s="1"/>
      <c r="AL3300" s="1"/>
      <c r="AM3300" s="1"/>
    </row>
    <row r="3301" spans="16:39" x14ac:dyDescent="0.25">
      <c r="P3301" s="49"/>
      <c r="Q3301" s="1"/>
      <c r="S3301" s="1"/>
      <c r="T3301" s="1"/>
      <c r="U3301" s="1"/>
      <c r="V3301" s="1"/>
      <c r="W3301" s="1"/>
      <c r="X3301" s="1"/>
      <c r="Y3301" s="1"/>
      <c r="AB3301" s="1"/>
      <c r="AC3301" s="1"/>
      <c r="AD3301" s="1"/>
      <c r="AE3301" s="1"/>
      <c r="AF3301" s="1"/>
      <c r="AG3301" s="1"/>
      <c r="AH3301" s="1"/>
      <c r="AI3301" s="1"/>
      <c r="AJ3301" s="1"/>
      <c r="AK3301" s="1"/>
      <c r="AL3301" s="1"/>
      <c r="AM3301" s="1"/>
    </row>
    <row r="3302" spans="16:39" x14ac:dyDescent="0.25">
      <c r="P3302" s="49"/>
      <c r="Q3302" s="1"/>
      <c r="S3302" s="1"/>
      <c r="T3302" s="1"/>
      <c r="U3302" s="1"/>
      <c r="V3302" s="1"/>
      <c r="W3302" s="1"/>
      <c r="X3302" s="1"/>
      <c r="Y3302" s="1"/>
      <c r="AB3302" s="1"/>
      <c r="AC3302" s="1"/>
      <c r="AD3302" s="1"/>
      <c r="AE3302" s="1"/>
      <c r="AF3302" s="1"/>
      <c r="AG3302" s="1"/>
      <c r="AH3302" s="1"/>
      <c r="AI3302" s="1"/>
      <c r="AJ3302" s="1"/>
      <c r="AK3302" s="1"/>
      <c r="AL3302" s="1"/>
      <c r="AM3302" s="1"/>
    </row>
    <row r="3303" spans="16:39" x14ac:dyDescent="0.25">
      <c r="P3303" s="49"/>
      <c r="Q3303" s="1"/>
      <c r="S3303" s="1"/>
      <c r="T3303" s="1"/>
      <c r="U3303" s="1"/>
      <c r="V3303" s="1"/>
      <c r="W3303" s="1"/>
      <c r="X3303" s="1"/>
      <c r="Y3303" s="1"/>
      <c r="AB3303" s="1"/>
      <c r="AC3303" s="1"/>
      <c r="AD3303" s="1"/>
      <c r="AE3303" s="1"/>
      <c r="AF3303" s="1"/>
      <c r="AG3303" s="1"/>
      <c r="AH3303" s="1"/>
      <c r="AI3303" s="1"/>
      <c r="AJ3303" s="1"/>
      <c r="AK3303" s="1"/>
      <c r="AL3303" s="1"/>
      <c r="AM3303" s="1"/>
    </row>
    <row r="3304" spans="16:39" x14ac:dyDescent="0.25">
      <c r="P3304" s="49"/>
      <c r="Q3304" s="1"/>
      <c r="S3304" s="1"/>
      <c r="T3304" s="1"/>
      <c r="U3304" s="1"/>
      <c r="V3304" s="1"/>
      <c r="W3304" s="1"/>
      <c r="X3304" s="1"/>
      <c r="Y3304" s="1"/>
      <c r="AB3304" s="1"/>
      <c r="AC3304" s="1"/>
      <c r="AD3304" s="1"/>
      <c r="AE3304" s="1"/>
      <c r="AF3304" s="1"/>
      <c r="AG3304" s="1"/>
      <c r="AH3304" s="1"/>
      <c r="AI3304" s="1"/>
      <c r="AJ3304" s="1"/>
      <c r="AK3304" s="1"/>
      <c r="AL3304" s="1"/>
      <c r="AM3304" s="1"/>
    </row>
    <row r="3305" spans="16:39" x14ac:dyDescent="0.25">
      <c r="P3305" s="49"/>
      <c r="Q3305" s="1"/>
      <c r="S3305" s="1"/>
      <c r="T3305" s="1"/>
      <c r="U3305" s="1"/>
      <c r="V3305" s="1"/>
      <c r="W3305" s="1"/>
      <c r="X3305" s="1"/>
      <c r="Y3305" s="1"/>
      <c r="AB3305" s="1"/>
      <c r="AC3305" s="1"/>
      <c r="AD3305" s="1"/>
      <c r="AE3305" s="1"/>
      <c r="AF3305" s="1"/>
      <c r="AG3305" s="1"/>
      <c r="AH3305" s="1"/>
      <c r="AI3305" s="1"/>
      <c r="AJ3305" s="1"/>
      <c r="AK3305" s="1"/>
      <c r="AL3305" s="1"/>
      <c r="AM3305" s="1"/>
    </row>
    <row r="3306" spans="16:39" x14ac:dyDescent="0.25">
      <c r="P3306" s="49"/>
      <c r="Q3306" s="1"/>
      <c r="S3306" s="1"/>
      <c r="T3306" s="1"/>
      <c r="U3306" s="1"/>
      <c r="V3306" s="1"/>
      <c r="W3306" s="1"/>
      <c r="X3306" s="1"/>
      <c r="Y3306" s="1"/>
      <c r="AB3306" s="1"/>
      <c r="AC3306" s="1"/>
      <c r="AD3306" s="1"/>
      <c r="AE3306" s="1"/>
      <c r="AF3306" s="1"/>
      <c r="AG3306" s="1"/>
      <c r="AH3306" s="1"/>
      <c r="AI3306" s="1"/>
      <c r="AJ3306" s="1"/>
      <c r="AK3306" s="1"/>
      <c r="AL3306" s="1"/>
      <c r="AM3306" s="1"/>
    </row>
    <row r="3307" spans="16:39" x14ac:dyDescent="0.25">
      <c r="P3307" s="49"/>
      <c r="Q3307" s="1"/>
      <c r="S3307" s="1"/>
      <c r="T3307" s="1"/>
      <c r="U3307" s="1"/>
      <c r="V3307" s="1"/>
      <c r="W3307" s="1"/>
      <c r="X3307" s="1"/>
      <c r="Y3307" s="1"/>
      <c r="AB3307" s="1"/>
      <c r="AC3307" s="1"/>
      <c r="AD3307" s="1"/>
      <c r="AE3307" s="1"/>
      <c r="AF3307" s="1"/>
      <c r="AG3307" s="1"/>
      <c r="AH3307" s="1"/>
      <c r="AI3307" s="1"/>
      <c r="AJ3307" s="1"/>
      <c r="AK3307" s="1"/>
      <c r="AL3307" s="1"/>
      <c r="AM3307" s="1"/>
    </row>
    <row r="3308" spans="16:39" x14ac:dyDescent="0.25">
      <c r="P3308" s="49"/>
      <c r="Q3308" s="1"/>
      <c r="S3308" s="1"/>
      <c r="T3308" s="1"/>
      <c r="U3308" s="1"/>
      <c r="V3308" s="1"/>
      <c r="W3308" s="1"/>
      <c r="X3308" s="1"/>
      <c r="Y3308" s="1"/>
      <c r="AB3308" s="1"/>
      <c r="AC3308" s="1"/>
      <c r="AD3308" s="1"/>
      <c r="AE3308" s="1"/>
      <c r="AF3308" s="1"/>
      <c r="AG3308" s="1"/>
      <c r="AH3308" s="1"/>
      <c r="AI3308" s="1"/>
      <c r="AJ3308" s="1"/>
      <c r="AK3308" s="1"/>
      <c r="AL3308" s="1"/>
      <c r="AM3308" s="1"/>
    </row>
    <row r="3309" spans="16:39" x14ac:dyDescent="0.25">
      <c r="P3309" s="49"/>
      <c r="Q3309" s="1"/>
      <c r="S3309" s="1"/>
      <c r="T3309" s="1"/>
      <c r="U3309" s="1"/>
      <c r="V3309" s="1"/>
      <c r="W3309" s="1"/>
      <c r="X3309" s="1"/>
      <c r="Y3309" s="1"/>
      <c r="AB3309" s="1"/>
      <c r="AC3309" s="1"/>
      <c r="AD3309" s="1"/>
      <c r="AE3309" s="1"/>
      <c r="AF3309" s="1"/>
      <c r="AG3309" s="1"/>
      <c r="AH3309" s="1"/>
      <c r="AI3309" s="1"/>
      <c r="AJ3309" s="1"/>
      <c r="AK3309" s="1"/>
      <c r="AL3309" s="1"/>
      <c r="AM3309" s="1"/>
    </row>
    <row r="3310" spans="16:39" x14ac:dyDescent="0.25">
      <c r="P3310" s="49"/>
      <c r="Q3310" s="1"/>
      <c r="S3310" s="1"/>
      <c r="T3310" s="1"/>
      <c r="U3310" s="1"/>
      <c r="V3310" s="1"/>
      <c r="W3310" s="1"/>
      <c r="X3310" s="1"/>
      <c r="Y3310" s="1"/>
      <c r="AB3310" s="1"/>
      <c r="AC3310" s="1"/>
      <c r="AD3310" s="1"/>
      <c r="AE3310" s="1"/>
      <c r="AF3310" s="1"/>
      <c r="AG3310" s="1"/>
      <c r="AH3310" s="1"/>
      <c r="AI3310" s="1"/>
      <c r="AJ3310" s="1"/>
      <c r="AK3310" s="1"/>
      <c r="AL3310" s="1"/>
      <c r="AM3310" s="1"/>
    </row>
    <row r="3311" spans="16:39" x14ac:dyDescent="0.25">
      <c r="P3311" s="49"/>
      <c r="Q3311" s="1"/>
      <c r="S3311" s="1"/>
      <c r="T3311" s="1"/>
      <c r="U3311" s="1"/>
      <c r="V3311" s="1"/>
      <c r="W3311" s="1"/>
      <c r="X3311" s="1"/>
      <c r="Y3311" s="1"/>
      <c r="AB3311" s="1"/>
      <c r="AC3311" s="1"/>
      <c r="AD3311" s="1"/>
      <c r="AE3311" s="1"/>
      <c r="AF3311" s="1"/>
      <c r="AG3311" s="1"/>
      <c r="AH3311" s="1"/>
      <c r="AI3311" s="1"/>
      <c r="AJ3311" s="1"/>
      <c r="AK3311" s="1"/>
      <c r="AL3311" s="1"/>
      <c r="AM3311" s="1"/>
    </row>
    <row r="3312" spans="16:39" x14ac:dyDescent="0.25">
      <c r="P3312" s="49"/>
      <c r="Q3312" s="1"/>
      <c r="S3312" s="1"/>
      <c r="T3312" s="1"/>
      <c r="U3312" s="1"/>
      <c r="V3312" s="1"/>
      <c r="W3312" s="1"/>
      <c r="X3312" s="1"/>
      <c r="Y3312" s="1"/>
      <c r="AB3312" s="1"/>
      <c r="AC3312" s="1"/>
      <c r="AD3312" s="1"/>
      <c r="AE3312" s="1"/>
      <c r="AF3312" s="1"/>
      <c r="AG3312" s="1"/>
      <c r="AH3312" s="1"/>
      <c r="AI3312" s="1"/>
      <c r="AJ3312" s="1"/>
      <c r="AK3312" s="1"/>
      <c r="AL3312" s="1"/>
      <c r="AM3312" s="1"/>
    </row>
    <row r="3313" spans="16:39" x14ac:dyDescent="0.25">
      <c r="P3313" s="49"/>
      <c r="Q3313" s="1"/>
      <c r="S3313" s="1"/>
      <c r="T3313" s="1"/>
      <c r="U3313" s="1"/>
      <c r="V3313" s="1"/>
      <c r="W3313" s="1"/>
      <c r="X3313" s="1"/>
      <c r="Y3313" s="1"/>
      <c r="AB3313" s="1"/>
      <c r="AC3313" s="1"/>
      <c r="AD3313" s="1"/>
      <c r="AE3313" s="1"/>
      <c r="AF3313" s="1"/>
      <c r="AG3313" s="1"/>
      <c r="AH3313" s="1"/>
      <c r="AI3313" s="1"/>
      <c r="AJ3313" s="1"/>
      <c r="AK3313" s="1"/>
      <c r="AL3313" s="1"/>
      <c r="AM3313" s="1"/>
    </row>
    <row r="3314" spans="16:39" x14ac:dyDescent="0.25">
      <c r="P3314" s="49"/>
      <c r="Q3314" s="1"/>
      <c r="S3314" s="1"/>
      <c r="T3314" s="1"/>
      <c r="U3314" s="1"/>
      <c r="V3314" s="1"/>
      <c r="W3314" s="1"/>
      <c r="X3314" s="1"/>
      <c r="Y3314" s="1"/>
      <c r="AB3314" s="1"/>
      <c r="AC3314" s="1"/>
      <c r="AD3314" s="1"/>
      <c r="AE3314" s="1"/>
      <c r="AF3314" s="1"/>
      <c r="AG3314" s="1"/>
      <c r="AH3314" s="1"/>
      <c r="AI3314" s="1"/>
      <c r="AJ3314" s="1"/>
      <c r="AK3314" s="1"/>
      <c r="AL3314" s="1"/>
      <c r="AM3314" s="1"/>
    </row>
    <row r="3315" spans="16:39" x14ac:dyDescent="0.25">
      <c r="P3315" s="49"/>
      <c r="Q3315" s="1"/>
      <c r="S3315" s="1"/>
      <c r="T3315" s="1"/>
      <c r="U3315" s="1"/>
      <c r="V3315" s="1"/>
      <c r="W3315" s="1"/>
      <c r="X3315" s="1"/>
      <c r="Y3315" s="1"/>
      <c r="AB3315" s="1"/>
      <c r="AC3315" s="1"/>
      <c r="AD3315" s="1"/>
      <c r="AE3315" s="1"/>
      <c r="AF3315" s="1"/>
      <c r="AG3315" s="1"/>
      <c r="AH3315" s="1"/>
      <c r="AI3315" s="1"/>
      <c r="AJ3315" s="1"/>
      <c r="AK3315" s="1"/>
      <c r="AL3315" s="1"/>
      <c r="AM3315" s="1"/>
    </row>
    <row r="3316" spans="16:39" x14ac:dyDescent="0.25">
      <c r="P3316" s="49"/>
      <c r="Q3316" s="1"/>
      <c r="S3316" s="1"/>
      <c r="T3316" s="1"/>
      <c r="U3316" s="1"/>
      <c r="V3316" s="1"/>
      <c r="W3316" s="1"/>
      <c r="X3316" s="1"/>
      <c r="Y3316" s="1"/>
      <c r="AB3316" s="1"/>
      <c r="AC3316" s="1"/>
      <c r="AD3316" s="1"/>
      <c r="AE3316" s="1"/>
      <c r="AF3316" s="1"/>
      <c r="AG3316" s="1"/>
      <c r="AH3316" s="1"/>
      <c r="AI3316" s="1"/>
      <c r="AJ3316" s="1"/>
      <c r="AK3316" s="1"/>
      <c r="AL3316" s="1"/>
      <c r="AM3316" s="1"/>
    </row>
    <row r="3317" spans="16:39" x14ac:dyDescent="0.25">
      <c r="P3317" s="49"/>
      <c r="Q3317" s="1"/>
      <c r="S3317" s="1"/>
      <c r="T3317" s="1"/>
      <c r="U3317" s="1"/>
      <c r="V3317" s="1"/>
      <c r="W3317" s="1"/>
      <c r="X3317" s="1"/>
      <c r="Y3317" s="1"/>
      <c r="AB3317" s="1"/>
      <c r="AC3317" s="1"/>
      <c r="AD3317" s="1"/>
      <c r="AE3317" s="1"/>
      <c r="AF3317" s="1"/>
      <c r="AG3317" s="1"/>
      <c r="AH3317" s="1"/>
      <c r="AI3317" s="1"/>
      <c r="AJ3317" s="1"/>
      <c r="AK3317" s="1"/>
      <c r="AL3317" s="1"/>
      <c r="AM3317" s="1"/>
    </row>
    <row r="3318" spans="16:39" x14ac:dyDescent="0.25">
      <c r="P3318" s="49"/>
      <c r="Q3318" s="1"/>
      <c r="S3318" s="1"/>
      <c r="T3318" s="1"/>
      <c r="U3318" s="1"/>
      <c r="V3318" s="1"/>
      <c r="W3318" s="1"/>
      <c r="X3318" s="1"/>
      <c r="Y3318" s="1"/>
      <c r="AB3318" s="1"/>
      <c r="AC3318" s="1"/>
      <c r="AD3318" s="1"/>
      <c r="AE3318" s="1"/>
      <c r="AF3318" s="1"/>
      <c r="AG3318" s="1"/>
      <c r="AH3318" s="1"/>
      <c r="AI3318" s="1"/>
      <c r="AJ3318" s="1"/>
      <c r="AK3318" s="1"/>
      <c r="AL3318" s="1"/>
      <c r="AM3318" s="1"/>
    </row>
    <row r="3319" spans="16:39" x14ac:dyDescent="0.25">
      <c r="P3319" s="49"/>
      <c r="Q3319" s="1"/>
      <c r="S3319" s="1"/>
      <c r="T3319" s="1"/>
      <c r="U3319" s="1"/>
      <c r="V3319" s="1"/>
      <c r="W3319" s="1"/>
      <c r="X3319" s="1"/>
      <c r="Y3319" s="1"/>
      <c r="AB3319" s="1"/>
      <c r="AC3319" s="1"/>
      <c r="AD3319" s="1"/>
      <c r="AE3319" s="1"/>
      <c r="AF3319" s="1"/>
      <c r="AG3319" s="1"/>
      <c r="AH3319" s="1"/>
      <c r="AI3319" s="1"/>
      <c r="AJ3319" s="1"/>
      <c r="AK3319" s="1"/>
      <c r="AL3319" s="1"/>
      <c r="AM3319" s="1"/>
    </row>
    <row r="3320" spans="16:39" x14ac:dyDescent="0.25">
      <c r="P3320" s="49"/>
      <c r="Q3320" s="1"/>
      <c r="S3320" s="1"/>
      <c r="T3320" s="1"/>
      <c r="U3320" s="1"/>
      <c r="V3320" s="1"/>
      <c r="W3320" s="1"/>
      <c r="X3320" s="1"/>
      <c r="Y3320" s="1"/>
      <c r="AB3320" s="1"/>
      <c r="AC3320" s="1"/>
      <c r="AD3320" s="1"/>
      <c r="AE3320" s="1"/>
      <c r="AF3320" s="1"/>
      <c r="AG3320" s="1"/>
      <c r="AH3320" s="1"/>
      <c r="AI3320" s="1"/>
      <c r="AJ3320" s="1"/>
      <c r="AK3320" s="1"/>
      <c r="AL3320" s="1"/>
      <c r="AM3320" s="1"/>
    </row>
    <row r="3321" spans="16:39" x14ac:dyDescent="0.25">
      <c r="P3321" s="49"/>
      <c r="Q3321" s="1"/>
      <c r="S3321" s="1"/>
      <c r="T3321" s="1"/>
      <c r="U3321" s="1"/>
      <c r="V3321" s="1"/>
      <c r="W3321" s="1"/>
      <c r="X3321" s="1"/>
      <c r="Y3321" s="1"/>
      <c r="AB3321" s="1"/>
      <c r="AC3321" s="1"/>
      <c r="AD3321" s="1"/>
      <c r="AE3321" s="1"/>
      <c r="AF3321" s="1"/>
      <c r="AG3321" s="1"/>
      <c r="AH3321" s="1"/>
      <c r="AI3321" s="1"/>
      <c r="AJ3321" s="1"/>
      <c r="AK3321" s="1"/>
      <c r="AL3321" s="1"/>
      <c r="AM3321" s="1"/>
    </row>
    <row r="3322" spans="16:39" x14ac:dyDescent="0.25">
      <c r="P3322" s="49"/>
      <c r="Q3322" s="1"/>
      <c r="S3322" s="1"/>
      <c r="T3322" s="1"/>
      <c r="U3322" s="1"/>
      <c r="V3322" s="1"/>
      <c r="W3322" s="1"/>
      <c r="X3322" s="1"/>
      <c r="Y3322" s="1"/>
      <c r="AB3322" s="1"/>
      <c r="AC3322" s="1"/>
      <c r="AD3322" s="1"/>
      <c r="AE3322" s="1"/>
      <c r="AF3322" s="1"/>
      <c r="AG3322" s="1"/>
      <c r="AH3322" s="1"/>
      <c r="AI3322" s="1"/>
      <c r="AJ3322" s="1"/>
      <c r="AK3322" s="1"/>
      <c r="AL3322" s="1"/>
      <c r="AM3322" s="1"/>
    </row>
    <row r="3323" spans="16:39" x14ac:dyDescent="0.25">
      <c r="P3323" s="49"/>
      <c r="Q3323" s="1"/>
      <c r="S3323" s="1"/>
      <c r="T3323" s="1"/>
      <c r="U3323" s="1"/>
      <c r="V3323" s="1"/>
      <c r="W3323" s="1"/>
      <c r="X3323" s="1"/>
      <c r="Y3323" s="1"/>
      <c r="AB3323" s="1"/>
      <c r="AC3323" s="1"/>
      <c r="AD3323" s="1"/>
      <c r="AE3323" s="1"/>
      <c r="AF3323" s="1"/>
      <c r="AG3323" s="1"/>
      <c r="AH3323" s="1"/>
      <c r="AI3323" s="1"/>
      <c r="AJ3323" s="1"/>
      <c r="AK3323" s="1"/>
      <c r="AL3323" s="1"/>
      <c r="AM3323" s="1"/>
    </row>
    <row r="3324" spans="16:39" x14ac:dyDescent="0.25">
      <c r="P3324" s="49"/>
      <c r="Q3324" s="1"/>
      <c r="S3324" s="1"/>
      <c r="T3324" s="1"/>
      <c r="U3324" s="1"/>
      <c r="V3324" s="1"/>
      <c r="W3324" s="1"/>
      <c r="X3324" s="1"/>
      <c r="Y3324" s="1"/>
      <c r="AB3324" s="1"/>
      <c r="AC3324" s="1"/>
      <c r="AD3324" s="1"/>
      <c r="AE3324" s="1"/>
      <c r="AF3324" s="1"/>
      <c r="AG3324" s="1"/>
      <c r="AH3324" s="1"/>
      <c r="AI3324" s="1"/>
      <c r="AJ3324" s="1"/>
      <c r="AK3324" s="1"/>
      <c r="AL3324" s="1"/>
      <c r="AM3324" s="1"/>
    </row>
    <row r="3325" spans="16:39" x14ac:dyDescent="0.25">
      <c r="P3325" s="49"/>
      <c r="Q3325" s="1"/>
      <c r="S3325" s="1"/>
      <c r="T3325" s="1"/>
      <c r="U3325" s="1"/>
      <c r="V3325" s="1"/>
      <c r="W3325" s="1"/>
      <c r="X3325" s="1"/>
      <c r="Y3325" s="1"/>
      <c r="AB3325" s="1"/>
      <c r="AC3325" s="1"/>
      <c r="AD3325" s="1"/>
      <c r="AE3325" s="1"/>
      <c r="AF3325" s="1"/>
      <c r="AG3325" s="1"/>
      <c r="AH3325" s="1"/>
      <c r="AI3325" s="1"/>
      <c r="AJ3325" s="1"/>
      <c r="AK3325" s="1"/>
      <c r="AL3325" s="1"/>
      <c r="AM3325" s="1"/>
    </row>
    <row r="3326" spans="16:39" x14ac:dyDescent="0.25">
      <c r="P3326" s="49"/>
      <c r="Q3326" s="1"/>
      <c r="S3326" s="1"/>
      <c r="T3326" s="1"/>
      <c r="U3326" s="1"/>
      <c r="V3326" s="1"/>
      <c r="W3326" s="1"/>
      <c r="X3326" s="1"/>
      <c r="Y3326" s="1"/>
      <c r="AB3326" s="1"/>
      <c r="AC3326" s="1"/>
      <c r="AD3326" s="1"/>
      <c r="AE3326" s="1"/>
      <c r="AF3326" s="1"/>
      <c r="AG3326" s="1"/>
      <c r="AH3326" s="1"/>
      <c r="AI3326" s="1"/>
      <c r="AJ3326" s="1"/>
      <c r="AK3326" s="1"/>
      <c r="AL3326" s="1"/>
      <c r="AM3326" s="1"/>
    </row>
    <row r="3327" spans="16:39" x14ac:dyDescent="0.25">
      <c r="P3327" s="49"/>
      <c r="Q3327" s="1"/>
      <c r="S3327" s="1"/>
      <c r="T3327" s="1"/>
      <c r="U3327" s="1"/>
      <c r="V3327" s="1"/>
      <c r="W3327" s="1"/>
      <c r="X3327" s="1"/>
      <c r="Y3327" s="1"/>
      <c r="AB3327" s="1"/>
      <c r="AC3327" s="1"/>
      <c r="AD3327" s="1"/>
      <c r="AE3327" s="1"/>
      <c r="AF3327" s="1"/>
      <c r="AG3327" s="1"/>
      <c r="AH3327" s="1"/>
      <c r="AI3327" s="1"/>
      <c r="AJ3327" s="1"/>
      <c r="AK3327" s="1"/>
      <c r="AL3327" s="1"/>
      <c r="AM3327" s="1"/>
    </row>
    <row r="3328" spans="16:39" x14ac:dyDescent="0.25">
      <c r="P3328" s="49"/>
      <c r="Q3328" s="1"/>
      <c r="S3328" s="1"/>
      <c r="T3328" s="1"/>
      <c r="U3328" s="1"/>
      <c r="V3328" s="1"/>
      <c r="W3328" s="1"/>
      <c r="X3328" s="1"/>
      <c r="Y3328" s="1"/>
      <c r="AB3328" s="1"/>
      <c r="AC3328" s="1"/>
      <c r="AD3328" s="1"/>
      <c r="AE3328" s="1"/>
      <c r="AF3328" s="1"/>
      <c r="AG3328" s="1"/>
      <c r="AH3328" s="1"/>
      <c r="AI3328" s="1"/>
      <c r="AJ3328" s="1"/>
      <c r="AK3328" s="1"/>
      <c r="AL3328" s="1"/>
      <c r="AM3328" s="1"/>
    </row>
    <row r="3329" spans="16:39" x14ac:dyDescent="0.25">
      <c r="P3329" s="49"/>
      <c r="Q3329" s="1"/>
      <c r="S3329" s="1"/>
      <c r="T3329" s="1"/>
      <c r="U3329" s="1"/>
      <c r="V3329" s="1"/>
      <c r="W3329" s="1"/>
      <c r="X3329" s="1"/>
      <c r="Y3329" s="1"/>
      <c r="AB3329" s="1"/>
      <c r="AC3329" s="1"/>
      <c r="AD3329" s="1"/>
      <c r="AE3329" s="1"/>
      <c r="AF3329" s="1"/>
      <c r="AG3329" s="1"/>
      <c r="AH3329" s="1"/>
      <c r="AI3329" s="1"/>
      <c r="AJ3329" s="1"/>
      <c r="AK3329" s="1"/>
      <c r="AL3329" s="1"/>
      <c r="AM3329" s="1"/>
    </row>
    <row r="3330" spans="16:39" x14ac:dyDescent="0.25">
      <c r="P3330" s="49"/>
      <c r="Q3330" s="1"/>
      <c r="S3330" s="1"/>
      <c r="T3330" s="1"/>
      <c r="U3330" s="1"/>
      <c r="V3330" s="1"/>
      <c r="W3330" s="1"/>
      <c r="X3330" s="1"/>
      <c r="Y3330" s="1"/>
      <c r="AB3330" s="1"/>
      <c r="AC3330" s="1"/>
      <c r="AD3330" s="1"/>
      <c r="AE3330" s="1"/>
      <c r="AF3330" s="1"/>
      <c r="AG3330" s="1"/>
      <c r="AH3330" s="1"/>
      <c r="AI3330" s="1"/>
      <c r="AJ3330" s="1"/>
      <c r="AK3330" s="1"/>
      <c r="AL3330" s="1"/>
      <c r="AM3330" s="1"/>
    </row>
    <row r="3331" spans="16:39" x14ac:dyDescent="0.25">
      <c r="P3331" s="49"/>
      <c r="Q3331" s="1"/>
      <c r="S3331" s="1"/>
      <c r="T3331" s="1"/>
      <c r="U3331" s="1"/>
      <c r="V3331" s="1"/>
      <c r="W3331" s="1"/>
      <c r="X3331" s="1"/>
      <c r="Y3331" s="1"/>
      <c r="AB3331" s="1"/>
      <c r="AC3331" s="1"/>
      <c r="AD3331" s="1"/>
      <c r="AE3331" s="1"/>
      <c r="AF3331" s="1"/>
      <c r="AG3331" s="1"/>
      <c r="AH3331" s="1"/>
      <c r="AI3331" s="1"/>
      <c r="AJ3331" s="1"/>
      <c r="AK3331" s="1"/>
      <c r="AL3331" s="1"/>
      <c r="AM3331" s="1"/>
    </row>
    <row r="3332" spans="16:39" x14ac:dyDescent="0.25">
      <c r="P3332" s="49"/>
      <c r="Q3332" s="1"/>
      <c r="S3332" s="1"/>
      <c r="T3332" s="1"/>
      <c r="U3332" s="1"/>
      <c r="V3332" s="1"/>
      <c r="W3332" s="1"/>
      <c r="X3332" s="1"/>
      <c r="Y3332" s="1"/>
      <c r="AB3332" s="1"/>
      <c r="AC3332" s="1"/>
      <c r="AD3332" s="1"/>
      <c r="AE3332" s="1"/>
      <c r="AF3332" s="1"/>
      <c r="AG3332" s="1"/>
      <c r="AH3332" s="1"/>
      <c r="AI3332" s="1"/>
      <c r="AJ3332" s="1"/>
      <c r="AK3332" s="1"/>
      <c r="AL3332" s="1"/>
      <c r="AM3332" s="1"/>
    </row>
    <row r="3333" spans="16:39" x14ac:dyDescent="0.25">
      <c r="P3333" s="49"/>
      <c r="Q3333" s="1"/>
      <c r="S3333" s="1"/>
      <c r="T3333" s="1"/>
      <c r="U3333" s="1"/>
      <c r="V3333" s="1"/>
      <c r="W3333" s="1"/>
      <c r="X3333" s="1"/>
      <c r="Y3333" s="1"/>
      <c r="AB3333" s="1"/>
      <c r="AC3333" s="1"/>
      <c r="AD3333" s="1"/>
      <c r="AE3333" s="1"/>
      <c r="AF3333" s="1"/>
      <c r="AG3333" s="1"/>
      <c r="AH3333" s="1"/>
      <c r="AI3333" s="1"/>
      <c r="AJ3333" s="1"/>
      <c r="AK3333" s="1"/>
      <c r="AL3333" s="1"/>
      <c r="AM3333" s="1"/>
    </row>
    <row r="3334" spans="16:39" x14ac:dyDescent="0.25">
      <c r="P3334" s="49"/>
      <c r="Q3334" s="1"/>
      <c r="S3334" s="1"/>
      <c r="T3334" s="1"/>
      <c r="U3334" s="1"/>
      <c r="V3334" s="1"/>
      <c r="W3334" s="1"/>
      <c r="X3334" s="1"/>
      <c r="Y3334" s="1"/>
      <c r="AB3334" s="1"/>
      <c r="AC3334" s="1"/>
      <c r="AD3334" s="1"/>
      <c r="AE3334" s="1"/>
      <c r="AF3334" s="1"/>
      <c r="AG3334" s="1"/>
      <c r="AH3334" s="1"/>
      <c r="AI3334" s="1"/>
      <c r="AJ3334" s="1"/>
      <c r="AK3334" s="1"/>
      <c r="AL3334" s="1"/>
      <c r="AM3334" s="1"/>
    </row>
    <row r="3335" spans="16:39" x14ac:dyDescent="0.25">
      <c r="P3335" s="49"/>
      <c r="Q3335" s="1"/>
      <c r="S3335" s="1"/>
      <c r="T3335" s="1"/>
      <c r="U3335" s="1"/>
      <c r="V3335" s="1"/>
      <c r="W3335" s="1"/>
      <c r="X3335" s="1"/>
      <c r="Y3335" s="1"/>
      <c r="AB3335" s="1"/>
      <c r="AC3335" s="1"/>
      <c r="AD3335" s="1"/>
      <c r="AE3335" s="1"/>
      <c r="AF3335" s="1"/>
      <c r="AG3335" s="1"/>
      <c r="AH3335" s="1"/>
      <c r="AI3335" s="1"/>
      <c r="AJ3335" s="1"/>
      <c r="AK3335" s="1"/>
      <c r="AL3335" s="1"/>
      <c r="AM3335" s="1"/>
    </row>
    <row r="3336" spans="16:39" x14ac:dyDescent="0.25">
      <c r="P3336" s="49"/>
      <c r="Q3336" s="1"/>
      <c r="S3336" s="1"/>
      <c r="T3336" s="1"/>
      <c r="U3336" s="1"/>
      <c r="V3336" s="1"/>
      <c r="W3336" s="1"/>
      <c r="X3336" s="1"/>
      <c r="Y3336" s="1"/>
      <c r="AB3336" s="1"/>
      <c r="AC3336" s="1"/>
      <c r="AD3336" s="1"/>
      <c r="AE3336" s="1"/>
      <c r="AF3336" s="1"/>
      <c r="AG3336" s="1"/>
      <c r="AH3336" s="1"/>
      <c r="AI3336" s="1"/>
      <c r="AJ3336" s="1"/>
      <c r="AK3336" s="1"/>
      <c r="AL3336" s="1"/>
      <c r="AM3336" s="1"/>
    </row>
    <row r="3337" spans="16:39" x14ac:dyDescent="0.25">
      <c r="P3337" s="49"/>
      <c r="Q3337" s="1"/>
      <c r="S3337" s="1"/>
      <c r="T3337" s="1"/>
      <c r="U3337" s="1"/>
      <c r="V3337" s="1"/>
      <c r="W3337" s="1"/>
      <c r="X3337" s="1"/>
      <c r="Y3337" s="1"/>
      <c r="AB3337" s="1"/>
      <c r="AC3337" s="1"/>
      <c r="AD3337" s="1"/>
      <c r="AE3337" s="1"/>
      <c r="AF3337" s="1"/>
      <c r="AG3337" s="1"/>
      <c r="AH3337" s="1"/>
      <c r="AI3337" s="1"/>
      <c r="AJ3337" s="1"/>
      <c r="AK3337" s="1"/>
      <c r="AL3337" s="1"/>
      <c r="AM3337" s="1"/>
    </row>
    <row r="3338" spans="16:39" x14ac:dyDescent="0.25">
      <c r="P3338" s="49"/>
      <c r="Q3338" s="1"/>
      <c r="S3338" s="1"/>
      <c r="T3338" s="1"/>
      <c r="U3338" s="1"/>
      <c r="V3338" s="1"/>
      <c r="W3338" s="1"/>
      <c r="X3338" s="1"/>
      <c r="Y3338" s="1"/>
      <c r="AB3338" s="1"/>
      <c r="AC3338" s="1"/>
      <c r="AD3338" s="1"/>
      <c r="AE3338" s="1"/>
      <c r="AF3338" s="1"/>
      <c r="AG3338" s="1"/>
      <c r="AH3338" s="1"/>
      <c r="AI3338" s="1"/>
      <c r="AJ3338" s="1"/>
      <c r="AK3338" s="1"/>
      <c r="AL3338" s="1"/>
      <c r="AM3338" s="1"/>
    </row>
    <row r="3339" spans="16:39" x14ac:dyDescent="0.25">
      <c r="P3339" s="49"/>
      <c r="Q3339" s="1"/>
      <c r="S3339" s="1"/>
      <c r="T3339" s="1"/>
      <c r="U3339" s="1"/>
      <c r="V3339" s="1"/>
      <c r="W3339" s="1"/>
      <c r="X3339" s="1"/>
      <c r="Y3339" s="1"/>
      <c r="AB3339" s="1"/>
      <c r="AC3339" s="1"/>
      <c r="AD3339" s="1"/>
      <c r="AE3339" s="1"/>
      <c r="AF3339" s="1"/>
      <c r="AG3339" s="1"/>
      <c r="AH3339" s="1"/>
      <c r="AI3339" s="1"/>
      <c r="AJ3339" s="1"/>
      <c r="AK3339" s="1"/>
      <c r="AL3339" s="1"/>
      <c r="AM3339" s="1"/>
    </row>
    <row r="3340" spans="16:39" x14ac:dyDescent="0.25">
      <c r="P3340" s="49"/>
      <c r="Q3340" s="1"/>
      <c r="S3340" s="1"/>
      <c r="T3340" s="1"/>
      <c r="U3340" s="1"/>
      <c r="V3340" s="1"/>
      <c r="W3340" s="1"/>
      <c r="X3340" s="1"/>
      <c r="Y3340" s="1"/>
      <c r="AB3340" s="1"/>
      <c r="AC3340" s="1"/>
      <c r="AD3340" s="1"/>
      <c r="AE3340" s="1"/>
      <c r="AF3340" s="1"/>
      <c r="AG3340" s="1"/>
      <c r="AH3340" s="1"/>
      <c r="AI3340" s="1"/>
      <c r="AJ3340" s="1"/>
      <c r="AK3340" s="1"/>
      <c r="AL3340" s="1"/>
      <c r="AM3340" s="1"/>
    </row>
    <row r="3341" spans="16:39" x14ac:dyDescent="0.25">
      <c r="P3341" s="49"/>
      <c r="Q3341" s="1"/>
      <c r="S3341" s="1"/>
      <c r="T3341" s="1"/>
      <c r="U3341" s="1"/>
      <c r="V3341" s="1"/>
      <c r="W3341" s="1"/>
      <c r="X3341" s="1"/>
      <c r="Y3341" s="1"/>
      <c r="AB3341" s="1"/>
      <c r="AC3341" s="1"/>
      <c r="AD3341" s="1"/>
      <c r="AE3341" s="1"/>
      <c r="AF3341" s="1"/>
      <c r="AG3341" s="1"/>
      <c r="AH3341" s="1"/>
      <c r="AI3341" s="1"/>
      <c r="AJ3341" s="1"/>
      <c r="AK3341" s="1"/>
      <c r="AL3341" s="1"/>
      <c r="AM3341" s="1"/>
    </row>
    <row r="3342" spans="16:39" x14ac:dyDescent="0.25">
      <c r="P3342" s="49"/>
      <c r="Q3342" s="1"/>
      <c r="S3342" s="1"/>
      <c r="T3342" s="1"/>
      <c r="U3342" s="1"/>
      <c r="V3342" s="1"/>
      <c r="W3342" s="1"/>
      <c r="X3342" s="1"/>
      <c r="Y3342" s="1"/>
      <c r="AB3342" s="1"/>
      <c r="AC3342" s="1"/>
      <c r="AD3342" s="1"/>
      <c r="AE3342" s="1"/>
      <c r="AF3342" s="1"/>
      <c r="AG3342" s="1"/>
      <c r="AH3342" s="1"/>
      <c r="AI3342" s="1"/>
      <c r="AJ3342" s="1"/>
      <c r="AK3342" s="1"/>
      <c r="AL3342" s="1"/>
      <c r="AM3342" s="1"/>
    </row>
    <row r="3343" spans="16:39" x14ac:dyDescent="0.25">
      <c r="P3343" s="49"/>
      <c r="Q3343" s="1"/>
      <c r="S3343" s="1"/>
      <c r="T3343" s="1"/>
      <c r="U3343" s="1"/>
      <c r="V3343" s="1"/>
      <c r="W3343" s="1"/>
      <c r="X3343" s="1"/>
      <c r="Y3343" s="1"/>
      <c r="AB3343" s="1"/>
      <c r="AC3343" s="1"/>
      <c r="AD3343" s="1"/>
      <c r="AE3343" s="1"/>
      <c r="AF3343" s="1"/>
      <c r="AG3343" s="1"/>
      <c r="AH3343" s="1"/>
      <c r="AI3343" s="1"/>
      <c r="AJ3343" s="1"/>
      <c r="AK3343" s="1"/>
      <c r="AL3343" s="1"/>
      <c r="AM3343" s="1"/>
    </row>
    <row r="3344" spans="16:39" x14ac:dyDescent="0.25">
      <c r="P3344" s="49"/>
      <c r="Q3344" s="1"/>
      <c r="S3344" s="1"/>
      <c r="T3344" s="1"/>
      <c r="U3344" s="1"/>
      <c r="V3344" s="1"/>
      <c r="W3344" s="1"/>
      <c r="X3344" s="1"/>
      <c r="Y3344" s="1"/>
      <c r="AB3344" s="1"/>
      <c r="AC3344" s="1"/>
      <c r="AD3344" s="1"/>
      <c r="AE3344" s="1"/>
      <c r="AF3344" s="1"/>
      <c r="AG3344" s="1"/>
      <c r="AH3344" s="1"/>
      <c r="AI3344" s="1"/>
      <c r="AJ3344" s="1"/>
      <c r="AK3344" s="1"/>
      <c r="AL3344" s="1"/>
      <c r="AM3344" s="1"/>
    </row>
    <row r="3345" spans="16:39" x14ac:dyDescent="0.25">
      <c r="P3345" s="49"/>
      <c r="Q3345" s="1"/>
      <c r="S3345" s="1"/>
      <c r="T3345" s="1"/>
      <c r="U3345" s="1"/>
      <c r="V3345" s="1"/>
      <c r="W3345" s="1"/>
      <c r="X3345" s="1"/>
      <c r="Y3345" s="1"/>
      <c r="AB3345" s="1"/>
      <c r="AC3345" s="1"/>
      <c r="AD3345" s="1"/>
      <c r="AE3345" s="1"/>
      <c r="AF3345" s="1"/>
      <c r="AG3345" s="1"/>
      <c r="AH3345" s="1"/>
      <c r="AI3345" s="1"/>
      <c r="AJ3345" s="1"/>
      <c r="AK3345" s="1"/>
      <c r="AL3345" s="1"/>
      <c r="AM3345" s="1"/>
    </row>
    <row r="3346" spans="16:39" x14ac:dyDescent="0.25">
      <c r="P3346" s="49"/>
      <c r="Q3346" s="1"/>
      <c r="S3346" s="1"/>
      <c r="T3346" s="1"/>
      <c r="U3346" s="1"/>
      <c r="V3346" s="1"/>
      <c r="W3346" s="1"/>
      <c r="X3346" s="1"/>
      <c r="Y3346" s="1"/>
      <c r="AB3346" s="1"/>
      <c r="AC3346" s="1"/>
      <c r="AD3346" s="1"/>
      <c r="AE3346" s="1"/>
      <c r="AF3346" s="1"/>
      <c r="AG3346" s="1"/>
      <c r="AH3346" s="1"/>
      <c r="AI3346" s="1"/>
      <c r="AJ3346" s="1"/>
      <c r="AK3346" s="1"/>
      <c r="AL3346" s="1"/>
      <c r="AM3346" s="1"/>
    </row>
    <row r="3347" spans="16:39" x14ac:dyDescent="0.25">
      <c r="P3347" s="49"/>
      <c r="Q3347" s="1"/>
      <c r="S3347" s="1"/>
      <c r="T3347" s="1"/>
      <c r="U3347" s="1"/>
      <c r="V3347" s="1"/>
      <c r="W3347" s="1"/>
      <c r="X3347" s="1"/>
      <c r="Y3347" s="1"/>
      <c r="AB3347" s="1"/>
      <c r="AC3347" s="1"/>
      <c r="AD3347" s="1"/>
      <c r="AE3347" s="1"/>
      <c r="AF3347" s="1"/>
      <c r="AG3347" s="1"/>
      <c r="AH3347" s="1"/>
      <c r="AI3347" s="1"/>
      <c r="AJ3347" s="1"/>
      <c r="AK3347" s="1"/>
      <c r="AL3347" s="1"/>
      <c r="AM3347" s="1"/>
    </row>
    <row r="3348" spans="16:39" x14ac:dyDescent="0.25">
      <c r="P3348" s="49"/>
      <c r="Q3348" s="1"/>
      <c r="S3348" s="1"/>
      <c r="T3348" s="1"/>
      <c r="U3348" s="1"/>
      <c r="V3348" s="1"/>
      <c r="W3348" s="1"/>
      <c r="X3348" s="1"/>
      <c r="Y3348" s="1"/>
      <c r="AB3348" s="1"/>
      <c r="AC3348" s="1"/>
      <c r="AD3348" s="1"/>
      <c r="AE3348" s="1"/>
      <c r="AF3348" s="1"/>
      <c r="AG3348" s="1"/>
      <c r="AH3348" s="1"/>
      <c r="AI3348" s="1"/>
      <c r="AJ3348" s="1"/>
      <c r="AK3348" s="1"/>
      <c r="AL3348" s="1"/>
      <c r="AM3348" s="1"/>
    </row>
    <row r="3349" spans="16:39" x14ac:dyDescent="0.25">
      <c r="P3349" s="49"/>
      <c r="Q3349" s="1"/>
      <c r="S3349" s="1"/>
      <c r="T3349" s="1"/>
      <c r="U3349" s="1"/>
      <c r="V3349" s="1"/>
      <c r="W3349" s="1"/>
      <c r="X3349" s="1"/>
      <c r="Y3349" s="1"/>
      <c r="AB3349" s="1"/>
      <c r="AC3349" s="1"/>
      <c r="AD3349" s="1"/>
      <c r="AE3349" s="1"/>
      <c r="AF3349" s="1"/>
      <c r="AG3349" s="1"/>
      <c r="AH3349" s="1"/>
      <c r="AI3349" s="1"/>
      <c r="AJ3349" s="1"/>
      <c r="AK3349" s="1"/>
      <c r="AL3349" s="1"/>
      <c r="AM3349" s="1"/>
    </row>
    <row r="3350" spans="16:39" x14ac:dyDescent="0.25">
      <c r="P3350" s="49"/>
      <c r="Q3350" s="1"/>
      <c r="S3350" s="1"/>
      <c r="T3350" s="1"/>
      <c r="U3350" s="1"/>
      <c r="V3350" s="1"/>
      <c r="W3350" s="1"/>
      <c r="X3350" s="1"/>
      <c r="Y3350" s="1"/>
      <c r="AB3350" s="1"/>
      <c r="AC3350" s="1"/>
      <c r="AD3350" s="1"/>
      <c r="AE3350" s="1"/>
      <c r="AF3350" s="1"/>
      <c r="AG3350" s="1"/>
      <c r="AH3350" s="1"/>
      <c r="AI3350" s="1"/>
      <c r="AJ3350" s="1"/>
      <c r="AK3350" s="1"/>
      <c r="AL3350" s="1"/>
      <c r="AM3350" s="1"/>
    </row>
    <row r="3351" spans="16:39" x14ac:dyDescent="0.25">
      <c r="P3351" s="49"/>
      <c r="Q3351" s="1"/>
      <c r="S3351" s="1"/>
      <c r="T3351" s="1"/>
      <c r="U3351" s="1"/>
      <c r="V3351" s="1"/>
      <c r="W3351" s="1"/>
      <c r="X3351" s="1"/>
      <c r="Y3351" s="1"/>
      <c r="AB3351" s="1"/>
      <c r="AC3351" s="1"/>
      <c r="AD3351" s="1"/>
      <c r="AE3351" s="1"/>
      <c r="AF3351" s="1"/>
      <c r="AG3351" s="1"/>
      <c r="AH3351" s="1"/>
      <c r="AI3351" s="1"/>
      <c r="AJ3351" s="1"/>
      <c r="AK3351" s="1"/>
      <c r="AL3351" s="1"/>
      <c r="AM3351" s="1"/>
    </row>
    <row r="3352" spans="16:39" x14ac:dyDescent="0.25">
      <c r="P3352" s="49"/>
      <c r="Q3352" s="1"/>
      <c r="S3352" s="1"/>
      <c r="T3352" s="1"/>
      <c r="U3352" s="1"/>
      <c r="V3352" s="1"/>
      <c r="W3352" s="1"/>
      <c r="X3352" s="1"/>
      <c r="Y3352" s="1"/>
      <c r="AB3352" s="1"/>
      <c r="AC3352" s="1"/>
      <c r="AD3352" s="1"/>
      <c r="AE3352" s="1"/>
      <c r="AF3352" s="1"/>
      <c r="AG3352" s="1"/>
      <c r="AH3352" s="1"/>
      <c r="AI3352" s="1"/>
      <c r="AJ3352" s="1"/>
      <c r="AK3352" s="1"/>
      <c r="AL3352" s="1"/>
      <c r="AM3352" s="1"/>
    </row>
    <row r="3353" spans="16:39" x14ac:dyDescent="0.25">
      <c r="P3353" s="49"/>
      <c r="Q3353" s="1"/>
      <c r="S3353" s="1"/>
      <c r="T3353" s="1"/>
      <c r="U3353" s="1"/>
      <c r="V3353" s="1"/>
      <c r="W3353" s="1"/>
      <c r="X3353" s="1"/>
      <c r="Y3353" s="1"/>
      <c r="AB3353" s="1"/>
      <c r="AC3353" s="1"/>
      <c r="AD3353" s="1"/>
      <c r="AE3353" s="1"/>
      <c r="AF3353" s="1"/>
      <c r="AG3353" s="1"/>
      <c r="AH3353" s="1"/>
      <c r="AI3353" s="1"/>
      <c r="AJ3353" s="1"/>
      <c r="AK3353" s="1"/>
      <c r="AL3353" s="1"/>
      <c r="AM3353" s="1"/>
    </row>
    <row r="3354" spans="16:39" x14ac:dyDescent="0.25">
      <c r="P3354" s="49"/>
      <c r="Q3354" s="1"/>
      <c r="S3354" s="1"/>
      <c r="T3354" s="1"/>
      <c r="U3354" s="1"/>
      <c r="V3354" s="1"/>
      <c r="W3354" s="1"/>
      <c r="X3354" s="1"/>
      <c r="Y3354" s="1"/>
      <c r="AB3354" s="1"/>
      <c r="AC3354" s="1"/>
      <c r="AD3354" s="1"/>
      <c r="AE3354" s="1"/>
      <c r="AF3354" s="1"/>
      <c r="AG3354" s="1"/>
      <c r="AH3354" s="1"/>
      <c r="AI3354" s="1"/>
      <c r="AJ3354" s="1"/>
      <c r="AK3354" s="1"/>
      <c r="AL3354" s="1"/>
      <c r="AM3354" s="1"/>
    </row>
    <row r="3355" spans="16:39" x14ac:dyDescent="0.25">
      <c r="P3355" s="49"/>
      <c r="Q3355" s="1"/>
      <c r="S3355" s="1"/>
      <c r="T3355" s="1"/>
      <c r="U3355" s="1"/>
      <c r="V3355" s="1"/>
      <c r="W3355" s="1"/>
      <c r="X3355" s="1"/>
      <c r="Y3355" s="1"/>
      <c r="AB3355" s="1"/>
      <c r="AC3355" s="1"/>
      <c r="AD3355" s="1"/>
      <c r="AE3355" s="1"/>
      <c r="AF3355" s="1"/>
      <c r="AG3355" s="1"/>
      <c r="AH3355" s="1"/>
      <c r="AI3355" s="1"/>
      <c r="AJ3355" s="1"/>
      <c r="AK3355" s="1"/>
      <c r="AL3355" s="1"/>
      <c r="AM3355" s="1"/>
    </row>
    <row r="3356" spans="16:39" x14ac:dyDescent="0.25">
      <c r="P3356" s="49"/>
      <c r="Q3356" s="1"/>
      <c r="S3356" s="1"/>
      <c r="T3356" s="1"/>
      <c r="U3356" s="1"/>
      <c r="V3356" s="1"/>
      <c r="W3356" s="1"/>
      <c r="X3356" s="1"/>
      <c r="Y3356" s="1"/>
      <c r="AB3356" s="1"/>
      <c r="AC3356" s="1"/>
      <c r="AD3356" s="1"/>
      <c r="AE3356" s="1"/>
      <c r="AF3356" s="1"/>
      <c r="AG3356" s="1"/>
      <c r="AH3356" s="1"/>
      <c r="AI3356" s="1"/>
      <c r="AJ3356" s="1"/>
      <c r="AK3356" s="1"/>
      <c r="AL3356" s="1"/>
      <c r="AM3356" s="1"/>
    </row>
    <row r="3357" spans="16:39" x14ac:dyDescent="0.25">
      <c r="P3357" s="49"/>
      <c r="Q3357" s="1"/>
      <c r="S3357" s="1"/>
      <c r="T3357" s="1"/>
      <c r="U3357" s="1"/>
      <c r="V3357" s="1"/>
      <c r="W3357" s="1"/>
      <c r="X3357" s="1"/>
      <c r="Y3357" s="1"/>
      <c r="AB3357" s="1"/>
      <c r="AC3357" s="1"/>
      <c r="AD3357" s="1"/>
      <c r="AE3357" s="1"/>
      <c r="AF3357" s="1"/>
      <c r="AG3357" s="1"/>
      <c r="AH3357" s="1"/>
      <c r="AI3357" s="1"/>
      <c r="AJ3357" s="1"/>
      <c r="AK3357" s="1"/>
      <c r="AL3357" s="1"/>
      <c r="AM3357" s="1"/>
    </row>
    <row r="3358" spans="16:39" x14ac:dyDescent="0.25">
      <c r="P3358" s="49"/>
      <c r="Q3358" s="1"/>
      <c r="S3358" s="1"/>
      <c r="T3358" s="1"/>
      <c r="U3358" s="1"/>
      <c r="V3358" s="1"/>
      <c r="W3358" s="1"/>
      <c r="X3358" s="1"/>
      <c r="Y3358" s="1"/>
      <c r="AB3358" s="1"/>
      <c r="AC3358" s="1"/>
      <c r="AD3358" s="1"/>
      <c r="AE3358" s="1"/>
      <c r="AF3358" s="1"/>
      <c r="AG3358" s="1"/>
      <c r="AH3358" s="1"/>
      <c r="AI3358" s="1"/>
      <c r="AJ3358" s="1"/>
      <c r="AK3358" s="1"/>
      <c r="AL3358" s="1"/>
      <c r="AM3358" s="1"/>
    </row>
    <row r="3359" spans="16:39" x14ac:dyDescent="0.25">
      <c r="P3359" s="49"/>
      <c r="Q3359" s="1"/>
      <c r="S3359" s="1"/>
      <c r="T3359" s="1"/>
      <c r="U3359" s="1"/>
      <c r="V3359" s="1"/>
      <c r="W3359" s="1"/>
      <c r="X3359" s="1"/>
      <c r="Y3359" s="1"/>
      <c r="AB3359" s="1"/>
      <c r="AC3359" s="1"/>
      <c r="AD3359" s="1"/>
      <c r="AE3359" s="1"/>
      <c r="AF3359" s="1"/>
      <c r="AG3359" s="1"/>
      <c r="AH3359" s="1"/>
      <c r="AI3359" s="1"/>
      <c r="AJ3359" s="1"/>
      <c r="AK3359" s="1"/>
      <c r="AL3359" s="1"/>
      <c r="AM3359" s="1"/>
    </row>
    <row r="3360" spans="16:39" x14ac:dyDescent="0.25">
      <c r="P3360" s="49"/>
      <c r="Q3360" s="1"/>
      <c r="S3360" s="1"/>
      <c r="T3360" s="1"/>
      <c r="U3360" s="1"/>
      <c r="V3360" s="1"/>
      <c r="W3360" s="1"/>
      <c r="X3360" s="1"/>
      <c r="Y3360" s="1"/>
      <c r="AB3360" s="1"/>
      <c r="AC3360" s="1"/>
      <c r="AD3360" s="1"/>
      <c r="AE3360" s="1"/>
      <c r="AF3360" s="1"/>
      <c r="AG3360" s="1"/>
      <c r="AH3360" s="1"/>
      <c r="AI3360" s="1"/>
      <c r="AJ3360" s="1"/>
      <c r="AK3360" s="1"/>
      <c r="AL3360" s="1"/>
      <c r="AM3360" s="1"/>
    </row>
    <row r="3361" spans="16:39" x14ac:dyDescent="0.25">
      <c r="P3361" s="49"/>
      <c r="Q3361" s="1"/>
      <c r="S3361" s="1"/>
      <c r="T3361" s="1"/>
      <c r="U3361" s="1"/>
      <c r="V3361" s="1"/>
      <c r="W3361" s="1"/>
      <c r="X3361" s="1"/>
      <c r="Y3361" s="1"/>
      <c r="AB3361" s="1"/>
      <c r="AC3361" s="1"/>
      <c r="AD3361" s="1"/>
      <c r="AE3361" s="1"/>
      <c r="AF3361" s="1"/>
      <c r="AG3361" s="1"/>
      <c r="AH3361" s="1"/>
      <c r="AI3361" s="1"/>
      <c r="AJ3361" s="1"/>
      <c r="AK3361" s="1"/>
      <c r="AL3361" s="1"/>
      <c r="AM3361" s="1"/>
    </row>
    <row r="3362" spans="16:39" x14ac:dyDescent="0.25">
      <c r="P3362" s="49"/>
      <c r="Q3362" s="1"/>
      <c r="S3362" s="1"/>
      <c r="T3362" s="1"/>
      <c r="U3362" s="1"/>
      <c r="V3362" s="1"/>
      <c r="W3362" s="1"/>
      <c r="X3362" s="1"/>
      <c r="Y3362" s="1"/>
      <c r="AB3362" s="1"/>
      <c r="AC3362" s="1"/>
      <c r="AD3362" s="1"/>
      <c r="AE3362" s="1"/>
      <c r="AF3362" s="1"/>
      <c r="AG3362" s="1"/>
      <c r="AH3362" s="1"/>
      <c r="AI3362" s="1"/>
      <c r="AJ3362" s="1"/>
      <c r="AK3362" s="1"/>
      <c r="AL3362" s="1"/>
      <c r="AM3362" s="1"/>
    </row>
    <row r="3363" spans="16:39" x14ac:dyDescent="0.25">
      <c r="P3363" s="49"/>
      <c r="Q3363" s="1"/>
      <c r="S3363" s="1"/>
      <c r="T3363" s="1"/>
      <c r="U3363" s="1"/>
      <c r="V3363" s="1"/>
      <c r="W3363" s="1"/>
      <c r="X3363" s="1"/>
      <c r="Y3363" s="1"/>
      <c r="AB3363" s="1"/>
      <c r="AC3363" s="1"/>
      <c r="AD3363" s="1"/>
      <c r="AE3363" s="1"/>
      <c r="AF3363" s="1"/>
      <c r="AG3363" s="1"/>
      <c r="AH3363" s="1"/>
      <c r="AI3363" s="1"/>
      <c r="AJ3363" s="1"/>
      <c r="AK3363" s="1"/>
      <c r="AL3363" s="1"/>
      <c r="AM3363" s="1"/>
    </row>
    <row r="3364" spans="16:39" x14ac:dyDescent="0.25">
      <c r="P3364" s="49"/>
      <c r="Q3364" s="1"/>
      <c r="S3364" s="1"/>
      <c r="T3364" s="1"/>
      <c r="U3364" s="1"/>
      <c r="V3364" s="1"/>
      <c r="W3364" s="1"/>
      <c r="X3364" s="1"/>
      <c r="Y3364" s="1"/>
      <c r="AB3364" s="1"/>
      <c r="AC3364" s="1"/>
      <c r="AD3364" s="1"/>
      <c r="AE3364" s="1"/>
      <c r="AF3364" s="1"/>
      <c r="AG3364" s="1"/>
      <c r="AH3364" s="1"/>
      <c r="AI3364" s="1"/>
      <c r="AJ3364" s="1"/>
      <c r="AK3364" s="1"/>
      <c r="AL3364" s="1"/>
      <c r="AM3364" s="1"/>
    </row>
    <row r="3365" spans="16:39" x14ac:dyDescent="0.25">
      <c r="P3365" s="49"/>
      <c r="Q3365" s="1"/>
      <c r="S3365" s="1"/>
      <c r="T3365" s="1"/>
      <c r="U3365" s="1"/>
      <c r="V3365" s="1"/>
      <c r="W3365" s="1"/>
      <c r="X3365" s="1"/>
      <c r="Y3365" s="1"/>
      <c r="AB3365" s="1"/>
      <c r="AC3365" s="1"/>
      <c r="AD3365" s="1"/>
      <c r="AE3365" s="1"/>
      <c r="AF3365" s="1"/>
      <c r="AG3365" s="1"/>
      <c r="AH3365" s="1"/>
      <c r="AI3365" s="1"/>
      <c r="AJ3365" s="1"/>
      <c r="AK3365" s="1"/>
      <c r="AL3365" s="1"/>
      <c r="AM3365" s="1"/>
    </row>
    <row r="3366" spans="16:39" x14ac:dyDescent="0.25">
      <c r="P3366" s="49"/>
      <c r="Q3366" s="1"/>
      <c r="S3366" s="1"/>
      <c r="T3366" s="1"/>
      <c r="U3366" s="1"/>
      <c r="V3366" s="1"/>
      <c r="W3366" s="1"/>
      <c r="X3366" s="1"/>
      <c r="Y3366" s="1"/>
      <c r="AB3366" s="1"/>
      <c r="AC3366" s="1"/>
      <c r="AD3366" s="1"/>
      <c r="AE3366" s="1"/>
      <c r="AF3366" s="1"/>
      <c r="AG3366" s="1"/>
      <c r="AH3366" s="1"/>
      <c r="AI3366" s="1"/>
      <c r="AJ3366" s="1"/>
      <c r="AK3366" s="1"/>
      <c r="AL3366" s="1"/>
      <c r="AM3366" s="1"/>
    </row>
    <row r="3367" spans="16:39" x14ac:dyDescent="0.25">
      <c r="P3367" s="49"/>
      <c r="Q3367" s="1"/>
      <c r="S3367" s="1"/>
      <c r="T3367" s="1"/>
      <c r="U3367" s="1"/>
      <c r="V3367" s="1"/>
      <c r="W3367" s="1"/>
      <c r="X3367" s="1"/>
      <c r="Y3367" s="1"/>
      <c r="AB3367" s="1"/>
      <c r="AC3367" s="1"/>
      <c r="AD3367" s="1"/>
      <c r="AE3367" s="1"/>
      <c r="AF3367" s="1"/>
      <c r="AG3367" s="1"/>
      <c r="AH3367" s="1"/>
      <c r="AI3367" s="1"/>
      <c r="AJ3367" s="1"/>
      <c r="AK3367" s="1"/>
      <c r="AL3367" s="1"/>
      <c r="AM3367" s="1"/>
    </row>
    <row r="3368" spans="16:39" x14ac:dyDescent="0.25">
      <c r="P3368" s="49"/>
      <c r="Q3368" s="1"/>
      <c r="S3368" s="1"/>
      <c r="T3368" s="1"/>
      <c r="U3368" s="1"/>
      <c r="V3368" s="1"/>
      <c r="W3368" s="1"/>
      <c r="X3368" s="1"/>
      <c r="Y3368" s="1"/>
      <c r="AB3368" s="1"/>
      <c r="AC3368" s="1"/>
      <c r="AD3368" s="1"/>
      <c r="AE3368" s="1"/>
      <c r="AF3368" s="1"/>
      <c r="AG3368" s="1"/>
      <c r="AH3368" s="1"/>
      <c r="AI3368" s="1"/>
      <c r="AJ3368" s="1"/>
      <c r="AK3368" s="1"/>
      <c r="AL3368" s="1"/>
      <c r="AM3368" s="1"/>
    </row>
    <row r="3369" spans="16:39" x14ac:dyDescent="0.25">
      <c r="P3369" s="49"/>
      <c r="Q3369" s="1"/>
      <c r="S3369" s="1"/>
      <c r="T3369" s="1"/>
      <c r="U3369" s="1"/>
      <c r="V3369" s="1"/>
      <c r="W3369" s="1"/>
      <c r="X3369" s="1"/>
      <c r="Y3369" s="1"/>
      <c r="AB3369" s="1"/>
      <c r="AC3369" s="1"/>
      <c r="AD3369" s="1"/>
      <c r="AE3369" s="1"/>
      <c r="AF3369" s="1"/>
      <c r="AG3369" s="1"/>
      <c r="AH3369" s="1"/>
      <c r="AI3369" s="1"/>
      <c r="AJ3369" s="1"/>
      <c r="AK3369" s="1"/>
      <c r="AL3369" s="1"/>
      <c r="AM3369" s="1"/>
    </row>
    <row r="3370" spans="16:39" x14ac:dyDescent="0.25">
      <c r="P3370" s="49"/>
      <c r="Q3370" s="1"/>
      <c r="S3370" s="1"/>
      <c r="T3370" s="1"/>
      <c r="U3370" s="1"/>
      <c r="V3370" s="1"/>
      <c r="W3370" s="1"/>
      <c r="X3370" s="1"/>
      <c r="Y3370" s="1"/>
      <c r="AB3370" s="1"/>
      <c r="AC3370" s="1"/>
      <c r="AD3370" s="1"/>
      <c r="AE3370" s="1"/>
      <c r="AF3370" s="1"/>
      <c r="AG3370" s="1"/>
      <c r="AH3370" s="1"/>
      <c r="AI3370" s="1"/>
      <c r="AJ3370" s="1"/>
      <c r="AK3370" s="1"/>
      <c r="AL3370" s="1"/>
      <c r="AM3370" s="1"/>
    </row>
    <row r="3371" spans="16:39" x14ac:dyDescent="0.25">
      <c r="P3371" s="49"/>
      <c r="Q3371" s="1"/>
      <c r="S3371" s="1"/>
      <c r="T3371" s="1"/>
      <c r="U3371" s="1"/>
      <c r="V3371" s="1"/>
      <c r="W3371" s="1"/>
      <c r="X3371" s="1"/>
      <c r="Y3371" s="1"/>
      <c r="AB3371" s="1"/>
      <c r="AC3371" s="1"/>
      <c r="AD3371" s="1"/>
      <c r="AE3371" s="1"/>
      <c r="AF3371" s="1"/>
      <c r="AG3371" s="1"/>
      <c r="AH3371" s="1"/>
      <c r="AI3371" s="1"/>
      <c r="AJ3371" s="1"/>
      <c r="AK3371" s="1"/>
      <c r="AL3371" s="1"/>
      <c r="AM3371" s="1"/>
    </row>
    <row r="3372" spans="16:39" x14ac:dyDescent="0.25">
      <c r="P3372" s="49"/>
      <c r="Q3372" s="1"/>
      <c r="S3372" s="1"/>
      <c r="T3372" s="1"/>
      <c r="U3372" s="1"/>
      <c r="V3372" s="1"/>
      <c r="W3372" s="1"/>
      <c r="X3372" s="1"/>
      <c r="Y3372" s="1"/>
      <c r="AB3372" s="1"/>
      <c r="AC3372" s="1"/>
      <c r="AD3372" s="1"/>
      <c r="AE3372" s="1"/>
      <c r="AF3372" s="1"/>
      <c r="AG3372" s="1"/>
      <c r="AH3372" s="1"/>
      <c r="AI3372" s="1"/>
      <c r="AJ3372" s="1"/>
      <c r="AK3372" s="1"/>
      <c r="AL3372" s="1"/>
      <c r="AM3372" s="1"/>
    </row>
    <row r="3373" spans="16:39" x14ac:dyDescent="0.25">
      <c r="P3373" s="49"/>
      <c r="Q3373" s="1"/>
      <c r="S3373" s="1"/>
      <c r="T3373" s="1"/>
      <c r="U3373" s="1"/>
      <c r="V3373" s="1"/>
      <c r="W3373" s="1"/>
      <c r="X3373" s="1"/>
      <c r="Y3373" s="1"/>
      <c r="AB3373" s="1"/>
      <c r="AC3373" s="1"/>
      <c r="AD3373" s="1"/>
      <c r="AE3373" s="1"/>
      <c r="AF3373" s="1"/>
      <c r="AG3373" s="1"/>
      <c r="AH3373" s="1"/>
      <c r="AI3373" s="1"/>
      <c r="AJ3373" s="1"/>
      <c r="AK3373" s="1"/>
      <c r="AL3373" s="1"/>
      <c r="AM3373" s="1"/>
    </row>
    <row r="3374" spans="16:39" x14ac:dyDescent="0.25">
      <c r="P3374" s="49"/>
      <c r="Q3374" s="1"/>
      <c r="S3374" s="1"/>
      <c r="T3374" s="1"/>
      <c r="U3374" s="1"/>
      <c r="V3374" s="1"/>
      <c r="W3374" s="1"/>
      <c r="X3374" s="1"/>
      <c r="Y3374" s="1"/>
      <c r="AB3374" s="1"/>
      <c r="AC3374" s="1"/>
      <c r="AD3374" s="1"/>
      <c r="AE3374" s="1"/>
      <c r="AF3374" s="1"/>
      <c r="AG3374" s="1"/>
      <c r="AH3374" s="1"/>
      <c r="AI3374" s="1"/>
      <c r="AJ3374" s="1"/>
      <c r="AK3374" s="1"/>
      <c r="AL3374" s="1"/>
      <c r="AM3374" s="1"/>
    </row>
    <row r="3375" spans="16:39" x14ac:dyDescent="0.25">
      <c r="P3375" s="49"/>
      <c r="Q3375" s="1"/>
      <c r="S3375" s="1"/>
      <c r="T3375" s="1"/>
      <c r="U3375" s="1"/>
      <c r="V3375" s="1"/>
      <c r="W3375" s="1"/>
      <c r="X3375" s="1"/>
      <c r="Y3375" s="1"/>
      <c r="AB3375" s="1"/>
      <c r="AC3375" s="1"/>
      <c r="AD3375" s="1"/>
      <c r="AE3375" s="1"/>
      <c r="AF3375" s="1"/>
      <c r="AG3375" s="1"/>
      <c r="AH3375" s="1"/>
      <c r="AI3375" s="1"/>
      <c r="AJ3375" s="1"/>
      <c r="AK3375" s="1"/>
      <c r="AL3375" s="1"/>
      <c r="AM3375" s="1"/>
    </row>
    <row r="3376" spans="16:39" x14ac:dyDescent="0.25">
      <c r="P3376" s="49"/>
      <c r="Q3376" s="1"/>
      <c r="S3376" s="1"/>
      <c r="T3376" s="1"/>
      <c r="U3376" s="1"/>
      <c r="V3376" s="1"/>
      <c r="W3376" s="1"/>
      <c r="X3376" s="1"/>
      <c r="Y3376" s="1"/>
      <c r="AB3376" s="1"/>
      <c r="AC3376" s="1"/>
      <c r="AD3376" s="1"/>
      <c r="AE3376" s="1"/>
      <c r="AF3376" s="1"/>
      <c r="AG3376" s="1"/>
      <c r="AH3376" s="1"/>
      <c r="AI3376" s="1"/>
      <c r="AJ3376" s="1"/>
      <c r="AK3376" s="1"/>
      <c r="AL3376" s="1"/>
      <c r="AM3376" s="1"/>
    </row>
    <row r="3377" spans="16:39" x14ac:dyDescent="0.25">
      <c r="P3377" s="49"/>
      <c r="Q3377" s="1"/>
      <c r="S3377" s="1"/>
      <c r="T3377" s="1"/>
      <c r="U3377" s="1"/>
      <c r="V3377" s="1"/>
      <c r="W3377" s="1"/>
      <c r="X3377" s="1"/>
      <c r="Y3377" s="1"/>
      <c r="AB3377" s="1"/>
      <c r="AC3377" s="1"/>
      <c r="AD3377" s="1"/>
      <c r="AE3377" s="1"/>
      <c r="AF3377" s="1"/>
      <c r="AG3377" s="1"/>
      <c r="AH3377" s="1"/>
      <c r="AI3377" s="1"/>
      <c r="AJ3377" s="1"/>
      <c r="AK3377" s="1"/>
      <c r="AL3377" s="1"/>
      <c r="AM3377" s="1"/>
    </row>
    <row r="3378" spans="16:39" x14ac:dyDescent="0.25">
      <c r="P3378" s="49"/>
      <c r="Q3378" s="1"/>
      <c r="S3378" s="1"/>
      <c r="T3378" s="1"/>
      <c r="U3378" s="1"/>
      <c r="V3378" s="1"/>
      <c r="W3378" s="1"/>
      <c r="X3378" s="1"/>
      <c r="Y3378" s="1"/>
      <c r="AB3378" s="1"/>
      <c r="AC3378" s="1"/>
      <c r="AD3378" s="1"/>
      <c r="AE3378" s="1"/>
      <c r="AF3378" s="1"/>
      <c r="AG3378" s="1"/>
      <c r="AH3378" s="1"/>
      <c r="AI3378" s="1"/>
      <c r="AJ3378" s="1"/>
      <c r="AK3378" s="1"/>
      <c r="AL3378" s="1"/>
      <c r="AM3378" s="1"/>
    </row>
    <row r="3379" spans="16:39" x14ac:dyDescent="0.25">
      <c r="P3379" s="49"/>
      <c r="Q3379" s="1"/>
      <c r="S3379" s="1"/>
      <c r="T3379" s="1"/>
      <c r="U3379" s="1"/>
      <c r="V3379" s="1"/>
      <c r="W3379" s="1"/>
      <c r="X3379" s="1"/>
      <c r="Y3379" s="1"/>
      <c r="AB3379" s="1"/>
      <c r="AC3379" s="1"/>
      <c r="AD3379" s="1"/>
      <c r="AE3379" s="1"/>
      <c r="AF3379" s="1"/>
      <c r="AG3379" s="1"/>
      <c r="AH3379" s="1"/>
      <c r="AI3379" s="1"/>
      <c r="AJ3379" s="1"/>
      <c r="AK3379" s="1"/>
      <c r="AL3379" s="1"/>
      <c r="AM3379" s="1"/>
    </row>
    <row r="3380" spans="16:39" x14ac:dyDescent="0.25">
      <c r="P3380" s="49"/>
      <c r="Q3380" s="1"/>
      <c r="S3380" s="1"/>
      <c r="T3380" s="1"/>
      <c r="U3380" s="1"/>
      <c r="V3380" s="1"/>
      <c r="W3380" s="1"/>
      <c r="X3380" s="1"/>
      <c r="Y3380" s="1"/>
      <c r="AB3380" s="1"/>
      <c r="AC3380" s="1"/>
      <c r="AD3380" s="1"/>
      <c r="AE3380" s="1"/>
      <c r="AF3380" s="1"/>
      <c r="AG3380" s="1"/>
      <c r="AH3380" s="1"/>
      <c r="AI3380" s="1"/>
      <c r="AJ3380" s="1"/>
      <c r="AK3380" s="1"/>
      <c r="AL3380" s="1"/>
      <c r="AM3380" s="1"/>
    </row>
    <row r="3381" spans="16:39" x14ac:dyDescent="0.25">
      <c r="P3381" s="49"/>
      <c r="Q3381" s="1"/>
      <c r="S3381" s="1"/>
      <c r="T3381" s="1"/>
      <c r="U3381" s="1"/>
      <c r="V3381" s="1"/>
      <c r="W3381" s="1"/>
      <c r="X3381" s="1"/>
      <c r="Y3381" s="1"/>
      <c r="AB3381" s="1"/>
      <c r="AC3381" s="1"/>
      <c r="AD3381" s="1"/>
      <c r="AE3381" s="1"/>
      <c r="AF3381" s="1"/>
      <c r="AG3381" s="1"/>
      <c r="AH3381" s="1"/>
      <c r="AI3381" s="1"/>
      <c r="AJ3381" s="1"/>
      <c r="AK3381" s="1"/>
      <c r="AL3381" s="1"/>
      <c r="AM3381" s="1"/>
    </row>
    <row r="3382" spans="16:39" x14ac:dyDescent="0.25">
      <c r="P3382" s="49"/>
      <c r="Q3382" s="1"/>
      <c r="S3382" s="1"/>
      <c r="T3382" s="1"/>
      <c r="U3382" s="1"/>
      <c r="V3382" s="1"/>
      <c r="W3382" s="1"/>
      <c r="X3382" s="1"/>
      <c r="Y3382" s="1"/>
      <c r="AB3382" s="1"/>
      <c r="AC3382" s="1"/>
      <c r="AD3382" s="1"/>
      <c r="AE3382" s="1"/>
      <c r="AF3382" s="1"/>
      <c r="AG3382" s="1"/>
      <c r="AH3382" s="1"/>
      <c r="AI3382" s="1"/>
      <c r="AJ3382" s="1"/>
      <c r="AK3382" s="1"/>
      <c r="AL3382" s="1"/>
      <c r="AM3382" s="1"/>
    </row>
    <row r="3383" spans="16:39" x14ac:dyDescent="0.25">
      <c r="P3383" s="49"/>
      <c r="Q3383" s="1"/>
      <c r="S3383" s="1"/>
      <c r="T3383" s="1"/>
      <c r="U3383" s="1"/>
      <c r="V3383" s="1"/>
      <c r="W3383" s="1"/>
      <c r="X3383" s="1"/>
      <c r="Y3383" s="1"/>
      <c r="AB3383" s="1"/>
      <c r="AC3383" s="1"/>
      <c r="AD3383" s="1"/>
      <c r="AE3383" s="1"/>
      <c r="AF3383" s="1"/>
      <c r="AG3383" s="1"/>
      <c r="AH3383" s="1"/>
      <c r="AI3383" s="1"/>
      <c r="AJ3383" s="1"/>
      <c r="AK3383" s="1"/>
      <c r="AL3383" s="1"/>
      <c r="AM3383" s="1"/>
    </row>
    <row r="3384" spans="16:39" x14ac:dyDescent="0.25">
      <c r="P3384" s="49"/>
      <c r="Q3384" s="1"/>
      <c r="S3384" s="1"/>
      <c r="T3384" s="1"/>
      <c r="U3384" s="1"/>
      <c r="V3384" s="1"/>
      <c r="W3384" s="1"/>
      <c r="X3384" s="1"/>
      <c r="Y3384" s="1"/>
      <c r="AB3384" s="1"/>
      <c r="AC3384" s="1"/>
      <c r="AD3384" s="1"/>
      <c r="AE3384" s="1"/>
      <c r="AF3384" s="1"/>
      <c r="AG3384" s="1"/>
      <c r="AH3384" s="1"/>
      <c r="AI3384" s="1"/>
      <c r="AJ3384" s="1"/>
      <c r="AK3384" s="1"/>
      <c r="AL3384" s="1"/>
      <c r="AM3384" s="1"/>
    </row>
    <row r="3385" spans="16:39" x14ac:dyDescent="0.25">
      <c r="P3385" s="49"/>
      <c r="Q3385" s="1"/>
      <c r="S3385" s="1"/>
      <c r="T3385" s="1"/>
      <c r="U3385" s="1"/>
      <c r="V3385" s="1"/>
      <c r="W3385" s="1"/>
      <c r="X3385" s="1"/>
      <c r="Y3385" s="1"/>
      <c r="AB3385" s="1"/>
      <c r="AC3385" s="1"/>
      <c r="AD3385" s="1"/>
      <c r="AE3385" s="1"/>
      <c r="AF3385" s="1"/>
      <c r="AG3385" s="1"/>
      <c r="AH3385" s="1"/>
      <c r="AI3385" s="1"/>
      <c r="AJ3385" s="1"/>
      <c r="AK3385" s="1"/>
      <c r="AL3385" s="1"/>
      <c r="AM3385" s="1"/>
    </row>
    <row r="3386" spans="16:39" x14ac:dyDescent="0.25">
      <c r="P3386" s="49"/>
      <c r="Q3386" s="1"/>
      <c r="S3386" s="1"/>
      <c r="T3386" s="1"/>
      <c r="U3386" s="1"/>
      <c r="V3386" s="1"/>
      <c r="W3386" s="1"/>
      <c r="X3386" s="1"/>
      <c r="Y3386" s="1"/>
      <c r="AB3386" s="1"/>
      <c r="AC3386" s="1"/>
      <c r="AD3386" s="1"/>
      <c r="AE3386" s="1"/>
      <c r="AF3386" s="1"/>
      <c r="AG3386" s="1"/>
      <c r="AH3386" s="1"/>
      <c r="AI3386" s="1"/>
      <c r="AJ3386" s="1"/>
      <c r="AK3386" s="1"/>
      <c r="AL3386" s="1"/>
      <c r="AM3386" s="1"/>
    </row>
    <row r="3387" spans="16:39" x14ac:dyDescent="0.25">
      <c r="P3387" s="49"/>
      <c r="Q3387" s="1"/>
      <c r="S3387" s="1"/>
      <c r="T3387" s="1"/>
      <c r="U3387" s="1"/>
      <c r="V3387" s="1"/>
      <c r="W3387" s="1"/>
      <c r="X3387" s="1"/>
      <c r="Y3387" s="1"/>
      <c r="AB3387" s="1"/>
      <c r="AC3387" s="1"/>
      <c r="AD3387" s="1"/>
      <c r="AE3387" s="1"/>
      <c r="AF3387" s="1"/>
      <c r="AG3387" s="1"/>
      <c r="AH3387" s="1"/>
      <c r="AI3387" s="1"/>
      <c r="AJ3387" s="1"/>
      <c r="AK3387" s="1"/>
      <c r="AL3387" s="1"/>
      <c r="AM3387" s="1"/>
    </row>
    <row r="3388" spans="16:39" x14ac:dyDescent="0.25">
      <c r="P3388" s="49"/>
      <c r="Q3388" s="1"/>
      <c r="S3388" s="1"/>
      <c r="T3388" s="1"/>
      <c r="U3388" s="1"/>
      <c r="V3388" s="1"/>
      <c r="W3388" s="1"/>
      <c r="X3388" s="1"/>
      <c r="Y3388" s="1"/>
      <c r="AB3388" s="1"/>
      <c r="AC3388" s="1"/>
      <c r="AD3388" s="1"/>
      <c r="AE3388" s="1"/>
      <c r="AF3388" s="1"/>
      <c r="AG3388" s="1"/>
      <c r="AH3388" s="1"/>
      <c r="AI3388" s="1"/>
      <c r="AJ3388" s="1"/>
      <c r="AK3388" s="1"/>
      <c r="AL3388" s="1"/>
      <c r="AM3388" s="1"/>
    </row>
    <row r="3389" spans="16:39" x14ac:dyDescent="0.25">
      <c r="P3389" s="49"/>
      <c r="Q3389" s="1"/>
      <c r="S3389" s="1"/>
      <c r="T3389" s="1"/>
      <c r="U3389" s="1"/>
      <c r="V3389" s="1"/>
      <c r="W3389" s="1"/>
      <c r="X3389" s="1"/>
      <c r="Y3389" s="1"/>
      <c r="AB3389" s="1"/>
      <c r="AC3389" s="1"/>
      <c r="AD3389" s="1"/>
      <c r="AE3389" s="1"/>
      <c r="AF3389" s="1"/>
      <c r="AG3389" s="1"/>
      <c r="AH3389" s="1"/>
      <c r="AI3389" s="1"/>
      <c r="AJ3389" s="1"/>
      <c r="AK3389" s="1"/>
      <c r="AL3389" s="1"/>
      <c r="AM3389" s="1"/>
    </row>
    <row r="3390" spans="16:39" x14ac:dyDescent="0.25">
      <c r="P3390" s="49"/>
      <c r="Q3390" s="1"/>
      <c r="S3390" s="1"/>
      <c r="T3390" s="1"/>
      <c r="U3390" s="1"/>
      <c r="V3390" s="1"/>
      <c r="W3390" s="1"/>
      <c r="X3390" s="1"/>
      <c r="Y3390" s="1"/>
      <c r="AB3390" s="1"/>
      <c r="AC3390" s="1"/>
      <c r="AD3390" s="1"/>
      <c r="AE3390" s="1"/>
      <c r="AF3390" s="1"/>
      <c r="AG3390" s="1"/>
      <c r="AH3390" s="1"/>
      <c r="AI3390" s="1"/>
      <c r="AJ3390" s="1"/>
      <c r="AK3390" s="1"/>
      <c r="AL3390" s="1"/>
      <c r="AM3390" s="1"/>
    </row>
    <row r="3391" spans="16:39" x14ac:dyDescent="0.25">
      <c r="P3391" s="49"/>
      <c r="Q3391" s="1"/>
      <c r="S3391" s="1"/>
      <c r="T3391" s="1"/>
      <c r="U3391" s="1"/>
      <c r="V3391" s="1"/>
      <c r="W3391" s="1"/>
      <c r="X3391" s="1"/>
      <c r="Y3391" s="1"/>
      <c r="AB3391" s="1"/>
      <c r="AC3391" s="1"/>
      <c r="AD3391" s="1"/>
      <c r="AE3391" s="1"/>
      <c r="AF3391" s="1"/>
      <c r="AG3391" s="1"/>
      <c r="AH3391" s="1"/>
      <c r="AI3391" s="1"/>
      <c r="AJ3391" s="1"/>
      <c r="AK3391" s="1"/>
      <c r="AL3391" s="1"/>
      <c r="AM3391" s="1"/>
    </row>
    <row r="3392" spans="16:39" x14ac:dyDescent="0.25">
      <c r="P3392" s="49"/>
      <c r="Q3392" s="1"/>
      <c r="S3392" s="1"/>
      <c r="T3392" s="1"/>
      <c r="U3392" s="1"/>
      <c r="V3392" s="1"/>
      <c r="W3392" s="1"/>
      <c r="X3392" s="1"/>
      <c r="Y3392" s="1"/>
      <c r="AB3392" s="1"/>
      <c r="AC3392" s="1"/>
      <c r="AD3392" s="1"/>
      <c r="AE3392" s="1"/>
      <c r="AF3392" s="1"/>
      <c r="AG3392" s="1"/>
      <c r="AH3392" s="1"/>
      <c r="AI3392" s="1"/>
      <c r="AJ3392" s="1"/>
      <c r="AK3392" s="1"/>
      <c r="AL3392" s="1"/>
      <c r="AM3392" s="1"/>
    </row>
    <row r="3393" spans="16:39" x14ac:dyDescent="0.25">
      <c r="P3393" s="49"/>
      <c r="Q3393" s="1"/>
      <c r="S3393" s="1"/>
      <c r="T3393" s="1"/>
      <c r="U3393" s="1"/>
      <c r="V3393" s="1"/>
      <c r="W3393" s="1"/>
      <c r="X3393" s="1"/>
      <c r="Y3393" s="1"/>
      <c r="AB3393" s="1"/>
      <c r="AC3393" s="1"/>
      <c r="AD3393" s="1"/>
      <c r="AE3393" s="1"/>
      <c r="AF3393" s="1"/>
      <c r="AG3393" s="1"/>
      <c r="AH3393" s="1"/>
      <c r="AI3393" s="1"/>
      <c r="AJ3393" s="1"/>
      <c r="AK3393" s="1"/>
      <c r="AL3393" s="1"/>
      <c r="AM3393" s="1"/>
    </row>
    <row r="3394" spans="16:39" x14ac:dyDescent="0.25">
      <c r="P3394" s="49"/>
      <c r="Q3394" s="1"/>
      <c r="S3394" s="1"/>
      <c r="T3394" s="1"/>
      <c r="U3394" s="1"/>
      <c r="V3394" s="1"/>
      <c r="W3394" s="1"/>
      <c r="X3394" s="1"/>
      <c r="Y3394" s="1"/>
      <c r="AB3394" s="1"/>
      <c r="AC3394" s="1"/>
      <c r="AD3394" s="1"/>
      <c r="AE3394" s="1"/>
      <c r="AF3394" s="1"/>
      <c r="AG3394" s="1"/>
      <c r="AH3394" s="1"/>
      <c r="AI3394" s="1"/>
      <c r="AJ3394" s="1"/>
      <c r="AK3394" s="1"/>
      <c r="AL3394" s="1"/>
      <c r="AM3394" s="1"/>
    </row>
    <row r="3395" spans="16:39" x14ac:dyDescent="0.25">
      <c r="P3395" s="49"/>
      <c r="Q3395" s="1"/>
      <c r="S3395" s="1"/>
      <c r="T3395" s="1"/>
      <c r="U3395" s="1"/>
      <c r="V3395" s="1"/>
      <c r="W3395" s="1"/>
      <c r="X3395" s="1"/>
      <c r="Y3395" s="1"/>
      <c r="AB3395" s="1"/>
      <c r="AC3395" s="1"/>
      <c r="AD3395" s="1"/>
      <c r="AE3395" s="1"/>
      <c r="AF3395" s="1"/>
      <c r="AG3395" s="1"/>
      <c r="AH3395" s="1"/>
      <c r="AI3395" s="1"/>
      <c r="AJ3395" s="1"/>
      <c r="AK3395" s="1"/>
      <c r="AL3395" s="1"/>
      <c r="AM3395" s="1"/>
    </row>
    <row r="3396" spans="16:39" x14ac:dyDescent="0.25">
      <c r="P3396" s="49"/>
      <c r="Q3396" s="1"/>
      <c r="S3396" s="1"/>
      <c r="T3396" s="1"/>
      <c r="U3396" s="1"/>
      <c r="V3396" s="1"/>
      <c r="W3396" s="1"/>
      <c r="X3396" s="1"/>
      <c r="Y3396" s="1"/>
      <c r="AB3396" s="1"/>
      <c r="AC3396" s="1"/>
      <c r="AD3396" s="1"/>
      <c r="AE3396" s="1"/>
      <c r="AF3396" s="1"/>
      <c r="AG3396" s="1"/>
      <c r="AH3396" s="1"/>
      <c r="AI3396" s="1"/>
      <c r="AJ3396" s="1"/>
      <c r="AK3396" s="1"/>
      <c r="AL3396" s="1"/>
      <c r="AM3396" s="1"/>
    </row>
    <row r="3397" spans="16:39" x14ac:dyDescent="0.25">
      <c r="P3397" s="49"/>
      <c r="Q3397" s="1"/>
      <c r="S3397" s="1"/>
      <c r="T3397" s="1"/>
      <c r="U3397" s="1"/>
      <c r="V3397" s="1"/>
      <c r="W3397" s="1"/>
      <c r="X3397" s="1"/>
      <c r="Y3397" s="1"/>
      <c r="AB3397" s="1"/>
      <c r="AC3397" s="1"/>
      <c r="AD3397" s="1"/>
      <c r="AE3397" s="1"/>
      <c r="AF3397" s="1"/>
      <c r="AG3397" s="1"/>
      <c r="AH3397" s="1"/>
      <c r="AI3397" s="1"/>
      <c r="AJ3397" s="1"/>
      <c r="AK3397" s="1"/>
      <c r="AL3397" s="1"/>
      <c r="AM3397" s="1"/>
    </row>
    <row r="3398" spans="16:39" x14ac:dyDescent="0.25">
      <c r="P3398" s="49"/>
      <c r="Q3398" s="1"/>
      <c r="S3398" s="1"/>
      <c r="T3398" s="1"/>
      <c r="U3398" s="1"/>
      <c r="V3398" s="1"/>
      <c r="W3398" s="1"/>
      <c r="X3398" s="1"/>
      <c r="Y3398" s="1"/>
      <c r="AB3398" s="1"/>
      <c r="AC3398" s="1"/>
      <c r="AD3398" s="1"/>
      <c r="AE3398" s="1"/>
      <c r="AF3398" s="1"/>
      <c r="AG3398" s="1"/>
      <c r="AH3398" s="1"/>
      <c r="AI3398" s="1"/>
      <c r="AJ3398" s="1"/>
      <c r="AK3398" s="1"/>
      <c r="AL3398" s="1"/>
      <c r="AM3398" s="1"/>
    </row>
    <row r="3399" spans="16:39" x14ac:dyDescent="0.25">
      <c r="P3399" s="49"/>
      <c r="Q3399" s="1"/>
      <c r="S3399" s="1"/>
      <c r="T3399" s="1"/>
      <c r="U3399" s="1"/>
      <c r="V3399" s="1"/>
      <c r="W3399" s="1"/>
      <c r="X3399" s="1"/>
      <c r="Y3399" s="1"/>
      <c r="AB3399" s="1"/>
      <c r="AC3399" s="1"/>
      <c r="AD3399" s="1"/>
      <c r="AE3399" s="1"/>
      <c r="AF3399" s="1"/>
      <c r="AG3399" s="1"/>
      <c r="AH3399" s="1"/>
      <c r="AI3399" s="1"/>
      <c r="AJ3399" s="1"/>
      <c r="AK3399" s="1"/>
      <c r="AL3399" s="1"/>
      <c r="AM3399" s="1"/>
    </row>
    <row r="3400" spans="16:39" x14ac:dyDescent="0.25">
      <c r="P3400" s="49"/>
      <c r="Q3400" s="1"/>
      <c r="S3400" s="1"/>
      <c r="T3400" s="1"/>
      <c r="U3400" s="1"/>
      <c r="V3400" s="1"/>
      <c r="W3400" s="1"/>
      <c r="X3400" s="1"/>
      <c r="Y3400" s="1"/>
      <c r="AB3400" s="1"/>
      <c r="AC3400" s="1"/>
      <c r="AD3400" s="1"/>
      <c r="AE3400" s="1"/>
      <c r="AF3400" s="1"/>
      <c r="AG3400" s="1"/>
      <c r="AH3400" s="1"/>
      <c r="AI3400" s="1"/>
      <c r="AJ3400" s="1"/>
      <c r="AK3400" s="1"/>
      <c r="AL3400" s="1"/>
      <c r="AM3400" s="1"/>
    </row>
    <row r="3401" spans="16:39" x14ac:dyDescent="0.25">
      <c r="P3401" s="49"/>
      <c r="Q3401" s="1"/>
      <c r="S3401" s="1"/>
      <c r="T3401" s="1"/>
      <c r="U3401" s="1"/>
      <c r="V3401" s="1"/>
      <c r="W3401" s="1"/>
      <c r="X3401" s="1"/>
      <c r="Y3401" s="1"/>
      <c r="AB3401" s="1"/>
      <c r="AC3401" s="1"/>
      <c r="AD3401" s="1"/>
      <c r="AE3401" s="1"/>
      <c r="AF3401" s="1"/>
      <c r="AG3401" s="1"/>
      <c r="AH3401" s="1"/>
      <c r="AI3401" s="1"/>
      <c r="AJ3401" s="1"/>
      <c r="AK3401" s="1"/>
      <c r="AL3401" s="1"/>
      <c r="AM3401" s="1"/>
    </row>
    <row r="3402" spans="16:39" x14ac:dyDescent="0.25">
      <c r="P3402" s="49"/>
      <c r="Q3402" s="1"/>
      <c r="S3402" s="1"/>
      <c r="T3402" s="1"/>
      <c r="U3402" s="1"/>
      <c r="V3402" s="1"/>
      <c r="W3402" s="1"/>
      <c r="X3402" s="1"/>
      <c r="Y3402" s="1"/>
      <c r="AB3402" s="1"/>
      <c r="AC3402" s="1"/>
      <c r="AD3402" s="1"/>
      <c r="AE3402" s="1"/>
      <c r="AF3402" s="1"/>
      <c r="AG3402" s="1"/>
      <c r="AH3402" s="1"/>
      <c r="AI3402" s="1"/>
      <c r="AJ3402" s="1"/>
      <c r="AK3402" s="1"/>
      <c r="AL3402" s="1"/>
      <c r="AM3402" s="1"/>
    </row>
    <row r="3403" spans="16:39" x14ac:dyDescent="0.25">
      <c r="P3403" s="49"/>
      <c r="Q3403" s="1"/>
      <c r="S3403" s="1"/>
      <c r="T3403" s="1"/>
      <c r="U3403" s="1"/>
      <c r="V3403" s="1"/>
      <c r="W3403" s="1"/>
      <c r="X3403" s="1"/>
      <c r="Y3403" s="1"/>
      <c r="AB3403" s="1"/>
      <c r="AC3403" s="1"/>
      <c r="AD3403" s="1"/>
      <c r="AE3403" s="1"/>
      <c r="AF3403" s="1"/>
      <c r="AG3403" s="1"/>
      <c r="AH3403" s="1"/>
      <c r="AI3403" s="1"/>
      <c r="AJ3403" s="1"/>
      <c r="AK3403" s="1"/>
      <c r="AL3403" s="1"/>
      <c r="AM3403" s="1"/>
    </row>
    <row r="3404" spans="16:39" x14ac:dyDescent="0.25">
      <c r="P3404" s="49"/>
      <c r="Q3404" s="1"/>
      <c r="S3404" s="1"/>
      <c r="T3404" s="1"/>
      <c r="U3404" s="1"/>
      <c r="V3404" s="1"/>
      <c r="W3404" s="1"/>
      <c r="X3404" s="1"/>
      <c r="Y3404" s="1"/>
      <c r="AB3404" s="1"/>
      <c r="AC3404" s="1"/>
      <c r="AD3404" s="1"/>
      <c r="AE3404" s="1"/>
      <c r="AF3404" s="1"/>
      <c r="AG3404" s="1"/>
      <c r="AH3404" s="1"/>
      <c r="AI3404" s="1"/>
      <c r="AJ3404" s="1"/>
      <c r="AK3404" s="1"/>
      <c r="AL3404" s="1"/>
      <c r="AM3404" s="1"/>
    </row>
    <row r="3405" spans="16:39" x14ac:dyDescent="0.25">
      <c r="P3405" s="49"/>
      <c r="Q3405" s="1"/>
      <c r="S3405" s="1"/>
      <c r="T3405" s="1"/>
      <c r="U3405" s="1"/>
      <c r="V3405" s="1"/>
      <c r="W3405" s="1"/>
      <c r="X3405" s="1"/>
      <c r="Y3405" s="1"/>
      <c r="AB3405" s="1"/>
      <c r="AC3405" s="1"/>
      <c r="AD3405" s="1"/>
      <c r="AE3405" s="1"/>
      <c r="AF3405" s="1"/>
      <c r="AG3405" s="1"/>
      <c r="AH3405" s="1"/>
      <c r="AI3405" s="1"/>
      <c r="AJ3405" s="1"/>
      <c r="AK3405" s="1"/>
      <c r="AL3405" s="1"/>
      <c r="AM3405" s="1"/>
    </row>
    <row r="3406" spans="16:39" x14ac:dyDescent="0.25">
      <c r="P3406" s="49"/>
      <c r="Q3406" s="1"/>
      <c r="S3406" s="1"/>
      <c r="T3406" s="1"/>
      <c r="U3406" s="1"/>
      <c r="V3406" s="1"/>
      <c r="W3406" s="1"/>
      <c r="X3406" s="1"/>
      <c r="Y3406" s="1"/>
      <c r="AB3406" s="1"/>
      <c r="AC3406" s="1"/>
      <c r="AD3406" s="1"/>
      <c r="AE3406" s="1"/>
      <c r="AF3406" s="1"/>
      <c r="AG3406" s="1"/>
      <c r="AH3406" s="1"/>
      <c r="AI3406" s="1"/>
      <c r="AJ3406" s="1"/>
      <c r="AK3406" s="1"/>
      <c r="AL3406" s="1"/>
      <c r="AM3406" s="1"/>
    </row>
    <row r="3407" spans="16:39" x14ac:dyDescent="0.25">
      <c r="P3407" s="49"/>
      <c r="Q3407" s="1"/>
      <c r="S3407" s="1"/>
      <c r="T3407" s="1"/>
      <c r="U3407" s="1"/>
      <c r="V3407" s="1"/>
      <c r="W3407" s="1"/>
      <c r="X3407" s="1"/>
      <c r="Y3407" s="1"/>
      <c r="AB3407" s="1"/>
      <c r="AC3407" s="1"/>
      <c r="AD3407" s="1"/>
      <c r="AE3407" s="1"/>
      <c r="AF3407" s="1"/>
      <c r="AG3407" s="1"/>
      <c r="AH3407" s="1"/>
      <c r="AI3407" s="1"/>
      <c r="AJ3407" s="1"/>
      <c r="AK3407" s="1"/>
      <c r="AL3407" s="1"/>
      <c r="AM3407" s="1"/>
    </row>
    <row r="3408" spans="16:39" x14ac:dyDescent="0.25">
      <c r="P3408" s="49"/>
      <c r="Q3408" s="1"/>
      <c r="S3408" s="1"/>
      <c r="T3408" s="1"/>
      <c r="U3408" s="1"/>
      <c r="V3408" s="1"/>
      <c r="W3408" s="1"/>
      <c r="X3408" s="1"/>
      <c r="Y3408" s="1"/>
      <c r="AB3408" s="1"/>
      <c r="AC3408" s="1"/>
      <c r="AD3408" s="1"/>
      <c r="AE3408" s="1"/>
      <c r="AF3408" s="1"/>
      <c r="AG3408" s="1"/>
      <c r="AH3408" s="1"/>
      <c r="AI3408" s="1"/>
      <c r="AJ3408" s="1"/>
      <c r="AK3408" s="1"/>
      <c r="AL3408" s="1"/>
      <c r="AM3408" s="1"/>
    </row>
    <row r="3409" spans="16:39" x14ac:dyDescent="0.25">
      <c r="P3409" s="49"/>
      <c r="Q3409" s="1"/>
      <c r="S3409" s="1"/>
      <c r="T3409" s="1"/>
      <c r="U3409" s="1"/>
      <c r="V3409" s="1"/>
      <c r="W3409" s="1"/>
      <c r="X3409" s="1"/>
      <c r="Y3409" s="1"/>
      <c r="AB3409" s="1"/>
      <c r="AC3409" s="1"/>
      <c r="AD3409" s="1"/>
      <c r="AE3409" s="1"/>
      <c r="AF3409" s="1"/>
      <c r="AG3409" s="1"/>
      <c r="AH3409" s="1"/>
      <c r="AI3409" s="1"/>
      <c r="AJ3409" s="1"/>
      <c r="AK3409" s="1"/>
      <c r="AL3409" s="1"/>
      <c r="AM3409" s="1"/>
    </row>
    <row r="3410" spans="16:39" x14ac:dyDescent="0.25">
      <c r="P3410" s="49"/>
      <c r="Q3410" s="1"/>
      <c r="S3410" s="1"/>
      <c r="T3410" s="1"/>
      <c r="U3410" s="1"/>
      <c r="V3410" s="1"/>
      <c r="W3410" s="1"/>
      <c r="X3410" s="1"/>
      <c r="Y3410" s="1"/>
      <c r="AB3410" s="1"/>
      <c r="AC3410" s="1"/>
      <c r="AD3410" s="1"/>
      <c r="AE3410" s="1"/>
      <c r="AF3410" s="1"/>
      <c r="AG3410" s="1"/>
      <c r="AH3410" s="1"/>
      <c r="AI3410" s="1"/>
      <c r="AJ3410" s="1"/>
      <c r="AK3410" s="1"/>
      <c r="AL3410" s="1"/>
      <c r="AM3410" s="1"/>
    </row>
    <row r="3411" spans="16:39" x14ac:dyDescent="0.25">
      <c r="P3411" s="49"/>
      <c r="Q3411" s="1"/>
      <c r="S3411" s="1"/>
      <c r="T3411" s="1"/>
      <c r="U3411" s="1"/>
      <c r="V3411" s="1"/>
      <c r="W3411" s="1"/>
      <c r="X3411" s="1"/>
      <c r="Y3411" s="1"/>
      <c r="AB3411" s="1"/>
      <c r="AC3411" s="1"/>
      <c r="AD3411" s="1"/>
      <c r="AE3411" s="1"/>
      <c r="AF3411" s="1"/>
      <c r="AG3411" s="1"/>
      <c r="AH3411" s="1"/>
      <c r="AI3411" s="1"/>
      <c r="AJ3411" s="1"/>
      <c r="AK3411" s="1"/>
      <c r="AL3411" s="1"/>
      <c r="AM3411" s="1"/>
    </row>
    <row r="3412" spans="16:39" x14ac:dyDescent="0.25">
      <c r="P3412" s="49"/>
      <c r="Q3412" s="1"/>
      <c r="S3412" s="1"/>
      <c r="T3412" s="1"/>
      <c r="U3412" s="1"/>
      <c r="V3412" s="1"/>
      <c r="W3412" s="1"/>
      <c r="X3412" s="1"/>
      <c r="Y3412" s="1"/>
      <c r="AB3412" s="1"/>
      <c r="AC3412" s="1"/>
      <c r="AD3412" s="1"/>
      <c r="AE3412" s="1"/>
      <c r="AF3412" s="1"/>
      <c r="AG3412" s="1"/>
      <c r="AH3412" s="1"/>
      <c r="AI3412" s="1"/>
      <c r="AJ3412" s="1"/>
      <c r="AK3412" s="1"/>
      <c r="AL3412" s="1"/>
      <c r="AM3412" s="1"/>
    </row>
    <row r="3413" spans="16:39" x14ac:dyDescent="0.25">
      <c r="P3413" s="49"/>
      <c r="Q3413" s="1"/>
      <c r="S3413" s="1"/>
      <c r="T3413" s="1"/>
      <c r="U3413" s="1"/>
      <c r="V3413" s="1"/>
      <c r="W3413" s="1"/>
      <c r="X3413" s="1"/>
      <c r="Y3413" s="1"/>
      <c r="AB3413" s="1"/>
      <c r="AC3413" s="1"/>
      <c r="AD3413" s="1"/>
      <c r="AE3413" s="1"/>
      <c r="AF3413" s="1"/>
      <c r="AG3413" s="1"/>
      <c r="AH3413" s="1"/>
      <c r="AI3413" s="1"/>
      <c r="AJ3413" s="1"/>
      <c r="AK3413" s="1"/>
      <c r="AL3413" s="1"/>
      <c r="AM3413" s="1"/>
    </row>
    <row r="3414" spans="16:39" x14ac:dyDescent="0.25">
      <c r="P3414" s="49"/>
      <c r="Q3414" s="1"/>
      <c r="S3414" s="1"/>
      <c r="T3414" s="1"/>
      <c r="U3414" s="1"/>
      <c r="V3414" s="1"/>
      <c r="W3414" s="1"/>
      <c r="X3414" s="1"/>
      <c r="Y3414" s="1"/>
      <c r="AB3414" s="1"/>
      <c r="AC3414" s="1"/>
      <c r="AD3414" s="1"/>
      <c r="AE3414" s="1"/>
      <c r="AF3414" s="1"/>
      <c r="AG3414" s="1"/>
      <c r="AH3414" s="1"/>
      <c r="AI3414" s="1"/>
      <c r="AJ3414" s="1"/>
      <c r="AK3414" s="1"/>
      <c r="AL3414" s="1"/>
      <c r="AM3414" s="1"/>
    </row>
    <row r="3415" spans="16:39" x14ac:dyDescent="0.25">
      <c r="P3415" s="49"/>
      <c r="Q3415" s="1"/>
      <c r="S3415" s="1"/>
      <c r="T3415" s="1"/>
      <c r="U3415" s="1"/>
      <c r="V3415" s="1"/>
      <c r="W3415" s="1"/>
      <c r="X3415" s="1"/>
      <c r="Y3415" s="1"/>
      <c r="AB3415" s="1"/>
      <c r="AC3415" s="1"/>
      <c r="AD3415" s="1"/>
      <c r="AE3415" s="1"/>
      <c r="AF3415" s="1"/>
      <c r="AG3415" s="1"/>
      <c r="AH3415" s="1"/>
      <c r="AI3415" s="1"/>
      <c r="AJ3415" s="1"/>
      <c r="AK3415" s="1"/>
      <c r="AL3415" s="1"/>
      <c r="AM3415" s="1"/>
    </row>
    <row r="3416" spans="16:39" x14ac:dyDescent="0.25">
      <c r="P3416" s="49"/>
      <c r="Q3416" s="1"/>
      <c r="S3416" s="1"/>
      <c r="T3416" s="1"/>
      <c r="U3416" s="1"/>
      <c r="V3416" s="1"/>
      <c r="W3416" s="1"/>
      <c r="X3416" s="1"/>
      <c r="Y3416" s="1"/>
      <c r="AB3416" s="1"/>
      <c r="AC3416" s="1"/>
      <c r="AD3416" s="1"/>
      <c r="AE3416" s="1"/>
      <c r="AF3416" s="1"/>
      <c r="AG3416" s="1"/>
      <c r="AH3416" s="1"/>
      <c r="AI3416" s="1"/>
      <c r="AJ3416" s="1"/>
      <c r="AK3416" s="1"/>
      <c r="AL3416" s="1"/>
      <c r="AM3416" s="1"/>
    </row>
    <row r="3417" spans="16:39" x14ac:dyDescent="0.25">
      <c r="P3417" s="49"/>
      <c r="Q3417" s="1"/>
      <c r="S3417" s="1"/>
      <c r="T3417" s="1"/>
      <c r="U3417" s="1"/>
      <c r="V3417" s="1"/>
      <c r="W3417" s="1"/>
      <c r="X3417" s="1"/>
      <c r="Y3417" s="1"/>
      <c r="AB3417" s="1"/>
      <c r="AC3417" s="1"/>
      <c r="AD3417" s="1"/>
      <c r="AE3417" s="1"/>
      <c r="AF3417" s="1"/>
      <c r="AG3417" s="1"/>
      <c r="AH3417" s="1"/>
      <c r="AI3417" s="1"/>
      <c r="AJ3417" s="1"/>
      <c r="AK3417" s="1"/>
      <c r="AL3417" s="1"/>
      <c r="AM3417" s="1"/>
    </row>
    <row r="3418" spans="16:39" x14ac:dyDescent="0.25">
      <c r="P3418" s="49"/>
      <c r="Q3418" s="1"/>
      <c r="S3418" s="1"/>
      <c r="T3418" s="1"/>
      <c r="U3418" s="1"/>
      <c r="V3418" s="1"/>
      <c r="W3418" s="1"/>
      <c r="X3418" s="1"/>
      <c r="Y3418" s="1"/>
      <c r="AB3418" s="1"/>
      <c r="AC3418" s="1"/>
      <c r="AD3418" s="1"/>
      <c r="AE3418" s="1"/>
      <c r="AF3418" s="1"/>
      <c r="AG3418" s="1"/>
      <c r="AH3418" s="1"/>
      <c r="AI3418" s="1"/>
      <c r="AJ3418" s="1"/>
      <c r="AK3418" s="1"/>
      <c r="AL3418" s="1"/>
      <c r="AM3418" s="1"/>
    </row>
    <row r="3419" spans="16:39" x14ac:dyDescent="0.25">
      <c r="P3419" s="49"/>
      <c r="Q3419" s="1"/>
      <c r="S3419" s="1"/>
      <c r="T3419" s="1"/>
      <c r="U3419" s="1"/>
      <c r="V3419" s="1"/>
      <c r="W3419" s="1"/>
      <c r="X3419" s="1"/>
      <c r="Y3419" s="1"/>
      <c r="AB3419" s="1"/>
      <c r="AC3419" s="1"/>
      <c r="AD3419" s="1"/>
      <c r="AE3419" s="1"/>
      <c r="AF3419" s="1"/>
      <c r="AG3419" s="1"/>
      <c r="AH3419" s="1"/>
      <c r="AI3419" s="1"/>
      <c r="AJ3419" s="1"/>
      <c r="AK3419" s="1"/>
      <c r="AL3419" s="1"/>
      <c r="AM3419" s="1"/>
    </row>
    <row r="3420" spans="16:39" x14ac:dyDescent="0.25">
      <c r="P3420" s="49"/>
      <c r="Q3420" s="1"/>
      <c r="S3420" s="1"/>
      <c r="T3420" s="1"/>
      <c r="U3420" s="1"/>
      <c r="V3420" s="1"/>
      <c r="W3420" s="1"/>
      <c r="X3420" s="1"/>
      <c r="Y3420" s="1"/>
      <c r="AB3420" s="1"/>
      <c r="AC3420" s="1"/>
      <c r="AD3420" s="1"/>
      <c r="AE3420" s="1"/>
      <c r="AF3420" s="1"/>
      <c r="AG3420" s="1"/>
      <c r="AH3420" s="1"/>
      <c r="AI3420" s="1"/>
      <c r="AJ3420" s="1"/>
      <c r="AK3420" s="1"/>
      <c r="AL3420" s="1"/>
      <c r="AM3420" s="1"/>
    </row>
    <row r="3421" spans="16:39" x14ac:dyDescent="0.25">
      <c r="P3421" s="49"/>
      <c r="Q3421" s="1"/>
      <c r="S3421" s="1"/>
      <c r="T3421" s="1"/>
      <c r="U3421" s="1"/>
      <c r="V3421" s="1"/>
      <c r="W3421" s="1"/>
      <c r="X3421" s="1"/>
      <c r="Y3421" s="1"/>
      <c r="AB3421" s="1"/>
      <c r="AC3421" s="1"/>
      <c r="AD3421" s="1"/>
      <c r="AE3421" s="1"/>
      <c r="AF3421" s="1"/>
      <c r="AG3421" s="1"/>
      <c r="AH3421" s="1"/>
      <c r="AI3421" s="1"/>
      <c r="AJ3421" s="1"/>
      <c r="AK3421" s="1"/>
      <c r="AL3421" s="1"/>
      <c r="AM3421" s="1"/>
    </row>
    <row r="3422" spans="16:39" x14ac:dyDescent="0.25">
      <c r="P3422" s="49"/>
      <c r="Q3422" s="1"/>
      <c r="S3422" s="1"/>
      <c r="T3422" s="1"/>
      <c r="U3422" s="1"/>
      <c r="V3422" s="1"/>
      <c r="W3422" s="1"/>
      <c r="X3422" s="1"/>
      <c r="Y3422" s="1"/>
      <c r="AB3422" s="1"/>
      <c r="AC3422" s="1"/>
      <c r="AD3422" s="1"/>
      <c r="AE3422" s="1"/>
      <c r="AF3422" s="1"/>
      <c r="AG3422" s="1"/>
      <c r="AH3422" s="1"/>
      <c r="AI3422" s="1"/>
      <c r="AJ3422" s="1"/>
      <c r="AK3422" s="1"/>
      <c r="AL3422" s="1"/>
      <c r="AM3422" s="1"/>
    </row>
    <row r="3423" spans="16:39" x14ac:dyDescent="0.25">
      <c r="P3423" s="49"/>
      <c r="Q3423" s="1"/>
      <c r="S3423" s="1"/>
      <c r="T3423" s="1"/>
      <c r="U3423" s="1"/>
      <c r="V3423" s="1"/>
      <c r="W3423" s="1"/>
      <c r="X3423" s="1"/>
      <c r="Y3423" s="1"/>
      <c r="AB3423" s="1"/>
      <c r="AC3423" s="1"/>
      <c r="AD3423" s="1"/>
      <c r="AE3423" s="1"/>
      <c r="AF3423" s="1"/>
      <c r="AG3423" s="1"/>
      <c r="AH3423" s="1"/>
      <c r="AI3423" s="1"/>
      <c r="AJ3423" s="1"/>
      <c r="AK3423" s="1"/>
      <c r="AL3423" s="1"/>
      <c r="AM3423" s="1"/>
    </row>
    <row r="3424" spans="16:39" x14ac:dyDescent="0.25">
      <c r="P3424" s="49"/>
      <c r="Q3424" s="1"/>
      <c r="S3424" s="1"/>
      <c r="T3424" s="1"/>
      <c r="U3424" s="1"/>
      <c r="V3424" s="1"/>
      <c r="W3424" s="1"/>
      <c r="X3424" s="1"/>
      <c r="Y3424" s="1"/>
      <c r="AB3424" s="1"/>
      <c r="AC3424" s="1"/>
      <c r="AD3424" s="1"/>
      <c r="AE3424" s="1"/>
      <c r="AF3424" s="1"/>
      <c r="AG3424" s="1"/>
      <c r="AH3424" s="1"/>
      <c r="AI3424" s="1"/>
      <c r="AJ3424" s="1"/>
      <c r="AK3424" s="1"/>
      <c r="AL3424" s="1"/>
      <c r="AM3424" s="1"/>
    </row>
    <row r="3425" spans="16:39" x14ac:dyDescent="0.25">
      <c r="P3425" s="49"/>
      <c r="Q3425" s="1"/>
      <c r="S3425" s="1"/>
      <c r="T3425" s="1"/>
      <c r="U3425" s="1"/>
      <c r="V3425" s="1"/>
      <c r="W3425" s="1"/>
      <c r="X3425" s="1"/>
      <c r="Y3425" s="1"/>
      <c r="AB3425" s="1"/>
      <c r="AC3425" s="1"/>
      <c r="AD3425" s="1"/>
      <c r="AE3425" s="1"/>
      <c r="AF3425" s="1"/>
      <c r="AG3425" s="1"/>
      <c r="AH3425" s="1"/>
      <c r="AI3425" s="1"/>
      <c r="AJ3425" s="1"/>
      <c r="AK3425" s="1"/>
      <c r="AL3425" s="1"/>
      <c r="AM3425" s="1"/>
    </row>
    <row r="3426" spans="16:39" x14ac:dyDescent="0.25">
      <c r="P3426" s="49"/>
      <c r="Q3426" s="1"/>
      <c r="S3426" s="1"/>
      <c r="T3426" s="1"/>
      <c r="U3426" s="1"/>
      <c r="V3426" s="1"/>
      <c r="W3426" s="1"/>
      <c r="X3426" s="1"/>
      <c r="Y3426" s="1"/>
      <c r="AB3426" s="1"/>
      <c r="AC3426" s="1"/>
      <c r="AD3426" s="1"/>
      <c r="AE3426" s="1"/>
      <c r="AF3426" s="1"/>
      <c r="AG3426" s="1"/>
      <c r="AH3426" s="1"/>
      <c r="AI3426" s="1"/>
      <c r="AJ3426" s="1"/>
      <c r="AK3426" s="1"/>
      <c r="AL3426" s="1"/>
      <c r="AM3426" s="1"/>
    </row>
    <row r="3427" spans="16:39" x14ac:dyDescent="0.25">
      <c r="P3427" s="49"/>
      <c r="Q3427" s="1"/>
      <c r="S3427" s="1"/>
      <c r="T3427" s="1"/>
      <c r="U3427" s="1"/>
      <c r="V3427" s="1"/>
      <c r="W3427" s="1"/>
      <c r="X3427" s="1"/>
      <c r="Y3427" s="1"/>
      <c r="AB3427" s="1"/>
      <c r="AC3427" s="1"/>
      <c r="AD3427" s="1"/>
      <c r="AE3427" s="1"/>
      <c r="AF3427" s="1"/>
      <c r="AG3427" s="1"/>
      <c r="AH3427" s="1"/>
      <c r="AI3427" s="1"/>
      <c r="AJ3427" s="1"/>
      <c r="AK3427" s="1"/>
      <c r="AL3427" s="1"/>
      <c r="AM3427" s="1"/>
    </row>
    <row r="3428" spans="16:39" x14ac:dyDescent="0.25">
      <c r="P3428" s="49"/>
      <c r="Q3428" s="1"/>
      <c r="S3428" s="1"/>
      <c r="T3428" s="1"/>
      <c r="U3428" s="1"/>
      <c r="V3428" s="1"/>
      <c r="W3428" s="1"/>
      <c r="X3428" s="1"/>
      <c r="Y3428" s="1"/>
      <c r="AB3428" s="1"/>
      <c r="AC3428" s="1"/>
      <c r="AD3428" s="1"/>
      <c r="AE3428" s="1"/>
      <c r="AF3428" s="1"/>
      <c r="AG3428" s="1"/>
      <c r="AH3428" s="1"/>
      <c r="AI3428" s="1"/>
      <c r="AJ3428" s="1"/>
      <c r="AK3428" s="1"/>
      <c r="AL3428" s="1"/>
      <c r="AM3428" s="1"/>
    </row>
    <row r="3429" spans="16:39" x14ac:dyDescent="0.25">
      <c r="P3429" s="49"/>
      <c r="Q3429" s="1"/>
      <c r="S3429" s="1"/>
      <c r="T3429" s="1"/>
      <c r="U3429" s="1"/>
      <c r="V3429" s="1"/>
      <c r="W3429" s="1"/>
      <c r="X3429" s="1"/>
      <c r="Y3429" s="1"/>
      <c r="AB3429" s="1"/>
      <c r="AC3429" s="1"/>
      <c r="AD3429" s="1"/>
      <c r="AE3429" s="1"/>
      <c r="AF3429" s="1"/>
      <c r="AG3429" s="1"/>
      <c r="AH3429" s="1"/>
      <c r="AI3429" s="1"/>
      <c r="AJ3429" s="1"/>
      <c r="AK3429" s="1"/>
      <c r="AL3429" s="1"/>
      <c r="AM3429" s="1"/>
    </row>
    <row r="3430" spans="16:39" x14ac:dyDescent="0.25">
      <c r="P3430" s="49"/>
      <c r="Q3430" s="1"/>
      <c r="S3430" s="1"/>
      <c r="T3430" s="1"/>
      <c r="U3430" s="1"/>
      <c r="V3430" s="1"/>
      <c r="W3430" s="1"/>
      <c r="X3430" s="1"/>
      <c r="Y3430" s="1"/>
      <c r="AB3430" s="1"/>
      <c r="AC3430" s="1"/>
      <c r="AD3430" s="1"/>
      <c r="AE3430" s="1"/>
      <c r="AF3430" s="1"/>
      <c r="AG3430" s="1"/>
      <c r="AH3430" s="1"/>
      <c r="AI3430" s="1"/>
      <c r="AJ3430" s="1"/>
      <c r="AK3430" s="1"/>
      <c r="AL3430" s="1"/>
      <c r="AM3430" s="1"/>
    </row>
    <row r="3431" spans="16:39" x14ac:dyDescent="0.25">
      <c r="P3431" s="49"/>
      <c r="Q3431" s="1"/>
      <c r="S3431" s="1"/>
      <c r="T3431" s="1"/>
      <c r="U3431" s="1"/>
      <c r="V3431" s="1"/>
      <c r="W3431" s="1"/>
      <c r="X3431" s="1"/>
      <c r="Y3431" s="1"/>
      <c r="AB3431" s="1"/>
      <c r="AC3431" s="1"/>
      <c r="AD3431" s="1"/>
      <c r="AE3431" s="1"/>
      <c r="AF3431" s="1"/>
      <c r="AG3431" s="1"/>
      <c r="AH3431" s="1"/>
      <c r="AI3431" s="1"/>
      <c r="AJ3431" s="1"/>
      <c r="AK3431" s="1"/>
      <c r="AL3431" s="1"/>
      <c r="AM3431" s="1"/>
    </row>
    <row r="3432" spans="16:39" x14ac:dyDescent="0.25">
      <c r="P3432" s="49"/>
      <c r="Q3432" s="1"/>
      <c r="S3432" s="1"/>
      <c r="T3432" s="1"/>
      <c r="U3432" s="1"/>
      <c r="V3432" s="1"/>
      <c r="W3432" s="1"/>
      <c r="X3432" s="1"/>
      <c r="Y3432" s="1"/>
      <c r="AB3432" s="1"/>
      <c r="AC3432" s="1"/>
      <c r="AD3432" s="1"/>
      <c r="AE3432" s="1"/>
      <c r="AF3432" s="1"/>
      <c r="AG3432" s="1"/>
      <c r="AH3432" s="1"/>
      <c r="AI3432" s="1"/>
      <c r="AJ3432" s="1"/>
      <c r="AK3432" s="1"/>
      <c r="AL3432" s="1"/>
      <c r="AM3432" s="1"/>
    </row>
    <row r="3433" spans="16:39" x14ac:dyDescent="0.25">
      <c r="P3433" s="49"/>
      <c r="Q3433" s="1"/>
      <c r="S3433" s="1"/>
      <c r="T3433" s="1"/>
      <c r="U3433" s="1"/>
      <c r="V3433" s="1"/>
      <c r="W3433" s="1"/>
      <c r="X3433" s="1"/>
      <c r="Y3433" s="1"/>
      <c r="AB3433" s="1"/>
      <c r="AC3433" s="1"/>
      <c r="AD3433" s="1"/>
      <c r="AE3433" s="1"/>
      <c r="AF3433" s="1"/>
      <c r="AG3433" s="1"/>
      <c r="AH3433" s="1"/>
      <c r="AI3433" s="1"/>
      <c r="AJ3433" s="1"/>
      <c r="AK3433" s="1"/>
      <c r="AL3433" s="1"/>
      <c r="AM3433" s="1"/>
    </row>
    <row r="3434" spans="16:39" x14ac:dyDescent="0.25">
      <c r="P3434" s="49"/>
      <c r="Q3434" s="1"/>
      <c r="S3434" s="1"/>
      <c r="T3434" s="1"/>
      <c r="U3434" s="1"/>
      <c r="V3434" s="1"/>
      <c r="W3434" s="1"/>
      <c r="X3434" s="1"/>
      <c r="Y3434" s="1"/>
      <c r="AB3434" s="1"/>
      <c r="AC3434" s="1"/>
      <c r="AD3434" s="1"/>
      <c r="AE3434" s="1"/>
      <c r="AF3434" s="1"/>
      <c r="AG3434" s="1"/>
      <c r="AH3434" s="1"/>
      <c r="AI3434" s="1"/>
      <c r="AJ3434" s="1"/>
      <c r="AK3434" s="1"/>
      <c r="AL3434" s="1"/>
      <c r="AM3434" s="1"/>
    </row>
    <row r="3435" spans="16:39" x14ac:dyDescent="0.25">
      <c r="P3435" s="49"/>
      <c r="Q3435" s="1"/>
      <c r="S3435" s="1"/>
      <c r="T3435" s="1"/>
      <c r="U3435" s="1"/>
      <c r="V3435" s="1"/>
      <c r="W3435" s="1"/>
      <c r="X3435" s="1"/>
      <c r="Y3435" s="1"/>
      <c r="AB3435" s="1"/>
      <c r="AC3435" s="1"/>
      <c r="AD3435" s="1"/>
      <c r="AE3435" s="1"/>
      <c r="AF3435" s="1"/>
      <c r="AG3435" s="1"/>
      <c r="AH3435" s="1"/>
      <c r="AI3435" s="1"/>
      <c r="AJ3435" s="1"/>
      <c r="AK3435" s="1"/>
      <c r="AL3435" s="1"/>
      <c r="AM3435" s="1"/>
    </row>
    <row r="3436" spans="16:39" x14ac:dyDescent="0.25">
      <c r="P3436" s="49"/>
      <c r="Q3436" s="1"/>
      <c r="S3436" s="1"/>
      <c r="T3436" s="1"/>
      <c r="U3436" s="1"/>
      <c r="V3436" s="1"/>
      <c r="W3436" s="1"/>
      <c r="X3436" s="1"/>
      <c r="Y3436" s="1"/>
      <c r="AB3436" s="1"/>
      <c r="AC3436" s="1"/>
      <c r="AD3436" s="1"/>
      <c r="AE3436" s="1"/>
      <c r="AF3436" s="1"/>
      <c r="AG3436" s="1"/>
      <c r="AH3436" s="1"/>
      <c r="AI3436" s="1"/>
      <c r="AJ3436" s="1"/>
      <c r="AK3436" s="1"/>
      <c r="AL3436" s="1"/>
      <c r="AM3436" s="1"/>
    </row>
    <row r="3437" spans="16:39" x14ac:dyDescent="0.25">
      <c r="P3437" s="49"/>
      <c r="Q3437" s="1"/>
      <c r="S3437" s="1"/>
      <c r="T3437" s="1"/>
      <c r="U3437" s="1"/>
      <c r="V3437" s="1"/>
      <c r="W3437" s="1"/>
      <c r="X3437" s="1"/>
      <c r="Y3437" s="1"/>
      <c r="AB3437" s="1"/>
      <c r="AC3437" s="1"/>
      <c r="AD3437" s="1"/>
      <c r="AE3437" s="1"/>
      <c r="AF3437" s="1"/>
      <c r="AG3437" s="1"/>
      <c r="AH3437" s="1"/>
      <c r="AI3437" s="1"/>
      <c r="AJ3437" s="1"/>
      <c r="AK3437" s="1"/>
      <c r="AL3437" s="1"/>
      <c r="AM3437" s="1"/>
    </row>
    <row r="3438" spans="16:39" x14ac:dyDescent="0.25">
      <c r="P3438" s="49"/>
      <c r="Q3438" s="1"/>
      <c r="S3438" s="1"/>
      <c r="T3438" s="1"/>
      <c r="U3438" s="1"/>
      <c r="V3438" s="1"/>
      <c r="W3438" s="1"/>
      <c r="X3438" s="1"/>
      <c r="Y3438" s="1"/>
      <c r="AB3438" s="1"/>
      <c r="AC3438" s="1"/>
      <c r="AD3438" s="1"/>
      <c r="AE3438" s="1"/>
      <c r="AF3438" s="1"/>
      <c r="AG3438" s="1"/>
      <c r="AH3438" s="1"/>
      <c r="AI3438" s="1"/>
      <c r="AJ3438" s="1"/>
      <c r="AK3438" s="1"/>
      <c r="AL3438" s="1"/>
      <c r="AM3438" s="1"/>
    </row>
    <row r="3439" spans="16:39" x14ac:dyDescent="0.25">
      <c r="P3439" s="49"/>
      <c r="Q3439" s="1"/>
      <c r="S3439" s="1"/>
      <c r="T3439" s="1"/>
      <c r="U3439" s="1"/>
      <c r="V3439" s="1"/>
      <c r="W3439" s="1"/>
      <c r="X3439" s="1"/>
      <c r="Y3439" s="1"/>
      <c r="AB3439" s="1"/>
      <c r="AC3439" s="1"/>
      <c r="AD3439" s="1"/>
      <c r="AE3439" s="1"/>
      <c r="AF3439" s="1"/>
      <c r="AG3439" s="1"/>
      <c r="AH3439" s="1"/>
      <c r="AI3439" s="1"/>
      <c r="AJ3439" s="1"/>
      <c r="AK3439" s="1"/>
      <c r="AL3439" s="1"/>
      <c r="AM3439" s="1"/>
    </row>
    <row r="3440" spans="16:39" x14ac:dyDescent="0.25">
      <c r="P3440" s="49"/>
      <c r="Q3440" s="1"/>
      <c r="S3440" s="1"/>
      <c r="T3440" s="1"/>
      <c r="U3440" s="1"/>
      <c r="V3440" s="1"/>
      <c r="W3440" s="1"/>
      <c r="X3440" s="1"/>
      <c r="Y3440" s="1"/>
      <c r="AB3440" s="1"/>
      <c r="AC3440" s="1"/>
      <c r="AD3440" s="1"/>
      <c r="AE3440" s="1"/>
      <c r="AF3440" s="1"/>
      <c r="AG3440" s="1"/>
      <c r="AH3440" s="1"/>
      <c r="AI3440" s="1"/>
      <c r="AJ3440" s="1"/>
      <c r="AK3440" s="1"/>
      <c r="AL3440" s="1"/>
      <c r="AM3440" s="1"/>
    </row>
    <row r="3441" spans="16:39" x14ac:dyDescent="0.25">
      <c r="P3441" s="49"/>
      <c r="Q3441" s="1"/>
      <c r="S3441" s="1"/>
      <c r="T3441" s="1"/>
      <c r="U3441" s="1"/>
      <c r="V3441" s="1"/>
      <c r="W3441" s="1"/>
      <c r="X3441" s="1"/>
      <c r="Y3441" s="1"/>
      <c r="AB3441" s="1"/>
      <c r="AC3441" s="1"/>
      <c r="AD3441" s="1"/>
      <c r="AE3441" s="1"/>
      <c r="AF3441" s="1"/>
      <c r="AG3441" s="1"/>
      <c r="AH3441" s="1"/>
      <c r="AI3441" s="1"/>
      <c r="AJ3441" s="1"/>
      <c r="AK3441" s="1"/>
      <c r="AL3441" s="1"/>
      <c r="AM3441" s="1"/>
    </row>
    <row r="3442" spans="16:39" x14ac:dyDescent="0.25">
      <c r="P3442" s="49"/>
      <c r="Q3442" s="1"/>
      <c r="S3442" s="1"/>
      <c r="T3442" s="1"/>
      <c r="U3442" s="1"/>
      <c r="V3442" s="1"/>
      <c r="W3442" s="1"/>
      <c r="X3442" s="1"/>
      <c r="Y3442" s="1"/>
      <c r="AB3442" s="1"/>
      <c r="AC3442" s="1"/>
      <c r="AD3442" s="1"/>
      <c r="AE3442" s="1"/>
      <c r="AF3442" s="1"/>
      <c r="AG3442" s="1"/>
      <c r="AH3442" s="1"/>
      <c r="AI3442" s="1"/>
      <c r="AJ3442" s="1"/>
      <c r="AK3442" s="1"/>
      <c r="AL3442" s="1"/>
      <c r="AM3442" s="1"/>
    </row>
    <row r="3443" spans="16:39" x14ac:dyDescent="0.25">
      <c r="P3443" s="49"/>
      <c r="Q3443" s="1"/>
      <c r="S3443" s="1"/>
      <c r="T3443" s="1"/>
      <c r="U3443" s="1"/>
      <c r="V3443" s="1"/>
      <c r="W3443" s="1"/>
      <c r="X3443" s="1"/>
      <c r="Y3443" s="1"/>
      <c r="AB3443" s="1"/>
      <c r="AC3443" s="1"/>
      <c r="AD3443" s="1"/>
      <c r="AE3443" s="1"/>
      <c r="AF3443" s="1"/>
      <c r="AG3443" s="1"/>
      <c r="AH3443" s="1"/>
      <c r="AI3443" s="1"/>
      <c r="AJ3443" s="1"/>
      <c r="AK3443" s="1"/>
      <c r="AL3443" s="1"/>
      <c r="AM3443" s="1"/>
    </row>
    <row r="3444" spans="16:39" x14ac:dyDescent="0.25">
      <c r="P3444" s="49"/>
      <c r="Q3444" s="1"/>
      <c r="S3444" s="1"/>
      <c r="T3444" s="1"/>
      <c r="U3444" s="1"/>
      <c r="V3444" s="1"/>
      <c r="W3444" s="1"/>
      <c r="X3444" s="1"/>
      <c r="Y3444" s="1"/>
      <c r="AB3444" s="1"/>
      <c r="AC3444" s="1"/>
      <c r="AD3444" s="1"/>
      <c r="AE3444" s="1"/>
      <c r="AF3444" s="1"/>
      <c r="AG3444" s="1"/>
      <c r="AH3444" s="1"/>
      <c r="AI3444" s="1"/>
      <c r="AJ3444" s="1"/>
      <c r="AK3444" s="1"/>
      <c r="AL3444" s="1"/>
      <c r="AM3444" s="1"/>
    </row>
    <row r="3445" spans="16:39" x14ac:dyDescent="0.25">
      <c r="P3445" s="49"/>
      <c r="Q3445" s="1"/>
      <c r="S3445" s="1"/>
      <c r="T3445" s="1"/>
      <c r="U3445" s="1"/>
      <c r="V3445" s="1"/>
      <c r="W3445" s="1"/>
      <c r="X3445" s="1"/>
      <c r="Y3445" s="1"/>
      <c r="AB3445" s="1"/>
      <c r="AC3445" s="1"/>
      <c r="AD3445" s="1"/>
      <c r="AE3445" s="1"/>
      <c r="AF3445" s="1"/>
      <c r="AG3445" s="1"/>
      <c r="AH3445" s="1"/>
      <c r="AI3445" s="1"/>
      <c r="AJ3445" s="1"/>
      <c r="AK3445" s="1"/>
      <c r="AL3445" s="1"/>
      <c r="AM3445" s="1"/>
    </row>
    <row r="3446" spans="16:39" x14ac:dyDescent="0.25">
      <c r="P3446" s="49"/>
      <c r="Q3446" s="1"/>
      <c r="S3446" s="1"/>
      <c r="T3446" s="1"/>
      <c r="U3446" s="1"/>
      <c r="V3446" s="1"/>
      <c r="W3446" s="1"/>
      <c r="X3446" s="1"/>
      <c r="Y3446" s="1"/>
      <c r="AB3446" s="1"/>
      <c r="AC3446" s="1"/>
      <c r="AD3446" s="1"/>
      <c r="AE3446" s="1"/>
      <c r="AF3446" s="1"/>
      <c r="AG3446" s="1"/>
      <c r="AH3446" s="1"/>
      <c r="AI3446" s="1"/>
      <c r="AJ3446" s="1"/>
      <c r="AK3446" s="1"/>
      <c r="AL3446" s="1"/>
      <c r="AM3446" s="1"/>
    </row>
    <row r="3447" spans="16:39" x14ac:dyDescent="0.25">
      <c r="P3447" s="49"/>
      <c r="Q3447" s="1"/>
      <c r="S3447" s="1"/>
      <c r="T3447" s="1"/>
      <c r="U3447" s="1"/>
      <c r="V3447" s="1"/>
      <c r="W3447" s="1"/>
      <c r="X3447" s="1"/>
      <c r="Y3447" s="1"/>
      <c r="AB3447" s="1"/>
      <c r="AC3447" s="1"/>
      <c r="AD3447" s="1"/>
      <c r="AE3447" s="1"/>
      <c r="AF3447" s="1"/>
      <c r="AG3447" s="1"/>
      <c r="AH3447" s="1"/>
      <c r="AI3447" s="1"/>
      <c r="AJ3447" s="1"/>
      <c r="AK3447" s="1"/>
      <c r="AL3447" s="1"/>
      <c r="AM3447" s="1"/>
    </row>
    <row r="3448" spans="16:39" x14ac:dyDescent="0.25">
      <c r="P3448" s="49"/>
      <c r="Q3448" s="1"/>
      <c r="S3448" s="1"/>
      <c r="T3448" s="1"/>
      <c r="U3448" s="1"/>
      <c r="V3448" s="1"/>
      <c r="W3448" s="1"/>
      <c r="X3448" s="1"/>
      <c r="Y3448" s="1"/>
      <c r="AB3448" s="1"/>
      <c r="AC3448" s="1"/>
      <c r="AD3448" s="1"/>
      <c r="AE3448" s="1"/>
      <c r="AF3448" s="1"/>
      <c r="AG3448" s="1"/>
      <c r="AH3448" s="1"/>
      <c r="AI3448" s="1"/>
      <c r="AJ3448" s="1"/>
      <c r="AK3448" s="1"/>
      <c r="AL3448" s="1"/>
      <c r="AM3448" s="1"/>
    </row>
    <row r="3449" spans="16:39" x14ac:dyDescent="0.25">
      <c r="P3449" s="49"/>
      <c r="Q3449" s="1"/>
      <c r="S3449" s="1"/>
      <c r="T3449" s="1"/>
      <c r="U3449" s="1"/>
      <c r="V3449" s="1"/>
      <c r="W3449" s="1"/>
      <c r="X3449" s="1"/>
      <c r="Y3449" s="1"/>
      <c r="AB3449" s="1"/>
      <c r="AC3449" s="1"/>
      <c r="AD3449" s="1"/>
      <c r="AE3449" s="1"/>
      <c r="AF3449" s="1"/>
      <c r="AG3449" s="1"/>
      <c r="AH3449" s="1"/>
      <c r="AI3449" s="1"/>
      <c r="AJ3449" s="1"/>
      <c r="AK3449" s="1"/>
      <c r="AL3449" s="1"/>
      <c r="AM3449" s="1"/>
    </row>
    <row r="3450" spans="16:39" x14ac:dyDescent="0.25">
      <c r="P3450" s="49"/>
      <c r="Q3450" s="1"/>
      <c r="S3450" s="1"/>
      <c r="T3450" s="1"/>
      <c r="U3450" s="1"/>
      <c r="V3450" s="1"/>
      <c r="W3450" s="1"/>
      <c r="X3450" s="1"/>
      <c r="Y3450" s="1"/>
      <c r="AB3450" s="1"/>
      <c r="AC3450" s="1"/>
      <c r="AD3450" s="1"/>
      <c r="AE3450" s="1"/>
      <c r="AF3450" s="1"/>
      <c r="AG3450" s="1"/>
      <c r="AH3450" s="1"/>
      <c r="AI3450" s="1"/>
      <c r="AJ3450" s="1"/>
      <c r="AK3450" s="1"/>
      <c r="AL3450" s="1"/>
      <c r="AM3450" s="1"/>
    </row>
    <row r="3451" spans="16:39" x14ac:dyDescent="0.25">
      <c r="P3451" s="49"/>
      <c r="Q3451" s="1"/>
      <c r="S3451" s="1"/>
      <c r="T3451" s="1"/>
      <c r="U3451" s="1"/>
      <c r="V3451" s="1"/>
      <c r="W3451" s="1"/>
      <c r="X3451" s="1"/>
      <c r="Y3451" s="1"/>
      <c r="AB3451" s="1"/>
      <c r="AC3451" s="1"/>
      <c r="AD3451" s="1"/>
      <c r="AE3451" s="1"/>
      <c r="AF3451" s="1"/>
      <c r="AG3451" s="1"/>
      <c r="AH3451" s="1"/>
      <c r="AI3451" s="1"/>
      <c r="AJ3451" s="1"/>
      <c r="AK3451" s="1"/>
      <c r="AL3451" s="1"/>
      <c r="AM3451" s="1"/>
    </row>
    <row r="3452" spans="16:39" x14ac:dyDescent="0.25">
      <c r="P3452" s="49"/>
      <c r="Q3452" s="1"/>
      <c r="S3452" s="1"/>
      <c r="T3452" s="1"/>
      <c r="U3452" s="1"/>
      <c r="V3452" s="1"/>
      <c r="W3452" s="1"/>
      <c r="X3452" s="1"/>
      <c r="Y3452" s="1"/>
      <c r="AB3452" s="1"/>
      <c r="AC3452" s="1"/>
      <c r="AD3452" s="1"/>
      <c r="AE3452" s="1"/>
      <c r="AF3452" s="1"/>
      <c r="AG3452" s="1"/>
      <c r="AH3452" s="1"/>
      <c r="AI3452" s="1"/>
      <c r="AJ3452" s="1"/>
      <c r="AK3452" s="1"/>
      <c r="AL3452" s="1"/>
      <c r="AM3452" s="1"/>
    </row>
    <row r="3453" spans="16:39" x14ac:dyDescent="0.25">
      <c r="P3453" s="49"/>
      <c r="Q3453" s="1"/>
      <c r="S3453" s="1"/>
      <c r="T3453" s="1"/>
      <c r="U3453" s="1"/>
      <c r="V3453" s="1"/>
      <c r="W3453" s="1"/>
      <c r="X3453" s="1"/>
      <c r="Y3453" s="1"/>
      <c r="AB3453" s="1"/>
      <c r="AC3453" s="1"/>
      <c r="AD3453" s="1"/>
      <c r="AE3453" s="1"/>
      <c r="AF3453" s="1"/>
      <c r="AG3453" s="1"/>
      <c r="AH3453" s="1"/>
      <c r="AI3453" s="1"/>
      <c r="AJ3453" s="1"/>
      <c r="AK3453" s="1"/>
      <c r="AL3453" s="1"/>
      <c r="AM3453" s="1"/>
    </row>
    <row r="3454" spans="16:39" x14ac:dyDescent="0.25">
      <c r="P3454" s="49"/>
      <c r="Q3454" s="1"/>
      <c r="S3454" s="1"/>
      <c r="T3454" s="1"/>
      <c r="U3454" s="1"/>
      <c r="V3454" s="1"/>
      <c r="W3454" s="1"/>
      <c r="X3454" s="1"/>
      <c r="Y3454" s="1"/>
      <c r="AB3454" s="1"/>
      <c r="AC3454" s="1"/>
      <c r="AD3454" s="1"/>
      <c r="AE3454" s="1"/>
      <c r="AF3454" s="1"/>
      <c r="AG3454" s="1"/>
      <c r="AH3454" s="1"/>
      <c r="AI3454" s="1"/>
      <c r="AJ3454" s="1"/>
      <c r="AK3454" s="1"/>
      <c r="AL3454" s="1"/>
      <c r="AM3454" s="1"/>
    </row>
    <row r="3455" spans="16:39" x14ac:dyDescent="0.25">
      <c r="P3455" s="49"/>
      <c r="Q3455" s="1"/>
      <c r="S3455" s="1"/>
      <c r="T3455" s="1"/>
      <c r="U3455" s="1"/>
      <c r="V3455" s="1"/>
      <c r="W3455" s="1"/>
      <c r="X3455" s="1"/>
      <c r="Y3455" s="1"/>
      <c r="AB3455" s="1"/>
      <c r="AC3455" s="1"/>
      <c r="AD3455" s="1"/>
      <c r="AE3455" s="1"/>
      <c r="AF3455" s="1"/>
      <c r="AG3455" s="1"/>
      <c r="AH3455" s="1"/>
      <c r="AI3455" s="1"/>
      <c r="AJ3455" s="1"/>
      <c r="AK3455" s="1"/>
      <c r="AL3455" s="1"/>
      <c r="AM3455" s="1"/>
    </row>
    <row r="3456" spans="16:39" x14ac:dyDescent="0.25">
      <c r="P3456" s="49"/>
      <c r="Q3456" s="1"/>
      <c r="S3456" s="1"/>
      <c r="T3456" s="1"/>
      <c r="U3456" s="1"/>
      <c r="V3456" s="1"/>
      <c r="W3456" s="1"/>
      <c r="X3456" s="1"/>
      <c r="Y3456" s="1"/>
      <c r="AB3456" s="1"/>
      <c r="AC3456" s="1"/>
      <c r="AD3456" s="1"/>
      <c r="AE3456" s="1"/>
      <c r="AF3456" s="1"/>
      <c r="AG3456" s="1"/>
      <c r="AH3456" s="1"/>
      <c r="AI3456" s="1"/>
      <c r="AJ3456" s="1"/>
      <c r="AK3456" s="1"/>
      <c r="AL3456" s="1"/>
      <c r="AM3456" s="1"/>
    </row>
    <row r="3457" spans="16:39" x14ac:dyDescent="0.25">
      <c r="P3457" s="49"/>
      <c r="Q3457" s="1"/>
      <c r="S3457" s="1"/>
      <c r="T3457" s="1"/>
      <c r="U3457" s="1"/>
      <c r="V3457" s="1"/>
      <c r="W3457" s="1"/>
      <c r="X3457" s="1"/>
      <c r="Y3457" s="1"/>
      <c r="AB3457" s="1"/>
      <c r="AC3457" s="1"/>
      <c r="AD3457" s="1"/>
      <c r="AE3457" s="1"/>
      <c r="AF3457" s="1"/>
      <c r="AG3457" s="1"/>
      <c r="AH3457" s="1"/>
      <c r="AI3457" s="1"/>
      <c r="AJ3457" s="1"/>
      <c r="AK3457" s="1"/>
      <c r="AL3457" s="1"/>
      <c r="AM3457" s="1"/>
    </row>
    <row r="3458" spans="16:39" x14ac:dyDescent="0.25">
      <c r="P3458" s="49"/>
      <c r="Q3458" s="1"/>
      <c r="S3458" s="1"/>
      <c r="T3458" s="1"/>
      <c r="U3458" s="1"/>
      <c r="V3458" s="1"/>
      <c r="W3458" s="1"/>
      <c r="X3458" s="1"/>
      <c r="Y3458" s="1"/>
      <c r="AB3458" s="1"/>
      <c r="AC3458" s="1"/>
      <c r="AD3458" s="1"/>
      <c r="AE3458" s="1"/>
      <c r="AF3458" s="1"/>
      <c r="AG3458" s="1"/>
      <c r="AH3458" s="1"/>
      <c r="AI3458" s="1"/>
      <c r="AJ3458" s="1"/>
      <c r="AK3458" s="1"/>
      <c r="AL3458" s="1"/>
      <c r="AM3458" s="1"/>
    </row>
    <row r="3459" spans="16:39" x14ac:dyDescent="0.25">
      <c r="P3459" s="49"/>
      <c r="Q3459" s="1"/>
      <c r="S3459" s="1"/>
      <c r="T3459" s="1"/>
      <c r="U3459" s="1"/>
      <c r="V3459" s="1"/>
      <c r="W3459" s="1"/>
      <c r="X3459" s="1"/>
      <c r="Y3459" s="1"/>
      <c r="AB3459" s="1"/>
      <c r="AC3459" s="1"/>
      <c r="AD3459" s="1"/>
      <c r="AE3459" s="1"/>
      <c r="AF3459" s="1"/>
      <c r="AG3459" s="1"/>
      <c r="AH3459" s="1"/>
      <c r="AI3459" s="1"/>
      <c r="AJ3459" s="1"/>
      <c r="AK3459" s="1"/>
      <c r="AL3459" s="1"/>
      <c r="AM3459" s="1"/>
    </row>
    <row r="3460" spans="16:39" x14ac:dyDescent="0.25">
      <c r="P3460" s="49"/>
      <c r="Q3460" s="1"/>
      <c r="S3460" s="1"/>
      <c r="T3460" s="1"/>
      <c r="U3460" s="1"/>
      <c r="V3460" s="1"/>
      <c r="W3460" s="1"/>
      <c r="X3460" s="1"/>
      <c r="Y3460" s="1"/>
      <c r="AB3460" s="1"/>
      <c r="AC3460" s="1"/>
      <c r="AD3460" s="1"/>
      <c r="AE3460" s="1"/>
      <c r="AF3460" s="1"/>
      <c r="AG3460" s="1"/>
      <c r="AH3460" s="1"/>
      <c r="AI3460" s="1"/>
      <c r="AJ3460" s="1"/>
      <c r="AK3460" s="1"/>
      <c r="AL3460" s="1"/>
      <c r="AM3460" s="1"/>
    </row>
    <row r="3461" spans="16:39" x14ac:dyDescent="0.25">
      <c r="P3461" s="49"/>
      <c r="Q3461" s="1"/>
      <c r="S3461" s="1"/>
      <c r="T3461" s="1"/>
      <c r="U3461" s="1"/>
      <c r="V3461" s="1"/>
      <c r="W3461" s="1"/>
      <c r="X3461" s="1"/>
      <c r="Y3461" s="1"/>
      <c r="AB3461" s="1"/>
      <c r="AC3461" s="1"/>
      <c r="AD3461" s="1"/>
      <c r="AE3461" s="1"/>
      <c r="AF3461" s="1"/>
      <c r="AG3461" s="1"/>
      <c r="AH3461" s="1"/>
      <c r="AI3461" s="1"/>
      <c r="AJ3461" s="1"/>
      <c r="AK3461" s="1"/>
      <c r="AL3461" s="1"/>
      <c r="AM3461" s="1"/>
    </row>
    <row r="3462" spans="16:39" x14ac:dyDescent="0.25">
      <c r="P3462" s="49"/>
      <c r="Q3462" s="1"/>
      <c r="S3462" s="1"/>
      <c r="T3462" s="1"/>
      <c r="U3462" s="1"/>
      <c r="V3462" s="1"/>
      <c r="W3462" s="1"/>
      <c r="X3462" s="1"/>
      <c r="Y3462" s="1"/>
      <c r="AB3462" s="1"/>
      <c r="AC3462" s="1"/>
      <c r="AD3462" s="1"/>
      <c r="AE3462" s="1"/>
      <c r="AF3462" s="1"/>
      <c r="AG3462" s="1"/>
      <c r="AH3462" s="1"/>
      <c r="AI3462" s="1"/>
      <c r="AJ3462" s="1"/>
      <c r="AK3462" s="1"/>
      <c r="AL3462" s="1"/>
      <c r="AM3462" s="1"/>
    </row>
    <row r="3463" spans="16:39" x14ac:dyDescent="0.25">
      <c r="P3463" s="49"/>
      <c r="Q3463" s="1"/>
      <c r="S3463" s="1"/>
      <c r="T3463" s="1"/>
      <c r="U3463" s="1"/>
      <c r="V3463" s="1"/>
      <c r="W3463" s="1"/>
      <c r="X3463" s="1"/>
      <c r="Y3463" s="1"/>
      <c r="AB3463" s="1"/>
      <c r="AC3463" s="1"/>
      <c r="AD3463" s="1"/>
      <c r="AE3463" s="1"/>
      <c r="AF3463" s="1"/>
      <c r="AG3463" s="1"/>
      <c r="AH3463" s="1"/>
      <c r="AI3463" s="1"/>
      <c r="AJ3463" s="1"/>
      <c r="AK3463" s="1"/>
      <c r="AL3463" s="1"/>
      <c r="AM3463" s="1"/>
    </row>
    <row r="3464" spans="16:39" x14ac:dyDescent="0.25">
      <c r="P3464" s="49"/>
      <c r="Q3464" s="1"/>
      <c r="S3464" s="1"/>
      <c r="T3464" s="1"/>
      <c r="U3464" s="1"/>
      <c r="V3464" s="1"/>
      <c r="W3464" s="1"/>
      <c r="X3464" s="1"/>
      <c r="Y3464" s="1"/>
      <c r="AB3464" s="1"/>
      <c r="AC3464" s="1"/>
      <c r="AD3464" s="1"/>
      <c r="AE3464" s="1"/>
      <c r="AF3464" s="1"/>
      <c r="AG3464" s="1"/>
      <c r="AH3464" s="1"/>
      <c r="AI3464" s="1"/>
      <c r="AJ3464" s="1"/>
      <c r="AK3464" s="1"/>
      <c r="AL3464" s="1"/>
      <c r="AM3464" s="1"/>
    </row>
    <row r="3465" spans="16:39" x14ac:dyDescent="0.25">
      <c r="P3465" s="49"/>
      <c r="Q3465" s="1"/>
      <c r="S3465" s="1"/>
      <c r="T3465" s="1"/>
      <c r="U3465" s="1"/>
      <c r="V3465" s="1"/>
      <c r="W3465" s="1"/>
      <c r="X3465" s="1"/>
      <c r="Y3465" s="1"/>
      <c r="AB3465" s="1"/>
      <c r="AC3465" s="1"/>
      <c r="AD3465" s="1"/>
      <c r="AE3465" s="1"/>
      <c r="AF3465" s="1"/>
      <c r="AG3465" s="1"/>
      <c r="AH3465" s="1"/>
      <c r="AI3465" s="1"/>
      <c r="AJ3465" s="1"/>
      <c r="AK3465" s="1"/>
      <c r="AL3465" s="1"/>
      <c r="AM3465" s="1"/>
    </row>
    <row r="3466" spans="16:39" x14ac:dyDescent="0.25">
      <c r="P3466" s="49"/>
      <c r="Q3466" s="1"/>
      <c r="S3466" s="1"/>
      <c r="T3466" s="1"/>
      <c r="U3466" s="1"/>
      <c r="V3466" s="1"/>
      <c r="W3466" s="1"/>
      <c r="X3466" s="1"/>
      <c r="Y3466" s="1"/>
      <c r="AB3466" s="1"/>
      <c r="AC3466" s="1"/>
      <c r="AD3466" s="1"/>
      <c r="AE3466" s="1"/>
      <c r="AF3466" s="1"/>
      <c r="AG3466" s="1"/>
      <c r="AH3466" s="1"/>
      <c r="AI3466" s="1"/>
      <c r="AJ3466" s="1"/>
      <c r="AK3466" s="1"/>
      <c r="AL3466" s="1"/>
      <c r="AM3466" s="1"/>
    </row>
    <row r="3467" spans="16:39" x14ac:dyDescent="0.25">
      <c r="P3467" s="49"/>
      <c r="Q3467" s="1"/>
      <c r="S3467" s="1"/>
      <c r="T3467" s="1"/>
      <c r="U3467" s="1"/>
      <c r="V3467" s="1"/>
      <c r="W3467" s="1"/>
      <c r="X3467" s="1"/>
      <c r="Y3467" s="1"/>
      <c r="AB3467" s="1"/>
      <c r="AC3467" s="1"/>
      <c r="AD3467" s="1"/>
      <c r="AE3467" s="1"/>
      <c r="AF3467" s="1"/>
      <c r="AG3467" s="1"/>
      <c r="AH3467" s="1"/>
      <c r="AI3467" s="1"/>
      <c r="AJ3467" s="1"/>
      <c r="AK3467" s="1"/>
      <c r="AL3467" s="1"/>
      <c r="AM3467" s="1"/>
    </row>
    <row r="3468" spans="16:39" x14ac:dyDescent="0.25">
      <c r="P3468" s="49"/>
      <c r="Q3468" s="1"/>
      <c r="S3468" s="1"/>
      <c r="T3468" s="1"/>
      <c r="U3468" s="1"/>
      <c r="V3468" s="1"/>
      <c r="W3468" s="1"/>
      <c r="X3468" s="1"/>
      <c r="Y3468" s="1"/>
      <c r="AB3468" s="1"/>
      <c r="AC3468" s="1"/>
      <c r="AD3468" s="1"/>
      <c r="AE3468" s="1"/>
      <c r="AF3468" s="1"/>
      <c r="AG3468" s="1"/>
      <c r="AH3468" s="1"/>
      <c r="AI3468" s="1"/>
      <c r="AJ3468" s="1"/>
      <c r="AK3468" s="1"/>
      <c r="AL3468" s="1"/>
      <c r="AM3468" s="1"/>
    </row>
    <row r="3469" spans="16:39" x14ac:dyDescent="0.25">
      <c r="P3469" s="49"/>
      <c r="Q3469" s="1"/>
      <c r="S3469" s="1"/>
      <c r="T3469" s="1"/>
      <c r="U3469" s="1"/>
      <c r="V3469" s="1"/>
      <c r="W3469" s="1"/>
      <c r="X3469" s="1"/>
      <c r="Y3469" s="1"/>
      <c r="AB3469" s="1"/>
      <c r="AC3469" s="1"/>
      <c r="AD3469" s="1"/>
      <c r="AE3469" s="1"/>
      <c r="AF3469" s="1"/>
      <c r="AG3469" s="1"/>
      <c r="AH3469" s="1"/>
      <c r="AI3469" s="1"/>
      <c r="AJ3469" s="1"/>
      <c r="AK3469" s="1"/>
      <c r="AL3469" s="1"/>
      <c r="AM3469" s="1"/>
    </row>
    <row r="3470" spans="16:39" x14ac:dyDescent="0.25">
      <c r="P3470" s="49"/>
      <c r="Q3470" s="1"/>
      <c r="S3470" s="1"/>
      <c r="T3470" s="1"/>
      <c r="U3470" s="1"/>
      <c r="V3470" s="1"/>
      <c r="W3470" s="1"/>
      <c r="X3470" s="1"/>
      <c r="Y3470" s="1"/>
      <c r="AB3470" s="1"/>
      <c r="AC3470" s="1"/>
      <c r="AD3470" s="1"/>
      <c r="AE3470" s="1"/>
      <c r="AF3470" s="1"/>
      <c r="AG3470" s="1"/>
      <c r="AH3470" s="1"/>
      <c r="AI3470" s="1"/>
      <c r="AJ3470" s="1"/>
      <c r="AK3470" s="1"/>
      <c r="AL3470" s="1"/>
      <c r="AM3470" s="1"/>
    </row>
    <row r="3471" spans="16:39" x14ac:dyDescent="0.25">
      <c r="P3471" s="49"/>
      <c r="Q3471" s="1"/>
      <c r="S3471" s="1"/>
      <c r="T3471" s="1"/>
      <c r="U3471" s="1"/>
      <c r="V3471" s="1"/>
      <c r="W3471" s="1"/>
      <c r="X3471" s="1"/>
      <c r="Y3471" s="1"/>
      <c r="AB3471" s="1"/>
      <c r="AC3471" s="1"/>
      <c r="AD3471" s="1"/>
      <c r="AE3471" s="1"/>
      <c r="AF3471" s="1"/>
      <c r="AG3471" s="1"/>
      <c r="AH3471" s="1"/>
      <c r="AI3471" s="1"/>
      <c r="AJ3471" s="1"/>
      <c r="AK3471" s="1"/>
      <c r="AL3471" s="1"/>
      <c r="AM3471" s="1"/>
    </row>
    <row r="3472" spans="16:39" x14ac:dyDescent="0.25">
      <c r="P3472" s="49"/>
      <c r="Q3472" s="1"/>
      <c r="S3472" s="1"/>
      <c r="T3472" s="1"/>
      <c r="U3472" s="1"/>
      <c r="V3472" s="1"/>
      <c r="W3472" s="1"/>
      <c r="X3472" s="1"/>
      <c r="Y3472" s="1"/>
      <c r="AB3472" s="1"/>
      <c r="AC3472" s="1"/>
      <c r="AD3472" s="1"/>
      <c r="AE3472" s="1"/>
      <c r="AF3472" s="1"/>
      <c r="AG3472" s="1"/>
      <c r="AH3472" s="1"/>
      <c r="AI3472" s="1"/>
      <c r="AJ3472" s="1"/>
      <c r="AK3472" s="1"/>
      <c r="AL3472" s="1"/>
      <c r="AM3472" s="1"/>
    </row>
    <row r="3473" spans="16:39" x14ac:dyDescent="0.25">
      <c r="P3473" s="49"/>
      <c r="Q3473" s="1"/>
      <c r="S3473" s="1"/>
      <c r="T3473" s="1"/>
      <c r="U3473" s="1"/>
      <c r="V3473" s="1"/>
      <c r="W3473" s="1"/>
      <c r="X3473" s="1"/>
      <c r="Y3473" s="1"/>
      <c r="AB3473" s="1"/>
      <c r="AC3473" s="1"/>
      <c r="AD3473" s="1"/>
      <c r="AE3473" s="1"/>
      <c r="AF3473" s="1"/>
      <c r="AG3473" s="1"/>
      <c r="AH3473" s="1"/>
      <c r="AI3473" s="1"/>
      <c r="AJ3473" s="1"/>
      <c r="AK3473" s="1"/>
      <c r="AL3473" s="1"/>
      <c r="AM3473" s="1"/>
    </row>
    <row r="3474" spans="16:39" x14ac:dyDescent="0.25">
      <c r="P3474" s="49"/>
      <c r="Q3474" s="1"/>
      <c r="S3474" s="1"/>
      <c r="T3474" s="1"/>
      <c r="U3474" s="1"/>
      <c r="V3474" s="1"/>
      <c r="W3474" s="1"/>
      <c r="X3474" s="1"/>
      <c r="Y3474" s="1"/>
      <c r="AB3474" s="1"/>
      <c r="AC3474" s="1"/>
      <c r="AD3474" s="1"/>
      <c r="AE3474" s="1"/>
      <c r="AF3474" s="1"/>
      <c r="AG3474" s="1"/>
      <c r="AH3474" s="1"/>
      <c r="AI3474" s="1"/>
      <c r="AJ3474" s="1"/>
      <c r="AK3474" s="1"/>
      <c r="AL3474" s="1"/>
      <c r="AM3474" s="1"/>
    </row>
    <row r="3475" spans="16:39" x14ac:dyDescent="0.25">
      <c r="P3475" s="49"/>
      <c r="Q3475" s="1"/>
      <c r="S3475" s="1"/>
      <c r="T3475" s="1"/>
      <c r="U3475" s="1"/>
      <c r="V3475" s="1"/>
      <c r="W3475" s="1"/>
      <c r="X3475" s="1"/>
      <c r="Y3475" s="1"/>
      <c r="AB3475" s="1"/>
      <c r="AC3475" s="1"/>
      <c r="AD3475" s="1"/>
      <c r="AE3475" s="1"/>
      <c r="AF3475" s="1"/>
      <c r="AG3475" s="1"/>
      <c r="AH3475" s="1"/>
      <c r="AI3475" s="1"/>
      <c r="AJ3475" s="1"/>
      <c r="AK3475" s="1"/>
      <c r="AL3475" s="1"/>
      <c r="AM3475" s="1"/>
    </row>
    <row r="3476" spans="16:39" x14ac:dyDescent="0.25">
      <c r="P3476" s="49"/>
      <c r="Q3476" s="1"/>
      <c r="S3476" s="1"/>
      <c r="T3476" s="1"/>
      <c r="U3476" s="1"/>
      <c r="V3476" s="1"/>
      <c r="W3476" s="1"/>
      <c r="X3476" s="1"/>
      <c r="Y3476" s="1"/>
      <c r="AB3476" s="1"/>
      <c r="AC3476" s="1"/>
      <c r="AD3476" s="1"/>
      <c r="AE3476" s="1"/>
      <c r="AF3476" s="1"/>
      <c r="AG3476" s="1"/>
      <c r="AH3476" s="1"/>
      <c r="AI3476" s="1"/>
      <c r="AJ3476" s="1"/>
      <c r="AK3476" s="1"/>
      <c r="AL3476" s="1"/>
      <c r="AM3476" s="1"/>
    </row>
    <row r="3477" spans="16:39" x14ac:dyDescent="0.25">
      <c r="P3477" s="49"/>
      <c r="Q3477" s="1"/>
      <c r="S3477" s="1"/>
      <c r="T3477" s="1"/>
      <c r="U3477" s="1"/>
      <c r="V3477" s="1"/>
      <c r="W3477" s="1"/>
      <c r="X3477" s="1"/>
      <c r="Y3477" s="1"/>
      <c r="AB3477" s="1"/>
      <c r="AC3477" s="1"/>
      <c r="AD3477" s="1"/>
      <c r="AE3477" s="1"/>
      <c r="AF3477" s="1"/>
      <c r="AG3477" s="1"/>
      <c r="AH3477" s="1"/>
      <c r="AI3477" s="1"/>
      <c r="AJ3477" s="1"/>
      <c r="AK3477" s="1"/>
      <c r="AL3477" s="1"/>
      <c r="AM3477" s="1"/>
    </row>
    <row r="3478" spans="16:39" x14ac:dyDescent="0.25">
      <c r="P3478" s="49"/>
      <c r="Q3478" s="1"/>
      <c r="S3478" s="1"/>
      <c r="T3478" s="1"/>
      <c r="U3478" s="1"/>
      <c r="V3478" s="1"/>
      <c r="W3478" s="1"/>
      <c r="X3478" s="1"/>
      <c r="Y3478" s="1"/>
      <c r="AB3478" s="1"/>
      <c r="AC3478" s="1"/>
      <c r="AD3478" s="1"/>
      <c r="AE3478" s="1"/>
      <c r="AF3478" s="1"/>
      <c r="AG3478" s="1"/>
      <c r="AH3478" s="1"/>
      <c r="AI3478" s="1"/>
      <c r="AJ3478" s="1"/>
      <c r="AK3478" s="1"/>
      <c r="AL3478" s="1"/>
      <c r="AM3478" s="1"/>
    </row>
    <row r="3479" spans="16:39" x14ac:dyDescent="0.25">
      <c r="P3479" s="49"/>
      <c r="Q3479" s="1"/>
      <c r="S3479" s="1"/>
      <c r="T3479" s="1"/>
      <c r="U3479" s="1"/>
      <c r="V3479" s="1"/>
      <c r="W3479" s="1"/>
      <c r="X3479" s="1"/>
      <c r="Y3479" s="1"/>
      <c r="AB3479" s="1"/>
      <c r="AC3479" s="1"/>
      <c r="AD3479" s="1"/>
      <c r="AE3479" s="1"/>
      <c r="AF3479" s="1"/>
      <c r="AG3479" s="1"/>
      <c r="AH3479" s="1"/>
      <c r="AI3479" s="1"/>
      <c r="AJ3479" s="1"/>
      <c r="AK3479" s="1"/>
      <c r="AL3479" s="1"/>
      <c r="AM3479" s="1"/>
    </row>
    <row r="3480" spans="16:39" x14ac:dyDescent="0.25">
      <c r="P3480" s="49"/>
      <c r="Q3480" s="1"/>
      <c r="S3480" s="1"/>
      <c r="T3480" s="1"/>
      <c r="U3480" s="1"/>
      <c r="V3480" s="1"/>
      <c r="W3480" s="1"/>
      <c r="X3480" s="1"/>
      <c r="Y3480" s="1"/>
      <c r="AB3480" s="1"/>
      <c r="AC3480" s="1"/>
      <c r="AD3480" s="1"/>
      <c r="AE3480" s="1"/>
      <c r="AF3480" s="1"/>
      <c r="AG3480" s="1"/>
      <c r="AH3480" s="1"/>
      <c r="AI3480" s="1"/>
      <c r="AJ3480" s="1"/>
      <c r="AK3480" s="1"/>
      <c r="AL3480" s="1"/>
      <c r="AM3480" s="1"/>
    </row>
    <row r="3481" spans="16:39" x14ac:dyDescent="0.25">
      <c r="P3481" s="49"/>
      <c r="Q3481" s="1"/>
      <c r="S3481" s="1"/>
      <c r="T3481" s="1"/>
      <c r="U3481" s="1"/>
      <c r="V3481" s="1"/>
      <c r="W3481" s="1"/>
      <c r="X3481" s="1"/>
      <c r="Y3481" s="1"/>
      <c r="AB3481" s="1"/>
      <c r="AC3481" s="1"/>
      <c r="AD3481" s="1"/>
      <c r="AE3481" s="1"/>
      <c r="AF3481" s="1"/>
      <c r="AG3481" s="1"/>
      <c r="AH3481" s="1"/>
      <c r="AI3481" s="1"/>
      <c r="AJ3481" s="1"/>
      <c r="AK3481" s="1"/>
      <c r="AL3481" s="1"/>
      <c r="AM3481" s="1"/>
    </row>
    <row r="3482" spans="16:39" x14ac:dyDescent="0.25">
      <c r="P3482" s="49"/>
      <c r="Q3482" s="1"/>
      <c r="S3482" s="1"/>
      <c r="T3482" s="1"/>
      <c r="U3482" s="1"/>
      <c r="V3482" s="1"/>
      <c r="W3482" s="1"/>
      <c r="X3482" s="1"/>
      <c r="Y3482" s="1"/>
      <c r="AB3482" s="1"/>
      <c r="AC3482" s="1"/>
      <c r="AD3482" s="1"/>
      <c r="AE3482" s="1"/>
      <c r="AF3482" s="1"/>
      <c r="AG3482" s="1"/>
      <c r="AH3482" s="1"/>
      <c r="AI3482" s="1"/>
      <c r="AJ3482" s="1"/>
      <c r="AK3482" s="1"/>
      <c r="AL3482" s="1"/>
      <c r="AM3482" s="1"/>
    </row>
    <row r="3483" spans="16:39" x14ac:dyDescent="0.25">
      <c r="P3483" s="49"/>
      <c r="Q3483" s="1"/>
      <c r="S3483" s="1"/>
      <c r="T3483" s="1"/>
      <c r="U3483" s="1"/>
      <c r="V3483" s="1"/>
      <c r="W3483" s="1"/>
      <c r="X3483" s="1"/>
      <c r="Y3483" s="1"/>
      <c r="AB3483" s="1"/>
      <c r="AC3483" s="1"/>
      <c r="AD3483" s="1"/>
      <c r="AE3483" s="1"/>
      <c r="AF3483" s="1"/>
      <c r="AG3483" s="1"/>
      <c r="AH3483" s="1"/>
      <c r="AI3483" s="1"/>
      <c r="AJ3483" s="1"/>
      <c r="AK3483" s="1"/>
      <c r="AL3483" s="1"/>
      <c r="AM3483" s="1"/>
    </row>
    <row r="3484" spans="16:39" x14ac:dyDescent="0.25">
      <c r="P3484" s="49"/>
      <c r="Q3484" s="1"/>
      <c r="S3484" s="1"/>
      <c r="T3484" s="1"/>
      <c r="U3484" s="1"/>
      <c r="V3484" s="1"/>
      <c r="W3484" s="1"/>
      <c r="X3484" s="1"/>
      <c r="Y3484" s="1"/>
      <c r="AB3484" s="1"/>
      <c r="AC3484" s="1"/>
      <c r="AD3484" s="1"/>
      <c r="AE3484" s="1"/>
      <c r="AF3484" s="1"/>
      <c r="AG3484" s="1"/>
      <c r="AH3484" s="1"/>
      <c r="AI3484" s="1"/>
      <c r="AJ3484" s="1"/>
      <c r="AK3484" s="1"/>
      <c r="AL3484" s="1"/>
      <c r="AM3484" s="1"/>
    </row>
    <row r="3485" spans="16:39" x14ac:dyDescent="0.25">
      <c r="P3485" s="49"/>
      <c r="Q3485" s="1"/>
      <c r="S3485" s="1"/>
      <c r="T3485" s="1"/>
      <c r="U3485" s="1"/>
      <c r="V3485" s="1"/>
      <c r="W3485" s="1"/>
      <c r="X3485" s="1"/>
      <c r="Y3485" s="1"/>
      <c r="AB3485" s="1"/>
      <c r="AC3485" s="1"/>
      <c r="AD3485" s="1"/>
      <c r="AE3485" s="1"/>
      <c r="AF3485" s="1"/>
      <c r="AG3485" s="1"/>
      <c r="AH3485" s="1"/>
      <c r="AI3485" s="1"/>
      <c r="AJ3485" s="1"/>
      <c r="AK3485" s="1"/>
      <c r="AL3485" s="1"/>
      <c r="AM3485" s="1"/>
    </row>
    <row r="3486" spans="16:39" x14ac:dyDescent="0.25">
      <c r="P3486" s="49"/>
      <c r="Q3486" s="1"/>
      <c r="S3486" s="1"/>
      <c r="T3486" s="1"/>
      <c r="U3486" s="1"/>
      <c r="V3486" s="1"/>
      <c r="W3486" s="1"/>
      <c r="X3486" s="1"/>
      <c r="Y3486" s="1"/>
      <c r="AB3486" s="1"/>
      <c r="AC3486" s="1"/>
      <c r="AD3486" s="1"/>
      <c r="AE3486" s="1"/>
      <c r="AF3486" s="1"/>
      <c r="AG3486" s="1"/>
      <c r="AH3486" s="1"/>
      <c r="AI3486" s="1"/>
      <c r="AJ3486" s="1"/>
      <c r="AK3486" s="1"/>
      <c r="AL3486" s="1"/>
      <c r="AM3486" s="1"/>
    </row>
    <row r="3487" spans="16:39" x14ac:dyDescent="0.25">
      <c r="P3487" s="49"/>
      <c r="Q3487" s="1"/>
      <c r="S3487" s="1"/>
      <c r="T3487" s="1"/>
      <c r="U3487" s="1"/>
      <c r="V3487" s="1"/>
      <c r="W3487" s="1"/>
      <c r="X3487" s="1"/>
      <c r="Y3487" s="1"/>
      <c r="AB3487" s="1"/>
      <c r="AC3487" s="1"/>
      <c r="AD3487" s="1"/>
      <c r="AE3487" s="1"/>
      <c r="AF3487" s="1"/>
      <c r="AG3487" s="1"/>
      <c r="AH3487" s="1"/>
      <c r="AI3487" s="1"/>
      <c r="AJ3487" s="1"/>
      <c r="AK3487" s="1"/>
      <c r="AL3487" s="1"/>
      <c r="AM3487" s="1"/>
    </row>
    <row r="3488" spans="16:39" x14ac:dyDescent="0.25">
      <c r="P3488" s="49"/>
      <c r="Q3488" s="1"/>
      <c r="S3488" s="1"/>
      <c r="T3488" s="1"/>
      <c r="U3488" s="1"/>
      <c r="V3488" s="1"/>
      <c r="W3488" s="1"/>
      <c r="X3488" s="1"/>
      <c r="Y3488" s="1"/>
      <c r="AB3488" s="1"/>
      <c r="AC3488" s="1"/>
      <c r="AD3488" s="1"/>
      <c r="AE3488" s="1"/>
      <c r="AF3488" s="1"/>
      <c r="AG3488" s="1"/>
      <c r="AH3488" s="1"/>
      <c r="AI3488" s="1"/>
      <c r="AJ3488" s="1"/>
      <c r="AK3488" s="1"/>
      <c r="AL3488" s="1"/>
      <c r="AM3488" s="1"/>
    </row>
    <row r="3489" spans="16:39" x14ac:dyDescent="0.25">
      <c r="P3489" s="49"/>
      <c r="Q3489" s="1"/>
      <c r="S3489" s="1"/>
      <c r="T3489" s="1"/>
      <c r="U3489" s="1"/>
      <c r="V3489" s="1"/>
      <c r="W3489" s="1"/>
      <c r="X3489" s="1"/>
      <c r="Y3489" s="1"/>
      <c r="AB3489" s="1"/>
      <c r="AC3489" s="1"/>
      <c r="AD3489" s="1"/>
      <c r="AE3489" s="1"/>
      <c r="AF3489" s="1"/>
      <c r="AG3489" s="1"/>
      <c r="AH3489" s="1"/>
      <c r="AI3489" s="1"/>
      <c r="AJ3489" s="1"/>
      <c r="AK3489" s="1"/>
      <c r="AL3489" s="1"/>
      <c r="AM3489" s="1"/>
    </row>
    <row r="3490" spans="16:39" x14ac:dyDescent="0.25">
      <c r="P3490" s="49"/>
      <c r="Q3490" s="1"/>
      <c r="S3490" s="1"/>
      <c r="T3490" s="1"/>
      <c r="U3490" s="1"/>
      <c r="V3490" s="1"/>
      <c r="W3490" s="1"/>
      <c r="X3490" s="1"/>
      <c r="Y3490" s="1"/>
      <c r="AB3490" s="1"/>
      <c r="AC3490" s="1"/>
      <c r="AD3490" s="1"/>
      <c r="AE3490" s="1"/>
      <c r="AF3490" s="1"/>
      <c r="AG3490" s="1"/>
      <c r="AH3490" s="1"/>
      <c r="AI3490" s="1"/>
      <c r="AJ3490" s="1"/>
      <c r="AK3490" s="1"/>
      <c r="AL3490" s="1"/>
      <c r="AM3490" s="1"/>
    </row>
    <row r="3491" spans="16:39" x14ac:dyDescent="0.25">
      <c r="P3491" s="49"/>
      <c r="Q3491" s="1"/>
      <c r="S3491" s="1"/>
      <c r="T3491" s="1"/>
      <c r="U3491" s="1"/>
      <c r="V3491" s="1"/>
      <c r="W3491" s="1"/>
      <c r="X3491" s="1"/>
      <c r="Y3491" s="1"/>
      <c r="AB3491" s="1"/>
      <c r="AC3491" s="1"/>
      <c r="AD3491" s="1"/>
      <c r="AE3491" s="1"/>
      <c r="AF3491" s="1"/>
      <c r="AG3491" s="1"/>
      <c r="AH3491" s="1"/>
      <c r="AI3491" s="1"/>
      <c r="AJ3491" s="1"/>
      <c r="AK3491" s="1"/>
      <c r="AL3491" s="1"/>
      <c r="AM3491" s="1"/>
    </row>
    <row r="3492" spans="16:39" x14ac:dyDescent="0.25">
      <c r="P3492" s="49"/>
      <c r="Q3492" s="1"/>
      <c r="S3492" s="1"/>
      <c r="T3492" s="1"/>
      <c r="U3492" s="1"/>
      <c r="V3492" s="1"/>
      <c r="W3492" s="1"/>
      <c r="X3492" s="1"/>
      <c r="Y3492" s="1"/>
      <c r="AB3492" s="1"/>
      <c r="AC3492" s="1"/>
      <c r="AD3492" s="1"/>
      <c r="AE3492" s="1"/>
      <c r="AF3492" s="1"/>
      <c r="AG3492" s="1"/>
      <c r="AH3492" s="1"/>
      <c r="AI3492" s="1"/>
      <c r="AJ3492" s="1"/>
      <c r="AK3492" s="1"/>
      <c r="AL3492" s="1"/>
      <c r="AM3492" s="1"/>
    </row>
    <row r="3493" spans="16:39" x14ac:dyDescent="0.25">
      <c r="P3493" s="49"/>
      <c r="Q3493" s="1"/>
      <c r="S3493" s="1"/>
      <c r="T3493" s="1"/>
      <c r="U3493" s="1"/>
      <c r="V3493" s="1"/>
      <c r="W3493" s="1"/>
      <c r="X3493" s="1"/>
      <c r="Y3493" s="1"/>
      <c r="AB3493" s="1"/>
      <c r="AC3493" s="1"/>
      <c r="AD3493" s="1"/>
      <c r="AE3493" s="1"/>
      <c r="AF3493" s="1"/>
      <c r="AG3493" s="1"/>
      <c r="AH3493" s="1"/>
      <c r="AI3493" s="1"/>
      <c r="AJ3493" s="1"/>
      <c r="AK3493" s="1"/>
      <c r="AL3493" s="1"/>
      <c r="AM3493" s="1"/>
    </row>
    <row r="3494" spans="16:39" x14ac:dyDescent="0.25">
      <c r="P3494" s="49"/>
      <c r="Q3494" s="1"/>
      <c r="S3494" s="1"/>
      <c r="T3494" s="1"/>
      <c r="U3494" s="1"/>
      <c r="V3494" s="1"/>
      <c r="W3494" s="1"/>
      <c r="X3494" s="1"/>
      <c r="Y3494" s="1"/>
      <c r="AB3494" s="1"/>
      <c r="AC3494" s="1"/>
      <c r="AD3494" s="1"/>
      <c r="AE3494" s="1"/>
      <c r="AF3494" s="1"/>
      <c r="AG3494" s="1"/>
      <c r="AH3494" s="1"/>
      <c r="AI3494" s="1"/>
      <c r="AJ3494" s="1"/>
      <c r="AK3494" s="1"/>
      <c r="AL3494" s="1"/>
      <c r="AM3494" s="1"/>
    </row>
    <row r="3495" spans="16:39" x14ac:dyDescent="0.25">
      <c r="P3495" s="49"/>
      <c r="Q3495" s="1"/>
      <c r="S3495" s="1"/>
      <c r="T3495" s="1"/>
      <c r="U3495" s="1"/>
      <c r="V3495" s="1"/>
      <c r="W3495" s="1"/>
      <c r="X3495" s="1"/>
      <c r="Y3495" s="1"/>
      <c r="AB3495" s="1"/>
      <c r="AC3495" s="1"/>
      <c r="AD3495" s="1"/>
      <c r="AE3495" s="1"/>
      <c r="AF3495" s="1"/>
      <c r="AG3495" s="1"/>
      <c r="AH3495" s="1"/>
      <c r="AI3495" s="1"/>
      <c r="AJ3495" s="1"/>
      <c r="AK3495" s="1"/>
      <c r="AL3495" s="1"/>
      <c r="AM3495" s="1"/>
    </row>
    <row r="3496" spans="16:39" x14ac:dyDescent="0.25">
      <c r="P3496" s="49"/>
      <c r="Q3496" s="1"/>
      <c r="S3496" s="1"/>
      <c r="T3496" s="1"/>
      <c r="U3496" s="1"/>
      <c r="V3496" s="1"/>
      <c r="W3496" s="1"/>
      <c r="X3496" s="1"/>
      <c r="Y3496" s="1"/>
      <c r="AB3496" s="1"/>
      <c r="AC3496" s="1"/>
      <c r="AD3496" s="1"/>
      <c r="AE3496" s="1"/>
      <c r="AF3496" s="1"/>
      <c r="AG3496" s="1"/>
      <c r="AH3496" s="1"/>
      <c r="AI3496" s="1"/>
      <c r="AJ3496" s="1"/>
      <c r="AK3496" s="1"/>
      <c r="AL3496" s="1"/>
      <c r="AM3496" s="1"/>
    </row>
    <row r="3497" spans="16:39" x14ac:dyDescent="0.25">
      <c r="P3497" s="49"/>
      <c r="Q3497" s="1"/>
      <c r="S3497" s="1"/>
      <c r="T3497" s="1"/>
      <c r="U3497" s="1"/>
      <c r="V3497" s="1"/>
      <c r="W3497" s="1"/>
      <c r="X3497" s="1"/>
      <c r="Y3497" s="1"/>
      <c r="AB3497" s="1"/>
      <c r="AC3497" s="1"/>
      <c r="AD3497" s="1"/>
      <c r="AE3497" s="1"/>
      <c r="AF3497" s="1"/>
      <c r="AG3497" s="1"/>
      <c r="AH3497" s="1"/>
      <c r="AI3497" s="1"/>
      <c r="AJ3497" s="1"/>
      <c r="AK3497" s="1"/>
      <c r="AL3497" s="1"/>
      <c r="AM3497" s="1"/>
    </row>
    <row r="3498" spans="16:39" x14ac:dyDescent="0.25">
      <c r="P3498" s="49"/>
      <c r="Q3498" s="1"/>
      <c r="S3498" s="1"/>
      <c r="T3498" s="1"/>
      <c r="U3498" s="1"/>
      <c r="V3498" s="1"/>
      <c r="W3498" s="1"/>
      <c r="X3498" s="1"/>
      <c r="Y3498" s="1"/>
      <c r="AB3498" s="1"/>
      <c r="AC3498" s="1"/>
      <c r="AD3498" s="1"/>
      <c r="AE3498" s="1"/>
      <c r="AF3498" s="1"/>
      <c r="AG3498" s="1"/>
      <c r="AH3498" s="1"/>
      <c r="AI3498" s="1"/>
      <c r="AJ3498" s="1"/>
      <c r="AK3498" s="1"/>
      <c r="AL3498" s="1"/>
      <c r="AM3498" s="1"/>
    </row>
    <row r="3499" spans="16:39" x14ac:dyDescent="0.25">
      <c r="P3499" s="49"/>
      <c r="Q3499" s="1"/>
      <c r="S3499" s="1"/>
      <c r="T3499" s="1"/>
      <c r="U3499" s="1"/>
      <c r="V3499" s="1"/>
      <c r="W3499" s="1"/>
      <c r="X3499" s="1"/>
      <c r="Y3499" s="1"/>
      <c r="AB3499" s="1"/>
      <c r="AC3499" s="1"/>
      <c r="AD3499" s="1"/>
      <c r="AE3499" s="1"/>
      <c r="AF3499" s="1"/>
      <c r="AG3499" s="1"/>
      <c r="AH3499" s="1"/>
      <c r="AI3499" s="1"/>
      <c r="AJ3499" s="1"/>
      <c r="AK3499" s="1"/>
      <c r="AL3499" s="1"/>
      <c r="AM3499" s="1"/>
    </row>
    <row r="3500" spans="16:39" x14ac:dyDescent="0.25">
      <c r="P3500" s="49"/>
      <c r="Q3500" s="1"/>
      <c r="S3500" s="1"/>
      <c r="T3500" s="1"/>
      <c r="U3500" s="1"/>
      <c r="V3500" s="1"/>
      <c r="W3500" s="1"/>
      <c r="X3500" s="1"/>
      <c r="Y3500" s="1"/>
      <c r="AB3500" s="1"/>
      <c r="AC3500" s="1"/>
      <c r="AD3500" s="1"/>
      <c r="AE3500" s="1"/>
      <c r="AF3500" s="1"/>
      <c r="AG3500" s="1"/>
      <c r="AH3500" s="1"/>
      <c r="AI3500" s="1"/>
      <c r="AJ3500" s="1"/>
      <c r="AK3500" s="1"/>
      <c r="AL3500" s="1"/>
      <c r="AM3500" s="1"/>
    </row>
    <row r="3501" spans="16:39" x14ac:dyDescent="0.25">
      <c r="P3501" s="49"/>
      <c r="Q3501" s="1"/>
      <c r="S3501" s="1"/>
      <c r="T3501" s="1"/>
      <c r="U3501" s="1"/>
      <c r="V3501" s="1"/>
      <c r="W3501" s="1"/>
      <c r="X3501" s="1"/>
      <c r="Y3501" s="1"/>
      <c r="AB3501" s="1"/>
      <c r="AC3501" s="1"/>
      <c r="AD3501" s="1"/>
      <c r="AE3501" s="1"/>
      <c r="AF3501" s="1"/>
      <c r="AG3501" s="1"/>
      <c r="AH3501" s="1"/>
      <c r="AI3501" s="1"/>
      <c r="AJ3501" s="1"/>
      <c r="AK3501" s="1"/>
      <c r="AL3501" s="1"/>
      <c r="AM3501" s="1"/>
    </row>
    <row r="3502" spans="16:39" x14ac:dyDescent="0.25">
      <c r="P3502" s="49"/>
      <c r="Q3502" s="1"/>
      <c r="S3502" s="1"/>
      <c r="T3502" s="1"/>
      <c r="U3502" s="1"/>
      <c r="V3502" s="1"/>
      <c r="W3502" s="1"/>
      <c r="X3502" s="1"/>
      <c r="Y3502" s="1"/>
      <c r="AB3502" s="1"/>
      <c r="AC3502" s="1"/>
      <c r="AD3502" s="1"/>
      <c r="AE3502" s="1"/>
      <c r="AF3502" s="1"/>
      <c r="AG3502" s="1"/>
      <c r="AH3502" s="1"/>
      <c r="AI3502" s="1"/>
      <c r="AJ3502" s="1"/>
      <c r="AK3502" s="1"/>
      <c r="AL3502" s="1"/>
      <c r="AM3502" s="1"/>
    </row>
    <row r="3503" spans="16:39" x14ac:dyDescent="0.25">
      <c r="P3503" s="49"/>
      <c r="Q3503" s="1"/>
      <c r="S3503" s="1"/>
      <c r="T3503" s="1"/>
      <c r="U3503" s="1"/>
      <c r="V3503" s="1"/>
      <c r="W3503" s="1"/>
      <c r="X3503" s="1"/>
      <c r="Y3503" s="1"/>
      <c r="AB3503" s="1"/>
      <c r="AC3503" s="1"/>
      <c r="AD3503" s="1"/>
      <c r="AE3503" s="1"/>
      <c r="AF3503" s="1"/>
      <c r="AG3503" s="1"/>
      <c r="AH3503" s="1"/>
      <c r="AI3503" s="1"/>
      <c r="AJ3503" s="1"/>
      <c r="AK3503" s="1"/>
      <c r="AL3503" s="1"/>
      <c r="AM3503" s="1"/>
    </row>
    <row r="3504" spans="16:39" x14ac:dyDescent="0.25">
      <c r="P3504" s="49"/>
      <c r="Q3504" s="1"/>
      <c r="S3504" s="1"/>
      <c r="T3504" s="1"/>
      <c r="U3504" s="1"/>
      <c r="V3504" s="1"/>
      <c r="W3504" s="1"/>
      <c r="X3504" s="1"/>
      <c r="Y3504" s="1"/>
      <c r="AB3504" s="1"/>
      <c r="AC3504" s="1"/>
      <c r="AD3504" s="1"/>
      <c r="AE3504" s="1"/>
      <c r="AF3504" s="1"/>
      <c r="AG3504" s="1"/>
      <c r="AH3504" s="1"/>
      <c r="AI3504" s="1"/>
      <c r="AJ3504" s="1"/>
      <c r="AK3504" s="1"/>
      <c r="AL3504" s="1"/>
      <c r="AM3504" s="1"/>
    </row>
    <row r="3505" spans="16:39" x14ac:dyDescent="0.25">
      <c r="P3505" s="49"/>
      <c r="Q3505" s="1"/>
      <c r="S3505" s="1"/>
      <c r="T3505" s="1"/>
      <c r="U3505" s="1"/>
      <c r="V3505" s="1"/>
      <c r="W3505" s="1"/>
      <c r="X3505" s="1"/>
      <c r="Y3505" s="1"/>
      <c r="AB3505" s="1"/>
      <c r="AC3505" s="1"/>
      <c r="AD3505" s="1"/>
      <c r="AE3505" s="1"/>
      <c r="AF3505" s="1"/>
      <c r="AG3505" s="1"/>
      <c r="AH3505" s="1"/>
      <c r="AI3505" s="1"/>
      <c r="AJ3505" s="1"/>
      <c r="AK3505" s="1"/>
      <c r="AL3505" s="1"/>
      <c r="AM3505" s="1"/>
    </row>
    <row r="3506" spans="16:39" x14ac:dyDescent="0.25">
      <c r="P3506" s="49"/>
      <c r="Q3506" s="1"/>
      <c r="S3506" s="1"/>
      <c r="T3506" s="1"/>
      <c r="U3506" s="1"/>
      <c r="V3506" s="1"/>
      <c r="W3506" s="1"/>
      <c r="X3506" s="1"/>
      <c r="Y3506" s="1"/>
      <c r="AB3506" s="1"/>
      <c r="AC3506" s="1"/>
      <c r="AD3506" s="1"/>
      <c r="AE3506" s="1"/>
      <c r="AF3506" s="1"/>
      <c r="AG3506" s="1"/>
      <c r="AH3506" s="1"/>
      <c r="AI3506" s="1"/>
      <c r="AJ3506" s="1"/>
      <c r="AK3506" s="1"/>
      <c r="AL3506" s="1"/>
      <c r="AM3506" s="1"/>
    </row>
    <row r="3507" spans="16:39" x14ac:dyDescent="0.25">
      <c r="P3507" s="49"/>
      <c r="Q3507" s="1"/>
      <c r="S3507" s="1"/>
      <c r="T3507" s="1"/>
      <c r="U3507" s="1"/>
      <c r="V3507" s="1"/>
      <c r="W3507" s="1"/>
      <c r="X3507" s="1"/>
      <c r="Y3507" s="1"/>
      <c r="AB3507" s="1"/>
      <c r="AC3507" s="1"/>
      <c r="AD3507" s="1"/>
      <c r="AE3507" s="1"/>
      <c r="AF3507" s="1"/>
      <c r="AG3507" s="1"/>
      <c r="AH3507" s="1"/>
      <c r="AI3507" s="1"/>
      <c r="AJ3507" s="1"/>
      <c r="AK3507" s="1"/>
      <c r="AL3507" s="1"/>
      <c r="AM3507" s="1"/>
    </row>
    <row r="3508" spans="16:39" x14ac:dyDescent="0.25">
      <c r="P3508" s="49"/>
      <c r="Q3508" s="1"/>
      <c r="S3508" s="1"/>
      <c r="T3508" s="1"/>
      <c r="U3508" s="1"/>
      <c r="V3508" s="1"/>
      <c r="W3508" s="1"/>
      <c r="X3508" s="1"/>
      <c r="Y3508" s="1"/>
      <c r="AB3508" s="1"/>
      <c r="AC3508" s="1"/>
      <c r="AD3508" s="1"/>
      <c r="AE3508" s="1"/>
      <c r="AF3508" s="1"/>
      <c r="AG3508" s="1"/>
      <c r="AH3508" s="1"/>
      <c r="AI3508" s="1"/>
      <c r="AJ3508" s="1"/>
      <c r="AK3508" s="1"/>
      <c r="AL3508" s="1"/>
      <c r="AM3508" s="1"/>
    </row>
    <row r="3509" spans="16:39" x14ac:dyDescent="0.25">
      <c r="P3509" s="49"/>
      <c r="Q3509" s="1"/>
      <c r="S3509" s="1"/>
      <c r="T3509" s="1"/>
      <c r="U3509" s="1"/>
      <c r="V3509" s="1"/>
      <c r="W3509" s="1"/>
      <c r="X3509" s="1"/>
      <c r="Y3509" s="1"/>
      <c r="AB3509" s="1"/>
      <c r="AC3509" s="1"/>
      <c r="AD3509" s="1"/>
      <c r="AE3509" s="1"/>
      <c r="AF3509" s="1"/>
      <c r="AG3509" s="1"/>
      <c r="AH3509" s="1"/>
      <c r="AI3509" s="1"/>
      <c r="AJ3509" s="1"/>
      <c r="AK3509" s="1"/>
      <c r="AL3509" s="1"/>
      <c r="AM3509" s="1"/>
    </row>
    <row r="3510" spans="16:39" x14ac:dyDescent="0.25">
      <c r="P3510" s="49"/>
      <c r="Q3510" s="1"/>
      <c r="S3510" s="1"/>
      <c r="T3510" s="1"/>
      <c r="U3510" s="1"/>
      <c r="V3510" s="1"/>
      <c r="W3510" s="1"/>
      <c r="X3510" s="1"/>
      <c r="Y3510" s="1"/>
      <c r="AB3510" s="1"/>
      <c r="AC3510" s="1"/>
      <c r="AD3510" s="1"/>
      <c r="AE3510" s="1"/>
      <c r="AF3510" s="1"/>
      <c r="AG3510" s="1"/>
      <c r="AH3510" s="1"/>
      <c r="AI3510" s="1"/>
      <c r="AJ3510" s="1"/>
      <c r="AK3510" s="1"/>
      <c r="AL3510" s="1"/>
      <c r="AM3510" s="1"/>
    </row>
    <row r="3511" spans="16:39" x14ac:dyDescent="0.25">
      <c r="P3511" s="49"/>
      <c r="Q3511" s="1"/>
      <c r="S3511" s="1"/>
      <c r="T3511" s="1"/>
      <c r="U3511" s="1"/>
      <c r="V3511" s="1"/>
      <c r="W3511" s="1"/>
      <c r="X3511" s="1"/>
      <c r="Y3511" s="1"/>
      <c r="AB3511" s="1"/>
      <c r="AC3511" s="1"/>
      <c r="AD3511" s="1"/>
      <c r="AE3511" s="1"/>
      <c r="AF3511" s="1"/>
      <c r="AG3511" s="1"/>
      <c r="AH3511" s="1"/>
      <c r="AI3511" s="1"/>
      <c r="AJ3511" s="1"/>
      <c r="AK3511" s="1"/>
      <c r="AL3511" s="1"/>
      <c r="AM3511" s="1"/>
    </row>
    <row r="3512" spans="16:39" x14ac:dyDescent="0.25">
      <c r="P3512" s="49"/>
      <c r="Q3512" s="1"/>
      <c r="S3512" s="1"/>
      <c r="T3512" s="1"/>
      <c r="U3512" s="1"/>
      <c r="V3512" s="1"/>
      <c r="W3512" s="1"/>
      <c r="X3512" s="1"/>
      <c r="Y3512" s="1"/>
      <c r="AB3512" s="1"/>
      <c r="AC3512" s="1"/>
      <c r="AD3512" s="1"/>
      <c r="AE3512" s="1"/>
      <c r="AF3512" s="1"/>
      <c r="AG3512" s="1"/>
      <c r="AH3512" s="1"/>
      <c r="AI3512" s="1"/>
      <c r="AJ3512" s="1"/>
      <c r="AK3512" s="1"/>
      <c r="AL3512" s="1"/>
      <c r="AM3512" s="1"/>
    </row>
    <row r="3513" spans="16:39" x14ac:dyDescent="0.25">
      <c r="P3513" s="49"/>
      <c r="Q3513" s="1"/>
      <c r="S3513" s="1"/>
      <c r="T3513" s="1"/>
      <c r="U3513" s="1"/>
      <c r="V3513" s="1"/>
      <c r="W3513" s="1"/>
      <c r="X3513" s="1"/>
      <c r="Y3513" s="1"/>
      <c r="AB3513" s="1"/>
      <c r="AC3513" s="1"/>
      <c r="AD3513" s="1"/>
      <c r="AE3513" s="1"/>
      <c r="AF3513" s="1"/>
      <c r="AG3513" s="1"/>
      <c r="AH3513" s="1"/>
      <c r="AI3513" s="1"/>
      <c r="AJ3513" s="1"/>
      <c r="AK3513" s="1"/>
      <c r="AL3513" s="1"/>
      <c r="AM3513" s="1"/>
    </row>
    <row r="3514" spans="16:39" x14ac:dyDescent="0.25">
      <c r="P3514" s="49"/>
      <c r="Q3514" s="1"/>
      <c r="S3514" s="1"/>
      <c r="T3514" s="1"/>
      <c r="U3514" s="1"/>
      <c r="V3514" s="1"/>
      <c r="W3514" s="1"/>
      <c r="X3514" s="1"/>
      <c r="Y3514" s="1"/>
      <c r="AB3514" s="1"/>
      <c r="AC3514" s="1"/>
      <c r="AD3514" s="1"/>
      <c r="AE3514" s="1"/>
      <c r="AF3514" s="1"/>
      <c r="AG3514" s="1"/>
      <c r="AH3514" s="1"/>
      <c r="AI3514" s="1"/>
      <c r="AJ3514" s="1"/>
      <c r="AK3514" s="1"/>
      <c r="AL3514" s="1"/>
      <c r="AM3514" s="1"/>
    </row>
    <row r="3515" spans="16:39" x14ac:dyDescent="0.25">
      <c r="P3515" s="49"/>
      <c r="Q3515" s="1"/>
      <c r="S3515" s="1"/>
      <c r="T3515" s="1"/>
      <c r="U3515" s="1"/>
      <c r="V3515" s="1"/>
      <c r="W3515" s="1"/>
      <c r="X3515" s="1"/>
      <c r="Y3515" s="1"/>
      <c r="AB3515" s="1"/>
      <c r="AC3515" s="1"/>
      <c r="AD3515" s="1"/>
      <c r="AE3515" s="1"/>
      <c r="AF3515" s="1"/>
      <c r="AG3515" s="1"/>
      <c r="AH3515" s="1"/>
      <c r="AI3515" s="1"/>
      <c r="AJ3515" s="1"/>
      <c r="AK3515" s="1"/>
      <c r="AL3515" s="1"/>
      <c r="AM3515" s="1"/>
    </row>
    <row r="3516" spans="16:39" x14ac:dyDescent="0.25">
      <c r="P3516" s="49"/>
      <c r="Q3516" s="1"/>
      <c r="S3516" s="1"/>
      <c r="T3516" s="1"/>
      <c r="U3516" s="1"/>
      <c r="V3516" s="1"/>
      <c r="W3516" s="1"/>
      <c r="X3516" s="1"/>
      <c r="Y3516" s="1"/>
      <c r="AB3516" s="1"/>
      <c r="AC3516" s="1"/>
      <c r="AD3516" s="1"/>
      <c r="AE3516" s="1"/>
      <c r="AF3516" s="1"/>
      <c r="AG3516" s="1"/>
      <c r="AH3516" s="1"/>
      <c r="AI3516" s="1"/>
      <c r="AJ3516" s="1"/>
      <c r="AK3516" s="1"/>
      <c r="AL3516" s="1"/>
      <c r="AM3516" s="1"/>
    </row>
    <row r="3517" spans="16:39" x14ac:dyDescent="0.25">
      <c r="P3517" s="49"/>
      <c r="Q3517" s="1"/>
      <c r="S3517" s="1"/>
      <c r="T3517" s="1"/>
      <c r="U3517" s="1"/>
      <c r="V3517" s="1"/>
      <c r="W3517" s="1"/>
      <c r="X3517" s="1"/>
      <c r="Y3517" s="1"/>
      <c r="AB3517" s="1"/>
      <c r="AC3517" s="1"/>
      <c r="AD3517" s="1"/>
      <c r="AE3517" s="1"/>
      <c r="AF3517" s="1"/>
      <c r="AG3517" s="1"/>
      <c r="AH3517" s="1"/>
      <c r="AI3517" s="1"/>
      <c r="AJ3517" s="1"/>
      <c r="AK3517" s="1"/>
      <c r="AL3517" s="1"/>
      <c r="AM3517" s="1"/>
    </row>
    <row r="3518" spans="16:39" x14ac:dyDescent="0.25">
      <c r="P3518" s="49"/>
      <c r="Q3518" s="1"/>
      <c r="S3518" s="1"/>
      <c r="T3518" s="1"/>
      <c r="U3518" s="1"/>
      <c r="V3518" s="1"/>
      <c r="W3518" s="1"/>
      <c r="X3518" s="1"/>
      <c r="Y3518" s="1"/>
      <c r="AB3518" s="1"/>
      <c r="AC3518" s="1"/>
      <c r="AD3518" s="1"/>
      <c r="AE3518" s="1"/>
      <c r="AF3518" s="1"/>
      <c r="AG3518" s="1"/>
      <c r="AH3518" s="1"/>
      <c r="AI3518" s="1"/>
      <c r="AJ3518" s="1"/>
      <c r="AK3518" s="1"/>
      <c r="AL3518" s="1"/>
      <c r="AM3518" s="1"/>
    </row>
    <row r="3519" spans="16:39" x14ac:dyDescent="0.25">
      <c r="P3519" s="49"/>
      <c r="Q3519" s="1"/>
      <c r="S3519" s="1"/>
      <c r="T3519" s="1"/>
      <c r="U3519" s="1"/>
      <c r="V3519" s="1"/>
      <c r="W3519" s="1"/>
      <c r="X3519" s="1"/>
      <c r="Y3519" s="1"/>
      <c r="AB3519" s="1"/>
      <c r="AC3519" s="1"/>
      <c r="AD3519" s="1"/>
      <c r="AE3519" s="1"/>
      <c r="AF3519" s="1"/>
      <c r="AG3519" s="1"/>
      <c r="AH3519" s="1"/>
      <c r="AI3519" s="1"/>
      <c r="AJ3519" s="1"/>
      <c r="AK3519" s="1"/>
      <c r="AL3519" s="1"/>
      <c r="AM3519" s="1"/>
    </row>
    <row r="3520" spans="16:39" x14ac:dyDescent="0.25">
      <c r="P3520" s="49"/>
      <c r="Q3520" s="1"/>
      <c r="S3520" s="1"/>
      <c r="T3520" s="1"/>
      <c r="U3520" s="1"/>
      <c r="V3520" s="1"/>
      <c r="W3520" s="1"/>
      <c r="X3520" s="1"/>
      <c r="Y3520" s="1"/>
      <c r="AB3520" s="1"/>
      <c r="AC3520" s="1"/>
      <c r="AD3520" s="1"/>
      <c r="AE3520" s="1"/>
      <c r="AF3520" s="1"/>
      <c r="AG3520" s="1"/>
      <c r="AH3520" s="1"/>
      <c r="AI3520" s="1"/>
      <c r="AJ3520" s="1"/>
      <c r="AK3520" s="1"/>
      <c r="AL3520" s="1"/>
      <c r="AM3520" s="1"/>
    </row>
    <row r="3521" spans="16:39" x14ac:dyDescent="0.25">
      <c r="P3521" s="49"/>
      <c r="Q3521" s="1"/>
      <c r="S3521" s="1"/>
      <c r="T3521" s="1"/>
      <c r="U3521" s="1"/>
      <c r="V3521" s="1"/>
      <c r="W3521" s="1"/>
      <c r="X3521" s="1"/>
      <c r="Y3521" s="1"/>
      <c r="AB3521" s="1"/>
      <c r="AC3521" s="1"/>
      <c r="AD3521" s="1"/>
      <c r="AE3521" s="1"/>
      <c r="AF3521" s="1"/>
      <c r="AG3521" s="1"/>
      <c r="AH3521" s="1"/>
      <c r="AI3521" s="1"/>
      <c r="AJ3521" s="1"/>
      <c r="AK3521" s="1"/>
      <c r="AL3521" s="1"/>
      <c r="AM3521" s="1"/>
    </row>
    <row r="3522" spans="16:39" x14ac:dyDescent="0.25">
      <c r="P3522" s="49"/>
      <c r="Q3522" s="1"/>
      <c r="S3522" s="1"/>
      <c r="T3522" s="1"/>
      <c r="U3522" s="1"/>
      <c r="V3522" s="1"/>
      <c r="W3522" s="1"/>
      <c r="X3522" s="1"/>
      <c r="Y3522" s="1"/>
      <c r="AB3522" s="1"/>
      <c r="AC3522" s="1"/>
      <c r="AD3522" s="1"/>
      <c r="AE3522" s="1"/>
      <c r="AF3522" s="1"/>
      <c r="AG3522" s="1"/>
      <c r="AH3522" s="1"/>
      <c r="AI3522" s="1"/>
      <c r="AJ3522" s="1"/>
      <c r="AK3522" s="1"/>
      <c r="AL3522" s="1"/>
      <c r="AM3522" s="1"/>
    </row>
    <row r="3523" spans="16:39" x14ac:dyDescent="0.25">
      <c r="P3523" s="49"/>
      <c r="Q3523" s="1"/>
      <c r="S3523" s="1"/>
      <c r="T3523" s="1"/>
      <c r="U3523" s="1"/>
      <c r="V3523" s="1"/>
      <c r="W3523" s="1"/>
      <c r="X3523" s="1"/>
      <c r="Y3523" s="1"/>
      <c r="AB3523" s="1"/>
      <c r="AC3523" s="1"/>
      <c r="AD3523" s="1"/>
      <c r="AE3523" s="1"/>
      <c r="AF3523" s="1"/>
      <c r="AG3523" s="1"/>
      <c r="AH3523" s="1"/>
      <c r="AI3523" s="1"/>
      <c r="AJ3523" s="1"/>
      <c r="AK3523" s="1"/>
      <c r="AL3523" s="1"/>
      <c r="AM3523" s="1"/>
    </row>
    <row r="3524" spans="16:39" x14ac:dyDescent="0.25">
      <c r="P3524" s="49"/>
      <c r="Q3524" s="1"/>
      <c r="S3524" s="1"/>
      <c r="T3524" s="1"/>
      <c r="U3524" s="1"/>
      <c r="V3524" s="1"/>
      <c r="W3524" s="1"/>
      <c r="X3524" s="1"/>
      <c r="Y3524" s="1"/>
      <c r="AB3524" s="1"/>
      <c r="AC3524" s="1"/>
      <c r="AD3524" s="1"/>
      <c r="AE3524" s="1"/>
      <c r="AF3524" s="1"/>
      <c r="AG3524" s="1"/>
      <c r="AH3524" s="1"/>
      <c r="AI3524" s="1"/>
      <c r="AJ3524" s="1"/>
      <c r="AK3524" s="1"/>
      <c r="AL3524" s="1"/>
      <c r="AM3524" s="1"/>
    </row>
    <row r="3525" spans="16:39" x14ac:dyDescent="0.25">
      <c r="P3525" s="49"/>
      <c r="Q3525" s="1"/>
      <c r="S3525" s="1"/>
      <c r="T3525" s="1"/>
      <c r="U3525" s="1"/>
      <c r="V3525" s="1"/>
      <c r="W3525" s="1"/>
      <c r="X3525" s="1"/>
      <c r="Y3525" s="1"/>
      <c r="AB3525" s="1"/>
      <c r="AC3525" s="1"/>
      <c r="AD3525" s="1"/>
      <c r="AE3525" s="1"/>
      <c r="AF3525" s="1"/>
      <c r="AG3525" s="1"/>
      <c r="AH3525" s="1"/>
      <c r="AI3525" s="1"/>
      <c r="AJ3525" s="1"/>
      <c r="AK3525" s="1"/>
      <c r="AL3525" s="1"/>
      <c r="AM3525" s="1"/>
    </row>
    <row r="3526" spans="16:39" x14ac:dyDescent="0.25">
      <c r="P3526" s="49"/>
      <c r="Q3526" s="1"/>
      <c r="S3526" s="1"/>
      <c r="T3526" s="1"/>
      <c r="U3526" s="1"/>
      <c r="V3526" s="1"/>
      <c r="W3526" s="1"/>
      <c r="X3526" s="1"/>
      <c r="Y3526" s="1"/>
      <c r="AB3526" s="1"/>
      <c r="AC3526" s="1"/>
      <c r="AD3526" s="1"/>
      <c r="AE3526" s="1"/>
      <c r="AF3526" s="1"/>
      <c r="AG3526" s="1"/>
      <c r="AH3526" s="1"/>
      <c r="AI3526" s="1"/>
      <c r="AJ3526" s="1"/>
      <c r="AK3526" s="1"/>
      <c r="AL3526" s="1"/>
      <c r="AM3526" s="1"/>
    </row>
    <row r="3527" spans="16:39" x14ac:dyDescent="0.25">
      <c r="P3527" s="49"/>
      <c r="Q3527" s="1"/>
      <c r="S3527" s="1"/>
      <c r="T3527" s="1"/>
      <c r="U3527" s="1"/>
      <c r="V3527" s="1"/>
      <c r="W3527" s="1"/>
      <c r="X3527" s="1"/>
      <c r="Y3527" s="1"/>
      <c r="AB3527" s="1"/>
      <c r="AC3527" s="1"/>
      <c r="AD3527" s="1"/>
      <c r="AE3527" s="1"/>
      <c r="AF3527" s="1"/>
      <c r="AG3527" s="1"/>
      <c r="AH3527" s="1"/>
      <c r="AI3527" s="1"/>
      <c r="AJ3527" s="1"/>
      <c r="AK3527" s="1"/>
      <c r="AL3527" s="1"/>
      <c r="AM3527" s="1"/>
    </row>
    <row r="3528" spans="16:39" x14ac:dyDescent="0.25">
      <c r="P3528" s="49"/>
      <c r="Q3528" s="1"/>
      <c r="S3528" s="1"/>
      <c r="T3528" s="1"/>
      <c r="U3528" s="1"/>
      <c r="V3528" s="1"/>
      <c r="W3528" s="1"/>
      <c r="X3528" s="1"/>
      <c r="Y3528" s="1"/>
      <c r="AB3528" s="1"/>
      <c r="AC3528" s="1"/>
      <c r="AD3528" s="1"/>
      <c r="AE3528" s="1"/>
      <c r="AF3528" s="1"/>
      <c r="AG3528" s="1"/>
      <c r="AH3528" s="1"/>
      <c r="AI3528" s="1"/>
      <c r="AJ3528" s="1"/>
      <c r="AK3528" s="1"/>
      <c r="AL3528" s="1"/>
      <c r="AM3528" s="1"/>
    </row>
    <row r="3529" spans="16:39" x14ac:dyDescent="0.25">
      <c r="P3529" s="49"/>
      <c r="Q3529" s="1"/>
      <c r="S3529" s="1"/>
      <c r="T3529" s="1"/>
      <c r="U3529" s="1"/>
      <c r="V3529" s="1"/>
      <c r="W3529" s="1"/>
      <c r="X3529" s="1"/>
      <c r="Y3529" s="1"/>
      <c r="AB3529" s="1"/>
      <c r="AC3529" s="1"/>
      <c r="AD3529" s="1"/>
      <c r="AE3529" s="1"/>
      <c r="AF3529" s="1"/>
      <c r="AG3529" s="1"/>
      <c r="AH3529" s="1"/>
      <c r="AI3529" s="1"/>
      <c r="AJ3529" s="1"/>
      <c r="AK3529" s="1"/>
      <c r="AL3529" s="1"/>
      <c r="AM3529" s="1"/>
    </row>
    <row r="3530" spans="16:39" x14ac:dyDescent="0.25">
      <c r="P3530" s="49"/>
      <c r="Q3530" s="1"/>
      <c r="S3530" s="1"/>
      <c r="T3530" s="1"/>
      <c r="U3530" s="1"/>
      <c r="V3530" s="1"/>
      <c r="W3530" s="1"/>
      <c r="X3530" s="1"/>
      <c r="Y3530" s="1"/>
      <c r="AB3530" s="1"/>
      <c r="AC3530" s="1"/>
      <c r="AD3530" s="1"/>
      <c r="AE3530" s="1"/>
      <c r="AF3530" s="1"/>
      <c r="AG3530" s="1"/>
      <c r="AH3530" s="1"/>
      <c r="AI3530" s="1"/>
      <c r="AJ3530" s="1"/>
      <c r="AK3530" s="1"/>
      <c r="AL3530" s="1"/>
      <c r="AM3530" s="1"/>
    </row>
    <row r="3531" spans="16:39" x14ac:dyDescent="0.25">
      <c r="P3531" s="49"/>
      <c r="Q3531" s="1"/>
      <c r="S3531" s="1"/>
      <c r="T3531" s="1"/>
      <c r="U3531" s="1"/>
      <c r="V3531" s="1"/>
      <c r="W3531" s="1"/>
      <c r="X3531" s="1"/>
      <c r="Y3531" s="1"/>
      <c r="AB3531" s="1"/>
      <c r="AC3531" s="1"/>
      <c r="AD3531" s="1"/>
      <c r="AE3531" s="1"/>
      <c r="AF3531" s="1"/>
      <c r="AG3531" s="1"/>
      <c r="AH3531" s="1"/>
      <c r="AI3531" s="1"/>
      <c r="AJ3531" s="1"/>
      <c r="AK3531" s="1"/>
      <c r="AL3531" s="1"/>
      <c r="AM3531" s="1"/>
    </row>
    <row r="3532" spans="16:39" x14ac:dyDescent="0.25">
      <c r="P3532" s="49"/>
      <c r="Q3532" s="1"/>
      <c r="S3532" s="1"/>
      <c r="T3532" s="1"/>
      <c r="U3532" s="1"/>
      <c r="V3532" s="1"/>
      <c r="W3532" s="1"/>
      <c r="X3532" s="1"/>
      <c r="Y3532" s="1"/>
      <c r="AB3532" s="1"/>
      <c r="AC3532" s="1"/>
      <c r="AD3532" s="1"/>
      <c r="AE3532" s="1"/>
      <c r="AF3532" s="1"/>
      <c r="AG3532" s="1"/>
      <c r="AH3532" s="1"/>
      <c r="AI3532" s="1"/>
      <c r="AJ3532" s="1"/>
      <c r="AK3532" s="1"/>
      <c r="AL3532" s="1"/>
      <c r="AM3532" s="1"/>
    </row>
    <row r="3533" spans="16:39" x14ac:dyDescent="0.25">
      <c r="P3533" s="49"/>
      <c r="Q3533" s="1"/>
      <c r="S3533" s="1"/>
      <c r="T3533" s="1"/>
      <c r="U3533" s="1"/>
      <c r="V3533" s="1"/>
      <c r="W3533" s="1"/>
      <c r="X3533" s="1"/>
      <c r="Y3533" s="1"/>
      <c r="AB3533" s="1"/>
      <c r="AC3533" s="1"/>
      <c r="AD3533" s="1"/>
      <c r="AE3533" s="1"/>
      <c r="AF3533" s="1"/>
      <c r="AG3533" s="1"/>
      <c r="AH3533" s="1"/>
      <c r="AI3533" s="1"/>
      <c r="AJ3533" s="1"/>
      <c r="AK3533" s="1"/>
      <c r="AL3533" s="1"/>
      <c r="AM3533" s="1"/>
    </row>
    <row r="3534" spans="16:39" x14ac:dyDescent="0.25">
      <c r="P3534" s="49"/>
      <c r="Q3534" s="1"/>
      <c r="S3534" s="1"/>
      <c r="T3534" s="1"/>
      <c r="U3534" s="1"/>
      <c r="V3534" s="1"/>
      <c r="W3534" s="1"/>
      <c r="X3534" s="1"/>
      <c r="Y3534" s="1"/>
      <c r="AB3534" s="1"/>
      <c r="AC3534" s="1"/>
      <c r="AD3534" s="1"/>
      <c r="AE3534" s="1"/>
      <c r="AF3534" s="1"/>
      <c r="AG3534" s="1"/>
      <c r="AH3534" s="1"/>
      <c r="AI3534" s="1"/>
      <c r="AJ3534" s="1"/>
      <c r="AK3534" s="1"/>
      <c r="AL3534" s="1"/>
      <c r="AM3534" s="1"/>
    </row>
    <row r="3535" spans="16:39" x14ac:dyDescent="0.25">
      <c r="P3535" s="49"/>
      <c r="Q3535" s="1"/>
      <c r="S3535" s="1"/>
      <c r="T3535" s="1"/>
      <c r="U3535" s="1"/>
      <c r="V3535" s="1"/>
      <c r="W3535" s="1"/>
      <c r="X3535" s="1"/>
      <c r="Y3535" s="1"/>
      <c r="AB3535" s="1"/>
      <c r="AC3535" s="1"/>
      <c r="AD3535" s="1"/>
      <c r="AE3535" s="1"/>
      <c r="AF3535" s="1"/>
      <c r="AG3535" s="1"/>
      <c r="AH3535" s="1"/>
      <c r="AI3535" s="1"/>
      <c r="AJ3535" s="1"/>
      <c r="AK3535" s="1"/>
      <c r="AL3535" s="1"/>
      <c r="AM3535" s="1"/>
    </row>
    <row r="3536" spans="16:39" x14ac:dyDescent="0.25">
      <c r="P3536" s="49"/>
      <c r="Q3536" s="1"/>
      <c r="S3536" s="1"/>
      <c r="T3536" s="1"/>
      <c r="U3536" s="1"/>
      <c r="V3536" s="1"/>
      <c r="W3536" s="1"/>
      <c r="X3536" s="1"/>
      <c r="Y3536" s="1"/>
      <c r="AB3536" s="1"/>
      <c r="AC3536" s="1"/>
      <c r="AD3536" s="1"/>
      <c r="AE3536" s="1"/>
      <c r="AF3536" s="1"/>
      <c r="AG3536" s="1"/>
      <c r="AH3536" s="1"/>
      <c r="AI3536" s="1"/>
      <c r="AJ3536" s="1"/>
      <c r="AK3536" s="1"/>
      <c r="AL3536" s="1"/>
      <c r="AM3536" s="1"/>
    </row>
    <row r="3537" spans="16:39" x14ac:dyDescent="0.25">
      <c r="P3537" s="49"/>
      <c r="Q3537" s="1"/>
      <c r="S3537" s="1"/>
      <c r="T3537" s="1"/>
      <c r="U3537" s="1"/>
      <c r="V3537" s="1"/>
      <c r="W3537" s="1"/>
      <c r="X3537" s="1"/>
      <c r="Y3537" s="1"/>
      <c r="AB3537" s="1"/>
      <c r="AC3537" s="1"/>
      <c r="AD3537" s="1"/>
      <c r="AE3537" s="1"/>
      <c r="AF3537" s="1"/>
      <c r="AG3537" s="1"/>
      <c r="AH3537" s="1"/>
      <c r="AI3537" s="1"/>
      <c r="AJ3537" s="1"/>
      <c r="AK3537" s="1"/>
      <c r="AL3537" s="1"/>
      <c r="AM3537" s="1"/>
    </row>
    <row r="3538" spans="16:39" x14ac:dyDescent="0.25">
      <c r="P3538" s="49"/>
      <c r="Q3538" s="1"/>
      <c r="S3538" s="1"/>
      <c r="T3538" s="1"/>
      <c r="U3538" s="1"/>
      <c r="V3538" s="1"/>
      <c r="W3538" s="1"/>
      <c r="X3538" s="1"/>
      <c r="Y3538" s="1"/>
      <c r="AB3538" s="1"/>
      <c r="AC3538" s="1"/>
      <c r="AD3538" s="1"/>
      <c r="AE3538" s="1"/>
      <c r="AF3538" s="1"/>
      <c r="AG3538" s="1"/>
      <c r="AH3538" s="1"/>
      <c r="AI3538" s="1"/>
      <c r="AJ3538" s="1"/>
      <c r="AK3538" s="1"/>
      <c r="AL3538" s="1"/>
      <c r="AM3538" s="1"/>
    </row>
    <row r="3539" spans="16:39" x14ac:dyDescent="0.25">
      <c r="P3539" s="49"/>
      <c r="Q3539" s="1"/>
      <c r="S3539" s="1"/>
      <c r="T3539" s="1"/>
      <c r="U3539" s="1"/>
      <c r="V3539" s="1"/>
      <c r="W3539" s="1"/>
      <c r="X3539" s="1"/>
      <c r="Y3539" s="1"/>
      <c r="AB3539" s="1"/>
      <c r="AC3539" s="1"/>
      <c r="AD3539" s="1"/>
      <c r="AE3539" s="1"/>
      <c r="AF3539" s="1"/>
      <c r="AG3539" s="1"/>
      <c r="AH3539" s="1"/>
      <c r="AI3539" s="1"/>
      <c r="AJ3539" s="1"/>
      <c r="AK3539" s="1"/>
      <c r="AL3539" s="1"/>
      <c r="AM3539" s="1"/>
    </row>
    <row r="3540" spans="16:39" x14ac:dyDescent="0.25">
      <c r="P3540" s="49"/>
      <c r="Q3540" s="1"/>
      <c r="S3540" s="1"/>
      <c r="T3540" s="1"/>
      <c r="U3540" s="1"/>
      <c r="V3540" s="1"/>
      <c r="W3540" s="1"/>
      <c r="X3540" s="1"/>
      <c r="Y3540" s="1"/>
      <c r="AB3540" s="1"/>
      <c r="AC3540" s="1"/>
      <c r="AD3540" s="1"/>
      <c r="AE3540" s="1"/>
      <c r="AF3540" s="1"/>
      <c r="AG3540" s="1"/>
      <c r="AH3540" s="1"/>
      <c r="AI3540" s="1"/>
      <c r="AJ3540" s="1"/>
      <c r="AK3540" s="1"/>
      <c r="AL3540" s="1"/>
      <c r="AM3540" s="1"/>
    </row>
    <row r="3541" spans="16:39" x14ac:dyDescent="0.25">
      <c r="P3541" s="49"/>
      <c r="Q3541" s="1"/>
      <c r="S3541" s="1"/>
      <c r="T3541" s="1"/>
      <c r="U3541" s="1"/>
      <c r="V3541" s="1"/>
      <c r="W3541" s="1"/>
      <c r="X3541" s="1"/>
      <c r="Y3541" s="1"/>
      <c r="AB3541" s="1"/>
      <c r="AC3541" s="1"/>
      <c r="AD3541" s="1"/>
      <c r="AE3541" s="1"/>
      <c r="AF3541" s="1"/>
      <c r="AG3541" s="1"/>
      <c r="AH3541" s="1"/>
      <c r="AI3541" s="1"/>
      <c r="AJ3541" s="1"/>
      <c r="AK3541" s="1"/>
      <c r="AL3541" s="1"/>
      <c r="AM3541" s="1"/>
    </row>
    <row r="3542" spans="16:39" x14ac:dyDescent="0.25">
      <c r="P3542" s="49"/>
      <c r="Q3542" s="1"/>
      <c r="S3542" s="1"/>
      <c r="T3542" s="1"/>
      <c r="U3542" s="1"/>
      <c r="V3542" s="1"/>
      <c r="W3542" s="1"/>
      <c r="X3542" s="1"/>
      <c r="Y3542" s="1"/>
      <c r="AB3542" s="1"/>
      <c r="AC3542" s="1"/>
      <c r="AD3542" s="1"/>
      <c r="AE3542" s="1"/>
      <c r="AF3542" s="1"/>
      <c r="AG3542" s="1"/>
      <c r="AH3542" s="1"/>
      <c r="AI3542" s="1"/>
      <c r="AJ3542" s="1"/>
      <c r="AK3542" s="1"/>
      <c r="AL3542" s="1"/>
      <c r="AM3542" s="1"/>
    </row>
    <row r="3543" spans="16:39" x14ac:dyDescent="0.25">
      <c r="P3543" s="49"/>
      <c r="Q3543" s="1"/>
      <c r="S3543" s="1"/>
      <c r="T3543" s="1"/>
      <c r="U3543" s="1"/>
      <c r="V3543" s="1"/>
      <c r="W3543" s="1"/>
      <c r="X3543" s="1"/>
      <c r="Y3543" s="1"/>
      <c r="AB3543" s="1"/>
      <c r="AC3543" s="1"/>
      <c r="AD3543" s="1"/>
      <c r="AE3543" s="1"/>
      <c r="AF3543" s="1"/>
      <c r="AG3543" s="1"/>
      <c r="AH3543" s="1"/>
      <c r="AI3543" s="1"/>
      <c r="AJ3543" s="1"/>
      <c r="AK3543" s="1"/>
      <c r="AL3543" s="1"/>
      <c r="AM3543" s="1"/>
    </row>
    <row r="3544" spans="16:39" x14ac:dyDescent="0.25">
      <c r="P3544" s="49"/>
      <c r="Q3544" s="1"/>
      <c r="S3544" s="1"/>
      <c r="T3544" s="1"/>
      <c r="U3544" s="1"/>
      <c r="V3544" s="1"/>
      <c r="W3544" s="1"/>
      <c r="X3544" s="1"/>
      <c r="Y3544" s="1"/>
      <c r="AB3544" s="1"/>
      <c r="AC3544" s="1"/>
      <c r="AD3544" s="1"/>
      <c r="AE3544" s="1"/>
      <c r="AF3544" s="1"/>
      <c r="AG3544" s="1"/>
      <c r="AH3544" s="1"/>
      <c r="AI3544" s="1"/>
      <c r="AJ3544" s="1"/>
      <c r="AK3544" s="1"/>
      <c r="AL3544" s="1"/>
      <c r="AM3544" s="1"/>
    </row>
    <row r="3545" spans="16:39" x14ac:dyDescent="0.25">
      <c r="P3545" s="49"/>
      <c r="Q3545" s="1"/>
      <c r="S3545" s="1"/>
      <c r="T3545" s="1"/>
      <c r="U3545" s="1"/>
      <c r="V3545" s="1"/>
      <c r="W3545" s="1"/>
      <c r="X3545" s="1"/>
      <c r="Y3545" s="1"/>
      <c r="AB3545" s="1"/>
      <c r="AC3545" s="1"/>
      <c r="AD3545" s="1"/>
      <c r="AE3545" s="1"/>
      <c r="AF3545" s="1"/>
      <c r="AG3545" s="1"/>
      <c r="AH3545" s="1"/>
      <c r="AI3545" s="1"/>
      <c r="AJ3545" s="1"/>
      <c r="AK3545" s="1"/>
      <c r="AL3545" s="1"/>
      <c r="AM3545" s="1"/>
    </row>
    <row r="3546" spans="16:39" x14ac:dyDescent="0.25">
      <c r="P3546" s="49"/>
      <c r="Q3546" s="1"/>
      <c r="S3546" s="1"/>
      <c r="T3546" s="1"/>
      <c r="U3546" s="1"/>
      <c r="V3546" s="1"/>
      <c r="W3546" s="1"/>
      <c r="X3546" s="1"/>
      <c r="Y3546" s="1"/>
      <c r="AB3546" s="1"/>
      <c r="AC3546" s="1"/>
      <c r="AD3546" s="1"/>
      <c r="AE3546" s="1"/>
      <c r="AF3546" s="1"/>
      <c r="AG3546" s="1"/>
      <c r="AH3546" s="1"/>
      <c r="AI3546" s="1"/>
      <c r="AJ3546" s="1"/>
      <c r="AK3546" s="1"/>
      <c r="AL3546" s="1"/>
      <c r="AM3546" s="1"/>
    </row>
    <row r="3547" spans="16:39" x14ac:dyDescent="0.25">
      <c r="P3547" s="49"/>
      <c r="Q3547" s="1"/>
      <c r="S3547" s="1"/>
      <c r="T3547" s="1"/>
      <c r="U3547" s="1"/>
      <c r="V3547" s="1"/>
      <c r="W3547" s="1"/>
      <c r="X3547" s="1"/>
      <c r="Y3547" s="1"/>
      <c r="AB3547" s="1"/>
      <c r="AC3547" s="1"/>
      <c r="AD3547" s="1"/>
      <c r="AE3547" s="1"/>
      <c r="AF3547" s="1"/>
      <c r="AG3547" s="1"/>
      <c r="AH3547" s="1"/>
      <c r="AI3547" s="1"/>
      <c r="AJ3547" s="1"/>
      <c r="AK3547" s="1"/>
      <c r="AL3547" s="1"/>
      <c r="AM3547" s="1"/>
    </row>
    <row r="3548" spans="16:39" x14ac:dyDescent="0.25">
      <c r="P3548" s="49"/>
      <c r="Q3548" s="1"/>
      <c r="S3548" s="1"/>
      <c r="T3548" s="1"/>
      <c r="U3548" s="1"/>
      <c r="V3548" s="1"/>
      <c r="W3548" s="1"/>
      <c r="X3548" s="1"/>
      <c r="Y3548" s="1"/>
      <c r="AB3548" s="1"/>
      <c r="AC3548" s="1"/>
      <c r="AD3548" s="1"/>
      <c r="AE3548" s="1"/>
      <c r="AF3548" s="1"/>
      <c r="AG3548" s="1"/>
      <c r="AH3548" s="1"/>
      <c r="AI3548" s="1"/>
      <c r="AJ3548" s="1"/>
      <c r="AK3548" s="1"/>
      <c r="AL3548" s="1"/>
      <c r="AM3548" s="1"/>
    </row>
    <row r="3549" spans="16:39" x14ac:dyDescent="0.25">
      <c r="P3549" s="49"/>
      <c r="Q3549" s="1"/>
      <c r="S3549" s="1"/>
      <c r="T3549" s="1"/>
      <c r="U3549" s="1"/>
      <c r="V3549" s="1"/>
      <c r="W3549" s="1"/>
      <c r="X3549" s="1"/>
      <c r="Y3549" s="1"/>
      <c r="AB3549" s="1"/>
      <c r="AC3549" s="1"/>
      <c r="AD3549" s="1"/>
      <c r="AE3549" s="1"/>
      <c r="AF3549" s="1"/>
      <c r="AG3549" s="1"/>
      <c r="AH3549" s="1"/>
      <c r="AI3549" s="1"/>
      <c r="AJ3549" s="1"/>
      <c r="AK3549" s="1"/>
      <c r="AL3549" s="1"/>
      <c r="AM3549" s="1"/>
    </row>
    <row r="3550" spans="16:39" x14ac:dyDescent="0.25">
      <c r="P3550" s="49"/>
      <c r="Q3550" s="1"/>
      <c r="S3550" s="1"/>
      <c r="T3550" s="1"/>
      <c r="U3550" s="1"/>
      <c r="V3550" s="1"/>
      <c r="W3550" s="1"/>
      <c r="X3550" s="1"/>
      <c r="Y3550" s="1"/>
      <c r="AB3550" s="1"/>
      <c r="AC3550" s="1"/>
      <c r="AD3550" s="1"/>
      <c r="AE3550" s="1"/>
      <c r="AF3550" s="1"/>
      <c r="AG3550" s="1"/>
      <c r="AH3550" s="1"/>
      <c r="AI3550" s="1"/>
      <c r="AJ3550" s="1"/>
      <c r="AK3550" s="1"/>
      <c r="AL3550" s="1"/>
      <c r="AM3550" s="1"/>
    </row>
    <row r="3551" spans="16:39" x14ac:dyDescent="0.25">
      <c r="P3551" s="49"/>
      <c r="Q3551" s="1"/>
      <c r="S3551" s="1"/>
      <c r="T3551" s="1"/>
      <c r="U3551" s="1"/>
      <c r="V3551" s="1"/>
      <c r="W3551" s="1"/>
      <c r="X3551" s="1"/>
      <c r="Y3551" s="1"/>
      <c r="AB3551" s="1"/>
      <c r="AC3551" s="1"/>
      <c r="AD3551" s="1"/>
      <c r="AE3551" s="1"/>
      <c r="AF3551" s="1"/>
      <c r="AG3551" s="1"/>
      <c r="AH3551" s="1"/>
      <c r="AI3551" s="1"/>
      <c r="AJ3551" s="1"/>
      <c r="AK3551" s="1"/>
      <c r="AL3551" s="1"/>
      <c r="AM3551" s="1"/>
    </row>
    <row r="3552" spans="16:39" x14ac:dyDescent="0.25">
      <c r="P3552" s="49"/>
      <c r="Q3552" s="1"/>
      <c r="S3552" s="1"/>
      <c r="T3552" s="1"/>
      <c r="U3552" s="1"/>
      <c r="V3552" s="1"/>
      <c r="W3552" s="1"/>
      <c r="X3552" s="1"/>
      <c r="Y3552" s="1"/>
      <c r="AB3552" s="1"/>
      <c r="AC3552" s="1"/>
      <c r="AD3552" s="1"/>
      <c r="AE3552" s="1"/>
      <c r="AF3552" s="1"/>
      <c r="AG3552" s="1"/>
      <c r="AH3552" s="1"/>
      <c r="AI3552" s="1"/>
      <c r="AJ3552" s="1"/>
      <c r="AK3552" s="1"/>
      <c r="AL3552" s="1"/>
      <c r="AM3552" s="1"/>
    </row>
    <row r="3553" spans="16:39" x14ac:dyDescent="0.25">
      <c r="P3553" s="49"/>
      <c r="Q3553" s="1"/>
      <c r="S3553" s="1"/>
      <c r="T3553" s="1"/>
      <c r="U3553" s="1"/>
      <c r="V3553" s="1"/>
      <c r="W3553" s="1"/>
      <c r="X3553" s="1"/>
      <c r="Y3553" s="1"/>
      <c r="AB3553" s="1"/>
      <c r="AC3553" s="1"/>
      <c r="AD3553" s="1"/>
      <c r="AE3553" s="1"/>
      <c r="AF3553" s="1"/>
      <c r="AG3553" s="1"/>
      <c r="AH3553" s="1"/>
      <c r="AI3553" s="1"/>
      <c r="AJ3553" s="1"/>
      <c r="AK3553" s="1"/>
      <c r="AL3553" s="1"/>
      <c r="AM3553" s="1"/>
    </row>
    <row r="3554" spans="16:39" x14ac:dyDescent="0.25">
      <c r="P3554" s="49"/>
      <c r="Q3554" s="1"/>
      <c r="S3554" s="1"/>
      <c r="T3554" s="1"/>
      <c r="U3554" s="1"/>
      <c r="V3554" s="1"/>
      <c r="W3554" s="1"/>
      <c r="X3554" s="1"/>
      <c r="Y3554" s="1"/>
      <c r="AB3554" s="1"/>
      <c r="AC3554" s="1"/>
      <c r="AD3554" s="1"/>
      <c r="AE3554" s="1"/>
      <c r="AF3554" s="1"/>
      <c r="AG3554" s="1"/>
      <c r="AH3554" s="1"/>
      <c r="AI3554" s="1"/>
      <c r="AJ3554" s="1"/>
      <c r="AK3554" s="1"/>
      <c r="AL3554" s="1"/>
      <c r="AM3554" s="1"/>
    </row>
    <row r="3555" spans="16:39" x14ac:dyDescent="0.25">
      <c r="P3555" s="49"/>
      <c r="Q3555" s="1"/>
      <c r="S3555" s="1"/>
      <c r="T3555" s="1"/>
      <c r="U3555" s="1"/>
      <c r="V3555" s="1"/>
      <c r="W3555" s="1"/>
      <c r="X3555" s="1"/>
      <c r="Y3555" s="1"/>
      <c r="AB3555" s="1"/>
      <c r="AC3555" s="1"/>
      <c r="AD3555" s="1"/>
      <c r="AE3555" s="1"/>
      <c r="AF3555" s="1"/>
      <c r="AG3555" s="1"/>
      <c r="AH3555" s="1"/>
      <c r="AI3555" s="1"/>
      <c r="AJ3555" s="1"/>
      <c r="AK3555" s="1"/>
      <c r="AL3555" s="1"/>
      <c r="AM3555" s="1"/>
    </row>
    <row r="3556" spans="16:39" x14ac:dyDescent="0.25">
      <c r="P3556" s="49"/>
      <c r="Q3556" s="1"/>
      <c r="S3556" s="1"/>
      <c r="T3556" s="1"/>
      <c r="U3556" s="1"/>
      <c r="V3556" s="1"/>
      <c r="W3556" s="1"/>
      <c r="X3556" s="1"/>
      <c r="Y3556" s="1"/>
      <c r="AB3556" s="1"/>
      <c r="AC3556" s="1"/>
      <c r="AD3556" s="1"/>
      <c r="AE3556" s="1"/>
      <c r="AF3556" s="1"/>
      <c r="AG3556" s="1"/>
      <c r="AH3556" s="1"/>
      <c r="AI3556" s="1"/>
      <c r="AJ3556" s="1"/>
      <c r="AK3556" s="1"/>
      <c r="AL3556" s="1"/>
      <c r="AM3556" s="1"/>
    </row>
    <row r="3557" spans="16:39" x14ac:dyDescent="0.25">
      <c r="P3557" s="49"/>
      <c r="Q3557" s="1"/>
      <c r="S3557" s="1"/>
      <c r="T3557" s="1"/>
      <c r="U3557" s="1"/>
      <c r="V3557" s="1"/>
      <c r="W3557" s="1"/>
      <c r="X3557" s="1"/>
      <c r="Y3557" s="1"/>
      <c r="AB3557" s="1"/>
      <c r="AC3557" s="1"/>
      <c r="AD3557" s="1"/>
      <c r="AE3557" s="1"/>
      <c r="AF3557" s="1"/>
      <c r="AG3557" s="1"/>
      <c r="AH3557" s="1"/>
      <c r="AI3557" s="1"/>
      <c r="AJ3557" s="1"/>
      <c r="AK3557" s="1"/>
      <c r="AL3557" s="1"/>
      <c r="AM3557" s="1"/>
    </row>
    <row r="3558" spans="16:39" x14ac:dyDescent="0.25">
      <c r="P3558" s="49"/>
      <c r="Q3558" s="1"/>
      <c r="S3558" s="1"/>
      <c r="T3558" s="1"/>
      <c r="U3558" s="1"/>
      <c r="V3558" s="1"/>
      <c r="W3558" s="1"/>
      <c r="X3558" s="1"/>
      <c r="Y3558" s="1"/>
      <c r="AB3558" s="1"/>
      <c r="AC3558" s="1"/>
      <c r="AD3558" s="1"/>
      <c r="AE3558" s="1"/>
      <c r="AF3558" s="1"/>
      <c r="AG3558" s="1"/>
      <c r="AH3558" s="1"/>
      <c r="AI3558" s="1"/>
      <c r="AJ3558" s="1"/>
      <c r="AK3558" s="1"/>
      <c r="AL3558" s="1"/>
      <c r="AM3558" s="1"/>
    </row>
    <row r="3559" spans="16:39" x14ac:dyDescent="0.25">
      <c r="P3559" s="49"/>
      <c r="Q3559" s="1"/>
      <c r="S3559" s="1"/>
      <c r="T3559" s="1"/>
      <c r="U3559" s="1"/>
      <c r="V3559" s="1"/>
      <c r="W3559" s="1"/>
      <c r="X3559" s="1"/>
      <c r="Y3559" s="1"/>
      <c r="AB3559" s="1"/>
      <c r="AC3559" s="1"/>
      <c r="AD3559" s="1"/>
      <c r="AE3559" s="1"/>
      <c r="AF3559" s="1"/>
      <c r="AG3559" s="1"/>
      <c r="AH3559" s="1"/>
      <c r="AI3559" s="1"/>
      <c r="AJ3559" s="1"/>
      <c r="AK3559" s="1"/>
      <c r="AL3559" s="1"/>
      <c r="AM3559" s="1"/>
    </row>
    <row r="3560" spans="16:39" x14ac:dyDescent="0.25">
      <c r="P3560" s="49"/>
      <c r="Q3560" s="1"/>
      <c r="S3560" s="1"/>
      <c r="T3560" s="1"/>
      <c r="U3560" s="1"/>
      <c r="V3560" s="1"/>
      <c r="W3560" s="1"/>
      <c r="X3560" s="1"/>
      <c r="Y3560" s="1"/>
      <c r="AB3560" s="1"/>
      <c r="AC3560" s="1"/>
      <c r="AD3560" s="1"/>
      <c r="AE3560" s="1"/>
      <c r="AF3560" s="1"/>
      <c r="AG3560" s="1"/>
      <c r="AH3560" s="1"/>
      <c r="AI3560" s="1"/>
      <c r="AJ3560" s="1"/>
      <c r="AK3560" s="1"/>
      <c r="AL3560" s="1"/>
      <c r="AM3560" s="1"/>
    </row>
    <row r="3561" spans="16:39" x14ac:dyDescent="0.25">
      <c r="P3561" s="49"/>
      <c r="Q3561" s="1"/>
      <c r="S3561" s="1"/>
      <c r="T3561" s="1"/>
      <c r="U3561" s="1"/>
      <c r="V3561" s="1"/>
      <c r="W3561" s="1"/>
      <c r="X3561" s="1"/>
      <c r="Y3561" s="1"/>
      <c r="AB3561" s="1"/>
      <c r="AC3561" s="1"/>
      <c r="AD3561" s="1"/>
      <c r="AE3561" s="1"/>
      <c r="AF3561" s="1"/>
      <c r="AG3561" s="1"/>
      <c r="AH3561" s="1"/>
      <c r="AI3561" s="1"/>
      <c r="AJ3561" s="1"/>
      <c r="AK3561" s="1"/>
      <c r="AL3561" s="1"/>
      <c r="AM3561" s="1"/>
    </row>
    <row r="3562" spans="16:39" x14ac:dyDescent="0.25">
      <c r="P3562" s="49"/>
      <c r="Q3562" s="1"/>
      <c r="S3562" s="1"/>
      <c r="T3562" s="1"/>
      <c r="U3562" s="1"/>
      <c r="V3562" s="1"/>
      <c r="W3562" s="1"/>
      <c r="X3562" s="1"/>
      <c r="Y3562" s="1"/>
      <c r="AB3562" s="1"/>
      <c r="AC3562" s="1"/>
      <c r="AD3562" s="1"/>
      <c r="AE3562" s="1"/>
      <c r="AF3562" s="1"/>
      <c r="AG3562" s="1"/>
      <c r="AH3562" s="1"/>
      <c r="AI3562" s="1"/>
      <c r="AJ3562" s="1"/>
      <c r="AK3562" s="1"/>
      <c r="AL3562" s="1"/>
      <c r="AM3562" s="1"/>
    </row>
    <row r="3563" spans="16:39" x14ac:dyDescent="0.25">
      <c r="P3563" s="49"/>
      <c r="Q3563" s="1"/>
      <c r="S3563" s="1"/>
      <c r="T3563" s="1"/>
      <c r="U3563" s="1"/>
      <c r="V3563" s="1"/>
      <c r="W3563" s="1"/>
      <c r="X3563" s="1"/>
      <c r="Y3563" s="1"/>
      <c r="AB3563" s="1"/>
      <c r="AC3563" s="1"/>
      <c r="AD3563" s="1"/>
      <c r="AE3563" s="1"/>
      <c r="AF3563" s="1"/>
      <c r="AG3563" s="1"/>
      <c r="AH3563" s="1"/>
      <c r="AI3563" s="1"/>
      <c r="AJ3563" s="1"/>
      <c r="AK3563" s="1"/>
      <c r="AL3563" s="1"/>
      <c r="AM3563" s="1"/>
    </row>
    <row r="3564" spans="16:39" x14ac:dyDescent="0.25">
      <c r="P3564" s="49"/>
      <c r="Q3564" s="1"/>
      <c r="S3564" s="1"/>
      <c r="T3564" s="1"/>
      <c r="U3564" s="1"/>
      <c r="V3564" s="1"/>
      <c r="W3564" s="1"/>
      <c r="X3564" s="1"/>
      <c r="Y3564" s="1"/>
      <c r="AB3564" s="1"/>
      <c r="AC3564" s="1"/>
      <c r="AD3564" s="1"/>
      <c r="AE3564" s="1"/>
      <c r="AF3564" s="1"/>
      <c r="AG3564" s="1"/>
      <c r="AH3564" s="1"/>
      <c r="AI3564" s="1"/>
      <c r="AJ3564" s="1"/>
      <c r="AK3564" s="1"/>
      <c r="AL3564" s="1"/>
      <c r="AM3564" s="1"/>
    </row>
    <row r="3565" spans="16:39" x14ac:dyDescent="0.25">
      <c r="P3565" s="49"/>
      <c r="Q3565" s="1"/>
      <c r="S3565" s="1"/>
      <c r="T3565" s="1"/>
      <c r="U3565" s="1"/>
      <c r="V3565" s="1"/>
      <c r="W3565" s="1"/>
      <c r="X3565" s="1"/>
      <c r="Y3565" s="1"/>
      <c r="AB3565" s="1"/>
      <c r="AC3565" s="1"/>
      <c r="AD3565" s="1"/>
      <c r="AE3565" s="1"/>
      <c r="AF3565" s="1"/>
      <c r="AG3565" s="1"/>
      <c r="AH3565" s="1"/>
      <c r="AI3565" s="1"/>
      <c r="AJ3565" s="1"/>
      <c r="AK3565" s="1"/>
      <c r="AL3565" s="1"/>
      <c r="AM3565" s="1"/>
    </row>
    <row r="3566" spans="16:39" x14ac:dyDescent="0.25">
      <c r="P3566" s="49"/>
      <c r="Q3566" s="1"/>
      <c r="S3566" s="1"/>
      <c r="T3566" s="1"/>
      <c r="U3566" s="1"/>
      <c r="V3566" s="1"/>
      <c r="W3566" s="1"/>
      <c r="X3566" s="1"/>
      <c r="Y3566" s="1"/>
      <c r="AB3566" s="1"/>
      <c r="AC3566" s="1"/>
      <c r="AD3566" s="1"/>
      <c r="AE3566" s="1"/>
      <c r="AF3566" s="1"/>
      <c r="AG3566" s="1"/>
      <c r="AH3566" s="1"/>
      <c r="AI3566" s="1"/>
      <c r="AJ3566" s="1"/>
      <c r="AK3566" s="1"/>
      <c r="AL3566" s="1"/>
      <c r="AM3566" s="1"/>
    </row>
    <row r="3567" spans="16:39" x14ac:dyDescent="0.25">
      <c r="P3567" s="49"/>
      <c r="Q3567" s="1"/>
      <c r="S3567" s="1"/>
      <c r="T3567" s="1"/>
      <c r="U3567" s="1"/>
      <c r="V3567" s="1"/>
      <c r="W3567" s="1"/>
      <c r="X3567" s="1"/>
      <c r="Y3567" s="1"/>
      <c r="AB3567" s="1"/>
      <c r="AC3567" s="1"/>
      <c r="AD3567" s="1"/>
      <c r="AE3567" s="1"/>
      <c r="AF3567" s="1"/>
      <c r="AG3567" s="1"/>
      <c r="AH3567" s="1"/>
      <c r="AI3567" s="1"/>
      <c r="AJ3567" s="1"/>
      <c r="AK3567" s="1"/>
      <c r="AL3567" s="1"/>
      <c r="AM3567" s="1"/>
    </row>
    <row r="3568" spans="16:39" x14ac:dyDescent="0.25">
      <c r="P3568" s="49"/>
      <c r="Q3568" s="1"/>
      <c r="S3568" s="1"/>
      <c r="T3568" s="1"/>
      <c r="U3568" s="1"/>
      <c r="V3568" s="1"/>
      <c r="W3568" s="1"/>
      <c r="X3568" s="1"/>
      <c r="Y3568" s="1"/>
      <c r="AB3568" s="1"/>
      <c r="AC3568" s="1"/>
      <c r="AD3568" s="1"/>
      <c r="AE3568" s="1"/>
      <c r="AF3568" s="1"/>
      <c r="AG3568" s="1"/>
      <c r="AH3568" s="1"/>
      <c r="AI3568" s="1"/>
      <c r="AJ3568" s="1"/>
      <c r="AK3568" s="1"/>
      <c r="AL3568" s="1"/>
      <c r="AM3568" s="1"/>
    </row>
    <row r="3569" spans="16:39" x14ac:dyDescent="0.25">
      <c r="P3569" s="49"/>
      <c r="Q3569" s="1"/>
      <c r="S3569" s="1"/>
      <c r="T3569" s="1"/>
      <c r="U3569" s="1"/>
      <c r="V3569" s="1"/>
      <c r="W3569" s="1"/>
      <c r="X3569" s="1"/>
      <c r="Y3569" s="1"/>
      <c r="AB3569" s="1"/>
      <c r="AC3569" s="1"/>
      <c r="AD3569" s="1"/>
      <c r="AE3569" s="1"/>
      <c r="AF3569" s="1"/>
      <c r="AG3569" s="1"/>
      <c r="AH3569" s="1"/>
      <c r="AI3569" s="1"/>
      <c r="AJ3569" s="1"/>
      <c r="AK3569" s="1"/>
      <c r="AL3569" s="1"/>
      <c r="AM3569" s="1"/>
    </row>
    <row r="3570" spans="16:39" x14ac:dyDescent="0.25">
      <c r="P3570" s="49"/>
      <c r="Q3570" s="1"/>
      <c r="S3570" s="1"/>
      <c r="T3570" s="1"/>
      <c r="U3570" s="1"/>
      <c r="V3570" s="1"/>
      <c r="W3570" s="1"/>
      <c r="X3570" s="1"/>
      <c r="Y3570" s="1"/>
      <c r="AB3570" s="1"/>
      <c r="AC3570" s="1"/>
      <c r="AD3570" s="1"/>
      <c r="AE3570" s="1"/>
      <c r="AF3570" s="1"/>
      <c r="AG3570" s="1"/>
      <c r="AH3570" s="1"/>
      <c r="AI3570" s="1"/>
      <c r="AJ3570" s="1"/>
      <c r="AK3570" s="1"/>
      <c r="AL3570" s="1"/>
      <c r="AM3570" s="1"/>
    </row>
    <row r="3571" spans="16:39" x14ac:dyDescent="0.25">
      <c r="P3571" s="49"/>
      <c r="Q3571" s="1"/>
      <c r="S3571" s="1"/>
      <c r="T3571" s="1"/>
      <c r="U3571" s="1"/>
      <c r="V3571" s="1"/>
      <c r="W3571" s="1"/>
      <c r="X3571" s="1"/>
      <c r="Y3571" s="1"/>
      <c r="AB3571" s="1"/>
      <c r="AC3571" s="1"/>
      <c r="AD3571" s="1"/>
      <c r="AE3571" s="1"/>
      <c r="AF3571" s="1"/>
      <c r="AG3571" s="1"/>
      <c r="AH3571" s="1"/>
      <c r="AI3571" s="1"/>
      <c r="AJ3571" s="1"/>
      <c r="AK3571" s="1"/>
      <c r="AL3571" s="1"/>
      <c r="AM3571" s="1"/>
    </row>
    <row r="3572" spans="16:39" x14ac:dyDescent="0.25">
      <c r="P3572" s="49"/>
      <c r="Q3572" s="1"/>
      <c r="S3572" s="1"/>
      <c r="T3572" s="1"/>
      <c r="U3572" s="1"/>
      <c r="V3572" s="1"/>
      <c r="W3572" s="1"/>
      <c r="X3572" s="1"/>
      <c r="Y3572" s="1"/>
      <c r="AB3572" s="1"/>
      <c r="AC3572" s="1"/>
      <c r="AD3572" s="1"/>
      <c r="AE3572" s="1"/>
      <c r="AF3572" s="1"/>
      <c r="AG3572" s="1"/>
      <c r="AH3572" s="1"/>
      <c r="AI3572" s="1"/>
      <c r="AJ3572" s="1"/>
      <c r="AK3572" s="1"/>
      <c r="AL3572" s="1"/>
      <c r="AM3572" s="1"/>
    </row>
    <row r="3573" spans="16:39" x14ac:dyDescent="0.25">
      <c r="P3573" s="49"/>
      <c r="Q3573" s="1"/>
      <c r="S3573" s="1"/>
      <c r="T3573" s="1"/>
      <c r="U3573" s="1"/>
      <c r="V3573" s="1"/>
      <c r="W3573" s="1"/>
      <c r="X3573" s="1"/>
      <c r="Y3573" s="1"/>
      <c r="AB3573" s="1"/>
      <c r="AC3573" s="1"/>
      <c r="AD3573" s="1"/>
      <c r="AE3573" s="1"/>
      <c r="AF3573" s="1"/>
      <c r="AG3573" s="1"/>
      <c r="AH3573" s="1"/>
      <c r="AI3573" s="1"/>
      <c r="AJ3573" s="1"/>
      <c r="AK3573" s="1"/>
      <c r="AL3573" s="1"/>
      <c r="AM3573" s="1"/>
    </row>
    <row r="3574" spans="16:39" x14ac:dyDescent="0.25">
      <c r="P3574" s="49"/>
      <c r="Q3574" s="1"/>
      <c r="S3574" s="1"/>
      <c r="T3574" s="1"/>
      <c r="U3574" s="1"/>
      <c r="V3574" s="1"/>
      <c r="W3574" s="1"/>
      <c r="X3574" s="1"/>
      <c r="Y3574" s="1"/>
      <c r="AB3574" s="1"/>
      <c r="AC3574" s="1"/>
      <c r="AD3574" s="1"/>
      <c r="AE3574" s="1"/>
      <c r="AF3574" s="1"/>
      <c r="AG3574" s="1"/>
      <c r="AH3574" s="1"/>
      <c r="AI3574" s="1"/>
      <c r="AJ3574" s="1"/>
      <c r="AK3574" s="1"/>
      <c r="AL3574" s="1"/>
      <c r="AM3574" s="1"/>
    </row>
    <row r="3575" spans="16:39" x14ac:dyDescent="0.25">
      <c r="P3575" s="49"/>
      <c r="Q3575" s="1"/>
      <c r="S3575" s="1"/>
      <c r="T3575" s="1"/>
      <c r="U3575" s="1"/>
      <c r="V3575" s="1"/>
      <c r="W3575" s="1"/>
      <c r="X3575" s="1"/>
      <c r="Y3575" s="1"/>
      <c r="AB3575" s="1"/>
      <c r="AC3575" s="1"/>
      <c r="AD3575" s="1"/>
      <c r="AE3575" s="1"/>
      <c r="AF3575" s="1"/>
      <c r="AG3575" s="1"/>
      <c r="AH3575" s="1"/>
      <c r="AI3575" s="1"/>
      <c r="AJ3575" s="1"/>
      <c r="AK3575" s="1"/>
      <c r="AL3575" s="1"/>
      <c r="AM3575" s="1"/>
    </row>
    <row r="3576" spans="16:39" x14ac:dyDescent="0.25">
      <c r="P3576" s="49"/>
      <c r="Q3576" s="1"/>
      <c r="S3576" s="1"/>
      <c r="T3576" s="1"/>
      <c r="U3576" s="1"/>
      <c r="V3576" s="1"/>
      <c r="W3576" s="1"/>
      <c r="X3576" s="1"/>
      <c r="Y3576" s="1"/>
      <c r="AB3576" s="1"/>
      <c r="AC3576" s="1"/>
      <c r="AD3576" s="1"/>
      <c r="AE3576" s="1"/>
      <c r="AF3576" s="1"/>
      <c r="AG3576" s="1"/>
      <c r="AH3576" s="1"/>
      <c r="AI3576" s="1"/>
      <c r="AJ3576" s="1"/>
      <c r="AK3576" s="1"/>
      <c r="AL3576" s="1"/>
      <c r="AM3576" s="1"/>
    </row>
    <row r="3577" spans="16:39" x14ac:dyDescent="0.25">
      <c r="P3577" s="49"/>
      <c r="Q3577" s="1"/>
      <c r="S3577" s="1"/>
      <c r="T3577" s="1"/>
      <c r="U3577" s="1"/>
      <c r="V3577" s="1"/>
      <c r="W3577" s="1"/>
      <c r="X3577" s="1"/>
      <c r="Y3577" s="1"/>
      <c r="AB3577" s="1"/>
      <c r="AC3577" s="1"/>
      <c r="AD3577" s="1"/>
      <c r="AE3577" s="1"/>
      <c r="AF3577" s="1"/>
      <c r="AG3577" s="1"/>
      <c r="AH3577" s="1"/>
      <c r="AI3577" s="1"/>
      <c r="AJ3577" s="1"/>
      <c r="AK3577" s="1"/>
      <c r="AL3577" s="1"/>
      <c r="AM3577" s="1"/>
    </row>
    <row r="3578" spans="16:39" x14ac:dyDescent="0.25">
      <c r="P3578" s="49"/>
      <c r="Q3578" s="1"/>
      <c r="S3578" s="1"/>
      <c r="T3578" s="1"/>
      <c r="U3578" s="1"/>
      <c r="V3578" s="1"/>
      <c r="W3578" s="1"/>
      <c r="X3578" s="1"/>
      <c r="Y3578" s="1"/>
      <c r="AB3578" s="1"/>
      <c r="AC3578" s="1"/>
      <c r="AD3578" s="1"/>
      <c r="AE3578" s="1"/>
      <c r="AF3578" s="1"/>
      <c r="AG3578" s="1"/>
      <c r="AH3578" s="1"/>
      <c r="AI3578" s="1"/>
      <c r="AJ3578" s="1"/>
      <c r="AK3578" s="1"/>
      <c r="AL3578" s="1"/>
      <c r="AM3578" s="1"/>
    </row>
    <row r="3579" spans="16:39" x14ac:dyDescent="0.25">
      <c r="P3579" s="49"/>
      <c r="Q3579" s="1"/>
      <c r="S3579" s="1"/>
      <c r="T3579" s="1"/>
      <c r="U3579" s="1"/>
      <c r="V3579" s="1"/>
      <c r="W3579" s="1"/>
      <c r="X3579" s="1"/>
      <c r="Y3579" s="1"/>
      <c r="AB3579" s="1"/>
      <c r="AC3579" s="1"/>
      <c r="AD3579" s="1"/>
      <c r="AE3579" s="1"/>
      <c r="AF3579" s="1"/>
      <c r="AG3579" s="1"/>
      <c r="AH3579" s="1"/>
      <c r="AI3579" s="1"/>
      <c r="AJ3579" s="1"/>
      <c r="AK3579" s="1"/>
      <c r="AL3579" s="1"/>
      <c r="AM3579" s="1"/>
    </row>
    <row r="3580" spans="16:39" x14ac:dyDescent="0.25">
      <c r="P3580" s="49"/>
      <c r="Q3580" s="1"/>
      <c r="S3580" s="1"/>
      <c r="T3580" s="1"/>
      <c r="U3580" s="1"/>
      <c r="V3580" s="1"/>
      <c r="W3580" s="1"/>
      <c r="X3580" s="1"/>
      <c r="Y3580" s="1"/>
      <c r="AB3580" s="1"/>
      <c r="AC3580" s="1"/>
      <c r="AD3580" s="1"/>
      <c r="AE3580" s="1"/>
      <c r="AF3580" s="1"/>
      <c r="AG3580" s="1"/>
      <c r="AH3580" s="1"/>
      <c r="AI3580" s="1"/>
      <c r="AJ3580" s="1"/>
      <c r="AK3580" s="1"/>
      <c r="AL3580" s="1"/>
      <c r="AM3580" s="1"/>
    </row>
    <row r="3581" spans="16:39" x14ac:dyDescent="0.25">
      <c r="P3581" s="49"/>
      <c r="Q3581" s="1"/>
      <c r="S3581" s="1"/>
      <c r="T3581" s="1"/>
      <c r="U3581" s="1"/>
      <c r="V3581" s="1"/>
      <c r="W3581" s="1"/>
      <c r="X3581" s="1"/>
      <c r="Y3581" s="1"/>
      <c r="AB3581" s="1"/>
      <c r="AC3581" s="1"/>
      <c r="AD3581" s="1"/>
      <c r="AE3581" s="1"/>
      <c r="AF3581" s="1"/>
      <c r="AG3581" s="1"/>
      <c r="AH3581" s="1"/>
      <c r="AI3581" s="1"/>
      <c r="AJ3581" s="1"/>
      <c r="AK3581" s="1"/>
      <c r="AL3581" s="1"/>
      <c r="AM3581" s="1"/>
    </row>
    <row r="3582" spans="16:39" x14ac:dyDescent="0.25">
      <c r="P3582" s="49"/>
      <c r="Q3582" s="1"/>
      <c r="S3582" s="1"/>
      <c r="T3582" s="1"/>
      <c r="U3582" s="1"/>
      <c r="V3582" s="1"/>
      <c r="W3582" s="1"/>
      <c r="X3582" s="1"/>
      <c r="Y3582" s="1"/>
      <c r="AB3582" s="1"/>
      <c r="AC3582" s="1"/>
      <c r="AD3582" s="1"/>
      <c r="AE3582" s="1"/>
      <c r="AF3582" s="1"/>
      <c r="AG3582" s="1"/>
      <c r="AH3582" s="1"/>
      <c r="AI3582" s="1"/>
      <c r="AJ3582" s="1"/>
      <c r="AK3582" s="1"/>
      <c r="AL3582" s="1"/>
      <c r="AM3582" s="1"/>
    </row>
    <row r="3583" spans="16:39" x14ac:dyDescent="0.25">
      <c r="P3583" s="49"/>
      <c r="Q3583" s="1"/>
      <c r="S3583" s="1"/>
      <c r="T3583" s="1"/>
      <c r="U3583" s="1"/>
      <c r="V3583" s="1"/>
      <c r="W3583" s="1"/>
      <c r="X3583" s="1"/>
      <c r="Y3583" s="1"/>
      <c r="AB3583" s="1"/>
      <c r="AC3583" s="1"/>
      <c r="AD3583" s="1"/>
      <c r="AE3583" s="1"/>
      <c r="AF3583" s="1"/>
      <c r="AG3583" s="1"/>
      <c r="AH3583" s="1"/>
      <c r="AI3583" s="1"/>
      <c r="AJ3583" s="1"/>
      <c r="AK3583" s="1"/>
      <c r="AL3583" s="1"/>
      <c r="AM3583" s="1"/>
    </row>
    <row r="3584" spans="16:39" x14ac:dyDescent="0.25">
      <c r="P3584" s="49"/>
      <c r="Q3584" s="1"/>
      <c r="S3584" s="1"/>
      <c r="T3584" s="1"/>
      <c r="U3584" s="1"/>
      <c r="V3584" s="1"/>
      <c r="W3584" s="1"/>
      <c r="X3584" s="1"/>
      <c r="Y3584" s="1"/>
      <c r="AB3584" s="1"/>
      <c r="AC3584" s="1"/>
      <c r="AD3584" s="1"/>
      <c r="AE3584" s="1"/>
      <c r="AF3584" s="1"/>
      <c r="AG3584" s="1"/>
      <c r="AH3584" s="1"/>
      <c r="AI3584" s="1"/>
      <c r="AJ3584" s="1"/>
      <c r="AK3584" s="1"/>
      <c r="AL3584" s="1"/>
      <c r="AM3584" s="1"/>
    </row>
    <row r="3585" spans="16:39" x14ac:dyDescent="0.25">
      <c r="P3585" s="49"/>
      <c r="Q3585" s="1"/>
      <c r="S3585" s="1"/>
      <c r="T3585" s="1"/>
      <c r="U3585" s="1"/>
      <c r="V3585" s="1"/>
      <c r="W3585" s="1"/>
      <c r="X3585" s="1"/>
      <c r="Y3585" s="1"/>
      <c r="AB3585" s="1"/>
      <c r="AC3585" s="1"/>
      <c r="AD3585" s="1"/>
      <c r="AE3585" s="1"/>
      <c r="AF3585" s="1"/>
      <c r="AG3585" s="1"/>
      <c r="AH3585" s="1"/>
      <c r="AI3585" s="1"/>
      <c r="AJ3585" s="1"/>
      <c r="AK3585" s="1"/>
      <c r="AL3585" s="1"/>
      <c r="AM3585" s="1"/>
    </row>
    <row r="3586" spans="16:39" x14ac:dyDescent="0.25">
      <c r="P3586" s="49"/>
      <c r="Q3586" s="1"/>
      <c r="S3586" s="1"/>
      <c r="T3586" s="1"/>
      <c r="U3586" s="1"/>
      <c r="V3586" s="1"/>
      <c r="W3586" s="1"/>
      <c r="X3586" s="1"/>
      <c r="Y3586" s="1"/>
      <c r="AB3586" s="1"/>
      <c r="AC3586" s="1"/>
      <c r="AD3586" s="1"/>
      <c r="AE3586" s="1"/>
      <c r="AF3586" s="1"/>
      <c r="AG3586" s="1"/>
      <c r="AH3586" s="1"/>
      <c r="AI3586" s="1"/>
      <c r="AJ3586" s="1"/>
      <c r="AK3586" s="1"/>
      <c r="AL3586" s="1"/>
      <c r="AM3586" s="1"/>
    </row>
    <row r="3587" spans="16:39" x14ac:dyDescent="0.25">
      <c r="P3587" s="49"/>
      <c r="Q3587" s="1"/>
      <c r="S3587" s="1"/>
      <c r="T3587" s="1"/>
      <c r="U3587" s="1"/>
      <c r="V3587" s="1"/>
      <c r="W3587" s="1"/>
      <c r="X3587" s="1"/>
      <c r="Y3587" s="1"/>
      <c r="AB3587" s="1"/>
      <c r="AC3587" s="1"/>
      <c r="AD3587" s="1"/>
      <c r="AE3587" s="1"/>
      <c r="AF3587" s="1"/>
      <c r="AG3587" s="1"/>
      <c r="AH3587" s="1"/>
      <c r="AI3587" s="1"/>
      <c r="AJ3587" s="1"/>
      <c r="AK3587" s="1"/>
      <c r="AL3587" s="1"/>
      <c r="AM3587" s="1"/>
    </row>
    <row r="3588" spans="16:39" x14ac:dyDescent="0.25">
      <c r="P3588" s="49"/>
      <c r="Q3588" s="1"/>
      <c r="S3588" s="1"/>
      <c r="T3588" s="1"/>
      <c r="U3588" s="1"/>
      <c r="V3588" s="1"/>
      <c r="W3588" s="1"/>
      <c r="X3588" s="1"/>
      <c r="Y3588" s="1"/>
      <c r="AB3588" s="1"/>
      <c r="AC3588" s="1"/>
      <c r="AD3588" s="1"/>
      <c r="AE3588" s="1"/>
      <c r="AF3588" s="1"/>
      <c r="AG3588" s="1"/>
      <c r="AH3588" s="1"/>
      <c r="AI3588" s="1"/>
      <c r="AJ3588" s="1"/>
      <c r="AK3588" s="1"/>
      <c r="AL3588" s="1"/>
      <c r="AM3588" s="1"/>
    </row>
    <row r="3589" spans="16:39" x14ac:dyDescent="0.25">
      <c r="P3589" s="49"/>
      <c r="Q3589" s="1"/>
      <c r="S3589" s="1"/>
      <c r="T3589" s="1"/>
      <c r="U3589" s="1"/>
      <c r="V3589" s="1"/>
      <c r="W3589" s="1"/>
      <c r="X3589" s="1"/>
      <c r="Y3589" s="1"/>
      <c r="AB3589" s="1"/>
      <c r="AC3589" s="1"/>
      <c r="AD3589" s="1"/>
      <c r="AE3589" s="1"/>
      <c r="AF3589" s="1"/>
      <c r="AG3589" s="1"/>
      <c r="AH3589" s="1"/>
      <c r="AI3589" s="1"/>
      <c r="AJ3589" s="1"/>
      <c r="AK3589" s="1"/>
      <c r="AL3589" s="1"/>
      <c r="AM3589" s="1"/>
    </row>
    <row r="3590" spans="16:39" x14ac:dyDescent="0.25">
      <c r="P3590" s="49"/>
      <c r="Q3590" s="1"/>
      <c r="S3590" s="1"/>
      <c r="T3590" s="1"/>
      <c r="U3590" s="1"/>
      <c r="V3590" s="1"/>
      <c r="W3590" s="1"/>
      <c r="X3590" s="1"/>
      <c r="Y3590" s="1"/>
      <c r="AB3590" s="1"/>
      <c r="AC3590" s="1"/>
      <c r="AD3590" s="1"/>
      <c r="AE3590" s="1"/>
      <c r="AF3590" s="1"/>
      <c r="AG3590" s="1"/>
      <c r="AH3590" s="1"/>
      <c r="AI3590" s="1"/>
      <c r="AJ3590" s="1"/>
      <c r="AK3590" s="1"/>
      <c r="AL3590" s="1"/>
      <c r="AM3590" s="1"/>
    </row>
    <row r="3591" spans="16:39" x14ac:dyDescent="0.25">
      <c r="P3591" s="49"/>
      <c r="Q3591" s="1"/>
      <c r="S3591" s="1"/>
      <c r="T3591" s="1"/>
      <c r="U3591" s="1"/>
      <c r="V3591" s="1"/>
      <c r="W3591" s="1"/>
      <c r="X3591" s="1"/>
      <c r="Y3591" s="1"/>
      <c r="AB3591" s="1"/>
      <c r="AC3591" s="1"/>
      <c r="AD3591" s="1"/>
      <c r="AE3591" s="1"/>
      <c r="AF3591" s="1"/>
      <c r="AG3591" s="1"/>
      <c r="AH3591" s="1"/>
      <c r="AI3591" s="1"/>
      <c r="AJ3591" s="1"/>
      <c r="AK3591" s="1"/>
      <c r="AL3591" s="1"/>
      <c r="AM3591" s="1"/>
    </row>
    <row r="3592" spans="16:39" x14ac:dyDescent="0.25">
      <c r="P3592" s="49"/>
      <c r="Q3592" s="1"/>
      <c r="S3592" s="1"/>
      <c r="T3592" s="1"/>
      <c r="U3592" s="1"/>
      <c r="V3592" s="1"/>
      <c r="W3592" s="1"/>
      <c r="X3592" s="1"/>
      <c r="Y3592" s="1"/>
      <c r="AB3592" s="1"/>
      <c r="AC3592" s="1"/>
      <c r="AD3592" s="1"/>
      <c r="AE3592" s="1"/>
      <c r="AF3592" s="1"/>
      <c r="AG3592" s="1"/>
      <c r="AH3592" s="1"/>
      <c r="AI3592" s="1"/>
      <c r="AJ3592" s="1"/>
      <c r="AK3592" s="1"/>
      <c r="AL3592" s="1"/>
      <c r="AM3592" s="1"/>
    </row>
    <row r="3593" spans="16:39" x14ac:dyDescent="0.25">
      <c r="P3593" s="49"/>
      <c r="Q3593" s="1"/>
      <c r="S3593" s="1"/>
      <c r="T3593" s="1"/>
      <c r="U3593" s="1"/>
      <c r="V3593" s="1"/>
      <c r="W3593" s="1"/>
      <c r="X3593" s="1"/>
      <c r="Y3593" s="1"/>
      <c r="AB3593" s="1"/>
      <c r="AC3593" s="1"/>
      <c r="AD3593" s="1"/>
      <c r="AE3593" s="1"/>
      <c r="AF3593" s="1"/>
      <c r="AG3593" s="1"/>
      <c r="AH3593" s="1"/>
      <c r="AI3593" s="1"/>
      <c r="AJ3593" s="1"/>
      <c r="AK3593" s="1"/>
      <c r="AL3593" s="1"/>
      <c r="AM3593" s="1"/>
    </row>
    <row r="3594" spans="16:39" x14ac:dyDescent="0.25">
      <c r="P3594" s="49"/>
      <c r="Q3594" s="1"/>
      <c r="S3594" s="1"/>
      <c r="T3594" s="1"/>
      <c r="U3594" s="1"/>
      <c r="V3594" s="1"/>
      <c r="W3594" s="1"/>
      <c r="X3594" s="1"/>
      <c r="Y3594" s="1"/>
      <c r="AB3594" s="1"/>
      <c r="AC3594" s="1"/>
      <c r="AD3594" s="1"/>
      <c r="AE3594" s="1"/>
      <c r="AF3594" s="1"/>
      <c r="AG3594" s="1"/>
      <c r="AH3594" s="1"/>
      <c r="AI3594" s="1"/>
      <c r="AJ3594" s="1"/>
      <c r="AK3594" s="1"/>
      <c r="AL3594" s="1"/>
      <c r="AM3594" s="1"/>
    </row>
    <row r="3595" spans="16:39" x14ac:dyDescent="0.25">
      <c r="P3595" s="49"/>
      <c r="Q3595" s="1"/>
      <c r="S3595" s="1"/>
      <c r="T3595" s="1"/>
      <c r="U3595" s="1"/>
      <c r="V3595" s="1"/>
      <c r="W3595" s="1"/>
      <c r="X3595" s="1"/>
      <c r="Y3595" s="1"/>
      <c r="AB3595" s="1"/>
      <c r="AC3595" s="1"/>
      <c r="AD3595" s="1"/>
      <c r="AE3595" s="1"/>
      <c r="AF3595" s="1"/>
      <c r="AG3595" s="1"/>
      <c r="AH3595" s="1"/>
      <c r="AI3595" s="1"/>
      <c r="AJ3595" s="1"/>
      <c r="AK3595" s="1"/>
      <c r="AL3595" s="1"/>
      <c r="AM3595" s="1"/>
    </row>
    <row r="3596" spans="16:39" x14ac:dyDescent="0.25">
      <c r="P3596" s="49"/>
      <c r="Q3596" s="1"/>
      <c r="S3596" s="1"/>
      <c r="T3596" s="1"/>
      <c r="U3596" s="1"/>
      <c r="V3596" s="1"/>
      <c r="W3596" s="1"/>
      <c r="X3596" s="1"/>
      <c r="Y3596" s="1"/>
      <c r="AB3596" s="1"/>
      <c r="AC3596" s="1"/>
      <c r="AD3596" s="1"/>
      <c r="AE3596" s="1"/>
      <c r="AF3596" s="1"/>
      <c r="AG3596" s="1"/>
      <c r="AH3596" s="1"/>
      <c r="AI3596" s="1"/>
      <c r="AJ3596" s="1"/>
      <c r="AK3596" s="1"/>
      <c r="AL3596" s="1"/>
      <c r="AM3596" s="1"/>
    </row>
    <row r="3597" spans="16:39" x14ac:dyDescent="0.25">
      <c r="P3597" s="49"/>
      <c r="Q3597" s="1"/>
      <c r="S3597" s="1"/>
      <c r="T3597" s="1"/>
      <c r="U3597" s="1"/>
      <c r="V3597" s="1"/>
      <c r="W3597" s="1"/>
      <c r="X3597" s="1"/>
      <c r="Y3597" s="1"/>
      <c r="AB3597" s="1"/>
      <c r="AC3597" s="1"/>
      <c r="AD3597" s="1"/>
      <c r="AE3597" s="1"/>
      <c r="AF3597" s="1"/>
      <c r="AG3597" s="1"/>
      <c r="AH3597" s="1"/>
      <c r="AI3597" s="1"/>
      <c r="AJ3597" s="1"/>
      <c r="AK3597" s="1"/>
      <c r="AL3597" s="1"/>
      <c r="AM3597" s="1"/>
    </row>
    <row r="3598" spans="16:39" x14ac:dyDescent="0.25">
      <c r="P3598" s="49"/>
      <c r="Q3598" s="1"/>
      <c r="S3598" s="1"/>
      <c r="T3598" s="1"/>
      <c r="U3598" s="1"/>
      <c r="V3598" s="1"/>
      <c r="W3598" s="1"/>
      <c r="X3598" s="1"/>
      <c r="Y3598" s="1"/>
      <c r="AB3598" s="1"/>
      <c r="AC3598" s="1"/>
      <c r="AD3598" s="1"/>
      <c r="AE3598" s="1"/>
      <c r="AF3598" s="1"/>
      <c r="AG3598" s="1"/>
      <c r="AH3598" s="1"/>
      <c r="AI3598" s="1"/>
      <c r="AJ3598" s="1"/>
      <c r="AK3598" s="1"/>
      <c r="AL3598" s="1"/>
      <c r="AM3598" s="1"/>
    </row>
    <row r="3599" spans="16:39" x14ac:dyDescent="0.25">
      <c r="P3599" s="49"/>
      <c r="Q3599" s="1"/>
      <c r="S3599" s="1"/>
      <c r="T3599" s="1"/>
      <c r="U3599" s="1"/>
      <c r="V3599" s="1"/>
      <c r="W3599" s="1"/>
      <c r="X3599" s="1"/>
      <c r="Y3599" s="1"/>
      <c r="AB3599" s="1"/>
      <c r="AC3599" s="1"/>
      <c r="AD3599" s="1"/>
      <c r="AE3599" s="1"/>
      <c r="AF3599" s="1"/>
      <c r="AG3599" s="1"/>
      <c r="AH3599" s="1"/>
      <c r="AI3599" s="1"/>
      <c r="AJ3599" s="1"/>
      <c r="AK3599" s="1"/>
      <c r="AL3599" s="1"/>
      <c r="AM3599" s="1"/>
    </row>
    <row r="3600" spans="16:39" x14ac:dyDescent="0.25">
      <c r="P3600" s="49"/>
      <c r="Q3600" s="1"/>
      <c r="S3600" s="1"/>
      <c r="T3600" s="1"/>
      <c r="U3600" s="1"/>
      <c r="V3600" s="1"/>
      <c r="W3600" s="1"/>
      <c r="X3600" s="1"/>
      <c r="Y3600" s="1"/>
      <c r="AB3600" s="1"/>
      <c r="AC3600" s="1"/>
      <c r="AD3600" s="1"/>
      <c r="AE3600" s="1"/>
      <c r="AF3600" s="1"/>
      <c r="AG3600" s="1"/>
      <c r="AH3600" s="1"/>
      <c r="AI3600" s="1"/>
      <c r="AJ3600" s="1"/>
      <c r="AK3600" s="1"/>
      <c r="AL3600" s="1"/>
      <c r="AM3600" s="1"/>
    </row>
    <row r="3601" spans="16:39" x14ac:dyDescent="0.25">
      <c r="P3601" s="49"/>
      <c r="Q3601" s="1"/>
      <c r="S3601" s="1"/>
      <c r="T3601" s="1"/>
      <c r="U3601" s="1"/>
      <c r="V3601" s="1"/>
      <c r="W3601" s="1"/>
      <c r="X3601" s="1"/>
      <c r="Y3601" s="1"/>
      <c r="AB3601" s="1"/>
      <c r="AC3601" s="1"/>
      <c r="AD3601" s="1"/>
      <c r="AE3601" s="1"/>
      <c r="AF3601" s="1"/>
      <c r="AG3601" s="1"/>
      <c r="AH3601" s="1"/>
      <c r="AI3601" s="1"/>
      <c r="AJ3601" s="1"/>
      <c r="AK3601" s="1"/>
      <c r="AL3601" s="1"/>
      <c r="AM3601" s="1"/>
    </row>
    <row r="3602" spans="16:39" x14ac:dyDescent="0.25">
      <c r="P3602" s="49"/>
      <c r="Q3602" s="1"/>
      <c r="S3602" s="1"/>
      <c r="T3602" s="1"/>
      <c r="U3602" s="1"/>
      <c r="V3602" s="1"/>
      <c r="W3602" s="1"/>
      <c r="X3602" s="1"/>
      <c r="Y3602" s="1"/>
      <c r="AB3602" s="1"/>
      <c r="AC3602" s="1"/>
      <c r="AD3602" s="1"/>
      <c r="AE3602" s="1"/>
      <c r="AF3602" s="1"/>
      <c r="AG3602" s="1"/>
      <c r="AH3602" s="1"/>
      <c r="AI3602" s="1"/>
      <c r="AJ3602" s="1"/>
      <c r="AK3602" s="1"/>
      <c r="AL3602" s="1"/>
      <c r="AM3602" s="1"/>
    </row>
    <row r="3603" spans="16:39" x14ac:dyDescent="0.25">
      <c r="P3603" s="49"/>
      <c r="Q3603" s="1"/>
      <c r="S3603" s="1"/>
      <c r="T3603" s="1"/>
      <c r="U3603" s="1"/>
      <c r="V3603" s="1"/>
      <c r="W3603" s="1"/>
      <c r="X3603" s="1"/>
      <c r="Y3603" s="1"/>
      <c r="AB3603" s="1"/>
      <c r="AC3603" s="1"/>
      <c r="AD3603" s="1"/>
      <c r="AE3603" s="1"/>
      <c r="AF3603" s="1"/>
      <c r="AG3603" s="1"/>
      <c r="AH3603" s="1"/>
      <c r="AI3603" s="1"/>
      <c r="AJ3603" s="1"/>
      <c r="AK3603" s="1"/>
      <c r="AL3603" s="1"/>
      <c r="AM3603" s="1"/>
    </row>
    <row r="3604" spans="16:39" x14ac:dyDescent="0.25">
      <c r="P3604" s="49"/>
      <c r="Q3604" s="1"/>
      <c r="S3604" s="1"/>
      <c r="T3604" s="1"/>
      <c r="U3604" s="1"/>
      <c r="V3604" s="1"/>
      <c r="W3604" s="1"/>
      <c r="X3604" s="1"/>
      <c r="Y3604" s="1"/>
      <c r="AB3604" s="1"/>
      <c r="AC3604" s="1"/>
      <c r="AD3604" s="1"/>
      <c r="AE3604" s="1"/>
      <c r="AF3604" s="1"/>
      <c r="AG3604" s="1"/>
      <c r="AH3604" s="1"/>
      <c r="AI3604" s="1"/>
      <c r="AJ3604" s="1"/>
      <c r="AK3604" s="1"/>
      <c r="AL3604" s="1"/>
      <c r="AM3604" s="1"/>
    </row>
    <row r="3605" spans="16:39" x14ac:dyDescent="0.25">
      <c r="P3605" s="49"/>
      <c r="Q3605" s="1"/>
      <c r="S3605" s="1"/>
      <c r="T3605" s="1"/>
      <c r="U3605" s="1"/>
      <c r="V3605" s="1"/>
      <c r="W3605" s="1"/>
      <c r="X3605" s="1"/>
      <c r="Y3605" s="1"/>
      <c r="AB3605" s="1"/>
      <c r="AC3605" s="1"/>
      <c r="AD3605" s="1"/>
      <c r="AE3605" s="1"/>
      <c r="AF3605" s="1"/>
      <c r="AG3605" s="1"/>
      <c r="AH3605" s="1"/>
      <c r="AI3605" s="1"/>
      <c r="AJ3605" s="1"/>
      <c r="AK3605" s="1"/>
      <c r="AL3605" s="1"/>
      <c r="AM3605" s="1"/>
    </row>
    <row r="3606" spans="16:39" x14ac:dyDescent="0.25">
      <c r="P3606" s="49"/>
      <c r="Q3606" s="1"/>
      <c r="S3606" s="1"/>
      <c r="T3606" s="1"/>
      <c r="U3606" s="1"/>
      <c r="V3606" s="1"/>
      <c r="W3606" s="1"/>
      <c r="X3606" s="1"/>
      <c r="Y3606" s="1"/>
      <c r="AB3606" s="1"/>
      <c r="AC3606" s="1"/>
      <c r="AD3606" s="1"/>
      <c r="AE3606" s="1"/>
      <c r="AF3606" s="1"/>
      <c r="AG3606" s="1"/>
      <c r="AH3606" s="1"/>
      <c r="AI3606" s="1"/>
      <c r="AJ3606" s="1"/>
      <c r="AK3606" s="1"/>
      <c r="AL3606" s="1"/>
      <c r="AM3606" s="1"/>
    </row>
    <row r="3607" spans="16:39" x14ac:dyDescent="0.25">
      <c r="P3607" s="49"/>
      <c r="Q3607" s="1"/>
      <c r="S3607" s="1"/>
      <c r="T3607" s="1"/>
      <c r="U3607" s="1"/>
      <c r="V3607" s="1"/>
      <c r="W3607" s="1"/>
      <c r="X3607" s="1"/>
      <c r="Y3607" s="1"/>
      <c r="AB3607" s="1"/>
      <c r="AC3607" s="1"/>
      <c r="AD3607" s="1"/>
      <c r="AE3607" s="1"/>
      <c r="AF3607" s="1"/>
      <c r="AG3607" s="1"/>
      <c r="AH3607" s="1"/>
      <c r="AI3607" s="1"/>
      <c r="AJ3607" s="1"/>
      <c r="AK3607" s="1"/>
      <c r="AL3607" s="1"/>
      <c r="AM3607" s="1"/>
    </row>
    <row r="3608" spans="16:39" x14ac:dyDescent="0.25">
      <c r="P3608" s="49"/>
      <c r="Q3608" s="1"/>
      <c r="S3608" s="1"/>
      <c r="T3608" s="1"/>
      <c r="U3608" s="1"/>
      <c r="V3608" s="1"/>
      <c r="W3608" s="1"/>
      <c r="X3608" s="1"/>
      <c r="Y3608" s="1"/>
      <c r="AB3608" s="1"/>
      <c r="AC3608" s="1"/>
      <c r="AD3608" s="1"/>
      <c r="AE3608" s="1"/>
      <c r="AF3608" s="1"/>
      <c r="AG3608" s="1"/>
      <c r="AH3608" s="1"/>
      <c r="AI3608" s="1"/>
      <c r="AJ3608" s="1"/>
      <c r="AK3608" s="1"/>
      <c r="AL3608" s="1"/>
      <c r="AM3608" s="1"/>
    </row>
    <row r="3609" spans="16:39" x14ac:dyDescent="0.25">
      <c r="P3609" s="49"/>
      <c r="Q3609" s="1"/>
      <c r="S3609" s="1"/>
      <c r="T3609" s="1"/>
      <c r="U3609" s="1"/>
      <c r="V3609" s="1"/>
      <c r="W3609" s="1"/>
      <c r="X3609" s="1"/>
      <c r="Y3609" s="1"/>
      <c r="AB3609" s="1"/>
      <c r="AC3609" s="1"/>
      <c r="AD3609" s="1"/>
      <c r="AE3609" s="1"/>
      <c r="AF3609" s="1"/>
      <c r="AG3609" s="1"/>
      <c r="AH3609" s="1"/>
      <c r="AI3609" s="1"/>
      <c r="AJ3609" s="1"/>
      <c r="AK3609" s="1"/>
      <c r="AL3609" s="1"/>
      <c r="AM3609" s="1"/>
    </row>
    <row r="3610" spans="16:39" x14ac:dyDescent="0.25">
      <c r="P3610" s="49"/>
      <c r="Q3610" s="1"/>
      <c r="S3610" s="1"/>
      <c r="T3610" s="1"/>
      <c r="U3610" s="1"/>
      <c r="V3610" s="1"/>
      <c r="W3610" s="1"/>
      <c r="X3610" s="1"/>
      <c r="Y3610" s="1"/>
      <c r="AB3610" s="1"/>
      <c r="AC3610" s="1"/>
      <c r="AD3610" s="1"/>
      <c r="AE3610" s="1"/>
      <c r="AF3610" s="1"/>
      <c r="AG3610" s="1"/>
      <c r="AH3610" s="1"/>
      <c r="AI3610" s="1"/>
      <c r="AJ3610" s="1"/>
      <c r="AK3610" s="1"/>
      <c r="AL3610" s="1"/>
      <c r="AM3610" s="1"/>
    </row>
    <row r="3611" spans="16:39" x14ac:dyDescent="0.25">
      <c r="P3611" s="49"/>
      <c r="Q3611" s="1"/>
      <c r="S3611" s="1"/>
      <c r="T3611" s="1"/>
      <c r="U3611" s="1"/>
      <c r="V3611" s="1"/>
      <c r="W3611" s="1"/>
      <c r="X3611" s="1"/>
      <c r="Y3611" s="1"/>
      <c r="AB3611" s="1"/>
      <c r="AC3611" s="1"/>
      <c r="AD3611" s="1"/>
      <c r="AE3611" s="1"/>
      <c r="AF3611" s="1"/>
      <c r="AG3611" s="1"/>
      <c r="AH3611" s="1"/>
      <c r="AI3611" s="1"/>
      <c r="AJ3611" s="1"/>
      <c r="AK3611" s="1"/>
      <c r="AL3611" s="1"/>
      <c r="AM3611" s="1"/>
    </row>
    <row r="3612" spans="16:39" x14ac:dyDescent="0.25">
      <c r="P3612" s="49"/>
      <c r="Q3612" s="1"/>
      <c r="S3612" s="1"/>
      <c r="T3612" s="1"/>
      <c r="U3612" s="1"/>
      <c r="V3612" s="1"/>
      <c r="W3612" s="1"/>
      <c r="X3612" s="1"/>
      <c r="Y3612" s="1"/>
      <c r="AB3612" s="1"/>
      <c r="AC3612" s="1"/>
      <c r="AD3612" s="1"/>
      <c r="AE3612" s="1"/>
      <c r="AF3612" s="1"/>
      <c r="AG3612" s="1"/>
      <c r="AH3612" s="1"/>
      <c r="AI3612" s="1"/>
      <c r="AJ3612" s="1"/>
      <c r="AK3612" s="1"/>
      <c r="AL3612" s="1"/>
      <c r="AM3612" s="1"/>
    </row>
    <row r="3613" spans="16:39" x14ac:dyDescent="0.25">
      <c r="P3613" s="49"/>
      <c r="Q3613" s="1"/>
      <c r="S3613" s="1"/>
      <c r="T3613" s="1"/>
      <c r="U3613" s="1"/>
      <c r="V3613" s="1"/>
      <c r="W3613" s="1"/>
      <c r="X3613" s="1"/>
      <c r="Y3613" s="1"/>
      <c r="AB3613" s="1"/>
      <c r="AC3613" s="1"/>
      <c r="AD3613" s="1"/>
      <c r="AE3613" s="1"/>
      <c r="AF3613" s="1"/>
      <c r="AG3613" s="1"/>
      <c r="AH3613" s="1"/>
      <c r="AI3613" s="1"/>
      <c r="AJ3613" s="1"/>
      <c r="AK3613" s="1"/>
      <c r="AL3613" s="1"/>
      <c r="AM3613" s="1"/>
    </row>
    <row r="3614" spans="16:39" x14ac:dyDescent="0.25">
      <c r="P3614" s="49"/>
      <c r="Q3614" s="1"/>
      <c r="S3614" s="1"/>
      <c r="T3614" s="1"/>
      <c r="U3614" s="1"/>
      <c r="V3614" s="1"/>
      <c r="W3614" s="1"/>
      <c r="X3614" s="1"/>
      <c r="Y3614" s="1"/>
      <c r="AB3614" s="1"/>
      <c r="AC3614" s="1"/>
      <c r="AD3614" s="1"/>
      <c r="AE3614" s="1"/>
      <c r="AF3614" s="1"/>
      <c r="AG3614" s="1"/>
      <c r="AH3614" s="1"/>
      <c r="AI3614" s="1"/>
      <c r="AJ3614" s="1"/>
      <c r="AK3614" s="1"/>
      <c r="AL3614" s="1"/>
      <c r="AM3614" s="1"/>
    </row>
    <row r="3615" spans="16:39" x14ac:dyDescent="0.25">
      <c r="P3615" s="49"/>
      <c r="Q3615" s="1"/>
      <c r="S3615" s="1"/>
      <c r="T3615" s="1"/>
      <c r="U3615" s="1"/>
      <c r="V3615" s="1"/>
      <c r="W3615" s="1"/>
      <c r="X3615" s="1"/>
      <c r="Y3615" s="1"/>
      <c r="AB3615" s="1"/>
      <c r="AC3615" s="1"/>
      <c r="AD3615" s="1"/>
      <c r="AE3615" s="1"/>
      <c r="AF3615" s="1"/>
      <c r="AG3615" s="1"/>
      <c r="AH3615" s="1"/>
      <c r="AI3615" s="1"/>
      <c r="AJ3615" s="1"/>
      <c r="AK3615" s="1"/>
      <c r="AL3615" s="1"/>
      <c r="AM3615" s="1"/>
    </row>
    <row r="3616" spans="16:39" x14ac:dyDescent="0.25">
      <c r="P3616" s="49"/>
      <c r="Q3616" s="1"/>
      <c r="S3616" s="1"/>
      <c r="T3616" s="1"/>
      <c r="U3616" s="1"/>
      <c r="V3616" s="1"/>
      <c r="W3616" s="1"/>
      <c r="X3616" s="1"/>
      <c r="Y3616" s="1"/>
      <c r="AB3616" s="1"/>
      <c r="AC3616" s="1"/>
      <c r="AD3616" s="1"/>
      <c r="AE3616" s="1"/>
      <c r="AF3616" s="1"/>
      <c r="AG3616" s="1"/>
      <c r="AH3616" s="1"/>
      <c r="AI3616" s="1"/>
      <c r="AJ3616" s="1"/>
      <c r="AK3616" s="1"/>
      <c r="AL3616" s="1"/>
      <c r="AM3616" s="1"/>
    </row>
    <row r="3617" spans="16:39" x14ac:dyDescent="0.25">
      <c r="P3617" s="49"/>
      <c r="Q3617" s="1"/>
      <c r="S3617" s="1"/>
      <c r="T3617" s="1"/>
      <c r="U3617" s="1"/>
      <c r="V3617" s="1"/>
      <c r="W3617" s="1"/>
      <c r="X3617" s="1"/>
      <c r="Y3617" s="1"/>
      <c r="AB3617" s="1"/>
      <c r="AC3617" s="1"/>
      <c r="AD3617" s="1"/>
      <c r="AE3617" s="1"/>
      <c r="AF3617" s="1"/>
      <c r="AG3617" s="1"/>
      <c r="AH3617" s="1"/>
      <c r="AI3617" s="1"/>
      <c r="AJ3617" s="1"/>
      <c r="AK3617" s="1"/>
      <c r="AL3617" s="1"/>
      <c r="AM3617" s="1"/>
    </row>
    <row r="3618" spans="16:39" x14ac:dyDescent="0.25">
      <c r="P3618" s="49"/>
      <c r="Q3618" s="1"/>
      <c r="S3618" s="1"/>
      <c r="T3618" s="1"/>
      <c r="U3618" s="1"/>
      <c r="V3618" s="1"/>
      <c r="W3618" s="1"/>
      <c r="X3618" s="1"/>
      <c r="Y3618" s="1"/>
      <c r="AB3618" s="1"/>
      <c r="AC3618" s="1"/>
      <c r="AD3618" s="1"/>
      <c r="AE3618" s="1"/>
      <c r="AF3618" s="1"/>
      <c r="AG3618" s="1"/>
      <c r="AH3618" s="1"/>
      <c r="AI3618" s="1"/>
      <c r="AJ3618" s="1"/>
      <c r="AK3618" s="1"/>
      <c r="AL3618" s="1"/>
      <c r="AM3618" s="1"/>
    </row>
    <row r="3619" spans="16:39" x14ac:dyDescent="0.25">
      <c r="P3619" s="49"/>
      <c r="Q3619" s="1"/>
      <c r="S3619" s="1"/>
      <c r="T3619" s="1"/>
      <c r="U3619" s="1"/>
      <c r="V3619" s="1"/>
      <c r="W3619" s="1"/>
      <c r="X3619" s="1"/>
      <c r="Y3619" s="1"/>
      <c r="AB3619" s="1"/>
      <c r="AC3619" s="1"/>
      <c r="AD3619" s="1"/>
      <c r="AE3619" s="1"/>
      <c r="AF3619" s="1"/>
      <c r="AG3619" s="1"/>
      <c r="AH3619" s="1"/>
      <c r="AI3619" s="1"/>
      <c r="AJ3619" s="1"/>
      <c r="AK3619" s="1"/>
      <c r="AL3619" s="1"/>
      <c r="AM3619" s="1"/>
    </row>
    <row r="3620" spans="16:39" x14ac:dyDescent="0.25">
      <c r="P3620" s="49"/>
      <c r="Q3620" s="1"/>
      <c r="S3620" s="1"/>
      <c r="T3620" s="1"/>
      <c r="U3620" s="1"/>
      <c r="V3620" s="1"/>
      <c r="W3620" s="1"/>
      <c r="X3620" s="1"/>
      <c r="Y3620" s="1"/>
      <c r="AB3620" s="1"/>
      <c r="AC3620" s="1"/>
      <c r="AD3620" s="1"/>
      <c r="AE3620" s="1"/>
      <c r="AF3620" s="1"/>
      <c r="AG3620" s="1"/>
      <c r="AH3620" s="1"/>
      <c r="AI3620" s="1"/>
      <c r="AJ3620" s="1"/>
      <c r="AK3620" s="1"/>
      <c r="AL3620" s="1"/>
      <c r="AM3620" s="1"/>
    </row>
    <row r="3621" spans="16:39" x14ac:dyDescent="0.25">
      <c r="P3621" s="49"/>
      <c r="Q3621" s="1"/>
      <c r="S3621" s="1"/>
      <c r="T3621" s="1"/>
      <c r="U3621" s="1"/>
      <c r="V3621" s="1"/>
      <c r="W3621" s="1"/>
      <c r="X3621" s="1"/>
      <c r="Y3621" s="1"/>
      <c r="AB3621" s="1"/>
      <c r="AC3621" s="1"/>
      <c r="AD3621" s="1"/>
      <c r="AE3621" s="1"/>
      <c r="AF3621" s="1"/>
      <c r="AG3621" s="1"/>
      <c r="AH3621" s="1"/>
      <c r="AI3621" s="1"/>
      <c r="AJ3621" s="1"/>
      <c r="AK3621" s="1"/>
      <c r="AL3621" s="1"/>
      <c r="AM3621" s="1"/>
    </row>
    <row r="3622" spans="16:39" x14ac:dyDescent="0.25">
      <c r="P3622" s="49"/>
      <c r="Q3622" s="1"/>
      <c r="S3622" s="1"/>
      <c r="T3622" s="1"/>
      <c r="U3622" s="1"/>
      <c r="V3622" s="1"/>
      <c r="W3622" s="1"/>
      <c r="X3622" s="1"/>
      <c r="Y3622" s="1"/>
      <c r="AB3622" s="1"/>
      <c r="AC3622" s="1"/>
      <c r="AD3622" s="1"/>
      <c r="AE3622" s="1"/>
      <c r="AF3622" s="1"/>
      <c r="AG3622" s="1"/>
      <c r="AH3622" s="1"/>
      <c r="AI3622" s="1"/>
      <c r="AJ3622" s="1"/>
      <c r="AK3622" s="1"/>
      <c r="AL3622" s="1"/>
      <c r="AM3622" s="1"/>
    </row>
    <row r="3623" spans="16:39" x14ac:dyDescent="0.25">
      <c r="P3623" s="49"/>
      <c r="Q3623" s="1"/>
      <c r="S3623" s="1"/>
      <c r="T3623" s="1"/>
      <c r="U3623" s="1"/>
      <c r="V3623" s="1"/>
      <c r="W3623" s="1"/>
      <c r="X3623" s="1"/>
      <c r="Y3623" s="1"/>
      <c r="AB3623" s="1"/>
      <c r="AC3623" s="1"/>
      <c r="AD3623" s="1"/>
      <c r="AE3623" s="1"/>
      <c r="AF3623" s="1"/>
      <c r="AG3623" s="1"/>
      <c r="AH3623" s="1"/>
      <c r="AI3623" s="1"/>
      <c r="AJ3623" s="1"/>
      <c r="AK3623" s="1"/>
      <c r="AL3623" s="1"/>
      <c r="AM3623" s="1"/>
    </row>
    <row r="3624" spans="16:39" x14ac:dyDescent="0.25">
      <c r="P3624" s="49"/>
      <c r="Q3624" s="1"/>
      <c r="S3624" s="1"/>
      <c r="T3624" s="1"/>
      <c r="U3624" s="1"/>
      <c r="V3624" s="1"/>
      <c r="W3624" s="1"/>
      <c r="X3624" s="1"/>
      <c r="Y3624" s="1"/>
      <c r="AB3624" s="1"/>
      <c r="AC3624" s="1"/>
      <c r="AD3624" s="1"/>
      <c r="AE3624" s="1"/>
      <c r="AF3624" s="1"/>
      <c r="AG3624" s="1"/>
      <c r="AH3624" s="1"/>
      <c r="AI3624" s="1"/>
      <c r="AJ3624" s="1"/>
      <c r="AK3624" s="1"/>
      <c r="AL3624" s="1"/>
      <c r="AM3624" s="1"/>
    </row>
    <row r="3625" spans="16:39" x14ac:dyDescent="0.25">
      <c r="P3625" s="49"/>
      <c r="Q3625" s="1"/>
      <c r="S3625" s="1"/>
      <c r="T3625" s="1"/>
      <c r="U3625" s="1"/>
      <c r="V3625" s="1"/>
      <c r="W3625" s="1"/>
      <c r="X3625" s="1"/>
      <c r="Y3625" s="1"/>
      <c r="AB3625" s="1"/>
      <c r="AC3625" s="1"/>
      <c r="AD3625" s="1"/>
      <c r="AE3625" s="1"/>
      <c r="AF3625" s="1"/>
      <c r="AG3625" s="1"/>
      <c r="AH3625" s="1"/>
      <c r="AI3625" s="1"/>
      <c r="AJ3625" s="1"/>
      <c r="AK3625" s="1"/>
      <c r="AL3625" s="1"/>
      <c r="AM3625" s="1"/>
    </row>
    <row r="3626" spans="16:39" x14ac:dyDescent="0.25">
      <c r="P3626" s="49"/>
      <c r="Q3626" s="1"/>
      <c r="S3626" s="1"/>
      <c r="T3626" s="1"/>
      <c r="U3626" s="1"/>
      <c r="V3626" s="1"/>
      <c r="W3626" s="1"/>
      <c r="X3626" s="1"/>
      <c r="Y3626" s="1"/>
      <c r="AB3626" s="1"/>
      <c r="AC3626" s="1"/>
      <c r="AD3626" s="1"/>
      <c r="AE3626" s="1"/>
      <c r="AF3626" s="1"/>
      <c r="AG3626" s="1"/>
      <c r="AH3626" s="1"/>
      <c r="AI3626" s="1"/>
      <c r="AJ3626" s="1"/>
      <c r="AK3626" s="1"/>
      <c r="AL3626" s="1"/>
      <c r="AM3626" s="1"/>
    </row>
    <row r="3627" spans="16:39" x14ac:dyDescent="0.25">
      <c r="P3627" s="49"/>
      <c r="Q3627" s="1"/>
      <c r="S3627" s="1"/>
      <c r="T3627" s="1"/>
      <c r="U3627" s="1"/>
      <c r="V3627" s="1"/>
      <c r="W3627" s="1"/>
      <c r="X3627" s="1"/>
      <c r="Y3627" s="1"/>
      <c r="AB3627" s="1"/>
      <c r="AC3627" s="1"/>
      <c r="AD3627" s="1"/>
      <c r="AE3627" s="1"/>
      <c r="AF3627" s="1"/>
      <c r="AG3627" s="1"/>
      <c r="AH3627" s="1"/>
      <c r="AI3627" s="1"/>
      <c r="AJ3627" s="1"/>
      <c r="AK3627" s="1"/>
      <c r="AL3627" s="1"/>
      <c r="AM3627" s="1"/>
    </row>
    <row r="3628" spans="16:39" x14ac:dyDescent="0.25">
      <c r="P3628" s="49"/>
      <c r="Q3628" s="1"/>
      <c r="S3628" s="1"/>
      <c r="T3628" s="1"/>
      <c r="U3628" s="1"/>
      <c r="V3628" s="1"/>
      <c r="W3628" s="1"/>
      <c r="X3628" s="1"/>
      <c r="Y3628" s="1"/>
      <c r="AB3628" s="1"/>
      <c r="AC3628" s="1"/>
      <c r="AD3628" s="1"/>
      <c r="AE3628" s="1"/>
      <c r="AF3628" s="1"/>
      <c r="AG3628" s="1"/>
      <c r="AH3628" s="1"/>
      <c r="AI3628" s="1"/>
      <c r="AJ3628" s="1"/>
      <c r="AK3628" s="1"/>
      <c r="AL3628" s="1"/>
      <c r="AM3628" s="1"/>
    </row>
    <row r="3629" spans="16:39" x14ac:dyDescent="0.25">
      <c r="P3629" s="49"/>
      <c r="Q3629" s="1"/>
      <c r="S3629" s="1"/>
      <c r="T3629" s="1"/>
      <c r="U3629" s="1"/>
      <c r="V3629" s="1"/>
      <c r="W3629" s="1"/>
      <c r="X3629" s="1"/>
      <c r="Y3629" s="1"/>
      <c r="AB3629" s="1"/>
      <c r="AC3629" s="1"/>
      <c r="AD3629" s="1"/>
      <c r="AE3629" s="1"/>
      <c r="AF3629" s="1"/>
      <c r="AG3629" s="1"/>
      <c r="AH3629" s="1"/>
      <c r="AI3629" s="1"/>
      <c r="AJ3629" s="1"/>
      <c r="AK3629" s="1"/>
      <c r="AL3629" s="1"/>
      <c r="AM3629" s="1"/>
    </row>
    <row r="3630" spans="16:39" x14ac:dyDescent="0.25">
      <c r="P3630" s="49"/>
      <c r="Q3630" s="1"/>
      <c r="S3630" s="1"/>
      <c r="T3630" s="1"/>
      <c r="U3630" s="1"/>
      <c r="V3630" s="1"/>
      <c r="W3630" s="1"/>
      <c r="X3630" s="1"/>
      <c r="Y3630" s="1"/>
      <c r="AB3630" s="1"/>
      <c r="AC3630" s="1"/>
      <c r="AD3630" s="1"/>
      <c r="AE3630" s="1"/>
      <c r="AF3630" s="1"/>
      <c r="AG3630" s="1"/>
      <c r="AH3630" s="1"/>
      <c r="AI3630" s="1"/>
      <c r="AJ3630" s="1"/>
      <c r="AK3630" s="1"/>
      <c r="AL3630" s="1"/>
      <c r="AM3630" s="1"/>
    </row>
    <row r="3631" spans="16:39" x14ac:dyDescent="0.25">
      <c r="P3631" s="49"/>
      <c r="Q3631" s="1"/>
      <c r="S3631" s="1"/>
      <c r="T3631" s="1"/>
      <c r="U3631" s="1"/>
      <c r="V3631" s="1"/>
      <c r="W3631" s="1"/>
      <c r="X3631" s="1"/>
      <c r="Y3631" s="1"/>
      <c r="AB3631" s="1"/>
      <c r="AC3631" s="1"/>
      <c r="AD3631" s="1"/>
      <c r="AE3631" s="1"/>
      <c r="AF3631" s="1"/>
      <c r="AG3631" s="1"/>
      <c r="AH3631" s="1"/>
      <c r="AI3631" s="1"/>
      <c r="AJ3631" s="1"/>
      <c r="AK3631" s="1"/>
      <c r="AL3631" s="1"/>
      <c r="AM3631" s="1"/>
    </row>
    <row r="3632" spans="16:39" x14ac:dyDescent="0.25">
      <c r="P3632" s="49"/>
      <c r="Q3632" s="1"/>
      <c r="S3632" s="1"/>
      <c r="T3632" s="1"/>
      <c r="U3632" s="1"/>
      <c r="V3632" s="1"/>
      <c r="W3632" s="1"/>
      <c r="X3632" s="1"/>
      <c r="Y3632" s="1"/>
      <c r="AB3632" s="1"/>
      <c r="AC3632" s="1"/>
      <c r="AD3632" s="1"/>
      <c r="AE3632" s="1"/>
      <c r="AF3632" s="1"/>
      <c r="AG3632" s="1"/>
      <c r="AH3632" s="1"/>
      <c r="AI3632" s="1"/>
      <c r="AJ3632" s="1"/>
      <c r="AK3632" s="1"/>
      <c r="AL3632" s="1"/>
      <c r="AM3632" s="1"/>
    </row>
    <row r="3633" spans="16:39" x14ac:dyDescent="0.25">
      <c r="P3633" s="49"/>
      <c r="Q3633" s="1"/>
      <c r="S3633" s="1"/>
      <c r="T3633" s="1"/>
      <c r="U3633" s="1"/>
      <c r="V3633" s="1"/>
      <c r="W3633" s="1"/>
      <c r="X3633" s="1"/>
      <c r="Y3633" s="1"/>
      <c r="AB3633" s="1"/>
      <c r="AC3633" s="1"/>
      <c r="AD3633" s="1"/>
      <c r="AE3633" s="1"/>
      <c r="AF3633" s="1"/>
      <c r="AG3633" s="1"/>
      <c r="AH3633" s="1"/>
      <c r="AI3633" s="1"/>
      <c r="AJ3633" s="1"/>
      <c r="AK3633" s="1"/>
      <c r="AL3633" s="1"/>
      <c r="AM3633" s="1"/>
    </row>
    <row r="3634" spans="16:39" x14ac:dyDescent="0.25">
      <c r="P3634" s="49"/>
      <c r="Q3634" s="1"/>
      <c r="S3634" s="1"/>
      <c r="T3634" s="1"/>
      <c r="U3634" s="1"/>
      <c r="V3634" s="1"/>
      <c r="W3634" s="1"/>
      <c r="X3634" s="1"/>
      <c r="Y3634" s="1"/>
      <c r="AB3634" s="1"/>
      <c r="AC3634" s="1"/>
      <c r="AD3634" s="1"/>
      <c r="AE3634" s="1"/>
      <c r="AF3634" s="1"/>
      <c r="AG3634" s="1"/>
      <c r="AH3634" s="1"/>
      <c r="AI3634" s="1"/>
      <c r="AJ3634" s="1"/>
      <c r="AK3634" s="1"/>
      <c r="AL3634" s="1"/>
      <c r="AM3634" s="1"/>
    </row>
    <row r="3635" spans="16:39" x14ac:dyDescent="0.25">
      <c r="P3635" s="49"/>
      <c r="Q3635" s="1"/>
      <c r="S3635" s="1"/>
      <c r="T3635" s="1"/>
      <c r="U3635" s="1"/>
      <c r="V3635" s="1"/>
      <c r="W3635" s="1"/>
      <c r="X3635" s="1"/>
      <c r="Y3635" s="1"/>
      <c r="AB3635" s="1"/>
      <c r="AC3635" s="1"/>
      <c r="AD3635" s="1"/>
      <c r="AE3635" s="1"/>
      <c r="AF3635" s="1"/>
      <c r="AG3635" s="1"/>
      <c r="AH3635" s="1"/>
      <c r="AI3635" s="1"/>
      <c r="AJ3635" s="1"/>
      <c r="AK3635" s="1"/>
      <c r="AL3635" s="1"/>
      <c r="AM3635" s="1"/>
    </row>
    <row r="3636" spans="16:39" x14ac:dyDescent="0.25">
      <c r="P3636" s="49"/>
      <c r="Q3636" s="1"/>
      <c r="S3636" s="1"/>
      <c r="T3636" s="1"/>
      <c r="U3636" s="1"/>
      <c r="V3636" s="1"/>
      <c r="W3636" s="1"/>
      <c r="X3636" s="1"/>
      <c r="Y3636" s="1"/>
      <c r="AB3636" s="1"/>
      <c r="AC3636" s="1"/>
      <c r="AD3636" s="1"/>
      <c r="AE3636" s="1"/>
      <c r="AF3636" s="1"/>
      <c r="AG3636" s="1"/>
      <c r="AH3636" s="1"/>
      <c r="AI3636" s="1"/>
      <c r="AJ3636" s="1"/>
      <c r="AK3636" s="1"/>
      <c r="AL3636" s="1"/>
      <c r="AM3636" s="1"/>
    </row>
    <row r="3637" spans="16:39" x14ac:dyDescent="0.25">
      <c r="P3637" s="49"/>
      <c r="Q3637" s="1"/>
      <c r="S3637" s="1"/>
      <c r="T3637" s="1"/>
      <c r="U3637" s="1"/>
      <c r="V3637" s="1"/>
      <c r="W3637" s="1"/>
      <c r="X3637" s="1"/>
      <c r="Y3637" s="1"/>
      <c r="AB3637" s="1"/>
      <c r="AC3637" s="1"/>
      <c r="AD3637" s="1"/>
      <c r="AE3637" s="1"/>
      <c r="AF3637" s="1"/>
      <c r="AG3637" s="1"/>
      <c r="AH3637" s="1"/>
      <c r="AI3637" s="1"/>
      <c r="AJ3637" s="1"/>
      <c r="AK3637" s="1"/>
      <c r="AL3637" s="1"/>
      <c r="AM3637" s="1"/>
    </row>
    <row r="3638" spans="16:39" x14ac:dyDescent="0.25">
      <c r="P3638" s="49"/>
      <c r="Q3638" s="1"/>
      <c r="S3638" s="1"/>
      <c r="T3638" s="1"/>
      <c r="U3638" s="1"/>
      <c r="V3638" s="1"/>
      <c r="W3638" s="1"/>
      <c r="X3638" s="1"/>
      <c r="Y3638" s="1"/>
      <c r="AB3638" s="1"/>
      <c r="AC3638" s="1"/>
      <c r="AD3638" s="1"/>
      <c r="AE3638" s="1"/>
      <c r="AF3638" s="1"/>
      <c r="AG3638" s="1"/>
      <c r="AH3638" s="1"/>
      <c r="AI3638" s="1"/>
      <c r="AJ3638" s="1"/>
      <c r="AK3638" s="1"/>
      <c r="AL3638" s="1"/>
      <c r="AM3638" s="1"/>
    </row>
    <row r="3639" spans="16:39" x14ac:dyDescent="0.25">
      <c r="P3639" s="49"/>
      <c r="Q3639" s="1"/>
      <c r="S3639" s="1"/>
      <c r="T3639" s="1"/>
      <c r="U3639" s="1"/>
      <c r="V3639" s="1"/>
      <c r="W3639" s="1"/>
      <c r="X3639" s="1"/>
      <c r="Y3639" s="1"/>
      <c r="AB3639" s="1"/>
      <c r="AC3639" s="1"/>
      <c r="AD3639" s="1"/>
      <c r="AE3639" s="1"/>
      <c r="AF3639" s="1"/>
      <c r="AG3639" s="1"/>
      <c r="AH3639" s="1"/>
      <c r="AI3639" s="1"/>
      <c r="AJ3639" s="1"/>
      <c r="AK3639" s="1"/>
      <c r="AL3639" s="1"/>
      <c r="AM3639" s="1"/>
    </row>
    <row r="3640" spans="16:39" x14ac:dyDescent="0.25">
      <c r="P3640" s="49"/>
      <c r="Q3640" s="1"/>
      <c r="S3640" s="1"/>
      <c r="T3640" s="1"/>
      <c r="U3640" s="1"/>
      <c r="V3640" s="1"/>
      <c r="W3640" s="1"/>
      <c r="X3640" s="1"/>
      <c r="Y3640" s="1"/>
      <c r="AB3640" s="1"/>
      <c r="AC3640" s="1"/>
      <c r="AD3640" s="1"/>
      <c r="AE3640" s="1"/>
      <c r="AF3640" s="1"/>
      <c r="AG3640" s="1"/>
      <c r="AH3640" s="1"/>
      <c r="AI3640" s="1"/>
      <c r="AJ3640" s="1"/>
      <c r="AK3640" s="1"/>
      <c r="AL3640" s="1"/>
      <c r="AM3640" s="1"/>
    </row>
    <row r="3641" spans="16:39" x14ac:dyDescent="0.25">
      <c r="P3641" s="49"/>
      <c r="Q3641" s="1"/>
      <c r="S3641" s="1"/>
      <c r="T3641" s="1"/>
      <c r="U3641" s="1"/>
      <c r="V3641" s="1"/>
      <c r="W3641" s="1"/>
      <c r="X3641" s="1"/>
      <c r="Y3641" s="1"/>
      <c r="AB3641" s="1"/>
      <c r="AC3641" s="1"/>
      <c r="AD3641" s="1"/>
      <c r="AE3641" s="1"/>
      <c r="AF3641" s="1"/>
      <c r="AG3641" s="1"/>
      <c r="AH3641" s="1"/>
      <c r="AI3641" s="1"/>
      <c r="AJ3641" s="1"/>
      <c r="AK3641" s="1"/>
      <c r="AL3641" s="1"/>
      <c r="AM3641" s="1"/>
    </row>
    <row r="3642" spans="16:39" x14ac:dyDescent="0.25">
      <c r="P3642" s="49"/>
      <c r="Q3642" s="1"/>
      <c r="S3642" s="1"/>
      <c r="T3642" s="1"/>
      <c r="U3642" s="1"/>
      <c r="V3642" s="1"/>
      <c r="W3642" s="1"/>
      <c r="X3642" s="1"/>
      <c r="Y3642" s="1"/>
      <c r="AB3642" s="1"/>
      <c r="AC3642" s="1"/>
      <c r="AD3642" s="1"/>
      <c r="AE3642" s="1"/>
      <c r="AF3642" s="1"/>
      <c r="AG3642" s="1"/>
      <c r="AH3642" s="1"/>
      <c r="AI3642" s="1"/>
      <c r="AJ3642" s="1"/>
      <c r="AK3642" s="1"/>
      <c r="AL3642" s="1"/>
      <c r="AM3642" s="1"/>
    </row>
    <row r="3643" spans="16:39" x14ac:dyDescent="0.25">
      <c r="P3643" s="49"/>
      <c r="Q3643" s="1"/>
      <c r="S3643" s="1"/>
      <c r="T3643" s="1"/>
      <c r="U3643" s="1"/>
      <c r="V3643" s="1"/>
      <c r="W3643" s="1"/>
      <c r="X3643" s="1"/>
      <c r="Y3643" s="1"/>
      <c r="AB3643" s="1"/>
      <c r="AC3643" s="1"/>
      <c r="AD3643" s="1"/>
      <c r="AE3643" s="1"/>
      <c r="AF3643" s="1"/>
      <c r="AG3643" s="1"/>
      <c r="AH3643" s="1"/>
      <c r="AI3643" s="1"/>
      <c r="AJ3643" s="1"/>
      <c r="AK3643" s="1"/>
      <c r="AL3643" s="1"/>
      <c r="AM3643" s="1"/>
    </row>
    <row r="3644" spans="16:39" x14ac:dyDescent="0.25">
      <c r="P3644" s="49"/>
      <c r="Q3644" s="1"/>
      <c r="S3644" s="1"/>
      <c r="T3644" s="1"/>
      <c r="U3644" s="1"/>
      <c r="V3644" s="1"/>
      <c r="W3644" s="1"/>
      <c r="X3644" s="1"/>
      <c r="Y3644" s="1"/>
      <c r="AB3644" s="1"/>
      <c r="AC3644" s="1"/>
      <c r="AD3644" s="1"/>
      <c r="AE3644" s="1"/>
      <c r="AF3644" s="1"/>
      <c r="AG3644" s="1"/>
      <c r="AH3644" s="1"/>
      <c r="AI3644" s="1"/>
      <c r="AJ3644" s="1"/>
      <c r="AK3644" s="1"/>
      <c r="AL3644" s="1"/>
      <c r="AM3644" s="1"/>
    </row>
    <row r="3645" spans="16:39" x14ac:dyDescent="0.25">
      <c r="P3645" s="49"/>
      <c r="Q3645" s="1"/>
      <c r="S3645" s="1"/>
      <c r="T3645" s="1"/>
      <c r="U3645" s="1"/>
      <c r="V3645" s="1"/>
      <c r="W3645" s="1"/>
      <c r="X3645" s="1"/>
      <c r="Y3645" s="1"/>
      <c r="AB3645" s="1"/>
      <c r="AC3645" s="1"/>
      <c r="AD3645" s="1"/>
      <c r="AE3645" s="1"/>
      <c r="AF3645" s="1"/>
      <c r="AG3645" s="1"/>
      <c r="AH3645" s="1"/>
      <c r="AI3645" s="1"/>
      <c r="AJ3645" s="1"/>
      <c r="AK3645" s="1"/>
      <c r="AL3645" s="1"/>
      <c r="AM3645" s="1"/>
    </row>
    <row r="3646" spans="16:39" x14ac:dyDescent="0.25">
      <c r="P3646" s="49"/>
      <c r="Q3646" s="1"/>
      <c r="S3646" s="1"/>
      <c r="T3646" s="1"/>
      <c r="U3646" s="1"/>
      <c r="V3646" s="1"/>
      <c r="W3646" s="1"/>
      <c r="X3646" s="1"/>
      <c r="Y3646" s="1"/>
      <c r="AB3646" s="1"/>
      <c r="AC3646" s="1"/>
      <c r="AD3646" s="1"/>
      <c r="AE3646" s="1"/>
      <c r="AF3646" s="1"/>
      <c r="AG3646" s="1"/>
      <c r="AH3646" s="1"/>
      <c r="AI3646" s="1"/>
      <c r="AJ3646" s="1"/>
      <c r="AK3646" s="1"/>
      <c r="AL3646" s="1"/>
      <c r="AM3646" s="1"/>
    </row>
    <row r="3647" spans="16:39" x14ac:dyDescent="0.25">
      <c r="P3647" s="49"/>
      <c r="Q3647" s="1"/>
      <c r="S3647" s="1"/>
      <c r="T3647" s="1"/>
      <c r="U3647" s="1"/>
      <c r="V3647" s="1"/>
      <c r="W3647" s="1"/>
      <c r="X3647" s="1"/>
      <c r="Y3647" s="1"/>
      <c r="AB3647" s="1"/>
      <c r="AC3647" s="1"/>
      <c r="AD3647" s="1"/>
      <c r="AE3647" s="1"/>
      <c r="AF3647" s="1"/>
      <c r="AG3647" s="1"/>
      <c r="AH3647" s="1"/>
      <c r="AI3647" s="1"/>
      <c r="AJ3647" s="1"/>
      <c r="AK3647" s="1"/>
      <c r="AL3647" s="1"/>
      <c r="AM3647" s="1"/>
    </row>
    <row r="3648" spans="16:39" x14ac:dyDescent="0.25">
      <c r="P3648" s="49"/>
      <c r="Q3648" s="1"/>
      <c r="S3648" s="1"/>
      <c r="T3648" s="1"/>
      <c r="U3648" s="1"/>
      <c r="V3648" s="1"/>
      <c r="W3648" s="1"/>
      <c r="X3648" s="1"/>
      <c r="Y3648" s="1"/>
      <c r="AB3648" s="1"/>
      <c r="AC3648" s="1"/>
      <c r="AD3648" s="1"/>
      <c r="AE3648" s="1"/>
      <c r="AF3648" s="1"/>
      <c r="AG3648" s="1"/>
      <c r="AH3648" s="1"/>
      <c r="AI3648" s="1"/>
      <c r="AJ3648" s="1"/>
      <c r="AK3648" s="1"/>
      <c r="AL3648" s="1"/>
      <c r="AM3648" s="1"/>
    </row>
    <row r="3649" spans="16:39" x14ac:dyDescent="0.25">
      <c r="P3649" s="49"/>
      <c r="Q3649" s="1"/>
      <c r="S3649" s="1"/>
      <c r="T3649" s="1"/>
      <c r="U3649" s="1"/>
      <c r="V3649" s="1"/>
      <c r="W3649" s="1"/>
      <c r="X3649" s="1"/>
      <c r="Y3649" s="1"/>
      <c r="AB3649" s="1"/>
      <c r="AC3649" s="1"/>
      <c r="AD3649" s="1"/>
      <c r="AE3649" s="1"/>
      <c r="AF3649" s="1"/>
      <c r="AG3649" s="1"/>
      <c r="AH3649" s="1"/>
      <c r="AI3649" s="1"/>
      <c r="AJ3649" s="1"/>
      <c r="AK3649" s="1"/>
      <c r="AL3649" s="1"/>
      <c r="AM3649" s="1"/>
    </row>
    <row r="3650" spans="16:39" x14ac:dyDescent="0.25">
      <c r="P3650" s="49"/>
      <c r="Q3650" s="1"/>
      <c r="S3650" s="1"/>
      <c r="T3650" s="1"/>
      <c r="U3650" s="1"/>
      <c r="V3650" s="1"/>
      <c r="W3650" s="1"/>
      <c r="X3650" s="1"/>
      <c r="Y3650" s="1"/>
      <c r="AB3650" s="1"/>
      <c r="AC3650" s="1"/>
      <c r="AD3650" s="1"/>
      <c r="AE3650" s="1"/>
      <c r="AF3650" s="1"/>
      <c r="AG3650" s="1"/>
      <c r="AH3650" s="1"/>
      <c r="AI3650" s="1"/>
      <c r="AJ3650" s="1"/>
      <c r="AK3650" s="1"/>
      <c r="AL3650" s="1"/>
      <c r="AM3650" s="1"/>
    </row>
    <row r="3651" spans="16:39" x14ac:dyDescent="0.25">
      <c r="P3651" s="49"/>
      <c r="Q3651" s="1"/>
      <c r="S3651" s="1"/>
      <c r="T3651" s="1"/>
      <c r="U3651" s="1"/>
      <c r="V3651" s="1"/>
      <c r="W3651" s="1"/>
      <c r="X3651" s="1"/>
      <c r="Y3651" s="1"/>
      <c r="AB3651" s="1"/>
      <c r="AC3651" s="1"/>
      <c r="AD3651" s="1"/>
      <c r="AE3651" s="1"/>
      <c r="AF3651" s="1"/>
      <c r="AG3651" s="1"/>
      <c r="AH3651" s="1"/>
      <c r="AI3651" s="1"/>
      <c r="AJ3651" s="1"/>
      <c r="AK3651" s="1"/>
      <c r="AL3651" s="1"/>
      <c r="AM3651" s="1"/>
    </row>
    <row r="3652" spans="16:39" x14ac:dyDescent="0.25">
      <c r="P3652" s="49"/>
      <c r="Q3652" s="1"/>
      <c r="S3652" s="1"/>
      <c r="T3652" s="1"/>
      <c r="U3652" s="1"/>
      <c r="V3652" s="1"/>
      <c r="W3652" s="1"/>
      <c r="X3652" s="1"/>
      <c r="Y3652" s="1"/>
      <c r="AB3652" s="1"/>
      <c r="AC3652" s="1"/>
      <c r="AD3652" s="1"/>
      <c r="AE3652" s="1"/>
      <c r="AF3652" s="1"/>
      <c r="AG3652" s="1"/>
      <c r="AH3652" s="1"/>
      <c r="AI3652" s="1"/>
      <c r="AJ3652" s="1"/>
      <c r="AK3652" s="1"/>
      <c r="AL3652" s="1"/>
      <c r="AM3652" s="1"/>
    </row>
    <row r="3653" spans="16:39" x14ac:dyDescent="0.25">
      <c r="P3653" s="49"/>
      <c r="Q3653" s="1"/>
      <c r="S3653" s="1"/>
      <c r="T3653" s="1"/>
      <c r="U3653" s="1"/>
      <c r="V3653" s="1"/>
      <c r="W3653" s="1"/>
      <c r="X3653" s="1"/>
      <c r="Y3653" s="1"/>
      <c r="AB3653" s="1"/>
      <c r="AC3653" s="1"/>
      <c r="AD3653" s="1"/>
      <c r="AE3653" s="1"/>
      <c r="AF3653" s="1"/>
      <c r="AG3653" s="1"/>
      <c r="AH3653" s="1"/>
      <c r="AI3653" s="1"/>
      <c r="AJ3653" s="1"/>
      <c r="AK3653" s="1"/>
      <c r="AL3653" s="1"/>
      <c r="AM3653" s="1"/>
    </row>
    <row r="3654" spans="16:39" x14ac:dyDescent="0.25">
      <c r="P3654" s="49"/>
      <c r="Q3654" s="1"/>
      <c r="S3654" s="1"/>
      <c r="T3654" s="1"/>
      <c r="U3654" s="1"/>
      <c r="V3654" s="1"/>
      <c r="W3654" s="1"/>
      <c r="X3654" s="1"/>
      <c r="Y3654" s="1"/>
      <c r="AB3654" s="1"/>
      <c r="AC3654" s="1"/>
      <c r="AD3654" s="1"/>
      <c r="AE3654" s="1"/>
      <c r="AF3654" s="1"/>
      <c r="AG3654" s="1"/>
      <c r="AH3654" s="1"/>
      <c r="AI3654" s="1"/>
      <c r="AJ3654" s="1"/>
      <c r="AK3654" s="1"/>
      <c r="AL3654" s="1"/>
      <c r="AM3654" s="1"/>
    </row>
    <row r="3655" spans="16:39" x14ac:dyDescent="0.25">
      <c r="P3655" s="49"/>
      <c r="Q3655" s="1"/>
      <c r="S3655" s="1"/>
      <c r="T3655" s="1"/>
      <c r="U3655" s="1"/>
      <c r="V3655" s="1"/>
      <c r="W3655" s="1"/>
      <c r="X3655" s="1"/>
      <c r="Y3655" s="1"/>
      <c r="AB3655" s="1"/>
      <c r="AC3655" s="1"/>
      <c r="AD3655" s="1"/>
      <c r="AE3655" s="1"/>
      <c r="AF3655" s="1"/>
      <c r="AG3655" s="1"/>
      <c r="AH3655" s="1"/>
      <c r="AI3655" s="1"/>
      <c r="AJ3655" s="1"/>
      <c r="AK3655" s="1"/>
      <c r="AL3655" s="1"/>
      <c r="AM3655" s="1"/>
    </row>
    <row r="3656" spans="16:39" x14ac:dyDescent="0.25">
      <c r="P3656" s="49"/>
      <c r="Q3656" s="1"/>
      <c r="S3656" s="1"/>
      <c r="T3656" s="1"/>
      <c r="U3656" s="1"/>
      <c r="V3656" s="1"/>
      <c r="W3656" s="1"/>
      <c r="X3656" s="1"/>
      <c r="Y3656" s="1"/>
      <c r="AB3656" s="1"/>
      <c r="AC3656" s="1"/>
      <c r="AD3656" s="1"/>
      <c r="AE3656" s="1"/>
      <c r="AF3656" s="1"/>
      <c r="AG3656" s="1"/>
      <c r="AH3656" s="1"/>
      <c r="AI3656" s="1"/>
      <c r="AJ3656" s="1"/>
      <c r="AK3656" s="1"/>
      <c r="AL3656" s="1"/>
      <c r="AM3656" s="1"/>
    </row>
    <row r="3657" spans="16:39" x14ac:dyDescent="0.25">
      <c r="P3657" s="49"/>
      <c r="Q3657" s="1"/>
      <c r="S3657" s="1"/>
      <c r="T3657" s="1"/>
      <c r="U3657" s="1"/>
      <c r="V3657" s="1"/>
      <c r="W3657" s="1"/>
      <c r="X3657" s="1"/>
      <c r="Y3657" s="1"/>
      <c r="AB3657" s="1"/>
      <c r="AC3657" s="1"/>
      <c r="AD3657" s="1"/>
      <c r="AE3657" s="1"/>
      <c r="AF3657" s="1"/>
      <c r="AG3657" s="1"/>
      <c r="AH3657" s="1"/>
      <c r="AI3657" s="1"/>
      <c r="AJ3657" s="1"/>
      <c r="AK3657" s="1"/>
      <c r="AL3657" s="1"/>
      <c r="AM3657" s="1"/>
    </row>
    <row r="3658" spans="16:39" x14ac:dyDescent="0.25">
      <c r="P3658" s="49"/>
      <c r="Q3658" s="1"/>
      <c r="S3658" s="1"/>
      <c r="T3658" s="1"/>
      <c r="U3658" s="1"/>
      <c r="V3658" s="1"/>
      <c r="W3658" s="1"/>
      <c r="X3658" s="1"/>
      <c r="Y3658" s="1"/>
      <c r="AB3658" s="1"/>
      <c r="AC3658" s="1"/>
      <c r="AD3658" s="1"/>
      <c r="AE3658" s="1"/>
      <c r="AF3658" s="1"/>
      <c r="AG3658" s="1"/>
      <c r="AH3658" s="1"/>
      <c r="AI3658" s="1"/>
      <c r="AJ3658" s="1"/>
      <c r="AK3658" s="1"/>
      <c r="AL3658" s="1"/>
      <c r="AM3658" s="1"/>
    </row>
    <row r="3659" spans="16:39" x14ac:dyDescent="0.25">
      <c r="P3659" s="49"/>
      <c r="Q3659" s="1"/>
      <c r="S3659" s="1"/>
      <c r="T3659" s="1"/>
      <c r="U3659" s="1"/>
      <c r="V3659" s="1"/>
      <c r="W3659" s="1"/>
      <c r="X3659" s="1"/>
      <c r="Y3659" s="1"/>
      <c r="AB3659" s="1"/>
      <c r="AC3659" s="1"/>
      <c r="AD3659" s="1"/>
      <c r="AE3659" s="1"/>
      <c r="AF3659" s="1"/>
      <c r="AG3659" s="1"/>
      <c r="AH3659" s="1"/>
      <c r="AI3659" s="1"/>
      <c r="AJ3659" s="1"/>
      <c r="AK3659" s="1"/>
      <c r="AL3659" s="1"/>
      <c r="AM3659" s="1"/>
    </row>
    <row r="3660" spans="16:39" x14ac:dyDescent="0.25">
      <c r="P3660" s="49"/>
      <c r="Q3660" s="1"/>
      <c r="S3660" s="1"/>
      <c r="T3660" s="1"/>
      <c r="U3660" s="1"/>
      <c r="V3660" s="1"/>
      <c r="W3660" s="1"/>
      <c r="X3660" s="1"/>
      <c r="Y3660" s="1"/>
      <c r="AB3660" s="1"/>
      <c r="AC3660" s="1"/>
      <c r="AD3660" s="1"/>
      <c r="AE3660" s="1"/>
      <c r="AF3660" s="1"/>
      <c r="AG3660" s="1"/>
      <c r="AH3660" s="1"/>
      <c r="AI3660" s="1"/>
      <c r="AJ3660" s="1"/>
      <c r="AK3660" s="1"/>
      <c r="AL3660" s="1"/>
      <c r="AM3660" s="1"/>
    </row>
    <row r="3661" spans="16:39" x14ac:dyDescent="0.25">
      <c r="P3661" s="49"/>
      <c r="Q3661" s="1"/>
      <c r="S3661" s="1"/>
      <c r="T3661" s="1"/>
      <c r="U3661" s="1"/>
      <c r="V3661" s="1"/>
      <c r="W3661" s="1"/>
      <c r="X3661" s="1"/>
      <c r="Y3661" s="1"/>
      <c r="AB3661" s="1"/>
      <c r="AC3661" s="1"/>
      <c r="AD3661" s="1"/>
      <c r="AE3661" s="1"/>
      <c r="AF3661" s="1"/>
      <c r="AG3661" s="1"/>
      <c r="AH3661" s="1"/>
      <c r="AI3661" s="1"/>
      <c r="AJ3661" s="1"/>
      <c r="AK3661" s="1"/>
      <c r="AL3661" s="1"/>
      <c r="AM3661" s="1"/>
    </row>
    <row r="3662" spans="16:39" x14ac:dyDescent="0.25">
      <c r="P3662" s="49"/>
      <c r="Q3662" s="1"/>
      <c r="S3662" s="1"/>
      <c r="T3662" s="1"/>
      <c r="U3662" s="1"/>
      <c r="V3662" s="1"/>
      <c r="W3662" s="1"/>
      <c r="X3662" s="1"/>
      <c r="Y3662" s="1"/>
      <c r="AB3662" s="1"/>
      <c r="AC3662" s="1"/>
      <c r="AD3662" s="1"/>
      <c r="AE3662" s="1"/>
      <c r="AF3662" s="1"/>
      <c r="AG3662" s="1"/>
      <c r="AH3662" s="1"/>
      <c r="AI3662" s="1"/>
      <c r="AJ3662" s="1"/>
      <c r="AK3662" s="1"/>
      <c r="AL3662" s="1"/>
      <c r="AM3662" s="1"/>
    </row>
    <row r="3663" spans="16:39" x14ac:dyDescent="0.25">
      <c r="P3663" s="49"/>
      <c r="Q3663" s="1"/>
      <c r="S3663" s="1"/>
      <c r="T3663" s="1"/>
      <c r="U3663" s="1"/>
      <c r="V3663" s="1"/>
      <c r="W3663" s="1"/>
      <c r="X3663" s="1"/>
      <c r="Y3663" s="1"/>
      <c r="AB3663" s="1"/>
      <c r="AC3663" s="1"/>
      <c r="AD3663" s="1"/>
      <c r="AE3663" s="1"/>
      <c r="AF3663" s="1"/>
      <c r="AG3663" s="1"/>
      <c r="AH3663" s="1"/>
      <c r="AI3663" s="1"/>
      <c r="AJ3663" s="1"/>
      <c r="AK3663" s="1"/>
      <c r="AL3663" s="1"/>
      <c r="AM3663" s="1"/>
    </row>
    <row r="3664" spans="16:39" x14ac:dyDescent="0.25">
      <c r="P3664" s="49"/>
      <c r="Q3664" s="1"/>
      <c r="S3664" s="1"/>
      <c r="T3664" s="1"/>
      <c r="U3664" s="1"/>
      <c r="V3664" s="1"/>
      <c r="W3664" s="1"/>
      <c r="X3664" s="1"/>
      <c r="Y3664" s="1"/>
      <c r="AB3664" s="1"/>
      <c r="AC3664" s="1"/>
      <c r="AD3664" s="1"/>
      <c r="AE3664" s="1"/>
      <c r="AF3664" s="1"/>
      <c r="AG3664" s="1"/>
      <c r="AH3664" s="1"/>
      <c r="AI3664" s="1"/>
      <c r="AJ3664" s="1"/>
      <c r="AK3664" s="1"/>
      <c r="AL3664" s="1"/>
      <c r="AM3664" s="1"/>
    </row>
    <row r="3665" spans="16:39" x14ac:dyDescent="0.25">
      <c r="P3665" s="49"/>
      <c r="Q3665" s="1"/>
      <c r="S3665" s="1"/>
      <c r="T3665" s="1"/>
      <c r="U3665" s="1"/>
      <c r="V3665" s="1"/>
      <c r="W3665" s="1"/>
      <c r="X3665" s="1"/>
      <c r="Y3665" s="1"/>
      <c r="AB3665" s="1"/>
      <c r="AC3665" s="1"/>
      <c r="AD3665" s="1"/>
      <c r="AE3665" s="1"/>
      <c r="AF3665" s="1"/>
      <c r="AG3665" s="1"/>
      <c r="AH3665" s="1"/>
      <c r="AI3665" s="1"/>
      <c r="AJ3665" s="1"/>
      <c r="AK3665" s="1"/>
      <c r="AL3665" s="1"/>
      <c r="AM3665" s="1"/>
    </row>
    <row r="3666" spans="16:39" x14ac:dyDescent="0.25">
      <c r="P3666" s="49"/>
      <c r="Q3666" s="1"/>
      <c r="S3666" s="1"/>
      <c r="T3666" s="1"/>
      <c r="U3666" s="1"/>
      <c r="V3666" s="1"/>
      <c r="W3666" s="1"/>
      <c r="X3666" s="1"/>
      <c r="Y3666" s="1"/>
      <c r="AB3666" s="1"/>
      <c r="AC3666" s="1"/>
      <c r="AD3666" s="1"/>
      <c r="AE3666" s="1"/>
      <c r="AF3666" s="1"/>
      <c r="AG3666" s="1"/>
      <c r="AH3666" s="1"/>
      <c r="AI3666" s="1"/>
      <c r="AJ3666" s="1"/>
      <c r="AK3666" s="1"/>
      <c r="AL3666" s="1"/>
      <c r="AM3666" s="1"/>
    </row>
    <row r="3667" spans="16:39" x14ac:dyDescent="0.25">
      <c r="P3667" s="49"/>
      <c r="Q3667" s="1"/>
      <c r="S3667" s="1"/>
      <c r="T3667" s="1"/>
      <c r="U3667" s="1"/>
      <c r="V3667" s="1"/>
      <c r="W3667" s="1"/>
      <c r="X3667" s="1"/>
      <c r="Y3667" s="1"/>
      <c r="AB3667" s="1"/>
      <c r="AC3667" s="1"/>
      <c r="AD3667" s="1"/>
      <c r="AE3667" s="1"/>
      <c r="AF3667" s="1"/>
      <c r="AG3667" s="1"/>
      <c r="AH3667" s="1"/>
      <c r="AI3667" s="1"/>
      <c r="AJ3667" s="1"/>
      <c r="AK3667" s="1"/>
      <c r="AL3667" s="1"/>
      <c r="AM3667" s="1"/>
    </row>
    <row r="3668" spans="16:39" x14ac:dyDescent="0.25">
      <c r="P3668" s="49"/>
      <c r="Q3668" s="1"/>
      <c r="S3668" s="1"/>
      <c r="T3668" s="1"/>
      <c r="U3668" s="1"/>
      <c r="V3668" s="1"/>
      <c r="W3668" s="1"/>
      <c r="X3668" s="1"/>
      <c r="Y3668" s="1"/>
      <c r="AB3668" s="1"/>
      <c r="AC3668" s="1"/>
      <c r="AD3668" s="1"/>
      <c r="AE3668" s="1"/>
      <c r="AF3668" s="1"/>
      <c r="AG3668" s="1"/>
      <c r="AH3668" s="1"/>
      <c r="AI3668" s="1"/>
      <c r="AJ3668" s="1"/>
      <c r="AK3668" s="1"/>
      <c r="AL3668" s="1"/>
      <c r="AM3668" s="1"/>
    </row>
    <row r="3669" spans="16:39" x14ac:dyDescent="0.25">
      <c r="P3669" s="49"/>
      <c r="Q3669" s="1"/>
      <c r="S3669" s="1"/>
      <c r="T3669" s="1"/>
      <c r="U3669" s="1"/>
      <c r="V3669" s="1"/>
      <c r="W3669" s="1"/>
      <c r="X3669" s="1"/>
      <c r="Y3669" s="1"/>
      <c r="AB3669" s="1"/>
      <c r="AC3669" s="1"/>
      <c r="AD3669" s="1"/>
      <c r="AE3669" s="1"/>
      <c r="AF3669" s="1"/>
      <c r="AG3669" s="1"/>
      <c r="AH3669" s="1"/>
      <c r="AI3669" s="1"/>
      <c r="AJ3669" s="1"/>
      <c r="AK3669" s="1"/>
      <c r="AL3669" s="1"/>
      <c r="AM3669" s="1"/>
    </row>
    <row r="3670" spans="16:39" x14ac:dyDescent="0.25">
      <c r="P3670" s="49"/>
      <c r="Q3670" s="1"/>
      <c r="S3670" s="1"/>
      <c r="T3670" s="1"/>
      <c r="U3670" s="1"/>
      <c r="V3670" s="1"/>
      <c r="W3670" s="1"/>
      <c r="X3670" s="1"/>
      <c r="Y3670" s="1"/>
      <c r="AB3670" s="1"/>
      <c r="AC3670" s="1"/>
      <c r="AD3670" s="1"/>
      <c r="AE3670" s="1"/>
      <c r="AF3670" s="1"/>
      <c r="AG3670" s="1"/>
      <c r="AH3670" s="1"/>
      <c r="AI3670" s="1"/>
      <c r="AJ3670" s="1"/>
      <c r="AK3670" s="1"/>
      <c r="AL3670" s="1"/>
      <c r="AM3670" s="1"/>
    </row>
    <row r="3671" spans="16:39" x14ac:dyDescent="0.25">
      <c r="P3671" s="49"/>
      <c r="Q3671" s="1"/>
      <c r="S3671" s="1"/>
      <c r="T3671" s="1"/>
      <c r="U3671" s="1"/>
      <c r="V3671" s="1"/>
      <c r="W3671" s="1"/>
      <c r="X3671" s="1"/>
      <c r="Y3671" s="1"/>
      <c r="AB3671" s="1"/>
      <c r="AC3671" s="1"/>
      <c r="AD3671" s="1"/>
      <c r="AE3671" s="1"/>
      <c r="AF3671" s="1"/>
      <c r="AG3671" s="1"/>
      <c r="AH3671" s="1"/>
      <c r="AI3671" s="1"/>
      <c r="AJ3671" s="1"/>
      <c r="AK3671" s="1"/>
      <c r="AL3671" s="1"/>
      <c r="AM3671" s="1"/>
    </row>
    <row r="3672" spans="16:39" x14ac:dyDescent="0.25">
      <c r="P3672" s="49"/>
      <c r="Q3672" s="1"/>
      <c r="S3672" s="1"/>
      <c r="T3672" s="1"/>
      <c r="U3672" s="1"/>
      <c r="V3672" s="1"/>
      <c r="W3672" s="1"/>
      <c r="X3672" s="1"/>
      <c r="Y3672" s="1"/>
      <c r="AB3672" s="1"/>
      <c r="AC3672" s="1"/>
      <c r="AD3672" s="1"/>
      <c r="AE3672" s="1"/>
      <c r="AF3672" s="1"/>
      <c r="AG3672" s="1"/>
      <c r="AH3672" s="1"/>
      <c r="AI3672" s="1"/>
      <c r="AJ3672" s="1"/>
      <c r="AK3672" s="1"/>
      <c r="AL3672" s="1"/>
      <c r="AM3672" s="1"/>
    </row>
    <row r="3673" spans="16:39" x14ac:dyDescent="0.25">
      <c r="P3673" s="49"/>
      <c r="Q3673" s="1"/>
      <c r="S3673" s="1"/>
      <c r="T3673" s="1"/>
      <c r="U3673" s="1"/>
      <c r="V3673" s="1"/>
      <c r="W3673" s="1"/>
      <c r="X3673" s="1"/>
      <c r="Y3673" s="1"/>
      <c r="AB3673" s="1"/>
      <c r="AC3673" s="1"/>
      <c r="AD3673" s="1"/>
      <c r="AE3673" s="1"/>
      <c r="AF3673" s="1"/>
      <c r="AG3673" s="1"/>
      <c r="AH3673" s="1"/>
      <c r="AI3673" s="1"/>
      <c r="AJ3673" s="1"/>
      <c r="AK3673" s="1"/>
      <c r="AL3673" s="1"/>
      <c r="AM3673" s="1"/>
    </row>
    <row r="3674" spans="16:39" x14ac:dyDescent="0.25">
      <c r="P3674" s="49"/>
      <c r="Q3674" s="1"/>
      <c r="S3674" s="1"/>
      <c r="T3674" s="1"/>
      <c r="U3674" s="1"/>
      <c r="V3674" s="1"/>
      <c r="W3674" s="1"/>
      <c r="X3674" s="1"/>
      <c r="Y3674" s="1"/>
      <c r="AB3674" s="1"/>
      <c r="AC3674" s="1"/>
      <c r="AD3674" s="1"/>
      <c r="AE3674" s="1"/>
      <c r="AF3674" s="1"/>
      <c r="AG3674" s="1"/>
      <c r="AH3674" s="1"/>
      <c r="AI3674" s="1"/>
      <c r="AJ3674" s="1"/>
      <c r="AK3674" s="1"/>
      <c r="AL3674" s="1"/>
      <c r="AM3674" s="1"/>
    </row>
    <row r="3675" spans="16:39" x14ac:dyDescent="0.25">
      <c r="P3675" s="49"/>
      <c r="Q3675" s="1"/>
      <c r="S3675" s="1"/>
      <c r="T3675" s="1"/>
      <c r="U3675" s="1"/>
      <c r="V3675" s="1"/>
      <c r="W3675" s="1"/>
      <c r="X3675" s="1"/>
      <c r="Y3675" s="1"/>
      <c r="AB3675" s="1"/>
      <c r="AC3675" s="1"/>
      <c r="AD3675" s="1"/>
      <c r="AE3675" s="1"/>
      <c r="AF3675" s="1"/>
      <c r="AG3675" s="1"/>
      <c r="AH3675" s="1"/>
      <c r="AI3675" s="1"/>
      <c r="AJ3675" s="1"/>
      <c r="AK3675" s="1"/>
      <c r="AL3675" s="1"/>
      <c r="AM3675" s="1"/>
    </row>
    <row r="3676" spans="16:39" x14ac:dyDescent="0.25">
      <c r="P3676" s="49"/>
      <c r="Q3676" s="1"/>
      <c r="S3676" s="1"/>
      <c r="T3676" s="1"/>
      <c r="U3676" s="1"/>
      <c r="V3676" s="1"/>
      <c r="W3676" s="1"/>
      <c r="X3676" s="1"/>
      <c r="Y3676" s="1"/>
      <c r="AB3676" s="1"/>
      <c r="AC3676" s="1"/>
      <c r="AD3676" s="1"/>
      <c r="AE3676" s="1"/>
      <c r="AF3676" s="1"/>
      <c r="AG3676" s="1"/>
      <c r="AH3676" s="1"/>
      <c r="AI3676" s="1"/>
      <c r="AJ3676" s="1"/>
      <c r="AK3676" s="1"/>
      <c r="AL3676" s="1"/>
      <c r="AM3676" s="1"/>
    </row>
    <row r="3677" spans="16:39" x14ac:dyDescent="0.25">
      <c r="P3677" s="49"/>
      <c r="Q3677" s="1"/>
      <c r="S3677" s="1"/>
      <c r="T3677" s="1"/>
      <c r="U3677" s="1"/>
      <c r="V3677" s="1"/>
      <c r="W3677" s="1"/>
      <c r="X3677" s="1"/>
      <c r="Y3677" s="1"/>
      <c r="AB3677" s="1"/>
      <c r="AC3677" s="1"/>
      <c r="AD3677" s="1"/>
      <c r="AE3677" s="1"/>
      <c r="AF3677" s="1"/>
      <c r="AG3677" s="1"/>
      <c r="AH3677" s="1"/>
      <c r="AI3677" s="1"/>
      <c r="AJ3677" s="1"/>
      <c r="AK3677" s="1"/>
      <c r="AL3677" s="1"/>
      <c r="AM3677" s="1"/>
    </row>
    <row r="3678" spans="16:39" x14ac:dyDescent="0.25">
      <c r="P3678" s="49"/>
      <c r="Q3678" s="1"/>
      <c r="S3678" s="1"/>
      <c r="T3678" s="1"/>
      <c r="U3678" s="1"/>
      <c r="V3678" s="1"/>
      <c r="W3678" s="1"/>
      <c r="X3678" s="1"/>
      <c r="Y3678" s="1"/>
      <c r="AB3678" s="1"/>
      <c r="AC3678" s="1"/>
      <c r="AD3678" s="1"/>
      <c r="AE3678" s="1"/>
      <c r="AF3678" s="1"/>
      <c r="AG3678" s="1"/>
      <c r="AH3678" s="1"/>
      <c r="AI3678" s="1"/>
      <c r="AJ3678" s="1"/>
      <c r="AK3678" s="1"/>
      <c r="AL3678" s="1"/>
      <c r="AM3678" s="1"/>
    </row>
    <row r="3679" spans="16:39" x14ac:dyDescent="0.25">
      <c r="P3679" s="49"/>
      <c r="Q3679" s="1"/>
      <c r="S3679" s="1"/>
      <c r="T3679" s="1"/>
      <c r="U3679" s="1"/>
      <c r="V3679" s="1"/>
      <c r="W3679" s="1"/>
      <c r="X3679" s="1"/>
      <c r="Y3679" s="1"/>
      <c r="AB3679" s="1"/>
      <c r="AC3679" s="1"/>
      <c r="AD3679" s="1"/>
      <c r="AE3679" s="1"/>
      <c r="AF3679" s="1"/>
      <c r="AG3679" s="1"/>
      <c r="AH3679" s="1"/>
      <c r="AI3679" s="1"/>
      <c r="AJ3679" s="1"/>
      <c r="AK3679" s="1"/>
      <c r="AL3679" s="1"/>
      <c r="AM3679" s="1"/>
    </row>
    <row r="3680" spans="16:39" x14ac:dyDescent="0.25">
      <c r="P3680" s="49"/>
      <c r="Q3680" s="1"/>
      <c r="S3680" s="1"/>
      <c r="T3680" s="1"/>
      <c r="U3680" s="1"/>
      <c r="V3680" s="1"/>
      <c r="W3680" s="1"/>
      <c r="X3680" s="1"/>
      <c r="Y3680" s="1"/>
      <c r="AB3680" s="1"/>
      <c r="AC3680" s="1"/>
      <c r="AD3680" s="1"/>
      <c r="AE3680" s="1"/>
      <c r="AF3680" s="1"/>
      <c r="AG3680" s="1"/>
      <c r="AH3680" s="1"/>
      <c r="AI3680" s="1"/>
      <c r="AJ3680" s="1"/>
      <c r="AK3680" s="1"/>
      <c r="AL3680" s="1"/>
      <c r="AM3680" s="1"/>
    </row>
    <row r="3681" spans="16:39" x14ac:dyDescent="0.25">
      <c r="P3681" s="49"/>
      <c r="Q3681" s="1"/>
      <c r="S3681" s="1"/>
      <c r="T3681" s="1"/>
      <c r="U3681" s="1"/>
      <c r="V3681" s="1"/>
      <c r="W3681" s="1"/>
      <c r="X3681" s="1"/>
      <c r="Y3681" s="1"/>
      <c r="AB3681" s="1"/>
      <c r="AC3681" s="1"/>
      <c r="AD3681" s="1"/>
      <c r="AE3681" s="1"/>
      <c r="AF3681" s="1"/>
      <c r="AG3681" s="1"/>
      <c r="AH3681" s="1"/>
      <c r="AI3681" s="1"/>
      <c r="AJ3681" s="1"/>
      <c r="AK3681" s="1"/>
      <c r="AL3681" s="1"/>
      <c r="AM3681" s="1"/>
    </row>
    <row r="3682" spans="16:39" x14ac:dyDescent="0.25">
      <c r="P3682" s="49"/>
      <c r="Q3682" s="1"/>
      <c r="S3682" s="1"/>
      <c r="T3682" s="1"/>
      <c r="U3682" s="1"/>
      <c r="V3682" s="1"/>
      <c r="W3682" s="1"/>
      <c r="X3682" s="1"/>
      <c r="Y3682" s="1"/>
      <c r="AB3682" s="1"/>
      <c r="AC3682" s="1"/>
      <c r="AD3682" s="1"/>
      <c r="AE3682" s="1"/>
      <c r="AF3682" s="1"/>
      <c r="AG3682" s="1"/>
      <c r="AH3682" s="1"/>
      <c r="AI3682" s="1"/>
      <c r="AJ3682" s="1"/>
      <c r="AK3682" s="1"/>
      <c r="AL3682" s="1"/>
      <c r="AM3682" s="1"/>
    </row>
    <row r="3683" spans="16:39" x14ac:dyDescent="0.25">
      <c r="P3683" s="49"/>
      <c r="Q3683" s="1"/>
      <c r="S3683" s="1"/>
      <c r="T3683" s="1"/>
      <c r="U3683" s="1"/>
      <c r="V3683" s="1"/>
      <c r="W3683" s="1"/>
      <c r="X3683" s="1"/>
      <c r="Y3683" s="1"/>
      <c r="AB3683" s="1"/>
      <c r="AC3683" s="1"/>
      <c r="AD3683" s="1"/>
      <c r="AE3683" s="1"/>
      <c r="AF3683" s="1"/>
      <c r="AG3683" s="1"/>
      <c r="AH3683" s="1"/>
      <c r="AI3683" s="1"/>
      <c r="AJ3683" s="1"/>
      <c r="AK3683" s="1"/>
      <c r="AL3683" s="1"/>
      <c r="AM3683" s="1"/>
    </row>
    <row r="3684" spans="16:39" x14ac:dyDescent="0.25">
      <c r="P3684" s="49"/>
      <c r="Q3684" s="1"/>
      <c r="S3684" s="1"/>
      <c r="T3684" s="1"/>
      <c r="U3684" s="1"/>
      <c r="V3684" s="1"/>
      <c r="W3684" s="1"/>
      <c r="X3684" s="1"/>
      <c r="Y3684" s="1"/>
      <c r="AB3684" s="1"/>
      <c r="AC3684" s="1"/>
      <c r="AD3684" s="1"/>
      <c r="AE3684" s="1"/>
      <c r="AF3684" s="1"/>
      <c r="AG3684" s="1"/>
      <c r="AH3684" s="1"/>
      <c r="AI3684" s="1"/>
      <c r="AJ3684" s="1"/>
      <c r="AK3684" s="1"/>
      <c r="AL3684" s="1"/>
      <c r="AM3684" s="1"/>
    </row>
    <row r="3685" spans="16:39" x14ac:dyDescent="0.25">
      <c r="P3685" s="49"/>
      <c r="Q3685" s="1"/>
      <c r="S3685" s="1"/>
      <c r="T3685" s="1"/>
      <c r="U3685" s="1"/>
      <c r="V3685" s="1"/>
      <c r="W3685" s="1"/>
      <c r="X3685" s="1"/>
      <c r="Y3685" s="1"/>
      <c r="AB3685" s="1"/>
      <c r="AC3685" s="1"/>
      <c r="AD3685" s="1"/>
      <c r="AE3685" s="1"/>
      <c r="AF3685" s="1"/>
      <c r="AG3685" s="1"/>
      <c r="AH3685" s="1"/>
      <c r="AI3685" s="1"/>
      <c r="AJ3685" s="1"/>
      <c r="AK3685" s="1"/>
      <c r="AL3685" s="1"/>
      <c r="AM3685" s="1"/>
    </row>
    <row r="3686" spans="16:39" x14ac:dyDescent="0.25">
      <c r="P3686" s="49"/>
      <c r="Q3686" s="1"/>
      <c r="S3686" s="1"/>
      <c r="T3686" s="1"/>
      <c r="U3686" s="1"/>
      <c r="V3686" s="1"/>
      <c r="W3686" s="1"/>
      <c r="X3686" s="1"/>
      <c r="Y3686" s="1"/>
      <c r="AB3686" s="1"/>
      <c r="AC3686" s="1"/>
      <c r="AD3686" s="1"/>
      <c r="AE3686" s="1"/>
      <c r="AF3686" s="1"/>
      <c r="AG3686" s="1"/>
      <c r="AH3686" s="1"/>
      <c r="AI3686" s="1"/>
      <c r="AJ3686" s="1"/>
      <c r="AK3686" s="1"/>
      <c r="AL3686" s="1"/>
      <c r="AM3686" s="1"/>
    </row>
    <row r="3687" spans="16:39" x14ac:dyDescent="0.25">
      <c r="P3687" s="49"/>
      <c r="Q3687" s="1"/>
      <c r="S3687" s="1"/>
      <c r="T3687" s="1"/>
      <c r="U3687" s="1"/>
      <c r="V3687" s="1"/>
      <c r="W3687" s="1"/>
      <c r="X3687" s="1"/>
      <c r="Y3687" s="1"/>
      <c r="AB3687" s="1"/>
      <c r="AC3687" s="1"/>
      <c r="AD3687" s="1"/>
      <c r="AE3687" s="1"/>
      <c r="AF3687" s="1"/>
      <c r="AG3687" s="1"/>
      <c r="AH3687" s="1"/>
      <c r="AI3687" s="1"/>
      <c r="AJ3687" s="1"/>
      <c r="AK3687" s="1"/>
      <c r="AL3687" s="1"/>
      <c r="AM3687" s="1"/>
    </row>
    <row r="3688" spans="16:39" x14ac:dyDescent="0.25">
      <c r="P3688" s="49"/>
      <c r="Q3688" s="1"/>
      <c r="S3688" s="1"/>
      <c r="T3688" s="1"/>
      <c r="U3688" s="1"/>
      <c r="V3688" s="1"/>
      <c r="W3688" s="1"/>
      <c r="X3688" s="1"/>
      <c r="Y3688" s="1"/>
      <c r="AB3688" s="1"/>
      <c r="AC3688" s="1"/>
      <c r="AD3688" s="1"/>
      <c r="AE3688" s="1"/>
      <c r="AF3688" s="1"/>
      <c r="AG3688" s="1"/>
      <c r="AH3688" s="1"/>
      <c r="AI3688" s="1"/>
      <c r="AJ3688" s="1"/>
      <c r="AK3688" s="1"/>
      <c r="AL3688" s="1"/>
      <c r="AM3688" s="1"/>
    </row>
    <row r="3689" spans="16:39" x14ac:dyDescent="0.25">
      <c r="P3689" s="49"/>
      <c r="Q3689" s="1"/>
      <c r="S3689" s="1"/>
      <c r="T3689" s="1"/>
      <c r="U3689" s="1"/>
      <c r="V3689" s="1"/>
      <c r="W3689" s="1"/>
      <c r="X3689" s="1"/>
      <c r="Y3689" s="1"/>
      <c r="AB3689" s="1"/>
      <c r="AC3689" s="1"/>
      <c r="AD3689" s="1"/>
      <c r="AE3689" s="1"/>
      <c r="AF3689" s="1"/>
      <c r="AG3689" s="1"/>
      <c r="AH3689" s="1"/>
      <c r="AI3689" s="1"/>
      <c r="AJ3689" s="1"/>
      <c r="AK3689" s="1"/>
      <c r="AL3689" s="1"/>
      <c r="AM3689" s="1"/>
    </row>
    <row r="3690" spans="16:39" x14ac:dyDescent="0.25">
      <c r="P3690" s="49"/>
      <c r="Q3690" s="1"/>
      <c r="S3690" s="1"/>
      <c r="T3690" s="1"/>
      <c r="U3690" s="1"/>
      <c r="V3690" s="1"/>
      <c r="W3690" s="1"/>
      <c r="X3690" s="1"/>
      <c r="Y3690" s="1"/>
      <c r="AB3690" s="1"/>
      <c r="AC3690" s="1"/>
      <c r="AD3690" s="1"/>
      <c r="AE3690" s="1"/>
      <c r="AF3690" s="1"/>
      <c r="AG3690" s="1"/>
      <c r="AH3690" s="1"/>
      <c r="AI3690" s="1"/>
      <c r="AJ3690" s="1"/>
      <c r="AK3690" s="1"/>
      <c r="AL3690" s="1"/>
      <c r="AM3690" s="1"/>
    </row>
    <row r="3691" spans="16:39" x14ac:dyDescent="0.25">
      <c r="P3691" s="49"/>
      <c r="Q3691" s="1"/>
      <c r="S3691" s="1"/>
      <c r="T3691" s="1"/>
      <c r="U3691" s="1"/>
      <c r="V3691" s="1"/>
      <c r="W3691" s="1"/>
      <c r="X3691" s="1"/>
      <c r="Y3691" s="1"/>
      <c r="AB3691" s="1"/>
      <c r="AC3691" s="1"/>
      <c r="AD3691" s="1"/>
      <c r="AE3691" s="1"/>
      <c r="AF3691" s="1"/>
      <c r="AG3691" s="1"/>
      <c r="AH3691" s="1"/>
      <c r="AI3691" s="1"/>
      <c r="AJ3691" s="1"/>
      <c r="AK3691" s="1"/>
      <c r="AL3691" s="1"/>
      <c r="AM3691" s="1"/>
    </row>
    <row r="3692" spans="16:39" x14ac:dyDescent="0.25">
      <c r="P3692" s="49"/>
      <c r="Q3692" s="1"/>
      <c r="S3692" s="1"/>
      <c r="T3692" s="1"/>
      <c r="U3692" s="1"/>
      <c r="V3692" s="1"/>
      <c r="W3692" s="1"/>
      <c r="X3692" s="1"/>
      <c r="Y3692" s="1"/>
      <c r="AB3692" s="1"/>
      <c r="AC3692" s="1"/>
      <c r="AD3692" s="1"/>
      <c r="AE3692" s="1"/>
      <c r="AF3692" s="1"/>
      <c r="AG3692" s="1"/>
      <c r="AH3692" s="1"/>
      <c r="AI3692" s="1"/>
      <c r="AJ3692" s="1"/>
      <c r="AK3692" s="1"/>
      <c r="AL3692" s="1"/>
      <c r="AM3692" s="1"/>
    </row>
    <row r="3693" spans="16:39" x14ac:dyDescent="0.25">
      <c r="P3693" s="49"/>
      <c r="Q3693" s="1"/>
      <c r="S3693" s="1"/>
      <c r="T3693" s="1"/>
      <c r="U3693" s="1"/>
      <c r="V3693" s="1"/>
      <c r="W3693" s="1"/>
      <c r="X3693" s="1"/>
      <c r="Y3693" s="1"/>
      <c r="AB3693" s="1"/>
      <c r="AC3693" s="1"/>
      <c r="AD3693" s="1"/>
      <c r="AE3693" s="1"/>
      <c r="AF3693" s="1"/>
      <c r="AG3693" s="1"/>
      <c r="AH3693" s="1"/>
      <c r="AI3693" s="1"/>
      <c r="AJ3693" s="1"/>
      <c r="AK3693" s="1"/>
      <c r="AL3693" s="1"/>
      <c r="AM3693" s="1"/>
    </row>
    <row r="3694" spans="16:39" x14ac:dyDescent="0.25">
      <c r="P3694" s="49"/>
      <c r="Q3694" s="1"/>
      <c r="S3694" s="1"/>
      <c r="T3694" s="1"/>
      <c r="U3694" s="1"/>
      <c r="V3694" s="1"/>
      <c r="W3694" s="1"/>
      <c r="X3694" s="1"/>
      <c r="Y3694" s="1"/>
      <c r="AB3694" s="1"/>
      <c r="AC3694" s="1"/>
      <c r="AD3694" s="1"/>
      <c r="AE3694" s="1"/>
      <c r="AF3694" s="1"/>
      <c r="AG3694" s="1"/>
      <c r="AH3694" s="1"/>
      <c r="AI3694" s="1"/>
      <c r="AJ3694" s="1"/>
      <c r="AK3694" s="1"/>
      <c r="AL3694" s="1"/>
      <c r="AM3694" s="1"/>
    </row>
    <row r="3695" spans="16:39" x14ac:dyDescent="0.25">
      <c r="P3695" s="49"/>
      <c r="Q3695" s="1"/>
      <c r="S3695" s="1"/>
      <c r="T3695" s="1"/>
      <c r="U3695" s="1"/>
      <c r="V3695" s="1"/>
      <c r="W3695" s="1"/>
      <c r="X3695" s="1"/>
      <c r="Y3695" s="1"/>
      <c r="AB3695" s="1"/>
      <c r="AC3695" s="1"/>
      <c r="AD3695" s="1"/>
      <c r="AE3695" s="1"/>
      <c r="AF3695" s="1"/>
      <c r="AG3695" s="1"/>
      <c r="AH3695" s="1"/>
      <c r="AI3695" s="1"/>
      <c r="AJ3695" s="1"/>
      <c r="AK3695" s="1"/>
      <c r="AL3695" s="1"/>
      <c r="AM3695" s="1"/>
    </row>
    <row r="3696" spans="16:39" x14ac:dyDescent="0.25">
      <c r="P3696" s="49"/>
      <c r="Q3696" s="1"/>
      <c r="S3696" s="1"/>
      <c r="T3696" s="1"/>
      <c r="U3696" s="1"/>
      <c r="V3696" s="1"/>
      <c r="W3696" s="1"/>
      <c r="X3696" s="1"/>
      <c r="Y3696" s="1"/>
      <c r="AB3696" s="1"/>
      <c r="AC3696" s="1"/>
      <c r="AD3696" s="1"/>
      <c r="AE3696" s="1"/>
      <c r="AF3696" s="1"/>
      <c r="AG3696" s="1"/>
      <c r="AH3696" s="1"/>
      <c r="AI3696" s="1"/>
      <c r="AJ3696" s="1"/>
      <c r="AK3696" s="1"/>
      <c r="AL3696" s="1"/>
      <c r="AM3696" s="1"/>
    </row>
    <row r="3697" spans="16:39" x14ac:dyDescent="0.25">
      <c r="P3697" s="49"/>
      <c r="Q3697" s="1"/>
      <c r="S3697" s="1"/>
      <c r="T3697" s="1"/>
      <c r="U3697" s="1"/>
      <c r="V3697" s="1"/>
      <c r="W3697" s="1"/>
      <c r="X3697" s="1"/>
      <c r="Y3697" s="1"/>
      <c r="AB3697" s="1"/>
      <c r="AC3697" s="1"/>
      <c r="AD3697" s="1"/>
      <c r="AE3697" s="1"/>
      <c r="AF3697" s="1"/>
      <c r="AG3697" s="1"/>
      <c r="AH3697" s="1"/>
      <c r="AI3697" s="1"/>
      <c r="AJ3697" s="1"/>
      <c r="AK3697" s="1"/>
      <c r="AL3697" s="1"/>
      <c r="AM3697" s="1"/>
    </row>
    <row r="3698" spans="16:39" x14ac:dyDescent="0.25">
      <c r="P3698" s="49"/>
      <c r="Q3698" s="1"/>
      <c r="S3698" s="1"/>
      <c r="T3698" s="1"/>
      <c r="U3698" s="1"/>
      <c r="V3698" s="1"/>
      <c r="W3698" s="1"/>
      <c r="X3698" s="1"/>
      <c r="Y3698" s="1"/>
      <c r="AB3698" s="1"/>
      <c r="AC3698" s="1"/>
      <c r="AD3698" s="1"/>
      <c r="AE3698" s="1"/>
      <c r="AF3698" s="1"/>
      <c r="AG3698" s="1"/>
      <c r="AH3698" s="1"/>
      <c r="AI3698" s="1"/>
      <c r="AJ3698" s="1"/>
      <c r="AK3698" s="1"/>
      <c r="AL3698" s="1"/>
      <c r="AM3698" s="1"/>
    </row>
    <row r="3699" spans="16:39" x14ac:dyDescent="0.25">
      <c r="P3699" s="49"/>
      <c r="Q3699" s="1"/>
      <c r="S3699" s="1"/>
      <c r="T3699" s="1"/>
      <c r="U3699" s="1"/>
      <c r="V3699" s="1"/>
      <c r="W3699" s="1"/>
      <c r="X3699" s="1"/>
      <c r="Y3699" s="1"/>
      <c r="AB3699" s="1"/>
      <c r="AC3699" s="1"/>
      <c r="AD3699" s="1"/>
      <c r="AE3699" s="1"/>
      <c r="AF3699" s="1"/>
      <c r="AG3699" s="1"/>
      <c r="AH3699" s="1"/>
      <c r="AI3699" s="1"/>
      <c r="AJ3699" s="1"/>
      <c r="AK3699" s="1"/>
      <c r="AL3699" s="1"/>
      <c r="AM3699" s="1"/>
    </row>
    <row r="3700" spans="16:39" x14ac:dyDescent="0.25">
      <c r="P3700" s="49"/>
      <c r="Q3700" s="1"/>
      <c r="S3700" s="1"/>
      <c r="T3700" s="1"/>
      <c r="U3700" s="1"/>
      <c r="V3700" s="1"/>
      <c r="W3700" s="1"/>
      <c r="X3700" s="1"/>
      <c r="Y3700" s="1"/>
      <c r="AB3700" s="1"/>
      <c r="AC3700" s="1"/>
      <c r="AD3700" s="1"/>
      <c r="AE3700" s="1"/>
      <c r="AF3700" s="1"/>
      <c r="AG3700" s="1"/>
      <c r="AH3700" s="1"/>
      <c r="AI3700" s="1"/>
      <c r="AJ3700" s="1"/>
      <c r="AK3700" s="1"/>
      <c r="AL3700" s="1"/>
      <c r="AM3700" s="1"/>
    </row>
    <row r="3701" spans="16:39" x14ac:dyDescent="0.25">
      <c r="P3701" s="49"/>
      <c r="Q3701" s="1"/>
      <c r="S3701" s="1"/>
      <c r="T3701" s="1"/>
      <c r="U3701" s="1"/>
      <c r="V3701" s="1"/>
      <c r="W3701" s="1"/>
      <c r="X3701" s="1"/>
      <c r="Y3701" s="1"/>
      <c r="AB3701" s="1"/>
      <c r="AC3701" s="1"/>
      <c r="AD3701" s="1"/>
      <c r="AE3701" s="1"/>
      <c r="AF3701" s="1"/>
      <c r="AG3701" s="1"/>
      <c r="AH3701" s="1"/>
      <c r="AI3701" s="1"/>
      <c r="AJ3701" s="1"/>
      <c r="AK3701" s="1"/>
      <c r="AL3701" s="1"/>
      <c r="AM3701" s="1"/>
    </row>
    <row r="3702" spans="16:39" x14ac:dyDescent="0.25">
      <c r="P3702" s="49"/>
      <c r="Q3702" s="1"/>
      <c r="S3702" s="1"/>
      <c r="T3702" s="1"/>
      <c r="U3702" s="1"/>
      <c r="V3702" s="1"/>
      <c r="W3702" s="1"/>
      <c r="X3702" s="1"/>
      <c r="Y3702" s="1"/>
      <c r="AB3702" s="1"/>
      <c r="AC3702" s="1"/>
      <c r="AD3702" s="1"/>
      <c r="AE3702" s="1"/>
      <c r="AF3702" s="1"/>
      <c r="AG3702" s="1"/>
      <c r="AH3702" s="1"/>
      <c r="AI3702" s="1"/>
      <c r="AJ3702" s="1"/>
      <c r="AK3702" s="1"/>
      <c r="AL3702" s="1"/>
      <c r="AM3702" s="1"/>
    </row>
    <row r="3703" spans="16:39" x14ac:dyDescent="0.25">
      <c r="P3703" s="49"/>
      <c r="Q3703" s="1"/>
      <c r="S3703" s="1"/>
      <c r="T3703" s="1"/>
      <c r="U3703" s="1"/>
      <c r="V3703" s="1"/>
      <c r="W3703" s="1"/>
      <c r="X3703" s="1"/>
      <c r="Y3703" s="1"/>
      <c r="AB3703" s="1"/>
      <c r="AC3703" s="1"/>
      <c r="AD3703" s="1"/>
      <c r="AE3703" s="1"/>
      <c r="AF3703" s="1"/>
      <c r="AG3703" s="1"/>
      <c r="AH3703" s="1"/>
      <c r="AI3703" s="1"/>
      <c r="AJ3703" s="1"/>
      <c r="AK3703" s="1"/>
      <c r="AL3703" s="1"/>
      <c r="AM3703" s="1"/>
    </row>
    <row r="3704" spans="16:39" x14ac:dyDescent="0.25">
      <c r="P3704" s="49"/>
      <c r="Q3704" s="1"/>
      <c r="S3704" s="1"/>
      <c r="T3704" s="1"/>
      <c r="U3704" s="1"/>
      <c r="V3704" s="1"/>
      <c r="W3704" s="1"/>
      <c r="X3704" s="1"/>
      <c r="Y3704" s="1"/>
      <c r="AB3704" s="1"/>
      <c r="AC3704" s="1"/>
      <c r="AD3704" s="1"/>
      <c r="AE3704" s="1"/>
      <c r="AF3704" s="1"/>
      <c r="AG3704" s="1"/>
      <c r="AH3704" s="1"/>
      <c r="AI3704" s="1"/>
      <c r="AJ3704" s="1"/>
      <c r="AK3704" s="1"/>
      <c r="AL3704" s="1"/>
      <c r="AM3704" s="1"/>
    </row>
    <row r="3705" spans="16:39" x14ac:dyDescent="0.25">
      <c r="P3705" s="49"/>
      <c r="Q3705" s="1"/>
      <c r="S3705" s="1"/>
      <c r="T3705" s="1"/>
      <c r="U3705" s="1"/>
      <c r="V3705" s="1"/>
      <c r="W3705" s="1"/>
      <c r="X3705" s="1"/>
      <c r="Y3705" s="1"/>
      <c r="AB3705" s="1"/>
      <c r="AC3705" s="1"/>
      <c r="AD3705" s="1"/>
      <c r="AE3705" s="1"/>
      <c r="AF3705" s="1"/>
      <c r="AG3705" s="1"/>
      <c r="AH3705" s="1"/>
      <c r="AI3705" s="1"/>
      <c r="AJ3705" s="1"/>
      <c r="AK3705" s="1"/>
      <c r="AL3705" s="1"/>
      <c r="AM3705" s="1"/>
    </row>
    <row r="3706" spans="16:39" x14ac:dyDescent="0.25">
      <c r="P3706" s="49"/>
      <c r="Q3706" s="1"/>
      <c r="S3706" s="1"/>
      <c r="T3706" s="1"/>
      <c r="U3706" s="1"/>
      <c r="V3706" s="1"/>
      <c r="W3706" s="1"/>
      <c r="X3706" s="1"/>
      <c r="Y3706" s="1"/>
      <c r="AB3706" s="1"/>
      <c r="AC3706" s="1"/>
      <c r="AD3706" s="1"/>
      <c r="AE3706" s="1"/>
      <c r="AF3706" s="1"/>
      <c r="AG3706" s="1"/>
      <c r="AH3706" s="1"/>
      <c r="AI3706" s="1"/>
      <c r="AJ3706" s="1"/>
      <c r="AK3706" s="1"/>
      <c r="AL3706" s="1"/>
      <c r="AM3706" s="1"/>
    </row>
    <row r="3707" spans="16:39" x14ac:dyDescent="0.25">
      <c r="P3707" s="49"/>
      <c r="Q3707" s="1"/>
      <c r="S3707" s="1"/>
      <c r="T3707" s="1"/>
      <c r="U3707" s="1"/>
      <c r="V3707" s="1"/>
      <c r="W3707" s="1"/>
      <c r="X3707" s="1"/>
      <c r="Y3707" s="1"/>
      <c r="AB3707" s="1"/>
      <c r="AC3707" s="1"/>
      <c r="AD3707" s="1"/>
      <c r="AE3707" s="1"/>
      <c r="AF3707" s="1"/>
      <c r="AG3707" s="1"/>
      <c r="AH3707" s="1"/>
      <c r="AI3707" s="1"/>
      <c r="AJ3707" s="1"/>
      <c r="AK3707" s="1"/>
      <c r="AL3707" s="1"/>
      <c r="AM3707" s="1"/>
    </row>
    <row r="3708" spans="16:39" x14ac:dyDescent="0.25">
      <c r="P3708" s="49"/>
      <c r="Q3708" s="1"/>
      <c r="S3708" s="1"/>
      <c r="T3708" s="1"/>
      <c r="U3708" s="1"/>
      <c r="V3708" s="1"/>
      <c r="W3708" s="1"/>
      <c r="X3708" s="1"/>
      <c r="Y3708" s="1"/>
      <c r="AB3708" s="1"/>
      <c r="AC3708" s="1"/>
      <c r="AD3708" s="1"/>
      <c r="AE3708" s="1"/>
      <c r="AF3708" s="1"/>
      <c r="AG3708" s="1"/>
      <c r="AH3708" s="1"/>
      <c r="AI3708" s="1"/>
      <c r="AJ3708" s="1"/>
      <c r="AK3708" s="1"/>
      <c r="AL3708" s="1"/>
      <c r="AM3708" s="1"/>
    </row>
    <row r="3709" spans="16:39" x14ac:dyDescent="0.25">
      <c r="P3709" s="49"/>
      <c r="Q3709" s="1"/>
      <c r="S3709" s="1"/>
      <c r="T3709" s="1"/>
      <c r="U3709" s="1"/>
      <c r="V3709" s="1"/>
      <c r="W3709" s="1"/>
      <c r="X3709" s="1"/>
      <c r="Y3709" s="1"/>
      <c r="AB3709" s="1"/>
      <c r="AC3709" s="1"/>
      <c r="AD3709" s="1"/>
      <c r="AE3709" s="1"/>
      <c r="AF3709" s="1"/>
      <c r="AG3709" s="1"/>
      <c r="AH3709" s="1"/>
      <c r="AI3709" s="1"/>
      <c r="AJ3709" s="1"/>
      <c r="AK3709" s="1"/>
      <c r="AL3709" s="1"/>
      <c r="AM3709" s="1"/>
    </row>
    <row r="3710" spans="16:39" x14ac:dyDescent="0.25">
      <c r="P3710" s="49"/>
      <c r="Q3710" s="1"/>
      <c r="S3710" s="1"/>
      <c r="T3710" s="1"/>
      <c r="U3710" s="1"/>
      <c r="V3710" s="1"/>
      <c r="W3710" s="1"/>
      <c r="X3710" s="1"/>
      <c r="Y3710" s="1"/>
      <c r="AB3710" s="1"/>
      <c r="AC3710" s="1"/>
      <c r="AD3710" s="1"/>
      <c r="AE3710" s="1"/>
      <c r="AF3710" s="1"/>
      <c r="AG3710" s="1"/>
      <c r="AH3710" s="1"/>
      <c r="AI3710" s="1"/>
      <c r="AJ3710" s="1"/>
      <c r="AK3710" s="1"/>
      <c r="AL3710" s="1"/>
      <c r="AM3710" s="1"/>
    </row>
    <row r="3711" spans="16:39" x14ac:dyDescent="0.25">
      <c r="P3711" s="49"/>
      <c r="Q3711" s="1"/>
      <c r="S3711" s="1"/>
      <c r="T3711" s="1"/>
      <c r="U3711" s="1"/>
      <c r="V3711" s="1"/>
      <c r="W3711" s="1"/>
      <c r="X3711" s="1"/>
      <c r="Y3711" s="1"/>
      <c r="AB3711" s="1"/>
      <c r="AC3711" s="1"/>
      <c r="AD3711" s="1"/>
      <c r="AE3711" s="1"/>
      <c r="AF3711" s="1"/>
      <c r="AG3711" s="1"/>
      <c r="AH3711" s="1"/>
      <c r="AI3711" s="1"/>
      <c r="AJ3711" s="1"/>
      <c r="AK3711" s="1"/>
      <c r="AL3711" s="1"/>
      <c r="AM3711" s="1"/>
    </row>
    <row r="3712" spans="16:39" x14ac:dyDescent="0.25">
      <c r="P3712" s="49"/>
      <c r="Q3712" s="1"/>
      <c r="S3712" s="1"/>
      <c r="T3712" s="1"/>
      <c r="U3712" s="1"/>
      <c r="V3712" s="1"/>
      <c r="W3712" s="1"/>
      <c r="X3712" s="1"/>
      <c r="Y3712" s="1"/>
      <c r="AB3712" s="1"/>
      <c r="AC3712" s="1"/>
      <c r="AD3712" s="1"/>
      <c r="AE3712" s="1"/>
      <c r="AF3712" s="1"/>
      <c r="AG3712" s="1"/>
      <c r="AH3712" s="1"/>
      <c r="AI3712" s="1"/>
      <c r="AJ3712" s="1"/>
      <c r="AK3712" s="1"/>
      <c r="AL3712" s="1"/>
      <c r="AM3712" s="1"/>
    </row>
    <row r="3713" spans="16:39" x14ac:dyDescent="0.25">
      <c r="P3713" s="49"/>
      <c r="Q3713" s="1"/>
      <c r="S3713" s="1"/>
      <c r="T3713" s="1"/>
      <c r="U3713" s="1"/>
      <c r="V3713" s="1"/>
      <c r="W3713" s="1"/>
      <c r="X3713" s="1"/>
      <c r="Y3713" s="1"/>
      <c r="AB3713" s="1"/>
      <c r="AC3713" s="1"/>
      <c r="AD3713" s="1"/>
      <c r="AE3713" s="1"/>
      <c r="AF3713" s="1"/>
      <c r="AG3713" s="1"/>
      <c r="AH3713" s="1"/>
      <c r="AI3713" s="1"/>
      <c r="AJ3713" s="1"/>
      <c r="AK3713" s="1"/>
      <c r="AL3713" s="1"/>
      <c r="AM3713" s="1"/>
    </row>
    <row r="3714" spans="16:39" x14ac:dyDescent="0.25">
      <c r="P3714" s="49"/>
      <c r="Q3714" s="1"/>
      <c r="S3714" s="1"/>
      <c r="T3714" s="1"/>
      <c r="U3714" s="1"/>
      <c r="V3714" s="1"/>
      <c r="W3714" s="1"/>
      <c r="X3714" s="1"/>
      <c r="Y3714" s="1"/>
      <c r="AB3714" s="1"/>
      <c r="AC3714" s="1"/>
      <c r="AD3714" s="1"/>
      <c r="AE3714" s="1"/>
      <c r="AF3714" s="1"/>
      <c r="AG3714" s="1"/>
      <c r="AH3714" s="1"/>
      <c r="AI3714" s="1"/>
      <c r="AJ3714" s="1"/>
      <c r="AK3714" s="1"/>
      <c r="AL3714" s="1"/>
      <c r="AM3714" s="1"/>
    </row>
    <row r="3715" spans="16:39" x14ac:dyDescent="0.25">
      <c r="P3715" s="49"/>
      <c r="Q3715" s="1"/>
      <c r="S3715" s="1"/>
      <c r="T3715" s="1"/>
      <c r="U3715" s="1"/>
      <c r="V3715" s="1"/>
      <c r="W3715" s="1"/>
      <c r="X3715" s="1"/>
      <c r="Y3715" s="1"/>
      <c r="AB3715" s="1"/>
      <c r="AC3715" s="1"/>
      <c r="AD3715" s="1"/>
      <c r="AE3715" s="1"/>
      <c r="AF3715" s="1"/>
      <c r="AG3715" s="1"/>
      <c r="AH3715" s="1"/>
      <c r="AI3715" s="1"/>
      <c r="AJ3715" s="1"/>
      <c r="AK3715" s="1"/>
      <c r="AL3715" s="1"/>
      <c r="AM3715" s="1"/>
    </row>
    <row r="3716" spans="16:39" x14ac:dyDescent="0.25">
      <c r="P3716" s="49"/>
      <c r="Q3716" s="1"/>
      <c r="S3716" s="1"/>
      <c r="T3716" s="1"/>
      <c r="U3716" s="1"/>
      <c r="V3716" s="1"/>
      <c r="W3716" s="1"/>
      <c r="X3716" s="1"/>
      <c r="Y3716" s="1"/>
      <c r="AB3716" s="1"/>
      <c r="AC3716" s="1"/>
      <c r="AD3716" s="1"/>
      <c r="AE3716" s="1"/>
      <c r="AF3716" s="1"/>
      <c r="AG3716" s="1"/>
      <c r="AH3716" s="1"/>
      <c r="AI3716" s="1"/>
      <c r="AJ3716" s="1"/>
      <c r="AK3716" s="1"/>
      <c r="AL3716" s="1"/>
      <c r="AM3716" s="1"/>
    </row>
    <row r="3717" spans="16:39" x14ac:dyDescent="0.25">
      <c r="P3717" s="49"/>
      <c r="Q3717" s="1"/>
      <c r="S3717" s="1"/>
      <c r="T3717" s="1"/>
      <c r="U3717" s="1"/>
      <c r="V3717" s="1"/>
      <c r="W3717" s="1"/>
      <c r="X3717" s="1"/>
      <c r="Y3717" s="1"/>
      <c r="AB3717" s="1"/>
      <c r="AC3717" s="1"/>
      <c r="AD3717" s="1"/>
      <c r="AE3717" s="1"/>
      <c r="AF3717" s="1"/>
      <c r="AG3717" s="1"/>
      <c r="AH3717" s="1"/>
      <c r="AI3717" s="1"/>
      <c r="AJ3717" s="1"/>
      <c r="AK3717" s="1"/>
      <c r="AL3717" s="1"/>
      <c r="AM3717" s="1"/>
    </row>
    <row r="3718" spans="16:39" x14ac:dyDescent="0.25">
      <c r="P3718" s="49"/>
      <c r="Q3718" s="1"/>
      <c r="S3718" s="1"/>
      <c r="T3718" s="1"/>
      <c r="U3718" s="1"/>
      <c r="V3718" s="1"/>
      <c r="W3718" s="1"/>
      <c r="X3718" s="1"/>
      <c r="Y3718" s="1"/>
      <c r="AB3718" s="1"/>
      <c r="AC3718" s="1"/>
      <c r="AD3718" s="1"/>
      <c r="AE3718" s="1"/>
      <c r="AF3718" s="1"/>
      <c r="AG3718" s="1"/>
      <c r="AH3718" s="1"/>
      <c r="AI3718" s="1"/>
      <c r="AJ3718" s="1"/>
      <c r="AK3718" s="1"/>
      <c r="AL3718" s="1"/>
      <c r="AM3718" s="1"/>
    </row>
    <row r="3719" spans="16:39" x14ac:dyDescent="0.25">
      <c r="P3719" s="49"/>
      <c r="Q3719" s="1"/>
      <c r="S3719" s="1"/>
      <c r="T3719" s="1"/>
      <c r="U3719" s="1"/>
      <c r="V3719" s="1"/>
      <c r="W3719" s="1"/>
      <c r="X3719" s="1"/>
      <c r="Y3719" s="1"/>
      <c r="AB3719" s="1"/>
      <c r="AC3719" s="1"/>
      <c r="AD3719" s="1"/>
      <c r="AE3719" s="1"/>
      <c r="AF3719" s="1"/>
      <c r="AG3719" s="1"/>
      <c r="AH3719" s="1"/>
      <c r="AI3719" s="1"/>
      <c r="AJ3719" s="1"/>
      <c r="AK3719" s="1"/>
      <c r="AL3719" s="1"/>
      <c r="AM3719" s="1"/>
    </row>
    <row r="3720" spans="16:39" x14ac:dyDescent="0.25">
      <c r="P3720" s="49"/>
      <c r="Q3720" s="1"/>
      <c r="S3720" s="1"/>
      <c r="T3720" s="1"/>
      <c r="U3720" s="1"/>
      <c r="V3720" s="1"/>
      <c r="W3720" s="1"/>
      <c r="X3720" s="1"/>
      <c r="Y3720" s="1"/>
      <c r="AB3720" s="1"/>
      <c r="AC3720" s="1"/>
      <c r="AD3720" s="1"/>
      <c r="AE3720" s="1"/>
      <c r="AF3720" s="1"/>
      <c r="AG3720" s="1"/>
      <c r="AH3720" s="1"/>
      <c r="AI3720" s="1"/>
      <c r="AJ3720" s="1"/>
      <c r="AK3720" s="1"/>
      <c r="AL3720" s="1"/>
      <c r="AM3720" s="1"/>
    </row>
    <row r="3721" spans="16:39" x14ac:dyDescent="0.25">
      <c r="P3721" s="49"/>
      <c r="Q3721" s="1"/>
      <c r="S3721" s="1"/>
      <c r="T3721" s="1"/>
      <c r="U3721" s="1"/>
      <c r="V3721" s="1"/>
      <c r="W3721" s="1"/>
      <c r="X3721" s="1"/>
      <c r="Y3721" s="1"/>
      <c r="AB3721" s="1"/>
      <c r="AC3721" s="1"/>
      <c r="AD3721" s="1"/>
      <c r="AE3721" s="1"/>
      <c r="AF3721" s="1"/>
      <c r="AG3721" s="1"/>
      <c r="AH3721" s="1"/>
      <c r="AI3721" s="1"/>
      <c r="AJ3721" s="1"/>
      <c r="AK3721" s="1"/>
      <c r="AL3721" s="1"/>
      <c r="AM3721" s="1"/>
    </row>
    <row r="3722" spans="16:39" x14ac:dyDescent="0.25">
      <c r="P3722" s="49"/>
      <c r="Q3722" s="1"/>
      <c r="S3722" s="1"/>
      <c r="T3722" s="1"/>
      <c r="U3722" s="1"/>
      <c r="V3722" s="1"/>
      <c r="W3722" s="1"/>
      <c r="X3722" s="1"/>
      <c r="Y3722" s="1"/>
      <c r="AB3722" s="1"/>
      <c r="AC3722" s="1"/>
      <c r="AD3722" s="1"/>
      <c r="AE3722" s="1"/>
      <c r="AF3722" s="1"/>
      <c r="AG3722" s="1"/>
      <c r="AH3722" s="1"/>
      <c r="AI3722" s="1"/>
      <c r="AJ3722" s="1"/>
      <c r="AK3722" s="1"/>
      <c r="AL3722" s="1"/>
      <c r="AM3722" s="1"/>
    </row>
    <row r="3723" spans="16:39" x14ac:dyDescent="0.25">
      <c r="P3723" s="49"/>
      <c r="Q3723" s="1"/>
      <c r="S3723" s="1"/>
      <c r="T3723" s="1"/>
      <c r="U3723" s="1"/>
      <c r="V3723" s="1"/>
      <c r="W3723" s="1"/>
      <c r="X3723" s="1"/>
      <c r="Y3723" s="1"/>
      <c r="AB3723" s="1"/>
      <c r="AC3723" s="1"/>
      <c r="AD3723" s="1"/>
      <c r="AE3723" s="1"/>
      <c r="AF3723" s="1"/>
      <c r="AG3723" s="1"/>
      <c r="AH3723" s="1"/>
      <c r="AI3723" s="1"/>
      <c r="AJ3723" s="1"/>
      <c r="AK3723" s="1"/>
      <c r="AL3723" s="1"/>
      <c r="AM3723" s="1"/>
    </row>
    <row r="3724" spans="16:39" x14ac:dyDescent="0.25">
      <c r="P3724" s="49"/>
      <c r="Q3724" s="1"/>
      <c r="S3724" s="1"/>
      <c r="T3724" s="1"/>
      <c r="U3724" s="1"/>
      <c r="V3724" s="1"/>
      <c r="W3724" s="1"/>
      <c r="X3724" s="1"/>
      <c r="Y3724" s="1"/>
      <c r="AB3724" s="1"/>
      <c r="AC3724" s="1"/>
      <c r="AD3724" s="1"/>
      <c r="AE3724" s="1"/>
      <c r="AF3724" s="1"/>
      <c r="AG3724" s="1"/>
      <c r="AH3724" s="1"/>
      <c r="AI3724" s="1"/>
      <c r="AJ3724" s="1"/>
      <c r="AK3724" s="1"/>
      <c r="AL3724" s="1"/>
      <c r="AM3724" s="1"/>
    </row>
    <row r="3725" spans="16:39" x14ac:dyDescent="0.25">
      <c r="P3725" s="49"/>
      <c r="Q3725" s="1"/>
      <c r="S3725" s="1"/>
      <c r="T3725" s="1"/>
      <c r="U3725" s="1"/>
      <c r="V3725" s="1"/>
      <c r="W3725" s="1"/>
      <c r="X3725" s="1"/>
      <c r="Y3725" s="1"/>
      <c r="AB3725" s="1"/>
      <c r="AC3725" s="1"/>
      <c r="AD3725" s="1"/>
      <c r="AE3725" s="1"/>
      <c r="AF3725" s="1"/>
      <c r="AG3725" s="1"/>
      <c r="AH3725" s="1"/>
      <c r="AI3725" s="1"/>
      <c r="AJ3725" s="1"/>
      <c r="AK3725" s="1"/>
      <c r="AL3725" s="1"/>
      <c r="AM3725" s="1"/>
    </row>
    <row r="3726" spans="16:39" x14ac:dyDescent="0.25">
      <c r="P3726" s="49"/>
      <c r="Q3726" s="1"/>
      <c r="S3726" s="1"/>
      <c r="T3726" s="1"/>
      <c r="U3726" s="1"/>
      <c r="V3726" s="1"/>
      <c r="W3726" s="1"/>
      <c r="X3726" s="1"/>
      <c r="Y3726" s="1"/>
      <c r="AB3726" s="1"/>
      <c r="AC3726" s="1"/>
      <c r="AD3726" s="1"/>
      <c r="AE3726" s="1"/>
      <c r="AF3726" s="1"/>
      <c r="AG3726" s="1"/>
      <c r="AH3726" s="1"/>
      <c r="AI3726" s="1"/>
      <c r="AJ3726" s="1"/>
      <c r="AK3726" s="1"/>
      <c r="AL3726" s="1"/>
      <c r="AM3726" s="1"/>
    </row>
    <row r="3727" spans="16:39" x14ac:dyDescent="0.25">
      <c r="P3727" s="49"/>
      <c r="Q3727" s="1"/>
      <c r="S3727" s="1"/>
      <c r="T3727" s="1"/>
      <c r="U3727" s="1"/>
      <c r="V3727" s="1"/>
      <c r="W3727" s="1"/>
      <c r="X3727" s="1"/>
      <c r="Y3727" s="1"/>
      <c r="AB3727" s="1"/>
      <c r="AC3727" s="1"/>
      <c r="AD3727" s="1"/>
      <c r="AE3727" s="1"/>
      <c r="AF3727" s="1"/>
      <c r="AG3727" s="1"/>
      <c r="AH3727" s="1"/>
      <c r="AI3727" s="1"/>
      <c r="AJ3727" s="1"/>
      <c r="AK3727" s="1"/>
      <c r="AL3727" s="1"/>
      <c r="AM3727" s="1"/>
    </row>
    <row r="3728" spans="16:39" x14ac:dyDescent="0.25">
      <c r="P3728" s="49"/>
      <c r="Q3728" s="1"/>
      <c r="S3728" s="1"/>
      <c r="T3728" s="1"/>
      <c r="U3728" s="1"/>
      <c r="V3728" s="1"/>
      <c r="W3728" s="1"/>
      <c r="X3728" s="1"/>
      <c r="Y3728" s="1"/>
      <c r="AB3728" s="1"/>
      <c r="AC3728" s="1"/>
      <c r="AD3728" s="1"/>
      <c r="AE3728" s="1"/>
      <c r="AF3728" s="1"/>
      <c r="AG3728" s="1"/>
      <c r="AH3728" s="1"/>
      <c r="AI3728" s="1"/>
      <c r="AJ3728" s="1"/>
      <c r="AK3728" s="1"/>
      <c r="AL3728" s="1"/>
      <c r="AM3728" s="1"/>
    </row>
    <row r="3729" spans="16:39" x14ac:dyDescent="0.25">
      <c r="P3729" s="49"/>
      <c r="Q3729" s="1"/>
      <c r="S3729" s="1"/>
      <c r="T3729" s="1"/>
      <c r="U3729" s="1"/>
      <c r="V3729" s="1"/>
      <c r="W3729" s="1"/>
      <c r="X3729" s="1"/>
      <c r="Y3729" s="1"/>
      <c r="AB3729" s="1"/>
      <c r="AC3729" s="1"/>
      <c r="AD3729" s="1"/>
      <c r="AE3729" s="1"/>
      <c r="AF3729" s="1"/>
      <c r="AG3729" s="1"/>
      <c r="AH3729" s="1"/>
      <c r="AI3729" s="1"/>
      <c r="AJ3729" s="1"/>
      <c r="AK3729" s="1"/>
      <c r="AL3729" s="1"/>
      <c r="AM3729" s="1"/>
    </row>
    <row r="3730" spans="16:39" x14ac:dyDescent="0.25">
      <c r="P3730" s="49"/>
      <c r="Q3730" s="1"/>
      <c r="S3730" s="1"/>
      <c r="T3730" s="1"/>
      <c r="U3730" s="1"/>
      <c r="V3730" s="1"/>
      <c r="W3730" s="1"/>
      <c r="X3730" s="1"/>
      <c r="Y3730" s="1"/>
      <c r="AB3730" s="1"/>
      <c r="AC3730" s="1"/>
      <c r="AD3730" s="1"/>
      <c r="AE3730" s="1"/>
      <c r="AF3730" s="1"/>
      <c r="AG3730" s="1"/>
      <c r="AH3730" s="1"/>
      <c r="AI3730" s="1"/>
      <c r="AJ3730" s="1"/>
      <c r="AK3730" s="1"/>
      <c r="AL3730" s="1"/>
      <c r="AM3730" s="1"/>
    </row>
    <row r="3731" spans="16:39" x14ac:dyDescent="0.25">
      <c r="P3731" s="49"/>
      <c r="Q3731" s="1"/>
      <c r="S3731" s="1"/>
      <c r="T3731" s="1"/>
      <c r="U3731" s="1"/>
      <c r="V3731" s="1"/>
      <c r="W3731" s="1"/>
      <c r="X3731" s="1"/>
      <c r="Y3731" s="1"/>
      <c r="AB3731" s="1"/>
      <c r="AC3731" s="1"/>
      <c r="AD3731" s="1"/>
      <c r="AE3731" s="1"/>
      <c r="AF3731" s="1"/>
      <c r="AG3731" s="1"/>
      <c r="AH3731" s="1"/>
      <c r="AI3731" s="1"/>
      <c r="AJ3731" s="1"/>
      <c r="AK3731" s="1"/>
      <c r="AL3731" s="1"/>
      <c r="AM3731" s="1"/>
    </row>
    <row r="3732" spans="16:39" x14ac:dyDescent="0.25">
      <c r="P3732" s="49"/>
      <c r="Q3732" s="1"/>
      <c r="S3732" s="1"/>
      <c r="T3732" s="1"/>
      <c r="U3732" s="1"/>
      <c r="V3732" s="1"/>
      <c r="W3732" s="1"/>
      <c r="X3732" s="1"/>
      <c r="Y3732" s="1"/>
      <c r="AB3732" s="1"/>
      <c r="AC3732" s="1"/>
      <c r="AD3732" s="1"/>
      <c r="AE3732" s="1"/>
      <c r="AF3732" s="1"/>
      <c r="AG3732" s="1"/>
      <c r="AH3732" s="1"/>
      <c r="AI3732" s="1"/>
      <c r="AJ3732" s="1"/>
      <c r="AK3732" s="1"/>
      <c r="AL3732" s="1"/>
      <c r="AM3732" s="1"/>
    </row>
    <row r="3733" spans="16:39" x14ac:dyDescent="0.25">
      <c r="P3733" s="49"/>
      <c r="Q3733" s="1"/>
      <c r="S3733" s="1"/>
      <c r="T3733" s="1"/>
      <c r="U3733" s="1"/>
      <c r="V3733" s="1"/>
      <c r="W3733" s="1"/>
      <c r="X3733" s="1"/>
      <c r="Y3733" s="1"/>
      <c r="AB3733" s="1"/>
      <c r="AC3733" s="1"/>
      <c r="AD3733" s="1"/>
      <c r="AE3733" s="1"/>
      <c r="AF3733" s="1"/>
      <c r="AG3733" s="1"/>
      <c r="AH3733" s="1"/>
      <c r="AI3733" s="1"/>
      <c r="AJ3733" s="1"/>
      <c r="AK3733" s="1"/>
      <c r="AL3733" s="1"/>
      <c r="AM3733" s="1"/>
    </row>
    <row r="3734" spans="16:39" x14ac:dyDescent="0.25">
      <c r="P3734" s="49"/>
      <c r="Q3734" s="1"/>
      <c r="S3734" s="1"/>
      <c r="T3734" s="1"/>
      <c r="U3734" s="1"/>
      <c r="V3734" s="1"/>
      <c r="W3734" s="1"/>
      <c r="X3734" s="1"/>
      <c r="Y3734" s="1"/>
      <c r="AB3734" s="1"/>
      <c r="AC3734" s="1"/>
      <c r="AD3734" s="1"/>
      <c r="AE3734" s="1"/>
      <c r="AF3734" s="1"/>
      <c r="AG3734" s="1"/>
      <c r="AH3734" s="1"/>
      <c r="AI3734" s="1"/>
      <c r="AJ3734" s="1"/>
      <c r="AK3734" s="1"/>
      <c r="AL3734" s="1"/>
      <c r="AM3734" s="1"/>
    </row>
    <row r="3735" spans="16:39" x14ac:dyDescent="0.25">
      <c r="P3735" s="49"/>
      <c r="Q3735" s="1"/>
      <c r="S3735" s="1"/>
      <c r="T3735" s="1"/>
      <c r="U3735" s="1"/>
      <c r="V3735" s="1"/>
      <c r="W3735" s="1"/>
      <c r="X3735" s="1"/>
      <c r="Y3735" s="1"/>
      <c r="AB3735" s="1"/>
      <c r="AC3735" s="1"/>
      <c r="AD3735" s="1"/>
      <c r="AE3735" s="1"/>
      <c r="AF3735" s="1"/>
      <c r="AG3735" s="1"/>
      <c r="AH3735" s="1"/>
      <c r="AI3735" s="1"/>
      <c r="AJ3735" s="1"/>
      <c r="AK3735" s="1"/>
      <c r="AL3735" s="1"/>
      <c r="AM3735" s="1"/>
    </row>
    <row r="3736" spans="16:39" x14ac:dyDescent="0.25">
      <c r="P3736" s="49"/>
      <c r="Q3736" s="1"/>
      <c r="S3736" s="1"/>
      <c r="T3736" s="1"/>
      <c r="U3736" s="1"/>
      <c r="V3736" s="1"/>
      <c r="W3736" s="1"/>
      <c r="X3736" s="1"/>
      <c r="Y3736" s="1"/>
      <c r="AB3736" s="1"/>
      <c r="AC3736" s="1"/>
      <c r="AD3736" s="1"/>
      <c r="AE3736" s="1"/>
      <c r="AF3736" s="1"/>
      <c r="AG3736" s="1"/>
      <c r="AH3736" s="1"/>
      <c r="AI3736" s="1"/>
      <c r="AJ3736" s="1"/>
      <c r="AK3736" s="1"/>
      <c r="AL3736" s="1"/>
      <c r="AM3736" s="1"/>
    </row>
    <row r="3737" spans="16:39" x14ac:dyDescent="0.25">
      <c r="P3737" s="49"/>
      <c r="Q3737" s="1"/>
      <c r="S3737" s="1"/>
      <c r="T3737" s="1"/>
      <c r="U3737" s="1"/>
      <c r="V3737" s="1"/>
      <c r="W3737" s="1"/>
      <c r="X3737" s="1"/>
      <c r="Y3737" s="1"/>
      <c r="AB3737" s="1"/>
      <c r="AC3737" s="1"/>
      <c r="AD3737" s="1"/>
      <c r="AE3737" s="1"/>
      <c r="AF3737" s="1"/>
      <c r="AG3737" s="1"/>
      <c r="AH3737" s="1"/>
      <c r="AI3737" s="1"/>
      <c r="AJ3737" s="1"/>
      <c r="AK3737" s="1"/>
      <c r="AL3737" s="1"/>
      <c r="AM3737" s="1"/>
    </row>
    <row r="3738" spans="16:39" x14ac:dyDescent="0.25">
      <c r="P3738" s="49"/>
      <c r="Q3738" s="1"/>
      <c r="S3738" s="1"/>
      <c r="T3738" s="1"/>
      <c r="U3738" s="1"/>
      <c r="V3738" s="1"/>
      <c r="W3738" s="1"/>
      <c r="X3738" s="1"/>
      <c r="Y3738" s="1"/>
      <c r="AB3738" s="1"/>
      <c r="AC3738" s="1"/>
      <c r="AD3738" s="1"/>
      <c r="AE3738" s="1"/>
      <c r="AF3738" s="1"/>
      <c r="AG3738" s="1"/>
      <c r="AH3738" s="1"/>
      <c r="AI3738" s="1"/>
      <c r="AJ3738" s="1"/>
      <c r="AK3738" s="1"/>
      <c r="AL3738" s="1"/>
      <c r="AM3738" s="1"/>
    </row>
    <row r="3739" spans="16:39" x14ac:dyDescent="0.25">
      <c r="P3739" s="49"/>
      <c r="Q3739" s="1"/>
      <c r="S3739" s="1"/>
      <c r="T3739" s="1"/>
      <c r="U3739" s="1"/>
      <c r="V3739" s="1"/>
      <c r="W3739" s="1"/>
      <c r="X3739" s="1"/>
      <c r="Y3739" s="1"/>
      <c r="AB3739" s="1"/>
      <c r="AC3739" s="1"/>
      <c r="AD3739" s="1"/>
      <c r="AE3739" s="1"/>
      <c r="AF3739" s="1"/>
      <c r="AG3739" s="1"/>
      <c r="AH3739" s="1"/>
      <c r="AI3739" s="1"/>
      <c r="AJ3739" s="1"/>
      <c r="AK3739" s="1"/>
      <c r="AL3739" s="1"/>
      <c r="AM3739" s="1"/>
    </row>
    <row r="3740" spans="16:39" x14ac:dyDescent="0.25">
      <c r="P3740" s="49"/>
      <c r="Q3740" s="1"/>
      <c r="S3740" s="1"/>
      <c r="T3740" s="1"/>
      <c r="U3740" s="1"/>
      <c r="V3740" s="1"/>
      <c r="W3740" s="1"/>
      <c r="X3740" s="1"/>
      <c r="Y3740" s="1"/>
      <c r="AB3740" s="1"/>
      <c r="AC3740" s="1"/>
      <c r="AD3740" s="1"/>
      <c r="AE3740" s="1"/>
      <c r="AF3740" s="1"/>
      <c r="AG3740" s="1"/>
      <c r="AH3740" s="1"/>
      <c r="AI3740" s="1"/>
      <c r="AJ3740" s="1"/>
      <c r="AK3740" s="1"/>
      <c r="AL3740" s="1"/>
      <c r="AM3740" s="1"/>
    </row>
    <row r="3741" spans="16:39" x14ac:dyDescent="0.25">
      <c r="P3741" s="49"/>
      <c r="Q3741" s="1"/>
      <c r="S3741" s="1"/>
      <c r="T3741" s="1"/>
      <c r="U3741" s="1"/>
      <c r="V3741" s="1"/>
      <c r="W3741" s="1"/>
      <c r="X3741" s="1"/>
      <c r="Y3741" s="1"/>
      <c r="AB3741" s="1"/>
      <c r="AC3741" s="1"/>
      <c r="AD3741" s="1"/>
      <c r="AE3741" s="1"/>
      <c r="AF3741" s="1"/>
      <c r="AG3741" s="1"/>
      <c r="AH3741" s="1"/>
      <c r="AI3741" s="1"/>
      <c r="AJ3741" s="1"/>
      <c r="AK3741" s="1"/>
      <c r="AL3741" s="1"/>
      <c r="AM3741" s="1"/>
    </row>
    <row r="3742" spans="16:39" x14ac:dyDescent="0.25">
      <c r="P3742" s="49"/>
      <c r="Q3742" s="1"/>
      <c r="S3742" s="1"/>
      <c r="T3742" s="1"/>
      <c r="U3742" s="1"/>
      <c r="V3742" s="1"/>
      <c r="W3742" s="1"/>
      <c r="X3742" s="1"/>
      <c r="Y3742" s="1"/>
      <c r="AB3742" s="1"/>
      <c r="AC3742" s="1"/>
      <c r="AD3742" s="1"/>
      <c r="AE3742" s="1"/>
      <c r="AF3742" s="1"/>
      <c r="AG3742" s="1"/>
      <c r="AH3742" s="1"/>
      <c r="AI3742" s="1"/>
      <c r="AJ3742" s="1"/>
      <c r="AK3742" s="1"/>
      <c r="AL3742" s="1"/>
      <c r="AM3742" s="1"/>
    </row>
    <row r="3743" spans="16:39" x14ac:dyDescent="0.25">
      <c r="P3743" s="49"/>
      <c r="Q3743" s="1"/>
      <c r="S3743" s="1"/>
      <c r="T3743" s="1"/>
      <c r="U3743" s="1"/>
      <c r="V3743" s="1"/>
      <c r="W3743" s="1"/>
      <c r="X3743" s="1"/>
      <c r="Y3743" s="1"/>
      <c r="AB3743" s="1"/>
      <c r="AC3743" s="1"/>
      <c r="AD3743" s="1"/>
      <c r="AE3743" s="1"/>
      <c r="AF3743" s="1"/>
      <c r="AG3743" s="1"/>
      <c r="AH3743" s="1"/>
      <c r="AI3743" s="1"/>
      <c r="AJ3743" s="1"/>
      <c r="AK3743" s="1"/>
      <c r="AL3743" s="1"/>
      <c r="AM3743" s="1"/>
    </row>
    <row r="3744" spans="16:39" x14ac:dyDescent="0.25">
      <c r="P3744" s="49"/>
      <c r="Q3744" s="1"/>
      <c r="S3744" s="1"/>
      <c r="T3744" s="1"/>
      <c r="U3744" s="1"/>
      <c r="V3744" s="1"/>
      <c r="W3744" s="1"/>
      <c r="X3744" s="1"/>
      <c r="Y3744" s="1"/>
      <c r="AB3744" s="1"/>
      <c r="AC3744" s="1"/>
      <c r="AD3744" s="1"/>
      <c r="AE3744" s="1"/>
      <c r="AF3744" s="1"/>
      <c r="AG3744" s="1"/>
      <c r="AH3744" s="1"/>
      <c r="AI3744" s="1"/>
      <c r="AJ3744" s="1"/>
      <c r="AK3744" s="1"/>
      <c r="AL3744" s="1"/>
      <c r="AM3744" s="1"/>
    </row>
    <row r="3745" spans="16:39" x14ac:dyDescent="0.25">
      <c r="P3745" s="49"/>
      <c r="Q3745" s="1"/>
      <c r="S3745" s="1"/>
      <c r="T3745" s="1"/>
      <c r="U3745" s="1"/>
      <c r="V3745" s="1"/>
      <c r="W3745" s="1"/>
      <c r="X3745" s="1"/>
      <c r="Y3745" s="1"/>
      <c r="AB3745" s="1"/>
      <c r="AC3745" s="1"/>
      <c r="AD3745" s="1"/>
      <c r="AE3745" s="1"/>
      <c r="AF3745" s="1"/>
      <c r="AG3745" s="1"/>
      <c r="AH3745" s="1"/>
      <c r="AI3745" s="1"/>
      <c r="AJ3745" s="1"/>
      <c r="AK3745" s="1"/>
      <c r="AL3745" s="1"/>
      <c r="AM3745" s="1"/>
    </row>
    <row r="3746" spans="16:39" x14ac:dyDescent="0.25">
      <c r="P3746" s="49"/>
      <c r="Q3746" s="1"/>
      <c r="S3746" s="1"/>
      <c r="T3746" s="1"/>
      <c r="U3746" s="1"/>
      <c r="V3746" s="1"/>
      <c r="W3746" s="1"/>
      <c r="X3746" s="1"/>
      <c r="Y3746" s="1"/>
      <c r="AB3746" s="1"/>
      <c r="AC3746" s="1"/>
      <c r="AD3746" s="1"/>
      <c r="AE3746" s="1"/>
      <c r="AF3746" s="1"/>
      <c r="AG3746" s="1"/>
      <c r="AH3746" s="1"/>
      <c r="AI3746" s="1"/>
      <c r="AJ3746" s="1"/>
      <c r="AK3746" s="1"/>
      <c r="AL3746" s="1"/>
      <c r="AM3746" s="1"/>
    </row>
    <row r="3747" spans="16:39" x14ac:dyDescent="0.25">
      <c r="P3747" s="49"/>
      <c r="Q3747" s="1"/>
      <c r="S3747" s="1"/>
      <c r="T3747" s="1"/>
      <c r="U3747" s="1"/>
      <c r="V3747" s="1"/>
      <c r="W3747" s="1"/>
      <c r="X3747" s="1"/>
      <c r="Y3747" s="1"/>
      <c r="AB3747" s="1"/>
      <c r="AC3747" s="1"/>
      <c r="AD3747" s="1"/>
      <c r="AE3747" s="1"/>
      <c r="AF3747" s="1"/>
      <c r="AG3747" s="1"/>
      <c r="AH3747" s="1"/>
      <c r="AI3747" s="1"/>
      <c r="AJ3747" s="1"/>
      <c r="AK3747" s="1"/>
      <c r="AL3747" s="1"/>
      <c r="AM3747" s="1"/>
    </row>
    <row r="3748" spans="16:39" x14ac:dyDescent="0.25">
      <c r="P3748" s="49"/>
      <c r="Q3748" s="1"/>
      <c r="S3748" s="1"/>
      <c r="T3748" s="1"/>
      <c r="U3748" s="1"/>
      <c r="V3748" s="1"/>
      <c r="W3748" s="1"/>
      <c r="X3748" s="1"/>
      <c r="Y3748" s="1"/>
      <c r="AB3748" s="1"/>
      <c r="AC3748" s="1"/>
      <c r="AD3748" s="1"/>
      <c r="AE3748" s="1"/>
      <c r="AF3748" s="1"/>
      <c r="AG3748" s="1"/>
      <c r="AH3748" s="1"/>
      <c r="AI3748" s="1"/>
      <c r="AJ3748" s="1"/>
      <c r="AK3748" s="1"/>
      <c r="AL3748" s="1"/>
      <c r="AM3748" s="1"/>
    </row>
    <row r="3749" spans="16:39" x14ac:dyDescent="0.25">
      <c r="P3749" s="49"/>
      <c r="Q3749" s="1"/>
      <c r="S3749" s="1"/>
      <c r="T3749" s="1"/>
      <c r="U3749" s="1"/>
      <c r="V3749" s="1"/>
      <c r="W3749" s="1"/>
      <c r="X3749" s="1"/>
      <c r="Y3749" s="1"/>
      <c r="AB3749" s="1"/>
      <c r="AC3749" s="1"/>
      <c r="AD3749" s="1"/>
      <c r="AE3749" s="1"/>
      <c r="AF3749" s="1"/>
      <c r="AG3749" s="1"/>
      <c r="AH3749" s="1"/>
      <c r="AI3749" s="1"/>
      <c r="AJ3749" s="1"/>
      <c r="AK3749" s="1"/>
      <c r="AL3749" s="1"/>
      <c r="AM3749" s="1"/>
    </row>
    <row r="3750" spans="16:39" x14ac:dyDescent="0.25">
      <c r="P3750" s="49"/>
      <c r="Q3750" s="1"/>
      <c r="S3750" s="1"/>
      <c r="T3750" s="1"/>
      <c r="U3750" s="1"/>
      <c r="V3750" s="1"/>
      <c r="W3750" s="1"/>
      <c r="X3750" s="1"/>
      <c r="Y3750" s="1"/>
      <c r="AB3750" s="1"/>
      <c r="AC3750" s="1"/>
      <c r="AD3750" s="1"/>
      <c r="AE3750" s="1"/>
      <c r="AF3750" s="1"/>
      <c r="AG3750" s="1"/>
      <c r="AH3750" s="1"/>
      <c r="AI3750" s="1"/>
      <c r="AJ3750" s="1"/>
      <c r="AK3750" s="1"/>
      <c r="AL3750" s="1"/>
      <c r="AM3750" s="1"/>
    </row>
    <row r="3751" spans="16:39" x14ac:dyDescent="0.25">
      <c r="P3751" s="49"/>
      <c r="Q3751" s="1"/>
      <c r="S3751" s="1"/>
      <c r="T3751" s="1"/>
      <c r="U3751" s="1"/>
      <c r="V3751" s="1"/>
      <c r="W3751" s="1"/>
      <c r="X3751" s="1"/>
      <c r="Y3751" s="1"/>
      <c r="AB3751" s="1"/>
      <c r="AC3751" s="1"/>
      <c r="AD3751" s="1"/>
      <c r="AE3751" s="1"/>
      <c r="AF3751" s="1"/>
      <c r="AG3751" s="1"/>
      <c r="AH3751" s="1"/>
      <c r="AI3751" s="1"/>
      <c r="AJ3751" s="1"/>
      <c r="AK3751" s="1"/>
      <c r="AL3751" s="1"/>
      <c r="AM3751" s="1"/>
    </row>
    <row r="3752" spans="16:39" x14ac:dyDescent="0.25">
      <c r="P3752" s="49"/>
      <c r="Q3752" s="1"/>
      <c r="S3752" s="1"/>
      <c r="T3752" s="1"/>
      <c r="U3752" s="1"/>
      <c r="V3752" s="1"/>
      <c r="W3752" s="1"/>
      <c r="X3752" s="1"/>
      <c r="Y3752" s="1"/>
      <c r="AB3752" s="1"/>
      <c r="AC3752" s="1"/>
      <c r="AD3752" s="1"/>
      <c r="AE3752" s="1"/>
      <c r="AF3752" s="1"/>
      <c r="AG3752" s="1"/>
      <c r="AH3752" s="1"/>
      <c r="AI3752" s="1"/>
      <c r="AJ3752" s="1"/>
      <c r="AK3752" s="1"/>
      <c r="AL3752" s="1"/>
      <c r="AM3752" s="1"/>
    </row>
    <row r="3753" spans="16:39" x14ac:dyDescent="0.25">
      <c r="P3753" s="49"/>
      <c r="Q3753" s="1"/>
      <c r="S3753" s="1"/>
      <c r="T3753" s="1"/>
      <c r="U3753" s="1"/>
      <c r="V3753" s="1"/>
      <c r="W3753" s="1"/>
      <c r="X3753" s="1"/>
      <c r="Y3753" s="1"/>
      <c r="AB3753" s="1"/>
      <c r="AC3753" s="1"/>
      <c r="AD3753" s="1"/>
      <c r="AE3753" s="1"/>
      <c r="AF3753" s="1"/>
      <c r="AG3753" s="1"/>
      <c r="AH3753" s="1"/>
      <c r="AI3753" s="1"/>
      <c r="AJ3753" s="1"/>
      <c r="AK3753" s="1"/>
      <c r="AL3753" s="1"/>
      <c r="AM3753" s="1"/>
    </row>
    <row r="3754" spans="16:39" x14ac:dyDescent="0.25">
      <c r="P3754" s="49"/>
      <c r="Q3754" s="1"/>
      <c r="S3754" s="1"/>
      <c r="T3754" s="1"/>
      <c r="U3754" s="1"/>
      <c r="V3754" s="1"/>
      <c r="W3754" s="1"/>
      <c r="X3754" s="1"/>
      <c r="Y3754" s="1"/>
      <c r="AB3754" s="1"/>
      <c r="AC3754" s="1"/>
      <c r="AD3754" s="1"/>
      <c r="AE3754" s="1"/>
      <c r="AF3754" s="1"/>
      <c r="AG3754" s="1"/>
      <c r="AH3754" s="1"/>
      <c r="AI3754" s="1"/>
      <c r="AJ3754" s="1"/>
      <c r="AK3754" s="1"/>
      <c r="AL3754" s="1"/>
      <c r="AM3754" s="1"/>
    </row>
    <row r="3755" spans="16:39" x14ac:dyDescent="0.25">
      <c r="P3755" s="49"/>
      <c r="Q3755" s="1"/>
      <c r="S3755" s="1"/>
      <c r="T3755" s="1"/>
      <c r="U3755" s="1"/>
      <c r="V3755" s="1"/>
      <c r="W3755" s="1"/>
      <c r="X3755" s="1"/>
      <c r="Y3755" s="1"/>
      <c r="AB3755" s="1"/>
      <c r="AC3755" s="1"/>
      <c r="AD3755" s="1"/>
      <c r="AE3755" s="1"/>
      <c r="AF3755" s="1"/>
      <c r="AG3755" s="1"/>
      <c r="AH3755" s="1"/>
      <c r="AI3755" s="1"/>
      <c r="AJ3755" s="1"/>
      <c r="AK3755" s="1"/>
      <c r="AL3755" s="1"/>
      <c r="AM3755" s="1"/>
    </row>
    <row r="3756" spans="16:39" x14ac:dyDescent="0.25">
      <c r="P3756" s="49"/>
      <c r="Q3756" s="1"/>
      <c r="S3756" s="1"/>
      <c r="T3756" s="1"/>
      <c r="U3756" s="1"/>
      <c r="V3756" s="1"/>
      <c r="W3756" s="1"/>
      <c r="X3756" s="1"/>
      <c r="Y3756" s="1"/>
      <c r="AB3756" s="1"/>
      <c r="AC3756" s="1"/>
      <c r="AD3756" s="1"/>
      <c r="AE3756" s="1"/>
      <c r="AF3756" s="1"/>
      <c r="AG3756" s="1"/>
      <c r="AH3756" s="1"/>
      <c r="AI3756" s="1"/>
      <c r="AJ3756" s="1"/>
      <c r="AK3756" s="1"/>
      <c r="AL3756" s="1"/>
      <c r="AM3756" s="1"/>
    </row>
    <row r="3757" spans="16:39" x14ac:dyDescent="0.25">
      <c r="P3757" s="49"/>
      <c r="Q3757" s="1"/>
      <c r="S3757" s="1"/>
      <c r="T3757" s="1"/>
      <c r="U3757" s="1"/>
      <c r="V3757" s="1"/>
      <c r="W3757" s="1"/>
      <c r="X3757" s="1"/>
      <c r="Y3757" s="1"/>
      <c r="AB3757" s="1"/>
      <c r="AC3757" s="1"/>
      <c r="AD3757" s="1"/>
      <c r="AE3757" s="1"/>
      <c r="AF3757" s="1"/>
      <c r="AG3757" s="1"/>
      <c r="AH3757" s="1"/>
      <c r="AI3757" s="1"/>
      <c r="AJ3757" s="1"/>
      <c r="AK3757" s="1"/>
      <c r="AL3757" s="1"/>
      <c r="AM3757" s="1"/>
    </row>
    <row r="3758" spans="16:39" x14ac:dyDescent="0.25">
      <c r="P3758" s="49"/>
      <c r="Q3758" s="1"/>
      <c r="S3758" s="1"/>
      <c r="T3758" s="1"/>
      <c r="U3758" s="1"/>
      <c r="V3758" s="1"/>
      <c r="W3758" s="1"/>
      <c r="X3758" s="1"/>
      <c r="Y3758" s="1"/>
      <c r="AB3758" s="1"/>
      <c r="AC3758" s="1"/>
      <c r="AD3758" s="1"/>
      <c r="AE3758" s="1"/>
      <c r="AF3758" s="1"/>
      <c r="AG3758" s="1"/>
      <c r="AH3758" s="1"/>
      <c r="AI3758" s="1"/>
      <c r="AJ3758" s="1"/>
      <c r="AK3758" s="1"/>
      <c r="AL3758" s="1"/>
      <c r="AM3758" s="1"/>
    </row>
    <row r="3759" spans="16:39" x14ac:dyDescent="0.25">
      <c r="P3759" s="49"/>
      <c r="Q3759" s="1"/>
      <c r="S3759" s="1"/>
      <c r="T3759" s="1"/>
      <c r="U3759" s="1"/>
      <c r="V3759" s="1"/>
      <c r="W3759" s="1"/>
      <c r="X3759" s="1"/>
      <c r="Y3759" s="1"/>
      <c r="AB3759" s="1"/>
      <c r="AC3759" s="1"/>
      <c r="AD3759" s="1"/>
      <c r="AE3759" s="1"/>
      <c r="AF3759" s="1"/>
      <c r="AG3759" s="1"/>
      <c r="AH3759" s="1"/>
      <c r="AI3759" s="1"/>
      <c r="AJ3759" s="1"/>
      <c r="AK3759" s="1"/>
      <c r="AL3759" s="1"/>
      <c r="AM3759" s="1"/>
    </row>
    <row r="3760" spans="16:39" x14ac:dyDescent="0.25">
      <c r="P3760" s="49"/>
      <c r="Q3760" s="1"/>
      <c r="S3760" s="1"/>
      <c r="T3760" s="1"/>
      <c r="U3760" s="1"/>
      <c r="V3760" s="1"/>
      <c r="W3760" s="1"/>
      <c r="X3760" s="1"/>
      <c r="Y3760" s="1"/>
      <c r="AB3760" s="1"/>
      <c r="AC3760" s="1"/>
      <c r="AD3760" s="1"/>
      <c r="AE3760" s="1"/>
      <c r="AF3760" s="1"/>
      <c r="AG3760" s="1"/>
      <c r="AH3760" s="1"/>
      <c r="AI3760" s="1"/>
      <c r="AJ3760" s="1"/>
      <c r="AK3760" s="1"/>
      <c r="AL3760" s="1"/>
      <c r="AM3760" s="1"/>
    </row>
    <row r="3761" spans="16:39" x14ac:dyDescent="0.25">
      <c r="P3761" s="49"/>
      <c r="Q3761" s="1"/>
      <c r="S3761" s="1"/>
      <c r="T3761" s="1"/>
      <c r="U3761" s="1"/>
      <c r="V3761" s="1"/>
      <c r="W3761" s="1"/>
      <c r="X3761" s="1"/>
      <c r="Y3761" s="1"/>
      <c r="AB3761" s="1"/>
      <c r="AC3761" s="1"/>
      <c r="AD3761" s="1"/>
      <c r="AE3761" s="1"/>
      <c r="AF3761" s="1"/>
      <c r="AG3761" s="1"/>
      <c r="AH3761" s="1"/>
      <c r="AI3761" s="1"/>
      <c r="AJ3761" s="1"/>
      <c r="AK3761" s="1"/>
      <c r="AL3761" s="1"/>
      <c r="AM3761" s="1"/>
    </row>
    <row r="3762" spans="16:39" x14ac:dyDescent="0.25">
      <c r="P3762" s="49"/>
      <c r="Q3762" s="1"/>
      <c r="S3762" s="1"/>
      <c r="T3762" s="1"/>
      <c r="U3762" s="1"/>
      <c r="V3762" s="1"/>
      <c r="W3762" s="1"/>
      <c r="X3762" s="1"/>
      <c r="Y3762" s="1"/>
      <c r="AB3762" s="1"/>
      <c r="AC3762" s="1"/>
      <c r="AD3762" s="1"/>
      <c r="AE3762" s="1"/>
      <c r="AF3762" s="1"/>
      <c r="AG3762" s="1"/>
      <c r="AH3762" s="1"/>
      <c r="AI3762" s="1"/>
      <c r="AJ3762" s="1"/>
      <c r="AK3762" s="1"/>
      <c r="AL3762" s="1"/>
      <c r="AM3762" s="1"/>
    </row>
    <row r="3763" spans="16:39" x14ac:dyDescent="0.25">
      <c r="P3763" s="49"/>
      <c r="Q3763" s="1"/>
      <c r="S3763" s="1"/>
      <c r="T3763" s="1"/>
      <c r="U3763" s="1"/>
      <c r="V3763" s="1"/>
      <c r="W3763" s="1"/>
      <c r="X3763" s="1"/>
      <c r="Y3763" s="1"/>
      <c r="AB3763" s="1"/>
      <c r="AC3763" s="1"/>
      <c r="AD3763" s="1"/>
      <c r="AE3763" s="1"/>
      <c r="AF3763" s="1"/>
      <c r="AG3763" s="1"/>
      <c r="AH3763" s="1"/>
      <c r="AI3763" s="1"/>
      <c r="AJ3763" s="1"/>
      <c r="AK3763" s="1"/>
      <c r="AL3763" s="1"/>
      <c r="AM3763" s="1"/>
    </row>
    <row r="3764" spans="16:39" x14ac:dyDescent="0.25">
      <c r="P3764" s="49"/>
      <c r="Q3764" s="1"/>
      <c r="S3764" s="1"/>
      <c r="T3764" s="1"/>
      <c r="U3764" s="1"/>
      <c r="V3764" s="1"/>
      <c r="W3764" s="1"/>
      <c r="X3764" s="1"/>
      <c r="Y3764" s="1"/>
      <c r="AB3764" s="1"/>
      <c r="AC3764" s="1"/>
      <c r="AD3764" s="1"/>
      <c r="AE3764" s="1"/>
      <c r="AF3764" s="1"/>
      <c r="AG3764" s="1"/>
      <c r="AH3764" s="1"/>
      <c r="AI3764" s="1"/>
      <c r="AJ3764" s="1"/>
      <c r="AK3764" s="1"/>
      <c r="AL3764" s="1"/>
      <c r="AM3764" s="1"/>
    </row>
    <row r="3765" spans="16:39" x14ac:dyDescent="0.25">
      <c r="P3765" s="49"/>
      <c r="Q3765" s="1"/>
      <c r="S3765" s="1"/>
      <c r="T3765" s="1"/>
      <c r="U3765" s="1"/>
      <c r="V3765" s="1"/>
      <c r="W3765" s="1"/>
      <c r="X3765" s="1"/>
      <c r="Y3765" s="1"/>
      <c r="AB3765" s="1"/>
      <c r="AC3765" s="1"/>
      <c r="AD3765" s="1"/>
      <c r="AE3765" s="1"/>
      <c r="AF3765" s="1"/>
      <c r="AG3765" s="1"/>
      <c r="AH3765" s="1"/>
      <c r="AI3765" s="1"/>
      <c r="AJ3765" s="1"/>
      <c r="AK3765" s="1"/>
      <c r="AL3765" s="1"/>
      <c r="AM3765" s="1"/>
    </row>
    <row r="3766" spans="16:39" x14ac:dyDescent="0.25">
      <c r="P3766" s="49"/>
      <c r="Q3766" s="1"/>
      <c r="S3766" s="1"/>
      <c r="T3766" s="1"/>
      <c r="U3766" s="1"/>
      <c r="V3766" s="1"/>
      <c r="W3766" s="1"/>
      <c r="X3766" s="1"/>
      <c r="Y3766" s="1"/>
      <c r="AB3766" s="1"/>
      <c r="AC3766" s="1"/>
      <c r="AD3766" s="1"/>
      <c r="AE3766" s="1"/>
      <c r="AF3766" s="1"/>
      <c r="AG3766" s="1"/>
      <c r="AH3766" s="1"/>
      <c r="AI3766" s="1"/>
      <c r="AJ3766" s="1"/>
      <c r="AK3766" s="1"/>
      <c r="AL3766" s="1"/>
      <c r="AM3766" s="1"/>
    </row>
    <row r="3767" spans="16:39" x14ac:dyDescent="0.25">
      <c r="P3767" s="49"/>
      <c r="Q3767" s="1"/>
      <c r="S3767" s="1"/>
      <c r="T3767" s="1"/>
      <c r="U3767" s="1"/>
      <c r="V3767" s="1"/>
      <c r="W3767" s="1"/>
      <c r="X3767" s="1"/>
      <c r="Y3767" s="1"/>
      <c r="AB3767" s="1"/>
      <c r="AC3767" s="1"/>
      <c r="AD3767" s="1"/>
      <c r="AE3767" s="1"/>
      <c r="AF3767" s="1"/>
      <c r="AG3767" s="1"/>
      <c r="AH3767" s="1"/>
      <c r="AI3767" s="1"/>
      <c r="AJ3767" s="1"/>
      <c r="AK3767" s="1"/>
      <c r="AL3767" s="1"/>
      <c r="AM3767" s="1"/>
    </row>
    <row r="3768" spans="16:39" x14ac:dyDescent="0.25">
      <c r="P3768" s="49"/>
      <c r="Q3768" s="1"/>
      <c r="S3768" s="1"/>
      <c r="T3768" s="1"/>
      <c r="U3768" s="1"/>
      <c r="V3768" s="1"/>
      <c r="W3768" s="1"/>
      <c r="X3768" s="1"/>
      <c r="Y3768" s="1"/>
      <c r="AB3768" s="1"/>
      <c r="AC3768" s="1"/>
      <c r="AD3768" s="1"/>
      <c r="AE3768" s="1"/>
      <c r="AF3768" s="1"/>
      <c r="AG3768" s="1"/>
      <c r="AH3768" s="1"/>
      <c r="AI3768" s="1"/>
      <c r="AJ3768" s="1"/>
      <c r="AK3768" s="1"/>
      <c r="AL3768" s="1"/>
      <c r="AM3768" s="1"/>
    </row>
    <row r="3769" spans="16:39" x14ac:dyDescent="0.25">
      <c r="P3769" s="49"/>
      <c r="Q3769" s="1"/>
      <c r="S3769" s="1"/>
      <c r="T3769" s="1"/>
      <c r="U3769" s="1"/>
      <c r="V3769" s="1"/>
      <c r="W3769" s="1"/>
      <c r="X3769" s="1"/>
      <c r="Y3769" s="1"/>
      <c r="AB3769" s="1"/>
      <c r="AC3769" s="1"/>
      <c r="AD3769" s="1"/>
      <c r="AE3769" s="1"/>
      <c r="AF3769" s="1"/>
      <c r="AG3769" s="1"/>
      <c r="AH3769" s="1"/>
      <c r="AI3769" s="1"/>
      <c r="AJ3769" s="1"/>
      <c r="AK3769" s="1"/>
      <c r="AL3769" s="1"/>
      <c r="AM3769" s="1"/>
    </row>
    <row r="3770" spans="16:39" x14ac:dyDescent="0.25">
      <c r="P3770" s="49"/>
      <c r="Q3770" s="1"/>
      <c r="S3770" s="1"/>
      <c r="T3770" s="1"/>
      <c r="U3770" s="1"/>
      <c r="V3770" s="1"/>
      <c r="W3770" s="1"/>
      <c r="X3770" s="1"/>
      <c r="Y3770" s="1"/>
      <c r="AB3770" s="1"/>
      <c r="AC3770" s="1"/>
      <c r="AD3770" s="1"/>
      <c r="AE3770" s="1"/>
      <c r="AF3770" s="1"/>
      <c r="AG3770" s="1"/>
      <c r="AH3770" s="1"/>
      <c r="AI3770" s="1"/>
      <c r="AJ3770" s="1"/>
      <c r="AK3770" s="1"/>
      <c r="AL3770" s="1"/>
      <c r="AM3770" s="1"/>
    </row>
    <row r="3771" spans="16:39" x14ac:dyDescent="0.25">
      <c r="P3771" s="49"/>
      <c r="Q3771" s="1"/>
      <c r="S3771" s="1"/>
      <c r="T3771" s="1"/>
      <c r="U3771" s="1"/>
      <c r="V3771" s="1"/>
      <c r="W3771" s="1"/>
      <c r="X3771" s="1"/>
      <c r="Y3771" s="1"/>
      <c r="AB3771" s="1"/>
      <c r="AC3771" s="1"/>
      <c r="AD3771" s="1"/>
      <c r="AE3771" s="1"/>
      <c r="AF3771" s="1"/>
      <c r="AG3771" s="1"/>
      <c r="AH3771" s="1"/>
      <c r="AI3771" s="1"/>
      <c r="AJ3771" s="1"/>
      <c r="AK3771" s="1"/>
      <c r="AL3771" s="1"/>
      <c r="AM3771" s="1"/>
    </row>
    <row r="3772" spans="16:39" x14ac:dyDescent="0.25">
      <c r="P3772" s="49"/>
      <c r="Q3772" s="1"/>
      <c r="S3772" s="1"/>
      <c r="T3772" s="1"/>
      <c r="U3772" s="1"/>
      <c r="V3772" s="1"/>
      <c r="W3772" s="1"/>
      <c r="X3772" s="1"/>
      <c r="Y3772" s="1"/>
      <c r="AB3772" s="1"/>
      <c r="AC3772" s="1"/>
      <c r="AD3772" s="1"/>
      <c r="AE3772" s="1"/>
      <c r="AF3772" s="1"/>
      <c r="AG3772" s="1"/>
      <c r="AH3772" s="1"/>
      <c r="AI3772" s="1"/>
      <c r="AJ3772" s="1"/>
      <c r="AK3772" s="1"/>
      <c r="AL3772" s="1"/>
      <c r="AM3772" s="1"/>
    </row>
    <row r="3773" spans="16:39" x14ac:dyDescent="0.25">
      <c r="P3773" s="49"/>
      <c r="Q3773" s="1"/>
      <c r="S3773" s="1"/>
      <c r="T3773" s="1"/>
      <c r="U3773" s="1"/>
      <c r="V3773" s="1"/>
      <c r="W3773" s="1"/>
      <c r="X3773" s="1"/>
      <c r="Y3773" s="1"/>
      <c r="AB3773" s="1"/>
      <c r="AC3773" s="1"/>
      <c r="AD3773" s="1"/>
      <c r="AE3773" s="1"/>
      <c r="AF3773" s="1"/>
      <c r="AG3773" s="1"/>
      <c r="AH3773" s="1"/>
      <c r="AI3773" s="1"/>
      <c r="AJ3773" s="1"/>
      <c r="AK3773" s="1"/>
      <c r="AL3773" s="1"/>
      <c r="AM3773" s="1"/>
    </row>
    <row r="3774" spans="16:39" x14ac:dyDescent="0.25">
      <c r="P3774" s="49"/>
      <c r="Q3774" s="1"/>
      <c r="S3774" s="1"/>
      <c r="T3774" s="1"/>
      <c r="U3774" s="1"/>
      <c r="V3774" s="1"/>
      <c r="W3774" s="1"/>
      <c r="X3774" s="1"/>
      <c r="Y3774" s="1"/>
      <c r="AB3774" s="1"/>
      <c r="AC3774" s="1"/>
      <c r="AD3774" s="1"/>
      <c r="AE3774" s="1"/>
      <c r="AF3774" s="1"/>
      <c r="AG3774" s="1"/>
      <c r="AH3774" s="1"/>
      <c r="AI3774" s="1"/>
      <c r="AJ3774" s="1"/>
      <c r="AK3774" s="1"/>
      <c r="AL3774" s="1"/>
      <c r="AM3774" s="1"/>
    </row>
    <row r="3775" spans="16:39" x14ac:dyDescent="0.25">
      <c r="P3775" s="49"/>
      <c r="Q3775" s="1"/>
      <c r="S3775" s="1"/>
      <c r="T3775" s="1"/>
      <c r="U3775" s="1"/>
      <c r="V3775" s="1"/>
      <c r="W3775" s="1"/>
      <c r="X3775" s="1"/>
      <c r="Y3775" s="1"/>
      <c r="AB3775" s="1"/>
      <c r="AC3775" s="1"/>
      <c r="AD3775" s="1"/>
      <c r="AE3775" s="1"/>
      <c r="AF3775" s="1"/>
      <c r="AG3775" s="1"/>
      <c r="AH3775" s="1"/>
      <c r="AI3775" s="1"/>
      <c r="AJ3775" s="1"/>
      <c r="AK3775" s="1"/>
      <c r="AL3775" s="1"/>
      <c r="AM3775" s="1"/>
    </row>
    <row r="3776" spans="16:39" x14ac:dyDescent="0.25">
      <c r="P3776" s="49"/>
      <c r="Q3776" s="1"/>
      <c r="S3776" s="1"/>
      <c r="T3776" s="1"/>
      <c r="U3776" s="1"/>
      <c r="V3776" s="1"/>
      <c r="W3776" s="1"/>
      <c r="X3776" s="1"/>
      <c r="Y3776" s="1"/>
      <c r="AB3776" s="1"/>
      <c r="AC3776" s="1"/>
      <c r="AD3776" s="1"/>
      <c r="AE3776" s="1"/>
      <c r="AF3776" s="1"/>
      <c r="AG3776" s="1"/>
      <c r="AH3776" s="1"/>
      <c r="AI3776" s="1"/>
      <c r="AJ3776" s="1"/>
      <c r="AK3776" s="1"/>
      <c r="AL3776" s="1"/>
      <c r="AM3776" s="1"/>
    </row>
    <row r="3777" spans="16:39" x14ac:dyDescent="0.25">
      <c r="P3777" s="49"/>
      <c r="Q3777" s="1"/>
      <c r="S3777" s="1"/>
      <c r="T3777" s="1"/>
      <c r="U3777" s="1"/>
      <c r="V3777" s="1"/>
      <c r="W3777" s="1"/>
      <c r="X3777" s="1"/>
      <c r="Y3777" s="1"/>
      <c r="AB3777" s="1"/>
      <c r="AC3777" s="1"/>
      <c r="AD3777" s="1"/>
      <c r="AE3777" s="1"/>
      <c r="AF3777" s="1"/>
      <c r="AG3777" s="1"/>
      <c r="AH3777" s="1"/>
      <c r="AI3777" s="1"/>
      <c r="AJ3777" s="1"/>
      <c r="AK3777" s="1"/>
      <c r="AL3777" s="1"/>
      <c r="AM3777" s="1"/>
    </row>
    <row r="3778" spans="16:39" x14ac:dyDescent="0.25">
      <c r="P3778" s="49"/>
      <c r="Q3778" s="1"/>
      <c r="S3778" s="1"/>
      <c r="T3778" s="1"/>
      <c r="U3778" s="1"/>
      <c r="V3778" s="1"/>
      <c r="W3778" s="1"/>
      <c r="X3778" s="1"/>
      <c r="Y3778" s="1"/>
      <c r="AB3778" s="1"/>
      <c r="AC3778" s="1"/>
      <c r="AD3778" s="1"/>
      <c r="AE3778" s="1"/>
      <c r="AF3778" s="1"/>
      <c r="AG3778" s="1"/>
      <c r="AH3778" s="1"/>
      <c r="AI3778" s="1"/>
      <c r="AJ3778" s="1"/>
      <c r="AK3778" s="1"/>
      <c r="AL3778" s="1"/>
      <c r="AM3778" s="1"/>
    </row>
    <row r="3779" spans="16:39" x14ac:dyDescent="0.25">
      <c r="P3779" s="49"/>
      <c r="Q3779" s="1"/>
      <c r="S3779" s="1"/>
      <c r="T3779" s="1"/>
      <c r="U3779" s="1"/>
      <c r="V3779" s="1"/>
      <c r="W3779" s="1"/>
      <c r="X3779" s="1"/>
      <c r="Y3779" s="1"/>
      <c r="AB3779" s="1"/>
      <c r="AC3779" s="1"/>
      <c r="AD3779" s="1"/>
      <c r="AE3779" s="1"/>
      <c r="AF3779" s="1"/>
      <c r="AG3779" s="1"/>
      <c r="AH3779" s="1"/>
      <c r="AI3779" s="1"/>
      <c r="AJ3779" s="1"/>
      <c r="AK3779" s="1"/>
      <c r="AL3779" s="1"/>
      <c r="AM3779" s="1"/>
    </row>
    <row r="3780" spans="16:39" x14ac:dyDescent="0.25">
      <c r="P3780" s="49"/>
      <c r="Q3780" s="1"/>
      <c r="S3780" s="1"/>
      <c r="T3780" s="1"/>
      <c r="U3780" s="1"/>
      <c r="V3780" s="1"/>
      <c r="W3780" s="1"/>
      <c r="X3780" s="1"/>
      <c r="Y3780" s="1"/>
      <c r="AB3780" s="1"/>
      <c r="AC3780" s="1"/>
      <c r="AD3780" s="1"/>
      <c r="AE3780" s="1"/>
      <c r="AF3780" s="1"/>
      <c r="AG3780" s="1"/>
      <c r="AH3780" s="1"/>
      <c r="AI3780" s="1"/>
      <c r="AJ3780" s="1"/>
      <c r="AK3780" s="1"/>
      <c r="AL3780" s="1"/>
      <c r="AM3780" s="1"/>
    </row>
    <row r="3781" spans="16:39" x14ac:dyDescent="0.25">
      <c r="P3781" s="49"/>
      <c r="Q3781" s="1"/>
      <c r="S3781" s="1"/>
      <c r="T3781" s="1"/>
      <c r="U3781" s="1"/>
      <c r="V3781" s="1"/>
      <c r="W3781" s="1"/>
      <c r="X3781" s="1"/>
      <c r="Y3781" s="1"/>
      <c r="AB3781" s="1"/>
      <c r="AC3781" s="1"/>
      <c r="AD3781" s="1"/>
      <c r="AE3781" s="1"/>
      <c r="AF3781" s="1"/>
      <c r="AG3781" s="1"/>
      <c r="AH3781" s="1"/>
      <c r="AI3781" s="1"/>
      <c r="AJ3781" s="1"/>
      <c r="AK3781" s="1"/>
      <c r="AL3781" s="1"/>
      <c r="AM3781" s="1"/>
    </row>
    <row r="3782" spans="16:39" x14ac:dyDescent="0.25">
      <c r="P3782" s="49"/>
      <c r="Q3782" s="1"/>
      <c r="S3782" s="1"/>
      <c r="T3782" s="1"/>
      <c r="U3782" s="1"/>
      <c r="V3782" s="1"/>
      <c r="W3782" s="1"/>
      <c r="X3782" s="1"/>
      <c r="Y3782" s="1"/>
      <c r="AB3782" s="1"/>
      <c r="AC3782" s="1"/>
      <c r="AD3782" s="1"/>
      <c r="AE3782" s="1"/>
      <c r="AF3782" s="1"/>
      <c r="AG3782" s="1"/>
      <c r="AH3782" s="1"/>
      <c r="AI3782" s="1"/>
      <c r="AJ3782" s="1"/>
      <c r="AK3782" s="1"/>
      <c r="AL3782" s="1"/>
      <c r="AM3782" s="1"/>
    </row>
    <row r="3783" spans="16:39" x14ac:dyDescent="0.25">
      <c r="P3783" s="49"/>
      <c r="Q3783" s="1"/>
      <c r="S3783" s="1"/>
      <c r="T3783" s="1"/>
      <c r="U3783" s="1"/>
      <c r="V3783" s="1"/>
      <c r="W3783" s="1"/>
      <c r="X3783" s="1"/>
      <c r="Y3783" s="1"/>
      <c r="AB3783" s="1"/>
      <c r="AC3783" s="1"/>
      <c r="AD3783" s="1"/>
      <c r="AE3783" s="1"/>
      <c r="AF3783" s="1"/>
      <c r="AG3783" s="1"/>
      <c r="AH3783" s="1"/>
      <c r="AI3783" s="1"/>
      <c r="AJ3783" s="1"/>
      <c r="AK3783" s="1"/>
      <c r="AL3783" s="1"/>
      <c r="AM3783" s="1"/>
    </row>
    <row r="3784" spans="16:39" x14ac:dyDescent="0.25">
      <c r="P3784" s="49"/>
      <c r="Q3784" s="1"/>
      <c r="S3784" s="1"/>
      <c r="T3784" s="1"/>
      <c r="U3784" s="1"/>
      <c r="V3784" s="1"/>
      <c r="W3784" s="1"/>
      <c r="X3784" s="1"/>
      <c r="Y3784" s="1"/>
      <c r="AB3784" s="1"/>
      <c r="AC3784" s="1"/>
      <c r="AD3784" s="1"/>
      <c r="AE3784" s="1"/>
      <c r="AF3784" s="1"/>
      <c r="AG3784" s="1"/>
      <c r="AH3784" s="1"/>
      <c r="AI3784" s="1"/>
      <c r="AJ3784" s="1"/>
      <c r="AK3784" s="1"/>
      <c r="AL3784" s="1"/>
      <c r="AM3784" s="1"/>
    </row>
    <row r="3785" spans="16:39" x14ac:dyDescent="0.25">
      <c r="P3785" s="49"/>
      <c r="Q3785" s="1"/>
      <c r="S3785" s="1"/>
      <c r="T3785" s="1"/>
      <c r="U3785" s="1"/>
      <c r="V3785" s="1"/>
      <c r="W3785" s="1"/>
      <c r="X3785" s="1"/>
      <c r="Y3785" s="1"/>
      <c r="AB3785" s="1"/>
      <c r="AC3785" s="1"/>
      <c r="AD3785" s="1"/>
      <c r="AE3785" s="1"/>
      <c r="AF3785" s="1"/>
      <c r="AG3785" s="1"/>
      <c r="AH3785" s="1"/>
      <c r="AI3785" s="1"/>
      <c r="AJ3785" s="1"/>
      <c r="AK3785" s="1"/>
      <c r="AL3785" s="1"/>
      <c r="AM3785" s="1"/>
    </row>
    <row r="3786" spans="16:39" x14ac:dyDescent="0.25">
      <c r="P3786" s="49"/>
      <c r="Q3786" s="1"/>
      <c r="S3786" s="1"/>
      <c r="T3786" s="1"/>
      <c r="U3786" s="1"/>
      <c r="V3786" s="1"/>
      <c r="W3786" s="1"/>
      <c r="X3786" s="1"/>
      <c r="Y3786" s="1"/>
      <c r="AB3786" s="1"/>
      <c r="AC3786" s="1"/>
      <c r="AD3786" s="1"/>
      <c r="AE3786" s="1"/>
      <c r="AF3786" s="1"/>
      <c r="AG3786" s="1"/>
      <c r="AH3786" s="1"/>
      <c r="AI3786" s="1"/>
      <c r="AJ3786" s="1"/>
      <c r="AK3786" s="1"/>
      <c r="AL3786" s="1"/>
      <c r="AM3786" s="1"/>
    </row>
    <row r="3787" spans="16:39" x14ac:dyDescent="0.25">
      <c r="P3787" s="49"/>
      <c r="Q3787" s="1"/>
      <c r="S3787" s="1"/>
      <c r="T3787" s="1"/>
      <c r="U3787" s="1"/>
      <c r="V3787" s="1"/>
      <c r="W3787" s="1"/>
      <c r="X3787" s="1"/>
      <c r="Y3787" s="1"/>
      <c r="AB3787" s="1"/>
      <c r="AC3787" s="1"/>
      <c r="AD3787" s="1"/>
      <c r="AE3787" s="1"/>
      <c r="AF3787" s="1"/>
      <c r="AG3787" s="1"/>
      <c r="AH3787" s="1"/>
      <c r="AI3787" s="1"/>
      <c r="AJ3787" s="1"/>
      <c r="AK3787" s="1"/>
      <c r="AL3787" s="1"/>
      <c r="AM3787" s="1"/>
    </row>
    <row r="3788" spans="16:39" x14ac:dyDescent="0.25">
      <c r="P3788" s="49"/>
      <c r="Q3788" s="1"/>
      <c r="S3788" s="1"/>
      <c r="T3788" s="1"/>
      <c r="U3788" s="1"/>
      <c r="V3788" s="1"/>
      <c r="W3788" s="1"/>
      <c r="X3788" s="1"/>
      <c r="Y3788" s="1"/>
      <c r="AB3788" s="1"/>
      <c r="AC3788" s="1"/>
      <c r="AD3788" s="1"/>
      <c r="AE3788" s="1"/>
      <c r="AF3788" s="1"/>
      <c r="AG3788" s="1"/>
      <c r="AH3788" s="1"/>
      <c r="AI3788" s="1"/>
      <c r="AJ3788" s="1"/>
      <c r="AK3788" s="1"/>
      <c r="AL3788" s="1"/>
      <c r="AM3788" s="1"/>
    </row>
    <row r="3789" spans="16:39" x14ac:dyDescent="0.25">
      <c r="P3789" s="49"/>
      <c r="Q3789" s="1"/>
      <c r="S3789" s="1"/>
      <c r="T3789" s="1"/>
      <c r="U3789" s="1"/>
      <c r="V3789" s="1"/>
      <c r="W3789" s="1"/>
      <c r="X3789" s="1"/>
      <c r="Y3789" s="1"/>
      <c r="AB3789" s="1"/>
      <c r="AC3789" s="1"/>
      <c r="AD3789" s="1"/>
      <c r="AE3789" s="1"/>
      <c r="AF3789" s="1"/>
      <c r="AG3789" s="1"/>
      <c r="AH3789" s="1"/>
      <c r="AI3789" s="1"/>
      <c r="AJ3789" s="1"/>
      <c r="AK3789" s="1"/>
      <c r="AL3789" s="1"/>
      <c r="AM3789" s="1"/>
    </row>
    <row r="3790" spans="16:39" x14ac:dyDescent="0.25">
      <c r="P3790" s="49"/>
      <c r="Q3790" s="1"/>
      <c r="S3790" s="1"/>
      <c r="T3790" s="1"/>
      <c r="U3790" s="1"/>
      <c r="V3790" s="1"/>
      <c r="W3790" s="1"/>
      <c r="X3790" s="1"/>
      <c r="Y3790" s="1"/>
      <c r="AB3790" s="1"/>
      <c r="AC3790" s="1"/>
      <c r="AD3790" s="1"/>
      <c r="AE3790" s="1"/>
      <c r="AF3790" s="1"/>
      <c r="AG3790" s="1"/>
      <c r="AH3790" s="1"/>
      <c r="AI3790" s="1"/>
      <c r="AJ3790" s="1"/>
      <c r="AK3790" s="1"/>
      <c r="AL3790" s="1"/>
      <c r="AM3790" s="1"/>
    </row>
    <row r="3791" spans="16:39" x14ac:dyDescent="0.25">
      <c r="P3791" s="49"/>
      <c r="Q3791" s="1"/>
      <c r="S3791" s="1"/>
      <c r="T3791" s="1"/>
      <c r="U3791" s="1"/>
      <c r="V3791" s="1"/>
      <c r="W3791" s="1"/>
      <c r="X3791" s="1"/>
      <c r="Y3791" s="1"/>
      <c r="AB3791" s="1"/>
      <c r="AC3791" s="1"/>
      <c r="AD3791" s="1"/>
      <c r="AE3791" s="1"/>
      <c r="AF3791" s="1"/>
      <c r="AG3791" s="1"/>
      <c r="AH3791" s="1"/>
      <c r="AI3791" s="1"/>
      <c r="AJ3791" s="1"/>
      <c r="AK3791" s="1"/>
      <c r="AL3791" s="1"/>
      <c r="AM3791" s="1"/>
    </row>
    <row r="3792" spans="16:39" x14ac:dyDescent="0.25">
      <c r="P3792" s="49"/>
      <c r="Q3792" s="1"/>
      <c r="S3792" s="1"/>
      <c r="T3792" s="1"/>
      <c r="U3792" s="1"/>
      <c r="V3792" s="1"/>
      <c r="W3792" s="1"/>
      <c r="X3792" s="1"/>
      <c r="Y3792" s="1"/>
      <c r="AB3792" s="1"/>
      <c r="AC3792" s="1"/>
      <c r="AD3792" s="1"/>
      <c r="AE3792" s="1"/>
      <c r="AF3792" s="1"/>
      <c r="AG3792" s="1"/>
      <c r="AH3792" s="1"/>
      <c r="AI3792" s="1"/>
      <c r="AJ3792" s="1"/>
      <c r="AK3792" s="1"/>
      <c r="AL3792" s="1"/>
      <c r="AM3792" s="1"/>
    </row>
    <row r="3793" spans="16:39" x14ac:dyDescent="0.25">
      <c r="P3793" s="49"/>
      <c r="Q3793" s="1"/>
      <c r="S3793" s="1"/>
      <c r="T3793" s="1"/>
      <c r="U3793" s="1"/>
      <c r="V3793" s="1"/>
      <c r="W3793" s="1"/>
      <c r="X3793" s="1"/>
      <c r="Y3793" s="1"/>
      <c r="AB3793" s="1"/>
      <c r="AC3793" s="1"/>
      <c r="AD3793" s="1"/>
      <c r="AE3793" s="1"/>
      <c r="AF3793" s="1"/>
      <c r="AG3793" s="1"/>
      <c r="AH3793" s="1"/>
      <c r="AI3793" s="1"/>
      <c r="AJ3793" s="1"/>
      <c r="AK3793" s="1"/>
      <c r="AL3793" s="1"/>
      <c r="AM3793" s="1"/>
    </row>
    <row r="3794" spans="16:39" x14ac:dyDescent="0.25">
      <c r="P3794" s="49"/>
      <c r="Q3794" s="1"/>
      <c r="S3794" s="1"/>
      <c r="T3794" s="1"/>
      <c r="U3794" s="1"/>
      <c r="V3794" s="1"/>
      <c r="W3794" s="1"/>
      <c r="X3794" s="1"/>
      <c r="Y3794" s="1"/>
      <c r="AB3794" s="1"/>
      <c r="AC3794" s="1"/>
      <c r="AD3794" s="1"/>
      <c r="AE3794" s="1"/>
      <c r="AF3794" s="1"/>
      <c r="AG3794" s="1"/>
      <c r="AH3794" s="1"/>
      <c r="AI3794" s="1"/>
      <c r="AJ3794" s="1"/>
      <c r="AK3794" s="1"/>
      <c r="AL3794" s="1"/>
      <c r="AM3794" s="1"/>
    </row>
    <row r="3795" spans="16:39" x14ac:dyDescent="0.25">
      <c r="P3795" s="49"/>
      <c r="Q3795" s="1"/>
      <c r="S3795" s="1"/>
      <c r="T3795" s="1"/>
      <c r="U3795" s="1"/>
      <c r="V3795" s="1"/>
      <c r="W3795" s="1"/>
      <c r="X3795" s="1"/>
      <c r="Y3795" s="1"/>
      <c r="AB3795" s="1"/>
      <c r="AC3795" s="1"/>
      <c r="AD3795" s="1"/>
      <c r="AE3795" s="1"/>
      <c r="AF3795" s="1"/>
      <c r="AG3795" s="1"/>
      <c r="AH3795" s="1"/>
      <c r="AI3795" s="1"/>
      <c r="AJ3795" s="1"/>
      <c r="AK3795" s="1"/>
      <c r="AL3795" s="1"/>
      <c r="AM3795" s="1"/>
    </row>
    <row r="3796" spans="16:39" x14ac:dyDescent="0.25">
      <c r="P3796" s="49"/>
      <c r="Q3796" s="1"/>
      <c r="S3796" s="1"/>
      <c r="T3796" s="1"/>
      <c r="U3796" s="1"/>
      <c r="V3796" s="1"/>
      <c r="W3796" s="1"/>
      <c r="X3796" s="1"/>
      <c r="Y3796" s="1"/>
      <c r="AB3796" s="1"/>
      <c r="AC3796" s="1"/>
      <c r="AD3796" s="1"/>
      <c r="AE3796" s="1"/>
      <c r="AF3796" s="1"/>
      <c r="AG3796" s="1"/>
      <c r="AH3796" s="1"/>
      <c r="AI3796" s="1"/>
      <c r="AJ3796" s="1"/>
      <c r="AK3796" s="1"/>
      <c r="AL3796" s="1"/>
      <c r="AM3796" s="1"/>
    </row>
    <row r="3797" spans="16:39" x14ac:dyDescent="0.25">
      <c r="P3797" s="49"/>
      <c r="Q3797" s="1"/>
      <c r="S3797" s="1"/>
      <c r="T3797" s="1"/>
      <c r="U3797" s="1"/>
      <c r="V3797" s="1"/>
      <c r="W3797" s="1"/>
      <c r="X3797" s="1"/>
      <c r="Y3797" s="1"/>
      <c r="AB3797" s="1"/>
      <c r="AC3797" s="1"/>
      <c r="AD3797" s="1"/>
      <c r="AE3797" s="1"/>
      <c r="AF3797" s="1"/>
      <c r="AG3797" s="1"/>
      <c r="AH3797" s="1"/>
      <c r="AI3797" s="1"/>
      <c r="AJ3797" s="1"/>
      <c r="AK3797" s="1"/>
      <c r="AL3797" s="1"/>
      <c r="AM3797" s="1"/>
    </row>
    <row r="3798" spans="16:39" x14ac:dyDescent="0.25">
      <c r="P3798" s="49"/>
      <c r="Q3798" s="1"/>
      <c r="S3798" s="1"/>
      <c r="T3798" s="1"/>
      <c r="U3798" s="1"/>
      <c r="V3798" s="1"/>
      <c r="W3798" s="1"/>
      <c r="X3798" s="1"/>
      <c r="Y3798" s="1"/>
      <c r="AB3798" s="1"/>
      <c r="AC3798" s="1"/>
      <c r="AD3798" s="1"/>
      <c r="AE3798" s="1"/>
      <c r="AF3798" s="1"/>
      <c r="AG3798" s="1"/>
      <c r="AH3798" s="1"/>
      <c r="AI3798" s="1"/>
      <c r="AJ3798" s="1"/>
      <c r="AK3798" s="1"/>
      <c r="AL3798" s="1"/>
      <c r="AM3798" s="1"/>
    </row>
    <row r="3799" spans="16:39" x14ac:dyDescent="0.25">
      <c r="P3799" s="49"/>
      <c r="Q3799" s="1"/>
      <c r="S3799" s="1"/>
      <c r="T3799" s="1"/>
      <c r="U3799" s="1"/>
      <c r="V3799" s="1"/>
      <c r="W3799" s="1"/>
      <c r="X3799" s="1"/>
      <c r="Y3799" s="1"/>
      <c r="AB3799" s="1"/>
      <c r="AC3799" s="1"/>
      <c r="AD3799" s="1"/>
      <c r="AE3799" s="1"/>
      <c r="AF3799" s="1"/>
      <c r="AG3799" s="1"/>
      <c r="AH3799" s="1"/>
      <c r="AI3799" s="1"/>
      <c r="AJ3799" s="1"/>
      <c r="AK3799" s="1"/>
      <c r="AL3799" s="1"/>
      <c r="AM3799" s="1"/>
    </row>
    <row r="3800" spans="16:39" x14ac:dyDescent="0.25">
      <c r="P3800" s="49"/>
      <c r="Q3800" s="1"/>
      <c r="S3800" s="1"/>
      <c r="T3800" s="1"/>
      <c r="U3800" s="1"/>
      <c r="V3800" s="1"/>
      <c r="W3800" s="1"/>
      <c r="X3800" s="1"/>
      <c r="Y3800" s="1"/>
      <c r="AB3800" s="1"/>
      <c r="AC3800" s="1"/>
      <c r="AD3800" s="1"/>
      <c r="AE3800" s="1"/>
      <c r="AF3800" s="1"/>
      <c r="AG3800" s="1"/>
      <c r="AH3800" s="1"/>
      <c r="AI3800" s="1"/>
      <c r="AJ3800" s="1"/>
      <c r="AK3800" s="1"/>
      <c r="AL3800" s="1"/>
      <c r="AM3800" s="1"/>
    </row>
    <row r="3801" spans="16:39" x14ac:dyDescent="0.25">
      <c r="P3801" s="49"/>
      <c r="Q3801" s="1"/>
      <c r="S3801" s="1"/>
      <c r="T3801" s="1"/>
      <c r="U3801" s="1"/>
      <c r="V3801" s="1"/>
      <c r="W3801" s="1"/>
      <c r="X3801" s="1"/>
      <c r="Y3801" s="1"/>
      <c r="AB3801" s="1"/>
      <c r="AC3801" s="1"/>
      <c r="AD3801" s="1"/>
      <c r="AE3801" s="1"/>
      <c r="AF3801" s="1"/>
      <c r="AG3801" s="1"/>
      <c r="AH3801" s="1"/>
      <c r="AI3801" s="1"/>
      <c r="AJ3801" s="1"/>
      <c r="AK3801" s="1"/>
      <c r="AL3801" s="1"/>
      <c r="AM3801" s="1"/>
    </row>
    <row r="3802" spans="16:39" x14ac:dyDescent="0.25">
      <c r="P3802" s="49"/>
      <c r="Q3802" s="1"/>
      <c r="S3802" s="1"/>
      <c r="T3802" s="1"/>
      <c r="U3802" s="1"/>
      <c r="V3802" s="1"/>
      <c r="W3802" s="1"/>
      <c r="X3802" s="1"/>
      <c r="Y3802" s="1"/>
      <c r="AB3802" s="1"/>
      <c r="AC3802" s="1"/>
      <c r="AD3802" s="1"/>
      <c r="AE3802" s="1"/>
      <c r="AF3802" s="1"/>
      <c r="AG3802" s="1"/>
      <c r="AH3802" s="1"/>
      <c r="AI3802" s="1"/>
      <c r="AJ3802" s="1"/>
      <c r="AK3802" s="1"/>
      <c r="AL3802" s="1"/>
      <c r="AM3802" s="1"/>
    </row>
    <row r="3803" spans="16:39" x14ac:dyDescent="0.25">
      <c r="P3803" s="49"/>
      <c r="Q3803" s="1"/>
      <c r="S3803" s="1"/>
      <c r="T3803" s="1"/>
      <c r="U3803" s="1"/>
      <c r="V3803" s="1"/>
      <c r="W3803" s="1"/>
      <c r="X3803" s="1"/>
      <c r="Y3803" s="1"/>
      <c r="AB3803" s="1"/>
      <c r="AC3803" s="1"/>
      <c r="AD3803" s="1"/>
      <c r="AE3803" s="1"/>
      <c r="AF3803" s="1"/>
      <c r="AG3803" s="1"/>
      <c r="AH3803" s="1"/>
      <c r="AI3803" s="1"/>
      <c r="AJ3803" s="1"/>
      <c r="AK3803" s="1"/>
      <c r="AL3803" s="1"/>
      <c r="AM3803" s="1"/>
    </row>
    <row r="3804" spans="16:39" x14ac:dyDescent="0.25">
      <c r="P3804" s="49"/>
      <c r="Q3804" s="1"/>
      <c r="S3804" s="1"/>
      <c r="T3804" s="1"/>
      <c r="U3804" s="1"/>
      <c r="V3804" s="1"/>
      <c r="W3804" s="1"/>
      <c r="X3804" s="1"/>
      <c r="Y3804" s="1"/>
      <c r="AB3804" s="1"/>
      <c r="AC3804" s="1"/>
      <c r="AD3804" s="1"/>
      <c r="AE3804" s="1"/>
      <c r="AF3804" s="1"/>
      <c r="AG3804" s="1"/>
      <c r="AH3804" s="1"/>
      <c r="AI3804" s="1"/>
      <c r="AJ3804" s="1"/>
      <c r="AK3804" s="1"/>
      <c r="AL3804" s="1"/>
      <c r="AM3804" s="1"/>
    </row>
    <row r="3805" spans="16:39" x14ac:dyDescent="0.25">
      <c r="P3805" s="49"/>
      <c r="Q3805" s="1"/>
      <c r="S3805" s="1"/>
      <c r="T3805" s="1"/>
      <c r="U3805" s="1"/>
      <c r="V3805" s="1"/>
      <c r="W3805" s="1"/>
      <c r="X3805" s="1"/>
      <c r="Y3805" s="1"/>
      <c r="AB3805" s="1"/>
      <c r="AC3805" s="1"/>
      <c r="AD3805" s="1"/>
      <c r="AE3805" s="1"/>
      <c r="AF3805" s="1"/>
      <c r="AG3805" s="1"/>
      <c r="AH3805" s="1"/>
      <c r="AI3805" s="1"/>
      <c r="AJ3805" s="1"/>
      <c r="AK3805" s="1"/>
      <c r="AL3805" s="1"/>
      <c r="AM3805" s="1"/>
    </row>
    <row r="3806" spans="16:39" x14ac:dyDescent="0.25">
      <c r="P3806" s="49"/>
      <c r="Q3806" s="1"/>
      <c r="S3806" s="1"/>
      <c r="T3806" s="1"/>
      <c r="U3806" s="1"/>
      <c r="V3806" s="1"/>
      <c r="W3806" s="1"/>
      <c r="X3806" s="1"/>
      <c r="Y3806" s="1"/>
      <c r="AB3806" s="1"/>
      <c r="AC3806" s="1"/>
      <c r="AD3806" s="1"/>
      <c r="AE3806" s="1"/>
      <c r="AF3806" s="1"/>
      <c r="AG3806" s="1"/>
      <c r="AH3806" s="1"/>
      <c r="AI3806" s="1"/>
      <c r="AJ3806" s="1"/>
      <c r="AK3806" s="1"/>
      <c r="AL3806" s="1"/>
      <c r="AM3806" s="1"/>
    </row>
    <row r="3807" spans="16:39" x14ac:dyDescent="0.25">
      <c r="P3807" s="49"/>
      <c r="Q3807" s="1"/>
      <c r="S3807" s="1"/>
      <c r="T3807" s="1"/>
      <c r="U3807" s="1"/>
      <c r="V3807" s="1"/>
      <c r="W3807" s="1"/>
      <c r="X3807" s="1"/>
      <c r="Y3807" s="1"/>
      <c r="AB3807" s="1"/>
      <c r="AC3807" s="1"/>
      <c r="AD3807" s="1"/>
      <c r="AE3807" s="1"/>
      <c r="AF3807" s="1"/>
      <c r="AG3807" s="1"/>
      <c r="AH3807" s="1"/>
      <c r="AI3807" s="1"/>
      <c r="AJ3807" s="1"/>
      <c r="AK3807" s="1"/>
      <c r="AL3807" s="1"/>
      <c r="AM3807" s="1"/>
    </row>
    <row r="3808" spans="16:39" x14ac:dyDescent="0.25">
      <c r="P3808" s="49"/>
      <c r="Q3808" s="1"/>
      <c r="S3808" s="1"/>
      <c r="T3808" s="1"/>
      <c r="U3808" s="1"/>
      <c r="V3808" s="1"/>
      <c r="W3808" s="1"/>
      <c r="X3808" s="1"/>
      <c r="Y3808" s="1"/>
      <c r="AB3808" s="1"/>
      <c r="AC3808" s="1"/>
      <c r="AD3808" s="1"/>
      <c r="AE3808" s="1"/>
      <c r="AF3808" s="1"/>
      <c r="AG3808" s="1"/>
      <c r="AH3808" s="1"/>
      <c r="AI3808" s="1"/>
      <c r="AJ3808" s="1"/>
      <c r="AK3808" s="1"/>
      <c r="AL3808" s="1"/>
      <c r="AM3808" s="1"/>
    </row>
    <row r="3809" spans="16:39" x14ac:dyDescent="0.25">
      <c r="P3809" s="49"/>
      <c r="Q3809" s="1"/>
      <c r="S3809" s="1"/>
      <c r="T3809" s="1"/>
      <c r="U3809" s="1"/>
      <c r="V3809" s="1"/>
      <c r="W3809" s="1"/>
      <c r="X3809" s="1"/>
      <c r="Y3809" s="1"/>
      <c r="AB3809" s="1"/>
      <c r="AC3809" s="1"/>
      <c r="AD3809" s="1"/>
      <c r="AE3809" s="1"/>
      <c r="AF3809" s="1"/>
      <c r="AG3809" s="1"/>
      <c r="AH3809" s="1"/>
      <c r="AI3809" s="1"/>
      <c r="AJ3809" s="1"/>
      <c r="AK3809" s="1"/>
      <c r="AL3809" s="1"/>
      <c r="AM3809" s="1"/>
    </row>
    <row r="3810" spans="16:39" x14ac:dyDescent="0.25">
      <c r="P3810" s="49"/>
      <c r="Q3810" s="1"/>
      <c r="S3810" s="1"/>
      <c r="T3810" s="1"/>
      <c r="U3810" s="1"/>
      <c r="V3810" s="1"/>
      <c r="W3810" s="1"/>
      <c r="X3810" s="1"/>
      <c r="Y3810" s="1"/>
      <c r="AB3810" s="1"/>
      <c r="AC3810" s="1"/>
      <c r="AD3810" s="1"/>
      <c r="AE3810" s="1"/>
      <c r="AF3810" s="1"/>
      <c r="AG3810" s="1"/>
      <c r="AH3810" s="1"/>
      <c r="AI3810" s="1"/>
      <c r="AJ3810" s="1"/>
      <c r="AK3810" s="1"/>
      <c r="AL3810" s="1"/>
      <c r="AM3810" s="1"/>
    </row>
    <row r="3811" spans="16:39" x14ac:dyDescent="0.25">
      <c r="P3811" s="49"/>
      <c r="Q3811" s="1"/>
      <c r="S3811" s="1"/>
      <c r="T3811" s="1"/>
      <c r="U3811" s="1"/>
      <c r="V3811" s="1"/>
      <c r="W3811" s="1"/>
      <c r="X3811" s="1"/>
      <c r="Y3811" s="1"/>
      <c r="AB3811" s="1"/>
      <c r="AC3811" s="1"/>
      <c r="AD3811" s="1"/>
      <c r="AE3811" s="1"/>
      <c r="AF3811" s="1"/>
      <c r="AG3811" s="1"/>
      <c r="AH3811" s="1"/>
      <c r="AI3811" s="1"/>
      <c r="AJ3811" s="1"/>
      <c r="AK3811" s="1"/>
      <c r="AL3811" s="1"/>
      <c r="AM3811" s="1"/>
    </row>
    <row r="3812" spans="16:39" x14ac:dyDescent="0.25">
      <c r="P3812" s="49"/>
      <c r="Q3812" s="1"/>
      <c r="S3812" s="1"/>
      <c r="T3812" s="1"/>
      <c r="U3812" s="1"/>
      <c r="V3812" s="1"/>
      <c r="W3812" s="1"/>
      <c r="X3812" s="1"/>
      <c r="Y3812" s="1"/>
      <c r="AB3812" s="1"/>
      <c r="AC3812" s="1"/>
      <c r="AD3812" s="1"/>
      <c r="AE3812" s="1"/>
      <c r="AF3812" s="1"/>
      <c r="AG3812" s="1"/>
      <c r="AH3812" s="1"/>
      <c r="AI3812" s="1"/>
      <c r="AJ3812" s="1"/>
      <c r="AK3812" s="1"/>
      <c r="AL3812" s="1"/>
      <c r="AM3812" s="1"/>
    </row>
    <row r="3813" spans="16:39" x14ac:dyDescent="0.25">
      <c r="P3813" s="49"/>
      <c r="Q3813" s="1"/>
      <c r="S3813" s="1"/>
      <c r="T3813" s="1"/>
      <c r="U3813" s="1"/>
      <c r="V3813" s="1"/>
      <c r="W3813" s="1"/>
      <c r="X3813" s="1"/>
      <c r="Y3813" s="1"/>
      <c r="AB3813" s="1"/>
      <c r="AC3813" s="1"/>
      <c r="AD3813" s="1"/>
      <c r="AE3813" s="1"/>
      <c r="AF3813" s="1"/>
      <c r="AG3813" s="1"/>
      <c r="AH3813" s="1"/>
      <c r="AI3813" s="1"/>
      <c r="AJ3813" s="1"/>
      <c r="AK3813" s="1"/>
      <c r="AL3813" s="1"/>
      <c r="AM3813" s="1"/>
    </row>
    <row r="3814" spans="16:39" x14ac:dyDescent="0.25">
      <c r="P3814" s="49"/>
      <c r="Q3814" s="1"/>
      <c r="S3814" s="1"/>
      <c r="T3814" s="1"/>
      <c r="U3814" s="1"/>
      <c r="V3814" s="1"/>
      <c r="W3814" s="1"/>
      <c r="X3814" s="1"/>
      <c r="Y3814" s="1"/>
      <c r="AB3814" s="1"/>
      <c r="AC3814" s="1"/>
      <c r="AD3814" s="1"/>
      <c r="AE3814" s="1"/>
      <c r="AF3814" s="1"/>
      <c r="AG3814" s="1"/>
      <c r="AH3814" s="1"/>
      <c r="AI3814" s="1"/>
      <c r="AJ3814" s="1"/>
      <c r="AK3814" s="1"/>
      <c r="AL3814" s="1"/>
      <c r="AM3814" s="1"/>
    </row>
    <row r="3815" spans="16:39" x14ac:dyDescent="0.25">
      <c r="P3815" s="49"/>
      <c r="Q3815" s="1"/>
      <c r="S3815" s="1"/>
      <c r="T3815" s="1"/>
      <c r="U3815" s="1"/>
      <c r="V3815" s="1"/>
      <c r="W3815" s="1"/>
      <c r="X3815" s="1"/>
      <c r="Y3815" s="1"/>
      <c r="AB3815" s="1"/>
      <c r="AC3815" s="1"/>
      <c r="AD3815" s="1"/>
      <c r="AE3815" s="1"/>
      <c r="AF3815" s="1"/>
      <c r="AG3815" s="1"/>
      <c r="AH3815" s="1"/>
      <c r="AI3815" s="1"/>
      <c r="AJ3815" s="1"/>
      <c r="AK3815" s="1"/>
      <c r="AL3815" s="1"/>
      <c r="AM3815" s="1"/>
    </row>
    <row r="3816" spans="16:39" x14ac:dyDescent="0.25">
      <c r="P3816" s="49"/>
      <c r="Q3816" s="1"/>
      <c r="S3816" s="1"/>
      <c r="T3816" s="1"/>
      <c r="U3816" s="1"/>
      <c r="V3816" s="1"/>
      <c r="W3816" s="1"/>
      <c r="X3816" s="1"/>
      <c r="Y3816" s="1"/>
      <c r="AB3816" s="1"/>
      <c r="AC3816" s="1"/>
      <c r="AD3816" s="1"/>
      <c r="AE3816" s="1"/>
      <c r="AF3816" s="1"/>
      <c r="AG3816" s="1"/>
      <c r="AH3816" s="1"/>
      <c r="AI3816" s="1"/>
      <c r="AJ3816" s="1"/>
      <c r="AK3816" s="1"/>
      <c r="AL3816" s="1"/>
      <c r="AM3816" s="1"/>
    </row>
    <row r="3817" spans="16:39" x14ac:dyDescent="0.25">
      <c r="P3817" s="49"/>
      <c r="Q3817" s="1"/>
      <c r="S3817" s="1"/>
      <c r="T3817" s="1"/>
      <c r="U3817" s="1"/>
      <c r="V3817" s="1"/>
      <c r="W3817" s="1"/>
      <c r="X3817" s="1"/>
      <c r="Y3817" s="1"/>
      <c r="AB3817" s="1"/>
      <c r="AC3817" s="1"/>
      <c r="AD3817" s="1"/>
      <c r="AE3817" s="1"/>
      <c r="AF3817" s="1"/>
      <c r="AG3817" s="1"/>
      <c r="AH3817" s="1"/>
      <c r="AI3817" s="1"/>
      <c r="AJ3817" s="1"/>
      <c r="AK3817" s="1"/>
      <c r="AL3817" s="1"/>
      <c r="AM3817" s="1"/>
    </row>
    <row r="3818" spans="16:39" x14ac:dyDescent="0.25">
      <c r="P3818" s="49"/>
      <c r="Q3818" s="1"/>
      <c r="S3818" s="1"/>
      <c r="T3818" s="1"/>
      <c r="U3818" s="1"/>
      <c r="V3818" s="1"/>
      <c r="W3818" s="1"/>
      <c r="X3818" s="1"/>
      <c r="Y3818" s="1"/>
      <c r="AB3818" s="1"/>
      <c r="AC3818" s="1"/>
      <c r="AD3818" s="1"/>
      <c r="AE3818" s="1"/>
      <c r="AF3818" s="1"/>
      <c r="AG3818" s="1"/>
      <c r="AH3818" s="1"/>
      <c r="AI3818" s="1"/>
      <c r="AJ3818" s="1"/>
      <c r="AK3818" s="1"/>
      <c r="AL3818" s="1"/>
      <c r="AM3818" s="1"/>
    </row>
    <row r="3819" spans="16:39" x14ac:dyDescent="0.25">
      <c r="P3819" s="49"/>
      <c r="Q3819" s="1"/>
      <c r="S3819" s="1"/>
      <c r="T3819" s="1"/>
      <c r="U3819" s="1"/>
      <c r="V3819" s="1"/>
      <c r="W3819" s="1"/>
      <c r="X3819" s="1"/>
      <c r="Y3819" s="1"/>
      <c r="AB3819" s="1"/>
      <c r="AC3819" s="1"/>
      <c r="AD3819" s="1"/>
      <c r="AE3819" s="1"/>
      <c r="AF3819" s="1"/>
      <c r="AG3819" s="1"/>
      <c r="AH3819" s="1"/>
      <c r="AI3819" s="1"/>
      <c r="AJ3819" s="1"/>
      <c r="AK3819" s="1"/>
      <c r="AL3819" s="1"/>
      <c r="AM3819" s="1"/>
    </row>
    <row r="3820" spans="16:39" x14ac:dyDescent="0.25">
      <c r="P3820" s="49"/>
      <c r="Q3820" s="1"/>
      <c r="S3820" s="1"/>
      <c r="T3820" s="1"/>
      <c r="U3820" s="1"/>
      <c r="V3820" s="1"/>
      <c r="W3820" s="1"/>
      <c r="X3820" s="1"/>
      <c r="Y3820" s="1"/>
      <c r="AB3820" s="1"/>
      <c r="AC3820" s="1"/>
      <c r="AD3820" s="1"/>
      <c r="AE3820" s="1"/>
      <c r="AF3820" s="1"/>
      <c r="AG3820" s="1"/>
      <c r="AH3820" s="1"/>
      <c r="AI3820" s="1"/>
      <c r="AJ3820" s="1"/>
      <c r="AK3820" s="1"/>
      <c r="AL3820" s="1"/>
      <c r="AM3820" s="1"/>
    </row>
    <row r="3821" spans="16:39" x14ac:dyDescent="0.25">
      <c r="P3821" s="49"/>
      <c r="Q3821" s="1"/>
      <c r="S3821" s="1"/>
      <c r="T3821" s="1"/>
      <c r="U3821" s="1"/>
      <c r="V3821" s="1"/>
      <c r="W3821" s="1"/>
      <c r="X3821" s="1"/>
      <c r="Y3821" s="1"/>
      <c r="AB3821" s="1"/>
      <c r="AC3821" s="1"/>
      <c r="AD3821" s="1"/>
      <c r="AE3821" s="1"/>
      <c r="AF3821" s="1"/>
      <c r="AG3821" s="1"/>
      <c r="AH3821" s="1"/>
      <c r="AI3821" s="1"/>
      <c r="AJ3821" s="1"/>
      <c r="AK3821" s="1"/>
      <c r="AL3821" s="1"/>
      <c r="AM3821" s="1"/>
    </row>
    <row r="3822" spans="16:39" x14ac:dyDescent="0.25">
      <c r="P3822" s="49"/>
      <c r="Q3822" s="1"/>
      <c r="S3822" s="1"/>
      <c r="T3822" s="1"/>
      <c r="U3822" s="1"/>
      <c r="V3822" s="1"/>
      <c r="W3822" s="1"/>
      <c r="X3822" s="1"/>
      <c r="Y3822" s="1"/>
      <c r="AB3822" s="1"/>
      <c r="AC3822" s="1"/>
      <c r="AD3822" s="1"/>
      <c r="AE3822" s="1"/>
      <c r="AF3822" s="1"/>
      <c r="AG3822" s="1"/>
      <c r="AH3822" s="1"/>
      <c r="AI3822" s="1"/>
      <c r="AJ3822" s="1"/>
      <c r="AK3822" s="1"/>
      <c r="AL3822" s="1"/>
      <c r="AM3822" s="1"/>
    </row>
    <row r="3823" spans="16:39" x14ac:dyDescent="0.25">
      <c r="P3823" s="49"/>
      <c r="Q3823" s="1"/>
      <c r="S3823" s="1"/>
      <c r="T3823" s="1"/>
      <c r="U3823" s="1"/>
      <c r="V3823" s="1"/>
      <c r="W3823" s="1"/>
      <c r="X3823" s="1"/>
      <c r="Y3823" s="1"/>
      <c r="AB3823" s="1"/>
      <c r="AC3823" s="1"/>
      <c r="AD3823" s="1"/>
      <c r="AE3823" s="1"/>
      <c r="AF3823" s="1"/>
      <c r="AG3823" s="1"/>
      <c r="AH3823" s="1"/>
      <c r="AI3823" s="1"/>
      <c r="AJ3823" s="1"/>
      <c r="AK3823" s="1"/>
      <c r="AL3823" s="1"/>
      <c r="AM3823" s="1"/>
    </row>
    <row r="3824" spans="16:39" x14ac:dyDescent="0.25">
      <c r="P3824" s="49"/>
      <c r="Q3824" s="1"/>
      <c r="S3824" s="1"/>
      <c r="T3824" s="1"/>
      <c r="U3824" s="1"/>
      <c r="V3824" s="1"/>
      <c r="W3824" s="1"/>
      <c r="X3824" s="1"/>
      <c r="Y3824" s="1"/>
      <c r="AB3824" s="1"/>
      <c r="AC3824" s="1"/>
      <c r="AD3824" s="1"/>
      <c r="AE3824" s="1"/>
      <c r="AF3824" s="1"/>
      <c r="AG3824" s="1"/>
      <c r="AH3824" s="1"/>
      <c r="AI3824" s="1"/>
      <c r="AJ3824" s="1"/>
      <c r="AK3824" s="1"/>
      <c r="AL3824" s="1"/>
      <c r="AM3824" s="1"/>
    </row>
    <row r="3825" spans="16:39" x14ac:dyDescent="0.25">
      <c r="P3825" s="49"/>
      <c r="Q3825" s="1"/>
      <c r="S3825" s="1"/>
      <c r="T3825" s="1"/>
      <c r="U3825" s="1"/>
      <c r="V3825" s="1"/>
      <c r="W3825" s="1"/>
      <c r="X3825" s="1"/>
      <c r="Y3825" s="1"/>
      <c r="AB3825" s="1"/>
      <c r="AC3825" s="1"/>
      <c r="AD3825" s="1"/>
      <c r="AE3825" s="1"/>
      <c r="AF3825" s="1"/>
      <c r="AG3825" s="1"/>
      <c r="AH3825" s="1"/>
      <c r="AI3825" s="1"/>
      <c r="AJ3825" s="1"/>
      <c r="AK3825" s="1"/>
      <c r="AL3825" s="1"/>
      <c r="AM3825" s="1"/>
    </row>
    <row r="3826" spans="16:39" x14ac:dyDescent="0.25">
      <c r="P3826" s="49"/>
      <c r="Q3826" s="1"/>
      <c r="S3826" s="1"/>
      <c r="T3826" s="1"/>
      <c r="U3826" s="1"/>
      <c r="V3826" s="1"/>
      <c r="W3826" s="1"/>
      <c r="X3826" s="1"/>
      <c r="Y3826" s="1"/>
      <c r="AB3826" s="1"/>
      <c r="AC3826" s="1"/>
      <c r="AD3826" s="1"/>
      <c r="AE3826" s="1"/>
      <c r="AF3826" s="1"/>
      <c r="AG3826" s="1"/>
      <c r="AH3826" s="1"/>
      <c r="AI3826" s="1"/>
      <c r="AJ3826" s="1"/>
      <c r="AK3826" s="1"/>
      <c r="AL3826" s="1"/>
      <c r="AM3826" s="1"/>
    </row>
    <row r="3827" spans="16:39" x14ac:dyDescent="0.25">
      <c r="P3827" s="49"/>
      <c r="Q3827" s="1"/>
      <c r="S3827" s="1"/>
      <c r="T3827" s="1"/>
      <c r="U3827" s="1"/>
      <c r="V3827" s="1"/>
      <c r="W3827" s="1"/>
      <c r="X3827" s="1"/>
      <c r="Y3827" s="1"/>
      <c r="AB3827" s="1"/>
      <c r="AC3827" s="1"/>
      <c r="AD3827" s="1"/>
      <c r="AE3827" s="1"/>
      <c r="AF3827" s="1"/>
      <c r="AG3827" s="1"/>
      <c r="AH3827" s="1"/>
      <c r="AI3827" s="1"/>
      <c r="AJ3827" s="1"/>
      <c r="AK3827" s="1"/>
      <c r="AL3827" s="1"/>
      <c r="AM3827" s="1"/>
    </row>
    <row r="3828" spans="16:39" x14ac:dyDescent="0.25">
      <c r="P3828" s="49"/>
      <c r="Q3828" s="1"/>
      <c r="S3828" s="1"/>
      <c r="T3828" s="1"/>
      <c r="U3828" s="1"/>
      <c r="V3828" s="1"/>
      <c r="W3828" s="1"/>
      <c r="X3828" s="1"/>
      <c r="Y3828" s="1"/>
      <c r="AB3828" s="1"/>
      <c r="AC3828" s="1"/>
      <c r="AD3828" s="1"/>
      <c r="AE3828" s="1"/>
      <c r="AF3828" s="1"/>
      <c r="AG3828" s="1"/>
      <c r="AH3828" s="1"/>
      <c r="AI3828" s="1"/>
      <c r="AJ3828" s="1"/>
      <c r="AK3828" s="1"/>
      <c r="AL3828" s="1"/>
      <c r="AM3828" s="1"/>
    </row>
    <row r="3829" spans="16:39" x14ac:dyDescent="0.25">
      <c r="P3829" s="49"/>
      <c r="Q3829" s="1"/>
      <c r="S3829" s="1"/>
      <c r="T3829" s="1"/>
      <c r="U3829" s="1"/>
      <c r="V3829" s="1"/>
      <c r="W3829" s="1"/>
      <c r="X3829" s="1"/>
      <c r="Y3829" s="1"/>
      <c r="AB3829" s="1"/>
      <c r="AC3829" s="1"/>
      <c r="AD3829" s="1"/>
      <c r="AE3829" s="1"/>
      <c r="AF3829" s="1"/>
      <c r="AG3829" s="1"/>
      <c r="AH3829" s="1"/>
      <c r="AI3829" s="1"/>
      <c r="AJ3829" s="1"/>
      <c r="AK3829" s="1"/>
      <c r="AL3829" s="1"/>
      <c r="AM3829" s="1"/>
    </row>
    <row r="3830" spans="16:39" x14ac:dyDescent="0.25">
      <c r="P3830" s="49"/>
      <c r="Q3830" s="1"/>
      <c r="S3830" s="1"/>
      <c r="T3830" s="1"/>
      <c r="U3830" s="1"/>
      <c r="V3830" s="1"/>
      <c r="W3830" s="1"/>
      <c r="X3830" s="1"/>
      <c r="Y3830" s="1"/>
      <c r="AB3830" s="1"/>
      <c r="AC3830" s="1"/>
      <c r="AD3830" s="1"/>
      <c r="AE3830" s="1"/>
      <c r="AF3830" s="1"/>
      <c r="AG3830" s="1"/>
      <c r="AH3830" s="1"/>
      <c r="AI3830" s="1"/>
      <c r="AJ3830" s="1"/>
      <c r="AK3830" s="1"/>
      <c r="AL3830" s="1"/>
      <c r="AM3830" s="1"/>
    </row>
    <row r="3831" spans="16:39" x14ac:dyDescent="0.25">
      <c r="P3831" s="49"/>
      <c r="Q3831" s="1"/>
      <c r="S3831" s="1"/>
      <c r="T3831" s="1"/>
      <c r="U3831" s="1"/>
      <c r="V3831" s="1"/>
      <c r="W3831" s="1"/>
      <c r="X3831" s="1"/>
      <c r="Y3831" s="1"/>
      <c r="AB3831" s="1"/>
      <c r="AC3831" s="1"/>
      <c r="AD3831" s="1"/>
      <c r="AE3831" s="1"/>
      <c r="AF3831" s="1"/>
      <c r="AG3831" s="1"/>
      <c r="AH3831" s="1"/>
      <c r="AI3831" s="1"/>
      <c r="AJ3831" s="1"/>
      <c r="AK3831" s="1"/>
      <c r="AL3831" s="1"/>
      <c r="AM3831" s="1"/>
    </row>
    <row r="3832" spans="16:39" x14ac:dyDescent="0.25">
      <c r="P3832" s="49"/>
      <c r="Q3832" s="1"/>
      <c r="S3832" s="1"/>
      <c r="T3832" s="1"/>
      <c r="U3832" s="1"/>
      <c r="V3832" s="1"/>
      <c r="W3832" s="1"/>
      <c r="X3832" s="1"/>
      <c r="Y3832" s="1"/>
      <c r="AB3832" s="1"/>
      <c r="AC3832" s="1"/>
      <c r="AD3832" s="1"/>
      <c r="AE3832" s="1"/>
      <c r="AF3832" s="1"/>
      <c r="AG3832" s="1"/>
      <c r="AH3832" s="1"/>
      <c r="AI3832" s="1"/>
      <c r="AJ3832" s="1"/>
      <c r="AK3832" s="1"/>
      <c r="AL3832" s="1"/>
      <c r="AM3832" s="1"/>
    </row>
    <row r="3833" spans="16:39" x14ac:dyDescent="0.25">
      <c r="P3833" s="49"/>
      <c r="Q3833" s="1"/>
      <c r="S3833" s="1"/>
      <c r="T3833" s="1"/>
      <c r="U3833" s="1"/>
      <c r="V3833" s="1"/>
      <c r="W3833" s="1"/>
      <c r="X3833" s="1"/>
      <c r="Y3833" s="1"/>
      <c r="AB3833" s="1"/>
      <c r="AC3833" s="1"/>
      <c r="AD3833" s="1"/>
      <c r="AE3833" s="1"/>
      <c r="AF3833" s="1"/>
      <c r="AG3833" s="1"/>
      <c r="AH3833" s="1"/>
      <c r="AI3833" s="1"/>
      <c r="AJ3833" s="1"/>
      <c r="AK3833" s="1"/>
      <c r="AL3833" s="1"/>
      <c r="AM3833" s="1"/>
    </row>
    <row r="3834" spans="16:39" x14ac:dyDescent="0.25">
      <c r="P3834" s="49"/>
      <c r="Q3834" s="1"/>
      <c r="S3834" s="1"/>
      <c r="T3834" s="1"/>
      <c r="U3834" s="1"/>
      <c r="V3834" s="1"/>
      <c r="W3834" s="1"/>
      <c r="X3834" s="1"/>
      <c r="Y3834" s="1"/>
      <c r="AB3834" s="1"/>
      <c r="AC3834" s="1"/>
      <c r="AD3834" s="1"/>
      <c r="AE3834" s="1"/>
      <c r="AF3834" s="1"/>
      <c r="AG3834" s="1"/>
      <c r="AH3834" s="1"/>
      <c r="AI3834" s="1"/>
      <c r="AJ3834" s="1"/>
      <c r="AK3834" s="1"/>
      <c r="AL3834" s="1"/>
      <c r="AM3834" s="1"/>
    </row>
    <row r="3835" spans="16:39" x14ac:dyDescent="0.25">
      <c r="P3835" s="49"/>
      <c r="Q3835" s="1"/>
      <c r="S3835" s="1"/>
      <c r="T3835" s="1"/>
      <c r="U3835" s="1"/>
      <c r="V3835" s="1"/>
      <c r="W3835" s="1"/>
      <c r="X3835" s="1"/>
      <c r="Y3835" s="1"/>
      <c r="AB3835" s="1"/>
      <c r="AC3835" s="1"/>
      <c r="AD3835" s="1"/>
      <c r="AE3835" s="1"/>
      <c r="AF3835" s="1"/>
      <c r="AG3835" s="1"/>
      <c r="AH3835" s="1"/>
      <c r="AI3835" s="1"/>
      <c r="AJ3835" s="1"/>
      <c r="AK3835" s="1"/>
      <c r="AL3835" s="1"/>
      <c r="AM3835" s="1"/>
    </row>
    <row r="3836" spans="16:39" x14ac:dyDescent="0.25">
      <c r="P3836" s="49"/>
      <c r="Q3836" s="1"/>
      <c r="S3836" s="1"/>
      <c r="T3836" s="1"/>
      <c r="U3836" s="1"/>
      <c r="V3836" s="1"/>
      <c r="W3836" s="1"/>
      <c r="X3836" s="1"/>
      <c r="Y3836" s="1"/>
      <c r="AB3836" s="1"/>
      <c r="AC3836" s="1"/>
      <c r="AD3836" s="1"/>
      <c r="AE3836" s="1"/>
      <c r="AF3836" s="1"/>
      <c r="AG3836" s="1"/>
      <c r="AH3836" s="1"/>
      <c r="AI3836" s="1"/>
      <c r="AJ3836" s="1"/>
      <c r="AK3836" s="1"/>
      <c r="AL3836" s="1"/>
      <c r="AM3836" s="1"/>
    </row>
    <row r="3837" spans="16:39" x14ac:dyDescent="0.25">
      <c r="P3837" s="49"/>
      <c r="Q3837" s="1"/>
      <c r="S3837" s="1"/>
      <c r="T3837" s="1"/>
      <c r="U3837" s="1"/>
      <c r="V3837" s="1"/>
      <c r="W3837" s="1"/>
      <c r="X3837" s="1"/>
      <c r="Y3837" s="1"/>
      <c r="AB3837" s="1"/>
      <c r="AC3837" s="1"/>
      <c r="AD3837" s="1"/>
      <c r="AE3837" s="1"/>
      <c r="AF3837" s="1"/>
      <c r="AG3837" s="1"/>
      <c r="AH3837" s="1"/>
      <c r="AI3837" s="1"/>
      <c r="AJ3837" s="1"/>
      <c r="AK3837" s="1"/>
      <c r="AL3837" s="1"/>
      <c r="AM3837" s="1"/>
    </row>
    <row r="3838" spans="16:39" x14ac:dyDescent="0.25">
      <c r="P3838" s="49"/>
      <c r="Q3838" s="1"/>
      <c r="S3838" s="1"/>
      <c r="T3838" s="1"/>
      <c r="U3838" s="1"/>
      <c r="V3838" s="1"/>
      <c r="W3838" s="1"/>
      <c r="X3838" s="1"/>
      <c r="Y3838" s="1"/>
      <c r="AB3838" s="1"/>
      <c r="AC3838" s="1"/>
      <c r="AD3838" s="1"/>
      <c r="AE3838" s="1"/>
      <c r="AF3838" s="1"/>
      <c r="AG3838" s="1"/>
      <c r="AH3838" s="1"/>
      <c r="AI3838" s="1"/>
      <c r="AJ3838" s="1"/>
      <c r="AK3838" s="1"/>
      <c r="AL3838" s="1"/>
      <c r="AM3838" s="1"/>
    </row>
    <row r="3839" spans="16:39" x14ac:dyDescent="0.25">
      <c r="P3839" s="49"/>
      <c r="Q3839" s="1"/>
      <c r="S3839" s="1"/>
      <c r="T3839" s="1"/>
      <c r="U3839" s="1"/>
      <c r="V3839" s="1"/>
      <c r="W3839" s="1"/>
      <c r="X3839" s="1"/>
      <c r="Y3839" s="1"/>
      <c r="AB3839" s="1"/>
      <c r="AC3839" s="1"/>
      <c r="AD3839" s="1"/>
      <c r="AE3839" s="1"/>
      <c r="AF3839" s="1"/>
      <c r="AG3839" s="1"/>
      <c r="AH3839" s="1"/>
      <c r="AI3839" s="1"/>
      <c r="AJ3839" s="1"/>
      <c r="AK3839" s="1"/>
      <c r="AL3839" s="1"/>
      <c r="AM3839" s="1"/>
    </row>
    <row r="3840" spans="16:39" x14ac:dyDescent="0.25">
      <c r="P3840" s="49"/>
      <c r="Q3840" s="1"/>
      <c r="S3840" s="1"/>
      <c r="T3840" s="1"/>
      <c r="U3840" s="1"/>
      <c r="V3840" s="1"/>
      <c r="W3840" s="1"/>
      <c r="X3840" s="1"/>
      <c r="Y3840" s="1"/>
      <c r="AB3840" s="1"/>
      <c r="AC3840" s="1"/>
      <c r="AD3840" s="1"/>
      <c r="AE3840" s="1"/>
      <c r="AF3840" s="1"/>
      <c r="AG3840" s="1"/>
      <c r="AH3840" s="1"/>
      <c r="AI3840" s="1"/>
      <c r="AJ3840" s="1"/>
      <c r="AK3840" s="1"/>
      <c r="AL3840" s="1"/>
      <c r="AM3840" s="1"/>
    </row>
    <row r="3841" spans="16:39" x14ac:dyDescent="0.25">
      <c r="P3841" s="49"/>
      <c r="Q3841" s="1"/>
      <c r="S3841" s="1"/>
      <c r="T3841" s="1"/>
      <c r="U3841" s="1"/>
      <c r="V3841" s="1"/>
      <c r="W3841" s="1"/>
      <c r="X3841" s="1"/>
      <c r="Y3841" s="1"/>
      <c r="AB3841" s="1"/>
      <c r="AC3841" s="1"/>
      <c r="AD3841" s="1"/>
      <c r="AE3841" s="1"/>
      <c r="AF3841" s="1"/>
      <c r="AG3841" s="1"/>
      <c r="AH3841" s="1"/>
      <c r="AI3841" s="1"/>
      <c r="AJ3841" s="1"/>
      <c r="AK3841" s="1"/>
      <c r="AL3841" s="1"/>
      <c r="AM3841" s="1"/>
    </row>
    <row r="3842" spans="16:39" x14ac:dyDescent="0.25">
      <c r="P3842" s="49"/>
      <c r="Q3842" s="1"/>
      <c r="S3842" s="1"/>
      <c r="T3842" s="1"/>
      <c r="U3842" s="1"/>
      <c r="V3842" s="1"/>
      <c r="W3842" s="1"/>
      <c r="X3842" s="1"/>
      <c r="Y3842" s="1"/>
      <c r="AB3842" s="1"/>
      <c r="AC3842" s="1"/>
      <c r="AD3842" s="1"/>
      <c r="AE3842" s="1"/>
      <c r="AF3842" s="1"/>
      <c r="AG3842" s="1"/>
      <c r="AH3842" s="1"/>
      <c r="AI3842" s="1"/>
      <c r="AJ3842" s="1"/>
      <c r="AK3842" s="1"/>
      <c r="AL3842" s="1"/>
      <c r="AM3842" s="1"/>
    </row>
    <row r="3843" spans="16:39" x14ac:dyDescent="0.25">
      <c r="P3843" s="49"/>
      <c r="Q3843" s="1"/>
      <c r="S3843" s="1"/>
      <c r="T3843" s="1"/>
      <c r="U3843" s="1"/>
      <c r="V3843" s="1"/>
      <c r="W3843" s="1"/>
      <c r="X3843" s="1"/>
      <c r="Y3843" s="1"/>
      <c r="AB3843" s="1"/>
      <c r="AC3843" s="1"/>
      <c r="AD3843" s="1"/>
      <c r="AE3843" s="1"/>
      <c r="AF3843" s="1"/>
      <c r="AG3843" s="1"/>
      <c r="AH3843" s="1"/>
      <c r="AI3843" s="1"/>
      <c r="AJ3843" s="1"/>
      <c r="AK3843" s="1"/>
      <c r="AL3843" s="1"/>
      <c r="AM3843" s="1"/>
    </row>
    <row r="3844" spans="16:39" x14ac:dyDescent="0.25">
      <c r="P3844" s="49"/>
      <c r="Q3844" s="1"/>
      <c r="S3844" s="1"/>
      <c r="T3844" s="1"/>
      <c r="U3844" s="1"/>
      <c r="V3844" s="1"/>
      <c r="W3844" s="1"/>
      <c r="X3844" s="1"/>
      <c r="Y3844" s="1"/>
      <c r="AB3844" s="1"/>
      <c r="AC3844" s="1"/>
      <c r="AD3844" s="1"/>
      <c r="AE3844" s="1"/>
      <c r="AF3844" s="1"/>
      <c r="AG3844" s="1"/>
      <c r="AH3844" s="1"/>
      <c r="AI3844" s="1"/>
      <c r="AJ3844" s="1"/>
      <c r="AK3844" s="1"/>
      <c r="AL3844" s="1"/>
      <c r="AM3844" s="1"/>
    </row>
    <row r="3845" spans="16:39" x14ac:dyDescent="0.25">
      <c r="P3845" s="49"/>
      <c r="Q3845" s="1"/>
      <c r="S3845" s="1"/>
      <c r="T3845" s="1"/>
      <c r="U3845" s="1"/>
      <c r="V3845" s="1"/>
      <c r="W3845" s="1"/>
      <c r="X3845" s="1"/>
      <c r="Y3845" s="1"/>
      <c r="AB3845" s="1"/>
      <c r="AC3845" s="1"/>
      <c r="AD3845" s="1"/>
      <c r="AE3845" s="1"/>
      <c r="AF3845" s="1"/>
      <c r="AG3845" s="1"/>
      <c r="AH3845" s="1"/>
      <c r="AI3845" s="1"/>
      <c r="AJ3845" s="1"/>
      <c r="AK3845" s="1"/>
      <c r="AL3845" s="1"/>
      <c r="AM3845" s="1"/>
    </row>
    <row r="3846" spans="16:39" x14ac:dyDescent="0.25">
      <c r="P3846" s="49"/>
      <c r="Q3846" s="1"/>
      <c r="S3846" s="1"/>
      <c r="T3846" s="1"/>
      <c r="U3846" s="1"/>
      <c r="V3846" s="1"/>
      <c r="W3846" s="1"/>
      <c r="X3846" s="1"/>
      <c r="Y3846" s="1"/>
      <c r="AB3846" s="1"/>
      <c r="AC3846" s="1"/>
      <c r="AD3846" s="1"/>
      <c r="AE3846" s="1"/>
      <c r="AF3846" s="1"/>
      <c r="AG3846" s="1"/>
      <c r="AH3846" s="1"/>
      <c r="AI3846" s="1"/>
      <c r="AJ3846" s="1"/>
      <c r="AK3846" s="1"/>
      <c r="AL3846" s="1"/>
      <c r="AM3846" s="1"/>
    </row>
    <row r="3847" spans="16:39" x14ac:dyDescent="0.25">
      <c r="P3847" s="49"/>
      <c r="Q3847" s="1"/>
      <c r="S3847" s="1"/>
      <c r="T3847" s="1"/>
      <c r="U3847" s="1"/>
      <c r="V3847" s="1"/>
      <c r="W3847" s="1"/>
      <c r="X3847" s="1"/>
      <c r="Y3847" s="1"/>
      <c r="AB3847" s="1"/>
      <c r="AC3847" s="1"/>
      <c r="AD3847" s="1"/>
      <c r="AE3847" s="1"/>
      <c r="AF3847" s="1"/>
      <c r="AG3847" s="1"/>
      <c r="AH3847" s="1"/>
      <c r="AI3847" s="1"/>
      <c r="AJ3847" s="1"/>
      <c r="AK3847" s="1"/>
      <c r="AL3847" s="1"/>
      <c r="AM3847" s="1"/>
    </row>
    <row r="3848" spans="16:39" x14ac:dyDescent="0.25">
      <c r="P3848" s="49"/>
      <c r="Q3848" s="1"/>
      <c r="S3848" s="1"/>
      <c r="T3848" s="1"/>
      <c r="U3848" s="1"/>
      <c r="V3848" s="1"/>
      <c r="W3848" s="1"/>
      <c r="X3848" s="1"/>
      <c r="Y3848" s="1"/>
      <c r="AB3848" s="1"/>
      <c r="AC3848" s="1"/>
      <c r="AD3848" s="1"/>
      <c r="AE3848" s="1"/>
      <c r="AF3848" s="1"/>
      <c r="AG3848" s="1"/>
      <c r="AH3848" s="1"/>
      <c r="AI3848" s="1"/>
      <c r="AJ3848" s="1"/>
      <c r="AK3848" s="1"/>
      <c r="AL3848" s="1"/>
      <c r="AM3848" s="1"/>
    </row>
    <row r="3849" spans="16:39" x14ac:dyDescent="0.25">
      <c r="P3849" s="49"/>
      <c r="Q3849" s="1"/>
      <c r="S3849" s="1"/>
      <c r="T3849" s="1"/>
      <c r="U3849" s="1"/>
      <c r="V3849" s="1"/>
      <c r="W3849" s="1"/>
      <c r="X3849" s="1"/>
      <c r="Y3849" s="1"/>
      <c r="AB3849" s="1"/>
      <c r="AC3849" s="1"/>
      <c r="AD3849" s="1"/>
      <c r="AE3849" s="1"/>
      <c r="AF3849" s="1"/>
      <c r="AG3849" s="1"/>
      <c r="AH3849" s="1"/>
      <c r="AI3849" s="1"/>
      <c r="AJ3849" s="1"/>
      <c r="AK3849" s="1"/>
      <c r="AL3849" s="1"/>
      <c r="AM3849" s="1"/>
    </row>
    <row r="3850" spans="16:39" x14ac:dyDescent="0.25">
      <c r="P3850" s="49"/>
      <c r="Q3850" s="1"/>
      <c r="S3850" s="1"/>
      <c r="T3850" s="1"/>
      <c r="U3850" s="1"/>
      <c r="V3850" s="1"/>
      <c r="W3850" s="1"/>
      <c r="X3850" s="1"/>
      <c r="Y3850" s="1"/>
      <c r="AB3850" s="1"/>
      <c r="AC3850" s="1"/>
      <c r="AD3850" s="1"/>
      <c r="AE3850" s="1"/>
      <c r="AF3850" s="1"/>
      <c r="AG3850" s="1"/>
      <c r="AH3850" s="1"/>
      <c r="AI3850" s="1"/>
      <c r="AJ3850" s="1"/>
      <c r="AK3850" s="1"/>
      <c r="AL3850" s="1"/>
      <c r="AM3850" s="1"/>
    </row>
    <row r="3851" spans="16:39" x14ac:dyDescent="0.25">
      <c r="P3851" s="49"/>
      <c r="Q3851" s="1"/>
      <c r="S3851" s="1"/>
      <c r="T3851" s="1"/>
      <c r="U3851" s="1"/>
      <c r="V3851" s="1"/>
      <c r="W3851" s="1"/>
      <c r="X3851" s="1"/>
      <c r="Y3851" s="1"/>
      <c r="AB3851" s="1"/>
      <c r="AC3851" s="1"/>
      <c r="AD3851" s="1"/>
      <c r="AE3851" s="1"/>
      <c r="AF3851" s="1"/>
      <c r="AG3851" s="1"/>
      <c r="AH3851" s="1"/>
      <c r="AI3851" s="1"/>
      <c r="AJ3851" s="1"/>
      <c r="AK3851" s="1"/>
      <c r="AL3851" s="1"/>
      <c r="AM3851" s="1"/>
    </row>
    <row r="3852" spans="16:39" x14ac:dyDescent="0.25">
      <c r="P3852" s="49"/>
      <c r="Q3852" s="1"/>
      <c r="S3852" s="1"/>
      <c r="T3852" s="1"/>
      <c r="U3852" s="1"/>
      <c r="V3852" s="1"/>
      <c r="W3852" s="1"/>
      <c r="X3852" s="1"/>
      <c r="Y3852" s="1"/>
      <c r="AB3852" s="1"/>
      <c r="AC3852" s="1"/>
      <c r="AD3852" s="1"/>
      <c r="AE3852" s="1"/>
      <c r="AF3852" s="1"/>
      <c r="AG3852" s="1"/>
      <c r="AH3852" s="1"/>
      <c r="AI3852" s="1"/>
      <c r="AJ3852" s="1"/>
      <c r="AK3852" s="1"/>
      <c r="AL3852" s="1"/>
      <c r="AM3852" s="1"/>
    </row>
    <row r="3853" spans="16:39" x14ac:dyDescent="0.25">
      <c r="P3853" s="49"/>
      <c r="Q3853" s="1"/>
      <c r="S3853" s="1"/>
      <c r="T3853" s="1"/>
      <c r="U3853" s="1"/>
      <c r="V3853" s="1"/>
      <c r="W3853" s="1"/>
      <c r="X3853" s="1"/>
      <c r="Y3853" s="1"/>
      <c r="AB3853" s="1"/>
      <c r="AC3853" s="1"/>
      <c r="AD3853" s="1"/>
      <c r="AE3853" s="1"/>
      <c r="AF3853" s="1"/>
      <c r="AG3853" s="1"/>
      <c r="AH3853" s="1"/>
      <c r="AI3853" s="1"/>
      <c r="AJ3853" s="1"/>
      <c r="AK3853" s="1"/>
      <c r="AL3853" s="1"/>
      <c r="AM3853" s="1"/>
    </row>
    <row r="3854" spans="16:39" x14ac:dyDescent="0.25">
      <c r="P3854" s="49"/>
      <c r="Q3854" s="1"/>
      <c r="S3854" s="1"/>
      <c r="T3854" s="1"/>
      <c r="U3854" s="1"/>
      <c r="V3854" s="1"/>
      <c r="W3854" s="1"/>
      <c r="X3854" s="1"/>
      <c r="Y3854" s="1"/>
      <c r="AB3854" s="1"/>
      <c r="AC3854" s="1"/>
      <c r="AD3854" s="1"/>
      <c r="AE3854" s="1"/>
      <c r="AF3854" s="1"/>
      <c r="AG3854" s="1"/>
      <c r="AH3854" s="1"/>
      <c r="AI3854" s="1"/>
      <c r="AJ3854" s="1"/>
      <c r="AK3854" s="1"/>
      <c r="AL3854" s="1"/>
      <c r="AM3854" s="1"/>
    </row>
    <row r="3855" spans="16:39" x14ac:dyDescent="0.25">
      <c r="P3855" s="49"/>
      <c r="Q3855" s="1"/>
      <c r="S3855" s="1"/>
      <c r="T3855" s="1"/>
      <c r="U3855" s="1"/>
      <c r="V3855" s="1"/>
      <c r="W3855" s="1"/>
      <c r="X3855" s="1"/>
      <c r="Y3855" s="1"/>
      <c r="AB3855" s="1"/>
      <c r="AC3855" s="1"/>
      <c r="AD3855" s="1"/>
      <c r="AE3855" s="1"/>
      <c r="AF3855" s="1"/>
      <c r="AG3855" s="1"/>
      <c r="AH3855" s="1"/>
      <c r="AI3855" s="1"/>
      <c r="AJ3855" s="1"/>
      <c r="AK3855" s="1"/>
      <c r="AL3855" s="1"/>
      <c r="AM3855" s="1"/>
    </row>
    <row r="3856" spans="16:39" x14ac:dyDescent="0.25">
      <c r="P3856" s="49"/>
      <c r="Q3856" s="1"/>
      <c r="S3856" s="1"/>
      <c r="T3856" s="1"/>
      <c r="U3856" s="1"/>
      <c r="V3856" s="1"/>
      <c r="W3856" s="1"/>
      <c r="X3856" s="1"/>
      <c r="Y3856" s="1"/>
      <c r="AB3856" s="1"/>
      <c r="AC3856" s="1"/>
      <c r="AD3856" s="1"/>
      <c r="AE3856" s="1"/>
      <c r="AF3856" s="1"/>
      <c r="AG3856" s="1"/>
      <c r="AH3856" s="1"/>
      <c r="AI3856" s="1"/>
      <c r="AJ3856" s="1"/>
      <c r="AK3856" s="1"/>
      <c r="AL3856" s="1"/>
      <c r="AM3856" s="1"/>
    </row>
    <row r="3857" spans="16:39" x14ac:dyDescent="0.25">
      <c r="P3857" s="49"/>
      <c r="Q3857" s="1"/>
      <c r="S3857" s="1"/>
      <c r="T3857" s="1"/>
      <c r="U3857" s="1"/>
      <c r="V3857" s="1"/>
      <c r="W3857" s="1"/>
      <c r="X3857" s="1"/>
      <c r="Y3857" s="1"/>
      <c r="AB3857" s="1"/>
      <c r="AC3857" s="1"/>
      <c r="AD3857" s="1"/>
      <c r="AE3857" s="1"/>
      <c r="AF3857" s="1"/>
      <c r="AG3857" s="1"/>
      <c r="AH3857" s="1"/>
      <c r="AI3857" s="1"/>
      <c r="AJ3857" s="1"/>
      <c r="AK3857" s="1"/>
      <c r="AL3857" s="1"/>
      <c r="AM3857" s="1"/>
    </row>
    <row r="3858" spans="16:39" x14ac:dyDescent="0.25">
      <c r="P3858" s="49"/>
      <c r="Q3858" s="1"/>
      <c r="S3858" s="1"/>
      <c r="T3858" s="1"/>
      <c r="U3858" s="1"/>
      <c r="V3858" s="1"/>
      <c r="W3858" s="1"/>
      <c r="X3858" s="1"/>
      <c r="Y3858" s="1"/>
      <c r="AB3858" s="1"/>
      <c r="AC3858" s="1"/>
      <c r="AD3858" s="1"/>
      <c r="AE3858" s="1"/>
      <c r="AF3858" s="1"/>
      <c r="AG3858" s="1"/>
      <c r="AH3858" s="1"/>
      <c r="AI3858" s="1"/>
      <c r="AJ3858" s="1"/>
      <c r="AK3858" s="1"/>
      <c r="AL3858" s="1"/>
      <c r="AM3858" s="1"/>
    </row>
    <row r="3859" spans="16:39" x14ac:dyDescent="0.25">
      <c r="P3859" s="49"/>
      <c r="Q3859" s="1"/>
      <c r="S3859" s="1"/>
      <c r="T3859" s="1"/>
      <c r="U3859" s="1"/>
      <c r="V3859" s="1"/>
      <c r="W3859" s="1"/>
      <c r="X3859" s="1"/>
      <c r="Y3859" s="1"/>
      <c r="AB3859" s="1"/>
      <c r="AC3859" s="1"/>
      <c r="AD3859" s="1"/>
      <c r="AE3859" s="1"/>
      <c r="AF3859" s="1"/>
      <c r="AG3859" s="1"/>
      <c r="AH3859" s="1"/>
      <c r="AI3859" s="1"/>
      <c r="AJ3859" s="1"/>
      <c r="AK3859" s="1"/>
      <c r="AL3859" s="1"/>
      <c r="AM3859" s="1"/>
    </row>
    <row r="3860" spans="16:39" x14ac:dyDescent="0.25">
      <c r="P3860" s="49"/>
      <c r="Q3860" s="1"/>
      <c r="S3860" s="1"/>
      <c r="T3860" s="1"/>
      <c r="U3860" s="1"/>
      <c r="V3860" s="1"/>
      <c r="W3860" s="1"/>
      <c r="X3860" s="1"/>
      <c r="Y3860" s="1"/>
      <c r="AB3860" s="1"/>
      <c r="AC3860" s="1"/>
      <c r="AD3860" s="1"/>
      <c r="AE3860" s="1"/>
      <c r="AF3860" s="1"/>
      <c r="AG3860" s="1"/>
      <c r="AH3860" s="1"/>
      <c r="AI3860" s="1"/>
      <c r="AJ3860" s="1"/>
      <c r="AK3860" s="1"/>
      <c r="AL3860" s="1"/>
      <c r="AM3860" s="1"/>
    </row>
    <row r="3861" spans="16:39" x14ac:dyDescent="0.25">
      <c r="P3861" s="49"/>
      <c r="Q3861" s="1"/>
      <c r="S3861" s="1"/>
      <c r="T3861" s="1"/>
      <c r="U3861" s="1"/>
      <c r="V3861" s="1"/>
      <c r="W3861" s="1"/>
      <c r="X3861" s="1"/>
      <c r="Y3861" s="1"/>
      <c r="AB3861" s="1"/>
      <c r="AC3861" s="1"/>
      <c r="AD3861" s="1"/>
      <c r="AE3861" s="1"/>
      <c r="AF3861" s="1"/>
      <c r="AG3861" s="1"/>
      <c r="AH3861" s="1"/>
      <c r="AI3861" s="1"/>
      <c r="AJ3861" s="1"/>
      <c r="AK3861" s="1"/>
      <c r="AL3861" s="1"/>
      <c r="AM3861" s="1"/>
    </row>
    <row r="3862" spans="16:39" x14ac:dyDescent="0.25">
      <c r="P3862" s="49"/>
      <c r="Q3862" s="1"/>
      <c r="S3862" s="1"/>
      <c r="T3862" s="1"/>
      <c r="U3862" s="1"/>
      <c r="V3862" s="1"/>
      <c r="W3862" s="1"/>
      <c r="X3862" s="1"/>
      <c r="Y3862" s="1"/>
      <c r="AB3862" s="1"/>
      <c r="AC3862" s="1"/>
      <c r="AD3862" s="1"/>
      <c r="AE3862" s="1"/>
      <c r="AF3862" s="1"/>
      <c r="AG3862" s="1"/>
      <c r="AH3862" s="1"/>
      <c r="AI3862" s="1"/>
      <c r="AJ3862" s="1"/>
      <c r="AK3862" s="1"/>
      <c r="AL3862" s="1"/>
      <c r="AM3862" s="1"/>
    </row>
    <row r="3863" spans="16:39" x14ac:dyDescent="0.25">
      <c r="P3863" s="49"/>
      <c r="Q3863" s="1"/>
      <c r="S3863" s="1"/>
      <c r="T3863" s="1"/>
      <c r="U3863" s="1"/>
      <c r="V3863" s="1"/>
      <c r="W3863" s="1"/>
      <c r="X3863" s="1"/>
      <c r="Y3863" s="1"/>
      <c r="AB3863" s="1"/>
      <c r="AC3863" s="1"/>
      <c r="AD3863" s="1"/>
      <c r="AE3863" s="1"/>
      <c r="AF3863" s="1"/>
      <c r="AG3863" s="1"/>
      <c r="AH3863" s="1"/>
      <c r="AI3863" s="1"/>
      <c r="AJ3863" s="1"/>
      <c r="AK3863" s="1"/>
      <c r="AL3863" s="1"/>
      <c r="AM3863" s="1"/>
    </row>
    <row r="3864" spans="16:39" x14ac:dyDescent="0.25">
      <c r="P3864" s="49"/>
      <c r="Q3864" s="1"/>
      <c r="S3864" s="1"/>
      <c r="T3864" s="1"/>
      <c r="U3864" s="1"/>
      <c r="V3864" s="1"/>
      <c r="W3864" s="1"/>
      <c r="X3864" s="1"/>
      <c r="Y3864" s="1"/>
      <c r="AB3864" s="1"/>
      <c r="AC3864" s="1"/>
      <c r="AD3864" s="1"/>
      <c r="AE3864" s="1"/>
      <c r="AF3864" s="1"/>
      <c r="AG3864" s="1"/>
      <c r="AH3864" s="1"/>
      <c r="AI3864" s="1"/>
      <c r="AJ3864" s="1"/>
      <c r="AK3864" s="1"/>
      <c r="AL3864" s="1"/>
      <c r="AM3864" s="1"/>
    </row>
    <row r="3865" spans="16:39" x14ac:dyDescent="0.25">
      <c r="P3865" s="49"/>
      <c r="Q3865" s="1"/>
      <c r="S3865" s="1"/>
      <c r="T3865" s="1"/>
      <c r="U3865" s="1"/>
      <c r="V3865" s="1"/>
      <c r="W3865" s="1"/>
      <c r="X3865" s="1"/>
      <c r="Y3865" s="1"/>
      <c r="AB3865" s="1"/>
      <c r="AC3865" s="1"/>
      <c r="AD3865" s="1"/>
      <c r="AE3865" s="1"/>
      <c r="AF3865" s="1"/>
      <c r="AG3865" s="1"/>
      <c r="AH3865" s="1"/>
      <c r="AI3865" s="1"/>
      <c r="AJ3865" s="1"/>
      <c r="AK3865" s="1"/>
      <c r="AL3865" s="1"/>
      <c r="AM3865" s="1"/>
    </row>
    <row r="3866" spans="16:39" x14ac:dyDescent="0.25">
      <c r="P3866" s="49"/>
      <c r="Q3866" s="1"/>
      <c r="S3866" s="1"/>
      <c r="T3866" s="1"/>
      <c r="U3866" s="1"/>
      <c r="V3866" s="1"/>
      <c r="W3866" s="1"/>
      <c r="X3866" s="1"/>
      <c r="Y3866" s="1"/>
      <c r="AB3866" s="1"/>
      <c r="AC3866" s="1"/>
      <c r="AD3866" s="1"/>
      <c r="AE3866" s="1"/>
      <c r="AF3866" s="1"/>
      <c r="AG3866" s="1"/>
      <c r="AH3866" s="1"/>
      <c r="AI3866" s="1"/>
      <c r="AJ3866" s="1"/>
      <c r="AK3866" s="1"/>
      <c r="AL3866" s="1"/>
      <c r="AM3866" s="1"/>
    </row>
    <row r="3867" spans="16:39" x14ac:dyDescent="0.25">
      <c r="P3867" s="49"/>
      <c r="Q3867" s="1"/>
      <c r="S3867" s="1"/>
      <c r="T3867" s="1"/>
      <c r="U3867" s="1"/>
      <c r="V3867" s="1"/>
      <c r="W3867" s="1"/>
      <c r="X3867" s="1"/>
      <c r="Y3867" s="1"/>
      <c r="AB3867" s="1"/>
      <c r="AC3867" s="1"/>
      <c r="AD3867" s="1"/>
      <c r="AE3867" s="1"/>
      <c r="AF3867" s="1"/>
      <c r="AG3867" s="1"/>
      <c r="AH3867" s="1"/>
      <c r="AI3867" s="1"/>
      <c r="AJ3867" s="1"/>
      <c r="AK3867" s="1"/>
      <c r="AL3867" s="1"/>
      <c r="AM3867" s="1"/>
    </row>
    <row r="3868" spans="16:39" x14ac:dyDescent="0.25">
      <c r="P3868" s="49"/>
      <c r="Q3868" s="1"/>
      <c r="S3868" s="1"/>
      <c r="T3868" s="1"/>
      <c r="U3868" s="1"/>
      <c r="V3868" s="1"/>
      <c r="W3868" s="1"/>
      <c r="X3868" s="1"/>
      <c r="Y3868" s="1"/>
      <c r="AB3868" s="1"/>
      <c r="AC3868" s="1"/>
      <c r="AD3868" s="1"/>
      <c r="AE3868" s="1"/>
      <c r="AF3868" s="1"/>
      <c r="AG3868" s="1"/>
      <c r="AH3868" s="1"/>
      <c r="AI3868" s="1"/>
      <c r="AJ3868" s="1"/>
      <c r="AK3868" s="1"/>
      <c r="AL3868" s="1"/>
      <c r="AM3868" s="1"/>
    </row>
    <row r="3869" spans="16:39" x14ac:dyDescent="0.25">
      <c r="P3869" s="49"/>
      <c r="Q3869" s="1"/>
      <c r="S3869" s="1"/>
      <c r="T3869" s="1"/>
      <c r="U3869" s="1"/>
      <c r="V3869" s="1"/>
      <c r="W3869" s="1"/>
      <c r="X3869" s="1"/>
      <c r="Y3869" s="1"/>
      <c r="AB3869" s="1"/>
      <c r="AC3869" s="1"/>
      <c r="AD3869" s="1"/>
      <c r="AE3869" s="1"/>
      <c r="AF3869" s="1"/>
      <c r="AG3869" s="1"/>
      <c r="AH3869" s="1"/>
      <c r="AI3869" s="1"/>
      <c r="AJ3869" s="1"/>
      <c r="AK3869" s="1"/>
      <c r="AL3869" s="1"/>
      <c r="AM3869" s="1"/>
    </row>
    <row r="3870" spans="16:39" x14ac:dyDescent="0.25">
      <c r="P3870" s="49"/>
      <c r="Q3870" s="1"/>
      <c r="S3870" s="1"/>
      <c r="T3870" s="1"/>
      <c r="U3870" s="1"/>
      <c r="V3870" s="1"/>
      <c r="W3870" s="1"/>
      <c r="X3870" s="1"/>
      <c r="Y3870" s="1"/>
      <c r="AB3870" s="1"/>
      <c r="AC3870" s="1"/>
      <c r="AD3870" s="1"/>
      <c r="AE3870" s="1"/>
      <c r="AF3870" s="1"/>
      <c r="AG3870" s="1"/>
      <c r="AH3870" s="1"/>
      <c r="AI3870" s="1"/>
      <c r="AJ3870" s="1"/>
      <c r="AK3870" s="1"/>
      <c r="AL3870" s="1"/>
      <c r="AM3870" s="1"/>
    </row>
    <row r="3871" spans="16:39" x14ac:dyDescent="0.25">
      <c r="P3871" s="49"/>
      <c r="Q3871" s="1"/>
      <c r="S3871" s="1"/>
      <c r="T3871" s="1"/>
      <c r="U3871" s="1"/>
      <c r="V3871" s="1"/>
      <c r="W3871" s="1"/>
      <c r="X3871" s="1"/>
      <c r="Y3871" s="1"/>
      <c r="AB3871" s="1"/>
      <c r="AC3871" s="1"/>
      <c r="AD3871" s="1"/>
      <c r="AE3871" s="1"/>
      <c r="AF3871" s="1"/>
      <c r="AG3871" s="1"/>
      <c r="AH3871" s="1"/>
      <c r="AI3871" s="1"/>
      <c r="AJ3871" s="1"/>
      <c r="AK3871" s="1"/>
      <c r="AL3871" s="1"/>
      <c r="AM3871" s="1"/>
    </row>
    <row r="3872" spans="16:39" x14ac:dyDescent="0.25">
      <c r="P3872" s="49"/>
      <c r="Q3872" s="1"/>
      <c r="S3872" s="1"/>
      <c r="T3872" s="1"/>
      <c r="U3872" s="1"/>
      <c r="V3872" s="1"/>
      <c r="W3872" s="1"/>
      <c r="X3872" s="1"/>
      <c r="Y3872" s="1"/>
      <c r="AB3872" s="1"/>
      <c r="AC3872" s="1"/>
      <c r="AD3872" s="1"/>
      <c r="AE3872" s="1"/>
      <c r="AF3872" s="1"/>
      <c r="AG3872" s="1"/>
      <c r="AH3872" s="1"/>
      <c r="AI3872" s="1"/>
      <c r="AJ3872" s="1"/>
      <c r="AK3872" s="1"/>
      <c r="AL3872" s="1"/>
      <c r="AM3872" s="1"/>
    </row>
    <row r="3873" spans="16:39" x14ac:dyDescent="0.25">
      <c r="P3873" s="49"/>
      <c r="Q3873" s="1"/>
      <c r="S3873" s="1"/>
      <c r="T3873" s="1"/>
      <c r="U3873" s="1"/>
      <c r="V3873" s="1"/>
      <c r="W3873" s="1"/>
      <c r="X3873" s="1"/>
      <c r="Y3873" s="1"/>
      <c r="AB3873" s="1"/>
      <c r="AC3873" s="1"/>
      <c r="AD3873" s="1"/>
      <c r="AE3873" s="1"/>
      <c r="AF3873" s="1"/>
      <c r="AG3873" s="1"/>
      <c r="AH3873" s="1"/>
      <c r="AI3873" s="1"/>
      <c r="AJ3873" s="1"/>
      <c r="AK3873" s="1"/>
      <c r="AL3873" s="1"/>
      <c r="AM3873" s="1"/>
    </row>
    <row r="3874" spans="16:39" x14ac:dyDescent="0.25">
      <c r="P3874" s="49"/>
      <c r="Q3874" s="1"/>
      <c r="S3874" s="1"/>
      <c r="T3874" s="1"/>
      <c r="U3874" s="1"/>
      <c r="V3874" s="1"/>
      <c r="W3874" s="1"/>
      <c r="X3874" s="1"/>
      <c r="Y3874" s="1"/>
      <c r="AB3874" s="1"/>
      <c r="AC3874" s="1"/>
      <c r="AD3874" s="1"/>
      <c r="AE3874" s="1"/>
      <c r="AF3874" s="1"/>
      <c r="AG3874" s="1"/>
      <c r="AH3874" s="1"/>
      <c r="AI3874" s="1"/>
      <c r="AJ3874" s="1"/>
      <c r="AK3874" s="1"/>
      <c r="AL3874" s="1"/>
      <c r="AM3874" s="1"/>
    </row>
    <row r="3875" spans="16:39" x14ac:dyDescent="0.25">
      <c r="P3875" s="49"/>
      <c r="Q3875" s="1"/>
      <c r="S3875" s="1"/>
      <c r="T3875" s="1"/>
      <c r="U3875" s="1"/>
      <c r="V3875" s="1"/>
      <c r="W3875" s="1"/>
      <c r="X3875" s="1"/>
      <c r="Y3875" s="1"/>
      <c r="AB3875" s="1"/>
      <c r="AC3875" s="1"/>
      <c r="AD3875" s="1"/>
      <c r="AE3875" s="1"/>
      <c r="AF3875" s="1"/>
      <c r="AG3875" s="1"/>
      <c r="AH3875" s="1"/>
      <c r="AI3875" s="1"/>
      <c r="AJ3875" s="1"/>
      <c r="AK3875" s="1"/>
      <c r="AL3875" s="1"/>
      <c r="AM3875" s="1"/>
    </row>
    <row r="3876" spans="16:39" x14ac:dyDescent="0.25">
      <c r="P3876" s="49"/>
      <c r="Q3876" s="1"/>
      <c r="S3876" s="1"/>
      <c r="T3876" s="1"/>
      <c r="U3876" s="1"/>
      <c r="V3876" s="1"/>
      <c r="W3876" s="1"/>
      <c r="X3876" s="1"/>
      <c r="Y3876" s="1"/>
      <c r="AB3876" s="1"/>
      <c r="AC3876" s="1"/>
      <c r="AD3876" s="1"/>
      <c r="AE3876" s="1"/>
      <c r="AF3876" s="1"/>
      <c r="AG3876" s="1"/>
      <c r="AH3876" s="1"/>
      <c r="AI3876" s="1"/>
      <c r="AJ3876" s="1"/>
      <c r="AK3876" s="1"/>
      <c r="AL3876" s="1"/>
      <c r="AM3876" s="1"/>
    </row>
    <row r="3877" spans="16:39" x14ac:dyDescent="0.25">
      <c r="P3877" s="49"/>
      <c r="Q3877" s="1"/>
      <c r="S3877" s="1"/>
      <c r="T3877" s="1"/>
      <c r="U3877" s="1"/>
      <c r="V3877" s="1"/>
      <c r="W3877" s="1"/>
      <c r="X3877" s="1"/>
      <c r="Y3877" s="1"/>
      <c r="AB3877" s="1"/>
      <c r="AC3877" s="1"/>
      <c r="AD3877" s="1"/>
      <c r="AE3877" s="1"/>
      <c r="AF3877" s="1"/>
      <c r="AG3877" s="1"/>
      <c r="AH3877" s="1"/>
      <c r="AI3877" s="1"/>
      <c r="AJ3877" s="1"/>
      <c r="AK3877" s="1"/>
      <c r="AL3877" s="1"/>
      <c r="AM3877" s="1"/>
    </row>
    <row r="3878" spans="16:39" x14ac:dyDescent="0.25">
      <c r="P3878" s="49"/>
      <c r="Q3878" s="1"/>
      <c r="S3878" s="1"/>
      <c r="T3878" s="1"/>
      <c r="U3878" s="1"/>
      <c r="V3878" s="1"/>
      <c r="W3878" s="1"/>
      <c r="X3878" s="1"/>
      <c r="Y3878" s="1"/>
      <c r="AB3878" s="1"/>
      <c r="AC3878" s="1"/>
      <c r="AD3878" s="1"/>
      <c r="AE3878" s="1"/>
      <c r="AF3878" s="1"/>
      <c r="AG3878" s="1"/>
      <c r="AH3878" s="1"/>
      <c r="AI3878" s="1"/>
      <c r="AJ3878" s="1"/>
      <c r="AK3878" s="1"/>
      <c r="AL3878" s="1"/>
      <c r="AM3878" s="1"/>
    </row>
    <row r="3879" spans="16:39" x14ac:dyDescent="0.25">
      <c r="P3879" s="49"/>
      <c r="Q3879" s="1"/>
      <c r="S3879" s="1"/>
      <c r="T3879" s="1"/>
      <c r="U3879" s="1"/>
      <c r="V3879" s="1"/>
      <c r="W3879" s="1"/>
      <c r="X3879" s="1"/>
      <c r="Y3879" s="1"/>
      <c r="AB3879" s="1"/>
      <c r="AC3879" s="1"/>
      <c r="AD3879" s="1"/>
      <c r="AE3879" s="1"/>
      <c r="AF3879" s="1"/>
      <c r="AG3879" s="1"/>
      <c r="AH3879" s="1"/>
      <c r="AI3879" s="1"/>
      <c r="AJ3879" s="1"/>
      <c r="AK3879" s="1"/>
      <c r="AL3879" s="1"/>
      <c r="AM3879" s="1"/>
    </row>
    <row r="3880" spans="16:39" x14ac:dyDescent="0.25">
      <c r="P3880" s="49"/>
      <c r="Q3880" s="1"/>
      <c r="S3880" s="1"/>
      <c r="T3880" s="1"/>
      <c r="U3880" s="1"/>
      <c r="V3880" s="1"/>
      <c r="W3880" s="1"/>
      <c r="X3880" s="1"/>
      <c r="Y3880" s="1"/>
      <c r="AB3880" s="1"/>
      <c r="AC3880" s="1"/>
      <c r="AD3880" s="1"/>
      <c r="AE3880" s="1"/>
      <c r="AF3880" s="1"/>
      <c r="AG3880" s="1"/>
      <c r="AH3880" s="1"/>
      <c r="AI3880" s="1"/>
      <c r="AJ3880" s="1"/>
      <c r="AK3880" s="1"/>
      <c r="AL3880" s="1"/>
      <c r="AM3880" s="1"/>
    </row>
    <row r="3881" spans="16:39" x14ac:dyDescent="0.25">
      <c r="P3881" s="49"/>
      <c r="Q3881" s="1"/>
      <c r="S3881" s="1"/>
      <c r="T3881" s="1"/>
      <c r="U3881" s="1"/>
      <c r="V3881" s="1"/>
      <c r="W3881" s="1"/>
      <c r="X3881" s="1"/>
      <c r="Y3881" s="1"/>
      <c r="AB3881" s="1"/>
      <c r="AC3881" s="1"/>
      <c r="AD3881" s="1"/>
      <c r="AE3881" s="1"/>
      <c r="AF3881" s="1"/>
      <c r="AG3881" s="1"/>
      <c r="AH3881" s="1"/>
      <c r="AI3881" s="1"/>
      <c r="AJ3881" s="1"/>
      <c r="AK3881" s="1"/>
      <c r="AL3881" s="1"/>
      <c r="AM3881" s="1"/>
    </row>
    <row r="3882" spans="16:39" x14ac:dyDescent="0.25">
      <c r="P3882" s="49"/>
      <c r="Q3882" s="1"/>
      <c r="S3882" s="1"/>
      <c r="T3882" s="1"/>
      <c r="U3882" s="1"/>
      <c r="V3882" s="1"/>
      <c r="W3882" s="1"/>
      <c r="X3882" s="1"/>
      <c r="Y3882" s="1"/>
      <c r="AB3882" s="1"/>
      <c r="AC3882" s="1"/>
      <c r="AD3882" s="1"/>
      <c r="AE3882" s="1"/>
      <c r="AF3882" s="1"/>
      <c r="AG3882" s="1"/>
      <c r="AH3882" s="1"/>
      <c r="AI3882" s="1"/>
      <c r="AJ3882" s="1"/>
      <c r="AK3882" s="1"/>
      <c r="AL3882" s="1"/>
      <c r="AM3882" s="1"/>
    </row>
    <row r="3883" spans="16:39" x14ac:dyDescent="0.25">
      <c r="P3883" s="49"/>
      <c r="Q3883" s="1"/>
      <c r="S3883" s="1"/>
      <c r="T3883" s="1"/>
      <c r="U3883" s="1"/>
      <c r="V3883" s="1"/>
      <c r="W3883" s="1"/>
      <c r="X3883" s="1"/>
      <c r="Y3883" s="1"/>
      <c r="AB3883" s="1"/>
      <c r="AC3883" s="1"/>
      <c r="AD3883" s="1"/>
      <c r="AE3883" s="1"/>
      <c r="AF3883" s="1"/>
      <c r="AG3883" s="1"/>
      <c r="AH3883" s="1"/>
      <c r="AI3883" s="1"/>
      <c r="AJ3883" s="1"/>
      <c r="AK3883" s="1"/>
      <c r="AL3883" s="1"/>
      <c r="AM3883" s="1"/>
    </row>
    <row r="3884" spans="16:39" x14ac:dyDescent="0.25">
      <c r="P3884" s="49"/>
      <c r="Q3884" s="1"/>
      <c r="S3884" s="1"/>
      <c r="T3884" s="1"/>
      <c r="U3884" s="1"/>
      <c r="V3884" s="1"/>
      <c r="W3884" s="1"/>
      <c r="X3884" s="1"/>
      <c r="Y3884" s="1"/>
      <c r="AB3884" s="1"/>
      <c r="AC3884" s="1"/>
      <c r="AD3884" s="1"/>
      <c r="AE3884" s="1"/>
      <c r="AF3884" s="1"/>
      <c r="AG3884" s="1"/>
      <c r="AH3884" s="1"/>
      <c r="AI3884" s="1"/>
      <c r="AJ3884" s="1"/>
      <c r="AK3884" s="1"/>
      <c r="AL3884" s="1"/>
      <c r="AM3884" s="1"/>
    </row>
    <row r="3885" spans="16:39" x14ac:dyDescent="0.25">
      <c r="P3885" s="49"/>
      <c r="Q3885" s="1"/>
      <c r="S3885" s="1"/>
      <c r="T3885" s="1"/>
      <c r="U3885" s="1"/>
      <c r="V3885" s="1"/>
      <c r="W3885" s="1"/>
      <c r="X3885" s="1"/>
      <c r="Y3885" s="1"/>
      <c r="AB3885" s="1"/>
      <c r="AC3885" s="1"/>
      <c r="AD3885" s="1"/>
      <c r="AE3885" s="1"/>
      <c r="AF3885" s="1"/>
      <c r="AG3885" s="1"/>
      <c r="AH3885" s="1"/>
      <c r="AI3885" s="1"/>
      <c r="AJ3885" s="1"/>
      <c r="AK3885" s="1"/>
      <c r="AL3885" s="1"/>
      <c r="AM3885" s="1"/>
    </row>
    <row r="3886" spans="16:39" x14ac:dyDescent="0.25">
      <c r="P3886" s="49"/>
      <c r="Q3886" s="1"/>
      <c r="S3886" s="1"/>
      <c r="T3886" s="1"/>
      <c r="U3886" s="1"/>
      <c r="V3886" s="1"/>
      <c r="W3886" s="1"/>
      <c r="X3886" s="1"/>
      <c r="Y3886" s="1"/>
      <c r="AB3886" s="1"/>
      <c r="AC3886" s="1"/>
      <c r="AD3886" s="1"/>
      <c r="AE3886" s="1"/>
      <c r="AF3886" s="1"/>
      <c r="AG3886" s="1"/>
      <c r="AH3886" s="1"/>
      <c r="AI3886" s="1"/>
      <c r="AJ3886" s="1"/>
      <c r="AK3886" s="1"/>
      <c r="AL3886" s="1"/>
      <c r="AM3886" s="1"/>
    </row>
    <row r="3887" spans="16:39" x14ac:dyDescent="0.25">
      <c r="P3887" s="49"/>
      <c r="Q3887" s="1"/>
      <c r="S3887" s="1"/>
      <c r="T3887" s="1"/>
      <c r="U3887" s="1"/>
      <c r="V3887" s="1"/>
      <c r="W3887" s="1"/>
      <c r="X3887" s="1"/>
      <c r="Y3887" s="1"/>
      <c r="AB3887" s="1"/>
      <c r="AC3887" s="1"/>
      <c r="AD3887" s="1"/>
      <c r="AE3887" s="1"/>
      <c r="AF3887" s="1"/>
      <c r="AG3887" s="1"/>
      <c r="AH3887" s="1"/>
      <c r="AI3887" s="1"/>
      <c r="AJ3887" s="1"/>
      <c r="AK3887" s="1"/>
      <c r="AL3887" s="1"/>
      <c r="AM3887" s="1"/>
    </row>
    <row r="3888" spans="16:39" x14ac:dyDescent="0.25">
      <c r="P3888" s="49"/>
      <c r="Q3888" s="1"/>
      <c r="S3888" s="1"/>
      <c r="T3888" s="1"/>
      <c r="U3888" s="1"/>
      <c r="V3888" s="1"/>
      <c r="W3888" s="1"/>
      <c r="X3888" s="1"/>
      <c r="Y3888" s="1"/>
      <c r="AB3888" s="1"/>
      <c r="AC3888" s="1"/>
      <c r="AD3888" s="1"/>
      <c r="AE3888" s="1"/>
      <c r="AF3888" s="1"/>
      <c r="AG3888" s="1"/>
      <c r="AH3888" s="1"/>
      <c r="AI3888" s="1"/>
      <c r="AJ3888" s="1"/>
      <c r="AK3888" s="1"/>
      <c r="AL3888" s="1"/>
      <c r="AM3888" s="1"/>
    </row>
    <row r="3889" spans="16:39" x14ac:dyDescent="0.25">
      <c r="P3889" s="49"/>
      <c r="Q3889" s="1"/>
      <c r="S3889" s="1"/>
      <c r="T3889" s="1"/>
      <c r="U3889" s="1"/>
      <c r="V3889" s="1"/>
      <c r="W3889" s="1"/>
      <c r="X3889" s="1"/>
      <c r="Y3889" s="1"/>
      <c r="AB3889" s="1"/>
      <c r="AC3889" s="1"/>
      <c r="AD3889" s="1"/>
      <c r="AE3889" s="1"/>
      <c r="AF3889" s="1"/>
      <c r="AG3889" s="1"/>
      <c r="AH3889" s="1"/>
      <c r="AI3889" s="1"/>
      <c r="AJ3889" s="1"/>
      <c r="AK3889" s="1"/>
      <c r="AL3889" s="1"/>
      <c r="AM3889" s="1"/>
    </row>
    <row r="3890" spans="16:39" x14ac:dyDescent="0.25">
      <c r="P3890" s="49"/>
      <c r="Q3890" s="1"/>
      <c r="S3890" s="1"/>
      <c r="T3890" s="1"/>
      <c r="U3890" s="1"/>
      <c r="V3890" s="1"/>
      <c r="W3890" s="1"/>
      <c r="X3890" s="1"/>
      <c r="Y3890" s="1"/>
      <c r="AB3890" s="1"/>
      <c r="AC3890" s="1"/>
      <c r="AD3890" s="1"/>
      <c r="AE3890" s="1"/>
      <c r="AF3890" s="1"/>
      <c r="AG3890" s="1"/>
      <c r="AH3890" s="1"/>
      <c r="AI3890" s="1"/>
      <c r="AJ3890" s="1"/>
      <c r="AK3890" s="1"/>
      <c r="AL3890" s="1"/>
      <c r="AM3890" s="1"/>
    </row>
    <row r="3891" spans="16:39" x14ac:dyDescent="0.25">
      <c r="P3891" s="49"/>
      <c r="Q3891" s="1"/>
      <c r="S3891" s="1"/>
      <c r="T3891" s="1"/>
      <c r="U3891" s="1"/>
      <c r="V3891" s="1"/>
      <c r="W3891" s="1"/>
      <c r="X3891" s="1"/>
      <c r="Y3891" s="1"/>
      <c r="AB3891" s="1"/>
      <c r="AC3891" s="1"/>
      <c r="AD3891" s="1"/>
      <c r="AE3891" s="1"/>
      <c r="AF3891" s="1"/>
      <c r="AG3891" s="1"/>
      <c r="AH3891" s="1"/>
      <c r="AI3891" s="1"/>
      <c r="AJ3891" s="1"/>
      <c r="AK3891" s="1"/>
      <c r="AL3891" s="1"/>
      <c r="AM3891" s="1"/>
    </row>
    <row r="3892" spans="16:39" x14ac:dyDescent="0.25">
      <c r="P3892" s="49"/>
      <c r="Q3892" s="1"/>
      <c r="S3892" s="1"/>
      <c r="T3892" s="1"/>
      <c r="U3892" s="1"/>
      <c r="V3892" s="1"/>
      <c r="W3892" s="1"/>
      <c r="X3892" s="1"/>
      <c r="Y3892" s="1"/>
      <c r="AB3892" s="1"/>
      <c r="AC3892" s="1"/>
      <c r="AD3892" s="1"/>
      <c r="AE3892" s="1"/>
      <c r="AF3892" s="1"/>
      <c r="AG3892" s="1"/>
      <c r="AH3892" s="1"/>
      <c r="AI3892" s="1"/>
      <c r="AJ3892" s="1"/>
      <c r="AK3892" s="1"/>
      <c r="AL3892" s="1"/>
      <c r="AM3892" s="1"/>
    </row>
    <row r="3893" spans="16:39" x14ac:dyDescent="0.25">
      <c r="P3893" s="49"/>
      <c r="Q3893" s="1"/>
      <c r="S3893" s="1"/>
      <c r="T3893" s="1"/>
      <c r="U3893" s="1"/>
      <c r="V3893" s="1"/>
      <c r="W3893" s="1"/>
      <c r="X3893" s="1"/>
      <c r="Y3893" s="1"/>
      <c r="AB3893" s="1"/>
      <c r="AC3893" s="1"/>
      <c r="AD3893" s="1"/>
      <c r="AE3893" s="1"/>
      <c r="AF3893" s="1"/>
      <c r="AG3893" s="1"/>
      <c r="AH3893" s="1"/>
      <c r="AI3893" s="1"/>
      <c r="AJ3893" s="1"/>
      <c r="AK3893" s="1"/>
      <c r="AL3893" s="1"/>
      <c r="AM3893" s="1"/>
    </row>
    <row r="3894" spans="16:39" x14ac:dyDescent="0.25">
      <c r="P3894" s="49"/>
      <c r="Q3894" s="1"/>
      <c r="S3894" s="1"/>
      <c r="T3894" s="1"/>
      <c r="U3894" s="1"/>
      <c r="V3894" s="1"/>
      <c r="W3894" s="1"/>
      <c r="X3894" s="1"/>
      <c r="Y3894" s="1"/>
      <c r="AB3894" s="1"/>
      <c r="AC3894" s="1"/>
      <c r="AD3894" s="1"/>
      <c r="AE3894" s="1"/>
      <c r="AF3894" s="1"/>
      <c r="AG3894" s="1"/>
      <c r="AH3894" s="1"/>
      <c r="AI3894" s="1"/>
      <c r="AJ3894" s="1"/>
      <c r="AK3894" s="1"/>
      <c r="AL3894" s="1"/>
      <c r="AM3894" s="1"/>
    </row>
    <row r="3895" spans="16:39" x14ac:dyDescent="0.25">
      <c r="P3895" s="49"/>
      <c r="Q3895" s="1"/>
      <c r="S3895" s="1"/>
      <c r="T3895" s="1"/>
      <c r="U3895" s="1"/>
      <c r="V3895" s="1"/>
      <c r="W3895" s="1"/>
      <c r="X3895" s="1"/>
      <c r="Y3895" s="1"/>
      <c r="AB3895" s="1"/>
      <c r="AC3895" s="1"/>
      <c r="AD3895" s="1"/>
      <c r="AE3895" s="1"/>
      <c r="AF3895" s="1"/>
      <c r="AG3895" s="1"/>
      <c r="AH3895" s="1"/>
      <c r="AI3895" s="1"/>
      <c r="AJ3895" s="1"/>
      <c r="AK3895" s="1"/>
      <c r="AL3895" s="1"/>
      <c r="AM3895" s="1"/>
    </row>
    <row r="3896" spans="16:39" x14ac:dyDescent="0.25">
      <c r="P3896" s="49"/>
      <c r="Q3896" s="1"/>
      <c r="S3896" s="1"/>
      <c r="T3896" s="1"/>
      <c r="U3896" s="1"/>
      <c r="V3896" s="1"/>
      <c r="W3896" s="1"/>
      <c r="X3896" s="1"/>
      <c r="Y3896" s="1"/>
      <c r="AB3896" s="1"/>
      <c r="AC3896" s="1"/>
      <c r="AD3896" s="1"/>
      <c r="AE3896" s="1"/>
      <c r="AF3896" s="1"/>
      <c r="AG3896" s="1"/>
      <c r="AH3896" s="1"/>
      <c r="AI3896" s="1"/>
      <c r="AJ3896" s="1"/>
      <c r="AK3896" s="1"/>
      <c r="AL3896" s="1"/>
      <c r="AM3896" s="1"/>
    </row>
    <row r="3897" spans="16:39" x14ac:dyDescent="0.25">
      <c r="P3897" s="49"/>
      <c r="Q3897" s="1"/>
      <c r="S3897" s="1"/>
      <c r="T3897" s="1"/>
      <c r="U3897" s="1"/>
      <c r="V3897" s="1"/>
      <c r="W3897" s="1"/>
      <c r="X3897" s="1"/>
      <c r="Y3897" s="1"/>
      <c r="AB3897" s="1"/>
      <c r="AC3897" s="1"/>
      <c r="AD3897" s="1"/>
      <c r="AE3897" s="1"/>
      <c r="AF3897" s="1"/>
      <c r="AG3897" s="1"/>
      <c r="AH3897" s="1"/>
      <c r="AI3897" s="1"/>
      <c r="AJ3897" s="1"/>
      <c r="AK3897" s="1"/>
      <c r="AL3897" s="1"/>
      <c r="AM3897" s="1"/>
    </row>
    <row r="3898" spans="16:39" x14ac:dyDescent="0.25">
      <c r="P3898" s="49"/>
      <c r="Q3898" s="1"/>
      <c r="S3898" s="1"/>
      <c r="T3898" s="1"/>
      <c r="U3898" s="1"/>
      <c r="V3898" s="1"/>
      <c r="W3898" s="1"/>
      <c r="X3898" s="1"/>
      <c r="Y3898" s="1"/>
      <c r="AB3898" s="1"/>
      <c r="AC3898" s="1"/>
      <c r="AD3898" s="1"/>
      <c r="AE3898" s="1"/>
      <c r="AF3898" s="1"/>
      <c r="AG3898" s="1"/>
      <c r="AH3898" s="1"/>
      <c r="AI3898" s="1"/>
      <c r="AJ3898" s="1"/>
      <c r="AK3898" s="1"/>
      <c r="AL3898" s="1"/>
      <c r="AM3898" s="1"/>
    </row>
    <row r="3899" spans="16:39" x14ac:dyDescent="0.25">
      <c r="P3899" s="49"/>
      <c r="Q3899" s="1"/>
      <c r="S3899" s="1"/>
      <c r="T3899" s="1"/>
      <c r="U3899" s="1"/>
      <c r="V3899" s="1"/>
      <c r="W3899" s="1"/>
      <c r="X3899" s="1"/>
      <c r="Y3899" s="1"/>
      <c r="AB3899" s="1"/>
      <c r="AC3899" s="1"/>
      <c r="AD3899" s="1"/>
      <c r="AE3899" s="1"/>
      <c r="AF3899" s="1"/>
      <c r="AG3899" s="1"/>
      <c r="AH3899" s="1"/>
      <c r="AI3899" s="1"/>
      <c r="AJ3899" s="1"/>
      <c r="AK3899" s="1"/>
      <c r="AL3899" s="1"/>
      <c r="AM3899" s="1"/>
    </row>
    <row r="3900" spans="16:39" x14ac:dyDescent="0.25">
      <c r="P3900" s="49"/>
      <c r="Q3900" s="1"/>
      <c r="S3900" s="1"/>
      <c r="T3900" s="1"/>
      <c r="U3900" s="1"/>
      <c r="V3900" s="1"/>
      <c r="W3900" s="1"/>
      <c r="X3900" s="1"/>
      <c r="Y3900" s="1"/>
      <c r="AB3900" s="1"/>
      <c r="AC3900" s="1"/>
      <c r="AD3900" s="1"/>
      <c r="AE3900" s="1"/>
      <c r="AF3900" s="1"/>
      <c r="AG3900" s="1"/>
      <c r="AH3900" s="1"/>
      <c r="AI3900" s="1"/>
      <c r="AJ3900" s="1"/>
      <c r="AK3900" s="1"/>
      <c r="AL3900" s="1"/>
      <c r="AM3900" s="1"/>
    </row>
    <row r="3901" spans="16:39" x14ac:dyDescent="0.25">
      <c r="P3901" s="49"/>
      <c r="Q3901" s="1"/>
      <c r="S3901" s="1"/>
      <c r="T3901" s="1"/>
      <c r="U3901" s="1"/>
      <c r="V3901" s="1"/>
      <c r="W3901" s="1"/>
      <c r="X3901" s="1"/>
      <c r="Y3901" s="1"/>
      <c r="AB3901" s="1"/>
      <c r="AC3901" s="1"/>
      <c r="AD3901" s="1"/>
      <c r="AE3901" s="1"/>
      <c r="AF3901" s="1"/>
      <c r="AG3901" s="1"/>
      <c r="AH3901" s="1"/>
      <c r="AI3901" s="1"/>
      <c r="AJ3901" s="1"/>
      <c r="AK3901" s="1"/>
      <c r="AL3901" s="1"/>
      <c r="AM3901" s="1"/>
    </row>
    <row r="3902" spans="16:39" x14ac:dyDescent="0.25">
      <c r="P3902" s="49"/>
      <c r="Q3902" s="1"/>
      <c r="S3902" s="1"/>
      <c r="T3902" s="1"/>
      <c r="U3902" s="1"/>
      <c r="V3902" s="1"/>
      <c r="W3902" s="1"/>
      <c r="X3902" s="1"/>
      <c r="Y3902" s="1"/>
      <c r="AB3902" s="1"/>
      <c r="AC3902" s="1"/>
      <c r="AD3902" s="1"/>
      <c r="AE3902" s="1"/>
      <c r="AF3902" s="1"/>
      <c r="AG3902" s="1"/>
      <c r="AH3902" s="1"/>
      <c r="AI3902" s="1"/>
      <c r="AJ3902" s="1"/>
      <c r="AK3902" s="1"/>
      <c r="AL3902" s="1"/>
      <c r="AM3902" s="1"/>
    </row>
    <row r="3903" spans="16:39" x14ac:dyDescent="0.25">
      <c r="P3903" s="49"/>
      <c r="Q3903" s="1"/>
      <c r="S3903" s="1"/>
      <c r="T3903" s="1"/>
      <c r="U3903" s="1"/>
      <c r="V3903" s="1"/>
      <c r="W3903" s="1"/>
      <c r="X3903" s="1"/>
      <c r="Y3903" s="1"/>
      <c r="AB3903" s="1"/>
      <c r="AC3903" s="1"/>
      <c r="AD3903" s="1"/>
      <c r="AE3903" s="1"/>
      <c r="AF3903" s="1"/>
      <c r="AG3903" s="1"/>
      <c r="AH3903" s="1"/>
      <c r="AI3903" s="1"/>
      <c r="AJ3903" s="1"/>
      <c r="AK3903" s="1"/>
      <c r="AL3903" s="1"/>
      <c r="AM3903" s="1"/>
    </row>
    <row r="3904" spans="16:39" x14ac:dyDescent="0.25">
      <c r="P3904" s="49"/>
      <c r="Q3904" s="1"/>
      <c r="S3904" s="1"/>
      <c r="T3904" s="1"/>
      <c r="U3904" s="1"/>
      <c r="V3904" s="1"/>
      <c r="W3904" s="1"/>
      <c r="X3904" s="1"/>
      <c r="Y3904" s="1"/>
      <c r="AB3904" s="1"/>
      <c r="AC3904" s="1"/>
      <c r="AD3904" s="1"/>
      <c r="AE3904" s="1"/>
      <c r="AF3904" s="1"/>
      <c r="AG3904" s="1"/>
      <c r="AH3904" s="1"/>
      <c r="AI3904" s="1"/>
      <c r="AJ3904" s="1"/>
      <c r="AK3904" s="1"/>
      <c r="AL3904" s="1"/>
      <c r="AM3904" s="1"/>
    </row>
    <row r="3905" spans="16:39" x14ac:dyDescent="0.25">
      <c r="P3905" s="49"/>
      <c r="Q3905" s="1"/>
      <c r="S3905" s="1"/>
      <c r="T3905" s="1"/>
      <c r="U3905" s="1"/>
      <c r="V3905" s="1"/>
      <c r="W3905" s="1"/>
      <c r="X3905" s="1"/>
      <c r="Y3905" s="1"/>
      <c r="AB3905" s="1"/>
      <c r="AC3905" s="1"/>
      <c r="AD3905" s="1"/>
      <c r="AE3905" s="1"/>
      <c r="AF3905" s="1"/>
      <c r="AG3905" s="1"/>
      <c r="AH3905" s="1"/>
      <c r="AI3905" s="1"/>
      <c r="AJ3905" s="1"/>
      <c r="AK3905" s="1"/>
      <c r="AL3905" s="1"/>
      <c r="AM3905" s="1"/>
    </row>
    <row r="3906" spans="16:39" x14ac:dyDescent="0.25">
      <c r="P3906" s="49"/>
      <c r="Q3906" s="1"/>
      <c r="S3906" s="1"/>
      <c r="T3906" s="1"/>
      <c r="U3906" s="1"/>
      <c r="V3906" s="1"/>
      <c r="W3906" s="1"/>
      <c r="X3906" s="1"/>
      <c r="Y3906" s="1"/>
      <c r="AB3906" s="1"/>
      <c r="AC3906" s="1"/>
      <c r="AD3906" s="1"/>
      <c r="AE3906" s="1"/>
      <c r="AF3906" s="1"/>
      <c r="AG3906" s="1"/>
      <c r="AH3906" s="1"/>
      <c r="AI3906" s="1"/>
      <c r="AJ3906" s="1"/>
      <c r="AK3906" s="1"/>
      <c r="AL3906" s="1"/>
      <c r="AM3906" s="1"/>
    </row>
    <row r="3907" spans="16:39" x14ac:dyDescent="0.25">
      <c r="P3907" s="49"/>
      <c r="Q3907" s="1"/>
      <c r="S3907" s="1"/>
      <c r="T3907" s="1"/>
      <c r="U3907" s="1"/>
      <c r="V3907" s="1"/>
      <c r="W3907" s="1"/>
      <c r="X3907" s="1"/>
      <c r="Y3907" s="1"/>
      <c r="AB3907" s="1"/>
      <c r="AC3907" s="1"/>
      <c r="AD3907" s="1"/>
      <c r="AE3907" s="1"/>
      <c r="AF3907" s="1"/>
      <c r="AG3907" s="1"/>
      <c r="AH3907" s="1"/>
      <c r="AI3907" s="1"/>
      <c r="AJ3907" s="1"/>
      <c r="AK3907" s="1"/>
      <c r="AL3907" s="1"/>
      <c r="AM3907" s="1"/>
    </row>
    <row r="3908" spans="16:39" x14ac:dyDescent="0.25">
      <c r="P3908" s="49"/>
      <c r="Q3908" s="1"/>
      <c r="S3908" s="1"/>
      <c r="T3908" s="1"/>
      <c r="U3908" s="1"/>
      <c r="V3908" s="1"/>
      <c r="W3908" s="1"/>
      <c r="X3908" s="1"/>
      <c r="Y3908" s="1"/>
      <c r="AB3908" s="1"/>
      <c r="AC3908" s="1"/>
      <c r="AD3908" s="1"/>
      <c r="AE3908" s="1"/>
      <c r="AF3908" s="1"/>
      <c r="AG3908" s="1"/>
      <c r="AH3908" s="1"/>
      <c r="AI3908" s="1"/>
      <c r="AJ3908" s="1"/>
      <c r="AK3908" s="1"/>
      <c r="AL3908" s="1"/>
      <c r="AM3908" s="1"/>
    </row>
    <row r="3909" spans="16:39" x14ac:dyDescent="0.25">
      <c r="P3909" s="49"/>
      <c r="Q3909" s="1"/>
      <c r="S3909" s="1"/>
      <c r="T3909" s="1"/>
      <c r="U3909" s="1"/>
      <c r="V3909" s="1"/>
      <c r="W3909" s="1"/>
      <c r="X3909" s="1"/>
      <c r="Y3909" s="1"/>
      <c r="AB3909" s="1"/>
      <c r="AC3909" s="1"/>
      <c r="AD3909" s="1"/>
      <c r="AE3909" s="1"/>
      <c r="AF3909" s="1"/>
      <c r="AG3909" s="1"/>
      <c r="AH3909" s="1"/>
      <c r="AI3909" s="1"/>
      <c r="AJ3909" s="1"/>
      <c r="AK3909" s="1"/>
      <c r="AL3909" s="1"/>
      <c r="AM3909" s="1"/>
    </row>
    <row r="3910" spans="16:39" x14ac:dyDescent="0.25">
      <c r="P3910" s="49"/>
      <c r="Q3910" s="1"/>
      <c r="S3910" s="1"/>
      <c r="T3910" s="1"/>
      <c r="U3910" s="1"/>
      <c r="V3910" s="1"/>
      <c r="W3910" s="1"/>
      <c r="X3910" s="1"/>
      <c r="Y3910" s="1"/>
      <c r="AB3910" s="1"/>
      <c r="AC3910" s="1"/>
      <c r="AD3910" s="1"/>
      <c r="AE3910" s="1"/>
      <c r="AF3910" s="1"/>
      <c r="AG3910" s="1"/>
      <c r="AH3910" s="1"/>
      <c r="AI3910" s="1"/>
      <c r="AJ3910" s="1"/>
      <c r="AK3910" s="1"/>
      <c r="AL3910" s="1"/>
      <c r="AM3910" s="1"/>
    </row>
    <row r="3911" spans="16:39" x14ac:dyDescent="0.25">
      <c r="P3911" s="49"/>
      <c r="Q3911" s="1"/>
      <c r="S3911" s="1"/>
      <c r="T3911" s="1"/>
      <c r="U3911" s="1"/>
      <c r="V3911" s="1"/>
      <c r="W3911" s="1"/>
      <c r="X3911" s="1"/>
      <c r="Y3911" s="1"/>
      <c r="AB3911" s="1"/>
      <c r="AC3911" s="1"/>
      <c r="AD3911" s="1"/>
      <c r="AE3911" s="1"/>
      <c r="AF3911" s="1"/>
      <c r="AG3911" s="1"/>
      <c r="AH3911" s="1"/>
      <c r="AI3911" s="1"/>
      <c r="AJ3911" s="1"/>
      <c r="AK3911" s="1"/>
      <c r="AL3911" s="1"/>
      <c r="AM3911" s="1"/>
    </row>
    <row r="3912" spans="16:39" x14ac:dyDescent="0.25">
      <c r="P3912" s="49"/>
      <c r="Q3912" s="1"/>
      <c r="S3912" s="1"/>
      <c r="T3912" s="1"/>
      <c r="U3912" s="1"/>
      <c r="V3912" s="1"/>
      <c r="W3912" s="1"/>
      <c r="X3912" s="1"/>
      <c r="Y3912" s="1"/>
      <c r="AB3912" s="1"/>
      <c r="AC3912" s="1"/>
      <c r="AD3912" s="1"/>
      <c r="AE3912" s="1"/>
      <c r="AF3912" s="1"/>
      <c r="AG3912" s="1"/>
      <c r="AH3912" s="1"/>
      <c r="AI3912" s="1"/>
      <c r="AJ3912" s="1"/>
      <c r="AK3912" s="1"/>
      <c r="AL3912" s="1"/>
      <c r="AM3912" s="1"/>
    </row>
    <row r="3913" spans="16:39" x14ac:dyDescent="0.25">
      <c r="P3913" s="49"/>
      <c r="Q3913" s="1"/>
      <c r="S3913" s="1"/>
      <c r="T3913" s="1"/>
      <c r="U3913" s="1"/>
      <c r="V3913" s="1"/>
      <c r="W3913" s="1"/>
      <c r="X3913" s="1"/>
      <c r="Y3913" s="1"/>
      <c r="AB3913" s="1"/>
      <c r="AC3913" s="1"/>
      <c r="AD3913" s="1"/>
      <c r="AE3913" s="1"/>
      <c r="AF3913" s="1"/>
      <c r="AG3913" s="1"/>
      <c r="AH3913" s="1"/>
      <c r="AI3913" s="1"/>
      <c r="AJ3913" s="1"/>
      <c r="AK3913" s="1"/>
      <c r="AL3913" s="1"/>
      <c r="AM3913" s="1"/>
    </row>
    <row r="3914" spans="16:39" x14ac:dyDescent="0.25">
      <c r="P3914" s="49"/>
      <c r="Q3914" s="1"/>
      <c r="S3914" s="1"/>
      <c r="T3914" s="1"/>
      <c r="U3914" s="1"/>
      <c r="V3914" s="1"/>
      <c r="W3914" s="1"/>
      <c r="X3914" s="1"/>
      <c r="Y3914" s="1"/>
      <c r="AB3914" s="1"/>
      <c r="AC3914" s="1"/>
      <c r="AD3914" s="1"/>
      <c r="AE3914" s="1"/>
      <c r="AF3914" s="1"/>
      <c r="AG3914" s="1"/>
      <c r="AH3914" s="1"/>
      <c r="AI3914" s="1"/>
      <c r="AJ3914" s="1"/>
      <c r="AK3914" s="1"/>
      <c r="AL3914" s="1"/>
      <c r="AM3914" s="1"/>
    </row>
    <row r="3915" spans="16:39" x14ac:dyDescent="0.25">
      <c r="P3915" s="49"/>
      <c r="Q3915" s="1"/>
      <c r="S3915" s="1"/>
      <c r="T3915" s="1"/>
      <c r="U3915" s="1"/>
      <c r="V3915" s="1"/>
      <c r="W3915" s="1"/>
      <c r="X3915" s="1"/>
      <c r="Y3915" s="1"/>
      <c r="AB3915" s="1"/>
      <c r="AC3915" s="1"/>
      <c r="AD3915" s="1"/>
      <c r="AE3915" s="1"/>
      <c r="AF3915" s="1"/>
      <c r="AG3915" s="1"/>
      <c r="AH3915" s="1"/>
      <c r="AI3915" s="1"/>
      <c r="AJ3915" s="1"/>
      <c r="AK3915" s="1"/>
      <c r="AL3915" s="1"/>
      <c r="AM3915" s="1"/>
    </row>
    <row r="3916" spans="16:39" x14ac:dyDescent="0.25">
      <c r="P3916" s="49"/>
      <c r="Q3916" s="1"/>
      <c r="S3916" s="1"/>
      <c r="T3916" s="1"/>
      <c r="U3916" s="1"/>
      <c r="V3916" s="1"/>
      <c r="W3916" s="1"/>
      <c r="X3916" s="1"/>
      <c r="Y3916" s="1"/>
      <c r="AB3916" s="1"/>
      <c r="AC3916" s="1"/>
      <c r="AD3916" s="1"/>
      <c r="AE3916" s="1"/>
      <c r="AF3916" s="1"/>
      <c r="AG3916" s="1"/>
      <c r="AH3916" s="1"/>
      <c r="AI3916" s="1"/>
      <c r="AJ3916" s="1"/>
      <c r="AK3916" s="1"/>
      <c r="AL3916" s="1"/>
      <c r="AM3916" s="1"/>
    </row>
    <row r="3917" spans="16:39" x14ac:dyDescent="0.25">
      <c r="P3917" s="49"/>
      <c r="Q3917" s="1"/>
      <c r="S3917" s="1"/>
      <c r="T3917" s="1"/>
      <c r="U3917" s="1"/>
      <c r="V3917" s="1"/>
      <c r="W3917" s="1"/>
      <c r="X3917" s="1"/>
      <c r="Y3917" s="1"/>
      <c r="AB3917" s="1"/>
      <c r="AC3917" s="1"/>
      <c r="AD3917" s="1"/>
      <c r="AE3917" s="1"/>
      <c r="AF3917" s="1"/>
      <c r="AG3917" s="1"/>
      <c r="AH3917" s="1"/>
      <c r="AI3917" s="1"/>
      <c r="AJ3917" s="1"/>
      <c r="AK3917" s="1"/>
      <c r="AL3917" s="1"/>
      <c r="AM3917" s="1"/>
    </row>
    <row r="3918" spans="16:39" x14ac:dyDescent="0.25">
      <c r="P3918" s="49"/>
      <c r="Q3918" s="1"/>
      <c r="S3918" s="1"/>
      <c r="T3918" s="1"/>
      <c r="U3918" s="1"/>
      <c r="V3918" s="1"/>
      <c r="W3918" s="1"/>
      <c r="X3918" s="1"/>
      <c r="Y3918" s="1"/>
      <c r="AB3918" s="1"/>
      <c r="AC3918" s="1"/>
      <c r="AD3918" s="1"/>
      <c r="AE3918" s="1"/>
      <c r="AF3918" s="1"/>
      <c r="AG3918" s="1"/>
      <c r="AH3918" s="1"/>
      <c r="AI3918" s="1"/>
      <c r="AJ3918" s="1"/>
      <c r="AK3918" s="1"/>
      <c r="AL3918" s="1"/>
      <c r="AM3918" s="1"/>
    </row>
    <row r="3919" spans="16:39" x14ac:dyDescent="0.25">
      <c r="P3919" s="49"/>
      <c r="Q3919" s="1"/>
      <c r="S3919" s="1"/>
      <c r="T3919" s="1"/>
      <c r="U3919" s="1"/>
      <c r="V3919" s="1"/>
      <c r="W3919" s="1"/>
      <c r="X3919" s="1"/>
      <c r="Y3919" s="1"/>
      <c r="AB3919" s="1"/>
      <c r="AC3919" s="1"/>
      <c r="AD3919" s="1"/>
      <c r="AE3919" s="1"/>
      <c r="AF3919" s="1"/>
      <c r="AG3919" s="1"/>
      <c r="AH3919" s="1"/>
      <c r="AI3919" s="1"/>
      <c r="AJ3919" s="1"/>
      <c r="AK3919" s="1"/>
      <c r="AL3919" s="1"/>
      <c r="AM3919" s="1"/>
    </row>
    <row r="3920" spans="16:39" x14ac:dyDescent="0.25">
      <c r="P3920" s="49"/>
      <c r="Q3920" s="1"/>
      <c r="S3920" s="1"/>
      <c r="T3920" s="1"/>
      <c r="U3920" s="1"/>
      <c r="V3920" s="1"/>
      <c r="W3920" s="1"/>
      <c r="X3920" s="1"/>
      <c r="Y3920" s="1"/>
      <c r="AB3920" s="1"/>
      <c r="AC3920" s="1"/>
      <c r="AD3920" s="1"/>
      <c r="AE3920" s="1"/>
      <c r="AF3920" s="1"/>
      <c r="AG3920" s="1"/>
      <c r="AH3920" s="1"/>
      <c r="AI3920" s="1"/>
      <c r="AJ3920" s="1"/>
      <c r="AK3920" s="1"/>
      <c r="AL3920" s="1"/>
      <c r="AM3920" s="1"/>
    </row>
    <row r="3921" spans="16:39" x14ac:dyDescent="0.25">
      <c r="P3921" s="49"/>
      <c r="Q3921" s="1"/>
      <c r="S3921" s="1"/>
      <c r="T3921" s="1"/>
      <c r="U3921" s="1"/>
      <c r="V3921" s="1"/>
      <c r="W3921" s="1"/>
      <c r="X3921" s="1"/>
      <c r="Y3921" s="1"/>
      <c r="AB3921" s="1"/>
      <c r="AC3921" s="1"/>
      <c r="AD3921" s="1"/>
      <c r="AE3921" s="1"/>
      <c r="AF3921" s="1"/>
      <c r="AG3921" s="1"/>
      <c r="AH3921" s="1"/>
      <c r="AI3921" s="1"/>
      <c r="AJ3921" s="1"/>
      <c r="AK3921" s="1"/>
      <c r="AL3921" s="1"/>
      <c r="AM3921" s="1"/>
    </row>
    <row r="3922" spans="16:39" x14ac:dyDescent="0.25">
      <c r="P3922" s="49"/>
      <c r="Q3922" s="1"/>
      <c r="S3922" s="1"/>
      <c r="T3922" s="1"/>
      <c r="U3922" s="1"/>
      <c r="V3922" s="1"/>
      <c r="W3922" s="1"/>
      <c r="X3922" s="1"/>
      <c r="Y3922" s="1"/>
      <c r="AB3922" s="1"/>
      <c r="AC3922" s="1"/>
      <c r="AD3922" s="1"/>
      <c r="AE3922" s="1"/>
      <c r="AF3922" s="1"/>
      <c r="AG3922" s="1"/>
      <c r="AH3922" s="1"/>
      <c r="AI3922" s="1"/>
      <c r="AJ3922" s="1"/>
      <c r="AK3922" s="1"/>
      <c r="AL3922" s="1"/>
      <c r="AM3922" s="1"/>
    </row>
    <row r="3923" spans="16:39" x14ac:dyDescent="0.25">
      <c r="P3923" s="49"/>
      <c r="Q3923" s="1"/>
      <c r="S3923" s="1"/>
      <c r="T3923" s="1"/>
      <c r="U3923" s="1"/>
      <c r="V3923" s="1"/>
      <c r="W3923" s="1"/>
      <c r="X3923" s="1"/>
      <c r="Y3923" s="1"/>
      <c r="AB3923" s="1"/>
      <c r="AC3923" s="1"/>
      <c r="AD3923" s="1"/>
      <c r="AE3923" s="1"/>
      <c r="AF3923" s="1"/>
      <c r="AG3923" s="1"/>
      <c r="AH3923" s="1"/>
      <c r="AI3923" s="1"/>
      <c r="AJ3923" s="1"/>
      <c r="AK3923" s="1"/>
      <c r="AL3923" s="1"/>
      <c r="AM3923" s="1"/>
    </row>
    <row r="3924" spans="16:39" x14ac:dyDescent="0.25">
      <c r="P3924" s="49"/>
      <c r="Q3924" s="1"/>
      <c r="S3924" s="1"/>
      <c r="T3924" s="1"/>
      <c r="U3924" s="1"/>
      <c r="V3924" s="1"/>
      <c r="W3924" s="1"/>
      <c r="X3924" s="1"/>
      <c r="Y3924" s="1"/>
      <c r="AB3924" s="1"/>
      <c r="AC3924" s="1"/>
      <c r="AD3924" s="1"/>
      <c r="AE3924" s="1"/>
      <c r="AF3924" s="1"/>
      <c r="AG3924" s="1"/>
      <c r="AH3924" s="1"/>
      <c r="AI3924" s="1"/>
      <c r="AJ3924" s="1"/>
      <c r="AK3924" s="1"/>
      <c r="AL3924" s="1"/>
      <c r="AM3924" s="1"/>
    </row>
    <row r="3925" spans="16:39" x14ac:dyDescent="0.25">
      <c r="P3925" s="49"/>
      <c r="Q3925" s="1"/>
      <c r="S3925" s="1"/>
      <c r="T3925" s="1"/>
      <c r="U3925" s="1"/>
      <c r="V3925" s="1"/>
      <c r="W3925" s="1"/>
      <c r="X3925" s="1"/>
      <c r="Y3925" s="1"/>
      <c r="AB3925" s="1"/>
      <c r="AC3925" s="1"/>
      <c r="AD3925" s="1"/>
      <c r="AE3925" s="1"/>
      <c r="AF3925" s="1"/>
      <c r="AG3925" s="1"/>
      <c r="AH3925" s="1"/>
      <c r="AI3925" s="1"/>
      <c r="AJ3925" s="1"/>
      <c r="AK3925" s="1"/>
      <c r="AL3925" s="1"/>
      <c r="AM3925" s="1"/>
    </row>
    <row r="3926" spans="16:39" x14ac:dyDescent="0.25">
      <c r="P3926" s="49"/>
      <c r="Q3926" s="1"/>
      <c r="S3926" s="1"/>
      <c r="T3926" s="1"/>
      <c r="U3926" s="1"/>
      <c r="V3926" s="1"/>
      <c r="W3926" s="1"/>
      <c r="X3926" s="1"/>
      <c r="Y3926" s="1"/>
      <c r="AB3926" s="1"/>
      <c r="AC3926" s="1"/>
      <c r="AD3926" s="1"/>
      <c r="AE3926" s="1"/>
      <c r="AF3926" s="1"/>
      <c r="AG3926" s="1"/>
      <c r="AH3926" s="1"/>
      <c r="AI3926" s="1"/>
      <c r="AJ3926" s="1"/>
      <c r="AK3926" s="1"/>
      <c r="AL3926" s="1"/>
      <c r="AM3926" s="1"/>
    </row>
    <row r="3927" spans="16:39" x14ac:dyDescent="0.25">
      <c r="P3927" s="49"/>
      <c r="Q3927" s="1"/>
      <c r="S3927" s="1"/>
      <c r="T3927" s="1"/>
      <c r="U3927" s="1"/>
      <c r="V3927" s="1"/>
      <c r="W3927" s="1"/>
      <c r="X3927" s="1"/>
      <c r="Y3927" s="1"/>
      <c r="AB3927" s="1"/>
      <c r="AC3927" s="1"/>
      <c r="AD3927" s="1"/>
      <c r="AE3927" s="1"/>
      <c r="AF3927" s="1"/>
      <c r="AG3927" s="1"/>
      <c r="AH3927" s="1"/>
      <c r="AI3927" s="1"/>
      <c r="AJ3927" s="1"/>
      <c r="AK3927" s="1"/>
      <c r="AL3927" s="1"/>
      <c r="AM3927" s="1"/>
    </row>
    <row r="3928" spans="16:39" x14ac:dyDescent="0.25">
      <c r="P3928" s="49"/>
      <c r="Q3928" s="1"/>
      <c r="S3928" s="1"/>
      <c r="T3928" s="1"/>
      <c r="U3928" s="1"/>
      <c r="V3928" s="1"/>
      <c r="W3928" s="1"/>
      <c r="X3928" s="1"/>
      <c r="Y3928" s="1"/>
      <c r="AB3928" s="1"/>
      <c r="AC3928" s="1"/>
      <c r="AD3928" s="1"/>
      <c r="AE3928" s="1"/>
      <c r="AF3928" s="1"/>
      <c r="AG3928" s="1"/>
      <c r="AH3928" s="1"/>
      <c r="AI3928" s="1"/>
      <c r="AJ3928" s="1"/>
      <c r="AK3928" s="1"/>
      <c r="AL3928" s="1"/>
      <c r="AM3928" s="1"/>
    </row>
    <row r="3929" spans="16:39" x14ac:dyDescent="0.25">
      <c r="P3929" s="49"/>
      <c r="Q3929" s="1"/>
      <c r="S3929" s="1"/>
      <c r="T3929" s="1"/>
      <c r="U3929" s="1"/>
      <c r="V3929" s="1"/>
      <c r="W3929" s="1"/>
      <c r="X3929" s="1"/>
      <c r="Y3929" s="1"/>
      <c r="AB3929" s="1"/>
      <c r="AC3929" s="1"/>
      <c r="AD3929" s="1"/>
      <c r="AE3929" s="1"/>
      <c r="AF3929" s="1"/>
      <c r="AG3929" s="1"/>
      <c r="AH3929" s="1"/>
      <c r="AI3929" s="1"/>
      <c r="AJ3929" s="1"/>
      <c r="AK3929" s="1"/>
      <c r="AL3929" s="1"/>
      <c r="AM3929" s="1"/>
    </row>
    <row r="3930" spans="16:39" x14ac:dyDescent="0.25">
      <c r="P3930" s="49"/>
      <c r="Q3930" s="1"/>
      <c r="S3930" s="1"/>
      <c r="T3930" s="1"/>
      <c r="U3930" s="1"/>
      <c r="V3930" s="1"/>
      <c r="W3930" s="1"/>
      <c r="X3930" s="1"/>
      <c r="Y3930" s="1"/>
      <c r="AB3930" s="1"/>
      <c r="AC3930" s="1"/>
      <c r="AD3930" s="1"/>
      <c r="AE3930" s="1"/>
      <c r="AF3930" s="1"/>
      <c r="AG3930" s="1"/>
      <c r="AH3930" s="1"/>
      <c r="AI3930" s="1"/>
      <c r="AJ3930" s="1"/>
      <c r="AK3930" s="1"/>
      <c r="AL3930" s="1"/>
      <c r="AM3930" s="1"/>
    </row>
    <row r="3931" spans="16:39" x14ac:dyDescent="0.25">
      <c r="P3931" s="49"/>
      <c r="Q3931" s="1"/>
      <c r="S3931" s="1"/>
      <c r="T3931" s="1"/>
      <c r="U3931" s="1"/>
      <c r="V3931" s="1"/>
      <c r="W3931" s="1"/>
      <c r="X3931" s="1"/>
      <c r="Y3931" s="1"/>
      <c r="AB3931" s="1"/>
      <c r="AC3931" s="1"/>
      <c r="AD3931" s="1"/>
      <c r="AE3931" s="1"/>
      <c r="AF3931" s="1"/>
      <c r="AG3931" s="1"/>
      <c r="AH3931" s="1"/>
      <c r="AI3931" s="1"/>
      <c r="AJ3931" s="1"/>
      <c r="AK3931" s="1"/>
      <c r="AL3931" s="1"/>
      <c r="AM3931" s="1"/>
    </row>
    <row r="3932" spans="16:39" x14ac:dyDescent="0.25">
      <c r="P3932" s="49"/>
      <c r="Q3932" s="1"/>
      <c r="S3932" s="1"/>
      <c r="T3932" s="1"/>
      <c r="U3932" s="1"/>
      <c r="V3932" s="1"/>
      <c r="W3932" s="1"/>
      <c r="X3932" s="1"/>
      <c r="Y3932" s="1"/>
      <c r="AB3932" s="1"/>
      <c r="AC3932" s="1"/>
      <c r="AD3932" s="1"/>
      <c r="AE3932" s="1"/>
      <c r="AF3932" s="1"/>
      <c r="AG3932" s="1"/>
      <c r="AH3932" s="1"/>
      <c r="AI3932" s="1"/>
      <c r="AJ3932" s="1"/>
      <c r="AK3932" s="1"/>
      <c r="AL3932" s="1"/>
      <c r="AM3932" s="1"/>
    </row>
    <row r="3933" spans="16:39" x14ac:dyDescent="0.25">
      <c r="P3933" s="49"/>
      <c r="Q3933" s="1"/>
      <c r="S3933" s="1"/>
      <c r="T3933" s="1"/>
      <c r="U3933" s="1"/>
      <c r="V3933" s="1"/>
      <c r="W3933" s="1"/>
      <c r="X3933" s="1"/>
      <c r="Y3933" s="1"/>
      <c r="AB3933" s="1"/>
      <c r="AC3933" s="1"/>
      <c r="AD3933" s="1"/>
      <c r="AE3933" s="1"/>
      <c r="AF3933" s="1"/>
      <c r="AG3933" s="1"/>
      <c r="AH3933" s="1"/>
      <c r="AI3933" s="1"/>
      <c r="AJ3933" s="1"/>
      <c r="AK3933" s="1"/>
      <c r="AL3933" s="1"/>
      <c r="AM3933" s="1"/>
    </row>
    <row r="3934" spans="16:39" x14ac:dyDescent="0.25">
      <c r="P3934" s="49"/>
      <c r="Q3934" s="1"/>
      <c r="S3934" s="1"/>
      <c r="T3934" s="1"/>
      <c r="U3934" s="1"/>
      <c r="V3934" s="1"/>
      <c r="W3934" s="1"/>
      <c r="X3934" s="1"/>
      <c r="Y3934" s="1"/>
      <c r="AB3934" s="1"/>
      <c r="AC3934" s="1"/>
      <c r="AD3934" s="1"/>
      <c r="AE3934" s="1"/>
      <c r="AF3934" s="1"/>
      <c r="AG3934" s="1"/>
      <c r="AH3934" s="1"/>
      <c r="AI3934" s="1"/>
      <c r="AJ3934" s="1"/>
      <c r="AK3934" s="1"/>
      <c r="AL3934" s="1"/>
      <c r="AM3934" s="1"/>
    </row>
    <row r="3935" spans="16:39" x14ac:dyDescent="0.25">
      <c r="P3935" s="49"/>
      <c r="Q3935" s="1"/>
      <c r="S3935" s="1"/>
      <c r="T3935" s="1"/>
      <c r="U3935" s="1"/>
      <c r="V3935" s="1"/>
      <c r="W3935" s="1"/>
      <c r="X3935" s="1"/>
      <c r="Y3935" s="1"/>
      <c r="AB3935" s="1"/>
      <c r="AC3935" s="1"/>
      <c r="AD3935" s="1"/>
      <c r="AE3935" s="1"/>
      <c r="AF3935" s="1"/>
      <c r="AG3935" s="1"/>
      <c r="AH3935" s="1"/>
      <c r="AI3935" s="1"/>
      <c r="AJ3935" s="1"/>
      <c r="AK3935" s="1"/>
      <c r="AL3935" s="1"/>
      <c r="AM3935" s="1"/>
    </row>
    <row r="3936" spans="16:39" x14ac:dyDescent="0.25">
      <c r="P3936" s="49"/>
      <c r="Q3936" s="1"/>
      <c r="S3936" s="1"/>
      <c r="T3936" s="1"/>
      <c r="U3936" s="1"/>
      <c r="V3936" s="1"/>
      <c r="W3936" s="1"/>
      <c r="X3936" s="1"/>
      <c r="Y3936" s="1"/>
      <c r="AB3936" s="1"/>
      <c r="AC3936" s="1"/>
      <c r="AD3936" s="1"/>
      <c r="AE3936" s="1"/>
      <c r="AF3936" s="1"/>
      <c r="AG3936" s="1"/>
      <c r="AH3936" s="1"/>
      <c r="AI3936" s="1"/>
      <c r="AJ3936" s="1"/>
      <c r="AK3936" s="1"/>
      <c r="AL3936" s="1"/>
      <c r="AM3936" s="1"/>
    </row>
    <row r="3937" spans="16:39" x14ac:dyDescent="0.25">
      <c r="P3937" s="49"/>
      <c r="Q3937" s="1"/>
      <c r="S3937" s="1"/>
      <c r="T3937" s="1"/>
      <c r="U3937" s="1"/>
      <c r="V3937" s="1"/>
      <c r="W3937" s="1"/>
      <c r="X3937" s="1"/>
      <c r="Y3937" s="1"/>
      <c r="AB3937" s="1"/>
      <c r="AC3937" s="1"/>
      <c r="AD3937" s="1"/>
      <c r="AE3937" s="1"/>
      <c r="AF3937" s="1"/>
      <c r="AG3937" s="1"/>
      <c r="AH3937" s="1"/>
      <c r="AI3937" s="1"/>
      <c r="AJ3937" s="1"/>
      <c r="AK3937" s="1"/>
      <c r="AL3937" s="1"/>
      <c r="AM3937" s="1"/>
    </row>
    <row r="3938" spans="16:39" x14ac:dyDescent="0.25">
      <c r="P3938" s="49"/>
      <c r="Q3938" s="1"/>
      <c r="S3938" s="1"/>
      <c r="T3938" s="1"/>
      <c r="U3938" s="1"/>
      <c r="V3938" s="1"/>
      <c r="W3938" s="1"/>
      <c r="X3938" s="1"/>
      <c r="Y3938" s="1"/>
      <c r="AB3938" s="1"/>
      <c r="AC3938" s="1"/>
      <c r="AD3938" s="1"/>
      <c r="AE3938" s="1"/>
      <c r="AF3938" s="1"/>
      <c r="AG3938" s="1"/>
      <c r="AH3938" s="1"/>
      <c r="AI3938" s="1"/>
      <c r="AJ3938" s="1"/>
      <c r="AK3938" s="1"/>
      <c r="AL3938" s="1"/>
      <c r="AM3938" s="1"/>
    </row>
    <row r="3939" spans="16:39" x14ac:dyDescent="0.25">
      <c r="P3939" s="49"/>
      <c r="Q3939" s="1"/>
      <c r="S3939" s="1"/>
      <c r="T3939" s="1"/>
      <c r="U3939" s="1"/>
      <c r="V3939" s="1"/>
      <c r="W3939" s="1"/>
      <c r="X3939" s="1"/>
      <c r="Y3939" s="1"/>
      <c r="AB3939" s="1"/>
      <c r="AC3939" s="1"/>
      <c r="AD3939" s="1"/>
      <c r="AE3939" s="1"/>
      <c r="AF3939" s="1"/>
      <c r="AG3939" s="1"/>
      <c r="AH3939" s="1"/>
      <c r="AI3939" s="1"/>
      <c r="AJ3939" s="1"/>
      <c r="AK3939" s="1"/>
      <c r="AL3939" s="1"/>
      <c r="AM3939" s="1"/>
    </row>
    <row r="3940" spans="16:39" x14ac:dyDescent="0.25">
      <c r="P3940" s="49"/>
      <c r="Q3940" s="1"/>
      <c r="S3940" s="1"/>
      <c r="T3940" s="1"/>
      <c r="U3940" s="1"/>
      <c r="V3940" s="1"/>
      <c r="W3940" s="1"/>
      <c r="X3940" s="1"/>
      <c r="Y3940" s="1"/>
      <c r="AB3940" s="1"/>
      <c r="AC3940" s="1"/>
      <c r="AD3940" s="1"/>
      <c r="AE3940" s="1"/>
      <c r="AF3940" s="1"/>
      <c r="AG3940" s="1"/>
      <c r="AH3940" s="1"/>
      <c r="AI3940" s="1"/>
      <c r="AJ3940" s="1"/>
      <c r="AK3940" s="1"/>
      <c r="AL3940" s="1"/>
      <c r="AM3940" s="1"/>
    </row>
    <row r="3941" spans="16:39" x14ac:dyDescent="0.25">
      <c r="P3941" s="49"/>
      <c r="Q3941" s="1"/>
      <c r="S3941" s="1"/>
      <c r="T3941" s="1"/>
      <c r="U3941" s="1"/>
      <c r="V3941" s="1"/>
      <c r="W3941" s="1"/>
      <c r="X3941" s="1"/>
      <c r="Y3941" s="1"/>
      <c r="AB3941" s="1"/>
      <c r="AC3941" s="1"/>
      <c r="AD3941" s="1"/>
      <c r="AE3941" s="1"/>
      <c r="AF3941" s="1"/>
      <c r="AG3941" s="1"/>
      <c r="AH3941" s="1"/>
      <c r="AI3941" s="1"/>
      <c r="AJ3941" s="1"/>
      <c r="AK3941" s="1"/>
      <c r="AL3941" s="1"/>
      <c r="AM3941" s="1"/>
    </row>
    <row r="3942" spans="16:39" x14ac:dyDescent="0.25">
      <c r="P3942" s="49"/>
      <c r="Q3942" s="1"/>
      <c r="S3942" s="1"/>
      <c r="T3942" s="1"/>
      <c r="U3942" s="1"/>
      <c r="V3942" s="1"/>
      <c r="W3942" s="1"/>
      <c r="X3942" s="1"/>
      <c r="Y3942" s="1"/>
      <c r="AB3942" s="1"/>
      <c r="AC3942" s="1"/>
      <c r="AD3942" s="1"/>
      <c r="AE3942" s="1"/>
      <c r="AF3942" s="1"/>
      <c r="AG3942" s="1"/>
      <c r="AH3942" s="1"/>
      <c r="AI3942" s="1"/>
      <c r="AJ3942" s="1"/>
      <c r="AK3942" s="1"/>
      <c r="AL3942" s="1"/>
      <c r="AM3942" s="1"/>
    </row>
    <row r="3943" spans="16:39" x14ac:dyDescent="0.25">
      <c r="P3943" s="49"/>
      <c r="Q3943" s="1"/>
      <c r="S3943" s="1"/>
      <c r="T3943" s="1"/>
      <c r="U3943" s="1"/>
      <c r="V3943" s="1"/>
      <c r="W3943" s="1"/>
      <c r="X3943" s="1"/>
      <c r="Y3943" s="1"/>
      <c r="AB3943" s="1"/>
      <c r="AC3943" s="1"/>
      <c r="AD3943" s="1"/>
      <c r="AE3943" s="1"/>
      <c r="AF3943" s="1"/>
      <c r="AG3943" s="1"/>
      <c r="AH3943" s="1"/>
      <c r="AI3943" s="1"/>
      <c r="AJ3943" s="1"/>
      <c r="AK3943" s="1"/>
      <c r="AL3943" s="1"/>
      <c r="AM3943" s="1"/>
    </row>
    <row r="3944" spans="16:39" x14ac:dyDescent="0.25">
      <c r="P3944" s="49"/>
      <c r="Q3944" s="1"/>
      <c r="S3944" s="1"/>
      <c r="T3944" s="1"/>
      <c r="U3944" s="1"/>
      <c r="V3944" s="1"/>
      <c r="W3944" s="1"/>
      <c r="X3944" s="1"/>
      <c r="Y3944" s="1"/>
      <c r="AB3944" s="1"/>
      <c r="AC3944" s="1"/>
      <c r="AD3944" s="1"/>
      <c r="AE3944" s="1"/>
      <c r="AF3944" s="1"/>
      <c r="AG3944" s="1"/>
      <c r="AH3944" s="1"/>
      <c r="AI3944" s="1"/>
      <c r="AJ3944" s="1"/>
      <c r="AK3944" s="1"/>
      <c r="AL3944" s="1"/>
      <c r="AM3944" s="1"/>
    </row>
    <row r="3945" spans="16:39" x14ac:dyDescent="0.25">
      <c r="P3945" s="49"/>
      <c r="Q3945" s="1"/>
      <c r="S3945" s="1"/>
      <c r="T3945" s="1"/>
      <c r="U3945" s="1"/>
      <c r="V3945" s="1"/>
      <c r="W3945" s="1"/>
      <c r="X3945" s="1"/>
      <c r="Y3945" s="1"/>
      <c r="AB3945" s="1"/>
      <c r="AC3945" s="1"/>
      <c r="AD3945" s="1"/>
      <c r="AE3945" s="1"/>
      <c r="AF3945" s="1"/>
      <c r="AG3945" s="1"/>
      <c r="AH3945" s="1"/>
      <c r="AI3945" s="1"/>
      <c r="AJ3945" s="1"/>
      <c r="AK3945" s="1"/>
      <c r="AL3945" s="1"/>
      <c r="AM3945" s="1"/>
    </row>
    <row r="3946" spans="16:39" x14ac:dyDescent="0.25">
      <c r="P3946" s="49"/>
      <c r="Q3946" s="1"/>
      <c r="S3946" s="1"/>
      <c r="T3946" s="1"/>
      <c r="U3946" s="1"/>
      <c r="V3946" s="1"/>
      <c r="W3946" s="1"/>
      <c r="X3946" s="1"/>
      <c r="Y3946" s="1"/>
      <c r="AB3946" s="1"/>
      <c r="AC3946" s="1"/>
      <c r="AD3946" s="1"/>
      <c r="AE3946" s="1"/>
      <c r="AF3946" s="1"/>
      <c r="AG3946" s="1"/>
      <c r="AH3946" s="1"/>
      <c r="AI3946" s="1"/>
      <c r="AJ3946" s="1"/>
      <c r="AK3946" s="1"/>
      <c r="AL3946" s="1"/>
      <c r="AM3946" s="1"/>
    </row>
    <row r="3947" spans="16:39" x14ac:dyDescent="0.25">
      <c r="P3947" s="49"/>
      <c r="Q3947" s="1"/>
      <c r="S3947" s="1"/>
      <c r="T3947" s="1"/>
      <c r="U3947" s="1"/>
      <c r="V3947" s="1"/>
      <c r="W3947" s="1"/>
      <c r="X3947" s="1"/>
      <c r="Y3947" s="1"/>
      <c r="AB3947" s="1"/>
      <c r="AC3947" s="1"/>
      <c r="AD3947" s="1"/>
      <c r="AE3947" s="1"/>
      <c r="AF3947" s="1"/>
      <c r="AG3947" s="1"/>
      <c r="AH3947" s="1"/>
      <c r="AI3947" s="1"/>
      <c r="AJ3947" s="1"/>
      <c r="AK3947" s="1"/>
      <c r="AL3947" s="1"/>
      <c r="AM3947" s="1"/>
    </row>
    <row r="3948" spans="16:39" x14ac:dyDescent="0.25">
      <c r="P3948" s="49"/>
      <c r="Q3948" s="1"/>
      <c r="S3948" s="1"/>
      <c r="T3948" s="1"/>
      <c r="U3948" s="1"/>
      <c r="V3948" s="1"/>
      <c r="W3948" s="1"/>
      <c r="X3948" s="1"/>
      <c r="Y3948" s="1"/>
      <c r="AB3948" s="1"/>
      <c r="AC3948" s="1"/>
      <c r="AD3948" s="1"/>
      <c r="AE3948" s="1"/>
      <c r="AF3948" s="1"/>
      <c r="AG3948" s="1"/>
      <c r="AH3948" s="1"/>
      <c r="AI3948" s="1"/>
      <c r="AJ3948" s="1"/>
      <c r="AK3948" s="1"/>
      <c r="AL3948" s="1"/>
      <c r="AM3948" s="1"/>
    </row>
    <row r="3949" spans="16:39" x14ac:dyDescent="0.25">
      <c r="P3949" s="49"/>
      <c r="Q3949" s="1"/>
      <c r="S3949" s="1"/>
      <c r="T3949" s="1"/>
      <c r="U3949" s="1"/>
      <c r="V3949" s="1"/>
      <c r="W3949" s="1"/>
      <c r="X3949" s="1"/>
      <c r="Y3949" s="1"/>
      <c r="AB3949" s="1"/>
      <c r="AC3949" s="1"/>
      <c r="AD3949" s="1"/>
      <c r="AE3949" s="1"/>
      <c r="AF3949" s="1"/>
      <c r="AG3949" s="1"/>
      <c r="AH3949" s="1"/>
      <c r="AI3949" s="1"/>
      <c r="AJ3949" s="1"/>
      <c r="AK3949" s="1"/>
      <c r="AL3949" s="1"/>
      <c r="AM3949" s="1"/>
    </row>
    <row r="3950" spans="16:39" x14ac:dyDescent="0.25">
      <c r="P3950" s="49"/>
      <c r="Q3950" s="1"/>
      <c r="S3950" s="1"/>
      <c r="T3950" s="1"/>
      <c r="U3950" s="1"/>
      <c r="V3950" s="1"/>
      <c r="W3950" s="1"/>
      <c r="X3950" s="1"/>
      <c r="Y3950" s="1"/>
      <c r="AB3950" s="1"/>
      <c r="AC3950" s="1"/>
      <c r="AD3950" s="1"/>
      <c r="AE3950" s="1"/>
      <c r="AF3950" s="1"/>
      <c r="AG3950" s="1"/>
      <c r="AH3950" s="1"/>
      <c r="AI3950" s="1"/>
      <c r="AJ3950" s="1"/>
      <c r="AK3950" s="1"/>
      <c r="AL3950" s="1"/>
      <c r="AM3950" s="1"/>
    </row>
    <row r="3951" spans="16:39" x14ac:dyDescent="0.25">
      <c r="P3951" s="49"/>
      <c r="Q3951" s="1"/>
      <c r="S3951" s="1"/>
      <c r="T3951" s="1"/>
      <c r="U3951" s="1"/>
      <c r="V3951" s="1"/>
      <c r="W3951" s="1"/>
      <c r="X3951" s="1"/>
      <c r="Y3951" s="1"/>
      <c r="AB3951" s="1"/>
      <c r="AC3951" s="1"/>
      <c r="AD3951" s="1"/>
      <c r="AE3951" s="1"/>
      <c r="AF3951" s="1"/>
      <c r="AG3951" s="1"/>
      <c r="AH3951" s="1"/>
      <c r="AI3951" s="1"/>
      <c r="AJ3951" s="1"/>
      <c r="AK3951" s="1"/>
      <c r="AL3951" s="1"/>
      <c r="AM3951" s="1"/>
    </row>
    <row r="3952" spans="16:39" x14ac:dyDescent="0.25">
      <c r="P3952" s="49"/>
      <c r="Q3952" s="1"/>
      <c r="S3952" s="1"/>
      <c r="T3952" s="1"/>
      <c r="U3952" s="1"/>
      <c r="V3952" s="1"/>
      <c r="W3952" s="1"/>
      <c r="X3952" s="1"/>
      <c r="Y3952" s="1"/>
      <c r="AB3952" s="1"/>
      <c r="AC3952" s="1"/>
      <c r="AD3952" s="1"/>
      <c r="AE3952" s="1"/>
      <c r="AF3952" s="1"/>
      <c r="AG3952" s="1"/>
      <c r="AH3952" s="1"/>
      <c r="AI3952" s="1"/>
      <c r="AJ3952" s="1"/>
      <c r="AK3952" s="1"/>
      <c r="AL3952" s="1"/>
      <c r="AM3952" s="1"/>
    </row>
    <row r="3953" spans="16:39" x14ac:dyDescent="0.25">
      <c r="P3953" s="49"/>
      <c r="Q3953" s="1"/>
      <c r="S3953" s="1"/>
      <c r="T3953" s="1"/>
      <c r="U3953" s="1"/>
      <c r="V3953" s="1"/>
      <c r="W3953" s="1"/>
      <c r="X3953" s="1"/>
      <c r="Y3953" s="1"/>
      <c r="AB3953" s="1"/>
      <c r="AC3953" s="1"/>
      <c r="AD3953" s="1"/>
      <c r="AE3953" s="1"/>
      <c r="AF3953" s="1"/>
      <c r="AG3953" s="1"/>
      <c r="AH3953" s="1"/>
      <c r="AI3953" s="1"/>
      <c r="AJ3953" s="1"/>
      <c r="AK3953" s="1"/>
      <c r="AL3953" s="1"/>
      <c r="AM3953" s="1"/>
    </row>
    <row r="3954" spans="16:39" x14ac:dyDescent="0.25">
      <c r="P3954" s="49"/>
      <c r="Q3954" s="1"/>
      <c r="S3954" s="1"/>
      <c r="T3954" s="1"/>
      <c r="U3954" s="1"/>
      <c r="V3954" s="1"/>
      <c r="W3954" s="1"/>
      <c r="X3954" s="1"/>
      <c r="Y3954" s="1"/>
      <c r="AB3954" s="1"/>
      <c r="AC3954" s="1"/>
      <c r="AD3954" s="1"/>
      <c r="AE3954" s="1"/>
      <c r="AF3954" s="1"/>
      <c r="AG3954" s="1"/>
      <c r="AH3954" s="1"/>
      <c r="AI3954" s="1"/>
      <c r="AJ3954" s="1"/>
      <c r="AK3954" s="1"/>
      <c r="AL3954" s="1"/>
      <c r="AM3954" s="1"/>
    </row>
    <row r="3955" spans="16:39" x14ac:dyDescent="0.25">
      <c r="P3955" s="49"/>
      <c r="Q3955" s="1"/>
      <c r="S3955" s="1"/>
      <c r="T3955" s="1"/>
      <c r="U3955" s="1"/>
      <c r="V3955" s="1"/>
      <c r="W3955" s="1"/>
      <c r="X3955" s="1"/>
      <c r="Y3955" s="1"/>
      <c r="AB3955" s="1"/>
      <c r="AC3955" s="1"/>
      <c r="AD3955" s="1"/>
      <c r="AE3955" s="1"/>
      <c r="AF3955" s="1"/>
      <c r="AG3955" s="1"/>
      <c r="AH3955" s="1"/>
      <c r="AI3955" s="1"/>
      <c r="AJ3955" s="1"/>
      <c r="AK3955" s="1"/>
      <c r="AL3955" s="1"/>
      <c r="AM3955" s="1"/>
    </row>
    <row r="3956" spans="16:39" x14ac:dyDescent="0.25">
      <c r="P3956" s="49"/>
      <c r="Q3956" s="1"/>
      <c r="S3956" s="1"/>
      <c r="T3956" s="1"/>
      <c r="U3956" s="1"/>
      <c r="V3956" s="1"/>
      <c r="W3956" s="1"/>
      <c r="X3956" s="1"/>
      <c r="Y3956" s="1"/>
      <c r="AB3956" s="1"/>
      <c r="AC3956" s="1"/>
      <c r="AD3956" s="1"/>
      <c r="AE3956" s="1"/>
      <c r="AF3956" s="1"/>
      <c r="AG3956" s="1"/>
      <c r="AH3956" s="1"/>
      <c r="AI3956" s="1"/>
      <c r="AJ3956" s="1"/>
      <c r="AK3956" s="1"/>
      <c r="AL3956" s="1"/>
      <c r="AM3956" s="1"/>
    </row>
    <row r="3957" spans="16:39" x14ac:dyDescent="0.25">
      <c r="P3957" s="49"/>
      <c r="Q3957" s="1"/>
      <c r="S3957" s="1"/>
      <c r="T3957" s="1"/>
      <c r="U3957" s="1"/>
      <c r="V3957" s="1"/>
      <c r="W3957" s="1"/>
      <c r="X3957" s="1"/>
      <c r="Y3957" s="1"/>
      <c r="AB3957" s="1"/>
      <c r="AC3957" s="1"/>
      <c r="AD3957" s="1"/>
      <c r="AE3957" s="1"/>
      <c r="AF3957" s="1"/>
      <c r="AG3957" s="1"/>
      <c r="AH3957" s="1"/>
      <c r="AI3957" s="1"/>
      <c r="AJ3957" s="1"/>
      <c r="AK3957" s="1"/>
      <c r="AL3957" s="1"/>
      <c r="AM3957" s="1"/>
    </row>
    <row r="3958" spans="16:39" x14ac:dyDescent="0.25">
      <c r="P3958" s="49"/>
      <c r="Q3958" s="1"/>
      <c r="S3958" s="1"/>
      <c r="T3958" s="1"/>
      <c r="U3958" s="1"/>
      <c r="V3958" s="1"/>
      <c r="W3958" s="1"/>
      <c r="X3958" s="1"/>
      <c r="Y3958" s="1"/>
      <c r="AB3958" s="1"/>
      <c r="AC3958" s="1"/>
      <c r="AD3958" s="1"/>
      <c r="AE3958" s="1"/>
      <c r="AF3958" s="1"/>
      <c r="AG3958" s="1"/>
      <c r="AH3958" s="1"/>
      <c r="AI3958" s="1"/>
      <c r="AJ3958" s="1"/>
      <c r="AK3958" s="1"/>
      <c r="AL3958" s="1"/>
      <c r="AM3958" s="1"/>
    </row>
    <row r="3959" spans="16:39" x14ac:dyDescent="0.25">
      <c r="P3959" s="49"/>
      <c r="Q3959" s="1"/>
      <c r="S3959" s="1"/>
      <c r="T3959" s="1"/>
      <c r="U3959" s="1"/>
      <c r="V3959" s="1"/>
      <c r="W3959" s="1"/>
      <c r="X3959" s="1"/>
      <c r="Y3959" s="1"/>
      <c r="AB3959" s="1"/>
      <c r="AC3959" s="1"/>
      <c r="AD3959" s="1"/>
      <c r="AE3959" s="1"/>
      <c r="AF3959" s="1"/>
      <c r="AG3959" s="1"/>
      <c r="AH3959" s="1"/>
      <c r="AI3959" s="1"/>
      <c r="AJ3959" s="1"/>
      <c r="AK3959" s="1"/>
      <c r="AL3959" s="1"/>
      <c r="AM3959" s="1"/>
    </row>
    <row r="3960" spans="16:39" x14ac:dyDescent="0.25">
      <c r="P3960" s="49"/>
      <c r="Q3960" s="1"/>
      <c r="S3960" s="1"/>
      <c r="T3960" s="1"/>
      <c r="U3960" s="1"/>
      <c r="V3960" s="1"/>
      <c r="W3960" s="1"/>
      <c r="X3960" s="1"/>
      <c r="Y3960" s="1"/>
      <c r="AB3960" s="1"/>
      <c r="AC3960" s="1"/>
      <c r="AD3960" s="1"/>
      <c r="AE3960" s="1"/>
      <c r="AF3960" s="1"/>
      <c r="AG3960" s="1"/>
      <c r="AH3960" s="1"/>
      <c r="AI3960" s="1"/>
      <c r="AJ3960" s="1"/>
      <c r="AK3960" s="1"/>
      <c r="AL3960" s="1"/>
      <c r="AM3960" s="1"/>
    </row>
    <row r="3961" spans="16:39" x14ac:dyDescent="0.25">
      <c r="P3961" s="49"/>
      <c r="Q3961" s="1"/>
      <c r="S3961" s="1"/>
      <c r="T3961" s="1"/>
      <c r="U3961" s="1"/>
      <c r="V3961" s="1"/>
      <c r="W3961" s="1"/>
      <c r="X3961" s="1"/>
      <c r="Y3961" s="1"/>
      <c r="AB3961" s="1"/>
      <c r="AC3961" s="1"/>
      <c r="AD3961" s="1"/>
      <c r="AE3961" s="1"/>
      <c r="AF3961" s="1"/>
      <c r="AG3961" s="1"/>
      <c r="AH3961" s="1"/>
      <c r="AI3961" s="1"/>
      <c r="AJ3961" s="1"/>
      <c r="AK3961" s="1"/>
      <c r="AL3961" s="1"/>
      <c r="AM3961" s="1"/>
    </row>
    <row r="3962" spans="16:39" x14ac:dyDescent="0.25">
      <c r="P3962" s="49"/>
      <c r="Q3962" s="1"/>
      <c r="S3962" s="1"/>
      <c r="T3962" s="1"/>
      <c r="U3962" s="1"/>
      <c r="V3962" s="1"/>
      <c r="W3962" s="1"/>
      <c r="X3962" s="1"/>
      <c r="Y3962" s="1"/>
      <c r="AB3962" s="1"/>
      <c r="AC3962" s="1"/>
      <c r="AD3962" s="1"/>
      <c r="AE3962" s="1"/>
      <c r="AF3962" s="1"/>
      <c r="AG3962" s="1"/>
      <c r="AH3962" s="1"/>
      <c r="AI3962" s="1"/>
      <c r="AJ3962" s="1"/>
      <c r="AK3962" s="1"/>
      <c r="AL3962" s="1"/>
      <c r="AM3962" s="1"/>
    </row>
    <row r="3963" spans="16:39" x14ac:dyDescent="0.25">
      <c r="P3963" s="49"/>
      <c r="Q3963" s="1"/>
      <c r="S3963" s="1"/>
      <c r="T3963" s="1"/>
      <c r="U3963" s="1"/>
      <c r="V3963" s="1"/>
      <c r="W3963" s="1"/>
      <c r="X3963" s="1"/>
      <c r="Y3963" s="1"/>
      <c r="AB3963" s="1"/>
      <c r="AC3963" s="1"/>
      <c r="AD3963" s="1"/>
      <c r="AE3963" s="1"/>
      <c r="AF3963" s="1"/>
      <c r="AG3963" s="1"/>
      <c r="AH3963" s="1"/>
      <c r="AI3963" s="1"/>
      <c r="AJ3963" s="1"/>
      <c r="AK3963" s="1"/>
      <c r="AL3963" s="1"/>
      <c r="AM3963" s="1"/>
    </row>
    <row r="3964" spans="16:39" x14ac:dyDescent="0.25">
      <c r="P3964" s="49"/>
      <c r="Q3964" s="1"/>
      <c r="S3964" s="1"/>
      <c r="T3964" s="1"/>
      <c r="U3964" s="1"/>
      <c r="V3964" s="1"/>
      <c r="W3964" s="1"/>
      <c r="X3964" s="1"/>
      <c r="Y3964" s="1"/>
      <c r="AB3964" s="1"/>
      <c r="AC3964" s="1"/>
      <c r="AD3964" s="1"/>
      <c r="AE3964" s="1"/>
      <c r="AF3964" s="1"/>
      <c r="AG3964" s="1"/>
      <c r="AH3964" s="1"/>
      <c r="AI3964" s="1"/>
      <c r="AJ3964" s="1"/>
      <c r="AK3964" s="1"/>
      <c r="AL3964" s="1"/>
      <c r="AM3964" s="1"/>
    </row>
    <row r="3965" spans="16:39" x14ac:dyDescent="0.25">
      <c r="P3965" s="49"/>
      <c r="Q3965" s="1"/>
      <c r="S3965" s="1"/>
      <c r="T3965" s="1"/>
      <c r="U3965" s="1"/>
      <c r="V3965" s="1"/>
      <c r="W3965" s="1"/>
      <c r="X3965" s="1"/>
      <c r="Y3965" s="1"/>
      <c r="AB3965" s="1"/>
      <c r="AC3965" s="1"/>
      <c r="AD3965" s="1"/>
      <c r="AE3965" s="1"/>
      <c r="AF3965" s="1"/>
      <c r="AG3965" s="1"/>
      <c r="AH3965" s="1"/>
      <c r="AI3965" s="1"/>
      <c r="AJ3965" s="1"/>
      <c r="AK3965" s="1"/>
      <c r="AL3965" s="1"/>
      <c r="AM3965" s="1"/>
    </row>
    <row r="3966" spans="16:39" x14ac:dyDescent="0.25">
      <c r="P3966" s="49"/>
      <c r="Q3966" s="1"/>
      <c r="S3966" s="1"/>
      <c r="T3966" s="1"/>
      <c r="U3966" s="1"/>
      <c r="V3966" s="1"/>
      <c r="W3966" s="1"/>
      <c r="X3966" s="1"/>
      <c r="Y3966" s="1"/>
      <c r="AB3966" s="1"/>
      <c r="AC3966" s="1"/>
      <c r="AD3966" s="1"/>
      <c r="AE3966" s="1"/>
      <c r="AF3966" s="1"/>
      <c r="AG3966" s="1"/>
      <c r="AH3966" s="1"/>
      <c r="AI3966" s="1"/>
      <c r="AJ3966" s="1"/>
      <c r="AK3966" s="1"/>
      <c r="AL3966" s="1"/>
      <c r="AM3966" s="1"/>
    </row>
    <row r="3967" spans="16:39" x14ac:dyDescent="0.25">
      <c r="P3967" s="49"/>
      <c r="Q3967" s="1"/>
      <c r="S3967" s="1"/>
      <c r="T3967" s="1"/>
      <c r="U3967" s="1"/>
      <c r="V3967" s="1"/>
      <c r="W3967" s="1"/>
      <c r="X3967" s="1"/>
      <c r="Y3967" s="1"/>
      <c r="AB3967" s="1"/>
      <c r="AC3967" s="1"/>
      <c r="AD3967" s="1"/>
      <c r="AE3967" s="1"/>
      <c r="AF3967" s="1"/>
      <c r="AG3967" s="1"/>
      <c r="AH3967" s="1"/>
      <c r="AI3967" s="1"/>
      <c r="AJ3967" s="1"/>
      <c r="AK3967" s="1"/>
      <c r="AL3967" s="1"/>
      <c r="AM3967" s="1"/>
    </row>
    <row r="3968" spans="16:39" x14ac:dyDescent="0.25">
      <c r="P3968" s="49"/>
      <c r="Q3968" s="1"/>
      <c r="S3968" s="1"/>
      <c r="T3968" s="1"/>
      <c r="U3968" s="1"/>
      <c r="V3968" s="1"/>
      <c r="W3968" s="1"/>
      <c r="X3968" s="1"/>
      <c r="Y3968" s="1"/>
      <c r="AB3968" s="1"/>
      <c r="AC3968" s="1"/>
      <c r="AD3968" s="1"/>
      <c r="AE3968" s="1"/>
      <c r="AF3968" s="1"/>
      <c r="AG3968" s="1"/>
      <c r="AH3968" s="1"/>
      <c r="AI3968" s="1"/>
      <c r="AJ3968" s="1"/>
      <c r="AK3968" s="1"/>
      <c r="AL3968" s="1"/>
      <c r="AM3968" s="1"/>
    </row>
    <row r="3969" spans="16:39" x14ac:dyDescent="0.25">
      <c r="P3969" s="49"/>
      <c r="Q3969" s="1"/>
      <c r="S3969" s="1"/>
      <c r="T3969" s="1"/>
      <c r="U3969" s="1"/>
      <c r="V3969" s="1"/>
      <c r="W3969" s="1"/>
      <c r="X3969" s="1"/>
      <c r="Y3969" s="1"/>
      <c r="AB3969" s="1"/>
      <c r="AC3969" s="1"/>
      <c r="AD3969" s="1"/>
      <c r="AE3969" s="1"/>
      <c r="AF3969" s="1"/>
      <c r="AG3969" s="1"/>
      <c r="AH3969" s="1"/>
      <c r="AI3969" s="1"/>
      <c r="AJ3969" s="1"/>
      <c r="AK3969" s="1"/>
      <c r="AL3969" s="1"/>
      <c r="AM3969" s="1"/>
    </row>
    <row r="3970" spans="16:39" x14ac:dyDescent="0.25">
      <c r="P3970" s="49"/>
      <c r="Q3970" s="1"/>
      <c r="S3970" s="1"/>
      <c r="T3970" s="1"/>
      <c r="U3970" s="1"/>
      <c r="V3970" s="1"/>
      <c r="W3970" s="1"/>
      <c r="X3970" s="1"/>
      <c r="Y3970" s="1"/>
      <c r="AB3970" s="1"/>
      <c r="AC3970" s="1"/>
      <c r="AD3970" s="1"/>
      <c r="AE3970" s="1"/>
      <c r="AF3970" s="1"/>
      <c r="AG3970" s="1"/>
      <c r="AH3970" s="1"/>
      <c r="AI3970" s="1"/>
      <c r="AJ3970" s="1"/>
      <c r="AK3970" s="1"/>
      <c r="AL3970" s="1"/>
      <c r="AM3970" s="1"/>
    </row>
    <row r="3971" spans="16:39" x14ac:dyDescent="0.25">
      <c r="P3971" s="49"/>
      <c r="Q3971" s="1"/>
      <c r="S3971" s="1"/>
      <c r="T3971" s="1"/>
      <c r="U3971" s="1"/>
      <c r="V3971" s="1"/>
      <c r="W3971" s="1"/>
      <c r="X3971" s="1"/>
      <c r="Y3971" s="1"/>
      <c r="AB3971" s="1"/>
      <c r="AC3971" s="1"/>
      <c r="AD3971" s="1"/>
      <c r="AE3971" s="1"/>
      <c r="AF3971" s="1"/>
      <c r="AG3971" s="1"/>
      <c r="AH3971" s="1"/>
      <c r="AI3971" s="1"/>
      <c r="AJ3971" s="1"/>
      <c r="AK3971" s="1"/>
      <c r="AL3971" s="1"/>
      <c r="AM3971" s="1"/>
    </row>
    <row r="3972" spans="16:39" x14ac:dyDescent="0.25">
      <c r="P3972" s="49"/>
      <c r="Q3972" s="1"/>
      <c r="S3972" s="1"/>
      <c r="T3972" s="1"/>
      <c r="U3972" s="1"/>
      <c r="V3972" s="1"/>
      <c r="W3972" s="1"/>
      <c r="X3972" s="1"/>
      <c r="Y3972" s="1"/>
      <c r="AB3972" s="1"/>
      <c r="AC3972" s="1"/>
      <c r="AD3972" s="1"/>
      <c r="AE3972" s="1"/>
      <c r="AF3972" s="1"/>
      <c r="AG3972" s="1"/>
      <c r="AH3972" s="1"/>
      <c r="AI3972" s="1"/>
      <c r="AJ3972" s="1"/>
      <c r="AK3972" s="1"/>
      <c r="AL3972" s="1"/>
      <c r="AM3972" s="1"/>
    </row>
    <row r="3973" spans="16:39" x14ac:dyDescent="0.25">
      <c r="P3973" s="49"/>
      <c r="Q3973" s="1"/>
      <c r="S3973" s="1"/>
      <c r="T3973" s="1"/>
      <c r="U3973" s="1"/>
      <c r="V3973" s="1"/>
      <c r="W3973" s="1"/>
      <c r="X3973" s="1"/>
      <c r="Y3973" s="1"/>
      <c r="AB3973" s="1"/>
      <c r="AC3973" s="1"/>
      <c r="AD3973" s="1"/>
      <c r="AE3973" s="1"/>
      <c r="AF3973" s="1"/>
      <c r="AG3973" s="1"/>
      <c r="AH3973" s="1"/>
      <c r="AI3973" s="1"/>
      <c r="AJ3973" s="1"/>
      <c r="AK3973" s="1"/>
      <c r="AL3973" s="1"/>
      <c r="AM3973" s="1"/>
    </row>
    <row r="3974" spans="16:39" x14ac:dyDescent="0.25">
      <c r="P3974" s="49"/>
      <c r="Q3974" s="1"/>
      <c r="S3974" s="1"/>
      <c r="T3974" s="1"/>
      <c r="U3974" s="1"/>
      <c r="V3974" s="1"/>
      <c r="W3974" s="1"/>
      <c r="X3974" s="1"/>
      <c r="Y3974" s="1"/>
      <c r="AB3974" s="1"/>
      <c r="AC3974" s="1"/>
      <c r="AD3974" s="1"/>
      <c r="AE3974" s="1"/>
      <c r="AF3974" s="1"/>
      <c r="AG3974" s="1"/>
      <c r="AH3974" s="1"/>
      <c r="AI3974" s="1"/>
      <c r="AJ3974" s="1"/>
      <c r="AK3974" s="1"/>
      <c r="AL3974" s="1"/>
      <c r="AM3974" s="1"/>
    </row>
    <row r="3975" spans="16:39" x14ac:dyDescent="0.25">
      <c r="P3975" s="49"/>
      <c r="Q3975" s="1"/>
      <c r="S3975" s="1"/>
      <c r="T3975" s="1"/>
      <c r="U3975" s="1"/>
      <c r="V3975" s="1"/>
      <c r="W3975" s="1"/>
      <c r="X3975" s="1"/>
      <c r="Y3975" s="1"/>
      <c r="AB3975" s="1"/>
      <c r="AC3975" s="1"/>
      <c r="AD3975" s="1"/>
      <c r="AE3975" s="1"/>
      <c r="AF3975" s="1"/>
      <c r="AG3975" s="1"/>
      <c r="AH3975" s="1"/>
      <c r="AI3975" s="1"/>
      <c r="AJ3975" s="1"/>
      <c r="AK3975" s="1"/>
      <c r="AL3975" s="1"/>
      <c r="AM3975" s="1"/>
    </row>
    <row r="3976" spans="16:39" x14ac:dyDescent="0.25">
      <c r="P3976" s="49"/>
      <c r="Q3976" s="1"/>
      <c r="S3976" s="1"/>
      <c r="T3976" s="1"/>
      <c r="U3976" s="1"/>
      <c r="V3976" s="1"/>
      <c r="W3976" s="1"/>
      <c r="X3976" s="1"/>
      <c r="Y3976" s="1"/>
      <c r="AB3976" s="1"/>
      <c r="AC3976" s="1"/>
      <c r="AD3976" s="1"/>
      <c r="AE3976" s="1"/>
      <c r="AF3976" s="1"/>
      <c r="AG3976" s="1"/>
      <c r="AH3976" s="1"/>
      <c r="AI3976" s="1"/>
      <c r="AJ3976" s="1"/>
      <c r="AK3976" s="1"/>
      <c r="AL3976" s="1"/>
      <c r="AM3976" s="1"/>
    </row>
    <row r="3977" spans="16:39" x14ac:dyDescent="0.25">
      <c r="P3977" s="49"/>
      <c r="Q3977" s="1"/>
      <c r="S3977" s="1"/>
      <c r="T3977" s="1"/>
      <c r="U3977" s="1"/>
      <c r="V3977" s="1"/>
      <c r="W3977" s="1"/>
      <c r="X3977" s="1"/>
      <c r="Y3977" s="1"/>
      <c r="AB3977" s="1"/>
      <c r="AC3977" s="1"/>
      <c r="AD3977" s="1"/>
      <c r="AE3977" s="1"/>
      <c r="AF3977" s="1"/>
      <c r="AG3977" s="1"/>
      <c r="AH3977" s="1"/>
      <c r="AI3977" s="1"/>
      <c r="AJ3977" s="1"/>
      <c r="AK3977" s="1"/>
      <c r="AL3977" s="1"/>
      <c r="AM3977" s="1"/>
    </row>
    <row r="3978" spans="16:39" x14ac:dyDescent="0.25">
      <c r="P3978" s="49"/>
      <c r="Q3978" s="1"/>
      <c r="S3978" s="1"/>
      <c r="T3978" s="1"/>
      <c r="U3978" s="1"/>
      <c r="V3978" s="1"/>
      <c r="W3978" s="1"/>
      <c r="X3978" s="1"/>
      <c r="Y3978" s="1"/>
      <c r="AB3978" s="1"/>
      <c r="AC3978" s="1"/>
      <c r="AD3978" s="1"/>
      <c r="AE3978" s="1"/>
      <c r="AF3978" s="1"/>
      <c r="AG3978" s="1"/>
      <c r="AH3978" s="1"/>
      <c r="AI3978" s="1"/>
      <c r="AJ3978" s="1"/>
      <c r="AK3978" s="1"/>
      <c r="AL3978" s="1"/>
      <c r="AM3978" s="1"/>
    </row>
    <row r="3979" spans="16:39" x14ac:dyDescent="0.25">
      <c r="P3979" s="49"/>
      <c r="Q3979" s="1"/>
      <c r="S3979" s="1"/>
      <c r="T3979" s="1"/>
      <c r="U3979" s="1"/>
      <c r="V3979" s="1"/>
      <c r="W3979" s="1"/>
      <c r="X3979" s="1"/>
      <c r="Y3979" s="1"/>
      <c r="AB3979" s="1"/>
      <c r="AC3979" s="1"/>
      <c r="AD3979" s="1"/>
      <c r="AE3979" s="1"/>
      <c r="AF3979" s="1"/>
      <c r="AG3979" s="1"/>
      <c r="AH3979" s="1"/>
      <c r="AI3979" s="1"/>
      <c r="AJ3979" s="1"/>
      <c r="AK3979" s="1"/>
      <c r="AL3979" s="1"/>
      <c r="AM3979" s="1"/>
    </row>
    <row r="3980" spans="16:39" x14ac:dyDescent="0.25">
      <c r="P3980" s="49"/>
      <c r="Q3980" s="1"/>
      <c r="S3980" s="1"/>
      <c r="T3980" s="1"/>
      <c r="U3980" s="1"/>
      <c r="V3980" s="1"/>
      <c r="W3980" s="1"/>
      <c r="X3980" s="1"/>
      <c r="Y3980" s="1"/>
      <c r="AB3980" s="1"/>
      <c r="AC3980" s="1"/>
      <c r="AD3980" s="1"/>
      <c r="AE3980" s="1"/>
      <c r="AF3980" s="1"/>
      <c r="AG3980" s="1"/>
      <c r="AH3980" s="1"/>
      <c r="AI3980" s="1"/>
      <c r="AJ3980" s="1"/>
      <c r="AK3980" s="1"/>
      <c r="AL3980" s="1"/>
      <c r="AM3980" s="1"/>
    </row>
    <row r="3981" spans="16:39" x14ac:dyDescent="0.25">
      <c r="P3981" s="49"/>
      <c r="Q3981" s="1"/>
      <c r="S3981" s="1"/>
      <c r="T3981" s="1"/>
      <c r="U3981" s="1"/>
      <c r="V3981" s="1"/>
      <c r="W3981" s="1"/>
      <c r="X3981" s="1"/>
      <c r="Y3981" s="1"/>
      <c r="AB3981" s="1"/>
      <c r="AC3981" s="1"/>
      <c r="AD3981" s="1"/>
      <c r="AE3981" s="1"/>
      <c r="AF3981" s="1"/>
      <c r="AG3981" s="1"/>
      <c r="AH3981" s="1"/>
      <c r="AI3981" s="1"/>
      <c r="AJ3981" s="1"/>
      <c r="AK3981" s="1"/>
      <c r="AL3981" s="1"/>
      <c r="AM3981" s="1"/>
    </row>
    <row r="3982" spans="16:39" x14ac:dyDescent="0.25">
      <c r="P3982" s="49"/>
      <c r="Q3982" s="1"/>
      <c r="S3982" s="1"/>
      <c r="T3982" s="1"/>
      <c r="U3982" s="1"/>
      <c r="V3982" s="1"/>
      <c r="W3982" s="1"/>
      <c r="X3982" s="1"/>
      <c r="Y3982" s="1"/>
      <c r="AB3982" s="1"/>
      <c r="AC3982" s="1"/>
      <c r="AD3982" s="1"/>
      <c r="AE3982" s="1"/>
      <c r="AF3982" s="1"/>
      <c r="AG3982" s="1"/>
      <c r="AH3982" s="1"/>
      <c r="AI3982" s="1"/>
      <c r="AJ3982" s="1"/>
      <c r="AK3982" s="1"/>
      <c r="AL3982" s="1"/>
      <c r="AM3982" s="1"/>
    </row>
    <row r="3983" spans="16:39" x14ac:dyDescent="0.25">
      <c r="P3983" s="49"/>
      <c r="Q3983" s="1"/>
      <c r="S3983" s="1"/>
      <c r="T3983" s="1"/>
      <c r="U3983" s="1"/>
      <c r="V3983" s="1"/>
      <c r="W3983" s="1"/>
      <c r="X3983" s="1"/>
      <c r="Y3983" s="1"/>
      <c r="AB3983" s="1"/>
      <c r="AC3983" s="1"/>
      <c r="AD3983" s="1"/>
      <c r="AE3983" s="1"/>
      <c r="AF3983" s="1"/>
      <c r="AG3983" s="1"/>
      <c r="AH3983" s="1"/>
      <c r="AI3983" s="1"/>
      <c r="AJ3983" s="1"/>
      <c r="AK3983" s="1"/>
      <c r="AL3983" s="1"/>
      <c r="AM3983" s="1"/>
    </row>
    <row r="3984" spans="16:39" x14ac:dyDescent="0.25">
      <c r="P3984" s="49"/>
      <c r="Q3984" s="1"/>
      <c r="S3984" s="1"/>
      <c r="T3984" s="1"/>
      <c r="U3984" s="1"/>
      <c r="V3984" s="1"/>
      <c r="W3984" s="1"/>
      <c r="X3984" s="1"/>
      <c r="Y3984" s="1"/>
      <c r="AB3984" s="1"/>
      <c r="AC3984" s="1"/>
      <c r="AD3984" s="1"/>
      <c r="AE3984" s="1"/>
      <c r="AF3984" s="1"/>
      <c r="AG3984" s="1"/>
      <c r="AH3984" s="1"/>
      <c r="AI3984" s="1"/>
      <c r="AJ3984" s="1"/>
      <c r="AK3984" s="1"/>
      <c r="AL3984" s="1"/>
      <c r="AM3984" s="1"/>
    </row>
    <row r="3985" spans="16:39" x14ac:dyDescent="0.25">
      <c r="P3985" s="49"/>
      <c r="Q3985" s="1"/>
      <c r="S3985" s="1"/>
      <c r="T3985" s="1"/>
      <c r="U3985" s="1"/>
      <c r="V3985" s="1"/>
      <c r="W3985" s="1"/>
      <c r="X3985" s="1"/>
      <c r="Y3985" s="1"/>
      <c r="AB3985" s="1"/>
      <c r="AC3985" s="1"/>
      <c r="AD3985" s="1"/>
      <c r="AE3985" s="1"/>
      <c r="AF3985" s="1"/>
      <c r="AG3985" s="1"/>
      <c r="AH3985" s="1"/>
      <c r="AI3985" s="1"/>
      <c r="AJ3985" s="1"/>
      <c r="AK3985" s="1"/>
      <c r="AL3985" s="1"/>
      <c r="AM3985" s="1"/>
    </row>
    <row r="3986" spans="16:39" x14ac:dyDescent="0.25">
      <c r="P3986" s="49"/>
      <c r="Q3986" s="1"/>
      <c r="S3986" s="1"/>
      <c r="T3986" s="1"/>
      <c r="U3986" s="1"/>
      <c r="V3986" s="1"/>
      <c r="W3986" s="1"/>
      <c r="X3986" s="1"/>
      <c r="Y3986" s="1"/>
      <c r="AB3986" s="1"/>
      <c r="AC3986" s="1"/>
      <c r="AD3986" s="1"/>
      <c r="AE3986" s="1"/>
      <c r="AF3986" s="1"/>
      <c r="AG3986" s="1"/>
      <c r="AH3986" s="1"/>
      <c r="AI3986" s="1"/>
      <c r="AJ3986" s="1"/>
      <c r="AK3986" s="1"/>
      <c r="AL3986" s="1"/>
      <c r="AM3986" s="1"/>
    </row>
    <row r="3987" spans="16:39" x14ac:dyDescent="0.25">
      <c r="P3987" s="49"/>
      <c r="Q3987" s="1"/>
      <c r="S3987" s="1"/>
      <c r="T3987" s="1"/>
      <c r="U3987" s="1"/>
      <c r="V3987" s="1"/>
      <c r="W3987" s="1"/>
      <c r="X3987" s="1"/>
      <c r="Y3987" s="1"/>
      <c r="AB3987" s="1"/>
      <c r="AC3987" s="1"/>
      <c r="AD3987" s="1"/>
      <c r="AE3987" s="1"/>
      <c r="AF3987" s="1"/>
      <c r="AG3987" s="1"/>
      <c r="AH3987" s="1"/>
      <c r="AI3987" s="1"/>
      <c r="AJ3987" s="1"/>
      <c r="AK3987" s="1"/>
      <c r="AL3987" s="1"/>
      <c r="AM3987" s="1"/>
    </row>
    <row r="3988" spans="16:39" x14ac:dyDescent="0.25">
      <c r="P3988" s="49"/>
      <c r="Q3988" s="1"/>
      <c r="S3988" s="1"/>
      <c r="T3988" s="1"/>
      <c r="U3988" s="1"/>
      <c r="V3988" s="1"/>
      <c r="W3988" s="1"/>
      <c r="X3988" s="1"/>
      <c r="Y3988" s="1"/>
      <c r="AB3988" s="1"/>
      <c r="AC3988" s="1"/>
      <c r="AD3988" s="1"/>
      <c r="AE3988" s="1"/>
      <c r="AF3988" s="1"/>
      <c r="AG3988" s="1"/>
      <c r="AH3988" s="1"/>
      <c r="AI3988" s="1"/>
      <c r="AJ3988" s="1"/>
      <c r="AK3988" s="1"/>
      <c r="AL3988" s="1"/>
      <c r="AM3988" s="1"/>
    </row>
    <row r="3989" spans="16:39" x14ac:dyDescent="0.25">
      <c r="P3989" s="49"/>
      <c r="Q3989" s="1"/>
      <c r="S3989" s="1"/>
      <c r="T3989" s="1"/>
      <c r="U3989" s="1"/>
      <c r="V3989" s="1"/>
      <c r="W3989" s="1"/>
      <c r="X3989" s="1"/>
      <c r="Y3989" s="1"/>
      <c r="AB3989" s="1"/>
      <c r="AC3989" s="1"/>
      <c r="AD3989" s="1"/>
      <c r="AE3989" s="1"/>
      <c r="AF3989" s="1"/>
      <c r="AG3989" s="1"/>
      <c r="AH3989" s="1"/>
      <c r="AI3989" s="1"/>
      <c r="AJ3989" s="1"/>
      <c r="AK3989" s="1"/>
      <c r="AL3989" s="1"/>
      <c r="AM3989" s="1"/>
    </row>
    <row r="3990" spans="16:39" x14ac:dyDescent="0.25">
      <c r="P3990" s="49"/>
      <c r="Q3990" s="1"/>
      <c r="S3990" s="1"/>
      <c r="T3990" s="1"/>
      <c r="U3990" s="1"/>
      <c r="V3990" s="1"/>
      <c r="W3990" s="1"/>
      <c r="X3990" s="1"/>
      <c r="Y3990" s="1"/>
      <c r="AB3990" s="1"/>
      <c r="AC3990" s="1"/>
      <c r="AD3990" s="1"/>
      <c r="AE3990" s="1"/>
      <c r="AF3990" s="1"/>
      <c r="AG3990" s="1"/>
      <c r="AH3990" s="1"/>
      <c r="AI3990" s="1"/>
      <c r="AJ3990" s="1"/>
      <c r="AK3990" s="1"/>
      <c r="AL3990" s="1"/>
      <c r="AM3990" s="1"/>
    </row>
    <row r="3991" spans="16:39" x14ac:dyDescent="0.25">
      <c r="P3991" s="49"/>
      <c r="Q3991" s="1"/>
      <c r="S3991" s="1"/>
      <c r="T3991" s="1"/>
      <c r="U3991" s="1"/>
      <c r="V3991" s="1"/>
      <c r="W3991" s="1"/>
      <c r="X3991" s="1"/>
      <c r="Y3991" s="1"/>
      <c r="AB3991" s="1"/>
      <c r="AC3991" s="1"/>
      <c r="AD3991" s="1"/>
      <c r="AE3991" s="1"/>
      <c r="AF3991" s="1"/>
      <c r="AG3991" s="1"/>
      <c r="AH3991" s="1"/>
      <c r="AI3991" s="1"/>
      <c r="AJ3991" s="1"/>
      <c r="AK3991" s="1"/>
      <c r="AL3991" s="1"/>
      <c r="AM3991" s="1"/>
    </row>
    <row r="3992" spans="16:39" x14ac:dyDescent="0.25">
      <c r="P3992" s="49"/>
      <c r="Q3992" s="1"/>
      <c r="S3992" s="1"/>
      <c r="T3992" s="1"/>
      <c r="U3992" s="1"/>
      <c r="V3992" s="1"/>
      <c r="W3992" s="1"/>
      <c r="X3992" s="1"/>
      <c r="Y3992" s="1"/>
      <c r="AB3992" s="1"/>
      <c r="AC3992" s="1"/>
      <c r="AD3992" s="1"/>
      <c r="AE3992" s="1"/>
      <c r="AF3992" s="1"/>
      <c r="AG3992" s="1"/>
      <c r="AH3992" s="1"/>
      <c r="AI3992" s="1"/>
      <c r="AJ3992" s="1"/>
      <c r="AK3992" s="1"/>
      <c r="AL3992" s="1"/>
      <c r="AM3992" s="1"/>
    </row>
    <row r="3993" spans="16:39" x14ac:dyDescent="0.25">
      <c r="P3993" s="49"/>
      <c r="Q3993" s="1"/>
      <c r="S3993" s="1"/>
      <c r="T3993" s="1"/>
      <c r="U3993" s="1"/>
      <c r="V3993" s="1"/>
      <c r="W3993" s="1"/>
      <c r="X3993" s="1"/>
      <c r="Y3993" s="1"/>
      <c r="AB3993" s="1"/>
      <c r="AC3993" s="1"/>
      <c r="AD3993" s="1"/>
      <c r="AE3993" s="1"/>
      <c r="AF3993" s="1"/>
      <c r="AG3993" s="1"/>
      <c r="AH3993" s="1"/>
      <c r="AI3993" s="1"/>
      <c r="AJ3993" s="1"/>
      <c r="AK3993" s="1"/>
      <c r="AL3993" s="1"/>
      <c r="AM3993" s="1"/>
    </row>
    <row r="3994" spans="16:39" x14ac:dyDescent="0.25">
      <c r="P3994" s="49"/>
      <c r="Q3994" s="1"/>
      <c r="S3994" s="1"/>
      <c r="T3994" s="1"/>
      <c r="U3994" s="1"/>
      <c r="V3994" s="1"/>
      <c r="W3994" s="1"/>
      <c r="X3994" s="1"/>
      <c r="Y3994" s="1"/>
      <c r="AB3994" s="1"/>
      <c r="AC3994" s="1"/>
      <c r="AD3994" s="1"/>
      <c r="AE3994" s="1"/>
      <c r="AF3994" s="1"/>
      <c r="AG3994" s="1"/>
      <c r="AH3994" s="1"/>
      <c r="AI3994" s="1"/>
      <c r="AJ3994" s="1"/>
      <c r="AK3994" s="1"/>
      <c r="AL3994" s="1"/>
      <c r="AM3994" s="1"/>
    </row>
    <row r="3995" spans="16:39" x14ac:dyDescent="0.25">
      <c r="P3995" s="49"/>
      <c r="Q3995" s="1"/>
      <c r="S3995" s="1"/>
      <c r="T3995" s="1"/>
      <c r="U3995" s="1"/>
      <c r="V3995" s="1"/>
      <c r="W3995" s="1"/>
      <c r="X3995" s="1"/>
      <c r="Y3995" s="1"/>
      <c r="AB3995" s="1"/>
      <c r="AC3995" s="1"/>
      <c r="AD3995" s="1"/>
      <c r="AE3995" s="1"/>
      <c r="AF3995" s="1"/>
      <c r="AG3995" s="1"/>
      <c r="AH3995" s="1"/>
      <c r="AI3995" s="1"/>
      <c r="AJ3995" s="1"/>
      <c r="AK3995" s="1"/>
      <c r="AL3995" s="1"/>
      <c r="AM3995" s="1"/>
    </row>
    <row r="3996" spans="16:39" x14ac:dyDescent="0.25">
      <c r="P3996" s="49"/>
      <c r="Q3996" s="1"/>
      <c r="S3996" s="1"/>
      <c r="T3996" s="1"/>
      <c r="U3996" s="1"/>
      <c r="V3996" s="1"/>
      <c r="W3996" s="1"/>
      <c r="X3996" s="1"/>
      <c r="Y3996" s="1"/>
      <c r="AB3996" s="1"/>
      <c r="AC3996" s="1"/>
      <c r="AD3996" s="1"/>
      <c r="AE3996" s="1"/>
      <c r="AF3996" s="1"/>
      <c r="AG3996" s="1"/>
      <c r="AH3996" s="1"/>
      <c r="AI3996" s="1"/>
      <c r="AJ3996" s="1"/>
      <c r="AK3996" s="1"/>
      <c r="AL3996" s="1"/>
      <c r="AM3996" s="1"/>
    </row>
    <row r="3997" spans="16:39" x14ac:dyDescent="0.25">
      <c r="P3997" s="49"/>
      <c r="Q3997" s="1"/>
      <c r="S3997" s="1"/>
      <c r="T3997" s="1"/>
      <c r="U3997" s="1"/>
      <c r="V3997" s="1"/>
      <c r="W3997" s="1"/>
      <c r="X3997" s="1"/>
      <c r="Y3997" s="1"/>
      <c r="AB3997" s="1"/>
      <c r="AC3997" s="1"/>
      <c r="AD3997" s="1"/>
      <c r="AE3997" s="1"/>
      <c r="AF3997" s="1"/>
      <c r="AG3997" s="1"/>
      <c r="AH3997" s="1"/>
      <c r="AI3997" s="1"/>
      <c r="AJ3997" s="1"/>
      <c r="AK3997" s="1"/>
      <c r="AL3997" s="1"/>
      <c r="AM3997" s="1"/>
    </row>
    <row r="3998" spans="16:39" x14ac:dyDescent="0.25">
      <c r="P3998" s="49"/>
      <c r="Q3998" s="1"/>
      <c r="S3998" s="1"/>
      <c r="T3998" s="1"/>
      <c r="U3998" s="1"/>
      <c r="V3998" s="1"/>
      <c r="W3998" s="1"/>
      <c r="X3998" s="1"/>
      <c r="Y3998" s="1"/>
      <c r="AB3998" s="1"/>
      <c r="AC3998" s="1"/>
      <c r="AD3998" s="1"/>
      <c r="AE3998" s="1"/>
      <c r="AF3998" s="1"/>
      <c r="AG3998" s="1"/>
      <c r="AH3998" s="1"/>
      <c r="AI3998" s="1"/>
      <c r="AJ3998" s="1"/>
      <c r="AK3998" s="1"/>
      <c r="AL3998" s="1"/>
      <c r="AM3998" s="1"/>
    </row>
    <row r="3999" spans="16:39" x14ac:dyDescent="0.25">
      <c r="P3999" s="49"/>
      <c r="Q3999" s="1"/>
      <c r="S3999" s="1"/>
      <c r="T3999" s="1"/>
      <c r="U3999" s="1"/>
      <c r="V3999" s="1"/>
      <c r="W3999" s="1"/>
      <c r="X3999" s="1"/>
      <c r="Y3999" s="1"/>
      <c r="AB3999" s="1"/>
      <c r="AC3999" s="1"/>
      <c r="AD3999" s="1"/>
      <c r="AE3999" s="1"/>
      <c r="AF3999" s="1"/>
      <c r="AG3999" s="1"/>
      <c r="AH3999" s="1"/>
      <c r="AI3999" s="1"/>
      <c r="AJ3999" s="1"/>
      <c r="AK3999" s="1"/>
      <c r="AL3999" s="1"/>
      <c r="AM3999" s="1"/>
    </row>
    <row r="4000" spans="16:39" x14ac:dyDescent="0.25">
      <c r="P4000" s="49"/>
      <c r="Q4000" s="1"/>
      <c r="S4000" s="1"/>
      <c r="T4000" s="1"/>
      <c r="U4000" s="1"/>
      <c r="V4000" s="1"/>
      <c r="W4000" s="1"/>
      <c r="X4000" s="1"/>
      <c r="Y4000" s="1"/>
      <c r="AB4000" s="1"/>
      <c r="AC4000" s="1"/>
      <c r="AD4000" s="1"/>
      <c r="AE4000" s="1"/>
      <c r="AF4000" s="1"/>
      <c r="AG4000" s="1"/>
      <c r="AH4000" s="1"/>
      <c r="AI4000" s="1"/>
      <c r="AJ4000" s="1"/>
      <c r="AK4000" s="1"/>
      <c r="AL4000" s="1"/>
      <c r="AM4000" s="1"/>
    </row>
    <row r="4001" spans="16:39" x14ac:dyDescent="0.25">
      <c r="P4001" s="49"/>
      <c r="Q4001" s="1"/>
      <c r="S4001" s="1"/>
      <c r="T4001" s="1"/>
      <c r="U4001" s="1"/>
      <c r="V4001" s="1"/>
      <c r="W4001" s="1"/>
      <c r="X4001" s="1"/>
      <c r="Y4001" s="1"/>
      <c r="AB4001" s="1"/>
      <c r="AC4001" s="1"/>
      <c r="AD4001" s="1"/>
      <c r="AE4001" s="1"/>
      <c r="AF4001" s="1"/>
      <c r="AG4001" s="1"/>
      <c r="AH4001" s="1"/>
      <c r="AI4001" s="1"/>
      <c r="AJ4001" s="1"/>
      <c r="AK4001" s="1"/>
      <c r="AL4001" s="1"/>
      <c r="AM4001" s="1"/>
    </row>
    <row r="4002" spans="16:39" x14ac:dyDescent="0.25">
      <c r="P4002" s="49"/>
      <c r="Q4002" s="1"/>
      <c r="S4002" s="1"/>
      <c r="T4002" s="1"/>
      <c r="U4002" s="1"/>
      <c r="V4002" s="1"/>
      <c r="W4002" s="1"/>
      <c r="X4002" s="1"/>
      <c r="Y4002" s="1"/>
      <c r="AB4002" s="1"/>
      <c r="AC4002" s="1"/>
      <c r="AD4002" s="1"/>
      <c r="AE4002" s="1"/>
      <c r="AF4002" s="1"/>
      <c r="AG4002" s="1"/>
      <c r="AH4002" s="1"/>
      <c r="AI4002" s="1"/>
      <c r="AJ4002" s="1"/>
      <c r="AK4002" s="1"/>
      <c r="AL4002" s="1"/>
      <c r="AM4002" s="1"/>
    </row>
    <row r="4003" spans="16:39" x14ac:dyDescent="0.25">
      <c r="P4003" s="49"/>
      <c r="Q4003" s="1"/>
      <c r="S4003" s="1"/>
      <c r="T4003" s="1"/>
      <c r="U4003" s="1"/>
      <c r="V4003" s="1"/>
      <c r="W4003" s="1"/>
      <c r="X4003" s="1"/>
      <c r="Y4003" s="1"/>
      <c r="AB4003" s="1"/>
      <c r="AC4003" s="1"/>
      <c r="AD4003" s="1"/>
      <c r="AE4003" s="1"/>
      <c r="AF4003" s="1"/>
      <c r="AG4003" s="1"/>
      <c r="AH4003" s="1"/>
      <c r="AI4003" s="1"/>
      <c r="AJ4003" s="1"/>
      <c r="AK4003" s="1"/>
      <c r="AL4003" s="1"/>
      <c r="AM4003" s="1"/>
    </row>
    <row r="4004" spans="16:39" x14ac:dyDescent="0.25">
      <c r="P4004" s="49"/>
      <c r="Q4004" s="1"/>
      <c r="S4004" s="1"/>
      <c r="T4004" s="1"/>
      <c r="U4004" s="1"/>
      <c r="V4004" s="1"/>
      <c r="W4004" s="1"/>
      <c r="X4004" s="1"/>
      <c r="Y4004" s="1"/>
      <c r="AB4004" s="1"/>
      <c r="AC4004" s="1"/>
      <c r="AD4004" s="1"/>
      <c r="AE4004" s="1"/>
      <c r="AF4004" s="1"/>
      <c r="AG4004" s="1"/>
      <c r="AH4004" s="1"/>
      <c r="AI4004" s="1"/>
      <c r="AJ4004" s="1"/>
      <c r="AK4004" s="1"/>
      <c r="AL4004" s="1"/>
      <c r="AM4004" s="1"/>
    </row>
    <row r="4005" spans="16:39" x14ac:dyDescent="0.25">
      <c r="P4005" s="49"/>
      <c r="Q4005" s="1"/>
      <c r="S4005" s="1"/>
      <c r="T4005" s="1"/>
      <c r="U4005" s="1"/>
      <c r="V4005" s="1"/>
      <c r="W4005" s="1"/>
      <c r="X4005" s="1"/>
      <c r="Y4005" s="1"/>
      <c r="AB4005" s="1"/>
      <c r="AC4005" s="1"/>
      <c r="AD4005" s="1"/>
      <c r="AE4005" s="1"/>
      <c r="AF4005" s="1"/>
      <c r="AG4005" s="1"/>
      <c r="AH4005" s="1"/>
      <c r="AI4005" s="1"/>
      <c r="AJ4005" s="1"/>
      <c r="AK4005" s="1"/>
      <c r="AL4005" s="1"/>
      <c r="AM4005" s="1"/>
    </row>
    <row r="4006" spans="16:39" x14ac:dyDescent="0.25">
      <c r="P4006" s="49"/>
      <c r="Q4006" s="1"/>
      <c r="S4006" s="1"/>
      <c r="T4006" s="1"/>
      <c r="U4006" s="1"/>
      <c r="V4006" s="1"/>
      <c r="W4006" s="1"/>
      <c r="X4006" s="1"/>
      <c r="Y4006" s="1"/>
      <c r="AB4006" s="1"/>
      <c r="AC4006" s="1"/>
      <c r="AD4006" s="1"/>
      <c r="AE4006" s="1"/>
      <c r="AF4006" s="1"/>
      <c r="AG4006" s="1"/>
      <c r="AH4006" s="1"/>
      <c r="AI4006" s="1"/>
      <c r="AJ4006" s="1"/>
      <c r="AK4006" s="1"/>
      <c r="AL4006" s="1"/>
      <c r="AM4006" s="1"/>
    </row>
    <row r="4007" spans="16:39" x14ac:dyDescent="0.25">
      <c r="P4007" s="49"/>
      <c r="Q4007" s="1"/>
      <c r="S4007" s="1"/>
      <c r="T4007" s="1"/>
      <c r="U4007" s="1"/>
      <c r="V4007" s="1"/>
      <c r="W4007" s="1"/>
      <c r="X4007" s="1"/>
      <c r="Y4007" s="1"/>
      <c r="AB4007" s="1"/>
      <c r="AC4007" s="1"/>
      <c r="AD4007" s="1"/>
      <c r="AE4007" s="1"/>
      <c r="AF4007" s="1"/>
      <c r="AG4007" s="1"/>
      <c r="AH4007" s="1"/>
      <c r="AI4007" s="1"/>
      <c r="AJ4007" s="1"/>
      <c r="AK4007" s="1"/>
      <c r="AL4007" s="1"/>
      <c r="AM4007" s="1"/>
    </row>
    <row r="4008" spans="16:39" x14ac:dyDescent="0.25">
      <c r="P4008" s="49"/>
      <c r="Q4008" s="1"/>
      <c r="S4008" s="1"/>
      <c r="T4008" s="1"/>
      <c r="U4008" s="1"/>
      <c r="V4008" s="1"/>
      <c r="W4008" s="1"/>
      <c r="X4008" s="1"/>
      <c r="Y4008" s="1"/>
      <c r="AB4008" s="1"/>
      <c r="AC4008" s="1"/>
      <c r="AD4008" s="1"/>
      <c r="AE4008" s="1"/>
      <c r="AF4008" s="1"/>
      <c r="AG4008" s="1"/>
      <c r="AH4008" s="1"/>
      <c r="AI4008" s="1"/>
      <c r="AJ4008" s="1"/>
      <c r="AK4008" s="1"/>
      <c r="AL4008" s="1"/>
      <c r="AM4008" s="1"/>
    </row>
    <row r="4009" spans="16:39" x14ac:dyDescent="0.25">
      <c r="P4009" s="49"/>
      <c r="Q4009" s="1"/>
      <c r="S4009" s="1"/>
      <c r="T4009" s="1"/>
      <c r="U4009" s="1"/>
      <c r="V4009" s="1"/>
      <c r="W4009" s="1"/>
      <c r="X4009" s="1"/>
      <c r="Y4009" s="1"/>
      <c r="AB4009" s="1"/>
      <c r="AC4009" s="1"/>
      <c r="AD4009" s="1"/>
      <c r="AE4009" s="1"/>
      <c r="AF4009" s="1"/>
      <c r="AG4009" s="1"/>
      <c r="AH4009" s="1"/>
      <c r="AI4009" s="1"/>
      <c r="AJ4009" s="1"/>
      <c r="AK4009" s="1"/>
      <c r="AL4009" s="1"/>
      <c r="AM4009" s="1"/>
    </row>
    <row r="4010" spans="16:39" x14ac:dyDescent="0.25">
      <c r="P4010" s="49"/>
      <c r="Q4010" s="1"/>
      <c r="S4010" s="1"/>
      <c r="T4010" s="1"/>
      <c r="U4010" s="1"/>
      <c r="V4010" s="1"/>
      <c r="W4010" s="1"/>
      <c r="X4010" s="1"/>
      <c r="Y4010" s="1"/>
      <c r="AB4010" s="1"/>
      <c r="AC4010" s="1"/>
      <c r="AD4010" s="1"/>
      <c r="AE4010" s="1"/>
      <c r="AF4010" s="1"/>
      <c r="AG4010" s="1"/>
      <c r="AH4010" s="1"/>
      <c r="AI4010" s="1"/>
      <c r="AJ4010" s="1"/>
      <c r="AK4010" s="1"/>
      <c r="AL4010" s="1"/>
      <c r="AM4010" s="1"/>
    </row>
    <row r="4011" spans="16:39" x14ac:dyDescent="0.25">
      <c r="P4011" s="49"/>
      <c r="Q4011" s="1"/>
      <c r="S4011" s="1"/>
      <c r="T4011" s="1"/>
      <c r="U4011" s="1"/>
      <c r="V4011" s="1"/>
      <c r="W4011" s="1"/>
      <c r="X4011" s="1"/>
      <c r="Y4011" s="1"/>
      <c r="AB4011" s="1"/>
      <c r="AC4011" s="1"/>
      <c r="AD4011" s="1"/>
      <c r="AE4011" s="1"/>
      <c r="AF4011" s="1"/>
      <c r="AG4011" s="1"/>
      <c r="AH4011" s="1"/>
      <c r="AI4011" s="1"/>
      <c r="AJ4011" s="1"/>
      <c r="AK4011" s="1"/>
      <c r="AL4011" s="1"/>
      <c r="AM4011" s="1"/>
    </row>
    <row r="4012" spans="16:39" x14ac:dyDescent="0.25">
      <c r="P4012" s="49"/>
      <c r="Q4012" s="1"/>
      <c r="S4012" s="1"/>
      <c r="T4012" s="1"/>
      <c r="U4012" s="1"/>
      <c r="V4012" s="1"/>
      <c r="W4012" s="1"/>
      <c r="X4012" s="1"/>
      <c r="Y4012" s="1"/>
      <c r="AB4012" s="1"/>
      <c r="AC4012" s="1"/>
      <c r="AD4012" s="1"/>
      <c r="AE4012" s="1"/>
      <c r="AF4012" s="1"/>
      <c r="AG4012" s="1"/>
      <c r="AH4012" s="1"/>
      <c r="AI4012" s="1"/>
      <c r="AJ4012" s="1"/>
      <c r="AK4012" s="1"/>
      <c r="AL4012" s="1"/>
      <c r="AM4012" s="1"/>
    </row>
    <row r="4013" spans="16:39" x14ac:dyDescent="0.25">
      <c r="P4013" s="49"/>
      <c r="Q4013" s="1"/>
      <c r="S4013" s="1"/>
      <c r="T4013" s="1"/>
      <c r="U4013" s="1"/>
      <c r="V4013" s="1"/>
      <c r="W4013" s="1"/>
      <c r="X4013" s="1"/>
      <c r="Y4013" s="1"/>
      <c r="AB4013" s="1"/>
      <c r="AC4013" s="1"/>
      <c r="AD4013" s="1"/>
      <c r="AE4013" s="1"/>
      <c r="AF4013" s="1"/>
      <c r="AG4013" s="1"/>
      <c r="AH4013" s="1"/>
      <c r="AI4013" s="1"/>
      <c r="AJ4013" s="1"/>
      <c r="AK4013" s="1"/>
      <c r="AL4013" s="1"/>
      <c r="AM4013" s="1"/>
    </row>
    <row r="4014" spans="16:39" x14ac:dyDescent="0.25">
      <c r="P4014" s="49"/>
      <c r="Q4014" s="1"/>
      <c r="S4014" s="1"/>
      <c r="T4014" s="1"/>
      <c r="U4014" s="1"/>
      <c r="V4014" s="1"/>
      <c r="W4014" s="1"/>
      <c r="X4014" s="1"/>
      <c r="Y4014" s="1"/>
      <c r="AB4014" s="1"/>
      <c r="AC4014" s="1"/>
      <c r="AD4014" s="1"/>
      <c r="AE4014" s="1"/>
      <c r="AF4014" s="1"/>
      <c r="AG4014" s="1"/>
      <c r="AH4014" s="1"/>
      <c r="AI4014" s="1"/>
      <c r="AJ4014" s="1"/>
      <c r="AK4014" s="1"/>
      <c r="AL4014" s="1"/>
      <c r="AM4014" s="1"/>
    </row>
    <row r="4015" spans="16:39" x14ac:dyDescent="0.25">
      <c r="P4015" s="49"/>
      <c r="Q4015" s="1"/>
      <c r="S4015" s="1"/>
      <c r="T4015" s="1"/>
      <c r="U4015" s="1"/>
      <c r="V4015" s="1"/>
      <c r="W4015" s="1"/>
      <c r="X4015" s="1"/>
      <c r="Y4015" s="1"/>
      <c r="AB4015" s="1"/>
      <c r="AC4015" s="1"/>
      <c r="AD4015" s="1"/>
      <c r="AE4015" s="1"/>
      <c r="AF4015" s="1"/>
      <c r="AG4015" s="1"/>
      <c r="AH4015" s="1"/>
      <c r="AI4015" s="1"/>
      <c r="AJ4015" s="1"/>
      <c r="AK4015" s="1"/>
      <c r="AL4015" s="1"/>
      <c r="AM4015" s="1"/>
    </row>
    <row r="4016" spans="16:39" x14ac:dyDescent="0.25">
      <c r="P4016" s="49"/>
      <c r="Q4016" s="1"/>
      <c r="S4016" s="1"/>
      <c r="T4016" s="1"/>
      <c r="U4016" s="1"/>
      <c r="V4016" s="1"/>
      <c r="W4016" s="1"/>
      <c r="X4016" s="1"/>
      <c r="Y4016" s="1"/>
      <c r="AB4016" s="1"/>
      <c r="AC4016" s="1"/>
      <c r="AD4016" s="1"/>
      <c r="AE4016" s="1"/>
      <c r="AF4016" s="1"/>
      <c r="AG4016" s="1"/>
      <c r="AH4016" s="1"/>
      <c r="AI4016" s="1"/>
      <c r="AJ4016" s="1"/>
      <c r="AK4016" s="1"/>
      <c r="AL4016" s="1"/>
      <c r="AM4016" s="1"/>
    </row>
    <row r="4017" spans="16:39" x14ac:dyDescent="0.25">
      <c r="P4017" s="49"/>
      <c r="Q4017" s="1"/>
      <c r="S4017" s="1"/>
      <c r="T4017" s="1"/>
      <c r="U4017" s="1"/>
      <c r="V4017" s="1"/>
      <c r="W4017" s="1"/>
      <c r="X4017" s="1"/>
      <c r="Y4017" s="1"/>
      <c r="AB4017" s="1"/>
      <c r="AC4017" s="1"/>
      <c r="AD4017" s="1"/>
      <c r="AE4017" s="1"/>
      <c r="AF4017" s="1"/>
      <c r="AG4017" s="1"/>
      <c r="AH4017" s="1"/>
      <c r="AI4017" s="1"/>
      <c r="AJ4017" s="1"/>
      <c r="AK4017" s="1"/>
      <c r="AL4017" s="1"/>
      <c r="AM4017" s="1"/>
    </row>
    <row r="4018" spans="16:39" x14ac:dyDescent="0.25">
      <c r="P4018" s="49"/>
      <c r="Q4018" s="1"/>
      <c r="S4018" s="1"/>
      <c r="T4018" s="1"/>
      <c r="U4018" s="1"/>
      <c r="V4018" s="1"/>
      <c r="W4018" s="1"/>
      <c r="X4018" s="1"/>
      <c r="Y4018" s="1"/>
      <c r="AB4018" s="1"/>
      <c r="AC4018" s="1"/>
      <c r="AD4018" s="1"/>
      <c r="AE4018" s="1"/>
      <c r="AF4018" s="1"/>
      <c r="AG4018" s="1"/>
      <c r="AH4018" s="1"/>
      <c r="AI4018" s="1"/>
      <c r="AJ4018" s="1"/>
      <c r="AK4018" s="1"/>
      <c r="AL4018" s="1"/>
      <c r="AM4018" s="1"/>
    </row>
    <row r="4019" spans="16:39" x14ac:dyDescent="0.25">
      <c r="P4019" s="49"/>
      <c r="Q4019" s="1"/>
      <c r="S4019" s="1"/>
      <c r="T4019" s="1"/>
      <c r="U4019" s="1"/>
      <c r="V4019" s="1"/>
      <c r="W4019" s="1"/>
      <c r="X4019" s="1"/>
      <c r="Y4019" s="1"/>
      <c r="AB4019" s="1"/>
      <c r="AC4019" s="1"/>
      <c r="AD4019" s="1"/>
      <c r="AE4019" s="1"/>
      <c r="AF4019" s="1"/>
      <c r="AG4019" s="1"/>
      <c r="AH4019" s="1"/>
      <c r="AI4019" s="1"/>
      <c r="AJ4019" s="1"/>
      <c r="AK4019" s="1"/>
      <c r="AL4019" s="1"/>
      <c r="AM4019" s="1"/>
    </row>
    <row r="4020" spans="16:39" x14ac:dyDescent="0.25">
      <c r="P4020" s="49"/>
      <c r="Q4020" s="1"/>
      <c r="S4020" s="1"/>
      <c r="T4020" s="1"/>
      <c r="U4020" s="1"/>
      <c r="V4020" s="1"/>
      <c r="W4020" s="1"/>
      <c r="X4020" s="1"/>
      <c r="Y4020" s="1"/>
      <c r="AB4020" s="1"/>
      <c r="AC4020" s="1"/>
      <c r="AD4020" s="1"/>
      <c r="AE4020" s="1"/>
      <c r="AF4020" s="1"/>
      <c r="AG4020" s="1"/>
      <c r="AH4020" s="1"/>
      <c r="AI4020" s="1"/>
      <c r="AJ4020" s="1"/>
      <c r="AK4020" s="1"/>
      <c r="AL4020" s="1"/>
      <c r="AM4020" s="1"/>
    </row>
    <row r="4021" spans="16:39" x14ac:dyDescent="0.25">
      <c r="P4021" s="49"/>
      <c r="Q4021" s="1"/>
      <c r="S4021" s="1"/>
      <c r="T4021" s="1"/>
      <c r="U4021" s="1"/>
      <c r="V4021" s="1"/>
      <c r="W4021" s="1"/>
      <c r="X4021" s="1"/>
      <c r="Y4021" s="1"/>
      <c r="AB4021" s="1"/>
      <c r="AC4021" s="1"/>
      <c r="AD4021" s="1"/>
      <c r="AE4021" s="1"/>
      <c r="AF4021" s="1"/>
      <c r="AG4021" s="1"/>
      <c r="AH4021" s="1"/>
      <c r="AI4021" s="1"/>
      <c r="AJ4021" s="1"/>
      <c r="AK4021" s="1"/>
      <c r="AL4021" s="1"/>
      <c r="AM4021" s="1"/>
    </row>
    <row r="4022" spans="16:39" x14ac:dyDescent="0.25">
      <c r="P4022" s="49"/>
      <c r="Q4022" s="1"/>
      <c r="S4022" s="1"/>
      <c r="T4022" s="1"/>
      <c r="U4022" s="1"/>
      <c r="V4022" s="1"/>
      <c r="W4022" s="1"/>
      <c r="X4022" s="1"/>
      <c r="Y4022" s="1"/>
      <c r="AB4022" s="1"/>
      <c r="AC4022" s="1"/>
      <c r="AD4022" s="1"/>
      <c r="AE4022" s="1"/>
      <c r="AF4022" s="1"/>
      <c r="AG4022" s="1"/>
      <c r="AH4022" s="1"/>
      <c r="AI4022" s="1"/>
      <c r="AJ4022" s="1"/>
      <c r="AK4022" s="1"/>
      <c r="AL4022" s="1"/>
      <c r="AM4022" s="1"/>
    </row>
    <row r="4023" spans="16:39" x14ac:dyDescent="0.25">
      <c r="P4023" s="49"/>
      <c r="Q4023" s="1"/>
      <c r="S4023" s="1"/>
      <c r="T4023" s="1"/>
      <c r="U4023" s="1"/>
      <c r="V4023" s="1"/>
      <c r="W4023" s="1"/>
      <c r="X4023" s="1"/>
      <c r="Y4023" s="1"/>
      <c r="AB4023" s="1"/>
      <c r="AC4023" s="1"/>
      <c r="AD4023" s="1"/>
      <c r="AE4023" s="1"/>
      <c r="AF4023" s="1"/>
      <c r="AG4023" s="1"/>
      <c r="AH4023" s="1"/>
      <c r="AI4023" s="1"/>
      <c r="AJ4023" s="1"/>
      <c r="AK4023" s="1"/>
      <c r="AL4023" s="1"/>
      <c r="AM4023" s="1"/>
    </row>
    <row r="4024" spans="16:39" x14ac:dyDescent="0.25">
      <c r="P4024" s="49"/>
      <c r="Q4024" s="1"/>
      <c r="S4024" s="1"/>
      <c r="T4024" s="1"/>
      <c r="U4024" s="1"/>
      <c r="V4024" s="1"/>
      <c r="W4024" s="1"/>
      <c r="X4024" s="1"/>
      <c r="Y4024" s="1"/>
      <c r="AB4024" s="1"/>
      <c r="AC4024" s="1"/>
      <c r="AD4024" s="1"/>
      <c r="AE4024" s="1"/>
      <c r="AF4024" s="1"/>
      <c r="AG4024" s="1"/>
      <c r="AH4024" s="1"/>
      <c r="AI4024" s="1"/>
      <c r="AJ4024" s="1"/>
      <c r="AK4024" s="1"/>
      <c r="AL4024" s="1"/>
      <c r="AM4024" s="1"/>
    </row>
    <row r="4025" spans="16:39" x14ac:dyDescent="0.25">
      <c r="P4025" s="49"/>
      <c r="Q4025" s="1"/>
      <c r="S4025" s="1"/>
      <c r="T4025" s="1"/>
      <c r="U4025" s="1"/>
      <c r="V4025" s="1"/>
      <c r="W4025" s="1"/>
      <c r="X4025" s="1"/>
      <c r="Y4025" s="1"/>
      <c r="AB4025" s="1"/>
      <c r="AC4025" s="1"/>
      <c r="AD4025" s="1"/>
      <c r="AE4025" s="1"/>
      <c r="AF4025" s="1"/>
      <c r="AG4025" s="1"/>
      <c r="AH4025" s="1"/>
      <c r="AI4025" s="1"/>
      <c r="AJ4025" s="1"/>
      <c r="AK4025" s="1"/>
      <c r="AL4025" s="1"/>
      <c r="AM4025" s="1"/>
    </row>
    <row r="4026" spans="16:39" x14ac:dyDescent="0.25">
      <c r="P4026" s="49"/>
      <c r="Q4026" s="1"/>
      <c r="S4026" s="1"/>
      <c r="T4026" s="1"/>
      <c r="U4026" s="1"/>
      <c r="V4026" s="1"/>
      <c r="W4026" s="1"/>
      <c r="X4026" s="1"/>
      <c r="Y4026" s="1"/>
      <c r="AB4026" s="1"/>
      <c r="AC4026" s="1"/>
      <c r="AD4026" s="1"/>
      <c r="AE4026" s="1"/>
      <c r="AF4026" s="1"/>
      <c r="AG4026" s="1"/>
      <c r="AH4026" s="1"/>
      <c r="AI4026" s="1"/>
      <c r="AJ4026" s="1"/>
      <c r="AK4026" s="1"/>
      <c r="AL4026" s="1"/>
      <c r="AM4026" s="1"/>
    </row>
    <row r="4027" spans="16:39" x14ac:dyDescent="0.25">
      <c r="P4027" s="49"/>
      <c r="Q4027" s="1"/>
      <c r="S4027" s="1"/>
      <c r="T4027" s="1"/>
      <c r="U4027" s="1"/>
      <c r="V4027" s="1"/>
      <c r="W4027" s="1"/>
      <c r="X4027" s="1"/>
      <c r="Y4027" s="1"/>
      <c r="AB4027" s="1"/>
      <c r="AC4027" s="1"/>
      <c r="AD4027" s="1"/>
      <c r="AE4027" s="1"/>
      <c r="AF4027" s="1"/>
      <c r="AG4027" s="1"/>
      <c r="AH4027" s="1"/>
      <c r="AI4027" s="1"/>
      <c r="AJ4027" s="1"/>
      <c r="AK4027" s="1"/>
      <c r="AL4027" s="1"/>
      <c r="AM4027" s="1"/>
    </row>
    <row r="4028" spans="16:39" x14ac:dyDescent="0.25">
      <c r="P4028" s="49"/>
      <c r="Q4028" s="1"/>
      <c r="S4028" s="1"/>
      <c r="T4028" s="1"/>
      <c r="U4028" s="1"/>
      <c r="V4028" s="1"/>
      <c r="W4028" s="1"/>
      <c r="X4028" s="1"/>
      <c r="Y4028" s="1"/>
      <c r="AB4028" s="1"/>
      <c r="AC4028" s="1"/>
      <c r="AD4028" s="1"/>
      <c r="AE4028" s="1"/>
      <c r="AF4028" s="1"/>
      <c r="AG4028" s="1"/>
      <c r="AH4028" s="1"/>
      <c r="AI4028" s="1"/>
      <c r="AJ4028" s="1"/>
      <c r="AK4028" s="1"/>
      <c r="AL4028" s="1"/>
      <c r="AM4028" s="1"/>
    </row>
    <row r="4029" spans="16:39" x14ac:dyDescent="0.25">
      <c r="P4029" s="49"/>
      <c r="Q4029" s="1"/>
      <c r="S4029" s="1"/>
      <c r="T4029" s="1"/>
      <c r="U4029" s="1"/>
      <c r="V4029" s="1"/>
      <c r="W4029" s="1"/>
      <c r="X4029" s="1"/>
      <c r="Y4029" s="1"/>
      <c r="AB4029" s="1"/>
      <c r="AC4029" s="1"/>
      <c r="AD4029" s="1"/>
      <c r="AE4029" s="1"/>
      <c r="AF4029" s="1"/>
      <c r="AG4029" s="1"/>
      <c r="AH4029" s="1"/>
      <c r="AI4029" s="1"/>
      <c r="AJ4029" s="1"/>
      <c r="AK4029" s="1"/>
      <c r="AL4029" s="1"/>
      <c r="AM4029" s="1"/>
    </row>
    <row r="4030" spans="16:39" x14ac:dyDescent="0.25">
      <c r="P4030" s="49"/>
      <c r="Q4030" s="1"/>
      <c r="S4030" s="1"/>
      <c r="T4030" s="1"/>
      <c r="U4030" s="1"/>
      <c r="V4030" s="1"/>
      <c r="W4030" s="1"/>
      <c r="X4030" s="1"/>
      <c r="Y4030" s="1"/>
      <c r="AB4030" s="1"/>
      <c r="AC4030" s="1"/>
      <c r="AD4030" s="1"/>
      <c r="AE4030" s="1"/>
      <c r="AF4030" s="1"/>
      <c r="AG4030" s="1"/>
      <c r="AH4030" s="1"/>
      <c r="AI4030" s="1"/>
      <c r="AJ4030" s="1"/>
      <c r="AK4030" s="1"/>
      <c r="AL4030" s="1"/>
      <c r="AM4030" s="1"/>
    </row>
    <row r="4031" spans="16:39" x14ac:dyDescent="0.25">
      <c r="P4031" s="49"/>
      <c r="Q4031" s="1"/>
      <c r="S4031" s="1"/>
      <c r="T4031" s="1"/>
      <c r="U4031" s="1"/>
      <c r="V4031" s="1"/>
      <c r="W4031" s="1"/>
      <c r="X4031" s="1"/>
      <c r="Y4031" s="1"/>
      <c r="AB4031" s="1"/>
      <c r="AC4031" s="1"/>
      <c r="AD4031" s="1"/>
      <c r="AE4031" s="1"/>
      <c r="AF4031" s="1"/>
      <c r="AG4031" s="1"/>
      <c r="AH4031" s="1"/>
      <c r="AI4031" s="1"/>
      <c r="AJ4031" s="1"/>
      <c r="AK4031" s="1"/>
      <c r="AL4031" s="1"/>
      <c r="AM4031" s="1"/>
    </row>
    <row r="4032" spans="16:39" x14ac:dyDescent="0.25">
      <c r="P4032" s="49"/>
      <c r="Q4032" s="1"/>
      <c r="S4032" s="1"/>
      <c r="T4032" s="1"/>
      <c r="U4032" s="1"/>
      <c r="V4032" s="1"/>
      <c r="W4032" s="1"/>
      <c r="X4032" s="1"/>
      <c r="Y4032" s="1"/>
      <c r="AB4032" s="1"/>
      <c r="AC4032" s="1"/>
      <c r="AD4032" s="1"/>
      <c r="AE4032" s="1"/>
      <c r="AF4032" s="1"/>
      <c r="AG4032" s="1"/>
      <c r="AH4032" s="1"/>
      <c r="AI4032" s="1"/>
      <c r="AJ4032" s="1"/>
      <c r="AK4032" s="1"/>
      <c r="AL4032" s="1"/>
      <c r="AM4032" s="1"/>
    </row>
    <row r="4033" spans="16:39" x14ac:dyDescent="0.25">
      <c r="P4033" s="49"/>
      <c r="Q4033" s="1"/>
      <c r="S4033" s="1"/>
      <c r="T4033" s="1"/>
      <c r="U4033" s="1"/>
      <c r="V4033" s="1"/>
      <c r="W4033" s="1"/>
      <c r="X4033" s="1"/>
      <c r="Y4033" s="1"/>
      <c r="AB4033" s="1"/>
      <c r="AC4033" s="1"/>
      <c r="AD4033" s="1"/>
      <c r="AE4033" s="1"/>
      <c r="AF4033" s="1"/>
      <c r="AG4033" s="1"/>
      <c r="AH4033" s="1"/>
      <c r="AI4033" s="1"/>
      <c r="AJ4033" s="1"/>
      <c r="AK4033" s="1"/>
      <c r="AL4033" s="1"/>
      <c r="AM4033" s="1"/>
    </row>
    <row r="4034" spans="16:39" x14ac:dyDescent="0.25">
      <c r="P4034" s="49"/>
      <c r="Q4034" s="1"/>
      <c r="S4034" s="1"/>
      <c r="T4034" s="1"/>
      <c r="U4034" s="1"/>
      <c r="V4034" s="1"/>
      <c r="W4034" s="1"/>
      <c r="X4034" s="1"/>
      <c r="Y4034" s="1"/>
      <c r="AB4034" s="1"/>
      <c r="AC4034" s="1"/>
      <c r="AD4034" s="1"/>
      <c r="AE4034" s="1"/>
      <c r="AF4034" s="1"/>
      <c r="AG4034" s="1"/>
      <c r="AH4034" s="1"/>
      <c r="AI4034" s="1"/>
      <c r="AJ4034" s="1"/>
      <c r="AK4034" s="1"/>
      <c r="AL4034" s="1"/>
      <c r="AM4034" s="1"/>
    </row>
    <row r="4035" spans="16:39" x14ac:dyDescent="0.25">
      <c r="P4035" s="49"/>
      <c r="Q4035" s="1"/>
      <c r="S4035" s="1"/>
      <c r="T4035" s="1"/>
      <c r="U4035" s="1"/>
      <c r="V4035" s="1"/>
      <c r="W4035" s="1"/>
      <c r="X4035" s="1"/>
      <c r="Y4035" s="1"/>
      <c r="AB4035" s="1"/>
      <c r="AC4035" s="1"/>
      <c r="AD4035" s="1"/>
      <c r="AE4035" s="1"/>
      <c r="AF4035" s="1"/>
      <c r="AG4035" s="1"/>
      <c r="AH4035" s="1"/>
      <c r="AI4035" s="1"/>
      <c r="AJ4035" s="1"/>
      <c r="AK4035" s="1"/>
      <c r="AL4035" s="1"/>
      <c r="AM4035" s="1"/>
    </row>
    <row r="4036" spans="16:39" x14ac:dyDescent="0.25">
      <c r="P4036" s="49"/>
      <c r="Q4036" s="1"/>
      <c r="S4036" s="1"/>
      <c r="T4036" s="1"/>
      <c r="U4036" s="1"/>
      <c r="V4036" s="1"/>
      <c r="W4036" s="1"/>
      <c r="X4036" s="1"/>
      <c r="Y4036" s="1"/>
      <c r="AB4036" s="1"/>
      <c r="AC4036" s="1"/>
      <c r="AD4036" s="1"/>
      <c r="AE4036" s="1"/>
      <c r="AF4036" s="1"/>
      <c r="AG4036" s="1"/>
      <c r="AH4036" s="1"/>
      <c r="AI4036" s="1"/>
      <c r="AJ4036" s="1"/>
      <c r="AK4036" s="1"/>
      <c r="AL4036" s="1"/>
      <c r="AM4036" s="1"/>
    </row>
    <row r="4037" spans="16:39" x14ac:dyDescent="0.25">
      <c r="P4037" s="49"/>
      <c r="Q4037" s="1"/>
      <c r="S4037" s="1"/>
      <c r="T4037" s="1"/>
      <c r="U4037" s="1"/>
      <c r="V4037" s="1"/>
      <c r="W4037" s="1"/>
      <c r="X4037" s="1"/>
      <c r="Y4037" s="1"/>
      <c r="AB4037" s="1"/>
      <c r="AC4037" s="1"/>
      <c r="AD4037" s="1"/>
      <c r="AE4037" s="1"/>
      <c r="AF4037" s="1"/>
      <c r="AG4037" s="1"/>
      <c r="AH4037" s="1"/>
      <c r="AI4037" s="1"/>
      <c r="AJ4037" s="1"/>
      <c r="AK4037" s="1"/>
      <c r="AL4037" s="1"/>
      <c r="AM4037" s="1"/>
    </row>
    <row r="4038" spans="16:39" x14ac:dyDescent="0.25">
      <c r="P4038" s="49"/>
      <c r="Q4038" s="1"/>
      <c r="S4038" s="1"/>
      <c r="T4038" s="1"/>
      <c r="U4038" s="1"/>
      <c r="V4038" s="1"/>
      <c r="W4038" s="1"/>
      <c r="X4038" s="1"/>
      <c r="Y4038" s="1"/>
      <c r="AB4038" s="1"/>
      <c r="AC4038" s="1"/>
      <c r="AD4038" s="1"/>
      <c r="AE4038" s="1"/>
      <c r="AF4038" s="1"/>
      <c r="AG4038" s="1"/>
      <c r="AH4038" s="1"/>
      <c r="AI4038" s="1"/>
      <c r="AJ4038" s="1"/>
      <c r="AK4038" s="1"/>
      <c r="AL4038" s="1"/>
      <c r="AM4038" s="1"/>
    </row>
    <row r="4039" spans="16:39" x14ac:dyDescent="0.25">
      <c r="P4039" s="49"/>
      <c r="Q4039" s="1"/>
      <c r="S4039" s="1"/>
      <c r="T4039" s="1"/>
      <c r="U4039" s="1"/>
      <c r="V4039" s="1"/>
      <c r="W4039" s="1"/>
      <c r="X4039" s="1"/>
      <c r="Y4039" s="1"/>
      <c r="AB4039" s="1"/>
      <c r="AC4039" s="1"/>
      <c r="AD4039" s="1"/>
      <c r="AE4039" s="1"/>
      <c r="AF4039" s="1"/>
      <c r="AG4039" s="1"/>
      <c r="AH4039" s="1"/>
      <c r="AI4039" s="1"/>
      <c r="AJ4039" s="1"/>
      <c r="AK4039" s="1"/>
      <c r="AL4039" s="1"/>
      <c r="AM4039" s="1"/>
    </row>
    <row r="4040" spans="16:39" x14ac:dyDescent="0.25">
      <c r="P4040" s="49"/>
      <c r="Q4040" s="1"/>
      <c r="S4040" s="1"/>
      <c r="T4040" s="1"/>
      <c r="U4040" s="1"/>
      <c r="V4040" s="1"/>
      <c r="W4040" s="1"/>
      <c r="X4040" s="1"/>
      <c r="Y4040" s="1"/>
      <c r="AB4040" s="1"/>
      <c r="AC4040" s="1"/>
      <c r="AD4040" s="1"/>
      <c r="AE4040" s="1"/>
      <c r="AF4040" s="1"/>
      <c r="AG4040" s="1"/>
      <c r="AH4040" s="1"/>
      <c r="AI4040" s="1"/>
      <c r="AJ4040" s="1"/>
      <c r="AK4040" s="1"/>
      <c r="AL4040" s="1"/>
      <c r="AM4040" s="1"/>
    </row>
    <row r="4041" spans="16:39" x14ac:dyDescent="0.25">
      <c r="P4041" s="49"/>
      <c r="Q4041" s="1"/>
      <c r="S4041" s="1"/>
      <c r="T4041" s="1"/>
      <c r="U4041" s="1"/>
      <c r="V4041" s="1"/>
      <c r="W4041" s="1"/>
      <c r="X4041" s="1"/>
      <c r="Y4041" s="1"/>
      <c r="AB4041" s="1"/>
      <c r="AC4041" s="1"/>
      <c r="AD4041" s="1"/>
      <c r="AE4041" s="1"/>
      <c r="AF4041" s="1"/>
      <c r="AG4041" s="1"/>
      <c r="AH4041" s="1"/>
      <c r="AI4041" s="1"/>
      <c r="AJ4041" s="1"/>
      <c r="AK4041" s="1"/>
      <c r="AL4041" s="1"/>
      <c r="AM4041" s="1"/>
    </row>
    <row r="4042" spans="16:39" x14ac:dyDescent="0.25">
      <c r="P4042" s="49"/>
      <c r="Q4042" s="1"/>
      <c r="S4042" s="1"/>
      <c r="T4042" s="1"/>
      <c r="U4042" s="1"/>
      <c r="V4042" s="1"/>
      <c r="W4042" s="1"/>
      <c r="X4042" s="1"/>
      <c r="Y4042" s="1"/>
      <c r="AB4042" s="1"/>
      <c r="AC4042" s="1"/>
      <c r="AD4042" s="1"/>
      <c r="AE4042" s="1"/>
      <c r="AF4042" s="1"/>
      <c r="AG4042" s="1"/>
      <c r="AH4042" s="1"/>
      <c r="AI4042" s="1"/>
      <c r="AJ4042" s="1"/>
      <c r="AK4042" s="1"/>
      <c r="AL4042" s="1"/>
      <c r="AM4042" s="1"/>
    </row>
    <row r="4043" spans="16:39" x14ac:dyDescent="0.25">
      <c r="P4043" s="49"/>
      <c r="Q4043" s="1"/>
      <c r="S4043" s="1"/>
      <c r="T4043" s="1"/>
      <c r="U4043" s="1"/>
      <c r="V4043" s="1"/>
      <c r="W4043" s="1"/>
      <c r="X4043" s="1"/>
      <c r="Y4043" s="1"/>
      <c r="AB4043" s="1"/>
      <c r="AC4043" s="1"/>
      <c r="AD4043" s="1"/>
      <c r="AE4043" s="1"/>
      <c r="AF4043" s="1"/>
      <c r="AG4043" s="1"/>
      <c r="AH4043" s="1"/>
      <c r="AI4043" s="1"/>
      <c r="AJ4043" s="1"/>
      <c r="AK4043" s="1"/>
      <c r="AL4043" s="1"/>
      <c r="AM4043" s="1"/>
    </row>
    <row r="4044" spans="16:39" x14ac:dyDescent="0.25">
      <c r="P4044" s="49"/>
      <c r="Q4044" s="1"/>
      <c r="S4044" s="1"/>
      <c r="T4044" s="1"/>
      <c r="U4044" s="1"/>
      <c r="V4044" s="1"/>
      <c r="W4044" s="1"/>
      <c r="X4044" s="1"/>
      <c r="Y4044" s="1"/>
      <c r="AB4044" s="1"/>
      <c r="AC4044" s="1"/>
      <c r="AD4044" s="1"/>
      <c r="AE4044" s="1"/>
      <c r="AF4044" s="1"/>
      <c r="AG4044" s="1"/>
      <c r="AH4044" s="1"/>
      <c r="AI4044" s="1"/>
      <c r="AJ4044" s="1"/>
      <c r="AK4044" s="1"/>
      <c r="AL4044" s="1"/>
      <c r="AM4044" s="1"/>
    </row>
    <row r="4045" spans="16:39" x14ac:dyDescent="0.25">
      <c r="P4045" s="49"/>
      <c r="Q4045" s="1"/>
      <c r="S4045" s="1"/>
      <c r="T4045" s="1"/>
      <c r="U4045" s="1"/>
      <c r="V4045" s="1"/>
      <c r="W4045" s="1"/>
      <c r="X4045" s="1"/>
      <c r="Y4045" s="1"/>
      <c r="AB4045" s="1"/>
      <c r="AC4045" s="1"/>
      <c r="AD4045" s="1"/>
      <c r="AE4045" s="1"/>
      <c r="AF4045" s="1"/>
      <c r="AG4045" s="1"/>
      <c r="AH4045" s="1"/>
      <c r="AI4045" s="1"/>
      <c r="AJ4045" s="1"/>
      <c r="AK4045" s="1"/>
      <c r="AL4045" s="1"/>
      <c r="AM4045" s="1"/>
    </row>
    <row r="4046" spans="16:39" x14ac:dyDescent="0.25">
      <c r="P4046" s="49"/>
      <c r="Q4046" s="1"/>
      <c r="S4046" s="1"/>
      <c r="T4046" s="1"/>
      <c r="U4046" s="1"/>
      <c r="V4046" s="1"/>
      <c r="W4046" s="1"/>
      <c r="X4046" s="1"/>
      <c r="Y4046" s="1"/>
      <c r="AB4046" s="1"/>
      <c r="AC4046" s="1"/>
      <c r="AD4046" s="1"/>
      <c r="AE4046" s="1"/>
      <c r="AF4046" s="1"/>
      <c r="AG4046" s="1"/>
      <c r="AH4046" s="1"/>
      <c r="AI4046" s="1"/>
      <c r="AJ4046" s="1"/>
      <c r="AK4046" s="1"/>
      <c r="AL4046" s="1"/>
      <c r="AM4046" s="1"/>
    </row>
    <row r="4047" spans="16:39" x14ac:dyDescent="0.25">
      <c r="P4047" s="49"/>
      <c r="Q4047" s="1"/>
      <c r="S4047" s="1"/>
      <c r="T4047" s="1"/>
      <c r="U4047" s="1"/>
      <c r="V4047" s="1"/>
      <c r="W4047" s="1"/>
      <c r="X4047" s="1"/>
      <c r="Y4047" s="1"/>
      <c r="AB4047" s="1"/>
      <c r="AC4047" s="1"/>
      <c r="AD4047" s="1"/>
      <c r="AE4047" s="1"/>
      <c r="AF4047" s="1"/>
      <c r="AG4047" s="1"/>
      <c r="AH4047" s="1"/>
      <c r="AI4047" s="1"/>
      <c r="AJ4047" s="1"/>
      <c r="AK4047" s="1"/>
      <c r="AL4047" s="1"/>
      <c r="AM4047" s="1"/>
    </row>
    <row r="4048" spans="16:39" x14ac:dyDescent="0.25">
      <c r="P4048" s="49"/>
      <c r="Q4048" s="1"/>
      <c r="S4048" s="1"/>
      <c r="T4048" s="1"/>
      <c r="U4048" s="1"/>
      <c r="V4048" s="1"/>
      <c r="W4048" s="1"/>
      <c r="X4048" s="1"/>
      <c r="Y4048" s="1"/>
      <c r="AB4048" s="1"/>
      <c r="AC4048" s="1"/>
      <c r="AD4048" s="1"/>
      <c r="AE4048" s="1"/>
      <c r="AF4048" s="1"/>
      <c r="AG4048" s="1"/>
      <c r="AH4048" s="1"/>
      <c r="AI4048" s="1"/>
      <c r="AJ4048" s="1"/>
      <c r="AK4048" s="1"/>
      <c r="AL4048" s="1"/>
      <c r="AM4048" s="1"/>
    </row>
    <row r="4049" spans="16:39" x14ac:dyDescent="0.25">
      <c r="P4049" s="49"/>
      <c r="Q4049" s="1"/>
      <c r="S4049" s="1"/>
      <c r="T4049" s="1"/>
      <c r="U4049" s="1"/>
      <c r="V4049" s="1"/>
      <c r="W4049" s="1"/>
      <c r="X4049" s="1"/>
      <c r="Y4049" s="1"/>
      <c r="AB4049" s="1"/>
      <c r="AC4049" s="1"/>
      <c r="AD4049" s="1"/>
      <c r="AE4049" s="1"/>
      <c r="AF4049" s="1"/>
      <c r="AG4049" s="1"/>
      <c r="AH4049" s="1"/>
      <c r="AI4049" s="1"/>
      <c r="AJ4049" s="1"/>
      <c r="AK4049" s="1"/>
      <c r="AL4049" s="1"/>
      <c r="AM4049" s="1"/>
    </row>
    <row r="4050" spans="16:39" x14ac:dyDescent="0.25">
      <c r="P4050" s="49"/>
      <c r="Q4050" s="1"/>
      <c r="S4050" s="1"/>
      <c r="T4050" s="1"/>
      <c r="U4050" s="1"/>
      <c r="V4050" s="1"/>
      <c r="W4050" s="1"/>
      <c r="X4050" s="1"/>
      <c r="Y4050" s="1"/>
      <c r="AB4050" s="1"/>
      <c r="AC4050" s="1"/>
      <c r="AD4050" s="1"/>
      <c r="AE4050" s="1"/>
      <c r="AF4050" s="1"/>
      <c r="AG4050" s="1"/>
      <c r="AH4050" s="1"/>
      <c r="AI4050" s="1"/>
      <c r="AJ4050" s="1"/>
      <c r="AK4050" s="1"/>
      <c r="AL4050" s="1"/>
      <c r="AM4050" s="1"/>
    </row>
    <row r="4051" spans="16:39" x14ac:dyDescent="0.25">
      <c r="P4051" s="49"/>
      <c r="Q4051" s="1"/>
      <c r="S4051" s="1"/>
      <c r="T4051" s="1"/>
      <c r="U4051" s="1"/>
      <c r="V4051" s="1"/>
      <c r="W4051" s="1"/>
      <c r="X4051" s="1"/>
      <c r="Y4051" s="1"/>
      <c r="AB4051" s="1"/>
      <c r="AC4051" s="1"/>
      <c r="AD4051" s="1"/>
      <c r="AE4051" s="1"/>
      <c r="AF4051" s="1"/>
      <c r="AG4051" s="1"/>
      <c r="AH4051" s="1"/>
      <c r="AI4051" s="1"/>
      <c r="AJ4051" s="1"/>
      <c r="AK4051" s="1"/>
      <c r="AL4051" s="1"/>
      <c r="AM4051" s="1"/>
    </row>
    <row r="4052" spans="16:39" x14ac:dyDescent="0.25">
      <c r="P4052" s="49"/>
      <c r="Q4052" s="1"/>
      <c r="S4052" s="1"/>
      <c r="T4052" s="1"/>
      <c r="U4052" s="1"/>
      <c r="V4052" s="1"/>
      <c r="W4052" s="1"/>
      <c r="X4052" s="1"/>
      <c r="Y4052" s="1"/>
      <c r="AB4052" s="1"/>
      <c r="AC4052" s="1"/>
      <c r="AD4052" s="1"/>
      <c r="AE4052" s="1"/>
      <c r="AF4052" s="1"/>
      <c r="AG4052" s="1"/>
      <c r="AH4052" s="1"/>
      <c r="AI4052" s="1"/>
      <c r="AJ4052" s="1"/>
      <c r="AK4052" s="1"/>
      <c r="AL4052" s="1"/>
      <c r="AM4052" s="1"/>
    </row>
    <row r="4053" spans="16:39" x14ac:dyDescent="0.25">
      <c r="P4053" s="49"/>
      <c r="Q4053" s="1"/>
      <c r="S4053" s="1"/>
      <c r="T4053" s="1"/>
      <c r="U4053" s="1"/>
      <c r="V4053" s="1"/>
      <c r="W4053" s="1"/>
      <c r="X4053" s="1"/>
      <c r="Y4053" s="1"/>
      <c r="AB4053" s="1"/>
      <c r="AC4053" s="1"/>
      <c r="AD4053" s="1"/>
      <c r="AE4053" s="1"/>
      <c r="AF4053" s="1"/>
      <c r="AG4053" s="1"/>
      <c r="AH4053" s="1"/>
      <c r="AI4053" s="1"/>
      <c r="AJ4053" s="1"/>
      <c r="AK4053" s="1"/>
      <c r="AL4053" s="1"/>
      <c r="AM4053" s="1"/>
    </row>
    <row r="4054" spans="16:39" x14ac:dyDescent="0.25">
      <c r="P4054" s="49"/>
      <c r="Q4054" s="1"/>
      <c r="S4054" s="1"/>
      <c r="T4054" s="1"/>
      <c r="U4054" s="1"/>
      <c r="V4054" s="1"/>
      <c r="W4054" s="1"/>
      <c r="X4054" s="1"/>
      <c r="Y4054" s="1"/>
      <c r="AB4054" s="1"/>
      <c r="AC4054" s="1"/>
      <c r="AD4054" s="1"/>
      <c r="AE4054" s="1"/>
      <c r="AF4054" s="1"/>
      <c r="AG4054" s="1"/>
      <c r="AH4054" s="1"/>
      <c r="AI4054" s="1"/>
      <c r="AJ4054" s="1"/>
      <c r="AK4054" s="1"/>
      <c r="AL4054" s="1"/>
      <c r="AM4054" s="1"/>
    </row>
    <row r="4055" spans="16:39" x14ac:dyDescent="0.25">
      <c r="P4055" s="49"/>
      <c r="Q4055" s="1"/>
      <c r="S4055" s="1"/>
      <c r="T4055" s="1"/>
      <c r="U4055" s="1"/>
      <c r="V4055" s="1"/>
      <c r="W4055" s="1"/>
      <c r="X4055" s="1"/>
      <c r="Y4055" s="1"/>
      <c r="AB4055" s="1"/>
      <c r="AC4055" s="1"/>
      <c r="AD4055" s="1"/>
      <c r="AE4055" s="1"/>
      <c r="AF4055" s="1"/>
      <c r="AG4055" s="1"/>
      <c r="AH4055" s="1"/>
      <c r="AI4055" s="1"/>
      <c r="AJ4055" s="1"/>
      <c r="AK4055" s="1"/>
      <c r="AL4055" s="1"/>
      <c r="AM4055" s="1"/>
    </row>
    <row r="4056" spans="16:39" x14ac:dyDescent="0.25">
      <c r="P4056" s="49"/>
      <c r="Q4056" s="1"/>
      <c r="S4056" s="1"/>
      <c r="T4056" s="1"/>
      <c r="U4056" s="1"/>
      <c r="V4056" s="1"/>
      <c r="W4056" s="1"/>
      <c r="X4056" s="1"/>
      <c r="Y4056" s="1"/>
      <c r="AB4056" s="1"/>
      <c r="AC4056" s="1"/>
      <c r="AD4056" s="1"/>
      <c r="AE4056" s="1"/>
      <c r="AF4056" s="1"/>
      <c r="AG4056" s="1"/>
      <c r="AH4056" s="1"/>
      <c r="AI4056" s="1"/>
      <c r="AJ4056" s="1"/>
      <c r="AK4056" s="1"/>
      <c r="AL4056" s="1"/>
      <c r="AM4056" s="1"/>
    </row>
    <row r="4057" spans="16:39" x14ac:dyDescent="0.25">
      <c r="P4057" s="49"/>
      <c r="Q4057" s="1"/>
      <c r="S4057" s="1"/>
      <c r="T4057" s="1"/>
      <c r="U4057" s="1"/>
      <c r="V4057" s="1"/>
      <c r="W4057" s="1"/>
      <c r="X4057" s="1"/>
      <c r="Y4057" s="1"/>
      <c r="AB4057" s="1"/>
      <c r="AC4057" s="1"/>
      <c r="AD4057" s="1"/>
      <c r="AE4057" s="1"/>
      <c r="AF4057" s="1"/>
      <c r="AG4057" s="1"/>
      <c r="AH4057" s="1"/>
      <c r="AI4057" s="1"/>
      <c r="AJ4057" s="1"/>
      <c r="AK4057" s="1"/>
      <c r="AL4057" s="1"/>
      <c r="AM4057" s="1"/>
    </row>
    <row r="4058" spans="16:39" x14ac:dyDescent="0.25">
      <c r="P4058" s="49"/>
      <c r="Q4058" s="1"/>
      <c r="S4058" s="1"/>
      <c r="T4058" s="1"/>
      <c r="U4058" s="1"/>
      <c r="V4058" s="1"/>
      <c r="W4058" s="1"/>
      <c r="X4058" s="1"/>
      <c r="Y4058" s="1"/>
      <c r="AB4058" s="1"/>
      <c r="AC4058" s="1"/>
      <c r="AD4058" s="1"/>
      <c r="AE4058" s="1"/>
      <c r="AF4058" s="1"/>
      <c r="AG4058" s="1"/>
      <c r="AH4058" s="1"/>
      <c r="AI4058" s="1"/>
      <c r="AJ4058" s="1"/>
      <c r="AK4058" s="1"/>
      <c r="AL4058" s="1"/>
      <c r="AM4058" s="1"/>
    </row>
    <row r="4059" spans="16:39" x14ac:dyDescent="0.25">
      <c r="P4059" s="49"/>
      <c r="Q4059" s="1"/>
      <c r="S4059" s="1"/>
      <c r="T4059" s="1"/>
      <c r="U4059" s="1"/>
      <c r="V4059" s="1"/>
      <c r="W4059" s="1"/>
      <c r="X4059" s="1"/>
      <c r="Y4059" s="1"/>
      <c r="AB4059" s="1"/>
      <c r="AC4059" s="1"/>
      <c r="AD4059" s="1"/>
      <c r="AE4059" s="1"/>
      <c r="AF4059" s="1"/>
      <c r="AG4059" s="1"/>
      <c r="AH4059" s="1"/>
      <c r="AI4059" s="1"/>
      <c r="AJ4059" s="1"/>
      <c r="AK4059" s="1"/>
      <c r="AL4059" s="1"/>
      <c r="AM4059" s="1"/>
    </row>
    <row r="4060" spans="16:39" x14ac:dyDescent="0.25">
      <c r="P4060" s="49"/>
      <c r="Q4060" s="1"/>
      <c r="S4060" s="1"/>
      <c r="T4060" s="1"/>
      <c r="U4060" s="1"/>
      <c r="V4060" s="1"/>
      <c r="W4060" s="1"/>
      <c r="X4060" s="1"/>
      <c r="Y4060" s="1"/>
      <c r="AB4060" s="1"/>
      <c r="AC4060" s="1"/>
      <c r="AD4060" s="1"/>
      <c r="AE4060" s="1"/>
      <c r="AF4060" s="1"/>
      <c r="AG4060" s="1"/>
      <c r="AH4060" s="1"/>
      <c r="AI4060" s="1"/>
      <c r="AJ4060" s="1"/>
      <c r="AK4060" s="1"/>
      <c r="AL4060" s="1"/>
      <c r="AM4060" s="1"/>
    </row>
    <row r="4061" spans="16:39" x14ac:dyDescent="0.25">
      <c r="P4061" s="49"/>
      <c r="Q4061" s="1"/>
      <c r="S4061" s="1"/>
      <c r="T4061" s="1"/>
      <c r="U4061" s="1"/>
      <c r="V4061" s="1"/>
      <c r="W4061" s="1"/>
      <c r="X4061" s="1"/>
      <c r="Y4061" s="1"/>
      <c r="AB4061" s="1"/>
      <c r="AC4061" s="1"/>
      <c r="AD4061" s="1"/>
      <c r="AE4061" s="1"/>
      <c r="AF4061" s="1"/>
      <c r="AG4061" s="1"/>
      <c r="AH4061" s="1"/>
      <c r="AI4061" s="1"/>
      <c r="AJ4061" s="1"/>
      <c r="AK4061" s="1"/>
      <c r="AL4061" s="1"/>
      <c r="AM4061" s="1"/>
    </row>
    <row r="4062" spans="16:39" x14ac:dyDescent="0.25">
      <c r="P4062" s="49"/>
      <c r="Q4062" s="1"/>
      <c r="S4062" s="1"/>
      <c r="T4062" s="1"/>
      <c r="U4062" s="1"/>
      <c r="V4062" s="1"/>
      <c r="W4062" s="1"/>
      <c r="X4062" s="1"/>
      <c r="Y4062" s="1"/>
      <c r="AB4062" s="1"/>
      <c r="AC4062" s="1"/>
      <c r="AD4062" s="1"/>
      <c r="AE4062" s="1"/>
      <c r="AF4062" s="1"/>
      <c r="AG4062" s="1"/>
      <c r="AH4062" s="1"/>
      <c r="AI4062" s="1"/>
      <c r="AJ4062" s="1"/>
      <c r="AK4062" s="1"/>
      <c r="AL4062" s="1"/>
      <c r="AM4062" s="1"/>
    </row>
    <row r="4063" spans="16:39" x14ac:dyDescent="0.25">
      <c r="P4063" s="49"/>
      <c r="Q4063" s="1"/>
      <c r="S4063" s="1"/>
      <c r="T4063" s="1"/>
      <c r="U4063" s="1"/>
      <c r="V4063" s="1"/>
      <c r="W4063" s="1"/>
      <c r="X4063" s="1"/>
      <c r="Y4063" s="1"/>
      <c r="AB4063" s="1"/>
      <c r="AC4063" s="1"/>
      <c r="AD4063" s="1"/>
      <c r="AE4063" s="1"/>
      <c r="AF4063" s="1"/>
      <c r="AG4063" s="1"/>
      <c r="AH4063" s="1"/>
      <c r="AI4063" s="1"/>
      <c r="AJ4063" s="1"/>
      <c r="AK4063" s="1"/>
      <c r="AL4063" s="1"/>
      <c r="AM4063" s="1"/>
    </row>
    <row r="4064" spans="16:39" x14ac:dyDescent="0.25">
      <c r="P4064" s="49"/>
      <c r="Q4064" s="1"/>
      <c r="S4064" s="1"/>
      <c r="T4064" s="1"/>
      <c r="U4064" s="1"/>
      <c r="V4064" s="1"/>
      <c r="W4064" s="1"/>
      <c r="X4064" s="1"/>
      <c r="Y4064" s="1"/>
      <c r="AB4064" s="1"/>
      <c r="AC4064" s="1"/>
      <c r="AD4064" s="1"/>
      <c r="AE4064" s="1"/>
      <c r="AF4064" s="1"/>
      <c r="AG4064" s="1"/>
      <c r="AH4064" s="1"/>
      <c r="AI4064" s="1"/>
      <c r="AJ4064" s="1"/>
      <c r="AK4064" s="1"/>
      <c r="AL4064" s="1"/>
      <c r="AM4064" s="1"/>
    </row>
    <row r="4065" spans="16:39" x14ac:dyDescent="0.25">
      <c r="P4065" s="49"/>
      <c r="Q4065" s="1"/>
      <c r="S4065" s="1"/>
      <c r="T4065" s="1"/>
      <c r="U4065" s="1"/>
      <c r="V4065" s="1"/>
      <c r="W4065" s="1"/>
      <c r="X4065" s="1"/>
      <c r="Y4065" s="1"/>
      <c r="AB4065" s="1"/>
      <c r="AC4065" s="1"/>
      <c r="AD4065" s="1"/>
      <c r="AE4065" s="1"/>
      <c r="AF4065" s="1"/>
      <c r="AG4065" s="1"/>
      <c r="AH4065" s="1"/>
      <c r="AI4065" s="1"/>
      <c r="AJ4065" s="1"/>
      <c r="AK4065" s="1"/>
      <c r="AL4065" s="1"/>
      <c r="AM4065" s="1"/>
    </row>
    <row r="4066" spans="16:39" x14ac:dyDescent="0.25">
      <c r="P4066" s="49"/>
      <c r="Q4066" s="1"/>
      <c r="S4066" s="1"/>
      <c r="T4066" s="1"/>
      <c r="U4066" s="1"/>
      <c r="V4066" s="1"/>
      <c r="W4066" s="1"/>
      <c r="X4066" s="1"/>
      <c r="Y4066" s="1"/>
      <c r="AB4066" s="1"/>
      <c r="AC4066" s="1"/>
      <c r="AD4066" s="1"/>
      <c r="AE4066" s="1"/>
      <c r="AF4066" s="1"/>
      <c r="AG4066" s="1"/>
      <c r="AH4066" s="1"/>
      <c r="AI4066" s="1"/>
      <c r="AJ4066" s="1"/>
      <c r="AK4066" s="1"/>
      <c r="AL4066" s="1"/>
      <c r="AM4066" s="1"/>
    </row>
    <row r="4067" spans="16:39" x14ac:dyDescent="0.25">
      <c r="P4067" s="49"/>
      <c r="Q4067" s="1"/>
      <c r="S4067" s="1"/>
      <c r="T4067" s="1"/>
      <c r="U4067" s="1"/>
      <c r="V4067" s="1"/>
      <c r="W4067" s="1"/>
      <c r="X4067" s="1"/>
      <c r="Y4067" s="1"/>
      <c r="AB4067" s="1"/>
      <c r="AC4067" s="1"/>
      <c r="AD4067" s="1"/>
      <c r="AE4067" s="1"/>
      <c r="AF4067" s="1"/>
      <c r="AG4067" s="1"/>
      <c r="AH4067" s="1"/>
      <c r="AI4067" s="1"/>
      <c r="AJ4067" s="1"/>
      <c r="AK4067" s="1"/>
      <c r="AL4067" s="1"/>
      <c r="AM4067" s="1"/>
    </row>
    <row r="4068" spans="16:39" x14ac:dyDescent="0.25">
      <c r="P4068" s="49"/>
      <c r="Q4068" s="1"/>
      <c r="S4068" s="1"/>
      <c r="T4068" s="1"/>
      <c r="U4068" s="1"/>
      <c r="V4068" s="1"/>
      <c r="W4068" s="1"/>
      <c r="X4068" s="1"/>
      <c r="Y4068" s="1"/>
      <c r="AB4068" s="1"/>
      <c r="AC4068" s="1"/>
      <c r="AD4068" s="1"/>
      <c r="AE4068" s="1"/>
      <c r="AF4068" s="1"/>
      <c r="AG4068" s="1"/>
      <c r="AH4068" s="1"/>
      <c r="AI4068" s="1"/>
      <c r="AJ4068" s="1"/>
      <c r="AK4068" s="1"/>
      <c r="AL4068" s="1"/>
      <c r="AM4068" s="1"/>
    </row>
    <row r="4069" spans="16:39" x14ac:dyDescent="0.25">
      <c r="P4069" s="49"/>
      <c r="Q4069" s="1"/>
      <c r="S4069" s="1"/>
      <c r="T4069" s="1"/>
      <c r="U4069" s="1"/>
      <c r="V4069" s="1"/>
      <c r="W4069" s="1"/>
      <c r="X4069" s="1"/>
      <c r="Y4069" s="1"/>
      <c r="AB4069" s="1"/>
      <c r="AC4069" s="1"/>
      <c r="AD4069" s="1"/>
      <c r="AE4069" s="1"/>
      <c r="AF4069" s="1"/>
      <c r="AG4069" s="1"/>
      <c r="AH4069" s="1"/>
      <c r="AI4069" s="1"/>
      <c r="AJ4069" s="1"/>
      <c r="AK4069" s="1"/>
      <c r="AL4069" s="1"/>
      <c r="AM4069" s="1"/>
    </row>
    <row r="4070" spans="16:39" x14ac:dyDescent="0.25">
      <c r="P4070" s="49"/>
      <c r="Q4070" s="1"/>
      <c r="S4070" s="1"/>
      <c r="T4070" s="1"/>
      <c r="U4070" s="1"/>
      <c r="V4070" s="1"/>
      <c r="W4070" s="1"/>
      <c r="X4070" s="1"/>
      <c r="Y4070" s="1"/>
      <c r="AB4070" s="1"/>
      <c r="AC4070" s="1"/>
      <c r="AD4070" s="1"/>
      <c r="AE4070" s="1"/>
      <c r="AF4070" s="1"/>
      <c r="AG4070" s="1"/>
      <c r="AH4070" s="1"/>
      <c r="AI4070" s="1"/>
      <c r="AJ4070" s="1"/>
      <c r="AK4070" s="1"/>
      <c r="AL4070" s="1"/>
      <c r="AM4070" s="1"/>
    </row>
    <row r="4071" spans="16:39" x14ac:dyDescent="0.25">
      <c r="P4071" s="49"/>
      <c r="Q4071" s="1"/>
      <c r="S4071" s="1"/>
      <c r="T4071" s="1"/>
      <c r="U4071" s="1"/>
      <c r="V4071" s="1"/>
      <c r="W4071" s="1"/>
      <c r="X4071" s="1"/>
      <c r="Y4071" s="1"/>
      <c r="AB4071" s="1"/>
      <c r="AC4071" s="1"/>
      <c r="AD4071" s="1"/>
      <c r="AE4071" s="1"/>
      <c r="AF4071" s="1"/>
      <c r="AG4071" s="1"/>
      <c r="AH4071" s="1"/>
      <c r="AI4071" s="1"/>
      <c r="AJ4071" s="1"/>
      <c r="AK4071" s="1"/>
      <c r="AL4071" s="1"/>
      <c r="AM4071" s="1"/>
    </row>
    <row r="4072" spans="16:39" x14ac:dyDescent="0.25">
      <c r="P4072" s="49"/>
      <c r="Q4072" s="1"/>
      <c r="S4072" s="1"/>
      <c r="T4072" s="1"/>
      <c r="U4072" s="1"/>
      <c r="V4072" s="1"/>
      <c r="W4072" s="1"/>
      <c r="X4072" s="1"/>
      <c r="Y4072" s="1"/>
      <c r="AB4072" s="1"/>
      <c r="AC4072" s="1"/>
      <c r="AD4072" s="1"/>
      <c r="AE4072" s="1"/>
      <c r="AF4072" s="1"/>
      <c r="AG4072" s="1"/>
      <c r="AH4072" s="1"/>
      <c r="AI4072" s="1"/>
      <c r="AJ4072" s="1"/>
      <c r="AK4072" s="1"/>
      <c r="AL4072" s="1"/>
      <c r="AM4072" s="1"/>
    </row>
    <row r="4073" spans="16:39" x14ac:dyDescent="0.25">
      <c r="P4073" s="49"/>
      <c r="Q4073" s="1"/>
      <c r="S4073" s="1"/>
      <c r="T4073" s="1"/>
      <c r="U4073" s="1"/>
      <c r="V4073" s="1"/>
      <c r="W4073" s="1"/>
      <c r="X4073" s="1"/>
      <c r="Y4073" s="1"/>
      <c r="AB4073" s="1"/>
      <c r="AC4073" s="1"/>
      <c r="AD4073" s="1"/>
      <c r="AE4073" s="1"/>
      <c r="AF4073" s="1"/>
      <c r="AG4073" s="1"/>
      <c r="AH4073" s="1"/>
      <c r="AI4073" s="1"/>
      <c r="AJ4073" s="1"/>
      <c r="AK4073" s="1"/>
      <c r="AL4073" s="1"/>
      <c r="AM4073" s="1"/>
    </row>
    <row r="4074" spans="16:39" x14ac:dyDescent="0.25">
      <c r="P4074" s="49"/>
      <c r="Q4074" s="1"/>
      <c r="S4074" s="1"/>
      <c r="T4074" s="1"/>
      <c r="U4074" s="1"/>
      <c r="V4074" s="1"/>
      <c r="W4074" s="1"/>
      <c r="X4074" s="1"/>
      <c r="Y4074" s="1"/>
      <c r="AB4074" s="1"/>
      <c r="AC4074" s="1"/>
      <c r="AD4074" s="1"/>
      <c r="AE4074" s="1"/>
      <c r="AF4074" s="1"/>
      <c r="AG4074" s="1"/>
      <c r="AH4074" s="1"/>
      <c r="AI4074" s="1"/>
      <c r="AJ4074" s="1"/>
      <c r="AK4074" s="1"/>
      <c r="AL4074" s="1"/>
      <c r="AM4074" s="1"/>
    </row>
    <row r="4075" spans="16:39" x14ac:dyDescent="0.25">
      <c r="P4075" s="49"/>
      <c r="Q4075" s="1"/>
      <c r="S4075" s="1"/>
      <c r="T4075" s="1"/>
      <c r="U4075" s="1"/>
      <c r="V4075" s="1"/>
      <c r="W4075" s="1"/>
      <c r="X4075" s="1"/>
      <c r="Y4075" s="1"/>
      <c r="AB4075" s="1"/>
      <c r="AC4075" s="1"/>
      <c r="AD4075" s="1"/>
      <c r="AE4075" s="1"/>
      <c r="AF4075" s="1"/>
      <c r="AG4075" s="1"/>
      <c r="AH4075" s="1"/>
      <c r="AI4075" s="1"/>
      <c r="AJ4075" s="1"/>
      <c r="AK4075" s="1"/>
      <c r="AL4075" s="1"/>
      <c r="AM4075" s="1"/>
    </row>
    <row r="4076" spans="16:39" x14ac:dyDescent="0.25">
      <c r="P4076" s="49"/>
      <c r="Q4076" s="1"/>
      <c r="S4076" s="1"/>
      <c r="T4076" s="1"/>
      <c r="U4076" s="1"/>
      <c r="V4076" s="1"/>
      <c r="W4076" s="1"/>
      <c r="X4076" s="1"/>
      <c r="Y4076" s="1"/>
      <c r="AB4076" s="1"/>
      <c r="AC4076" s="1"/>
      <c r="AD4076" s="1"/>
      <c r="AE4076" s="1"/>
      <c r="AF4076" s="1"/>
      <c r="AG4076" s="1"/>
      <c r="AH4076" s="1"/>
      <c r="AI4076" s="1"/>
      <c r="AJ4076" s="1"/>
      <c r="AK4076" s="1"/>
      <c r="AL4076" s="1"/>
      <c r="AM4076" s="1"/>
    </row>
    <row r="4077" spans="16:39" x14ac:dyDescent="0.25">
      <c r="P4077" s="49"/>
      <c r="Q4077" s="1"/>
      <c r="S4077" s="1"/>
      <c r="T4077" s="1"/>
      <c r="U4077" s="1"/>
      <c r="V4077" s="1"/>
      <c r="W4077" s="1"/>
      <c r="X4077" s="1"/>
      <c r="Y4077" s="1"/>
      <c r="AB4077" s="1"/>
      <c r="AC4077" s="1"/>
      <c r="AD4077" s="1"/>
      <c r="AE4077" s="1"/>
      <c r="AF4077" s="1"/>
      <c r="AG4077" s="1"/>
      <c r="AH4077" s="1"/>
      <c r="AI4077" s="1"/>
      <c r="AJ4077" s="1"/>
      <c r="AK4077" s="1"/>
      <c r="AL4077" s="1"/>
      <c r="AM4077" s="1"/>
    </row>
    <row r="4078" spans="16:39" x14ac:dyDescent="0.25">
      <c r="P4078" s="49"/>
      <c r="Q4078" s="1"/>
      <c r="S4078" s="1"/>
      <c r="T4078" s="1"/>
      <c r="U4078" s="1"/>
      <c r="V4078" s="1"/>
      <c r="W4078" s="1"/>
      <c r="X4078" s="1"/>
      <c r="Y4078" s="1"/>
      <c r="AB4078" s="1"/>
      <c r="AC4078" s="1"/>
      <c r="AD4078" s="1"/>
      <c r="AE4078" s="1"/>
      <c r="AF4078" s="1"/>
      <c r="AG4078" s="1"/>
      <c r="AH4078" s="1"/>
      <c r="AI4078" s="1"/>
      <c r="AJ4078" s="1"/>
      <c r="AK4078" s="1"/>
      <c r="AL4078" s="1"/>
      <c r="AM4078" s="1"/>
    </row>
    <row r="4079" spans="16:39" x14ac:dyDescent="0.25">
      <c r="P4079" s="49"/>
      <c r="Q4079" s="1"/>
      <c r="S4079" s="1"/>
      <c r="T4079" s="1"/>
      <c r="U4079" s="1"/>
      <c r="V4079" s="1"/>
      <c r="W4079" s="1"/>
      <c r="X4079" s="1"/>
      <c r="Y4079" s="1"/>
      <c r="AB4079" s="1"/>
      <c r="AC4079" s="1"/>
      <c r="AD4079" s="1"/>
      <c r="AE4079" s="1"/>
      <c r="AF4079" s="1"/>
      <c r="AG4079" s="1"/>
      <c r="AH4079" s="1"/>
      <c r="AI4079" s="1"/>
      <c r="AJ4079" s="1"/>
      <c r="AK4079" s="1"/>
      <c r="AL4079" s="1"/>
      <c r="AM4079" s="1"/>
    </row>
    <row r="4080" spans="16:39" x14ac:dyDescent="0.25">
      <c r="P4080" s="49"/>
      <c r="Q4080" s="1"/>
      <c r="S4080" s="1"/>
      <c r="T4080" s="1"/>
      <c r="U4080" s="1"/>
      <c r="V4080" s="1"/>
      <c r="W4080" s="1"/>
      <c r="X4080" s="1"/>
      <c r="Y4080" s="1"/>
      <c r="AB4080" s="1"/>
      <c r="AC4080" s="1"/>
      <c r="AD4080" s="1"/>
      <c r="AE4080" s="1"/>
      <c r="AF4080" s="1"/>
      <c r="AG4080" s="1"/>
      <c r="AH4080" s="1"/>
      <c r="AI4080" s="1"/>
      <c r="AJ4080" s="1"/>
      <c r="AK4080" s="1"/>
      <c r="AL4080" s="1"/>
      <c r="AM4080" s="1"/>
    </row>
    <row r="4081" spans="16:39" x14ac:dyDescent="0.25">
      <c r="P4081" s="49"/>
      <c r="Q4081" s="1"/>
      <c r="S4081" s="1"/>
      <c r="T4081" s="1"/>
      <c r="U4081" s="1"/>
      <c r="V4081" s="1"/>
      <c r="W4081" s="1"/>
      <c r="X4081" s="1"/>
      <c r="Y4081" s="1"/>
      <c r="AB4081" s="1"/>
      <c r="AC4081" s="1"/>
      <c r="AD4081" s="1"/>
      <c r="AE4081" s="1"/>
      <c r="AF4081" s="1"/>
      <c r="AG4081" s="1"/>
      <c r="AH4081" s="1"/>
      <c r="AI4081" s="1"/>
      <c r="AJ4081" s="1"/>
      <c r="AK4081" s="1"/>
      <c r="AL4081" s="1"/>
      <c r="AM4081" s="1"/>
    </row>
    <row r="4082" spans="16:39" x14ac:dyDescent="0.25">
      <c r="P4082" s="49"/>
      <c r="Q4082" s="1"/>
      <c r="S4082" s="1"/>
      <c r="T4082" s="1"/>
      <c r="U4082" s="1"/>
      <c r="V4082" s="1"/>
      <c r="W4082" s="1"/>
      <c r="X4082" s="1"/>
      <c r="Y4082" s="1"/>
      <c r="AB4082" s="1"/>
      <c r="AC4082" s="1"/>
      <c r="AD4082" s="1"/>
      <c r="AE4082" s="1"/>
      <c r="AF4082" s="1"/>
      <c r="AG4082" s="1"/>
      <c r="AH4082" s="1"/>
      <c r="AI4082" s="1"/>
      <c r="AJ4082" s="1"/>
      <c r="AK4082" s="1"/>
      <c r="AL4082" s="1"/>
      <c r="AM4082" s="1"/>
    </row>
    <row r="4083" spans="16:39" x14ac:dyDescent="0.25">
      <c r="P4083" s="49"/>
      <c r="Q4083" s="1"/>
      <c r="S4083" s="1"/>
      <c r="T4083" s="1"/>
      <c r="U4083" s="1"/>
      <c r="V4083" s="1"/>
      <c r="W4083" s="1"/>
      <c r="X4083" s="1"/>
      <c r="Y4083" s="1"/>
      <c r="AB4083" s="1"/>
      <c r="AC4083" s="1"/>
      <c r="AD4083" s="1"/>
      <c r="AE4083" s="1"/>
      <c r="AF4083" s="1"/>
      <c r="AG4083" s="1"/>
      <c r="AH4083" s="1"/>
      <c r="AI4083" s="1"/>
      <c r="AJ4083" s="1"/>
      <c r="AK4083" s="1"/>
      <c r="AL4083" s="1"/>
      <c r="AM4083" s="1"/>
    </row>
    <row r="4084" spans="16:39" x14ac:dyDescent="0.25">
      <c r="P4084" s="49"/>
      <c r="Q4084" s="1"/>
      <c r="S4084" s="1"/>
      <c r="T4084" s="1"/>
      <c r="U4084" s="1"/>
      <c r="V4084" s="1"/>
      <c r="W4084" s="1"/>
      <c r="X4084" s="1"/>
      <c r="Y4084" s="1"/>
      <c r="AB4084" s="1"/>
      <c r="AC4084" s="1"/>
      <c r="AD4084" s="1"/>
      <c r="AE4084" s="1"/>
      <c r="AF4084" s="1"/>
      <c r="AG4084" s="1"/>
      <c r="AH4084" s="1"/>
      <c r="AI4084" s="1"/>
      <c r="AJ4084" s="1"/>
      <c r="AK4084" s="1"/>
      <c r="AL4084" s="1"/>
      <c r="AM4084" s="1"/>
    </row>
    <row r="4085" spans="16:39" x14ac:dyDescent="0.25">
      <c r="P4085" s="49"/>
      <c r="Q4085" s="1"/>
      <c r="S4085" s="1"/>
      <c r="T4085" s="1"/>
      <c r="U4085" s="1"/>
      <c r="V4085" s="1"/>
      <c r="W4085" s="1"/>
      <c r="X4085" s="1"/>
      <c r="Y4085" s="1"/>
      <c r="AB4085" s="1"/>
      <c r="AC4085" s="1"/>
      <c r="AD4085" s="1"/>
      <c r="AE4085" s="1"/>
      <c r="AF4085" s="1"/>
      <c r="AG4085" s="1"/>
      <c r="AH4085" s="1"/>
      <c r="AI4085" s="1"/>
      <c r="AJ4085" s="1"/>
      <c r="AK4085" s="1"/>
      <c r="AL4085" s="1"/>
      <c r="AM4085" s="1"/>
    </row>
    <row r="4086" spans="16:39" x14ac:dyDescent="0.25">
      <c r="P4086" s="49"/>
      <c r="Q4086" s="1"/>
      <c r="S4086" s="1"/>
      <c r="T4086" s="1"/>
      <c r="U4086" s="1"/>
      <c r="V4086" s="1"/>
      <c r="W4086" s="1"/>
      <c r="X4086" s="1"/>
      <c r="Y4086" s="1"/>
      <c r="AB4086" s="1"/>
      <c r="AC4086" s="1"/>
      <c r="AD4086" s="1"/>
      <c r="AE4086" s="1"/>
      <c r="AF4086" s="1"/>
      <c r="AG4086" s="1"/>
      <c r="AH4086" s="1"/>
      <c r="AI4086" s="1"/>
      <c r="AJ4086" s="1"/>
      <c r="AK4086" s="1"/>
      <c r="AL4086" s="1"/>
      <c r="AM4086" s="1"/>
    </row>
    <row r="4087" spans="16:39" x14ac:dyDescent="0.25">
      <c r="P4087" s="49"/>
      <c r="Q4087" s="1"/>
      <c r="S4087" s="1"/>
      <c r="T4087" s="1"/>
      <c r="U4087" s="1"/>
      <c r="V4087" s="1"/>
      <c r="W4087" s="1"/>
      <c r="X4087" s="1"/>
      <c r="Y4087" s="1"/>
      <c r="AB4087" s="1"/>
      <c r="AC4087" s="1"/>
      <c r="AD4087" s="1"/>
      <c r="AE4087" s="1"/>
      <c r="AF4087" s="1"/>
      <c r="AG4087" s="1"/>
      <c r="AH4087" s="1"/>
      <c r="AI4087" s="1"/>
      <c r="AJ4087" s="1"/>
      <c r="AK4087" s="1"/>
      <c r="AL4087" s="1"/>
      <c r="AM4087" s="1"/>
    </row>
    <row r="4088" spans="16:39" x14ac:dyDescent="0.25">
      <c r="P4088" s="49"/>
      <c r="Q4088" s="1"/>
      <c r="S4088" s="1"/>
      <c r="T4088" s="1"/>
      <c r="U4088" s="1"/>
      <c r="V4088" s="1"/>
      <c r="W4088" s="1"/>
      <c r="X4088" s="1"/>
      <c r="Y4088" s="1"/>
      <c r="AB4088" s="1"/>
      <c r="AC4088" s="1"/>
      <c r="AD4088" s="1"/>
      <c r="AE4088" s="1"/>
      <c r="AF4088" s="1"/>
      <c r="AG4088" s="1"/>
      <c r="AH4088" s="1"/>
      <c r="AI4088" s="1"/>
      <c r="AJ4088" s="1"/>
      <c r="AK4088" s="1"/>
      <c r="AL4088" s="1"/>
      <c r="AM4088" s="1"/>
    </row>
    <row r="4089" spans="16:39" x14ac:dyDescent="0.25">
      <c r="P4089" s="49"/>
      <c r="Q4089" s="1"/>
      <c r="S4089" s="1"/>
      <c r="T4089" s="1"/>
      <c r="U4089" s="1"/>
      <c r="V4089" s="1"/>
      <c r="W4089" s="1"/>
      <c r="X4089" s="1"/>
      <c r="Y4089" s="1"/>
      <c r="AB4089" s="1"/>
      <c r="AC4089" s="1"/>
      <c r="AD4089" s="1"/>
      <c r="AE4089" s="1"/>
      <c r="AF4089" s="1"/>
      <c r="AG4089" s="1"/>
      <c r="AH4089" s="1"/>
      <c r="AI4089" s="1"/>
      <c r="AJ4089" s="1"/>
      <c r="AK4089" s="1"/>
      <c r="AL4089" s="1"/>
      <c r="AM4089" s="1"/>
    </row>
    <row r="4090" spans="16:39" x14ac:dyDescent="0.25">
      <c r="P4090" s="49"/>
      <c r="Q4090" s="1"/>
      <c r="S4090" s="1"/>
      <c r="T4090" s="1"/>
      <c r="U4090" s="1"/>
      <c r="V4090" s="1"/>
      <c r="W4090" s="1"/>
      <c r="X4090" s="1"/>
      <c r="Y4090" s="1"/>
      <c r="AB4090" s="1"/>
      <c r="AC4090" s="1"/>
      <c r="AD4090" s="1"/>
      <c r="AE4090" s="1"/>
      <c r="AF4090" s="1"/>
      <c r="AG4090" s="1"/>
      <c r="AH4090" s="1"/>
      <c r="AI4090" s="1"/>
      <c r="AJ4090" s="1"/>
      <c r="AK4090" s="1"/>
      <c r="AL4090" s="1"/>
      <c r="AM4090" s="1"/>
    </row>
    <row r="4091" spans="16:39" x14ac:dyDescent="0.25">
      <c r="P4091" s="49"/>
      <c r="Q4091" s="1"/>
      <c r="S4091" s="1"/>
      <c r="T4091" s="1"/>
      <c r="U4091" s="1"/>
      <c r="V4091" s="1"/>
      <c r="W4091" s="1"/>
      <c r="X4091" s="1"/>
      <c r="Y4091" s="1"/>
      <c r="AB4091" s="1"/>
      <c r="AC4091" s="1"/>
      <c r="AD4091" s="1"/>
      <c r="AE4091" s="1"/>
      <c r="AF4091" s="1"/>
      <c r="AG4091" s="1"/>
      <c r="AH4091" s="1"/>
      <c r="AI4091" s="1"/>
      <c r="AJ4091" s="1"/>
      <c r="AK4091" s="1"/>
      <c r="AL4091" s="1"/>
      <c r="AM4091" s="1"/>
    </row>
    <row r="4092" spans="16:39" x14ac:dyDescent="0.25">
      <c r="P4092" s="49"/>
      <c r="Q4092" s="1"/>
      <c r="S4092" s="1"/>
      <c r="T4092" s="1"/>
      <c r="U4092" s="1"/>
      <c r="V4092" s="1"/>
      <c r="W4092" s="1"/>
      <c r="X4092" s="1"/>
      <c r="Y4092" s="1"/>
      <c r="AB4092" s="1"/>
      <c r="AC4092" s="1"/>
      <c r="AD4092" s="1"/>
      <c r="AE4092" s="1"/>
      <c r="AF4092" s="1"/>
      <c r="AG4092" s="1"/>
      <c r="AH4092" s="1"/>
      <c r="AI4092" s="1"/>
      <c r="AJ4092" s="1"/>
      <c r="AK4092" s="1"/>
      <c r="AL4092" s="1"/>
      <c r="AM4092" s="1"/>
    </row>
    <row r="4093" spans="16:39" x14ac:dyDescent="0.25">
      <c r="P4093" s="49"/>
      <c r="Q4093" s="1"/>
      <c r="S4093" s="1"/>
      <c r="T4093" s="1"/>
      <c r="U4093" s="1"/>
      <c r="V4093" s="1"/>
      <c r="W4093" s="1"/>
      <c r="X4093" s="1"/>
      <c r="Y4093" s="1"/>
      <c r="AB4093" s="1"/>
      <c r="AC4093" s="1"/>
      <c r="AD4093" s="1"/>
      <c r="AE4093" s="1"/>
      <c r="AF4093" s="1"/>
      <c r="AG4093" s="1"/>
      <c r="AH4093" s="1"/>
      <c r="AI4093" s="1"/>
      <c r="AJ4093" s="1"/>
      <c r="AK4093" s="1"/>
      <c r="AL4093" s="1"/>
      <c r="AM4093" s="1"/>
    </row>
    <row r="4094" spans="16:39" x14ac:dyDescent="0.25">
      <c r="P4094" s="49"/>
      <c r="Q4094" s="1"/>
      <c r="S4094" s="1"/>
      <c r="T4094" s="1"/>
      <c r="U4094" s="1"/>
      <c r="V4094" s="1"/>
      <c r="W4094" s="1"/>
      <c r="X4094" s="1"/>
      <c r="Y4094" s="1"/>
      <c r="AB4094" s="1"/>
      <c r="AC4094" s="1"/>
      <c r="AD4094" s="1"/>
      <c r="AE4094" s="1"/>
      <c r="AF4094" s="1"/>
      <c r="AG4094" s="1"/>
      <c r="AH4094" s="1"/>
      <c r="AI4094" s="1"/>
      <c r="AJ4094" s="1"/>
      <c r="AK4094" s="1"/>
      <c r="AL4094" s="1"/>
      <c r="AM4094" s="1"/>
    </row>
    <row r="4095" spans="16:39" x14ac:dyDescent="0.25">
      <c r="P4095" s="49"/>
      <c r="Q4095" s="1"/>
      <c r="S4095" s="1"/>
      <c r="T4095" s="1"/>
      <c r="U4095" s="1"/>
      <c r="V4095" s="1"/>
      <c r="W4095" s="1"/>
      <c r="X4095" s="1"/>
      <c r="Y4095" s="1"/>
      <c r="AB4095" s="1"/>
      <c r="AC4095" s="1"/>
      <c r="AD4095" s="1"/>
      <c r="AE4095" s="1"/>
      <c r="AF4095" s="1"/>
      <c r="AG4095" s="1"/>
      <c r="AH4095" s="1"/>
      <c r="AI4095" s="1"/>
      <c r="AJ4095" s="1"/>
      <c r="AK4095" s="1"/>
      <c r="AL4095" s="1"/>
      <c r="AM4095" s="1"/>
    </row>
    <row r="4096" spans="16:39" x14ac:dyDescent="0.25">
      <c r="P4096" s="49"/>
      <c r="Q4096" s="1"/>
      <c r="S4096" s="1"/>
      <c r="T4096" s="1"/>
      <c r="U4096" s="1"/>
      <c r="V4096" s="1"/>
      <c r="W4096" s="1"/>
      <c r="X4096" s="1"/>
      <c r="Y4096" s="1"/>
      <c r="AB4096" s="1"/>
      <c r="AC4096" s="1"/>
      <c r="AD4096" s="1"/>
      <c r="AE4096" s="1"/>
      <c r="AF4096" s="1"/>
      <c r="AG4096" s="1"/>
      <c r="AH4096" s="1"/>
      <c r="AI4096" s="1"/>
      <c r="AJ4096" s="1"/>
      <c r="AK4096" s="1"/>
      <c r="AL4096" s="1"/>
      <c r="AM4096" s="1"/>
    </row>
    <row r="4097" spans="16:39" x14ac:dyDescent="0.25">
      <c r="P4097" s="49"/>
      <c r="Q4097" s="1"/>
      <c r="S4097" s="1"/>
      <c r="T4097" s="1"/>
      <c r="U4097" s="1"/>
      <c r="V4097" s="1"/>
      <c r="W4097" s="1"/>
      <c r="X4097" s="1"/>
      <c r="Y4097" s="1"/>
      <c r="AB4097" s="1"/>
      <c r="AC4097" s="1"/>
      <c r="AD4097" s="1"/>
      <c r="AE4097" s="1"/>
      <c r="AF4097" s="1"/>
      <c r="AG4097" s="1"/>
      <c r="AH4097" s="1"/>
      <c r="AI4097" s="1"/>
      <c r="AJ4097" s="1"/>
      <c r="AK4097" s="1"/>
      <c r="AL4097" s="1"/>
      <c r="AM4097" s="1"/>
    </row>
    <row r="4098" spans="16:39" x14ac:dyDescent="0.25">
      <c r="P4098" s="49"/>
      <c r="Q4098" s="1"/>
      <c r="S4098" s="1"/>
      <c r="T4098" s="1"/>
      <c r="U4098" s="1"/>
      <c r="V4098" s="1"/>
      <c r="W4098" s="1"/>
      <c r="X4098" s="1"/>
      <c r="Y4098" s="1"/>
      <c r="AB4098" s="1"/>
      <c r="AC4098" s="1"/>
      <c r="AD4098" s="1"/>
      <c r="AE4098" s="1"/>
      <c r="AF4098" s="1"/>
      <c r="AG4098" s="1"/>
      <c r="AH4098" s="1"/>
      <c r="AI4098" s="1"/>
      <c r="AJ4098" s="1"/>
      <c r="AK4098" s="1"/>
      <c r="AL4098" s="1"/>
      <c r="AM4098" s="1"/>
    </row>
    <row r="4099" spans="16:39" x14ac:dyDescent="0.25">
      <c r="P4099" s="49"/>
      <c r="Q4099" s="1"/>
      <c r="S4099" s="1"/>
      <c r="T4099" s="1"/>
      <c r="U4099" s="1"/>
      <c r="V4099" s="1"/>
      <c r="W4099" s="1"/>
      <c r="X4099" s="1"/>
      <c r="Y4099" s="1"/>
      <c r="AB4099" s="1"/>
      <c r="AC4099" s="1"/>
      <c r="AD4099" s="1"/>
      <c r="AE4099" s="1"/>
      <c r="AF4099" s="1"/>
      <c r="AG4099" s="1"/>
      <c r="AH4099" s="1"/>
      <c r="AI4099" s="1"/>
      <c r="AJ4099" s="1"/>
      <c r="AK4099" s="1"/>
      <c r="AL4099" s="1"/>
      <c r="AM4099" s="1"/>
    </row>
    <row r="4100" spans="16:39" x14ac:dyDescent="0.25">
      <c r="P4100" s="49"/>
      <c r="Q4100" s="1"/>
      <c r="S4100" s="1"/>
      <c r="T4100" s="1"/>
      <c r="U4100" s="1"/>
      <c r="V4100" s="1"/>
      <c r="W4100" s="1"/>
      <c r="X4100" s="1"/>
      <c r="Y4100" s="1"/>
      <c r="AB4100" s="1"/>
      <c r="AC4100" s="1"/>
      <c r="AD4100" s="1"/>
      <c r="AE4100" s="1"/>
      <c r="AF4100" s="1"/>
      <c r="AG4100" s="1"/>
      <c r="AH4100" s="1"/>
      <c r="AI4100" s="1"/>
      <c r="AJ4100" s="1"/>
      <c r="AK4100" s="1"/>
      <c r="AL4100" s="1"/>
      <c r="AM4100" s="1"/>
    </row>
    <row r="4101" spans="16:39" x14ac:dyDescent="0.25">
      <c r="P4101" s="49"/>
      <c r="Q4101" s="1"/>
      <c r="S4101" s="1"/>
      <c r="T4101" s="1"/>
      <c r="U4101" s="1"/>
      <c r="V4101" s="1"/>
      <c r="W4101" s="1"/>
      <c r="X4101" s="1"/>
      <c r="Y4101" s="1"/>
      <c r="AB4101" s="1"/>
      <c r="AC4101" s="1"/>
      <c r="AD4101" s="1"/>
      <c r="AE4101" s="1"/>
      <c r="AF4101" s="1"/>
      <c r="AG4101" s="1"/>
      <c r="AH4101" s="1"/>
      <c r="AI4101" s="1"/>
      <c r="AJ4101" s="1"/>
      <c r="AK4101" s="1"/>
      <c r="AL4101" s="1"/>
      <c r="AM4101" s="1"/>
    </row>
    <row r="4102" spans="16:39" x14ac:dyDescent="0.25">
      <c r="P4102" s="49"/>
      <c r="Q4102" s="1"/>
      <c r="S4102" s="1"/>
      <c r="T4102" s="1"/>
      <c r="U4102" s="1"/>
      <c r="V4102" s="1"/>
      <c r="W4102" s="1"/>
      <c r="X4102" s="1"/>
      <c r="Y4102" s="1"/>
      <c r="AB4102" s="1"/>
      <c r="AC4102" s="1"/>
      <c r="AD4102" s="1"/>
      <c r="AE4102" s="1"/>
      <c r="AF4102" s="1"/>
      <c r="AG4102" s="1"/>
      <c r="AH4102" s="1"/>
      <c r="AI4102" s="1"/>
      <c r="AJ4102" s="1"/>
      <c r="AK4102" s="1"/>
      <c r="AL4102" s="1"/>
      <c r="AM4102" s="1"/>
    </row>
    <row r="4103" spans="16:39" x14ac:dyDescent="0.25">
      <c r="P4103" s="49"/>
      <c r="Q4103" s="1"/>
      <c r="S4103" s="1"/>
      <c r="T4103" s="1"/>
      <c r="U4103" s="1"/>
      <c r="V4103" s="1"/>
      <c r="W4103" s="1"/>
      <c r="X4103" s="1"/>
      <c r="Y4103" s="1"/>
      <c r="AB4103" s="1"/>
      <c r="AC4103" s="1"/>
      <c r="AD4103" s="1"/>
      <c r="AE4103" s="1"/>
      <c r="AF4103" s="1"/>
      <c r="AG4103" s="1"/>
      <c r="AH4103" s="1"/>
      <c r="AI4103" s="1"/>
      <c r="AJ4103" s="1"/>
      <c r="AK4103" s="1"/>
      <c r="AL4103" s="1"/>
      <c r="AM4103" s="1"/>
    </row>
    <row r="4104" spans="16:39" x14ac:dyDescent="0.25">
      <c r="P4104" s="49"/>
      <c r="Q4104" s="1"/>
      <c r="S4104" s="1"/>
      <c r="T4104" s="1"/>
      <c r="U4104" s="1"/>
      <c r="V4104" s="1"/>
      <c r="W4104" s="1"/>
      <c r="X4104" s="1"/>
      <c r="Y4104" s="1"/>
      <c r="AB4104" s="1"/>
      <c r="AC4104" s="1"/>
      <c r="AD4104" s="1"/>
      <c r="AE4104" s="1"/>
      <c r="AF4104" s="1"/>
      <c r="AG4104" s="1"/>
      <c r="AH4104" s="1"/>
      <c r="AI4104" s="1"/>
      <c r="AJ4104" s="1"/>
      <c r="AK4104" s="1"/>
      <c r="AL4104" s="1"/>
      <c r="AM4104" s="1"/>
    </row>
    <row r="4105" spans="16:39" x14ac:dyDescent="0.25">
      <c r="P4105" s="49"/>
      <c r="Q4105" s="1"/>
      <c r="S4105" s="1"/>
      <c r="T4105" s="1"/>
      <c r="U4105" s="1"/>
      <c r="V4105" s="1"/>
      <c r="W4105" s="1"/>
      <c r="X4105" s="1"/>
      <c r="Y4105" s="1"/>
      <c r="AB4105" s="1"/>
      <c r="AC4105" s="1"/>
      <c r="AD4105" s="1"/>
      <c r="AE4105" s="1"/>
      <c r="AF4105" s="1"/>
      <c r="AG4105" s="1"/>
      <c r="AH4105" s="1"/>
      <c r="AI4105" s="1"/>
      <c r="AJ4105" s="1"/>
      <c r="AK4105" s="1"/>
      <c r="AL4105" s="1"/>
      <c r="AM4105" s="1"/>
    </row>
    <row r="4106" spans="16:39" x14ac:dyDescent="0.25">
      <c r="P4106" s="49"/>
      <c r="Q4106" s="1"/>
      <c r="S4106" s="1"/>
      <c r="T4106" s="1"/>
      <c r="U4106" s="1"/>
      <c r="V4106" s="1"/>
      <c r="W4106" s="1"/>
      <c r="X4106" s="1"/>
      <c r="Y4106" s="1"/>
      <c r="AB4106" s="1"/>
      <c r="AC4106" s="1"/>
      <c r="AD4106" s="1"/>
      <c r="AE4106" s="1"/>
      <c r="AF4106" s="1"/>
      <c r="AG4106" s="1"/>
      <c r="AH4106" s="1"/>
      <c r="AI4106" s="1"/>
      <c r="AJ4106" s="1"/>
      <c r="AK4106" s="1"/>
      <c r="AL4106" s="1"/>
      <c r="AM4106" s="1"/>
    </row>
    <row r="4107" spans="16:39" x14ac:dyDescent="0.25">
      <c r="P4107" s="49"/>
      <c r="Q4107" s="1"/>
      <c r="S4107" s="1"/>
      <c r="T4107" s="1"/>
      <c r="U4107" s="1"/>
      <c r="V4107" s="1"/>
      <c r="W4107" s="1"/>
      <c r="X4107" s="1"/>
      <c r="Y4107" s="1"/>
      <c r="AB4107" s="1"/>
      <c r="AC4107" s="1"/>
      <c r="AD4107" s="1"/>
      <c r="AE4107" s="1"/>
      <c r="AF4107" s="1"/>
      <c r="AG4107" s="1"/>
      <c r="AH4107" s="1"/>
      <c r="AI4107" s="1"/>
      <c r="AJ4107" s="1"/>
      <c r="AK4107" s="1"/>
      <c r="AL4107" s="1"/>
      <c r="AM4107" s="1"/>
    </row>
    <row r="4108" spans="16:39" x14ac:dyDescent="0.25">
      <c r="P4108" s="49"/>
      <c r="Q4108" s="1"/>
      <c r="S4108" s="1"/>
      <c r="T4108" s="1"/>
      <c r="U4108" s="1"/>
      <c r="V4108" s="1"/>
      <c r="W4108" s="1"/>
      <c r="X4108" s="1"/>
      <c r="Y4108" s="1"/>
      <c r="AB4108" s="1"/>
      <c r="AC4108" s="1"/>
      <c r="AD4108" s="1"/>
      <c r="AE4108" s="1"/>
      <c r="AF4108" s="1"/>
      <c r="AG4108" s="1"/>
      <c r="AH4108" s="1"/>
      <c r="AI4108" s="1"/>
      <c r="AJ4108" s="1"/>
      <c r="AK4108" s="1"/>
      <c r="AL4108" s="1"/>
      <c r="AM4108" s="1"/>
    </row>
    <row r="4109" spans="16:39" x14ac:dyDescent="0.25">
      <c r="P4109" s="49"/>
      <c r="Q4109" s="1"/>
      <c r="S4109" s="1"/>
      <c r="T4109" s="1"/>
      <c r="U4109" s="1"/>
      <c r="V4109" s="1"/>
      <c r="W4109" s="1"/>
      <c r="X4109" s="1"/>
      <c r="Y4109" s="1"/>
      <c r="AB4109" s="1"/>
      <c r="AC4109" s="1"/>
      <c r="AD4109" s="1"/>
      <c r="AE4109" s="1"/>
      <c r="AF4109" s="1"/>
      <c r="AG4109" s="1"/>
      <c r="AH4109" s="1"/>
      <c r="AI4109" s="1"/>
      <c r="AJ4109" s="1"/>
      <c r="AK4109" s="1"/>
      <c r="AL4109" s="1"/>
      <c r="AM4109" s="1"/>
    </row>
    <row r="4110" spans="16:39" x14ac:dyDescent="0.25">
      <c r="P4110" s="49"/>
      <c r="Q4110" s="1"/>
      <c r="S4110" s="1"/>
      <c r="T4110" s="1"/>
      <c r="U4110" s="1"/>
      <c r="V4110" s="1"/>
      <c r="W4110" s="1"/>
      <c r="X4110" s="1"/>
      <c r="Y4110" s="1"/>
      <c r="AB4110" s="1"/>
      <c r="AC4110" s="1"/>
      <c r="AD4110" s="1"/>
      <c r="AE4110" s="1"/>
      <c r="AF4110" s="1"/>
      <c r="AG4110" s="1"/>
      <c r="AH4110" s="1"/>
      <c r="AI4110" s="1"/>
      <c r="AJ4110" s="1"/>
      <c r="AK4110" s="1"/>
      <c r="AL4110" s="1"/>
      <c r="AM4110" s="1"/>
    </row>
    <row r="4111" spans="16:39" x14ac:dyDescent="0.25">
      <c r="P4111" s="49"/>
      <c r="Q4111" s="1"/>
      <c r="S4111" s="1"/>
      <c r="T4111" s="1"/>
      <c r="U4111" s="1"/>
      <c r="V4111" s="1"/>
      <c r="W4111" s="1"/>
      <c r="X4111" s="1"/>
      <c r="Y4111" s="1"/>
      <c r="AB4111" s="1"/>
      <c r="AC4111" s="1"/>
      <c r="AD4111" s="1"/>
      <c r="AE4111" s="1"/>
      <c r="AF4111" s="1"/>
      <c r="AG4111" s="1"/>
      <c r="AH4111" s="1"/>
      <c r="AI4111" s="1"/>
      <c r="AJ4111" s="1"/>
      <c r="AK4111" s="1"/>
      <c r="AL4111" s="1"/>
      <c r="AM4111" s="1"/>
    </row>
    <row r="4112" spans="16:39" x14ac:dyDescent="0.25">
      <c r="P4112" s="49"/>
      <c r="Q4112" s="1"/>
      <c r="S4112" s="1"/>
      <c r="T4112" s="1"/>
      <c r="U4112" s="1"/>
      <c r="V4112" s="1"/>
      <c r="W4112" s="1"/>
      <c r="X4112" s="1"/>
      <c r="Y4112" s="1"/>
      <c r="AB4112" s="1"/>
      <c r="AC4112" s="1"/>
      <c r="AD4112" s="1"/>
      <c r="AE4112" s="1"/>
      <c r="AF4112" s="1"/>
      <c r="AG4112" s="1"/>
      <c r="AH4112" s="1"/>
      <c r="AI4112" s="1"/>
      <c r="AJ4112" s="1"/>
      <c r="AK4112" s="1"/>
      <c r="AL4112" s="1"/>
      <c r="AM4112" s="1"/>
    </row>
    <row r="4113" spans="16:39" x14ac:dyDescent="0.25">
      <c r="P4113" s="49"/>
      <c r="Q4113" s="1"/>
      <c r="S4113" s="1"/>
      <c r="T4113" s="1"/>
      <c r="U4113" s="1"/>
      <c r="V4113" s="1"/>
      <c r="W4113" s="1"/>
      <c r="X4113" s="1"/>
      <c r="Y4113" s="1"/>
      <c r="AB4113" s="1"/>
      <c r="AC4113" s="1"/>
      <c r="AD4113" s="1"/>
      <c r="AE4113" s="1"/>
      <c r="AF4113" s="1"/>
      <c r="AG4113" s="1"/>
      <c r="AH4113" s="1"/>
      <c r="AI4113" s="1"/>
      <c r="AJ4113" s="1"/>
      <c r="AK4113" s="1"/>
      <c r="AL4113" s="1"/>
      <c r="AM4113" s="1"/>
    </row>
    <row r="4114" spans="16:39" x14ac:dyDescent="0.25">
      <c r="P4114" s="49"/>
      <c r="Q4114" s="1"/>
      <c r="S4114" s="1"/>
      <c r="T4114" s="1"/>
      <c r="U4114" s="1"/>
      <c r="V4114" s="1"/>
      <c r="W4114" s="1"/>
      <c r="X4114" s="1"/>
      <c r="Y4114" s="1"/>
      <c r="AB4114" s="1"/>
      <c r="AC4114" s="1"/>
      <c r="AD4114" s="1"/>
      <c r="AE4114" s="1"/>
      <c r="AF4114" s="1"/>
      <c r="AG4114" s="1"/>
      <c r="AH4114" s="1"/>
      <c r="AI4114" s="1"/>
      <c r="AJ4114" s="1"/>
      <c r="AK4114" s="1"/>
      <c r="AL4114" s="1"/>
      <c r="AM4114" s="1"/>
    </row>
    <row r="4115" spans="16:39" x14ac:dyDescent="0.25">
      <c r="P4115" s="49"/>
      <c r="Q4115" s="1"/>
      <c r="S4115" s="1"/>
      <c r="T4115" s="1"/>
      <c r="U4115" s="1"/>
      <c r="V4115" s="1"/>
      <c r="W4115" s="1"/>
      <c r="X4115" s="1"/>
      <c r="Y4115" s="1"/>
      <c r="AB4115" s="1"/>
      <c r="AC4115" s="1"/>
      <c r="AD4115" s="1"/>
      <c r="AE4115" s="1"/>
      <c r="AF4115" s="1"/>
      <c r="AG4115" s="1"/>
      <c r="AH4115" s="1"/>
      <c r="AI4115" s="1"/>
      <c r="AJ4115" s="1"/>
      <c r="AK4115" s="1"/>
      <c r="AL4115" s="1"/>
      <c r="AM4115" s="1"/>
    </row>
    <row r="4116" spans="16:39" x14ac:dyDescent="0.25">
      <c r="P4116" s="49"/>
      <c r="Q4116" s="1"/>
      <c r="S4116" s="1"/>
      <c r="T4116" s="1"/>
      <c r="U4116" s="1"/>
      <c r="V4116" s="1"/>
      <c r="W4116" s="1"/>
      <c r="X4116" s="1"/>
      <c r="Y4116" s="1"/>
      <c r="AB4116" s="1"/>
      <c r="AC4116" s="1"/>
      <c r="AD4116" s="1"/>
      <c r="AE4116" s="1"/>
      <c r="AF4116" s="1"/>
      <c r="AG4116" s="1"/>
      <c r="AH4116" s="1"/>
      <c r="AI4116" s="1"/>
      <c r="AJ4116" s="1"/>
      <c r="AK4116" s="1"/>
      <c r="AL4116" s="1"/>
      <c r="AM4116" s="1"/>
    </row>
    <row r="4117" spans="16:39" x14ac:dyDescent="0.25">
      <c r="P4117" s="49"/>
      <c r="Q4117" s="1"/>
      <c r="S4117" s="1"/>
      <c r="T4117" s="1"/>
      <c r="U4117" s="1"/>
      <c r="V4117" s="1"/>
      <c r="W4117" s="1"/>
      <c r="X4117" s="1"/>
      <c r="Y4117" s="1"/>
      <c r="AB4117" s="1"/>
      <c r="AC4117" s="1"/>
      <c r="AD4117" s="1"/>
      <c r="AE4117" s="1"/>
      <c r="AF4117" s="1"/>
      <c r="AG4117" s="1"/>
      <c r="AH4117" s="1"/>
      <c r="AI4117" s="1"/>
      <c r="AJ4117" s="1"/>
      <c r="AK4117" s="1"/>
      <c r="AL4117" s="1"/>
      <c r="AM4117" s="1"/>
    </row>
    <row r="4118" spans="16:39" x14ac:dyDescent="0.25">
      <c r="P4118" s="49"/>
      <c r="Q4118" s="1"/>
      <c r="S4118" s="1"/>
      <c r="T4118" s="1"/>
      <c r="U4118" s="1"/>
      <c r="V4118" s="1"/>
      <c r="W4118" s="1"/>
      <c r="X4118" s="1"/>
      <c r="Y4118" s="1"/>
      <c r="AB4118" s="1"/>
      <c r="AC4118" s="1"/>
      <c r="AD4118" s="1"/>
      <c r="AE4118" s="1"/>
      <c r="AF4118" s="1"/>
      <c r="AG4118" s="1"/>
      <c r="AH4118" s="1"/>
      <c r="AI4118" s="1"/>
      <c r="AJ4118" s="1"/>
      <c r="AK4118" s="1"/>
      <c r="AL4118" s="1"/>
      <c r="AM4118" s="1"/>
    </row>
    <row r="4119" spans="16:39" x14ac:dyDescent="0.25">
      <c r="P4119" s="49"/>
      <c r="Q4119" s="1"/>
      <c r="S4119" s="1"/>
      <c r="T4119" s="1"/>
      <c r="U4119" s="1"/>
      <c r="V4119" s="1"/>
      <c r="W4119" s="1"/>
      <c r="X4119" s="1"/>
      <c r="Y4119" s="1"/>
      <c r="AB4119" s="1"/>
      <c r="AC4119" s="1"/>
      <c r="AD4119" s="1"/>
      <c r="AE4119" s="1"/>
      <c r="AF4119" s="1"/>
      <c r="AG4119" s="1"/>
      <c r="AH4119" s="1"/>
      <c r="AI4119" s="1"/>
      <c r="AJ4119" s="1"/>
      <c r="AK4119" s="1"/>
      <c r="AL4119" s="1"/>
      <c r="AM4119" s="1"/>
    </row>
    <row r="4120" spans="16:39" x14ac:dyDescent="0.25">
      <c r="P4120" s="49"/>
      <c r="Q4120" s="1"/>
      <c r="S4120" s="1"/>
      <c r="T4120" s="1"/>
      <c r="U4120" s="1"/>
      <c r="V4120" s="1"/>
      <c r="W4120" s="1"/>
      <c r="X4120" s="1"/>
      <c r="Y4120" s="1"/>
      <c r="AB4120" s="1"/>
      <c r="AC4120" s="1"/>
      <c r="AD4120" s="1"/>
      <c r="AE4120" s="1"/>
      <c r="AF4120" s="1"/>
      <c r="AG4120" s="1"/>
      <c r="AH4120" s="1"/>
      <c r="AI4120" s="1"/>
      <c r="AJ4120" s="1"/>
      <c r="AK4120" s="1"/>
      <c r="AL4120" s="1"/>
      <c r="AM4120" s="1"/>
    </row>
    <row r="4121" spans="16:39" x14ac:dyDescent="0.25">
      <c r="P4121" s="49"/>
      <c r="Q4121" s="1"/>
      <c r="S4121" s="1"/>
      <c r="T4121" s="1"/>
      <c r="U4121" s="1"/>
      <c r="V4121" s="1"/>
      <c r="W4121" s="1"/>
      <c r="X4121" s="1"/>
      <c r="Y4121" s="1"/>
      <c r="AB4121" s="1"/>
      <c r="AC4121" s="1"/>
      <c r="AD4121" s="1"/>
      <c r="AE4121" s="1"/>
      <c r="AF4121" s="1"/>
      <c r="AG4121" s="1"/>
      <c r="AH4121" s="1"/>
      <c r="AI4121" s="1"/>
      <c r="AJ4121" s="1"/>
      <c r="AK4121" s="1"/>
      <c r="AL4121" s="1"/>
      <c r="AM4121" s="1"/>
    </row>
    <row r="4122" spans="16:39" x14ac:dyDescent="0.25">
      <c r="P4122" s="49"/>
      <c r="Q4122" s="1"/>
      <c r="S4122" s="1"/>
      <c r="T4122" s="1"/>
      <c r="U4122" s="1"/>
      <c r="V4122" s="1"/>
      <c r="W4122" s="1"/>
      <c r="X4122" s="1"/>
      <c r="Y4122" s="1"/>
      <c r="AB4122" s="1"/>
      <c r="AC4122" s="1"/>
      <c r="AD4122" s="1"/>
      <c r="AE4122" s="1"/>
      <c r="AF4122" s="1"/>
      <c r="AG4122" s="1"/>
      <c r="AH4122" s="1"/>
      <c r="AI4122" s="1"/>
      <c r="AJ4122" s="1"/>
      <c r="AK4122" s="1"/>
      <c r="AL4122" s="1"/>
      <c r="AM4122" s="1"/>
    </row>
    <row r="4123" spans="16:39" x14ac:dyDescent="0.25">
      <c r="P4123" s="49"/>
      <c r="Q4123" s="1"/>
      <c r="S4123" s="1"/>
      <c r="T4123" s="1"/>
      <c r="U4123" s="1"/>
      <c r="V4123" s="1"/>
      <c r="W4123" s="1"/>
      <c r="X4123" s="1"/>
      <c r="Y4123" s="1"/>
      <c r="AB4123" s="1"/>
      <c r="AC4123" s="1"/>
      <c r="AD4123" s="1"/>
      <c r="AE4123" s="1"/>
      <c r="AF4123" s="1"/>
      <c r="AG4123" s="1"/>
      <c r="AH4123" s="1"/>
      <c r="AI4123" s="1"/>
      <c r="AJ4123" s="1"/>
      <c r="AK4123" s="1"/>
      <c r="AL4123" s="1"/>
      <c r="AM4123" s="1"/>
    </row>
    <row r="4124" spans="16:39" x14ac:dyDescent="0.25">
      <c r="P4124" s="49"/>
      <c r="Q4124" s="1"/>
      <c r="S4124" s="1"/>
      <c r="T4124" s="1"/>
      <c r="U4124" s="1"/>
      <c r="V4124" s="1"/>
      <c r="W4124" s="1"/>
      <c r="X4124" s="1"/>
      <c r="Y4124" s="1"/>
      <c r="AB4124" s="1"/>
      <c r="AC4124" s="1"/>
      <c r="AD4124" s="1"/>
      <c r="AE4124" s="1"/>
      <c r="AF4124" s="1"/>
      <c r="AG4124" s="1"/>
      <c r="AH4124" s="1"/>
      <c r="AI4124" s="1"/>
      <c r="AJ4124" s="1"/>
      <c r="AK4124" s="1"/>
      <c r="AL4124" s="1"/>
      <c r="AM4124" s="1"/>
    </row>
    <row r="4125" spans="16:39" x14ac:dyDescent="0.25">
      <c r="P4125" s="49"/>
      <c r="Q4125" s="1"/>
      <c r="S4125" s="1"/>
      <c r="T4125" s="1"/>
      <c r="U4125" s="1"/>
      <c r="V4125" s="1"/>
      <c r="W4125" s="1"/>
      <c r="X4125" s="1"/>
      <c r="Y4125" s="1"/>
      <c r="AB4125" s="1"/>
      <c r="AC4125" s="1"/>
      <c r="AD4125" s="1"/>
      <c r="AE4125" s="1"/>
      <c r="AF4125" s="1"/>
      <c r="AG4125" s="1"/>
      <c r="AH4125" s="1"/>
      <c r="AI4125" s="1"/>
      <c r="AJ4125" s="1"/>
      <c r="AK4125" s="1"/>
      <c r="AL4125" s="1"/>
      <c r="AM4125" s="1"/>
    </row>
    <row r="4126" spans="16:39" x14ac:dyDescent="0.25">
      <c r="P4126" s="49"/>
      <c r="Q4126" s="1"/>
      <c r="S4126" s="1"/>
      <c r="T4126" s="1"/>
      <c r="U4126" s="1"/>
      <c r="V4126" s="1"/>
      <c r="W4126" s="1"/>
      <c r="X4126" s="1"/>
      <c r="Y4126" s="1"/>
      <c r="AB4126" s="1"/>
      <c r="AC4126" s="1"/>
      <c r="AD4126" s="1"/>
      <c r="AE4126" s="1"/>
      <c r="AF4126" s="1"/>
      <c r="AG4126" s="1"/>
      <c r="AH4126" s="1"/>
      <c r="AI4126" s="1"/>
      <c r="AJ4126" s="1"/>
      <c r="AK4126" s="1"/>
      <c r="AL4126" s="1"/>
      <c r="AM4126" s="1"/>
    </row>
    <row r="4127" spans="16:39" x14ac:dyDescent="0.25">
      <c r="P4127" s="49"/>
      <c r="Q4127" s="1"/>
      <c r="S4127" s="1"/>
      <c r="T4127" s="1"/>
      <c r="U4127" s="1"/>
      <c r="V4127" s="1"/>
      <c r="W4127" s="1"/>
      <c r="X4127" s="1"/>
      <c r="Y4127" s="1"/>
      <c r="AB4127" s="1"/>
      <c r="AC4127" s="1"/>
      <c r="AD4127" s="1"/>
      <c r="AE4127" s="1"/>
      <c r="AF4127" s="1"/>
      <c r="AG4127" s="1"/>
      <c r="AH4127" s="1"/>
      <c r="AI4127" s="1"/>
      <c r="AJ4127" s="1"/>
      <c r="AK4127" s="1"/>
      <c r="AL4127" s="1"/>
      <c r="AM4127" s="1"/>
    </row>
    <row r="4128" spans="16:39" x14ac:dyDescent="0.25">
      <c r="P4128" s="49"/>
      <c r="Q4128" s="1"/>
      <c r="S4128" s="1"/>
      <c r="T4128" s="1"/>
      <c r="U4128" s="1"/>
      <c r="V4128" s="1"/>
      <c r="W4128" s="1"/>
      <c r="X4128" s="1"/>
      <c r="Y4128" s="1"/>
      <c r="AB4128" s="1"/>
      <c r="AC4128" s="1"/>
      <c r="AD4128" s="1"/>
      <c r="AE4128" s="1"/>
      <c r="AF4128" s="1"/>
      <c r="AG4128" s="1"/>
      <c r="AH4128" s="1"/>
      <c r="AI4128" s="1"/>
      <c r="AJ4128" s="1"/>
      <c r="AK4128" s="1"/>
      <c r="AL4128" s="1"/>
      <c r="AM4128" s="1"/>
    </row>
    <row r="4129" spans="16:39" x14ac:dyDescent="0.25">
      <c r="P4129" s="49"/>
      <c r="Q4129" s="1"/>
      <c r="S4129" s="1"/>
      <c r="T4129" s="1"/>
      <c r="U4129" s="1"/>
      <c r="V4129" s="1"/>
      <c r="W4129" s="1"/>
      <c r="X4129" s="1"/>
      <c r="Y4129" s="1"/>
      <c r="AB4129" s="1"/>
      <c r="AC4129" s="1"/>
      <c r="AD4129" s="1"/>
      <c r="AE4129" s="1"/>
      <c r="AF4129" s="1"/>
      <c r="AG4129" s="1"/>
      <c r="AH4129" s="1"/>
      <c r="AI4129" s="1"/>
      <c r="AJ4129" s="1"/>
      <c r="AK4129" s="1"/>
      <c r="AL4129" s="1"/>
      <c r="AM4129" s="1"/>
    </row>
    <row r="4130" spans="16:39" x14ac:dyDescent="0.25">
      <c r="P4130" s="49"/>
      <c r="Q4130" s="1"/>
      <c r="S4130" s="1"/>
      <c r="T4130" s="1"/>
      <c r="U4130" s="1"/>
      <c r="V4130" s="1"/>
      <c r="W4130" s="1"/>
      <c r="X4130" s="1"/>
      <c r="Y4130" s="1"/>
      <c r="AB4130" s="1"/>
      <c r="AC4130" s="1"/>
      <c r="AD4130" s="1"/>
      <c r="AE4130" s="1"/>
      <c r="AF4130" s="1"/>
      <c r="AG4130" s="1"/>
      <c r="AH4130" s="1"/>
      <c r="AI4130" s="1"/>
      <c r="AJ4130" s="1"/>
      <c r="AK4130" s="1"/>
      <c r="AL4130" s="1"/>
      <c r="AM4130" s="1"/>
    </row>
    <row r="4131" spans="16:39" x14ac:dyDescent="0.25">
      <c r="P4131" s="49"/>
      <c r="Q4131" s="1"/>
      <c r="S4131" s="1"/>
      <c r="T4131" s="1"/>
      <c r="U4131" s="1"/>
      <c r="V4131" s="1"/>
      <c r="W4131" s="1"/>
      <c r="X4131" s="1"/>
      <c r="Y4131" s="1"/>
      <c r="AB4131" s="1"/>
      <c r="AC4131" s="1"/>
      <c r="AD4131" s="1"/>
      <c r="AE4131" s="1"/>
      <c r="AF4131" s="1"/>
      <c r="AG4131" s="1"/>
      <c r="AH4131" s="1"/>
      <c r="AI4131" s="1"/>
      <c r="AJ4131" s="1"/>
      <c r="AK4131" s="1"/>
      <c r="AL4131" s="1"/>
      <c r="AM4131" s="1"/>
    </row>
    <row r="4132" spans="16:39" x14ac:dyDescent="0.25">
      <c r="P4132" s="49"/>
      <c r="Q4132" s="1"/>
      <c r="S4132" s="1"/>
      <c r="T4132" s="1"/>
      <c r="U4132" s="1"/>
      <c r="V4132" s="1"/>
      <c r="W4132" s="1"/>
      <c r="X4132" s="1"/>
      <c r="Y4132" s="1"/>
      <c r="AB4132" s="1"/>
      <c r="AC4132" s="1"/>
      <c r="AD4132" s="1"/>
      <c r="AE4132" s="1"/>
      <c r="AF4132" s="1"/>
      <c r="AG4132" s="1"/>
      <c r="AH4132" s="1"/>
      <c r="AI4132" s="1"/>
      <c r="AJ4132" s="1"/>
      <c r="AK4132" s="1"/>
      <c r="AL4132" s="1"/>
      <c r="AM4132" s="1"/>
    </row>
    <row r="4133" spans="16:39" x14ac:dyDescent="0.25">
      <c r="P4133" s="49"/>
      <c r="Q4133" s="1"/>
      <c r="S4133" s="1"/>
      <c r="T4133" s="1"/>
      <c r="U4133" s="1"/>
      <c r="V4133" s="1"/>
      <c r="W4133" s="1"/>
      <c r="X4133" s="1"/>
      <c r="Y4133" s="1"/>
      <c r="AB4133" s="1"/>
      <c r="AC4133" s="1"/>
      <c r="AD4133" s="1"/>
      <c r="AE4133" s="1"/>
      <c r="AF4133" s="1"/>
      <c r="AG4133" s="1"/>
      <c r="AH4133" s="1"/>
      <c r="AI4133" s="1"/>
      <c r="AJ4133" s="1"/>
      <c r="AK4133" s="1"/>
      <c r="AL4133" s="1"/>
      <c r="AM4133" s="1"/>
    </row>
    <row r="4134" spans="16:39" x14ac:dyDescent="0.25">
      <c r="P4134" s="49"/>
      <c r="Q4134" s="1"/>
      <c r="S4134" s="1"/>
      <c r="T4134" s="1"/>
      <c r="U4134" s="1"/>
      <c r="V4134" s="1"/>
      <c r="W4134" s="1"/>
      <c r="X4134" s="1"/>
      <c r="Y4134" s="1"/>
      <c r="AB4134" s="1"/>
      <c r="AC4134" s="1"/>
      <c r="AD4134" s="1"/>
      <c r="AE4134" s="1"/>
      <c r="AF4134" s="1"/>
      <c r="AG4134" s="1"/>
      <c r="AH4134" s="1"/>
      <c r="AI4134" s="1"/>
      <c r="AJ4134" s="1"/>
      <c r="AK4134" s="1"/>
      <c r="AL4134" s="1"/>
      <c r="AM4134" s="1"/>
    </row>
    <row r="4135" spans="16:39" x14ac:dyDescent="0.25">
      <c r="P4135" s="49"/>
      <c r="Q4135" s="1"/>
      <c r="S4135" s="1"/>
      <c r="T4135" s="1"/>
      <c r="U4135" s="1"/>
      <c r="V4135" s="1"/>
      <c r="W4135" s="1"/>
      <c r="X4135" s="1"/>
      <c r="Y4135" s="1"/>
      <c r="AB4135" s="1"/>
      <c r="AC4135" s="1"/>
      <c r="AD4135" s="1"/>
      <c r="AE4135" s="1"/>
      <c r="AF4135" s="1"/>
      <c r="AG4135" s="1"/>
      <c r="AH4135" s="1"/>
      <c r="AI4135" s="1"/>
      <c r="AJ4135" s="1"/>
      <c r="AK4135" s="1"/>
      <c r="AL4135" s="1"/>
      <c r="AM4135" s="1"/>
    </row>
    <row r="4136" spans="16:39" x14ac:dyDescent="0.25">
      <c r="P4136" s="49"/>
      <c r="Q4136" s="1"/>
      <c r="S4136" s="1"/>
      <c r="T4136" s="1"/>
      <c r="U4136" s="1"/>
      <c r="V4136" s="1"/>
      <c r="W4136" s="1"/>
      <c r="X4136" s="1"/>
      <c r="Y4136" s="1"/>
      <c r="AB4136" s="1"/>
      <c r="AC4136" s="1"/>
      <c r="AD4136" s="1"/>
      <c r="AE4136" s="1"/>
      <c r="AF4136" s="1"/>
      <c r="AG4136" s="1"/>
      <c r="AH4136" s="1"/>
      <c r="AI4136" s="1"/>
      <c r="AJ4136" s="1"/>
      <c r="AK4136" s="1"/>
      <c r="AL4136" s="1"/>
      <c r="AM4136" s="1"/>
    </row>
    <row r="4137" spans="16:39" x14ac:dyDescent="0.25">
      <c r="P4137" s="49"/>
      <c r="Q4137" s="1"/>
      <c r="S4137" s="1"/>
      <c r="T4137" s="1"/>
      <c r="U4137" s="1"/>
      <c r="V4137" s="1"/>
      <c r="W4137" s="1"/>
      <c r="X4137" s="1"/>
      <c r="Y4137" s="1"/>
      <c r="AB4137" s="1"/>
      <c r="AC4137" s="1"/>
      <c r="AD4137" s="1"/>
      <c r="AE4137" s="1"/>
      <c r="AF4137" s="1"/>
      <c r="AG4137" s="1"/>
      <c r="AH4137" s="1"/>
      <c r="AI4137" s="1"/>
      <c r="AJ4137" s="1"/>
      <c r="AK4137" s="1"/>
      <c r="AL4137" s="1"/>
      <c r="AM4137" s="1"/>
    </row>
    <row r="4138" spans="16:39" x14ac:dyDescent="0.25">
      <c r="P4138" s="49"/>
      <c r="Q4138" s="1"/>
      <c r="S4138" s="1"/>
      <c r="T4138" s="1"/>
      <c r="U4138" s="1"/>
      <c r="V4138" s="1"/>
      <c r="W4138" s="1"/>
      <c r="X4138" s="1"/>
      <c r="Y4138" s="1"/>
      <c r="AB4138" s="1"/>
      <c r="AC4138" s="1"/>
      <c r="AD4138" s="1"/>
      <c r="AE4138" s="1"/>
      <c r="AF4138" s="1"/>
      <c r="AG4138" s="1"/>
      <c r="AH4138" s="1"/>
      <c r="AI4138" s="1"/>
      <c r="AJ4138" s="1"/>
      <c r="AK4138" s="1"/>
      <c r="AL4138" s="1"/>
      <c r="AM4138" s="1"/>
    </row>
    <row r="4139" spans="16:39" x14ac:dyDescent="0.25">
      <c r="P4139" s="49"/>
      <c r="Q4139" s="1"/>
      <c r="S4139" s="1"/>
      <c r="T4139" s="1"/>
      <c r="U4139" s="1"/>
      <c r="V4139" s="1"/>
      <c r="W4139" s="1"/>
      <c r="X4139" s="1"/>
      <c r="Y4139" s="1"/>
      <c r="AB4139" s="1"/>
      <c r="AC4139" s="1"/>
      <c r="AD4139" s="1"/>
      <c r="AE4139" s="1"/>
      <c r="AF4139" s="1"/>
      <c r="AG4139" s="1"/>
      <c r="AH4139" s="1"/>
      <c r="AI4139" s="1"/>
      <c r="AJ4139" s="1"/>
      <c r="AK4139" s="1"/>
      <c r="AL4139" s="1"/>
      <c r="AM4139" s="1"/>
    </row>
    <row r="4140" spans="16:39" x14ac:dyDescent="0.25">
      <c r="P4140" s="49"/>
      <c r="Q4140" s="1"/>
      <c r="S4140" s="1"/>
      <c r="T4140" s="1"/>
      <c r="U4140" s="1"/>
      <c r="V4140" s="1"/>
      <c r="W4140" s="1"/>
      <c r="X4140" s="1"/>
      <c r="Y4140" s="1"/>
      <c r="AB4140" s="1"/>
      <c r="AC4140" s="1"/>
      <c r="AD4140" s="1"/>
      <c r="AE4140" s="1"/>
      <c r="AF4140" s="1"/>
      <c r="AG4140" s="1"/>
      <c r="AH4140" s="1"/>
      <c r="AI4140" s="1"/>
      <c r="AJ4140" s="1"/>
      <c r="AK4140" s="1"/>
      <c r="AL4140" s="1"/>
      <c r="AM4140" s="1"/>
    </row>
    <row r="4141" spans="16:39" x14ac:dyDescent="0.25">
      <c r="P4141" s="49"/>
      <c r="Q4141" s="1"/>
      <c r="S4141" s="1"/>
      <c r="T4141" s="1"/>
      <c r="U4141" s="1"/>
      <c r="V4141" s="1"/>
      <c r="W4141" s="1"/>
      <c r="X4141" s="1"/>
      <c r="Y4141" s="1"/>
      <c r="AB4141" s="1"/>
      <c r="AC4141" s="1"/>
      <c r="AD4141" s="1"/>
      <c r="AE4141" s="1"/>
      <c r="AF4141" s="1"/>
      <c r="AG4141" s="1"/>
      <c r="AH4141" s="1"/>
      <c r="AI4141" s="1"/>
      <c r="AJ4141" s="1"/>
      <c r="AK4141" s="1"/>
      <c r="AL4141" s="1"/>
      <c r="AM4141" s="1"/>
    </row>
    <row r="4142" spans="16:39" x14ac:dyDescent="0.25">
      <c r="P4142" s="49"/>
      <c r="Q4142" s="1"/>
      <c r="S4142" s="1"/>
      <c r="T4142" s="1"/>
      <c r="U4142" s="1"/>
      <c r="V4142" s="1"/>
      <c r="W4142" s="1"/>
      <c r="X4142" s="1"/>
      <c r="Y4142" s="1"/>
      <c r="AB4142" s="1"/>
      <c r="AC4142" s="1"/>
      <c r="AD4142" s="1"/>
      <c r="AE4142" s="1"/>
      <c r="AF4142" s="1"/>
      <c r="AG4142" s="1"/>
      <c r="AH4142" s="1"/>
      <c r="AI4142" s="1"/>
      <c r="AJ4142" s="1"/>
      <c r="AK4142" s="1"/>
      <c r="AL4142" s="1"/>
      <c r="AM4142" s="1"/>
    </row>
    <row r="4143" spans="16:39" x14ac:dyDescent="0.25">
      <c r="P4143" s="49"/>
      <c r="Q4143" s="1"/>
      <c r="S4143" s="1"/>
      <c r="T4143" s="1"/>
      <c r="U4143" s="1"/>
      <c r="V4143" s="1"/>
      <c r="W4143" s="1"/>
      <c r="X4143" s="1"/>
      <c r="Y4143" s="1"/>
      <c r="AB4143" s="1"/>
      <c r="AC4143" s="1"/>
      <c r="AD4143" s="1"/>
      <c r="AE4143" s="1"/>
      <c r="AF4143" s="1"/>
      <c r="AG4143" s="1"/>
      <c r="AH4143" s="1"/>
      <c r="AI4143" s="1"/>
      <c r="AJ4143" s="1"/>
      <c r="AK4143" s="1"/>
      <c r="AL4143" s="1"/>
      <c r="AM4143" s="1"/>
    </row>
    <row r="4144" spans="16:39" x14ac:dyDescent="0.25">
      <c r="P4144" s="49"/>
      <c r="Q4144" s="1"/>
      <c r="S4144" s="1"/>
      <c r="T4144" s="1"/>
      <c r="U4144" s="1"/>
      <c r="V4144" s="1"/>
      <c r="W4144" s="1"/>
      <c r="X4144" s="1"/>
      <c r="Y4144" s="1"/>
      <c r="AB4144" s="1"/>
      <c r="AC4144" s="1"/>
      <c r="AD4144" s="1"/>
      <c r="AE4144" s="1"/>
      <c r="AF4144" s="1"/>
      <c r="AG4144" s="1"/>
      <c r="AH4144" s="1"/>
      <c r="AI4144" s="1"/>
      <c r="AJ4144" s="1"/>
      <c r="AK4144" s="1"/>
      <c r="AL4144" s="1"/>
      <c r="AM4144" s="1"/>
    </row>
    <row r="4145" spans="16:39" x14ac:dyDescent="0.25">
      <c r="P4145" s="49"/>
      <c r="Q4145" s="1"/>
      <c r="S4145" s="1"/>
      <c r="T4145" s="1"/>
      <c r="U4145" s="1"/>
      <c r="V4145" s="1"/>
      <c r="W4145" s="1"/>
      <c r="X4145" s="1"/>
      <c r="Y4145" s="1"/>
      <c r="AB4145" s="1"/>
      <c r="AC4145" s="1"/>
      <c r="AD4145" s="1"/>
      <c r="AE4145" s="1"/>
      <c r="AF4145" s="1"/>
      <c r="AG4145" s="1"/>
      <c r="AH4145" s="1"/>
      <c r="AI4145" s="1"/>
      <c r="AJ4145" s="1"/>
      <c r="AK4145" s="1"/>
      <c r="AL4145" s="1"/>
      <c r="AM4145" s="1"/>
    </row>
    <row r="4146" spans="16:39" x14ac:dyDescent="0.25">
      <c r="P4146" s="49"/>
      <c r="Q4146" s="1"/>
      <c r="S4146" s="1"/>
      <c r="T4146" s="1"/>
      <c r="U4146" s="1"/>
      <c r="V4146" s="1"/>
      <c r="W4146" s="1"/>
      <c r="X4146" s="1"/>
      <c r="Y4146" s="1"/>
      <c r="AB4146" s="1"/>
      <c r="AC4146" s="1"/>
      <c r="AD4146" s="1"/>
      <c r="AE4146" s="1"/>
      <c r="AF4146" s="1"/>
      <c r="AG4146" s="1"/>
      <c r="AH4146" s="1"/>
      <c r="AI4146" s="1"/>
      <c r="AJ4146" s="1"/>
      <c r="AK4146" s="1"/>
      <c r="AL4146" s="1"/>
      <c r="AM4146" s="1"/>
    </row>
    <row r="4147" spans="16:39" x14ac:dyDescent="0.25">
      <c r="P4147" s="49"/>
      <c r="Q4147" s="1"/>
      <c r="S4147" s="1"/>
      <c r="T4147" s="1"/>
      <c r="U4147" s="1"/>
      <c r="V4147" s="1"/>
      <c r="W4147" s="1"/>
      <c r="X4147" s="1"/>
      <c r="Y4147" s="1"/>
      <c r="AB4147" s="1"/>
      <c r="AC4147" s="1"/>
      <c r="AD4147" s="1"/>
      <c r="AE4147" s="1"/>
      <c r="AF4147" s="1"/>
      <c r="AG4147" s="1"/>
      <c r="AH4147" s="1"/>
      <c r="AI4147" s="1"/>
      <c r="AJ4147" s="1"/>
      <c r="AK4147" s="1"/>
      <c r="AL4147" s="1"/>
      <c r="AM4147" s="1"/>
    </row>
    <row r="4148" spans="16:39" x14ac:dyDescent="0.25">
      <c r="P4148" s="49"/>
      <c r="Q4148" s="1"/>
      <c r="S4148" s="1"/>
      <c r="T4148" s="1"/>
      <c r="U4148" s="1"/>
      <c r="V4148" s="1"/>
      <c r="W4148" s="1"/>
      <c r="X4148" s="1"/>
      <c r="Y4148" s="1"/>
      <c r="AB4148" s="1"/>
      <c r="AC4148" s="1"/>
      <c r="AD4148" s="1"/>
      <c r="AE4148" s="1"/>
      <c r="AF4148" s="1"/>
      <c r="AG4148" s="1"/>
      <c r="AH4148" s="1"/>
      <c r="AI4148" s="1"/>
      <c r="AJ4148" s="1"/>
      <c r="AK4148" s="1"/>
      <c r="AL4148" s="1"/>
      <c r="AM4148" s="1"/>
    </row>
    <row r="4149" spans="16:39" x14ac:dyDescent="0.25">
      <c r="P4149" s="49"/>
      <c r="Q4149" s="1"/>
      <c r="S4149" s="1"/>
      <c r="T4149" s="1"/>
      <c r="U4149" s="1"/>
      <c r="V4149" s="1"/>
      <c r="W4149" s="1"/>
      <c r="X4149" s="1"/>
      <c r="Y4149" s="1"/>
      <c r="AB4149" s="1"/>
      <c r="AC4149" s="1"/>
      <c r="AD4149" s="1"/>
      <c r="AE4149" s="1"/>
      <c r="AF4149" s="1"/>
      <c r="AG4149" s="1"/>
      <c r="AH4149" s="1"/>
      <c r="AI4149" s="1"/>
      <c r="AJ4149" s="1"/>
      <c r="AK4149" s="1"/>
      <c r="AL4149" s="1"/>
      <c r="AM4149" s="1"/>
    </row>
    <row r="4150" spans="16:39" x14ac:dyDescent="0.25">
      <c r="P4150" s="49"/>
      <c r="Q4150" s="1"/>
      <c r="S4150" s="1"/>
      <c r="T4150" s="1"/>
      <c r="U4150" s="1"/>
      <c r="V4150" s="1"/>
      <c r="W4150" s="1"/>
      <c r="X4150" s="1"/>
      <c r="Y4150" s="1"/>
      <c r="AB4150" s="1"/>
      <c r="AC4150" s="1"/>
      <c r="AD4150" s="1"/>
      <c r="AE4150" s="1"/>
      <c r="AF4150" s="1"/>
      <c r="AG4150" s="1"/>
      <c r="AH4150" s="1"/>
      <c r="AI4150" s="1"/>
      <c r="AJ4150" s="1"/>
      <c r="AK4150" s="1"/>
      <c r="AL4150" s="1"/>
      <c r="AM4150" s="1"/>
    </row>
    <row r="4151" spans="16:39" x14ac:dyDescent="0.25">
      <c r="P4151" s="49"/>
      <c r="Q4151" s="1"/>
      <c r="S4151" s="1"/>
      <c r="T4151" s="1"/>
      <c r="U4151" s="1"/>
      <c r="V4151" s="1"/>
      <c r="W4151" s="1"/>
      <c r="X4151" s="1"/>
      <c r="Y4151" s="1"/>
      <c r="AB4151" s="1"/>
      <c r="AC4151" s="1"/>
      <c r="AD4151" s="1"/>
      <c r="AE4151" s="1"/>
      <c r="AF4151" s="1"/>
      <c r="AG4151" s="1"/>
      <c r="AH4151" s="1"/>
      <c r="AI4151" s="1"/>
      <c r="AJ4151" s="1"/>
      <c r="AK4151" s="1"/>
      <c r="AL4151" s="1"/>
      <c r="AM4151" s="1"/>
    </row>
    <row r="4152" spans="16:39" x14ac:dyDescent="0.25">
      <c r="P4152" s="49"/>
      <c r="Q4152" s="1"/>
      <c r="S4152" s="1"/>
      <c r="T4152" s="1"/>
      <c r="U4152" s="1"/>
      <c r="V4152" s="1"/>
      <c r="W4152" s="1"/>
      <c r="X4152" s="1"/>
      <c r="Y4152" s="1"/>
      <c r="AB4152" s="1"/>
      <c r="AC4152" s="1"/>
      <c r="AD4152" s="1"/>
      <c r="AE4152" s="1"/>
      <c r="AF4152" s="1"/>
      <c r="AG4152" s="1"/>
      <c r="AH4152" s="1"/>
      <c r="AI4152" s="1"/>
      <c r="AJ4152" s="1"/>
      <c r="AK4152" s="1"/>
      <c r="AL4152" s="1"/>
      <c r="AM4152" s="1"/>
    </row>
    <row r="4153" spans="16:39" x14ac:dyDescent="0.25">
      <c r="P4153" s="49"/>
      <c r="Q4153" s="1"/>
      <c r="S4153" s="1"/>
      <c r="T4153" s="1"/>
      <c r="U4153" s="1"/>
      <c r="V4153" s="1"/>
      <c r="W4153" s="1"/>
      <c r="X4153" s="1"/>
      <c r="Y4153" s="1"/>
      <c r="AB4153" s="1"/>
      <c r="AC4153" s="1"/>
      <c r="AD4153" s="1"/>
      <c r="AE4153" s="1"/>
      <c r="AF4153" s="1"/>
      <c r="AG4153" s="1"/>
      <c r="AH4153" s="1"/>
      <c r="AI4153" s="1"/>
      <c r="AJ4153" s="1"/>
      <c r="AK4153" s="1"/>
      <c r="AL4153" s="1"/>
      <c r="AM4153" s="1"/>
    </row>
    <row r="4154" spans="16:39" x14ac:dyDescent="0.25">
      <c r="P4154" s="49"/>
      <c r="Q4154" s="1"/>
      <c r="S4154" s="1"/>
      <c r="T4154" s="1"/>
      <c r="U4154" s="1"/>
      <c r="V4154" s="1"/>
      <c r="W4154" s="1"/>
      <c r="X4154" s="1"/>
      <c r="Y4154" s="1"/>
      <c r="AB4154" s="1"/>
      <c r="AC4154" s="1"/>
      <c r="AD4154" s="1"/>
      <c r="AE4154" s="1"/>
      <c r="AF4154" s="1"/>
      <c r="AG4154" s="1"/>
      <c r="AH4154" s="1"/>
      <c r="AI4154" s="1"/>
      <c r="AJ4154" s="1"/>
      <c r="AK4154" s="1"/>
      <c r="AL4154" s="1"/>
      <c r="AM4154" s="1"/>
    </row>
    <row r="4155" spans="16:39" x14ac:dyDescent="0.25">
      <c r="P4155" s="49"/>
      <c r="Q4155" s="1"/>
      <c r="S4155" s="1"/>
      <c r="T4155" s="1"/>
      <c r="U4155" s="1"/>
      <c r="V4155" s="1"/>
      <c r="W4155" s="1"/>
      <c r="X4155" s="1"/>
      <c r="Y4155" s="1"/>
      <c r="AB4155" s="1"/>
      <c r="AC4155" s="1"/>
      <c r="AD4155" s="1"/>
      <c r="AE4155" s="1"/>
      <c r="AF4155" s="1"/>
      <c r="AG4155" s="1"/>
      <c r="AH4155" s="1"/>
      <c r="AI4155" s="1"/>
      <c r="AJ4155" s="1"/>
      <c r="AK4155" s="1"/>
      <c r="AL4155" s="1"/>
      <c r="AM4155" s="1"/>
    </row>
    <row r="4156" spans="16:39" x14ac:dyDescent="0.25">
      <c r="P4156" s="49"/>
      <c r="Q4156" s="1"/>
      <c r="S4156" s="1"/>
      <c r="T4156" s="1"/>
      <c r="U4156" s="1"/>
      <c r="V4156" s="1"/>
      <c r="W4156" s="1"/>
      <c r="X4156" s="1"/>
      <c r="Y4156" s="1"/>
      <c r="AB4156" s="1"/>
      <c r="AC4156" s="1"/>
      <c r="AD4156" s="1"/>
      <c r="AE4156" s="1"/>
      <c r="AF4156" s="1"/>
      <c r="AG4156" s="1"/>
      <c r="AH4156" s="1"/>
      <c r="AI4156" s="1"/>
      <c r="AJ4156" s="1"/>
      <c r="AK4156" s="1"/>
      <c r="AL4156" s="1"/>
      <c r="AM4156" s="1"/>
    </row>
    <row r="4157" spans="16:39" x14ac:dyDescent="0.25">
      <c r="P4157" s="49"/>
      <c r="Q4157" s="1"/>
      <c r="S4157" s="1"/>
      <c r="T4157" s="1"/>
      <c r="U4157" s="1"/>
      <c r="V4157" s="1"/>
      <c r="W4157" s="1"/>
      <c r="X4157" s="1"/>
      <c r="Y4157" s="1"/>
      <c r="AB4157" s="1"/>
      <c r="AC4157" s="1"/>
      <c r="AD4157" s="1"/>
      <c r="AE4157" s="1"/>
      <c r="AF4157" s="1"/>
      <c r="AG4157" s="1"/>
      <c r="AH4157" s="1"/>
      <c r="AI4157" s="1"/>
      <c r="AJ4157" s="1"/>
      <c r="AK4157" s="1"/>
      <c r="AL4157" s="1"/>
      <c r="AM4157" s="1"/>
    </row>
    <row r="4158" spans="16:39" x14ac:dyDescent="0.25">
      <c r="P4158" s="49"/>
      <c r="Q4158" s="1"/>
      <c r="S4158" s="1"/>
      <c r="T4158" s="1"/>
      <c r="U4158" s="1"/>
      <c r="V4158" s="1"/>
      <c r="W4158" s="1"/>
      <c r="X4158" s="1"/>
      <c r="Y4158" s="1"/>
      <c r="AB4158" s="1"/>
      <c r="AC4158" s="1"/>
      <c r="AD4158" s="1"/>
      <c r="AE4158" s="1"/>
      <c r="AF4158" s="1"/>
      <c r="AG4158" s="1"/>
      <c r="AH4158" s="1"/>
      <c r="AI4158" s="1"/>
      <c r="AJ4158" s="1"/>
      <c r="AK4158" s="1"/>
      <c r="AL4158" s="1"/>
      <c r="AM4158" s="1"/>
    </row>
    <row r="4159" spans="16:39" x14ac:dyDescent="0.25">
      <c r="P4159" s="49"/>
      <c r="Q4159" s="1"/>
      <c r="S4159" s="1"/>
      <c r="T4159" s="1"/>
      <c r="U4159" s="1"/>
      <c r="V4159" s="1"/>
      <c r="W4159" s="1"/>
      <c r="X4159" s="1"/>
      <c r="Y4159" s="1"/>
      <c r="AB4159" s="1"/>
      <c r="AC4159" s="1"/>
      <c r="AD4159" s="1"/>
      <c r="AE4159" s="1"/>
      <c r="AF4159" s="1"/>
      <c r="AG4159" s="1"/>
      <c r="AH4159" s="1"/>
      <c r="AI4159" s="1"/>
      <c r="AJ4159" s="1"/>
      <c r="AK4159" s="1"/>
      <c r="AL4159" s="1"/>
      <c r="AM4159" s="1"/>
    </row>
    <row r="4160" spans="16:39" x14ac:dyDescent="0.25">
      <c r="P4160" s="49"/>
      <c r="Q4160" s="1"/>
      <c r="S4160" s="1"/>
      <c r="T4160" s="1"/>
      <c r="U4160" s="1"/>
      <c r="V4160" s="1"/>
      <c r="W4160" s="1"/>
      <c r="X4160" s="1"/>
      <c r="Y4160" s="1"/>
      <c r="AB4160" s="1"/>
      <c r="AC4160" s="1"/>
      <c r="AD4160" s="1"/>
      <c r="AE4160" s="1"/>
      <c r="AF4160" s="1"/>
      <c r="AG4160" s="1"/>
      <c r="AH4160" s="1"/>
      <c r="AI4160" s="1"/>
      <c r="AJ4160" s="1"/>
      <c r="AK4160" s="1"/>
      <c r="AL4160" s="1"/>
      <c r="AM4160" s="1"/>
    </row>
    <row r="4161" spans="16:39" x14ac:dyDescent="0.25">
      <c r="P4161" s="49"/>
      <c r="Q4161" s="1"/>
      <c r="S4161" s="1"/>
      <c r="T4161" s="1"/>
      <c r="U4161" s="1"/>
      <c r="V4161" s="1"/>
      <c r="W4161" s="1"/>
      <c r="X4161" s="1"/>
      <c r="Y4161" s="1"/>
      <c r="AB4161" s="1"/>
      <c r="AC4161" s="1"/>
      <c r="AD4161" s="1"/>
      <c r="AE4161" s="1"/>
      <c r="AF4161" s="1"/>
      <c r="AG4161" s="1"/>
      <c r="AH4161" s="1"/>
      <c r="AI4161" s="1"/>
      <c r="AJ4161" s="1"/>
      <c r="AK4161" s="1"/>
      <c r="AL4161" s="1"/>
      <c r="AM4161" s="1"/>
    </row>
    <row r="4162" spans="16:39" x14ac:dyDescent="0.25">
      <c r="P4162" s="49"/>
      <c r="Q4162" s="1"/>
      <c r="S4162" s="1"/>
      <c r="T4162" s="1"/>
      <c r="U4162" s="1"/>
      <c r="V4162" s="1"/>
      <c r="W4162" s="1"/>
      <c r="X4162" s="1"/>
      <c r="Y4162" s="1"/>
      <c r="AB4162" s="1"/>
      <c r="AC4162" s="1"/>
      <c r="AD4162" s="1"/>
      <c r="AE4162" s="1"/>
      <c r="AF4162" s="1"/>
      <c r="AG4162" s="1"/>
      <c r="AH4162" s="1"/>
      <c r="AI4162" s="1"/>
      <c r="AJ4162" s="1"/>
      <c r="AK4162" s="1"/>
      <c r="AL4162" s="1"/>
      <c r="AM4162" s="1"/>
    </row>
    <row r="4163" spans="16:39" x14ac:dyDescent="0.25">
      <c r="P4163" s="49"/>
      <c r="Q4163" s="1"/>
      <c r="S4163" s="1"/>
      <c r="T4163" s="1"/>
      <c r="U4163" s="1"/>
      <c r="V4163" s="1"/>
      <c r="W4163" s="1"/>
      <c r="X4163" s="1"/>
      <c r="Y4163" s="1"/>
      <c r="AB4163" s="1"/>
      <c r="AC4163" s="1"/>
      <c r="AD4163" s="1"/>
      <c r="AE4163" s="1"/>
      <c r="AF4163" s="1"/>
      <c r="AG4163" s="1"/>
      <c r="AH4163" s="1"/>
      <c r="AI4163" s="1"/>
      <c r="AJ4163" s="1"/>
      <c r="AK4163" s="1"/>
      <c r="AL4163" s="1"/>
      <c r="AM4163" s="1"/>
    </row>
    <row r="4164" spans="16:39" x14ac:dyDescent="0.25">
      <c r="P4164" s="49"/>
      <c r="Q4164" s="1"/>
      <c r="S4164" s="1"/>
      <c r="T4164" s="1"/>
      <c r="U4164" s="1"/>
      <c r="V4164" s="1"/>
      <c r="W4164" s="1"/>
      <c r="X4164" s="1"/>
      <c r="Y4164" s="1"/>
      <c r="AB4164" s="1"/>
      <c r="AC4164" s="1"/>
      <c r="AD4164" s="1"/>
      <c r="AE4164" s="1"/>
      <c r="AF4164" s="1"/>
      <c r="AG4164" s="1"/>
      <c r="AH4164" s="1"/>
      <c r="AI4164" s="1"/>
      <c r="AJ4164" s="1"/>
      <c r="AK4164" s="1"/>
      <c r="AL4164" s="1"/>
      <c r="AM4164" s="1"/>
    </row>
    <row r="4165" spans="16:39" x14ac:dyDescent="0.25">
      <c r="P4165" s="49"/>
      <c r="Q4165" s="1"/>
      <c r="S4165" s="1"/>
      <c r="T4165" s="1"/>
      <c r="U4165" s="1"/>
      <c r="V4165" s="1"/>
      <c r="W4165" s="1"/>
      <c r="X4165" s="1"/>
      <c r="Y4165" s="1"/>
      <c r="AB4165" s="1"/>
      <c r="AC4165" s="1"/>
      <c r="AD4165" s="1"/>
      <c r="AE4165" s="1"/>
      <c r="AF4165" s="1"/>
      <c r="AG4165" s="1"/>
      <c r="AH4165" s="1"/>
      <c r="AI4165" s="1"/>
      <c r="AJ4165" s="1"/>
      <c r="AK4165" s="1"/>
      <c r="AL4165" s="1"/>
      <c r="AM4165" s="1"/>
    </row>
    <row r="4166" spans="16:39" x14ac:dyDescent="0.25">
      <c r="P4166" s="49"/>
      <c r="Q4166" s="1"/>
      <c r="S4166" s="1"/>
      <c r="T4166" s="1"/>
      <c r="U4166" s="1"/>
      <c r="V4166" s="1"/>
      <c r="W4166" s="1"/>
      <c r="X4166" s="1"/>
      <c r="Y4166" s="1"/>
      <c r="AB4166" s="1"/>
      <c r="AC4166" s="1"/>
      <c r="AD4166" s="1"/>
      <c r="AE4166" s="1"/>
      <c r="AF4166" s="1"/>
      <c r="AG4166" s="1"/>
      <c r="AH4166" s="1"/>
      <c r="AI4166" s="1"/>
      <c r="AJ4166" s="1"/>
      <c r="AK4166" s="1"/>
      <c r="AL4166" s="1"/>
      <c r="AM4166" s="1"/>
    </row>
    <row r="4167" spans="16:39" x14ac:dyDescent="0.25">
      <c r="P4167" s="49"/>
      <c r="Q4167" s="1"/>
      <c r="S4167" s="1"/>
      <c r="T4167" s="1"/>
      <c r="U4167" s="1"/>
      <c r="V4167" s="1"/>
      <c r="W4167" s="1"/>
      <c r="X4167" s="1"/>
      <c r="Y4167" s="1"/>
      <c r="AB4167" s="1"/>
      <c r="AC4167" s="1"/>
      <c r="AD4167" s="1"/>
      <c r="AE4167" s="1"/>
      <c r="AF4167" s="1"/>
      <c r="AG4167" s="1"/>
      <c r="AH4167" s="1"/>
      <c r="AI4167" s="1"/>
      <c r="AJ4167" s="1"/>
      <c r="AK4167" s="1"/>
      <c r="AL4167" s="1"/>
      <c r="AM4167" s="1"/>
    </row>
    <row r="4168" spans="16:39" x14ac:dyDescent="0.25">
      <c r="P4168" s="49"/>
      <c r="Q4168" s="1"/>
      <c r="S4168" s="1"/>
      <c r="T4168" s="1"/>
      <c r="U4168" s="1"/>
      <c r="V4168" s="1"/>
      <c r="W4168" s="1"/>
      <c r="X4168" s="1"/>
      <c r="Y4168" s="1"/>
      <c r="AB4168" s="1"/>
      <c r="AC4168" s="1"/>
      <c r="AD4168" s="1"/>
      <c r="AE4168" s="1"/>
      <c r="AF4168" s="1"/>
      <c r="AG4168" s="1"/>
      <c r="AH4168" s="1"/>
      <c r="AI4168" s="1"/>
      <c r="AJ4168" s="1"/>
      <c r="AK4168" s="1"/>
      <c r="AL4168" s="1"/>
      <c r="AM4168" s="1"/>
    </row>
    <row r="4169" spans="16:39" x14ac:dyDescent="0.25">
      <c r="P4169" s="49"/>
      <c r="Q4169" s="1"/>
      <c r="S4169" s="1"/>
      <c r="T4169" s="1"/>
      <c r="U4169" s="1"/>
      <c r="V4169" s="1"/>
      <c r="W4169" s="1"/>
      <c r="X4169" s="1"/>
      <c r="Y4169" s="1"/>
      <c r="AB4169" s="1"/>
      <c r="AC4169" s="1"/>
      <c r="AD4169" s="1"/>
      <c r="AE4169" s="1"/>
      <c r="AF4169" s="1"/>
      <c r="AG4169" s="1"/>
      <c r="AH4169" s="1"/>
      <c r="AI4169" s="1"/>
      <c r="AJ4169" s="1"/>
      <c r="AK4169" s="1"/>
      <c r="AL4169" s="1"/>
      <c r="AM4169" s="1"/>
    </row>
    <row r="4170" spans="16:39" x14ac:dyDescent="0.25">
      <c r="P4170" s="49"/>
      <c r="Q4170" s="1"/>
      <c r="S4170" s="1"/>
      <c r="T4170" s="1"/>
      <c r="U4170" s="1"/>
      <c r="V4170" s="1"/>
      <c r="W4170" s="1"/>
      <c r="X4170" s="1"/>
      <c r="Y4170" s="1"/>
      <c r="AB4170" s="1"/>
      <c r="AC4170" s="1"/>
      <c r="AD4170" s="1"/>
      <c r="AE4170" s="1"/>
      <c r="AF4170" s="1"/>
      <c r="AG4170" s="1"/>
      <c r="AH4170" s="1"/>
      <c r="AI4170" s="1"/>
      <c r="AJ4170" s="1"/>
      <c r="AK4170" s="1"/>
      <c r="AL4170" s="1"/>
      <c r="AM4170" s="1"/>
    </row>
    <row r="4171" spans="16:39" x14ac:dyDescent="0.25">
      <c r="P4171" s="49"/>
      <c r="Q4171" s="1"/>
      <c r="S4171" s="1"/>
      <c r="T4171" s="1"/>
      <c r="U4171" s="1"/>
      <c r="V4171" s="1"/>
      <c r="W4171" s="1"/>
      <c r="X4171" s="1"/>
      <c r="Y4171" s="1"/>
      <c r="AB4171" s="1"/>
      <c r="AC4171" s="1"/>
      <c r="AD4171" s="1"/>
      <c r="AE4171" s="1"/>
      <c r="AF4171" s="1"/>
      <c r="AG4171" s="1"/>
      <c r="AH4171" s="1"/>
      <c r="AI4171" s="1"/>
      <c r="AJ4171" s="1"/>
      <c r="AK4171" s="1"/>
      <c r="AL4171" s="1"/>
      <c r="AM4171" s="1"/>
    </row>
    <row r="4172" spans="16:39" x14ac:dyDescent="0.25">
      <c r="P4172" s="49"/>
      <c r="Q4172" s="1"/>
      <c r="S4172" s="1"/>
      <c r="T4172" s="1"/>
      <c r="U4172" s="1"/>
      <c r="V4172" s="1"/>
      <c r="W4172" s="1"/>
      <c r="X4172" s="1"/>
      <c r="Y4172" s="1"/>
      <c r="AB4172" s="1"/>
      <c r="AC4172" s="1"/>
      <c r="AD4172" s="1"/>
      <c r="AE4172" s="1"/>
      <c r="AF4172" s="1"/>
      <c r="AG4172" s="1"/>
      <c r="AH4172" s="1"/>
      <c r="AI4172" s="1"/>
      <c r="AJ4172" s="1"/>
      <c r="AK4172" s="1"/>
      <c r="AL4172" s="1"/>
      <c r="AM4172" s="1"/>
    </row>
    <row r="4173" spans="16:39" x14ac:dyDescent="0.25">
      <c r="P4173" s="49"/>
      <c r="Q4173" s="1"/>
      <c r="S4173" s="1"/>
      <c r="T4173" s="1"/>
      <c r="U4173" s="1"/>
      <c r="V4173" s="1"/>
      <c r="W4173" s="1"/>
      <c r="X4173" s="1"/>
      <c r="Y4173" s="1"/>
      <c r="AB4173" s="1"/>
      <c r="AC4173" s="1"/>
      <c r="AD4173" s="1"/>
      <c r="AE4173" s="1"/>
      <c r="AF4173" s="1"/>
      <c r="AG4173" s="1"/>
      <c r="AH4173" s="1"/>
      <c r="AI4173" s="1"/>
      <c r="AJ4173" s="1"/>
      <c r="AK4173" s="1"/>
      <c r="AL4173" s="1"/>
      <c r="AM4173" s="1"/>
    </row>
    <row r="4174" spans="16:39" x14ac:dyDescent="0.25">
      <c r="P4174" s="49"/>
      <c r="Q4174" s="1"/>
      <c r="S4174" s="1"/>
      <c r="T4174" s="1"/>
      <c r="U4174" s="1"/>
      <c r="V4174" s="1"/>
      <c r="W4174" s="1"/>
      <c r="X4174" s="1"/>
      <c r="Y4174" s="1"/>
      <c r="AB4174" s="1"/>
      <c r="AC4174" s="1"/>
      <c r="AD4174" s="1"/>
      <c r="AE4174" s="1"/>
      <c r="AF4174" s="1"/>
      <c r="AG4174" s="1"/>
      <c r="AH4174" s="1"/>
      <c r="AI4174" s="1"/>
      <c r="AJ4174" s="1"/>
      <c r="AK4174" s="1"/>
      <c r="AL4174" s="1"/>
      <c r="AM4174" s="1"/>
    </row>
    <row r="4175" spans="16:39" x14ac:dyDescent="0.25">
      <c r="P4175" s="49"/>
      <c r="Q4175" s="1"/>
      <c r="S4175" s="1"/>
      <c r="T4175" s="1"/>
      <c r="U4175" s="1"/>
      <c r="V4175" s="1"/>
      <c r="W4175" s="1"/>
      <c r="X4175" s="1"/>
      <c r="Y4175" s="1"/>
      <c r="AB4175" s="1"/>
      <c r="AC4175" s="1"/>
      <c r="AD4175" s="1"/>
      <c r="AE4175" s="1"/>
      <c r="AF4175" s="1"/>
      <c r="AG4175" s="1"/>
      <c r="AH4175" s="1"/>
      <c r="AI4175" s="1"/>
      <c r="AJ4175" s="1"/>
      <c r="AK4175" s="1"/>
      <c r="AL4175" s="1"/>
      <c r="AM4175" s="1"/>
    </row>
    <row r="4176" spans="16:39" x14ac:dyDescent="0.25">
      <c r="P4176" s="49"/>
      <c r="Q4176" s="1"/>
      <c r="S4176" s="1"/>
      <c r="T4176" s="1"/>
      <c r="U4176" s="1"/>
      <c r="V4176" s="1"/>
      <c r="W4176" s="1"/>
      <c r="X4176" s="1"/>
      <c r="Y4176" s="1"/>
      <c r="AB4176" s="1"/>
      <c r="AC4176" s="1"/>
      <c r="AD4176" s="1"/>
      <c r="AE4176" s="1"/>
      <c r="AF4176" s="1"/>
      <c r="AG4176" s="1"/>
      <c r="AH4176" s="1"/>
      <c r="AI4176" s="1"/>
      <c r="AJ4176" s="1"/>
      <c r="AK4176" s="1"/>
      <c r="AL4176" s="1"/>
      <c r="AM4176" s="1"/>
    </row>
    <row r="4177" spans="16:39" x14ac:dyDescent="0.25">
      <c r="P4177" s="49"/>
      <c r="Q4177" s="1"/>
      <c r="S4177" s="1"/>
      <c r="T4177" s="1"/>
      <c r="U4177" s="1"/>
      <c r="V4177" s="1"/>
      <c r="W4177" s="1"/>
      <c r="X4177" s="1"/>
      <c r="Y4177" s="1"/>
      <c r="AB4177" s="1"/>
      <c r="AC4177" s="1"/>
      <c r="AD4177" s="1"/>
      <c r="AE4177" s="1"/>
      <c r="AF4177" s="1"/>
      <c r="AG4177" s="1"/>
      <c r="AH4177" s="1"/>
      <c r="AI4177" s="1"/>
      <c r="AJ4177" s="1"/>
      <c r="AK4177" s="1"/>
      <c r="AL4177" s="1"/>
      <c r="AM4177" s="1"/>
    </row>
    <row r="4178" spans="16:39" x14ac:dyDescent="0.25">
      <c r="P4178" s="49"/>
      <c r="Q4178" s="1"/>
      <c r="S4178" s="1"/>
      <c r="T4178" s="1"/>
      <c r="U4178" s="1"/>
      <c r="V4178" s="1"/>
      <c r="W4178" s="1"/>
      <c r="X4178" s="1"/>
      <c r="Y4178" s="1"/>
      <c r="AB4178" s="1"/>
      <c r="AC4178" s="1"/>
      <c r="AD4178" s="1"/>
      <c r="AE4178" s="1"/>
      <c r="AF4178" s="1"/>
      <c r="AG4178" s="1"/>
      <c r="AH4178" s="1"/>
      <c r="AI4178" s="1"/>
      <c r="AJ4178" s="1"/>
      <c r="AK4178" s="1"/>
      <c r="AL4178" s="1"/>
      <c r="AM4178" s="1"/>
    </row>
    <row r="4179" spans="16:39" x14ac:dyDescent="0.25">
      <c r="P4179" s="49"/>
      <c r="Q4179" s="1"/>
      <c r="S4179" s="1"/>
      <c r="T4179" s="1"/>
      <c r="U4179" s="1"/>
      <c r="V4179" s="1"/>
      <c r="W4179" s="1"/>
      <c r="X4179" s="1"/>
      <c r="Y4179" s="1"/>
      <c r="AB4179" s="1"/>
      <c r="AC4179" s="1"/>
      <c r="AD4179" s="1"/>
      <c r="AE4179" s="1"/>
      <c r="AF4179" s="1"/>
      <c r="AG4179" s="1"/>
      <c r="AH4179" s="1"/>
      <c r="AI4179" s="1"/>
      <c r="AJ4179" s="1"/>
      <c r="AK4179" s="1"/>
      <c r="AL4179" s="1"/>
      <c r="AM4179" s="1"/>
    </row>
    <row r="4180" spans="16:39" x14ac:dyDescent="0.25">
      <c r="P4180" s="49"/>
      <c r="Q4180" s="1"/>
      <c r="S4180" s="1"/>
      <c r="T4180" s="1"/>
      <c r="U4180" s="1"/>
      <c r="V4180" s="1"/>
      <c r="W4180" s="1"/>
      <c r="X4180" s="1"/>
      <c r="Y4180" s="1"/>
      <c r="AB4180" s="1"/>
      <c r="AC4180" s="1"/>
      <c r="AD4180" s="1"/>
      <c r="AE4180" s="1"/>
      <c r="AF4180" s="1"/>
      <c r="AG4180" s="1"/>
      <c r="AH4180" s="1"/>
      <c r="AI4180" s="1"/>
      <c r="AJ4180" s="1"/>
      <c r="AK4180" s="1"/>
      <c r="AL4180" s="1"/>
      <c r="AM4180" s="1"/>
    </row>
    <row r="4181" spans="16:39" x14ac:dyDescent="0.25">
      <c r="P4181" s="49"/>
      <c r="Q4181" s="1"/>
      <c r="S4181" s="1"/>
      <c r="T4181" s="1"/>
      <c r="U4181" s="1"/>
      <c r="V4181" s="1"/>
      <c r="W4181" s="1"/>
      <c r="X4181" s="1"/>
      <c r="Y4181" s="1"/>
      <c r="AB4181" s="1"/>
      <c r="AC4181" s="1"/>
      <c r="AD4181" s="1"/>
      <c r="AE4181" s="1"/>
      <c r="AF4181" s="1"/>
      <c r="AG4181" s="1"/>
      <c r="AH4181" s="1"/>
      <c r="AI4181" s="1"/>
      <c r="AJ4181" s="1"/>
      <c r="AK4181" s="1"/>
      <c r="AL4181" s="1"/>
      <c r="AM4181" s="1"/>
    </row>
    <row r="4182" spans="16:39" x14ac:dyDescent="0.25">
      <c r="P4182" s="49"/>
      <c r="Q4182" s="1"/>
      <c r="S4182" s="1"/>
      <c r="T4182" s="1"/>
      <c r="U4182" s="1"/>
      <c r="V4182" s="1"/>
      <c r="W4182" s="1"/>
      <c r="X4182" s="1"/>
      <c r="Y4182" s="1"/>
      <c r="AB4182" s="1"/>
      <c r="AC4182" s="1"/>
      <c r="AD4182" s="1"/>
      <c r="AE4182" s="1"/>
      <c r="AF4182" s="1"/>
      <c r="AG4182" s="1"/>
      <c r="AH4182" s="1"/>
      <c r="AI4182" s="1"/>
      <c r="AJ4182" s="1"/>
      <c r="AK4182" s="1"/>
      <c r="AL4182" s="1"/>
      <c r="AM4182" s="1"/>
    </row>
    <row r="4183" spans="16:39" x14ac:dyDescent="0.25">
      <c r="P4183" s="49"/>
      <c r="Q4183" s="1"/>
      <c r="S4183" s="1"/>
      <c r="T4183" s="1"/>
      <c r="U4183" s="1"/>
      <c r="V4183" s="1"/>
      <c r="W4183" s="1"/>
      <c r="X4183" s="1"/>
      <c r="Y4183" s="1"/>
      <c r="AB4183" s="1"/>
      <c r="AC4183" s="1"/>
      <c r="AD4183" s="1"/>
      <c r="AE4183" s="1"/>
      <c r="AF4183" s="1"/>
      <c r="AG4183" s="1"/>
      <c r="AH4183" s="1"/>
      <c r="AI4183" s="1"/>
      <c r="AJ4183" s="1"/>
      <c r="AK4183" s="1"/>
      <c r="AL4183" s="1"/>
      <c r="AM4183" s="1"/>
    </row>
    <row r="4184" spans="16:39" x14ac:dyDescent="0.25">
      <c r="P4184" s="49"/>
      <c r="Q4184" s="1"/>
      <c r="S4184" s="1"/>
      <c r="T4184" s="1"/>
      <c r="U4184" s="1"/>
      <c r="V4184" s="1"/>
      <c r="W4184" s="1"/>
      <c r="X4184" s="1"/>
      <c r="Y4184" s="1"/>
      <c r="AB4184" s="1"/>
      <c r="AC4184" s="1"/>
      <c r="AD4184" s="1"/>
      <c r="AE4184" s="1"/>
      <c r="AF4184" s="1"/>
      <c r="AG4184" s="1"/>
      <c r="AH4184" s="1"/>
      <c r="AI4184" s="1"/>
      <c r="AJ4184" s="1"/>
      <c r="AK4184" s="1"/>
      <c r="AL4184" s="1"/>
      <c r="AM4184" s="1"/>
    </row>
    <row r="4185" spans="16:39" x14ac:dyDescent="0.25">
      <c r="P4185" s="49"/>
      <c r="Q4185" s="1"/>
      <c r="S4185" s="1"/>
      <c r="T4185" s="1"/>
      <c r="U4185" s="1"/>
      <c r="V4185" s="1"/>
      <c r="W4185" s="1"/>
      <c r="X4185" s="1"/>
      <c r="Y4185" s="1"/>
      <c r="AB4185" s="1"/>
      <c r="AC4185" s="1"/>
      <c r="AD4185" s="1"/>
      <c r="AE4185" s="1"/>
      <c r="AF4185" s="1"/>
      <c r="AG4185" s="1"/>
      <c r="AH4185" s="1"/>
      <c r="AI4185" s="1"/>
      <c r="AJ4185" s="1"/>
      <c r="AK4185" s="1"/>
      <c r="AL4185" s="1"/>
      <c r="AM4185" s="1"/>
    </row>
    <row r="4186" spans="16:39" x14ac:dyDescent="0.25">
      <c r="P4186" s="49"/>
      <c r="Q4186" s="1"/>
      <c r="S4186" s="1"/>
      <c r="T4186" s="1"/>
      <c r="U4186" s="1"/>
      <c r="V4186" s="1"/>
      <c r="W4186" s="1"/>
      <c r="X4186" s="1"/>
      <c r="Y4186" s="1"/>
      <c r="AB4186" s="1"/>
      <c r="AC4186" s="1"/>
      <c r="AD4186" s="1"/>
      <c r="AE4186" s="1"/>
      <c r="AF4186" s="1"/>
      <c r="AG4186" s="1"/>
      <c r="AH4186" s="1"/>
      <c r="AI4186" s="1"/>
      <c r="AJ4186" s="1"/>
      <c r="AK4186" s="1"/>
      <c r="AL4186" s="1"/>
      <c r="AM4186" s="1"/>
    </row>
    <row r="4187" spans="16:39" x14ac:dyDescent="0.25">
      <c r="P4187" s="49"/>
      <c r="Q4187" s="1"/>
      <c r="S4187" s="1"/>
      <c r="T4187" s="1"/>
      <c r="U4187" s="1"/>
      <c r="V4187" s="1"/>
      <c r="W4187" s="1"/>
      <c r="X4187" s="1"/>
      <c r="Y4187" s="1"/>
      <c r="AB4187" s="1"/>
      <c r="AC4187" s="1"/>
      <c r="AD4187" s="1"/>
      <c r="AE4187" s="1"/>
      <c r="AF4187" s="1"/>
      <c r="AG4187" s="1"/>
      <c r="AH4187" s="1"/>
      <c r="AI4187" s="1"/>
      <c r="AJ4187" s="1"/>
      <c r="AK4187" s="1"/>
      <c r="AL4187" s="1"/>
      <c r="AM4187" s="1"/>
    </row>
    <row r="4188" spans="16:39" x14ac:dyDescent="0.25">
      <c r="P4188" s="49"/>
      <c r="Q4188" s="1"/>
      <c r="S4188" s="1"/>
      <c r="T4188" s="1"/>
      <c r="U4188" s="1"/>
      <c r="V4188" s="1"/>
      <c r="W4188" s="1"/>
      <c r="X4188" s="1"/>
      <c r="Y4188" s="1"/>
      <c r="AB4188" s="1"/>
      <c r="AC4188" s="1"/>
      <c r="AD4188" s="1"/>
      <c r="AE4188" s="1"/>
      <c r="AF4188" s="1"/>
      <c r="AG4188" s="1"/>
      <c r="AH4188" s="1"/>
      <c r="AI4188" s="1"/>
      <c r="AJ4188" s="1"/>
      <c r="AK4188" s="1"/>
      <c r="AL4188" s="1"/>
      <c r="AM4188" s="1"/>
    </row>
    <row r="4189" spans="16:39" x14ac:dyDescent="0.25">
      <c r="P4189" s="49"/>
      <c r="Q4189" s="1"/>
      <c r="S4189" s="1"/>
      <c r="T4189" s="1"/>
      <c r="U4189" s="1"/>
      <c r="V4189" s="1"/>
      <c r="W4189" s="1"/>
      <c r="X4189" s="1"/>
      <c r="Y4189" s="1"/>
      <c r="AB4189" s="1"/>
      <c r="AC4189" s="1"/>
      <c r="AD4189" s="1"/>
      <c r="AE4189" s="1"/>
      <c r="AF4189" s="1"/>
      <c r="AG4189" s="1"/>
      <c r="AH4189" s="1"/>
      <c r="AI4189" s="1"/>
      <c r="AJ4189" s="1"/>
      <c r="AK4189" s="1"/>
      <c r="AL4189" s="1"/>
      <c r="AM4189" s="1"/>
    </row>
    <row r="4190" spans="16:39" x14ac:dyDescent="0.25">
      <c r="P4190" s="49"/>
      <c r="Q4190" s="1"/>
      <c r="S4190" s="1"/>
      <c r="T4190" s="1"/>
      <c r="U4190" s="1"/>
      <c r="V4190" s="1"/>
      <c r="W4190" s="1"/>
      <c r="X4190" s="1"/>
      <c r="Y4190" s="1"/>
      <c r="AB4190" s="1"/>
      <c r="AC4190" s="1"/>
      <c r="AD4190" s="1"/>
      <c r="AE4190" s="1"/>
      <c r="AF4190" s="1"/>
      <c r="AG4190" s="1"/>
      <c r="AH4190" s="1"/>
      <c r="AI4190" s="1"/>
      <c r="AJ4190" s="1"/>
      <c r="AK4190" s="1"/>
      <c r="AL4190" s="1"/>
      <c r="AM4190" s="1"/>
    </row>
    <row r="4191" spans="16:39" x14ac:dyDescent="0.25">
      <c r="P4191" s="49"/>
      <c r="Q4191" s="1"/>
      <c r="S4191" s="1"/>
      <c r="T4191" s="1"/>
      <c r="U4191" s="1"/>
      <c r="V4191" s="1"/>
      <c r="W4191" s="1"/>
      <c r="X4191" s="1"/>
      <c r="Y4191" s="1"/>
      <c r="AB4191" s="1"/>
      <c r="AC4191" s="1"/>
      <c r="AD4191" s="1"/>
      <c r="AE4191" s="1"/>
      <c r="AF4191" s="1"/>
      <c r="AG4191" s="1"/>
      <c r="AH4191" s="1"/>
      <c r="AI4191" s="1"/>
      <c r="AJ4191" s="1"/>
      <c r="AK4191" s="1"/>
      <c r="AL4191" s="1"/>
      <c r="AM4191" s="1"/>
    </row>
    <row r="4192" spans="16:39" x14ac:dyDescent="0.25">
      <c r="P4192" s="49"/>
      <c r="Q4192" s="1"/>
      <c r="S4192" s="1"/>
      <c r="T4192" s="1"/>
      <c r="U4192" s="1"/>
      <c r="V4192" s="1"/>
      <c r="W4192" s="1"/>
      <c r="X4192" s="1"/>
      <c r="Y4192" s="1"/>
      <c r="AB4192" s="1"/>
      <c r="AC4192" s="1"/>
      <c r="AD4192" s="1"/>
      <c r="AE4192" s="1"/>
      <c r="AF4192" s="1"/>
      <c r="AG4192" s="1"/>
      <c r="AH4192" s="1"/>
      <c r="AI4192" s="1"/>
      <c r="AJ4192" s="1"/>
      <c r="AK4192" s="1"/>
      <c r="AL4192" s="1"/>
      <c r="AM4192" s="1"/>
    </row>
    <row r="4193" spans="16:39" x14ac:dyDescent="0.25">
      <c r="P4193" s="49"/>
      <c r="Q4193" s="1"/>
      <c r="S4193" s="1"/>
      <c r="T4193" s="1"/>
      <c r="U4193" s="1"/>
      <c r="V4193" s="1"/>
      <c r="W4193" s="1"/>
      <c r="X4193" s="1"/>
      <c r="Y4193" s="1"/>
      <c r="AB4193" s="1"/>
      <c r="AC4193" s="1"/>
      <c r="AD4193" s="1"/>
      <c r="AE4193" s="1"/>
      <c r="AF4193" s="1"/>
      <c r="AG4193" s="1"/>
      <c r="AH4193" s="1"/>
      <c r="AI4193" s="1"/>
      <c r="AJ4193" s="1"/>
      <c r="AK4193" s="1"/>
      <c r="AL4193" s="1"/>
      <c r="AM4193" s="1"/>
    </row>
    <row r="4194" spans="16:39" x14ac:dyDescent="0.25">
      <c r="P4194" s="49"/>
      <c r="Q4194" s="1"/>
      <c r="S4194" s="1"/>
      <c r="T4194" s="1"/>
      <c r="U4194" s="1"/>
      <c r="V4194" s="1"/>
      <c r="W4194" s="1"/>
      <c r="X4194" s="1"/>
      <c r="Y4194" s="1"/>
      <c r="AB4194" s="1"/>
      <c r="AC4194" s="1"/>
      <c r="AD4194" s="1"/>
      <c r="AE4194" s="1"/>
      <c r="AF4194" s="1"/>
      <c r="AG4194" s="1"/>
      <c r="AH4194" s="1"/>
      <c r="AI4194" s="1"/>
      <c r="AJ4194" s="1"/>
      <c r="AK4194" s="1"/>
      <c r="AL4194" s="1"/>
      <c r="AM4194" s="1"/>
    </row>
    <row r="4195" spans="16:39" x14ac:dyDescent="0.25">
      <c r="P4195" s="49"/>
      <c r="Q4195" s="1"/>
      <c r="S4195" s="1"/>
      <c r="T4195" s="1"/>
      <c r="U4195" s="1"/>
      <c r="V4195" s="1"/>
      <c r="W4195" s="1"/>
      <c r="X4195" s="1"/>
      <c r="Y4195" s="1"/>
      <c r="AB4195" s="1"/>
      <c r="AC4195" s="1"/>
      <c r="AD4195" s="1"/>
      <c r="AE4195" s="1"/>
      <c r="AF4195" s="1"/>
      <c r="AG4195" s="1"/>
      <c r="AH4195" s="1"/>
      <c r="AI4195" s="1"/>
      <c r="AJ4195" s="1"/>
      <c r="AK4195" s="1"/>
      <c r="AL4195" s="1"/>
      <c r="AM4195" s="1"/>
    </row>
    <row r="4196" spans="16:39" x14ac:dyDescent="0.25">
      <c r="P4196" s="49"/>
      <c r="Q4196" s="1"/>
      <c r="S4196" s="1"/>
      <c r="T4196" s="1"/>
      <c r="U4196" s="1"/>
      <c r="V4196" s="1"/>
      <c r="W4196" s="1"/>
      <c r="X4196" s="1"/>
      <c r="Y4196" s="1"/>
      <c r="AB4196" s="1"/>
      <c r="AC4196" s="1"/>
      <c r="AD4196" s="1"/>
      <c r="AE4196" s="1"/>
      <c r="AF4196" s="1"/>
      <c r="AG4196" s="1"/>
      <c r="AH4196" s="1"/>
      <c r="AI4196" s="1"/>
      <c r="AJ4196" s="1"/>
      <c r="AK4196" s="1"/>
      <c r="AL4196" s="1"/>
      <c r="AM4196" s="1"/>
    </row>
    <row r="4197" spans="16:39" x14ac:dyDescent="0.25">
      <c r="P4197" s="49"/>
      <c r="Q4197" s="1"/>
      <c r="S4197" s="1"/>
      <c r="T4197" s="1"/>
      <c r="U4197" s="1"/>
      <c r="V4197" s="1"/>
      <c r="W4197" s="1"/>
      <c r="X4197" s="1"/>
      <c r="Y4197" s="1"/>
      <c r="AB4197" s="1"/>
      <c r="AC4197" s="1"/>
      <c r="AD4197" s="1"/>
      <c r="AE4197" s="1"/>
      <c r="AF4197" s="1"/>
      <c r="AG4197" s="1"/>
      <c r="AH4197" s="1"/>
      <c r="AI4197" s="1"/>
      <c r="AJ4197" s="1"/>
      <c r="AK4197" s="1"/>
      <c r="AL4197" s="1"/>
      <c r="AM4197" s="1"/>
    </row>
    <row r="4198" spans="16:39" x14ac:dyDescent="0.25">
      <c r="P4198" s="49"/>
      <c r="Q4198" s="1"/>
      <c r="S4198" s="1"/>
      <c r="T4198" s="1"/>
      <c r="U4198" s="1"/>
      <c r="V4198" s="1"/>
      <c r="W4198" s="1"/>
      <c r="X4198" s="1"/>
      <c r="Y4198" s="1"/>
      <c r="AB4198" s="1"/>
      <c r="AC4198" s="1"/>
      <c r="AD4198" s="1"/>
      <c r="AE4198" s="1"/>
      <c r="AF4198" s="1"/>
      <c r="AG4198" s="1"/>
      <c r="AH4198" s="1"/>
      <c r="AI4198" s="1"/>
      <c r="AJ4198" s="1"/>
      <c r="AK4198" s="1"/>
      <c r="AL4198" s="1"/>
      <c r="AM4198" s="1"/>
    </row>
    <row r="4199" spans="16:39" x14ac:dyDescent="0.25">
      <c r="P4199" s="49"/>
      <c r="Q4199" s="1"/>
      <c r="S4199" s="1"/>
      <c r="T4199" s="1"/>
      <c r="U4199" s="1"/>
      <c r="V4199" s="1"/>
      <c r="W4199" s="1"/>
      <c r="X4199" s="1"/>
      <c r="Y4199" s="1"/>
      <c r="AB4199" s="1"/>
      <c r="AC4199" s="1"/>
      <c r="AD4199" s="1"/>
      <c r="AE4199" s="1"/>
      <c r="AF4199" s="1"/>
      <c r="AG4199" s="1"/>
      <c r="AH4199" s="1"/>
      <c r="AI4199" s="1"/>
      <c r="AJ4199" s="1"/>
      <c r="AK4199" s="1"/>
      <c r="AL4199" s="1"/>
      <c r="AM4199" s="1"/>
    </row>
    <row r="4200" spans="16:39" x14ac:dyDescent="0.25">
      <c r="P4200" s="49"/>
      <c r="Q4200" s="1"/>
      <c r="S4200" s="1"/>
      <c r="T4200" s="1"/>
      <c r="U4200" s="1"/>
      <c r="V4200" s="1"/>
      <c r="W4200" s="1"/>
      <c r="X4200" s="1"/>
      <c r="Y4200" s="1"/>
      <c r="AB4200" s="1"/>
      <c r="AC4200" s="1"/>
      <c r="AD4200" s="1"/>
      <c r="AE4200" s="1"/>
      <c r="AF4200" s="1"/>
      <c r="AG4200" s="1"/>
      <c r="AH4200" s="1"/>
      <c r="AI4200" s="1"/>
      <c r="AJ4200" s="1"/>
      <c r="AK4200" s="1"/>
      <c r="AL4200" s="1"/>
      <c r="AM4200" s="1"/>
    </row>
    <row r="4201" spans="16:39" x14ac:dyDescent="0.25">
      <c r="P4201" s="49"/>
      <c r="Q4201" s="1"/>
      <c r="S4201" s="1"/>
      <c r="T4201" s="1"/>
      <c r="U4201" s="1"/>
      <c r="V4201" s="1"/>
      <c r="W4201" s="1"/>
      <c r="X4201" s="1"/>
      <c r="Y4201" s="1"/>
      <c r="AB4201" s="1"/>
      <c r="AC4201" s="1"/>
      <c r="AD4201" s="1"/>
      <c r="AE4201" s="1"/>
      <c r="AF4201" s="1"/>
      <c r="AG4201" s="1"/>
      <c r="AH4201" s="1"/>
      <c r="AI4201" s="1"/>
      <c r="AJ4201" s="1"/>
      <c r="AK4201" s="1"/>
      <c r="AL4201" s="1"/>
      <c r="AM4201" s="1"/>
    </row>
    <row r="4202" spans="16:39" x14ac:dyDescent="0.25">
      <c r="P4202" s="49"/>
      <c r="Q4202" s="1"/>
      <c r="S4202" s="1"/>
      <c r="T4202" s="1"/>
      <c r="U4202" s="1"/>
      <c r="V4202" s="1"/>
      <c r="W4202" s="1"/>
      <c r="X4202" s="1"/>
      <c r="Y4202" s="1"/>
      <c r="AB4202" s="1"/>
      <c r="AC4202" s="1"/>
      <c r="AD4202" s="1"/>
      <c r="AE4202" s="1"/>
      <c r="AF4202" s="1"/>
      <c r="AG4202" s="1"/>
      <c r="AH4202" s="1"/>
      <c r="AI4202" s="1"/>
      <c r="AJ4202" s="1"/>
      <c r="AK4202" s="1"/>
      <c r="AL4202" s="1"/>
      <c r="AM4202" s="1"/>
    </row>
    <row r="4203" spans="16:39" x14ac:dyDescent="0.25">
      <c r="P4203" s="49"/>
      <c r="Q4203" s="1"/>
      <c r="S4203" s="1"/>
      <c r="T4203" s="1"/>
      <c r="U4203" s="1"/>
      <c r="V4203" s="1"/>
      <c r="W4203" s="1"/>
      <c r="X4203" s="1"/>
      <c r="Y4203" s="1"/>
      <c r="AB4203" s="1"/>
      <c r="AC4203" s="1"/>
      <c r="AD4203" s="1"/>
      <c r="AE4203" s="1"/>
      <c r="AF4203" s="1"/>
      <c r="AG4203" s="1"/>
      <c r="AH4203" s="1"/>
      <c r="AI4203" s="1"/>
      <c r="AJ4203" s="1"/>
      <c r="AK4203" s="1"/>
      <c r="AL4203" s="1"/>
      <c r="AM4203" s="1"/>
    </row>
    <row r="4204" spans="16:39" x14ac:dyDescent="0.25">
      <c r="P4204" s="49"/>
      <c r="Q4204" s="1"/>
      <c r="S4204" s="1"/>
      <c r="T4204" s="1"/>
      <c r="U4204" s="1"/>
      <c r="V4204" s="1"/>
      <c r="W4204" s="1"/>
      <c r="X4204" s="1"/>
      <c r="Y4204" s="1"/>
      <c r="AB4204" s="1"/>
      <c r="AC4204" s="1"/>
      <c r="AD4204" s="1"/>
      <c r="AE4204" s="1"/>
      <c r="AF4204" s="1"/>
      <c r="AG4204" s="1"/>
      <c r="AH4204" s="1"/>
      <c r="AI4204" s="1"/>
      <c r="AJ4204" s="1"/>
      <c r="AK4204" s="1"/>
      <c r="AL4204" s="1"/>
      <c r="AM4204" s="1"/>
    </row>
    <row r="4205" spans="16:39" x14ac:dyDescent="0.25">
      <c r="P4205" s="49"/>
      <c r="Q4205" s="1"/>
      <c r="S4205" s="1"/>
      <c r="T4205" s="1"/>
      <c r="U4205" s="1"/>
      <c r="V4205" s="1"/>
      <c r="W4205" s="1"/>
      <c r="X4205" s="1"/>
      <c r="Y4205" s="1"/>
      <c r="AB4205" s="1"/>
      <c r="AC4205" s="1"/>
      <c r="AD4205" s="1"/>
      <c r="AE4205" s="1"/>
      <c r="AF4205" s="1"/>
      <c r="AG4205" s="1"/>
      <c r="AH4205" s="1"/>
      <c r="AI4205" s="1"/>
      <c r="AJ4205" s="1"/>
      <c r="AK4205" s="1"/>
      <c r="AL4205" s="1"/>
      <c r="AM4205" s="1"/>
    </row>
    <row r="4206" spans="16:39" x14ac:dyDescent="0.25">
      <c r="P4206" s="49"/>
      <c r="Q4206" s="1"/>
      <c r="S4206" s="1"/>
      <c r="T4206" s="1"/>
      <c r="U4206" s="1"/>
      <c r="V4206" s="1"/>
      <c r="W4206" s="1"/>
      <c r="X4206" s="1"/>
      <c r="Y4206" s="1"/>
      <c r="AB4206" s="1"/>
      <c r="AC4206" s="1"/>
      <c r="AD4206" s="1"/>
      <c r="AE4206" s="1"/>
      <c r="AF4206" s="1"/>
      <c r="AG4206" s="1"/>
      <c r="AH4206" s="1"/>
      <c r="AI4206" s="1"/>
      <c r="AJ4206" s="1"/>
      <c r="AK4206" s="1"/>
      <c r="AL4206" s="1"/>
      <c r="AM4206" s="1"/>
    </row>
    <row r="4207" spans="16:39" x14ac:dyDescent="0.25">
      <c r="P4207" s="49"/>
      <c r="Q4207" s="1"/>
      <c r="S4207" s="1"/>
      <c r="T4207" s="1"/>
      <c r="U4207" s="1"/>
      <c r="V4207" s="1"/>
      <c r="W4207" s="1"/>
      <c r="X4207" s="1"/>
      <c r="Y4207" s="1"/>
      <c r="AB4207" s="1"/>
      <c r="AC4207" s="1"/>
      <c r="AD4207" s="1"/>
      <c r="AE4207" s="1"/>
      <c r="AF4207" s="1"/>
      <c r="AG4207" s="1"/>
      <c r="AH4207" s="1"/>
      <c r="AI4207" s="1"/>
      <c r="AJ4207" s="1"/>
      <c r="AK4207" s="1"/>
      <c r="AL4207" s="1"/>
      <c r="AM4207" s="1"/>
    </row>
    <row r="4208" spans="16:39" x14ac:dyDescent="0.25">
      <c r="P4208" s="49"/>
      <c r="Q4208" s="1"/>
      <c r="S4208" s="1"/>
      <c r="T4208" s="1"/>
      <c r="U4208" s="1"/>
      <c r="V4208" s="1"/>
      <c r="W4208" s="1"/>
      <c r="X4208" s="1"/>
      <c r="Y4208" s="1"/>
      <c r="AB4208" s="1"/>
      <c r="AC4208" s="1"/>
      <c r="AD4208" s="1"/>
      <c r="AE4208" s="1"/>
      <c r="AF4208" s="1"/>
      <c r="AG4208" s="1"/>
      <c r="AH4208" s="1"/>
      <c r="AI4208" s="1"/>
      <c r="AJ4208" s="1"/>
      <c r="AK4208" s="1"/>
      <c r="AL4208" s="1"/>
      <c r="AM4208" s="1"/>
    </row>
    <row r="4209" spans="16:39" x14ac:dyDescent="0.25">
      <c r="P4209" s="49"/>
      <c r="Q4209" s="1"/>
      <c r="S4209" s="1"/>
      <c r="T4209" s="1"/>
      <c r="U4209" s="1"/>
      <c r="V4209" s="1"/>
      <c r="W4209" s="1"/>
      <c r="X4209" s="1"/>
      <c r="Y4209" s="1"/>
      <c r="AB4209" s="1"/>
      <c r="AC4209" s="1"/>
      <c r="AD4209" s="1"/>
      <c r="AE4209" s="1"/>
      <c r="AF4209" s="1"/>
      <c r="AG4209" s="1"/>
      <c r="AH4209" s="1"/>
      <c r="AI4209" s="1"/>
      <c r="AJ4209" s="1"/>
      <c r="AK4209" s="1"/>
      <c r="AL4209" s="1"/>
      <c r="AM4209" s="1"/>
    </row>
    <row r="4210" spans="16:39" x14ac:dyDescent="0.25">
      <c r="P4210" s="49"/>
      <c r="Q4210" s="1"/>
      <c r="S4210" s="1"/>
      <c r="T4210" s="1"/>
      <c r="U4210" s="1"/>
      <c r="V4210" s="1"/>
      <c r="W4210" s="1"/>
      <c r="X4210" s="1"/>
      <c r="Y4210" s="1"/>
      <c r="AB4210" s="1"/>
      <c r="AC4210" s="1"/>
      <c r="AD4210" s="1"/>
      <c r="AE4210" s="1"/>
      <c r="AF4210" s="1"/>
      <c r="AG4210" s="1"/>
      <c r="AH4210" s="1"/>
      <c r="AI4210" s="1"/>
      <c r="AJ4210" s="1"/>
      <c r="AK4210" s="1"/>
      <c r="AL4210" s="1"/>
      <c r="AM4210" s="1"/>
    </row>
    <row r="4211" spans="16:39" x14ac:dyDescent="0.25">
      <c r="P4211" s="49"/>
      <c r="Q4211" s="1"/>
      <c r="S4211" s="1"/>
      <c r="T4211" s="1"/>
      <c r="U4211" s="1"/>
      <c r="V4211" s="1"/>
      <c r="W4211" s="1"/>
      <c r="X4211" s="1"/>
      <c r="Y4211" s="1"/>
      <c r="AB4211" s="1"/>
      <c r="AC4211" s="1"/>
      <c r="AD4211" s="1"/>
      <c r="AE4211" s="1"/>
      <c r="AF4211" s="1"/>
      <c r="AG4211" s="1"/>
      <c r="AH4211" s="1"/>
      <c r="AI4211" s="1"/>
      <c r="AJ4211" s="1"/>
      <c r="AK4211" s="1"/>
      <c r="AL4211" s="1"/>
      <c r="AM4211" s="1"/>
    </row>
    <row r="4212" spans="16:39" x14ac:dyDescent="0.25">
      <c r="P4212" s="49"/>
      <c r="Q4212" s="1"/>
      <c r="S4212" s="1"/>
      <c r="T4212" s="1"/>
      <c r="U4212" s="1"/>
      <c r="V4212" s="1"/>
      <c r="W4212" s="1"/>
      <c r="X4212" s="1"/>
      <c r="Y4212" s="1"/>
      <c r="AB4212" s="1"/>
      <c r="AC4212" s="1"/>
      <c r="AD4212" s="1"/>
      <c r="AE4212" s="1"/>
      <c r="AF4212" s="1"/>
      <c r="AG4212" s="1"/>
      <c r="AH4212" s="1"/>
      <c r="AI4212" s="1"/>
      <c r="AJ4212" s="1"/>
      <c r="AK4212" s="1"/>
      <c r="AL4212" s="1"/>
      <c r="AM4212" s="1"/>
    </row>
    <row r="4213" spans="16:39" x14ac:dyDescent="0.25">
      <c r="P4213" s="49"/>
      <c r="Q4213" s="1"/>
      <c r="S4213" s="1"/>
      <c r="T4213" s="1"/>
      <c r="U4213" s="1"/>
      <c r="V4213" s="1"/>
      <c r="W4213" s="1"/>
      <c r="X4213" s="1"/>
      <c r="Y4213" s="1"/>
      <c r="AB4213" s="1"/>
      <c r="AC4213" s="1"/>
      <c r="AD4213" s="1"/>
      <c r="AE4213" s="1"/>
      <c r="AF4213" s="1"/>
      <c r="AG4213" s="1"/>
      <c r="AH4213" s="1"/>
      <c r="AI4213" s="1"/>
      <c r="AJ4213" s="1"/>
      <c r="AK4213" s="1"/>
      <c r="AL4213" s="1"/>
      <c r="AM4213" s="1"/>
    </row>
    <row r="4214" spans="16:39" x14ac:dyDescent="0.25">
      <c r="P4214" s="49"/>
      <c r="Q4214" s="1"/>
      <c r="S4214" s="1"/>
      <c r="T4214" s="1"/>
      <c r="U4214" s="1"/>
      <c r="V4214" s="1"/>
      <c r="W4214" s="1"/>
      <c r="X4214" s="1"/>
      <c r="Y4214" s="1"/>
      <c r="AB4214" s="1"/>
      <c r="AC4214" s="1"/>
      <c r="AD4214" s="1"/>
      <c r="AE4214" s="1"/>
      <c r="AF4214" s="1"/>
      <c r="AG4214" s="1"/>
      <c r="AH4214" s="1"/>
      <c r="AI4214" s="1"/>
      <c r="AJ4214" s="1"/>
      <c r="AK4214" s="1"/>
      <c r="AL4214" s="1"/>
      <c r="AM4214" s="1"/>
    </row>
    <row r="4215" spans="16:39" x14ac:dyDescent="0.25">
      <c r="P4215" s="49"/>
      <c r="Q4215" s="1"/>
      <c r="S4215" s="1"/>
      <c r="T4215" s="1"/>
      <c r="U4215" s="1"/>
      <c r="V4215" s="1"/>
      <c r="W4215" s="1"/>
      <c r="X4215" s="1"/>
      <c r="Y4215" s="1"/>
      <c r="AB4215" s="1"/>
      <c r="AC4215" s="1"/>
      <c r="AD4215" s="1"/>
      <c r="AE4215" s="1"/>
      <c r="AF4215" s="1"/>
      <c r="AG4215" s="1"/>
      <c r="AH4215" s="1"/>
      <c r="AI4215" s="1"/>
      <c r="AJ4215" s="1"/>
      <c r="AK4215" s="1"/>
      <c r="AL4215" s="1"/>
      <c r="AM4215" s="1"/>
    </row>
    <row r="4216" spans="16:39" x14ac:dyDescent="0.25">
      <c r="P4216" s="49"/>
      <c r="Q4216" s="1"/>
      <c r="S4216" s="1"/>
      <c r="T4216" s="1"/>
      <c r="U4216" s="1"/>
      <c r="V4216" s="1"/>
      <c r="W4216" s="1"/>
      <c r="X4216" s="1"/>
      <c r="Y4216" s="1"/>
      <c r="AB4216" s="1"/>
      <c r="AC4216" s="1"/>
      <c r="AD4216" s="1"/>
      <c r="AE4216" s="1"/>
      <c r="AF4216" s="1"/>
      <c r="AG4216" s="1"/>
      <c r="AH4216" s="1"/>
      <c r="AI4216" s="1"/>
      <c r="AJ4216" s="1"/>
      <c r="AK4216" s="1"/>
      <c r="AL4216" s="1"/>
      <c r="AM4216" s="1"/>
    </row>
    <row r="4217" spans="16:39" x14ac:dyDescent="0.25">
      <c r="P4217" s="49"/>
      <c r="Q4217" s="1"/>
      <c r="S4217" s="1"/>
      <c r="T4217" s="1"/>
      <c r="U4217" s="1"/>
      <c r="V4217" s="1"/>
      <c r="W4217" s="1"/>
      <c r="X4217" s="1"/>
      <c r="Y4217" s="1"/>
      <c r="AB4217" s="1"/>
      <c r="AC4217" s="1"/>
      <c r="AD4217" s="1"/>
      <c r="AE4217" s="1"/>
      <c r="AF4217" s="1"/>
      <c r="AG4217" s="1"/>
      <c r="AH4217" s="1"/>
      <c r="AI4217" s="1"/>
      <c r="AJ4217" s="1"/>
      <c r="AK4217" s="1"/>
      <c r="AL4217" s="1"/>
      <c r="AM4217" s="1"/>
    </row>
    <row r="4218" spans="16:39" x14ac:dyDescent="0.25">
      <c r="P4218" s="49"/>
      <c r="Q4218" s="1"/>
      <c r="S4218" s="1"/>
      <c r="T4218" s="1"/>
      <c r="U4218" s="1"/>
      <c r="V4218" s="1"/>
      <c r="W4218" s="1"/>
      <c r="X4218" s="1"/>
      <c r="Y4218" s="1"/>
      <c r="AB4218" s="1"/>
      <c r="AC4218" s="1"/>
      <c r="AD4218" s="1"/>
      <c r="AE4218" s="1"/>
      <c r="AF4218" s="1"/>
      <c r="AG4218" s="1"/>
      <c r="AH4218" s="1"/>
      <c r="AI4218" s="1"/>
      <c r="AJ4218" s="1"/>
      <c r="AK4218" s="1"/>
      <c r="AL4218" s="1"/>
      <c r="AM4218" s="1"/>
    </row>
    <row r="4219" spans="16:39" x14ac:dyDescent="0.25">
      <c r="P4219" s="49"/>
      <c r="Q4219" s="1"/>
      <c r="S4219" s="1"/>
      <c r="T4219" s="1"/>
      <c r="U4219" s="1"/>
      <c r="V4219" s="1"/>
      <c r="W4219" s="1"/>
      <c r="X4219" s="1"/>
      <c r="Y4219" s="1"/>
      <c r="AB4219" s="1"/>
      <c r="AC4219" s="1"/>
      <c r="AD4219" s="1"/>
      <c r="AE4219" s="1"/>
      <c r="AF4219" s="1"/>
      <c r="AG4219" s="1"/>
      <c r="AH4219" s="1"/>
      <c r="AI4219" s="1"/>
      <c r="AJ4219" s="1"/>
      <c r="AK4219" s="1"/>
      <c r="AL4219" s="1"/>
      <c r="AM4219" s="1"/>
    </row>
    <row r="4220" spans="16:39" x14ac:dyDescent="0.25">
      <c r="P4220" s="49"/>
      <c r="Q4220" s="1"/>
      <c r="S4220" s="1"/>
      <c r="T4220" s="1"/>
      <c r="U4220" s="1"/>
      <c r="V4220" s="1"/>
      <c r="W4220" s="1"/>
      <c r="X4220" s="1"/>
      <c r="Y4220" s="1"/>
      <c r="AB4220" s="1"/>
      <c r="AC4220" s="1"/>
      <c r="AD4220" s="1"/>
      <c r="AE4220" s="1"/>
      <c r="AF4220" s="1"/>
      <c r="AG4220" s="1"/>
      <c r="AH4220" s="1"/>
      <c r="AI4220" s="1"/>
      <c r="AJ4220" s="1"/>
      <c r="AK4220" s="1"/>
      <c r="AL4220" s="1"/>
      <c r="AM4220" s="1"/>
    </row>
    <row r="4221" spans="16:39" x14ac:dyDescent="0.25">
      <c r="P4221" s="49"/>
      <c r="Q4221" s="1"/>
      <c r="S4221" s="1"/>
      <c r="T4221" s="1"/>
      <c r="U4221" s="1"/>
      <c r="V4221" s="1"/>
      <c r="W4221" s="1"/>
      <c r="X4221" s="1"/>
      <c r="Y4221" s="1"/>
      <c r="AB4221" s="1"/>
      <c r="AC4221" s="1"/>
      <c r="AD4221" s="1"/>
      <c r="AE4221" s="1"/>
      <c r="AF4221" s="1"/>
      <c r="AG4221" s="1"/>
      <c r="AH4221" s="1"/>
      <c r="AI4221" s="1"/>
      <c r="AJ4221" s="1"/>
      <c r="AK4221" s="1"/>
      <c r="AL4221" s="1"/>
      <c r="AM4221" s="1"/>
    </row>
    <row r="4222" spans="16:39" x14ac:dyDescent="0.25">
      <c r="P4222" s="49"/>
      <c r="Q4222" s="1"/>
      <c r="S4222" s="1"/>
      <c r="T4222" s="1"/>
      <c r="U4222" s="1"/>
      <c r="V4222" s="1"/>
      <c r="W4222" s="1"/>
      <c r="X4222" s="1"/>
      <c r="Y4222" s="1"/>
      <c r="AB4222" s="1"/>
      <c r="AC4222" s="1"/>
      <c r="AD4222" s="1"/>
      <c r="AE4222" s="1"/>
      <c r="AF4222" s="1"/>
      <c r="AG4222" s="1"/>
      <c r="AH4222" s="1"/>
      <c r="AI4222" s="1"/>
      <c r="AJ4222" s="1"/>
      <c r="AK4222" s="1"/>
      <c r="AL4222" s="1"/>
      <c r="AM4222" s="1"/>
    </row>
    <row r="4223" spans="16:39" x14ac:dyDescent="0.25">
      <c r="P4223" s="49"/>
      <c r="Q4223" s="1"/>
      <c r="S4223" s="1"/>
      <c r="T4223" s="1"/>
      <c r="U4223" s="1"/>
      <c r="V4223" s="1"/>
      <c r="W4223" s="1"/>
      <c r="X4223" s="1"/>
      <c r="Y4223" s="1"/>
      <c r="AB4223" s="1"/>
      <c r="AC4223" s="1"/>
      <c r="AD4223" s="1"/>
      <c r="AE4223" s="1"/>
      <c r="AF4223" s="1"/>
      <c r="AG4223" s="1"/>
      <c r="AH4223" s="1"/>
      <c r="AI4223" s="1"/>
      <c r="AJ4223" s="1"/>
      <c r="AK4223" s="1"/>
      <c r="AL4223" s="1"/>
      <c r="AM4223" s="1"/>
    </row>
    <row r="4224" spans="16:39" x14ac:dyDescent="0.25">
      <c r="P4224" s="49"/>
      <c r="Q4224" s="1"/>
      <c r="S4224" s="1"/>
      <c r="T4224" s="1"/>
      <c r="U4224" s="1"/>
      <c r="V4224" s="1"/>
      <c r="W4224" s="1"/>
      <c r="X4224" s="1"/>
      <c r="Y4224" s="1"/>
      <c r="AB4224" s="1"/>
      <c r="AC4224" s="1"/>
      <c r="AD4224" s="1"/>
      <c r="AE4224" s="1"/>
      <c r="AF4224" s="1"/>
      <c r="AG4224" s="1"/>
      <c r="AH4224" s="1"/>
      <c r="AI4224" s="1"/>
      <c r="AJ4224" s="1"/>
      <c r="AK4224" s="1"/>
      <c r="AL4224" s="1"/>
      <c r="AM4224" s="1"/>
    </row>
    <row r="4225" spans="16:39" x14ac:dyDescent="0.25">
      <c r="P4225" s="49"/>
      <c r="Q4225" s="1"/>
      <c r="S4225" s="1"/>
      <c r="T4225" s="1"/>
      <c r="U4225" s="1"/>
      <c r="V4225" s="1"/>
      <c r="W4225" s="1"/>
      <c r="X4225" s="1"/>
      <c r="Y4225" s="1"/>
      <c r="AB4225" s="1"/>
      <c r="AC4225" s="1"/>
      <c r="AD4225" s="1"/>
      <c r="AE4225" s="1"/>
      <c r="AF4225" s="1"/>
      <c r="AG4225" s="1"/>
      <c r="AH4225" s="1"/>
      <c r="AI4225" s="1"/>
      <c r="AJ4225" s="1"/>
      <c r="AK4225" s="1"/>
      <c r="AL4225" s="1"/>
      <c r="AM4225" s="1"/>
    </row>
    <row r="4226" spans="16:39" x14ac:dyDescent="0.25">
      <c r="P4226" s="49"/>
      <c r="Q4226" s="1"/>
      <c r="S4226" s="1"/>
      <c r="T4226" s="1"/>
      <c r="U4226" s="1"/>
      <c r="V4226" s="1"/>
      <c r="W4226" s="1"/>
      <c r="X4226" s="1"/>
      <c r="Y4226" s="1"/>
      <c r="AB4226" s="1"/>
      <c r="AC4226" s="1"/>
      <c r="AD4226" s="1"/>
      <c r="AE4226" s="1"/>
      <c r="AF4226" s="1"/>
      <c r="AG4226" s="1"/>
      <c r="AH4226" s="1"/>
      <c r="AI4226" s="1"/>
      <c r="AJ4226" s="1"/>
      <c r="AK4226" s="1"/>
      <c r="AL4226" s="1"/>
      <c r="AM4226" s="1"/>
    </row>
    <row r="4227" spans="16:39" x14ac:dyDescent="0.25">
      <c r="P4227" s="49"/>
      <c r="Q4227" s="1"/>
      <c r="S4227" s="1"/>
      <c r="T4227" s="1"/>
      <c r="U4227" s="1"/>
      <c r="V4227" s="1"/>
      <c r="W4227" s="1"/>
      <c r="X4227" s="1"/>
      <c r="Y4227" s="1"/>
      <c r="AB4227" s="1"/>
      <c r="AC4227" s="1"/>
      <c r="AD4227" s="1"/>
      <c r="AE4227" s="1"/>
      <c r="AF4227" s="1"/>
      <c r="AG4227" s="1"/>
      <c r="AH4227" s="1"/>
      <c r="AI4227" s="1"/>
      <c r="AJ4227" s="1"/>
      <c r="AK4227" s="1"/>
      <c r="AL4227" s="1"/>
      <c r="AM4227" s="1"/>
    </row>
    <row r="4228" spans="16:39" x14ac:dyDescent="0.25">
      <c r="P4228" s="49"/>
      <c r="Q4228" s="1"/>
      <c r="S4228" s="1"/>
      <c r="T4228" s="1"/>
      <c r="U4228" s="1"/>
      <c r="V4228" s="1"/>
      <c r="W4228" s="1"/>
      <c r="X4228" s="1"/>
      <c r="Y4228" s="1"/>
      <c r="AB4228" s="1"/>
      <c r="AC4228" s="1"/>
      <c r="AD4228" s="1"/>
      <c r="AE4228" s="1"/>
      <c r="AF4228" s="1"/>
      <c r="AG4228" s="1"/>
      <c r="AH4228" s="1"/>
      <c r="AI4228" s="1"/>
      <c r="AJ4228" s="1"/>
      <c r="AK4228" s="1"/>
      <c r="AL4228" s="1"/>
      <c r="AM4228" s="1"/>
    </row>
    <row r="4229" spans="16:39" x14ac:dyDescent="0.25">
      <c r="P4229" s="49"/>
      <c r="Q4229" s="1"/>
      <c r="S4229" s="1"/>
      <c r="T4229" s="1"/>
      <c r="U4229" s="1"/>
      <c r="V4229" s="1"/>
      <c r="W4229" s="1"/>
      <c r="X4229" s="1"/>
      <c r="Y4229" s="1"/>
      <c r="AB4229" s="1"/>
      <c r="AC4229" s="1"/>
      <c r="AD4229" s="1"/>
      <c r="AE4229" s="1"/>
      <c r="AF4229" s="1"/>
      <c r="AG4229" s="1"/>
      <c r="AH4229" s="1"/>
      <c r="AI4229" s="1"/>
      <c r="AJ4229" s="1"/>
      <c r="AK4229" s="1"/>
      <c r="AL4229" s="1"/>
      <c r="AM4229" s="1"/>
    </row>
    <row r="4230" spans="16:39" x14ac:dyDescent="0.25">
      <c r="P4230" s="49"/>
      <c r="Q4230" s="1"/>
      <c r="S4230" s="1"/>
      <c r="T4230" s="1"/>
      <c r="U4230" s="1"/>
      <c r="V4230" s="1"/>
      <c r="W4230" s="1"/>
      <c r="X4230" s="1"/>
      <c r="Y4230" s="1"/>
      <c r="AB4230" s="1"/>
      <c r="AC4230" s="1"/>
      <c r="AD4230" s="1"/>
      <c r="AE4230" s="1"/>
      <c r="AF4230" s="1"/>
      <c r="AG4230" s="1"/>
      <c r="AH4230" s="1"/>
      <c r="AI4230" s="1"/>
      <c r="AJ4230" s="1"/>
      <c r="AK4230" s="1"/>
      <c r="AL4230" s="1"/>
      <c r="AM4230" s="1"/>
    </row>
    <row r="4231" spans="16:39" x14ac:dyDescent="0.25">
      <c r="P4231" s="49"/>
      <c r="Q4231" s="1"/>
      <c r="S4231" s="1"/>
      <c r="T4231" s="1"/>
      <c r="U4231" s="1"/>
      <c r="V4231" s="1"/>
      <c r="W4231" s="1"/>
      <c r="X4231" s="1"/>
      <c r="Y4231" s="1"/>
      <c r="AB4231" s="1"/>
      <c r="AC4231" s="1"/>
      <c r="AD4231" s="1"/>
      <c r="AE4231" s="1"/>
      <c r="AF4231" s="1"/>
      <c r="AG4231" s="1"/>
      <c r="AH4231" s="1"/>
      <c r="AI4231" s="1"/>
      <c r="AJ4231" s="1"/>
      <c r="AK4231" s="1"/>
      <c r="AL4231" s="1"/>
      <c r="AM4231" s="1"/>
    </row>
    <row r="4232" spans="16:39" x14ac:dyDescent="0.25">
      <c r="P4232" s="49"/>
      <c r="Q4232" s="1"/>
      <c r="S4232" s="1"/>
      <c r="T4232" s="1"/>
      <c r="U4232" s="1"/>
      <c r="V4232" s="1"/>
      <c r="W4232" s="1"/>
      <c r="X4232" s="1"/>
      <c r="Y4232" s="1"/>
      <c r="AB4232" s="1"/>
      <c r="AC4232" s="1"/>
      <c r="AD4232" s="1"/>
      <c r="AE4232" s="1"/>
      <c r="AF4232" s="1"/>
      <c r="AG4232" s="1"/>
      <c r="AH4232" s="1"/>
      <c r="AI4232" s="1"/>
      <c r="AJ4232" s="1"/>
      <c r="AK4232" s="1"/>
      <c r="AL4232" s="1"/>
      <c r="AM4232" s="1"/>
    </row>
    <row r="4233" spans="16:39" x14ac:dyDescent="0.25">
      <c r="P4233" s="49"/>
      <c r="Q4233" s="1"/>
      <c r="S4233" s="1"/>
      <c r="T4233" s="1"/>
      <c r="U4233" s="1"/>
      <c r="V4233" s="1"/>
      <c r="W4233" s="1"/>
      <c r="X4233" s="1"/>
      <c r="Y4233" s="1"/>
      <c r="AB4233" s="1"/>
      <c r="AC4233" s="1"/>
      <c r="AD4233" s="1"/>
      <c r="AE4233" s="1"/>
      <c r="AF4233" s="1"/>
      <c r="AG4233" s="1"/>
      <c r="AH4233" s="1"/>
      <c r="AI4233" s="1"/>
      <c r="AJ4233" s="1"/>
      <c r="AK4233" s="1"/>
      <c r="AL4233" s="1"/>
      <c r="AM4233" s="1"/>
    </row>
    <row r="4234" spans="16:39" x14ac:dyDescent="0.25">
      <c r="P4234" s="49"/>
      <c r="Q4234" s="1"/>
      <c r="S4234" s="1"/>
      <c r="T4234" s="1"/>
      <c r="U4234" s="1"/>
      <c r="V4234" s="1"/>
      <c r="W4234" s="1"/>
      <c r="X4234" s="1"/>
      <c r="Y4234" s="1"/>
      <c r="AB4234" s="1"/>
      <c r="AC4234" s="1"/>
      <c r="AD4234" s="1"/>
      <c r="AE4234" s="1"/>
      <c r="AF4234" s="1"/>
      <c r="AG4234" s="1"/>
      <c r="AH4234" s="1"/>
      <c r="AI4234" s="1"/>
      <c r="AJ4234" s="1"/>
      <c r="AK4234" s="1"/>
      <c r="AL4234" s="1"/>
      <c r="AM4234" s="1"/>
    </row>
    <row r="4235" spans="16:39" x14ac:dyDescent="0.25">
      <c r="P4235" s="49"/>
      <c r="Q4235" s="1"/>
      <c r="S4235" s="1"/>
      <c r="T4235" s="1"/>
      <c r="U4235" s="1"/>
      <c r="V4235" s="1"/>
      <c r="W4235" s="1"/>
      <c r="X4235" s="1"/>
      <c r="Y4235" s="1"/>
      <c r="AB4235" s="1"/>
      <c r="AC4235" s="1"/>
      <c r="AD4235" s="1"/>
      <c r="AE4235" s="1"/>
      <c r="AF4235" s="1"/>
      <c r="AG4235" s="1"/>
      <c r="AH4235" s="1"/>
      <c r="AI4235" s="1"/>
      <c r="AJ4235" s="1"/>
      <c r="AK4235" s="1"/>
      <c r="AL4235" s="1"/>
      <c r="AM4235" s="1"/>
    </row>
    <row r="4236" spans="16:39" x14ac:dyDescent="0.25">
      <c r="P4236" s="49"/>
      <c r="Q4236" s="1"/>
      <c r="S4236" s="1"/>
      <c r="T4236" s="1"/>
      <c r="U4236" s="1"/>
      <c r="V4236" s="1"/>
      <c r="W4236" s="1"/>
      <c r="X4236" s="1"/>
      <c r="Y4236" s="1"/>
      <c r="AB4236" s="1"/>
      <c r="AC4236" s="1"/>
      <c r="AD4236" s="1"/>
      <c r="AE4236" s="1"/>
      <c r="AF4236" s="1"/>
      <c r="AG4236" s="1"/>
      <c r="AH4236" s="1"/>
      <c r="AI4236" s="1"/>
      <c r="AJ4236" s="1"/>
      <c r="AK4236" s="1"/>
      <c r="AL4236" s="1"/>
      <c r="AM4236" s="1"/>
    </row>
    <row r="4237" spans="16:39" x14ac:dyDescent="0.25">
      <c r="P4237" s="49"/>
      <c r="Q4237" s="1"/>
      <c r="S4237" s="1"/>
      <c r="T4237" s="1"/>
      <c r="U4237" s="1"/>
      <c r="V4237" s="1"/>
      <c r="W4237" s="1"/>
      <c r="X4237" s="1"/>
      <c r="Y4237" s="1"/>
      <c r="AB4237" s="1"/>
      <c r="AC4237" s="1"/>
      <c r="AD4237" s="1"/>
      <c r="AE4237" s="1"/>
      <c r="AF4237" s="1"/>
      <c r="AG4237" s="1"/>
      <c r="AH4237" s="1"/>
      <c r="AI4237" s="1"/>
      <c r="AJ4237" s="1"/>
      <c r="AK4237" s="1"/>
      <c r="AL4237" s="1"/>
      <c r="AM4237" s="1"/>
    </row>
    <row r="4238" spans="16:39" x14ac:dyDescent="0.25">
      <c r="P4238" s="49"/>
      <c r="Q4238" s="1"/>
      <c r="S4238" s="1"/>
      <c r="T4238" s="1"/>
      <c r="U4238" s="1"/>
      <c r="V4238" s="1"/>
      <c r="W4238" s="1"/>
      <c r="X4238" s="1"/>
      <c r="Y4238" s="1"/>
      <c r="AB4238" s="1"/>
      <c r="AC4238" s="1"/>
      <c r="AD4238" s="1"/>
      <c r="AE4238" s="1"/>
      <c r="AF4238" s="1"/>
      <c r="AG4238" s="1"/>
      <c r="AH4238" s="1"/>
      <c r="AI4238" s="1"/>
      <c r="AJ4238" s="1"/>
      <c r="AK4238" s="1"/>
      <c r="AL4238" s="1"/>
      <c r="AM4238" s="1"/>
    </row>
    <row r="4239" spans="16:39" x14ac:dyDescent="0.25">
      <c r="P4239" s="49"/>
      <c r="Q4239" s="1"/>
      <c r="S4239" s="1"/>
      <c r="T4239" s="1"/>
      <c r="U4239" s="1"/>
      <c r="V4239" s="1"/>
      <c r="W4239" s="1"/>
      <c r="X4239" s="1"/>
      <c r="Y4239" s="1"/>
      <c r="AB4239" s="1"/>
      <c r="AC4239" s="1"/>
      <c r="AD4239" s="1"/>
      <c r="AE4239" s="1"/>
      <c r="AF4239" s="1"/>
      <c r="AG4239" s="1"/>
      <c r="AH4239" s="1"/>
      <c r="AI4239" s="1"/>
      <c r="AJ4239" s="1"/>
      <c r="AK4239" s="1"/>
      <c r="AL4239" s="1"/>
      <c r="AM4239" s="1"/>
    </row>
    <row r="4240" spans="16:39" x14ac:dyDescent="0.25">
      <c r="P4240" s="49"/>
      <c r="Q4240" s="1"/>
      <c r="S4240" s="1"/>
      <c r="T4240" s="1"/>
      <c r="U4240" s="1"/>
      <c r="V4240" s="1"/>
      <c r="W4240" s="1"/>
      <c r="X4240" s="1"/>
      <c r="Y4240" s="1"/>
      <c r="AB4240" s="1"/>
      <c r="AC4240" s="1"/>
      <c r="AD4240" s="1"/>
      <c r="AE4240" s="1"/>
      <c r="AF4240" s="1"/>
      <c r="AG4240" s="1"/>
      <c r="AH4240" s="1"/>
      <c r="AI4240" s="1"/>
      <c r="AJ4240" s="1"/>
      <c r="AK4240" s="1"/>
      <c r="AL4240" s="1"/>
      <c r="AM4240" s="1"/>
    </row>
    <row r="4241" spans="16:39" x14ac:dyDescent="0.25">
      <c r="P4241" s="49"/>
      <c r="Q4241" s="1"/>
      <c r="S4241" s="1"/>
      <c r="T4241" s="1"/>
      <c r="U4241" s="1"/>
      <c r="V4241" s="1"/>
      <c r="W4241" s="1"/>
      <c r="X4241" s="1"/>
      <c r="Y4241" s="1"/>
      <c r="AB4241" s="1"/>
      <c r="AC4241" s="1"/>
      <c r="AD4241" s="1"/>
      <c r="AE4241" s="1"/>
      <c r="AF4241" s="1"/>
      <c r="AG4241" s="1"/>
      <c r="AH4241" s="1"/>
      <c r="AI4241" s="1"/>
      <c r="AJ4241" s="1"/>
      <c r="AK4241" s="1"/>
      <c r="AL4241" s="1"/>
      <c r="AM4241" s="1"/>
    </row>
    <row r="4242" spans="16:39" x14ac:dyDescent="0.25">
      <c r="P4242" s="49"/>
      <c r="Q4242" s="1"/>
      <c r="S4242" s="1"/>
      <c r="T4242" s="1"/>
      <c r="U4242" s="1"/>
      <c r="V4242" s="1"/>
      <c r="W4242" s="1"/>
      <c r="X4242" s="1"/>
      <c r="Y4242" s="1"/>
      <c r="AB4242" s="1"/>
      <c r="AC4242" s="1"/>
      <c r="AD4242" s="1"/>
      <c r="AE4242" s="1"/>
      <c r="AF4242" s="1"/>
      <c r="AG4242" s="1"/>
      <c r="AH4242" s="1"/>
      <c r="AI4242" s="1"/>
      <c r="AJ4242" s="1"/>
      <c r="AK4242" s="1"/>
      <c r="AL4242" s="1"/>
      <c r="AM4242" s="1"/>
    </row>
    <row r="4243" spans="16:39" x14ac:dyDescent="0.25">
      <c r="P4243" s="49"/>
      <c r="Q4243" s="1"/>
      <c r="S4243" s="1"/>
      <c r="T4243" s="1"/>
      <c r="U4243" s="1"/>
      <c r="V4243" s="1"/>
      <c r="W4243" s="1"/>
      <c r="X4243" s="1"/>
      <c r="Y4243" s="1"/>
      <c r="AB4243" s="1"/>
      <c r="AC4243" s="1"/>
      <c r="AD4243" s="1"/>
      <c r="AE4243" s="1"/>
      <c r="AF4243" s="1"/>
      <c r="AG4243" s="1"/>
      <c r="AH4243" s="1"/>
      <c r="AI4243" s="1"/>
      <c r="AJ4243" s="1"/>
      <c r="AK4243" s="1"/>
      <c r="AL4243" s="1"/>
      <c r="AM4243" s="1"/>
    </row>
    <row r="4244" spans="16:39" x14ac:dyDescent="0.25">
      <c r="P4244" s="49"/>
      <c r="Q4244" s="1"/>
      <c r="S4244" s="1"/>
      <c r="T4244" s="1"/>
      <c r="U4244" s="1"/>
      <c r="V4244" s="1"/>
      <c r="W4244" s="1"/>
      <c r="X4244" s="1"/>
      <c r="Y4244" s="1"/>
      <c r="AB4244" s="1"/>
      <c r="AC4244" s="1"/>
      <c r="AD4244" s="1"/>
      <c r="AE4244" s="1"/>
      <c r="AF4244" s="1"/>
      <c r="AG4244" s="1"/>
      <c r="AH4244" s="1"/>
      <c r="AI4244" s="1"/>
      <c r="AJ4244" s="1"/>
      <c r="AK4244" s="1"/>
      <c r="AL4244" s="1"/>
      <c r="AM4244" s="1"/>
    </row>
    <row r="4245" spans="16:39" x14ac:dyDescent="0.25">
      <c r="P4245" s="49"/>
      <c r="Q4245" s="1"/>
      <c r="S4245" s="1"/>
      <c r="T4245" s="1"/>
      <c r="U4245" s="1"/>
      <c r="V4245" s="1"/>
      <c r="W4245" s="1"/>
      <c r="X4245" s="1"/>
      <c r="Y4245" s="1"/>
      <c r="AB4245" s="1"/>
      <c r="AC4245" s="1"/>
      <c r="AD4245" s="1"/>
      <c r="AE4245" s="1"/>
      <c r="AF4245" s="1"/>
      <c r="AG4245" s="1"/>
      <c r="AH4245" s="1"/>
      <c r="AI4245" s="1"/>
      <c r="AJ4245" s="1"/>
      <c r="AK4245" s="1"/>
      <c r="AL4245" s="1"/>
      <c r="AM4245" s="1"/>
    </row>
    <row r="4246" spans="16:39" x14ac:dyDescent="0.25">
      <c r="P4246" s="49"/>
      <c r="Q4246" s="1"/>
      <c r="S4246" s="1"/>
      <c r="T4246" s="1"/>
      <c r="U4246" s="1"/>
      <c r="V4246" s="1"/>
      <c r="W4246" s="1"/>
      <c r="X4246" s="1"/>
      <c r="Y4246" s="1"/>
      <c r="AB4246" s="1"/>
      <c r="AC4246" s="1"/>
      <c r="AD4246" s="1"/>
      <c r="AE4246" s="1"/>
      <c r="AF4246" s="1"/>
      <c r="AG4246" s="1"/>
      <c r="AH4246" s="1"/>
      <c r="AI4246" s="1"/>
      <c r="AJ4246" s="1"/>
      <c r="AK4246" s="1"/>
      <c r="AL4246" s="1"/>
      <c r="AM4246" s="1"/>
    </row>
    <row r="4247" spans="16:39" x14ac:dyDescent="0.25">
      <c r="P4247" s="49"/>
      <c r="Q4247" s="1"/>
      <c r="S4247" s="1"/>
      <c r="T4247" s="1"/>
      <c r="U4247" s="1"/>
      <c r="V4247" s="1"/>
      <c r="W4247" s="1"/>
      <c r="X4247" s="1"/>
      <c r="Y4247" s="1"/>
      <c r="AB4247" s="1"/>
      <c r="AC4247" s="1"/>
      <c r="AD4247" s="1"/>
      <c r="AE4247" s="1"/>
      <c r="AF4247" s="1"/>
      <c r="AG4247" s="1"/>
      <c r="AH4247" s="1"/>
      <c r="AI4247" s="1"/>
      <c r="AJ4247" s="1"/>
      <c r="AK4247" s="1"/>
      <c r="AL4247" s="1"/>
      <c r="AM4247" s="1"/>
    </row>
    <row r="4248" spans="16:39" x14ac:dyDescent="0.25">
      <c r="P4248" s="49"/>
      <c r="Q4248" s="1"/>
      <c r="S4248" s="1"/>
      <c r="T4248" s="1"/>
      <c r="U4248" s="1"/>
      <c r="V4248" s="1"/>
      <c r="W4248" s="1"/>
      <c r="X4248" s="1"/>
      <c r="Y4248" s="1"/>
      <c r="AB4248" s="1"/>
      <c r="AC4248" s="1"/>
      <c r="AD4248" s="1"/>
      <c r="AE4248" s="1"/>
      <c r="AF4248" s="1"/>
      <c r="AG4248" s="1"/>
      <c r="AH4248" s="1"/>
      <c r="AI4248" s="1"/>
      <c r="AJ4248" s="1"/>
      <c r="AK4248" s="1"/>
      <c r="AL4248" s="1"/>
      <c r="AM4248" s="1"/>
    </row>
    <row r="4249" spans="16:39" x14ac:dyDescent="0.25">
      <c r="P4249" s="49"/>
      <c r="Q4249" s="1"/>
      <c r="S4249" s="1"/>
      <c r="T4249" s="1"/>
      <c r="U4249" s="1"/>
      <c r="V4249" s="1"/>
      <c r="W4249" s="1"/>
      <c r="X4249" s="1"/>
      <c r="Y4249" s="1"/>
      <c r="AB4249" s="1"/>
      <c r="AC4249" s="1"/>
      <c r="AD4249" s="1"/>
      <c r="AE4249" s="1"/>
      <c r="AF4249" s="1"/>
      <c r="AG4249" s="1"/>
      <c r="AH4249" s="1"/>
      <c r="AI4249" s="1"/>
      <c r="AJ4249" s="1"/>
      <c r="AK4249" s="1"/>
      <c r="AL4249" s="1"/>
      <c r="AM4249" s="1"/>
    </row>
    <row r="4250" spans="16:39" x14ac:dyDescent="0.25">
      <c r="P4250" s="49"/>
      <c r="Q4250" s="1"/>
      <c r="S4250" s="1"/>
      <c r="T4250" s="1"/>
      <c r="U4250" s="1"/>
      <c r="V4250" s="1"/>
      <c r="W4250" s="1"/>
      <c r="X4250" s="1"/>
      <c r="Y4250" s="1"/>
      <c r="AB4250" s="1"/>
      <c r="AC4250" s="1"/>
      <c r="AD4250" s="1"/>
      <c r="AE4250" s="1"/>
      <c r="AF4250" s="1"/>
      <c r="AG4250" s="1"/>
      <c r="AH4250" s="1"/>
      <c r="AI4250" s="1"/>
      <c r="AJ4250" s="1"/>
      <c r="AK4250" s="1"/>
      <c r="AL4250" s="1"/>
      <c r="AM4250" s="1"/>
    </row>
    <row r="4251" spans="16:39" x14ac:dyDescent="0.25">
      <c r="P4251" s="49"/>
      <c r="Q4251" s="1"/>
      <c r="S4251" s="1"/>
      <c r="T4251" s="1"/>
      <c r="U4251" s="1"/>
      <c r="V4251" s="1"/>
      <c r="W4251" s="1"/>
      <c r="X4251" s="1"/>
      <c r="Y4251" s="1"/>
      <c r="AB4251" s="1"/>
      <c r="AC4251" s="1"/>
      <c r="AD4251" s="1"/>
      <c r="AE4251" s="1"/>
      <c r="AF4251" s="1"/>
      <c r="AG4251" s="1"/>
      <c r="AH4251" s="1"/>
      <c r="AI4251" s="1"/>
      <c r="AJ4251" s="1"/>
      <c r="AK4251" s="1"/>
      <c r="AL4251" s="1"/>
      <c r="AM4251" s="1"/>
    </row>
    <row r="4252" spans="16:39" x14ac:dyDescent="0.25">
      <c r="P4252" s="49"/>
      <c r="Q4252" s="1"/>
      <c r="S4252" s="1"/>
      <c r="T4252" s="1"/>
      <c r="U4252" s="1"/>
      <c r="V4252" s="1"/>
      <c r="W4252" s="1"/>
      <c r="X4252" s="1"/>
      <c r="Y4252" s="1"/>
      <c r="AB4252" s="1"/>
      <c r="AC4252" s="1"/>
      <c r="AD4252" s="1"/>
      <c r="AE4252" s="1"/>
      <c r="AF4252" s="1"/>
      <c r="AG4252" s="1"/>
      <c r="AH4252" s="1"/>
      <c r="AI4252" s="1"/>
      <c r="AJ4252" s="1"/>
      <c r="AK4252" s="1"/>
      <c r="AL4252" s="1"/>
      <c r="AM4252" s="1"/>
    </row>
    <row r="4253" spans="16:39" x14ac:dyDescent="0.25">
      <c r="P4253" s="49"/>
      <c r="Q4253" s="1"/>
      <c r="S4253" s="1"/>
      <c r="T4253" s="1"/>
      <c r="U4253" s="1"/>
      <c r="V4253" s="1"/>
      <c r="W4253" s="1"/>
      <c r="X4253" s="1"/>
      <c r="Y4253" s="1"/>
      <c r="AB4253" s="1"/>
      <c r="AC4253" s="1"/>
      <c r="AD4253" s="1"/>
      <c r="AE4253" s="1"/>
      <c r="AF4253" s="1"/>
      <c r="AG4253" s="1"/>
      <c r="AH4253" s="1"/>
      <c r="AI4253" s="1"/>
      <c r="AJ4253" s="1"/>
      <c r="AK4253" s="1"/>
      <c r="AL4253" s="1"/>
      <c r="AM4253" s="1"/>
    </row>
    <row r="4254" spans="16:39" x14ac:dyDescent="0.25">
      <c r="P4254" s="49"/>
      <c r="Q4254" s="1"/>
      <c r="S4254" s="1"/>
      <c r="T4254" s="1"/>
      <c r="U4254" s="1"/>
      <c r="V4254" s="1"/>
      <c r="W4254" s="1"/>
      <c r="X4254" s="1"/>
      <c r="Y4254" s="1"/>
      <c r="AB4254" s="1"/>
      <c r="AC4254" s="1"/>
      <c r="AD4254" s="1"/>
      <c r="AE4254" s="1"/>
      <c r="AF4254" s="1"/>
      <c r="AG4254" s="1"/>
      <c r="AH4254" s="1"/>
      <c r="AI4254" s="1"/>
      <c r="AJ4254" s="1"/>
      <c r="AK4254" s="1"/>
      <c r="AL4254" s="1"/>
      <c r="AM4254" s="1"/>
    </row>
    <row r="4255" spans="16:39" x14ac:dyDescent="0.25">
      <c r="P4255" s="49"/>
      <c r="Q4255" s="1"/>
      <c r="S4255" s="1"/>
      <c r="T4255" s="1"/>
      <c r="U4255" s="1"/>
      <c r="V4255" s="1"/>
      <c r="W4255" s="1"/>
      <c r="X4255" s="1"/>
      <c r="Y4255" s="1"/>
      <c r="AB4255" s="1"/>
      <c r="AC4255" s="1"/>
      <c r="AD4255" s="1"/>
      <c r="AE4255" s="1"/>
      <c r="AF4255" s="1"/>
      <c r="AG4255" s="1"/>
      <c r="AH4255" s="1"/>
      <c r="AI4255" s="1"/>
      <c r="AJ4255" s="1"/>
      <c r="AK4255" s="1"/>
      <c r="AL4255" s="1"/>
      <c r="AM4255" s="1"/>
    </row>
    <row r="4256" spans="16:39" x14ac:dyDescent="0.25">
      <c r="P4256" s="49"/>
      <c r="Q4256" s="1"/>
      <c r="S4256" s="1"/>
      <c r="T4256" s="1"/>
      <c r="U4256" s="1"/>
      <c r="V4256" s="1"/>
      <c r="W4256" s="1"/>
      <c r="X4256" s="1"/>
      <c r="Y4256" s="1"/>
      <c r="AB4256" s="1"/>
      <c r="AC4256" s="1"/>
      <c r="AD4256" s="1"/>
      <c r="AE4256" s="1"/>
      <c r="AF4256" s="1"/>
      <c r="AG4256" s="1"/>
      <c r="AH4256" s="1"/>
      <c r="AI4256" s="1"/>
      <c r="AJ4256" s="1"/>
      <c r="AK4256" s="1"/>
      <c r="AL4256" s="1"/>
      <c r="AM4256" s="1"/>
    </row>
    <row r="4257" spans="16:39" x14ac:dyDescent="0.25">
      <c r="P4257" s="49"/>
      <c r="Q4257" s="1"/>
      <c r="S4257" s="1"/>
      <c r="T4257" s="1"/>
      <c r="U4257" s="1"/>
      <c r="V4257" s="1"/>
      <c r="W4257" s="1"/>
      <c r="X4257" s="1"/>
      <c r="Y4257" s="1"/>
      <c r="AB4257" s="1"/>
      <c r="AC4257" s="1"/>
      <c r="AD4257" s="1"/>
      <c r="AE4257" s="1"/>
      <c r="AF4257" s="1"/>
      <c r="AG4257" s="1"/>
      <c r="AH4257" s="1"/>
      <c r="AI4257" s="1"/>
      <c r="AJ4257" s="1"/>
      <c r="AK4257" s="1"/>
      <c r="AL4257" s="1"/>
      <c r="AM4257" s="1"/>
    </row>
    <row r="4258" spans="16:39" x14ac:dyDescent="0.25">
      <c r="P4258" s="49"/>
      <c r="Q4258" s="1"/>
      <c r="S4258" s="1"/>
      <c r="T4258" s="1"/>
      <c r="U4258" s="1"/>
      <c r="V4258" s="1"/>
      <c r="W4258" s="1"/>
      <c r="X4258" s="1"/>
      <c r="Y4258" s="1"/>
      <c r="AB4258" s="1"/>
      <c r="AC4258" s="1"/>
      <c r="AD4258" s="1"/>
      <c r="AE4258" s="1"/>
      <c r="AF4258" s="1"/>
      <c r="AG4258" s="1"/>
      <c r="AH4258" s="1"/>
      <c r="AI4258" s="1"/>
      <c r="AJ4258" s="1"/>
      <c r="AK4258" s="1"/>
      <c r="AL4258" s="1"/>
      <c r="AM4258" s="1"/>
    </row>
    <row r="4259" spans="16:39" x14ac:dyDescent="0.25">
      <c r="P4259" s="49"/>
      <c r="Q4259" s="1"/>
      <c r="S4259" s="1"/>
      <c r="T4259" s="1"/>
      <c r="U4259" s="1"/>
      <c r="V4259" s="1"/>
      <c r="W4259" s="1"/>
      <c r="X4259" s="1"/>
      <c r="Y4259" s="1"/>
      <c r="AB4259" s="1"/>
      <c r="AC4259" s="1"/>
      <c r="AD4259" s="1"/>
      <c r="AE4259" s="1"/>
      <c r="AF4259" s="1"/>
      <c r="AG4259" s="1"/>
      <c r="AH4259" s="1"/>
      <c r="AI4259" s="1"/>
      <c r="AJ4259" s="1"/>
      <c r="AK4259" s="1"/>
      <c r="AL4259" s="1"/>
      <c r="AM4259" s="1"/>
    </row>
    <row r="4260" spans="16:39" x14ac:dyDescent="0.25">
      <c r="P4260" s="49"/>
      <c r="Q4260" s="1"/>
      <c r="S4260" s="1"/>
      <c r="T4260" s="1"/>
      <c r="U4260" s="1"/>
      <c r="V4260" s="1"/>
      <c r="W4260" s="1"/>
      <c r="X4260" s="1"/>
      <c r="Y4260" s="1"/>
      <c r="AB4260" s="1"/>
      <c r="AC4260" s="1"/>
      <c r="AD4260" s="1"/>
      <c r="AE4260" s="1"/>
      <c r="AF4260" s="1"/>
      <c r="AG4260" s="1"/>
      <c r="AH4260" s="1"/>
      <c r="AI4260" s="1"/>
      <c r="AJ4260" s="1"/>
      <c r="AK4260" s="1"/>
      <c r="AL4260" s="1"/>
      <c r="AM4260" s="1"/>
    </row>
    <row r="4261" spans="16:39" x14ac:dyDescent="0.25">
      <c r="P4261" s="49"/>
      <c r="Q4261" s="1"/>
      <c r="S4261" s="1"/>
      <c r="T4261" s="1"/>
      <c r="U4261" s="1"/>
      <c r="V4261" s="1"/>
      <c r="W4261" s="1"/>
      <c r="X4261" s="1"/>
      <c r="Y4261" s="1"/>
      <c r="AB4261" s="1"/>
      <c r="AC4261" s="1"/>
      <c r="AD4261" s="1"/>
      <c r="AE4261" s="1"/>
      <c r="AF4261" s="1"/>
      <c r="AG4261" s="1"/>
      <c r="AH4261" s="1"/>
      <c r="AI4261" s="1"/>
      <c r="AJ4261" s="1"/>
      <c r="AK4261" s="1"/>
      <c r="AL4261" s="1"/>
      <c r="AM4261" s="1"/>
    </row>
    <row r="4262" spans="16:39" x14ac:dyDescent="0.25">
      <c r="P4262" s="49"/>
      <c r="Q4262" s="1"/>
      <c r="S4262" s="1"/>
      <c r="T4262" s="1"/>
      <c r="U4262" s="1"/>
      <c r="V4262" s="1"/>
      <c r="W4262" s="1"/>
      <c r="X4262" s="1"/>
      <c r="Y4262" s="1"/>
      <c r="AB4262" s="1"/>
      <c r="AC4262" s="1"/>
      <c r="AD4262" s="1"/>
      <c r="AE4262" s="1"/>
      <c r="AF4262" s="1"/>
      <c r="AG4262" s="1"/>
      <c r="AH4262" s="1"/>
      <c r="AI4262" s="1"/>
      <c r="AJ4262" s="1"/>
      <c r="AK4262" s="1"/>
      <c r="AL4262" s="1"/>
      <c r="AM4262" s="1"/>
    </row>
    <row r="4263" spans="16:39" x14ac:dyDescent="0.25">
      <c r="P4263" s="49"/>
      <c r="Q4263" s="1"/>
      <c r="S4263" s="1"/>
      <c r="T4263" s="1"/>
      <c r="U4263" s="1"/>
      <c r="V4263" s="1"/>
      <c r="W4263" s="1"/>
      <c r="X4263" s="1"/>
      <c r="Y4263" s="1"/>
      <c r="AB4263" s="1"/>
      <c r="AC4263" s="1"/>
      <c r="AD4263" s="1"/>
      <c r="AE4263" s="1"/>
      <c r="AF4263" s="1"/>
      <c r="AG4263" s="1"/>
      <c r="AH4263" s="1"/>
      <c r="AI4263" s="1"/>
      <c r="AJ4263" s="1"/>
      <c r="AK4263" s="1"/>
      <c r="AL4263" s="1"/>
      <c r="AM4263" s="1"/>
    </row>
    <row r="4264" spans="16:39" x14ac:dyDescent="0.25">
      <c r="P4264" s="49"/>
      <c r="Q4264" s="1"/>
      <c r="S4264" s="1"/>
      <c r="T4264" s="1"/>
      <c r="U4264" s="1"/>
      <c r="V4264" s="1"/>
      <c r="W4264" s="1"/>
      <c r="X4264" s="1"/>
      <c r="Y4264" s="1"/>
      <c r="AB4264" s="1"/>
      <c r="AC4264" s="1"/>
      <c r="AD4264" s="1"/>
      <c r="AE4264" s="1"/>
      <c r="AF4264" s="1"/>
      <c r="AG4264" s="1"/>
      <c r="AH4264" s="1"/>
      <c r="AI4264" s="1"/>
      <c r="AJ4264" s="1"/>
      <c r="AK4264" s="1"/>
      <c r="AL4264" s="1"/>
      <c r="AM4264" s="1"/>
    </row>
    <row r="4265" spans="16:39" x14ac:dyDescent="0.25">
      <c r="P4265" s="49"/>
      <c r="Q4265" s="1"/>
      <c r="S4265" s="1"/>
      <c r="T4265" s="1"/>
      <c r="U4265" s="1"/>
      <c r="V4265" s="1"/>
      <c r="W4265" s="1"/>
      <c r="X4265" s="1"/>
      <c r="Y4265" s="1"/>
      <c r="AB4265" s="1"/>
      <c r="AC4265" s="1"/>
      <c r="AD4265" s="1"/>
      <c r="AE4265" s="1"/>
      <c r="AF4265" s="1"/>
      <c r="AG4265" s="1"/>
      <c r="AH4265" s="1"/>
      <c r="AI4265" s="1"/>
      <c r="AJ4265" s="1"/>
      <c r="AK4265" s="1"/>
      <c r="AL4265" s="1"/>
      <c r="AM4265" s="1"/>
    </row>
    <row r="4266" spans="16:39" x14ac:dyDescent="0.25">
      <c r="P4266" s="49"/>
      <c r="Q4266" s="1"/>
      <c r="S4266" s="1"/>
      <c r="T4266" s="1"/>
      <c r="U4266" s="1"/>
      <c r="V4266" s="1"/>
      <c r="W4266" s="1"/>
      <c r="X4266" s="1"/>
      <c r="Y4266" s="1"/>
      <c r="AB4266" s="1"/>
      <c r="AC4266" s="1"/>
      <c r="AD4266" s="1"/>
      <c r="AE4266" s="1"/>
      <c r="AF4266" s="1"/>
      <c r="AG4266" s="1"/>
      <c r="AH4266" s="1"/>
      <c r="AI4266" s="1"/>
      <c r="AJ4266" s="1"/>
      <c r="AK4266" s="1"/>
      <c r="AL4266" s="1"/>
      <c r="AM4266" s="1"/>
    </row>
    <row r="4267" spans="16:39" x14ac:dyDescent="0.25">
      <c r="P4267" s="49"/>
      <c r="Q4267" s="1"/>
      <c r="S4267" s="1"/>
      <c r="T4267" s="1"/>
      <c r="U4267" s="1"/>
      <c r="V4267" s="1"/>
      <c r="W4267" s="1"/>
      <c r="X4267" s="1"/>
      <c r="Y4267" s="1"/>
      <c r="AB4267" s="1"/>
      <c r="AC4267" s="1"/>
      <c r="AD4267" s="1"/>
      <c r="AE4267" s="1"/>
      <c r="AF4267" s="1"/>
      <c r="AG4267" s="1"/>
      <c r="AH4267" s="1"/>
      <c r="AI4267" s="1"/>
      <c r="AJ4267" s="1"/>
      <c r="AK4267" s="1"/>
      <c r="AL4267" s="1"/>
      <c r="AM4267" s="1"/>
    </row>
    <row r="4268" spans="16:39" x14ac:dyDescent="0.25">
      <c r="P4268" s="49"/>
      <c r="Q4268" s="1"/>
      <c r="S4268" s="1"/>
      <c r="T4268" s="1"/>
      <c r="U4268" s="1"/>
      <c r="V4268" s="1"/>
      <c r="W4268" s="1"/>
      <c r="X4268" s="1"/>
      <c r="Y4268" s="1"/>
      <c r="AB4268" s="1"/>
      <c r="AC4268" s="1"/>
      <c r="AD4268" s="1"/>
      <c r="AE4268" s="1"/>
      <c r="AF4268" s="1"/>
      <c r="AG4268" s="1"/>
      <c r="AH4268" s="1"/>
      <c r="AI4268" s="1"/>
      <c r="AJ4268" s="1"/>
      <c r="AK4268" s="1"/>
      <c r="AL4268" s="1"/>
      <c r="AM4268" s="1"/>
    </row>
    <row r="4269" spans="16:39" x14ac:dyDescent="0.25">
      <c r="P4269" s="49"/>
      <c r="Q4269" s="1"/>
      <c r="S4269" s="1"/>
      <c r="T4269" s="1"/>
      <c r="U4269" s="1"/>
      <c r="V4269" s="1"/>
      <c r="W4269" s="1"/>
      <c r="X4269" s="1"/>
      <c r="Y4269" s="1"/>
      <c r="AB4269" s="1"/>
      <c r="AC4269" s="1"/>
      <c r="AD4269" s="1"/>
      <c r="AE4269" s="1"/>
      <c r="AF4269" s="1"/>
      <c r="AG4269" s="1"/>
      <c r="AH4269" s="1"/>
      <c r="AI4269" s="1"/>
      <c r="AJ4269" s="1"/>
      <c r="AK4269" s="1"/>
      <c r="AL4269" s="1"/>
      <c r="AM4269" s="1"/>
    </row>
    <row r="4270" spans="16:39" x14ac:dyDescent="0.25">
      <c r="P4270" s="49"/>
      <c r="Q4270" s="1"/>
      <c r="S4270" s="1"/>
      <c r="T4270" s="1"/>
      <c r="U4270" s="1"/>
      <c r="V4270" s="1"/>
      <c r="W4270" s="1"/>
      <c r="X4270" s="1"/>
      <c r="Y4270" s="1"/>
      <c r="AB4270" s="1"/>
      <c r="AC4270" s="1"/>
      <c r="AD4270" s="1"/>
      <c r="AE4270" s="1"/>
      <c r="AF4270" s="1"/>
      <c r="AG4270" s="1"/>
      <c r="AH4270" s="1"/>
      <c r="AI4270" s="1"/>
      <c r="AJ4270" s="1"/>
      <c r="AK4270" s="1"/>
      <c r="AL4270" s="1"/>
      <c r="AM4270" s="1"/>
    </row>
    <row r="4271" spans="16:39" x14ac:dyDescent="0.25">
      <c r="P4271" s="49"/>
      <c r="Q4271" s="1"/>
      <c r="S4271" s="1"/>
      <c r="T4271" s="1"/>
      <c r="U4271" s="1"/>
      <c r="V4271" s="1"/>
      <c r="W4271" s="1"/>
      <c r="X4271" s="1"/>
      <c r="Y4271" s="1"/>
      <c r="AB4271" s="1"/>
      <c r="AC4271" s="1"/>
      <c r="AD4271" s="1"/>
      <c r="AE4271" s="1"/>
      <c r="AF4271" s="1"/>
      <c r="AG4271" s="1"/>
      <c r="AH4271" s="1"/>
      <c r="AI4271" s="1"/>
      <c r="AJ4271" s="1"/>
      <c r="AK4271" s="1"/>
      <c r="AL4271" s="1"/>
      <c r="AM4271" s="1"/>
    </row>
    <row r="4272" spans="16:39" x14ac:dyDescent="0.25">
      <c r="P4272" s="49"/>
      <c r="Q4272" s="1"/>
      <c r="S4272" s="1"/>
      <c r="T4272" s="1"/>
      <c r="U4272" s="1"/>
      <c r="V4272" s="1"/>
      <c r="W4272" s="1"/>
      <c r="X4272" s="1"/>
      <c r="Y4272" s="1"/>
      <c r="AB4272" s="1"/>
      <c r="AC4272" s="1"/>
      <c r="AD4272" s="1"/>
      <c r="AE4272" s="1"/>
      <c r="AF4272" s="1"/>
      <c r="AG4272" s="1"/>
      <c r="AH4272" s="1"/>
      <c r="AI4272" s="1"/>
      <c r="AJ4272" s="1"/>
      <c r="AK4272" s="1"/>
      <c r="AL4272" s="1"/>
      <c r="AM4272" s="1"/>
    </row>
    <row r="4273" spans="16:39" x14ac:dyDescent="0.25">
      <c r="P4273" s="49"/>
      <c r="Q4273" s="1"/>
      <c r="S4273" s="1"/>
      <c r="T4273" s="1"/>
      <c r="U4273" s="1"/>
      <c r="V4273" s="1"/>
      <c r="W4273" s="1"/>
      <c r="X4273" s="1"/>
      <c r="Y4273" s="1"/>
      <c r="AB4273" s="1"/>
      <c r="AC4273" s="1"/>
      <c r="AD4273" s="1"/>
      <c r="AE4273" s="1"/>
      <c r="AF4273" s="1"/>
      <c r="AG4273" s="1"/>
      <c r="AH4273" s="1"/>
      <c r="AI4273" s="1"/>
      <c r="AJ4273" s="1"/>
      <c r="AK4273" s="1"/>
      <c r="AL4273" s="1"/>
      <c r="AM4273" s="1"/>
    </row>
    <row r="4274" spans="16:39" x14ac:dyDescent="0.25">
      <c r="P4274" s="49"/>
      <c r="Q4274" s="1"/>
      <c r="S4274" s="1"/>
      <c r="T4274" s="1"/>
      <c r="U4274" s="1"/>
      <c r="V4274" s="1"/>
      <c r="W4274" s="1"/>
      <c r="X4274" s="1"/>
      <c r="Y4274" s="1"/>
      <c r="AB4274" s="1"/>
      <c r="AC4274" s="1"/>
      <c r="AD4274" s="1"/>
      <c r="AE4274" s="1"/>
      <c r="AF4274" s="1"/>
      <c r="AG4274" s="1"/>
      <c r="AH4274" s="1"/>
      <c r="AI4274" s="1"/>
      <c r="AJ4274" s="1"/>
      <c r="AK4274" s="1"/>
      <c r="AL4274" s="1"/>
      <c r="AM4274" s="1"/>
    </row>
    <row r="4275" spans="16:39" x14ac:dyDescent="0.25">
      <c r="P4275" s="49"/>
      <c r="Q4275" s="1"/>
      <c r="S4275" s="1"/>
      <c r="T4275" s="1"/>
      <c r="U4275" s="1"/>
      <c r="V4275" s="1"/>
      <c r="W4275" s="1"/>
      <c r="X4275" s="1"/>
      <c r="Y4275" s="1"/>
      <c r="AB4275" s="1"/>
      <c r="AC4275" s="1"/>
      <c r="AD4275" s="1"/>
      <c r="AE4275" s="1"/>
      <c r="AF4275" s="1"/>
      <c r="AG4275" s="1"/>
      <c r="AH4275" s="1"/>
      <c r="AI4275" s="1"/>
      <c r="AJ4275" s="1"/>
      <c r="AK4275" s="1"/>
      <c r="AL4275" s="1"/>
      <c r="AM4275" s="1"/>
    </row>
    <row r="4276" spans="16:39" x14ac:dyDescent="0.25">
      <c r="P4276" s="49"/>
      <c r="Q4276" s="1"/>
      <c r="S4276" s="1"/>
      <c r="T4276" s="1"/>
      <c r="U4276" s="1"/>
      <c r="V4276" s="1"/>
      <c r="W4276" s="1"/>
      <c r="X4276" s="1"/>
      <c r="Y4276" s="1"/>
      <c r="AB4276" s="1"/>
      <c r="AC4276" s="1"/>
      <c r="AD4276" s="1"/>
      <c r="AE4276" s="1"/>
      <c r="AF4276" s="1"/>
      <c r="AG4276" s="1"/>
      <c r="AH4276" s="1"/>
      <c r="AI4276" s="1"/>
      <c r="AJ4276" s="1"/>
      <c r="AK4276" s="1"/>
      <c r="AL4276" s="1"/>
      <c r="AM4276" s="1"/>
    </row>
    <row r="4277" spans="16:39" x14ac:dyDescent="0.25">
      <c r="P4277" s="49"/>
      <c r="Q4277" s="1"/>
      <c r="S4277" s="1"/>
      <c r="T4277" s="1"/>
      <c r="U4277" s="1"/>
      <c r="V4277" s="1"/>
      <c r="W4277" s="1"/>
      <c r="X4277" s="1"/>
      <c r="Y4277" s="1"/>
      <c r="AB4277" s="1"/>
      <c r="AC4277" s="1"/>
      <c r="AD4277" s="1"/>
      <c r="AE4277" s="1"/>
      <c r="AF4277" s="1"/>
      <c r="AG4277" s="1"/>
      <c r="AH4277" s="1"/>
      <c r="AI4277" s="1"/>
      <c r="AJ4277" s="1"/>
      <c r="AK4277" s="1"/>
      <c r="AL4277" s="1"/>
      <c r="AM4277" s="1"/>
    </row>
    <row r="4278" spans="16:39" x14ac:dyDescent="0.25">
      <c r="P4278" s="49"/>
      <c r="Q4278" s="1"/>
      <c r="S4278" s="1"/>
      <c r="T4278" s="1"/>
      <c r="U4278" s="1"/>
      <c r="V4278" s="1"/>
      <c r="W4278" s="1"/>
      <c r="X4278" s="1"/>
      <c r="Y4278" s="1"/>
      <c r="AB4278" s="1"/>
      <c r="AC4278" s="1"/>
      <c r="AD4278" s="1"/>
      <c r="AE4278" s="1"/>
      <c r="AF4278" s="1"/>
      <c r="AG4278" s="1"/>
      <c r="AH4278" s="1"/>
      <c r="AI4278" s="1"/>
      <c r="AJ4278" s="1"/>
      <c r="AK4278" s="1"/>
      <c r="AL4278" s="1"/>
      <c r="AM4278" s="1"/>
    </row>
    <row r="4279" spans="16:39" x14ac:dyDescent="0.25">
      <c r="P4279" s="49"/>
      <c r="Q4279" s="1"/>
      <c r="S4279" s="1"/>
      <c r="T4279" s="1"/>
      <c r="U4279" s="1"/>
      <c r="V4279" s="1"/>
      <c r="W4279" s="1"/>
      <c r="X4279" s="1"/>
      <c r="Y4279" s="1"/>
      <c r="AB4279" s="1"/>
      <c r="AC4279" s="1"/>
      <c r="AD4279" s="1"/>
      <c r="AE4279" s="1"/>
      <c r="AF4279" s="1"/>
      <c r="AG4279" s="1"/>
      <c r="AH4279" s="1"/>
      <c r="AI4279" s="1"/>
      <c r="AJ4279" s="1"/>
      <c r="AK4279" s="1"/>
      <c r="AL4279" s="1"/>
      <c r="AM4279" s="1"/>
    </row>
    <row r="4280" spans="16:39" x14ac:dyDescent="0.25">
      <c r="P4280" s="49"/>
      <c r="Q4280" s="1"/>
      <c r="S4280" s="1"/>
      <c r="T4280" s="1"/>
      <c r="U4280" s="1"/>
      <c r="V4280" s="1"/>
      <c r="W4280" s="1"/>
      <c r="X4280" s="1"/>
      <c r="Y4280" s="1"/>
      <c r="AB4280" s="1"/>
      <c r="AC4280" s="1"/>
      <c r="AD4280" s="1"/>
      <c r="AE4280" s="1"/>
      <c r="AF4280" s="1"/>
      <c r="AG4280" s="1"/>
      <c r="AH4280" s="1"/>
      <c r="AI4280" s="1"/>
      <c r="AJ4280" s="1"/>
      <c r="AK4280" s="1"/>
      <c r="AL4280" s="1"/>
      <c r="AM4280" s="1"/>
    </row>
    <row r="4281" spans="16:39" x14ac:dyDescent="0.25">
      <c r="P4281" s="49"/>
      <c r="Q4281" s="1"/>
      <c r="S4281" s="1"/>
      <c r="T4281" s="1"/>
      <c r="U4281" s="1"/>
      <c r="V4281" s="1"/>
      <c r="W4281" s="1"/>
      <c r="X4281" s="1"/>
      <c r="Y4281" s="1"/>
      <c r="AB4281" s="1"/>
      <c r="AC4281" s="1"/>
      <c r="AD4281" s="1"/>
      <c r="AE4281" s="1"/>
      <c r="AF4281" s="1"/>
      <c r="AG4281" s="1"/>
      <c r="AH4281" s="1"/>
      <c r="AI4281" s="1"/>
      <c r="AJ4281" s="1"/>
      <c r="AK4281" s="1"/>
      <c r="AL4281" s="1"/>
      <c r="AM4281" s="1"/>
    </row>
    <row r="4282" spans="16:39" x14ac:dyDescent="0.25">
      <c r="P4282" s="49"/>
      <c r="Q4282" s="1"/>
      <c r="S4282" s="1"/>
      <c r="T4282" s="1"/>
      <c r="U4282" s="1"/>
      <c r="V4282" s="1"/>
      <c r="W4282" s="1"/>
      <c r="X4282" s="1"/>
      <c r="Y4282" s="1"/>
      <c r="AB4282" s="1"/>
      <c r="AC4282" s="1"/>
      <c r="AD4282" s="1"/>
      <c r="AE4282" s="1"/>
      <c r="AF4282" s="1"/>
      <c r="AG4282" s="1"/>
      <c r="AH4282" s="1"/>
      <c r="AI4282" s="1"/>
      <c r="AJ4282" s="1"/>
      <c r="AK4282" s="1"/>
      <c r="AL4282" s="1"/>
      <c r="AM4282" s="1"/>
    </row>
    <row r="4283" spans="16:39" x14ac:dyDescent="0.25">
      <c r="P4283" s="49"/>
      <c r="Q4283" s="1"/>
      <c r="S4283" s="1"/>
      <c r="T4283" s="1"/>
      <c r="U4283" s="1"/>
      <c r="V4283" s="1"/>
      <c r="W4283" s="1"/>
      <c r="X4283" s="1"/>
      <c r="Y4283" s="1"/>
      <c r="AB4283" s="1"/>
      <c r="AC4283" s="1"/>
      <c r="AD4283" s="1"/>
      <c r="AE4283" s="1"/>
      <c r="AF4283" s="1"/>
      <c r="AG4283" s="1"/>
      <c r="AH4283" s="1"/>
      <c r="AI4283" s="1"/>
      <c r="AJ4283" s="1"/>
      <c r="AK4283" s="1"/>
      <c r="AL4283" s="1"/>
      <c r="AM4283" s="1"/>
    </row>
    <row r="4284" spans="16:39" x14ac:dyDescent="0.25">
      <c r="P4284" s="49"/>
      <c r="Q4284" s="1"/>
      <c r="S4284" s="1"/>
      <c r="T4284" s="1"/>
      <c r="U4284" s="1"/>
      <c r="V4284" s="1"/>
      <c r="W4284" s="1"/>
      <c r="X4284" s="1"/>
      <c r="Y4284" s="1"/>
      <c r="AB4284" s="1"/>
      <c r="AC4284" s="1"/>
      <c r="AD4284" s="1"/>
      <c r="AE4284" s="1"/>
      <c r="AF4284" s="1"/>
      <c r="AG4284" s="1"/>
      <c r="AH4284" s="1"/>
      <c r="AI4284" s="1"/>
      <c r="AJ4284" s="1"/>
      <c r="AK4284" s="1"/>
      <c r="AL4284" s="1"/>
      <c r="AM4284" s="1"/>
    </row>
    <row r="4285" spans="16:39" x14ac:dyDescent="0.25">
      <c r="P4285" s="49"/>
      <c r="Q4285" s="1"/>
      <c r="S4285" s="1"/>
      <c r="T4285" s="1"/>
      <c r="U4285" s="1"/>
      <c r="V4285" s="1"/>
      <c r="W4285" s="1"/>
      <c r="X4285" s="1"/>
      <c r="Y4285" s="1"/>
      <c r="AB4285" s="1"/>
      <c r="AC4285" s="1"/>
      <c r="AD4285" s="1"/>
      <c r="AE4285" s="1"/>
      <c r="AF4285" s="1"/>
      <c r="AG4285" s="1"/>
      <c r="AH4285" s="1"/>
      <c r="AI4285" s="1"/>
      <c r="AJ4285" s="1"/>
      <c r="AK4285" s="1"/>
      <c r="AL4285" s="1"/>
      <c r="AM4285" s="1"/>
    </row>
    <row r="4286" spans="16:39" x14ac:dyDescent="0.25">
      <c r="P4286" s="49"/>
      <c r="Q4286" s="1"/>
      <c r="S4286" s="1"/>
      <c r="T4286" s="1"/>
      <c r="U4286" s="1"/>
      <c r="V4286" s="1"/>
      <c r="W4286" s="1"/>
      <c r="X4286" s="1"/>
      <c r="Y4286" s="1"/>
      <c r="AB4286" s="1"/>
      <c r="AC4286" s="1"/>
      <c r="AD4286" s="1"/>
      <c r="AE4286" s="1"/>
      <c r="AF4286" s="1"/>
      <c r="AG4286" s="1"/>
      <c r="AH4286" s="1"/>
      <c r="AI4286" s="1"/>
      <c r="AJ4286" s="1"/>
      <c r="AK4286" s="1"/>
      <c r="AL4286" s="1"/>
      <c r="AM4286" s="1"/>
    </row>
    <row r="4287" spans="16:39" x14ac:dyDescent="0.25">
      <c r="P4287" s="49"/>
      <c r="Q4287" s="1"/>
      <c r="S4287" s="1"/>
      <c r="T4287" s="1"/>
      <c r="U4287" s="1"/>
      <c r="V4287" s="1"/>
      <c r="W4287" s="1"/>
      <c r="X4287" s="1"/>
      <c r="Y4287" s="1"/>
      <c r="AB4287" s="1"/>
      <c r="AC4287" s="1"/>
      <c r="AD4287" s="1"/>
      <c r="AE4287" s="1"/>
      <c r="AF4287" s="1"/>
      <c r="AG4287" s="1"/>
      <c r="AH4287" s="1"/>
      <c r="AI4287" s="1"/>
      <c r="AJ4287" s="1"/>
      <c r="AK4287" s="1"/>
      <c r="AL4287" s="1"/>
      <c r="AM4287" s="1"/>
    </row>
    <row r="4288" spans="16:39" x14ac:dyDescent="0.25">
      <c r="P4288" s="49"/>
      <c r="Q4288" s="1"/>
      <c r="S4288" s="1"/>
      <c r="T4288" s="1"/>
      <c r="U4288" s="1"/>
      <c r="V4288" s="1"/>
      <c r="W4288" s="1"/>
      <c r="X4288" s="1"/>
      <c r="Y4288" s="1"/>
      <c r="AB4288" s="1"/>
      <c r="AC4288" s="1"/>
      <c r="AD4288" s="1"/>
      <c r="AE4288" s="1"/>
      <c r="AF4288" s="1"/>
      <c r="AG4288" s="1"/>
      <c r="AH4288" s="1"/>
      <c r="AI4288" s="1"/>
      <c r="AJ4288" s="1"/>
      <c r="AK4288" s="1"/>
      <c r="AL4288" s="1"/>
      <c r="AM4288" s="1"/>
    </row>
    <row r="4289" spans="16:39" x14ac:dyDescent="0.25">
      <c r="P4289" s="49"/>
      <c r="Q4289" s="1"/>
      <c r="S4289" s="1"/>
      <c r="T4289" s="1"/>
      <c r="U4289" s="1"/>
      <c r="V4289" s="1"/>
      <c r="W4289" s="1"/>
      <c r="X4289" s="1"/>
      <c r="Y4289" s="1"/>
      <c r="AB4289" s="1"/>
      <c r="AC4289" s="1"/>
      <c r="AD4289" s="1"/>
      <c r="AE4289" s="1"/>
      <c r="AF4289" s="1"/>
      <c r="AG4289" s="1"/>
      <c r="AH4289" s="1"/>
      <c r="AI4289" s="1"/>
      <c r="AJ4289" s="1"/>
      <c r="AK4289" s="1"/>
      <c r="AL4289" s="1"/>
      <c r="AM4289" s="1"/>
    </row>
    <row r="4290" spans="16:39" x14ac:dyDescent="0.25">
      <c r="P4290" s="49"/>
      <c r="Q4290" s="1"/>
      <c r="S4290" s="1"/>
      <c r="T4290" s="1"/>
      <c r="U4290" s="1"/>
      <c r="V4290" s="1"/>
      <c r="W4290" s="1"/>
      <c r="X4290" s="1"/>
      <c r="Y4290" s="1"/>
      <c r="AB4290" s="1"/>
      <c r="AC4290" s="1"/>
      <c r="AD4290" s="1"/>
      <c r="AE4290" s="1"/>
      <c r="AF4290" s="1"/>
      <c r="AG4290" s="1"/>
      <c r="AH4290" s="1"/>
      <c r="AI4290" s="1"/>
      <c r="AJ4290" s="1"/>
      <c r="AK4290" s="1"/>
      <c r="AL4290" s="1"/>
      <c r="AM4290" s="1"/>
    </row>
    <row r="4291" spans="16:39" x14ac:dyDescent="0.25">
      <c r="P4291" s="49"/>
      <c r="Q4291" s="1"/>
      <c r="S4291" s="1"/>
      <c r="T4291" s="1"/>
      <c r="U4291" s="1"/>
      <c r="V4291" s="1"/>
      <c r="W4291" s="1"/>
      <c r="X4291" s="1"/>
      <c r="Y4291" s="1"/>
      <c r="AB4291" s="1"/>
      <c r="AC4291" s="1"/>
      <c r="AD4291" s="1"/>
      <c r="AE4291" s="1"/>
      <c r="AF4291" s="1"/>
      <c r="AG4291" s="1"/>
      <c r="AH4291" s="1"/>
      <c r="AI4291" s="1"/>
      <c r="AJ4291" s="1"/>
      <c r="AK4291" s="1"/>
      <c r="AL4291" s="1"/>
      <c r="AM4291" s="1"/>
    </row>
    <row r="4292" spans="16:39" x14ac:dyDescent="0.25">
      <c r="P4292" s="49"/>
      <c r="Q4292" s="1"/>
      <c r="S4292" s="1"/>
      <c r="T4292" s="1"/>
      <c r="U4292" s="1"/>
      <c r="V4292" s="1"/>
      <c r="W4292" s="1"/>
      <c r="X4292" s="1"/>
      <c r="Y4292" s="1"/>
      <c r="AB4292" s="1"/>
      <c r="AC4292" s="1"/>
      <c r="AD4292" s="1"/>
      <c r="AE4292" s="1"/>
      <c r="AF4292" s="1"/>
      <c r="AG4292" s="1"/>
      <c r="AH4292" s="1"/>
      <c r="AI4292" s="1"/>
      <c r="AJ4292" s="1"/>
      <c r="AK4292" s="1"/>
      <c r="AL4292" s="1"/>
      <c r="AM4292" s="1"/>
    </row>
    <row r="4293" spans="16:39" x14ac:dyDescent="0.25">
      <c r="P4293" s="49"/>
      <c r="Q4293" s="1"/>
      <c r="S4293" s="1"/>
      <c r="T4293" s="1"/>
      <c r="U4293" s="1"/>
      <c r="V4293" s="1"/>
      <c r="W4293" s="1"/>
      <c r="X4293" s="1"/>
      <c r="Y4293" s="1"/>
      <c r="AB4293" s="1"/>
      <c r="AC4293" s="1"/>
      <c r="AD4293" s="1"/>
      <c r="AE4293" s="1"/>
      <c r="AF4293" s="1"/>
      <c r="AG4293" s="1"/>
      <c r="AH4293" s="1"/>
      <c r="AI4293" s="1"/>
      <c r="AJ4293" s="1"/>
      <c r="AK4293" s="1"/>
      <c r="AL4293" s="1"/>
      <c r="AM4293" s="1"/>
    </row>
    <row r="4294" spans="16:39" x14ac:dyDescent="0.25">
      <c r="P4294" s="49"/>
      <c r="Q4294" s="1"/>
      <c r="S4294" s="1"/>
      <c r="T4294" s="1"/>
      <c r="U4294" s="1"/>
      <c r="V4294" s="1"/>
      <c r="W4294" s="1"/>
      <c r="X4294" s="1"/>
      <c r="Y4294" s="1"/>
      <c r="AB4294" s="1"/>
      <c r="AC4294" s="1"/>
      <c r="AD4294" s="1"/>
      <c r="AE4294" s="1"/>
      <c r="AF4294" s="1"/>
      <c r="AG4294" s="1"/>
      <c r="AH4294" s="1"/>
      <c r="AI4294" s="1"/>
      <c r="AJ4294" s="1"/>
      <c r="AK4294" s="1"/>
      <c r="AL4294" s="1"/>
      <c r="AM4294" s="1"/>
    </row>
    <row r="4295" spans="16:39" x14ac:dyDescent="0.25">
      <c r="P4295" s="49"/>
      <c r="Q4295" s="1"/>
      <c r="S4295" s="1"/>
      <c r="T4295" s="1"/>
      <c r="U4295" s="1"/>
      <c r="V4295" s="1"/>
      <c r="W4295" s="1"/>
      <c r="X4295" s="1"/>
      <c r="Y4295" s="1"/>
      <c r="AB4295" s="1"/>
      <c r="AC4295" s="1"/>
      <c r="AD4295" s="1"/>
      <c r="AE4295" s="1"/>
      <c r="AF4295" s="1"/>
      <c r="AG4295" s="1"/>
      <c r="AH4295" s="1"/>
      <c r="AI4295" s="1"/>
      <c r="AJ4295" s="1"/>
      <c r="AK4295" s="1"/>
      <c r="AL4295" s="1"/>
      <c r="AM4295" s="1"/>
    </row>
    <row r="4296" spans="16:39" x14ac:dyDescent="0.25">
      <c r="P4296" s="49"/>
      <c r="Q4296" s="1"/>
      <c r="S4296" s="1"/>
      <c r="T4296" s="1"/>
      <c r="U4296" s="1"/>
      <c r="V4296" s="1"/>
      <c r="W4296" s="1"/>
      <c r="X4296" s="1"/>
      <c r="Y4296" s="1"/>
      <c r="AB4296" s="1"/>
      <c r="AC4296" s="1"/>
      <c r="AD4296" s="1"/>
      <c r="AE4296" s="1"/>
      <c r="AF4296" s="1"/>
      <c r="AG4296" s="1"/>
      <c r="AH4296" s="1"/>
      <c r="AI4296" s="1"/>
      <c r="AJ4296" s="1"/>
      <c r="AK4296" s="1"/>
      <c r="AL4296" s="1"/>
      <c r="AM4296" s="1"/>
    </row>
    <row r="4297" spans="16:39" x14ac:dyDescent="0.25">
      <c r="P4297" s="49"/>
      <c r="Q4297" s="1"/>
      <c r="S4297" s="1"/>
      <c r="T4297" s="1"/>
      <c r="U4297" s="1"/>
      <c r="V4297" s="1"/>
      <c r="W4297" s="1"/>
      <c r="X4297" s="1"/>
      <c r="Y4297" s="1"/>
      <c r="AB4297" s="1"/>
      <c r="AC4297" s="1"/>
      <c r="AD4297" s="1"/>
      <c r="AE4297" s="1"/>
      <c r="AF4297" s="1"/>
      <c r="AG4297" s="1"/>
      <c r="AH4297" s="1"/>
      <c r="AI4297" s="1"/>
      <c r="AJ4297" s="1"/>
      <c r="AK4297" s="1"/>
      <c r="AL4297" s="1"/>
      <c r="AM4297" s="1"/>
    </row>
    <row r="4298" spans="16:39" x14ac:dyDescent="0.25">
      <c r="P4298" s="49"/>
      <c r="Q4298" s="1"/>
      <c r="S4298" s="1"/>
      <c r="T4298" s="1"/>
      <c r="U4298" s="1"/>
      <c r="V4298" s="1"/>
      <c r="W4298" s="1"/>
      <c r="X4298" s="1"/>
      <c r="Y4298" s="1"/>
      <c r="AB4298" s="1"/>
      <c r="AC4298" s="1"/>
      <c r="AD4298" s="1"/>
      <c r="AE4298" s="1"/>
      <c r="AF4298" s="1"/>
      <c r="AG4298" s="1"/>
      <c r="AH4298" s="1"/>
      <c r="AI4298" s="1"/>
      <c r="AJ4298" s="1"/>
      <c r="AK4298" s="1"/>
      <c r="AL4298" s="1"/>
      <c r="AM4298" s="1"/>
    </row>
    <row r="4299" spans="16:39" x14ac:dyDescent="0.25">
      <c r="P4299" s="49"/>
      <c r="Q4299" s="1"/>
      <c r="S4299" s="1"/>
      <c r="T4299" s="1"/>
      <c r="U4299" s="1"/>
      <c r="V4299" s="1"/>
      <c r="W4299" s="1"/>
      <c r="X4299" s="1"/>
      <c r="Y4299" s="1"/>
      <c r="AB4299" s="1"/>
      <c r="AC4299" s="1"/>
      <c r="AD4299" s="1"/>
      <c r="AE4299" s="1"/>
      <c r="AF4299" s="1"/>
      <c r="AG4299" s="1"/>
      <c r="AH4299" s="1"/>
      <c r="AI4299" s="1"/>
      <c r="AJ4299" s="1"/>
      <c r="AK4299" s="1"/>
      <c r="AL4299" s="1"/>
      <c r="AM4299" s="1"/>
    </row>
    <row r="4300" spans="16:39" x14ac:dyDescent="0.25">
      <c r="P4300" s="49"/>
      <c r="Q4300" s="1"/>
      <c r="S4300" s="1"/>
      <c r="T4300" s="1"/>
      <c r="U4300" s="1"/>
      <c r="V4300" s="1"/>
      <c r="W4300" s="1"/>
      <c r="X4300" s="1"/>
      <c r="Y4300" s="1"/>
      <c r="AB4300" s="1"/>
      <c r="AC4300" s="1"/>
      <c r="AD4300" s="1"/>
      <c r="AE4300" s="1"/>
      <c r="AF4300" s="1"/>
      <c r="AG4300" s="1"/>
      <c r="AH4300" s="1"/>
      <c r="AI4300" s="1"/>
      <c r="AJ4300" s="1"/>
      <c r="AK4300" s="1"/>
      <c r="AL4300" s="1"/>
      <c r="AM4300" s="1"/>
    </row>
    <row r="4301" spans="16:39" x14ac:dyDescent="0.25">
      <c r="P4301" s="49"/>
      <c r="Q4301" s="1"/>
      <c r="S4301" s="1"/>
      <c r="T4301" s="1"/>
      <c r="U4301" s="1"/>
      <c r="V4301" s="1"/>
      <c r="W4301" s="1"/>
      <c r="X4301" s="1"/>
      <c r="Y4301" s="1"/>
      <c r="AB4301" s="1"/>
      <c r="AC4301" s="1"/>
      <c r="AD4301" s="1"/>
      <c r="AE4301" s="1"/>
      <c r="AF4301" s="1"/>
      <c r="AG4301" s="1"/>
      <c r="AH4301" s="1"/>
      <c r="AI4301" s="1"/>
      <c r="AJ4301" s="1"/>
      <c r="AK4301" s="1"/>
      <c r="AL4301" s="1"/>
      <c r="AM4301" s="1"/>
    </row>
    <row r="4302" spans="16:39" x14ac:dyDescent="0.25">
      <c r="P4302" s="49"/>
      <c r="Q4302" s="1"/>
      <c r="S4302" s="1"/>
      <c r="T4302" s="1"/>
      <c r="U4302" s="1"/>
      <c r="V4302" s="1"/>
      <c r="W4302" s="1"/>
      <c r="X4302" s="1"/>
      <c r="Y4302" s="1"/>
      <c r="AB4302" s="1"/>
      <c r="AC4302" s="1"/>
      <c r="AD4302" s="1"/>
      <c r="AE4302" s="1"/>
      <c r="AF4302" s="1"/>
      <c r="AG4302" s="1"/>
      <c r="AH4302" s="1"/>
      <c r="AI4302" s="1"/>
      <c r="AJ4302" s="1"/>
      <c r="AK4302" s="1"/>
      <c r="AL4302" s="1"/>
      <c r="AM4302" s="1"/>
    </row>
    <row r="4303" spans="16:39" x14ac:dyDescent="0.25">
      <c r="P4303" s="49"/>
      <c r="Q4303" s="1"/>
      <c r="S4303" s="1"/>
      <c r="T4303" s="1"/>
      <c r="U4303" s="1"/>
      <c r="V4303" s="1"/>
      <c r="W4303" s="1"/>
      <c r="X4303" s="1"/>
      <c r="Y4303" s="1"/>
      <c r="AB4303" s="1"/>
      <c r="AC4303" s="1"/>
      <c r="AD4303" s="1"/>
      <c r="AE4303" s="1"/>
      <c r="AF4303" s="1"/>
      <c r="AG4303" s="1"/>
      <c r="AH4303" s="1"/>
      <c r="AI4303" s="1"/>
      <c r="AJ4303" s="1"/>
      <c r="AK4303" s="1"/>
      <c r="AL4303" s="1"/>
      <c r="AM4303" s="1"/>
    </row>
    <row r="4304" spans="16:39" x14ac:dyDescent="0.25">
      <c r="P4304" s="49"/>
      <c r="Q4304" s="1"/>
      <c r="S4304" s="1"/>
      <c r="T4304" s="1"/>
      <c r="U4304" s="1"/>
      <c r="V4304" s="1"/>
      <c r="W4304" s="1"/>
      <c r="X4304" s="1"/>
      <c r="Y4304" s="1"/>
      <c r="AB4304" s="1"/>
      <c r="AC4304" s="1"/>
      <c r="AD4304" s="1"/>
      <c r="AE4304" s="1"/>
      <c r="AF4304" s="1"/>
      <c r="AG4304" s="1"/>
      <c r="AH4304" s="1"/>
      <c r="AI4304" s="1"/>
      <c r="AJ4304" s="1"/>
      <c r="AK4304" s="1"/>
      <c r="AL4304" s="1"/>
      <c r="AM4304" s="1"/>
    </row>
    <row r="4305" spans="16:39" x14ac:dyDescent="0.25">
      <c r="P4305" s="49"/>
      <c r="Q4305" s="1"/>
      <c r="S4305" s="1"/>
      <c r="T4305" s="1"/>
      <c r="U4305" s="1"/>
      <c r="V4305" s="1"/>
      <c r="W4305" s="1"/>
      <c r="X4305" s="1"/>
      <c r="Y4305" s="1"/>
      <c r="AB4305" s="1"/>
      <c r="AC4305" s="1"/>
      <c r="AD4305" s="1"/>
      <c r="AE4305" s="1"/>
      <c r="AF4305" s="1"/>
      <c r="AG4305" s="1"/>
      <c r="AH4305" s="1"/>
      <c r="AI4305" s="1"/>
      <c r="AJ4305" s="1"/>
      <c r="AK4305" s="1"/>
      <c r="AL4305" s="1"/>
      <c r="AM4305" s="1"/>
    </row>
    <row r="4306" spans="16:39" x14ac:dyDescent="0.25">
      <c r="P4306" s="49"/>
      <c r="Q4306" s="1"/>
      <c r="S4306" s="1"/>
      <c r="T4306" s="1"/>
      <c r="U4306" s="1"/>
      <c r="V4306" s="1"/>
      <c r="W4306" s="1"/>
      <c r="X4306" s="1"/>
      <c r="Y4306" s="1"/>
      <c r="AB4306" s="1"/>
      <c r="AC4306" s="1"/>
      <c r="AD4306" s="1"/>
      <c r="AE4306" s="1"/>
      <c r="AF4306" s="1"/>
      <c r="AG4306" s="1"/>
      <c r="AH4306" s="1"/>
      <c r="AI4306" s="1"/>
      <c r="AJ4306" s="1"/>
      <c r="AK4306" s="1"/>
      <c r="AL4306" s="1"/>
      <c r="AM4306" s="1"/>
    </row>
    <row r="4307" spans="16:39" x14ac:dyDescent="0.25">
      <c r="P4307" s="49"/>
      <c r="Q4307" s="1"/>
      <c r="S4307" s="1"/>
      <c r="T4307" s="1"/>
      <c r="U4307" s="1"/>
      <c r="V4307" s="1"/>
      <c r="W4307" s="1"/>
      <c r="X4307" s="1"/>
      <c r="Y4307" s="1"/>
      <c r="AB4307" s="1"/>
      <c r="AC4307" s="1"/>
      <c r="AD4307" s="1"/>
      <c r="AE4307" s="1"/>
      <c r="AF4307" s="1"/>
      <c r="AG4307" s="1"/>
      <c r="AH4307" s="1"/>
      <c r="AI4307" s="1"/>
      <c r="AJ4307" s="1"/>
      <c r="AK4307" s="1"/>
      <c r="AL4307" s="1"/>
      <c r="AM4307" s="1"/>
    </row>
    <row r="4308" spans="16:39" x14ac:dyDescent="0.25">
      <c r="P4308" s="49"/>
      <c r="Q4308" s="1"/>
      <c r="S4308" s="1"/>
      <c r="T4308" s="1"/>
      <c r="U4308" s="1"/>
      <c r="V4308" s="1"/>
      <c r="W4308" s="1"/>
      <c r="X4308" s="1"/>
      <c r="Y4308" s="1"/>
      <c r="AB4308" s="1"/>
      <c r="AC4308" s="1"/>
      <c r="AD4308" s="1"/>
      <c r="AE4308" s="1"/>
      <c r="AF4308" s="1"/>
      <c r="AG4308" s="1"/>
      <c r="AH4308" s="1"/>
      <c r="AI4308" s="1"/>
      <c r="AJ4308" s="1"/>
      <c r="AK4308" s="1"/>
      <c r="AL4308" s="1"/>
      <c r="AM4308" s="1"/>
    </row>
    <row r="4309" spans="16:39" x14ac:dyDescent="0.25">
      <c r="P4309" s="49"/>
      <c r="Q4309" s="1"/>
      <c r="S4309" s="1"/>
      <c r="T4309" s="1"/>
      <c r="U4309" s="1"/>
      <c r="V4309" s="1"/>
      <c r="W4309" s="1"/>
      <c r="X4309" s="1"/>
      <c r="Y4309" s="1"/>
      <c r="AB4309" s="1"/>
      <c r="AC4309" s="1"/>
      <c r="AD4309" s="1"/>
      <c r="AE4309" s="1"/>
      <c r="AF4309" s="1"/>
      <c r="AG4309" s="1"/>
      <c r="AH4309" s="1"/>
      <c r="AI4309" s="1"/>
      <c r="AJ4309" s="1"/>
      <c r="AK4309" s="1"/>
      <c r="AL4309" s="1"/>
      <c r="AM4309" s="1"/>
    </row>
    <row r="4310" spans="16:39" x14ac:dyDescent="0.25">
      <c r="P4310" s="49"/>
      <c r="Q4310" s="1"/>
      <c r="S4310" s="1"/>
      <c r="T4310" s="1"/>
      <c r="U4310" s="1"/>
      <c r="V4310" s="1"/>
      <c r="W4310" s="1"/>
      <c r="X4310" s="1"/>
      <c r="Y4310" s="1"/>
      <c r="AB4310" s="1"/>
      <c r="AC4310" s="1"/>
      <c r="AD4310" s="1"/>
      <c r="AE4310" s="1"/>
      <c r="AF4310" s="1"/>
      <c r="AG4310" s="1"/>
      <c r="AH4310" s="1"/>
      <c r="AI4310" s="1"/>
      <c r="AJ4310" s="1"/>
      <c r="AK4310" s="1"/>
      <c r="AL4310" s="1"/>
      <c r="AM4310" s="1"/>
    </row>
    <row r="4311" spans="16:39" x14ac:dyDescent="0.25">
      <c r="P4311" s="49"/>
      <c r="Q4311" s="1"/>
      <c r="S4311" s="1"/>
      <c r="T4311" s="1"/>
      <c r="U4311" s="1"/>
      <c r="V4311" s="1"/>
      <c r="W4311" s="1"/>
      <c r="X4311" s="1"/>
      <c r="Y4311" s="1"/>
      <c r="AB4311" s="1"/>
      <c r="AC4311" s="1"/>
      <c r="AD4311" s="1"/>
      <c r="AE4311" s="1"/>
      <c r="AF4311" s="1"/>
      <c r="AG4311" s="1"/>
      <c r="AH4311" s="1"/>
      <c r="AI4311" s="1"/>
      <c r="AJ4311" s="1"/>
      <c r="AK4311" s="1"/>
      <c r="AL4311" s="1"/>
      <c r="AM4311" s="1"/>
    </row>
    <row r="4312" spans="16:39" x14ac:dyDescent="0.25">
      <c r="P4312" s="49"/>
      <c r="Q4312" s="1"/>
      <c r="S4312" s="1"/>
      <c r="T4312" s="1"/>
      <c r="U4312" s="1"/>
      <c r="V4312" s="1"/>
      <c r="W4312" s="1"/>
      <c r="X4312" s="1"/>
      <c r="Y4312" s="1"/>
      <c r="AB4312" s="1"/>
      <c r="AC4312" s="1"/>
      <c r="AD4312" s="1"/>
      <c r="AE4312" s="1"/>
      <c r="AF4312" s="1"/>
      <c r="AG4312" s="1"/>
      <c r="AH4312" s="1"/>
      <c r="AI4312" s="1"/>
      <c r="AJ4312" s="1"/>
      <c r="AK4312" s="1"/>
      <c r="AL4312" s="1"/>
      <c r="AM4312" s="1"/>
    </row>
    <row r="4313" spans="16:39" x14ac:dyDescent="0.25">
      <c r="P4313" s="49"/>
      <c r="Q4313" s="1"/>
      <c r="S4313" s="1"/>
      <c r="T4313" s="1"/>
      <c r="U4313" s="1"/>
      <c r="V4313" s="1"/>
      <c r="W4313" s="1"/>
      <c r="X4313" s="1"/>
      <c r="Y4313" s="1"/>
      <c r="AB4313" s="1"/>
      <c r="AC4313" s="1"/>
      <c r="AD4313" s="1"/>
      <c r="AE4313" s="1"/>
      <c r="AF4313" s="1"/>
      <c r="AG4313" s="1"/>
      <c r="AH4313" s="1"/>
      <c r="AI4313" s="1"/>
      <c r="AJ4313" s="1"/>
      <c r="AK4313" s="1"/>
      <c r="AL4313" s="1"/>
      <c r="AM4313" s="1"/>
    </row>
    <row r="4314" spans="16:39" x14ac:dyDescent="0.25">
      <c r="P4314" s="49"/>
      <c r="Q4314" s="1"/>
      <c r="S4314" s="1"/>
      <c r="T4314" s="1"/>
      <c r="U4314" s="1"/>
      <c r="V4314" s="1"/>
      <c r="W4314" s="1"/>
      <c r="X4314" s="1"/>
      <c r="Y4314" s="1"/>
      <c r="AB4314" s="1"/>
      <c r="AC4314" s="1"/>
      <c r="AD4314" s="1"/>
      <c r="AE4314" s="1"/>
      <c r="AF4314" s="1"/>
      <c r="AG4314" s="1"/>
      <c r="AH4314" s="1"/>
      <c r="AI4314" s="1"/>
      <c r="AJ4314" s="1"/>
      <c r="AK4314" s="1"/>
      <c r="AL4314" s="1"/>
      <c r="AM4314" s="1"/>
    </row>
    <row r="4315" spans="16:39" x14ac:dyDescent="0.25">
      <c r="P4315" s="49"/>
      <c r="Q4315" s="1"/>
      <c r="S4315" s="1"/>
      <c r="T4315" s="1"/>
      <c r="U4315" s="1"/>
      <c r="V4315" s="1"/>
      <c r="W4315" s="1"/>
      <c r="X4315" s="1"/>
      <c r="Y4315" s="1"/>
      <c r="AB4315" s="1"/>
      <c r="AC4315" s="1"/>
      <c r="AD4315" s="1"/>
      <c r="AE4315" s="1"/>
      <c r="AF4315" s="1"/>
      <c r="AG4315" s="1"/>
      <c r="AH4315" s="1"/>
      <c r="AI4315" s="1"/>
      <c r="AJ4315" s="1"/>
      <c r="AK4315" s="1"/>
      <c r="AL4315" s="1"/>
      <c r="AM4315" s="1"/>
    </row>
    <row r="4316" spans="16:39" x14ac:dyDescent="0.25">
      <c r="P4316" s="49"/>
      <c r="Q4316" s="1"/>
      <c r="S4316" s="1"/>
      <c r="T4316" s="1"/>
      <c r="U4316" s="1"/>
      <c r="V4316" s="1"/>
      <c r="W4316" s="1"/>
      <c r="X4316" s="1"/>
      <c r="Y4316" s="1"/>
      <c r="AB4316" s="1"/>
      <c r="AC4316" s="1"/>
      <c r="AD4316" s="1"/>
      <c r="AE4316" s="1"/>
      <c r="AF4316" s="1"/>
      <c r="AG4316" s="1"/>
      <c r="AH4316" s="1"/>
      <c r="AI4316" s="1"/>
      <c r="AJ4316" s="1"/>
      <c r="AK4316" s="1"/>
      <c r="AL4316" s="1"/>
      <c r="AM4316" s="1"/>
    </row>
    <row r="4317" spans="16:39" x14ac:dyDescent="0.25">
      <c r="P4317" s="49"/>
      <c r="Q4317" s="1"/>
      <c r="S4317" s="1"/>
      <c r="T4317" s="1"/>
      <c r="U4317" s="1"/>
      <c r="V4317" s="1"/>
      <c r="W4317" s="1"/>
      <c r="X4317" s="1"/>
      <c r="Y4317" s="1"/>
      <c r="AB4317" s="1"/>
      <c r="AC4317" s="1"/>
      <c r="AD4317" s="1"/>
      <c r="AE4317" s="1"/>
      <c r="AF4317" s="1"/>
      <c r="AG4317" s="1"/>
      <c r="AH4317" s="1"/>
      <c r="AI4317" s="1"/>
      <c r="AJ4317" s="1"/>
      <c r="AK4317" s="1"/>
      <c r="AL4317" s="1"/>
      <c r="AM4317" s="1"/>
    </row>
    <row r="4318" spans="16:39" x14ac:dyDescent="0.25">
      <c r="P4318" s="49"/>
      <c r="Q4318" s="1"/>
      <c r="S4318" s="1"/>
      <c r="T4318" s="1"/>
      <c r="U4318" s="1"/>
      <c r="V4318" s="1"/>
      <c r="W4318" s="1"/>
      <c r="X4318" s="1"/>
      <c r="Y4318" s="1"/>
      <c r="AB4318" s="1"/>
      <c r="AC4318" s="1"/>
      <c r="AD4318" s="1"/>
      <c r="AE4318" s="1"/>
      <c r="AF4318" s="1"/>
      <c r="AG4318" s="1"/>
      <c r="AH4318" s="1"/>
      <c r="AI4318" s="1"/>
      <c r="AJ4318" s="1"/>
      <c r="AK4318" s="1"/>
      <c r="AL4318" s="1"/>
      <c r="AM4318" s="1"/>
    </row>
    <row r="4319" spans="16:39" x14ac:dyDescent="0.25">
      <c r="P4319" s="49"/>
      <c r="Q4319" s="1"/>
      <c r="S4319" s="1"/>
      <c r="T4319" s="1"/>
      <c r="U4319" s="1"/>
      <c r="V4319" s="1"/>
      <c r="W4319" s="1"/>
      <c r="X4319" s="1"/>
      <c r="Y4319" s="1"/>
      <c r="AB4319" s="1"/>
      <c r="AC4319" s="1"/>
      <c r="AD4319" s="1"/>
      <c r="AE4319" s="1"/>
      <c r="AF4319" s="1"/>
      <c r="AG4319" s="1"/>
      <c r="AH4319" s="1"/>
      <c r="AI4319" s="1"/>
      <c r="AJ4319" s="1"/>
      <c r="AK4319" s="1"/>
      <c r="AL4319" s="1"/>
      <c r="AM4319" s="1"/>
    </row>
    <row r="4320" spans="16:39" x14ac:dyDescent="0.25">
      <c r="P4320" s="49"/>
      <c r="Q4320" s="1"/>
      <c r="S4320" s="1"/>
      <c r="T4320" s="1"/>
      <c r="U4320" s="1"/>
      <c r="V4320" s="1"/>
      <c r="W4320" s="1"/>
      <c r="X4320" s="1"/>
      <c r="Y4320" s="1"/>
      <c r="AB4320" s="1"/>
      <c r="AC4320" s="1"/>
      <c r="AD4320" s="1"/>
      <c r="AE4320" s="1"/>
      <c r="AF4320" s="1"/>
      <c r="AG4320" s="1"/>
      <c r="AH4320" s="1"/>
      <c r="AI4320" s="1"/>
      <c r="AJ4320" s="1"/>
      <c r="AK4320" s="1"/>
      <c r="AL4320" s="1"/>
      <c r="AM4320" s="1"/>
    </row>
    <row r="4321" spans="16:39" x14ac:dyDescent="0.25">
      <c r="P4321" s="49"/>
      <c r="Q4321" s="1"/>
      <c r="S4321" s="1"/>
      <c r="T4321" s="1"/>
      <c r="U4321" s="1"/>
      <c r="V4321" s="1"/>
      <c r="W4321" s="1"/>
      <c r="X4321" s="1"/>
      <c r="Y4321" s="1"/>
      <c r="AB4321" s="1"/>
      <c r="AC4321" s="1"/>
      <c r="AD4321" s="1"/>
      <c r="AE4321" s="1"/>
      <c r="AF4321" s="1"/>
      <c r="AG4321" s="1"/>
      <c r="AH4321" s="1"/>
      <c r="AI4321" s="1"/>
      <c r="AJ4321" s="1"/>
      <c r="AK4321" s="1"/>
      <c r="AL4321" s="1"/>
      <c r="AM4321" s="1"/>
    </row>
    <row r="4322" spans="16:39" x14ac:dyDescent="0.25">
      <c r="P4322" s="49"/>
      <c r="Q4322" s="1"/>
      <c r="S4322" s="1"/>
      <c r="T4322" s="1"/>
      <c r="U4322" s="1"/>
      <c r="V4322" s="1"/>
      <c r="W4322" s="1"/>
      <c r="X4322" s="1"/>
      <c r="Y4322" s="1"/>
      <c r="AB4322" s="1"/>
      <c r="AC4322" s="1"/>
      <c r="AD4322" s="1"/>
      <c r="AE4322" s="1"/>
      <c r="AF4322" s="1"/>
      <c r="AG4322" s="1"/>
      <c r="AH4322" s="1"/>
      <c r="AI4322" s="1"/>
      <c r="AJ4322" s="1"/>
      <c r="AK4322" s="1"/>
      <c r="AL4322" s="1"/>
      <c r="AM4322" s="1"/>
    </row>
    <row r="4323" spans="16:39" x14ac:dyDescent="0.25">
      <c r="P4323" s="49"/>
      <c r="Q4323" s="1"/>
      <c r="S4323" s="1"/>
      <c r="T4323" s="1"/>
      <c r="U4323" s="1"/>
      <c r="V4323" s="1"/>
      <c r="W4323" s="1"/>
      <c r="X4323" s="1"/>
      <c r="Y4323" s="1"/>
      <c r="AB4323" s="1"/>
      <c r="AC4323" s="1"/>
      <c r="AD4323" s="1"/>
      <c r="AE4323" s="1"/>
      <c r="AF4323" s="1"/>
      <c r="AG4323" s="1"/>
      <c r="AH4323" s="1"/>
      <c r="AI4323" s="1"/>
      <c r="AJ4323" s="1"/>
      <c r="AK4323" s="1"/>
      <c r="AL4323" s="1"/>
      <c r="AM4323" s="1"/>
    </row>
    <row r="4324" spans="16:39" x14ac:dyDescent="0.25">
      <c r="P4324" s="49"/>
      <c r="Q4324" s="1"/>
      <c r="S4324" s="1"/>
      <c r="T4324" s="1"/>
      <c r="U4324" s="1"/>
      <c r="V4324" s="1"/>
      <c r="W4324" s="1"/>
      <c r="X4324" s="1"/>
      <c r="Y4324" s="1"/>
      <c r="AB4324" s="1"/>
      <c r="AC4324" s="1"/>
      <c r="AD4324" s="1"/>
      <c r="AE4324" s="1"/>
      <c r="AF4324" s="1"/>
      <c r="AG4324" s="1"/>
      <c r="AH4324" s="1"/>
      <c r="AI4324" s="1"/>
      <c r="AJ4324" s="1"/>
      <c r="AK4324" s="1"/>
      <c r="AL4324" s="1"/>
      <c r="AM4324" s="1"/>
    </row>
    <row r="4325" spans="16:39" x14ac:dyDescent="0.25">
      <c r="P4325" s="49"/>
      <c r="Q4325" s="1"/>
      <c r="S4325" s="1"/>
      <c r="T4325" s="1"/>
      <c r="U4325" s="1"/>
      <c r="V4325" s="1"/>
      <c r="W4325" s="1"/>
      <c r="X4325" s="1"/>
      <c r="Y4325" s="1"/>
      <c r="AB4325" s="1"/>
      <c r="AC4325" s="1"/>
      <c r="AD4325" s="1"/>
      <c r="AE4325" s="1"/>
      <c r="AF4325" s="1"/>
      <c r="AG4325" s="1"/>
      <c r="AH4325" s="1"/>
      <c r="AI4325" s="1"/>
      <c r="AJ4325" s="1"/>
      <c r="AK4325" s="1"/>
      <c r="AL4325" s="1"/>
      <c r="AM4325" s="1"/>
    </row>
    <row r="4326" spans="16:39" x14ac:dyDescent="0.25">
      <c r="P4326" s="49"/>
      <c r="Q4326" s="1"/>
      <c r="S4326" s="1"/>
      <c r="T4326" s="1"/>
      <c r="U4326" s="1"/>
      <c r="V4326" s="1"/>
      <c r="W4326" s="1"/>
      <c r="X4326" s="1"/>
      <c r="Y4326" s="1"/>
      <c r="AB4326" s="1"/>
      <c r="AC4326" s="1"/>
      <c r="AD4326" s="1"/>
      <c r="AE4326" s="1"/>
      <c r="AF4326" s="1"/>
      <c r="AG4326" s="1"/>
      <c r="AH4326" s="1"/>
      <c r="AI4326" s="1"/>
      <c r="AJ4326" s="1"/>
      <c r="AK4326" s="1"/>
      <c r="AL4326" s="1"/>
      <c r="AM4326" s="1"/>
    </row>
    <row r="4327" spans="16:39" x14ac:dyDescent="0.25">
      <c r="P4327" s="49"/>
      <c r="Q4327" s="1"/>
      <c r="S4327" s="1"/>
      <c r="T4327" s="1"/>
      <c r="U4327" s="1"/>
      <c r="V4327" s="1"/>
      <c r="W4327" s="1"/>
      <c r="X4327" s="1"/>
      <c r="Y4327" s="1"/>
      <c r="AB4327" s="1"/>
      <c r="AC4327" s="1"/>
      <c r="AD4327" s="1"/>
      <c r="AE4327" s="1"/>
      <c r="AF4327" s="1"/>
      <c r="AG4327" s="1"/>
      <c r="AH4327" s="1"/>
      <c r="AI4327" s="1"/>
      <c r="AJ4327" s="1"/>
      <c r="AK4327" s="1"/>
      <c r="AL4327" s="1"/>
      <c r="AM4327" s="1"/>
    </row>
    <row r="4328" spans="16:39" x14ac:dyDescent="0.25">
      <c r="P4328" s="49"/>
      <c r="Q4328" s="1"/>
      <c r="S4328" s="1"/>
      <c r="T4328" s="1"/>
      <c r="U4328" s="1"/>
      <c r="V4328" s="1"/>
      <c r="W4328" s="1"/>
      <c r="X4328" s="1"/>
      <c r="Y4328" s="1"/>
      <c r="AB4328" s="1"/>
      <c r="AC4328" s="1"/>
      <c r="AD4328" s="1"/>
      <c r="AE4328" s="1"/>
      <c r="AF4328" s="1"/>
      <c r="AG4328" s="1"/>
      <c r="AH4328" s="1"/>
      <c r="AI4328" s="1"/>
      <c r="AJ4328" s="1"/>
      <c r="AK4328" s="1"/>
      <c r="AL4328" s="1"/>
      <c r="AM4328" s="1"/>
    </row>
    <row r="4329" spans="16:39" x14ac:dyDescent="0.25">
      <c r="P4329" s="49"/>
      <c r="Q4329" s="1"/>
      <c r="S4329" s="1"/>
      <c r="T4329" s="1"/>
      <c r="U4329" s="1"/>
      <c r="V4329" s="1"/>
      <c r="W4329" s="1"/>
      <c r="X4329" s="1"/>
      <c r="Y4329" s="1"/>
      <c r="AB4329" s="1"/>
      <c r="AC4329" s="1"/>
      <c r="AD4329" s="1"/>
      <c r="AE4329" s="1"/>
      <c r="AF4329" s="1"/>
      <c r="AG4329" s="1"/>
      <c r="AH4329" s="1"/>
      <c r="AI4329" s="1"/>
      <c r="AJ4329" s="1"/>
      <c r="AK4329" s="1"/>
      <c r="AL4329" s="1"/>
      <c r="AM4329" s="1"/>
    </row>
    <row r="4330" spans="16:39" x14ac:dyDescent="0.25">
      <c r="P4330" s="49"/>
      <c r="Q4330" s="1"/>
      <c r="S4330" s="1"/>
      <c r="T4330" s="1"/>
      <c r="U4330" s="1"/>
      <c r="V4330" s="1"/>
      <c r="W4330" s="1"/>
      <c r="X4330" s="1"/>
      <c r="Y4330" s="1"/>
      <c r="AB4330" s="1"/>
      <c r="AC4330" s="1"/>
      <c r="AD4330" s="1"/>
      <c r="AE4330" s="1"/>
      <c r="AF4330" s="1"/>
      <c r="AG4330" s="1"/>
      <c r="AH4330" s="1"/>
      <c r="AI4330" s="1"/>
      <c r="AJ4330" s="1"/>
      <c r="AK4330" s="1"/>
      <c r="AL4330" s="1"/>
      <c r="AM4330" s="1"/>
    </row>
    <row r="4331" spans="16:39" x14ac:dyDescent="0.25">
      <c r="P4331" s="49"/>
      <c r="Q4331" s="1"/>
      <c r="S4331" s="1"/>
      <c r="T4331" s="1"/>
      <c r="U4331" s="1"/>
      <c r="V4331" s="1"/>
      <c r="W4331" s="1"/>
      <c r="X4331" s="1"/>
      <c r="Y4331" s="1"/>
      <c r="AB4331" s="1"/>
      <c r="AC4331" s="1"/>
      <c r="AD4331" s="1"/>
      <c r="AE4331" s="1"/>
      <c r="AF4331" s="1"/>
      <c r="AG4331" s="1"/>
      <c r="AH4331" s="1"/>
      <c r="AI4331" s="1"/>
      <c r="AJ4331" s="1"/>
      <c r="AK4331" s="1"/>
      <c r="AL4331" s="1"/>
      <c r="AM4331" s="1"/>
    </row>
    <row r="4332" spans="16:39" x14ac:dyDescent="0.25">
      <c r="P4332" s="49"/>
      <c r="Q4332" s="1"/>
      <c r="S4332" s="1"/>
      <c r="T4332" s="1"/>
      <c r="U4332" s="1"/>
      <c r="V4332" s="1"/>
      <c r="W4332" s="1"/>
      <c r="X4332" s="1"/>
      <c r="Y4332" s="1"/>
      <c r="AB4332" s="1"/>
      <c r="AC4332" s="1"/>
      <c r="AD4332" s="1"/>
      <c r="AE4332" s="1"/>
      <c r="AF4332" s="1"/>
      <c r="AG4332" s="1"/>
      <c r="AH4332" s="1"/>
      <c r="AI4332" s="1"/>
      <c r="AJ4332" s="1"/>
      <c r="AK4332" s="1"/>
      <c r="AL4332" s="1"/>
      <c r="AM4332" s="1"/>
    </row>
    <row r="4333" spans="16:39" x14ac:dyDescent="0.25">
      <c r="P4333" s="49"/>
      <c r="Q4333" s="1"/>
      <c r="S4333" s="1"/>
      <c r="T4333" s="1"/>
      <c r="U4333" s="1"/>
      <c r="V4333" s="1"/>
      <c r="W4333" s="1"/>
      <c r="X4333" s="1"/>
      <c r="Y4333" s="1"/>
      <c r="AB4333" s="1"/>
      <c r="AC4333" s="1"/>
      <c r="AD4333" s="1"/>
      <c r="AE4333" s="1"/>
      <c r="AF4333" s="1"/>
      <c r="AG4333" s="1"/>
      <c r="AH4333" s="1"/>
      <c r="AI4333" s="1"/>
      <c r="AJ4333" s="1"/>
      <c r="AK4333" s="1"/>
      <c r="AL4333" s="1"/>
      <c r="AM4333" s="1"/>
    </row>
    <row r="4334" spans="16:39" x14ac:dyDescent="0.25">
      <c r="P4334" s="49"/>
      <c r="Q4334" s="1"/>
      <c r="S4334" s="1"/>
      <c r="T4334" s="1"/>
      <c r="U4334" s="1"/>
      <c r="V4334" s="1"/>
      <c r="W4334" s="1"/>
      <c r="X4334" s="1"/>
      <c r="Y4334" s="1"/>
      <c r="AB4334" s="1"/>
      <c r="AC4334" s="1"/>
      <c r="AD4334" s="1"/>
      <c r="AE4334" s="1"/>
      <c r="AF4334" s="1"/>
      <c r="AG4334" s="1"/>
      <c r="AH4334" s="1"/>
      <c r="AI4334" s="1"/>
      <c r="AJ4334" s="1"/>
      <c r="AK4334" s="1"/>
      <c r="AL4334" s="1"/>
      <c r="AM4334" s="1"/>
    </row>
    <row r="4335" spans="16:39" x14ac:dyDescent="0.25">
      <c r="P4335" s="49"/>
      <c r="Q4335" s="1"/>
      <c r="S4335" s="1"/>
      <c r="T4335" s="1"/>
      <c r="U4335" s="1"/>
      <c r="V4335" s="1"/>
      <c r="W4335" s="1"/>
      <c r="X4335" s="1"/>
      <c r="Y4335" s="1"/>
      <c r="AB4335" s="1"/>
      <c r="AC4335" s="1"/>
      <c r="AD4335" s="1"/>
      <c r="AE4335" s="1"/>
      <c r="AF4335" s="1"/>
      <c r="AG4335" s="1"/>
      <c r="AH4335" s="1"/>
      <c r="AI4335" s="1"/>
      <c r="AJ4335" s="1"/>
      <c r="AK4335" s="1"/>
      <c r="AL4335" s="1"/>
      <c r="AM4335" s="1"/>
    </row>
    <row r="4336" spans="16:39" x14ac:dyDescent="0.25">
      <c r="P4336" s="49"/>
      <c r="Q4336" s="1"/>
      <c r="S4336" s="1"/>
      <c r="T4336" s="1"/>
      <c r="U4336" s="1"/>
      <c r="V4336" s="1"/>
      <c r="W4336" s="1"/>
      <c r="X4336" s="1"/>
      <c r="Y4336" s="1"/>
      <c r="AB4336" s="1"/>
      <c r="AC4336" s="1"/>
      <c r="AD4336" s="1"/>
      <c r="AE4336" s="1"/>
      <c r="AF4336" s="1"/>
      <c r="AG4336" s="1"/>
      <c r="AH4336" s="1"/>
      <c r="AI4336" s="1"/>
      <c r="AJ4336" s="1"/>
      <c r="AK4336" s="1"/>
      <c r="AL4336" s="1"/>
      <c r="AM4336" s="1"/>
    </row>
    <row r="4337" spans="16:39" x14ac:dyDescent="0.25">
      <c r="P4337" s="49"/>
      <c r="Q4337" s="1"/>
      <c r="S4337" s="1"/>
      <c r="T4337" s="1"/>
      <c r="U4337" s="1"/>
      <c r="V4337" s="1"/>
      <c r="W4337" s="1"/>
      <c r="X4337" s="1"/>
      <c r="Y4337" s="1"/>
      <c r="AB4337" s="1"/>
      <c r="AC4337" s="1"/>
      <c r="AD4337" s="1"/>
      <c r="AE4337" s="1"/>
      <c r="AF4337" s="1"/>
      <c r="AG4337" s="1"/>
      <c r="AH4337" s="1"/>
      <c r="AI4337" s="1"/>
      <c r="AJ4337" s="1"/>
      <c r="AK4337" s="1"/>
      <c r="AL4337" s="1"/>
      <c r="AM4337" s="1"/>
    </row>
    <row r="4338" spans="16:39" x14ac:dyDescent="0.25">
      <c r="P4338" s="49"/>
      <c r="Q4338" s="1"/>
      <c r="S4338" s="1"/>
      <c r="T4338" s="1"/>
      <c r="U4338" s="1"/>
      <c r="V4338" s="1"/>
      <c r="W4338" s="1"/>
      <c r="X4338" s="1"/>
      <c r="Y4338" s="1"/>
      <c r="AB4338" s="1"/>
      <c r="AC4338" s="1"/>
      <c r="AD4338" s="1"/>
      <c r="AE4338" s="1"/>
      <c r="AF4338" s="1"/>
      <c r="AG4338" s="1"/>
      <c r="AH4338" s="1"/>
      <c r="AI4338" s="1"/>
      <c r="AJ4338" s="1"/>
      <c r="AK4338" s="1"/>
      <c r="AL4338" s="1"/>
      <c r="AM4338" s="1"/>
    </row>
    <row r="4339" spans="16:39" x14ac:dyDescent="0.25">
      <c r="P4339" s="49"/>
      <c r="Q4339" s="1"/>
      <c r="S4339" s="1"/>
      <c r="T4339" s="1"/>
      <c r="U4339" s="1"/>
      <c r="V4339" s="1"/>
      <c r="W4339" s="1"/>
      <c r="X4339" s="1"/>
      <c r="Y4339" s="1"/>
      <c r="AB4339" s="1"/>
      <c r="AC4339" s="1"/>
      <c r="AD4339" s="1"/>
      <c r="AE4339" s="1"/>
      <c r="AF4339" s="1"/>
      <c r="AG4339" s="1"/>
      <c r="AH4339" s="1"/>
      <c r="AI4339" s="1"/>
      <c r="AJ4339" s="1"/>
      <c r="AK4339" s="1"/>
      <c r="AL4339" s="1"/>
      <c r="AM4339" s="1"/>
    </row>
    <row r="4340" spans="16:39" x14ac:dyDescent="0.25">
      <c r="P4340" s="49"/>
      <c r="Q4340" s="1"/>
      <c r="S4340" s="1"/>
      <c r="T4340" s="1"/>
      <c r="U4340" s="1"/>
      <c r="V4340" s="1"/>
      <c r="W4340" s="1"/>
      <c r="X4340" s="1"/>
      <c r="Y4340" s="1"/>
      <c r="AB4340" s="1"/>
      <c r="AC4340" s="1"/>
      <c r="AD4340" s="1"/>
      <c r="AE4340" s="1"/>
      <c r="AF4340" s="1"/>
      <c r="AG4340" s="1"/>
      <c r="AH4340" s="1"/>
      <c r="AI4340" s="1"/>
      <c r="AJ4340" s="1"/>
      <c r="AK4340" s="1"/>
      <c r="AL4340" s="1"/>
      <c r="AM4340" s="1"/>
    </row>
    <row r="4341" spans="16:39" x14ac:dyDescent="0.25">
      <c r="P4341" s="49"/>
      <c r="Q4341" s="1"/>
      <c r="S4341" s="1"/>
      <c r="T4341" s="1"/>
      <c r="U4341" s="1"/>
      <c r="V4341" s="1"/>
      <c r="W4341" s="1"/>
      <c r="X4341" s="1"/>
      <c r="Y4341" s="1"/>
      <c r="AB4341" s="1"/>
      <c r="AC4341" s="1"/>
      <c r="AD4341" s="1"/>
      <c r="AE4341" s="1"/>
      <c r="AF4341" s="1"/>
      <c r="AG4341" s="1"/>
      <c r="AH4341" s="1"/>
      <c r="AI4341" s="1"/>
      <c r="AJ4341" s="1"/>
      <c r="AK4341" s="1"/>
      <c r="AL4341" s="1"/>
      <c r="AM4341" s="1"/>
    </row>
    <row r="4342" spans="16:39" x14ac:dyDescent="0.25">
      <c r="P4342" s="49"/>
      <c r="Q4342" s="1"/>
      <c r="S4342" s="1"/>
      <c r="T4342" s="1"/>
      <c r="U4342" s="1"/>
      <c r="V4342" s="1"/>
      <c r="W4342" s="1"/>
      <c r="X4342" s="1"/>
      <c r="Y4342" s="1"/>
      <c r="AB4342" s="1"/>
      <c r="AC4342" s="1"/>
      <c r="AD4342" s="1"/>
      <c r="AE4342" s="1"/>
      <c r="AF4342" s="1"/>
      <c r="AG4342" s="1"/>
      <c r="AH4342" s="1"/>
      <c r="AI4342" s="1"/>
      <c r="AJ4342" s="1"/>
      <c r="AK4342" s="1"/>
      <c r="AL4342" s="1"/>
      <c r="AM4342" s="1"/>
    </row>
    <row r="4343" spans="16:39" x14ac:dyDescent="0.25">
      <c r="P4343" s="49"/>
      <c r="Q4343" s="1"/>
      <c r="S4343" s="1"/>
      <c r="T4343" s="1"/>
      <c r="U4343" s="1"/>
      <c r="V4343" s="1"/>
      <c r="W4343" s="1"/>
      <c r="X4343" s="1"/>
      <c r="Y4343" s="1"/>
      <c r="AB4343" s="1"/>
      <c r="AC4343" s="1"/>
      <c r="AD4343" s="1"/>
      <c r="AE4343" s="1"/>
      <c r="AF4343" s="1"/>
      <c r="AG4343" s="1"/>
      <c r="AH4343" s="1"/>
      <c r="AI4343" s="1"/>
      <c r="AJ4343" s="1"/>
      <c r="AK4343" s="1"/>
      <c r="AL4343" s="1"/>
      <c r="AM4343" s="1"/>
    </row>
    <row r="4344" spans="16:39" x14ac:dyDescent="0.25">
      <c r="P4344" s="49"/>
      <c r="Q4344" s="1"/>
      <c r="S4344" s="1"/>
      <c r="T4344" s="1"/>
      <c r="U4344" s="1"/>
      <c r="V4344" s="1"/>
      <c r="W4344" s="1"/>
      <c r="X4344" s="1"/>
      <c r="Y4344" s="1"/>
      <c r="AB4344" s="1"/>
      <c r="AC4344" s="1"/>
      <c r="AD4344" s="1"/>
      <c r="AE4344" s="1"/>
      <c r="AF4344" s="1"/>
      <c r="AG4344" s="1"/>
      <c r="AH4344" s="1"/>
      <c r="AI4344" s="1"/>
      <c r="AJ4344" s="1"/>
      <c r="AK4344" s="1"/>
      <c r="AL4344" s="1"/>
      <c r="AM4344" s="1"/>
    </row>
    <row r="4345" spans="16:39" x14ac:dyDescent="0.25">
      <c r="P4345" s="49"/>
      <c r="Q4345" s="1"/>
      <c r="S4345" s="1"/>
      <c r="T4345" s="1"/>
      <c r="U4345" s="1"/>
      <c r="V4345" s="1"/>
      <c r="W4345" s="1"/>
      <c r="X4345" s="1"/>
      <c r="Y4345" s="1"/>
      <c r="AB4345" s="1"/>
      <c r="AC4345" s="1"/>
      <c r="AD4345" s="1"/>
      <c r="AE4345" s="1"/>
      <c r="AF4345" s="1"/>
      <c r="AG4345" s="1"/>
      <c r="AH4345" s="1"/>
      <c r="AI4345" s="1"/>
      <c r="AJ4345" s="1"/>
      <c r="AK4345" s="1"/>
      <c r="AL4345" s="1"/>
      <c r="AM4345" s="1"/>
    </row>
    <row r="4346" spans="16:39" x14ac:dyDescent="0.25">
      <c r="P4346" s="49"/>
      <c r="Q4346" s="1"/>
      <c r="S4346" s="1"/>
      <c r="T4346" s="1"/>
      <c r="U4346" s="1"/>
      <c r="V4346" s="1"/>
      <c r="W4346" s="1"/>
      <c r="X4346" s="1"/>
      <c r="Y4346" s="1"/>
      <c r="AB4346" s="1"/>
      <c r="AC4346" s="1"/>
      <c r="AD4346" s="1"/>
      <c r="AE4346" s="1"/>
      <c r="AF4346" s="1"/>
      <c r="AG4346" s="1"/>
      <c r="AH4346" s="1"/>
      <c r="AI4346" s="1"/>
      <c r="AJ4346" s="1"/>
      <c r="AK4346" s="1"/>
      <c r="AL4346" s="1"/>
      <c r="AM4346" s="1"/>
    </row>
    <row r="4347" spans="16:39" x14ac:dyDescent="0.25">
      <c r="P4347" s="49"/>
      <c r="Q4347" s="1"/>
      <c r="S4347" s="1"/>
      <c r="T4347" s="1"/>
      <c r="U4347" s="1"/>
      <c r="V4347" s="1"/>
      <c r="W4347" s="1"/>
      <c r="X4347" s="1"/>
      <c r="Y4347" s="1"/>
      <c r="AB4347" s="1"/>
      <c r="AC4347" s="1"/>
      <c r="AD4347" s="1"/>
      <c r="AE4347" s="1"/>
      <c r="AF4347" s="1"/>
      <c r="AG4347" s="1"/>
      <c r="AH4347" s="1"/>
      <c r="AI4347" s="1"/>
      <c r="AJ4347" s="1"/>
      <c r="AK4347" s="1"/>
      <c r="AL4347" s="1"/>
      <c r="AM4347" s="1"/>
    </row>
    <row r="4348" spans="16:39" x14ac:dyDescent="0.25">
      <c r="P4348" s="49"/>
      <c r="Q4348" s="1"/>
      <c r="S4348" s="1"/>
      <c r="T4348" s="1"/>
      <c r="U4348" s="1"/>
      <c r="V4348" s="1"/>
      <c r="W4348" s="1"/>
      <c r="X4348" s="1"/>
      <c r="Y4348" s="1"/>
      <c r="AB4348" s="1"/>
      <c r="AC4348" s="1"/>
      <c r="AD4348" s="1"/>
      <c r="AE4348" s="1"/>
      <c r="AF4348" s="1"/>
      <c r="AG4348" s="1"/>
      <c r="AH4348" s="1"/>
      <c r="AI4348" s="1"/>
      <c r="AJ4348" s="1"/>
      <c r="AK4348" s="1"/>
      <c r="AL4348" s="1"/>
      <c r="AM4348" s="1"/>
    </row>
    <row r="4349" spans="16:39" x14ac:dyDescent="0.25">
      <c r="P4349" s="49"/>
      <c r="Q4349" s="1"/>
      <c r="S4349" s="1"/>
      <c r="T4349" s="1"/>
      <c r="U4349" s="1"/>
      <c r="V4349" s="1"/>
      <c r="W4349" s="1"/>
      <c r="X4349" s="1"/>
      <c r="Y4349" s="1"/>
      <c r="AB4349" s="1"/>
      <c r="AC4349" s="1"/>
      <c r="AD4349" s="1"/>
      <c r="AE4349" s="1"/>
      <c r="AF4349" s="1"/>
      <c r="AG4349" s="1"/>
      <c r="AH4349" s="1"/>
      <c r="AI4349" s="1"/>
      <c r="AJ4349" s="1"/>
      <c r="AK4349" s="1"/>
      <c r="AL4349" s="1"/>
      <c r="AM4349" s="1"/>
    </row>
    <row r="4350" spans="16:39" x14ac:dyDescent="0.25">
      <c r="P4350" s="49"/>
      <c r="Q4350" s="1"/>
      <c r="S4350" s="1"/>
      <c r="T4350" s="1"/>
      <c r="U4350" s="1"/>
      <c r="V4350" s="1"/>
      <c r="W4350" s="1"/>
      <c r="X4350" s="1"/>
      <c r="Y4350" s="1"/>
      <c r="AB4350" s="1"/>
      <c r="AC4350" s="1"/>
      <c r="AD4350" s="1"/>
      <c r="AE4350" s="1"/>
      <c r="AF4350" s="1"/>
      <c r="AG4350" s="1"/>
      <c r="AH4350" s="1"/>
      <c r="AI4350" s="1"/>
      <c r="AJ4350" s="1"/>
      <c r="AK4350" s="1"/>
      <c r="AL4350" s="1"/>
      <c r="AM4350" s="1"/>
    </row>
    <row r="4351" spans="16:39" x14ac:dyDescent="0.25">
      <c r="P4351" s="49"/>
      <c r="Q4351" s="1"/>
      <c r="S4351" s="1"/>
      <c r="T4351" s="1"/>
      <c r="U4351" s="1"/>
      <c r="V4351" s="1"/>
      <c r="W4351" s="1"/>
      <c r="X4351" s="1"/>
      <c r="Y4351" s="1"/>
      <c r="AB4351" s="1"/>
      <c r="AC4351" s="1"/>
      <c r="AD4351" s="1"/>
      <c r="AE4351" s="1"/>
      <c r="AF4351" s="1"/>
      <c r="AG4351" s="1"/>
      <c r="AH4351" s="1"/>
      <c r="AI4351" s="1"/>
      <c r="AJ4351" s="1"/>
      <c r="AK4351" s="1"/>
      <c r="AL4351" s="1"/>
      <c r="AM4351" s="1"/>
    </row>
    <row r="4352" spans="16:39" x14ac:dyDescent="0.25">
      <c r="P4352" s="49"/>
      <c r="Q4352" s="1"/>
      <c r="S4352" s="1"/>
      <c r="T4352" s="1"/>
      <c r="U4352" s="1"/>
      <c r="V4352" s="1"/>
      <c r="W4352" s="1"/>
      <c r="X4352" s="1"/>
      <c r="Y4352" s="1"/>
      <c r="AB4352" s="1"/>
      <c r="AC4352" s="1"/>
      <c r="AD4352" s="1"/>
      <c r="AE4352" s="1"/>
      <c r="AF4352" s="1"/>
      <c r="AG4352" s="1"/>
      <c r="AH4352" s="1"/>
      <c r="AI4352" s="1"/>
      <c r="AJ4352" s="1"/>
      <c r="AK4352" s="1"/>
      <c r="AL4352" s="1"/>
      <c r="AM4352" s="1"/>
    </row>
    <row r="4353" spans="16:39" x14ac:dyDescent="0.25">
      <c r="P4353" s="49"/>
      <c r="Q4353" s="1"/>
      <c r="S4353" s="1"/>
      <c r="T4353" s="1"/>
      <c r="U4353" s="1"/>
      <c r="V4353" s="1"/>
      <c r="W4353" s="1"/>
      <c r="X4353" s="1"/>
      <c r="Y4353" s="1"/>
      <c r="AB4353" s="1"/>
      <c r="AC4353" s="1"/>
      <c r="AD4353" s="1"/>
      <c r="AE4353" s="1"/>
      <c r="AF4353" s="1"/>
      <c r="AG4353" s="1"/>
      <c r="AH4353" s="1"/>
      <c r="AI4353" s="1"/>
      <c r="AJ4353" s="1"/>
      <c r="AK4353" s="1"/>
      <c r="AL4353" s="1"/>
      <c r="AM4353" s="1"/>
    </row>
    <row r="4354" spans="16:39" x14ac:dyDescent="0.25">
      <c r="P4354" s="49"/>
      <c r="Q4354" s="1"/>
      <c r="S4354" s="1"/>
      <c r="T4354" s="1"/>
      <c r="U4354" s="1"/>
      <c r="V4354" s="1"/>
      <c r="W4354" s="1"/>
      <c r="X4354" s="1"/>
      <c r="Y4354" s="1"/>
      <c r="AB4354" s="1"/>
      <c r="AC4354" s="1"/>
      <c r="AD4354" s="1"/>
      <c r="AE4354" s="1"/>
      <c r="AF4354" s="1"/>
      <c r="AG4354" s="1"/>
      <c r="AH4354" s="1"/>
      <c r="AI4354" s="1"/>
      <c r="AJ4354" s="1"/>
      <c r="AK4354" s="1"/>
      <c r="AL4354" s="1"/>
      <c r="AM4354" s="1"/>
    </row>
    <row r="4355" spans="16:39" x14ac:dyDescent="0.25">
      <c r="P4355" s="49"/>
      <c r="Q4355" s="1"/>
      <c r="S4355" s="1"/>
      <c r="T4355" s="1"/>
      <c r="U4355" s="1"/>
      <c r="V4355" s="1"/>
      <c r="W4355" s="1"/>
      <c r="X4355" s="1"/>
      <c r="Y4355" s="1"/>
      <c r="AB4355" s="1"/>
      <c r="AC4355" s="1"/>
      <c r="AD4355" s="1"/>
      <c r="AE4355" s="1"/>
      <c r="AF4355" s="1"/>
      <c r="AG4355" s="1"/>
      <c r="AH4355" s="1"/>
      <c r="AI4355" s="1"/>
      <c r="AJ4355" s="1"/>
      <c r="AK4355" s="1"/>
      <c r="AL4355" s="1"/>
      <c r="AM4355" s="1"/>
    </row>
    <row r="4356" spans="16:39" x14ac:dyDescent="0.25">
      <c r="P4356" s="49"/>
      <c r="Q4356" s="1"/>
      <c r="S4356" s="1"/>
      <c r="T4356" s="1"/>
      <c r="U4356" s="1"/>
      <c r="V4356" s="1"/>
      <c r="W4356" s="1"/>
      <c r="X4356" s="1"/>
      <c r="Y4356" s="1"/>
      <c r="AB4356" s="1"/>
      <c r="AC4356" s="1"/>
      <c r="AD4356" s="1"/>
      <c r="AE4356" s="1"/>
      <c r="AF4356" s="1"/>
      <c r="AG4356" s="1"/>
      <c r="AH4356" s="1"/>
      <c r="AI4356" s="1"/>
      <c r="AJ4356" s="1"/>
      <c r="AK4356" s="1"/>
      <c r="AL4356" s="1"/>
      <c r="AM4356" s="1"/>
    </row>
    <row r="4357" spans="16:39" x14ac:dyDescent="0.25">
      <c r="P4357" s="49"/>
      <c r="Q4357" s="1"/>
      <c r="S4357" s="1"/>
      <c r="T4357" s="1"/>
      <c r="U4357" s="1"/>
      <c r="V4357" s="1"/>
      <c r="W4357" s="1"/>
      <c r="X4357" s="1"/>
      <c r="Y4357" s="1"/>
      <c r="AB4357" s="1"/>
      <c r="AC4357" s="1"/>
      <c r="AD4357" s="1"/>
      <c r="AE4357" s="1"/>
      <c r="AF4357" s="1"/>
      <c r="AG4357" s="1"/>
      <c r="AH4357" s="1"/>
      <c r="AI4357" s="1"/>
      <c r="AJ4357" s="1"/>
      <c r="AK4357" s="1"/>
      <c r="AL4357" s="1"/>
      <c r="AM4357" s="1"/>
    </row>
    <row r="4358" spans="16:39" x14ac:dyDescent="0.25">
      <c r="P4358" s="49"/>
      <c r="Q4358" s="1"/>
      <c r="S4358" s="1"/>
      <c r="T4358" s="1"/>
      <c r="U4358" s="1"/>
      <c r="V4358" s="1"/>
      <c r="W4358" s="1"/>
      <c r="X4358" s="1"/>
      <c r="Y4358" s="1"/>
      <c r="AB4358" s="1"/>
      <c r="AC4358" s="1"/>
      <c r="AD4358" s="1"/>
      <c r="AE4358" s="1"/>
      <c r="AF4358" s="1"/>
      <c r="AG4358" s="1"/>
      <c r="AH4358" s="1"/>
      <c r="AI4358" s="1"/>
      <c r="AJ4358" s="1"/>
      <c r="AK4358" s="1"/>
      <c r="AL4358" s="1"/>
      <c r="AM4358" s="1"/>
    </row>
    <row r="4359" spans="16:39" x14ac:dyDescent="0.25">
      <c r="P4359" s="49"/>
      <c r="Q4359" s="1"/>
      <c r="S4359" s="1"/>
      <c r="T4359" s="1"/>
      <c r="U4359" s="1"/>
      <c r="V4359" s="1"/>
      <c r="W4359" s="1"/>
      <c r="X4359" s="1"/>
      <c r="Y4359" s="1"/>
      <c r="AB4359" s="1"/>
      <c r="AC4359" s="1"/>
      <c r="AD4359" s="1"/>
      <c r="AE4359" s="1"/>
      <c r="AF4359" s="1"/>
      <c r="AG4359" s="1"/>
      <c r="AH4359" s="1"/>
      <c r="AI4359" s="1"/>
      <c r="AJ4359" s="1"/>
      <c r="AK4359" s="1"/>
      <c r="AL4359" s="1"/>
      <c r="AM4359" s="1"/>
    </row>
    <row r="4360" spans="16:39" x14ac:dyDescent="0.25">
      <c r="P4360" s="49"/>
      <c r="Q4360" s="1"/>
      <c r="S4360" s="1"/>
      <c r="T4360" s="1"/>
      <c r="U4360" s="1"/>
      <c r="V4360" s="1"/>
      <c r="W4360" s="1"/>
      <c r="X4360" s="1"/>
      <c r="Y4360" s="1"/>
      <c r="AB4360" s="1"/>
      <c r="AC4360" s="1"/>
      <c r="AD4360" s="1"/>
      <c r="AE4360" s="1"/>
      <c r="AF4360" s="1"/>
      <c r="AG4360" s="1"/>
      <c r="AH4360" s="1"/>
      <c r="AI4360" s="1"/>
      <c r="AJ4360" s="1"/>
      <c r="AK4360" s="1"/>
      <c r="AL4360" s="1"/>
      <c r="AM4360" s="1"/>
    </row>
    <row r="4361" spans="16:39" x14ac:dyDescent="0.25">
      <c r="P4361" s="49"/>
      <c r="Q4361" s="1"/>
      <c r="S4361" s="1"/>
      <c r="T4361" s="1"/>
      <c r="U4361" s="1"/>
      <c r="V4361" s="1"/>
      <c r="W4361" s="1"/>
      <c r="X4361" s="1"/>
      <c r="Y4361" s="1"/>
      <c r="AB4361" s="1"/>
      <c r="AC4361" s="1"/>
      <c r="AD4361" s="1"/>
      <c r="AE4361" s="1"/>
      <c r="AF4361" s="1"/>
      <c r="AG4361" s="1"/>
      <c r="AH4361" s="1"/>
      <c r="AI4361" s="1"/>
      <c r="AJ4361" s="1"/>
      <c r="AK4361" s="1"/>
      <c r="AL4361" s="1"/>
      <c r="AM4361" s="1"/>
    </row>
    <row r="4362" spans="16:39" x14ac:dyDescent="0.25">
      <c r="P4362" s="49"/>
      <c r="Q4362" s="1"/>
      <c r="S4362" s="1"/>
      <c r="T4362" s="1"/>
      <c r="U4362" s="1"/>
      <c r="V4362" s="1"/>
      <c r="W4362" s="1"/>
      <c r="X4362" s="1"/>
      <c r="Y4362" s="1"/>
      <c r="AB4362" s="1"/>
      <c r="AC4362" s="1"/>
      <c r="AD4362" s="1"/>
      <c r="AE4362" s="1"/>
      <c r="AF4362" s="1"/>
      <c r="AG4362" s="1"/>
      <c r="AH4362" s="1"/>
      <c r="AI4362" s="1"/>
      <c r="AJ4362" s="1"/>
      <c r="AK4362" s="1"/>
      <c r="AL4362" s="1"/>
      <c r="AM4362" s="1"/>
    </row>
    <row r="4363" spans="16:39" x14ac:dyDescent="0.25">
      <c r="P4363" s="49"/>
      <c r="Q4363" s="1"/>
      <c r="S4363" s="1"/>
      <c r="T4363" s="1"/>
      <c r="U4363" s="1"/>
      <c r="V4363" s="1"/>
      <c r="W4363" s="1"/>
      <c r="X4363" s="1"/>
      <c r="Y4363" s="1"/>
      <c r="AB4363" s="1"/>
      <c r="AC4363" s="1"/>
      <c r="AD4363" s="1"/>
      <c r="AE4363" s="1"/>
      <c r="AF4363" s="1"/>
      <c r="AG4363" s="1"/>
      <c r="AH4363" s="1"/>
      <c r="AI4363" s="1"/>
      <c r="AJ4363" s="1"/>
      <c r="AK4363" s="1"/>
      <c r="AL4363" s="1"/>
      <c r="AM4363" s="1"/>
    </row>
    <row r="4364" spans="16:39" x14ac:dyDescent="0.25">
      <c r="P4364" s="49"/>
      <c r="Q4364" s="1"/>
      <c r="S4364" s="1"/>
      <c r="T4364" s="1"/>
      <c r="U4364" s="1"/>
      <c r="V4364" s="1"/>
      <c r="W4364" s="1"/>
      <c r="X4364" s="1"/>
      <c r="Y4364" s="1"/>
      <c r="AB4364" s="1"/>
      <c r="AC4364" s="1"/>
      <c r="AD4364" s="1"/>
      <c r="AE4364" s="1"/>
      <c r="AF4364" s="1"/>
      <c r="AG4364" s="1"/>
      <c r="AH4364" s="1"/>
      <c r="AI4364" s="1"/>
      <c r="AJ4364" s="1"/>
      <c r="AK4364" s="1"/>
      <c r="AL4364" s="1"/>
      <c r="AM4364" s="1"/>
    </row>
    <row r="4365" spans="16:39" x14ac:dyDescent="0.25">
      <c r="P4365" s="49"/>
      <c r="Q4365" s="1"/>
      <c r="S4365" s="1"/>
      <c r="T4365" s="1"/>
      <c r="U4365" s="1"/>
      <c r="V4365" s="1"/>
      <c r="W4365" s="1"/>
      <c r="X4365" s="1"/>
      <c r="Y4365" s="1"/>
      <c r="AB4365" s="1"/>
      <c r="AC4365" s="1"/>
      <c r="AD4365" s="1"/>
      <c r="AE4365" s="1"/>
      <c r="AF4365" s="1"/>
      <c r="AG4365" s="1"/>
      <c r="AH4365" s="1"/>
      <c r="AI4365" s="1"/>
      <c r="AJ4365" s="1"/>
      <c r="AK4365" s="1"/>
      <c r="AL4365" s="1"/>
      <c r="AM4365" s="1"/>
    </row>
    <row r="4366" spans="16:39" x14ac:dyDescent="0.25">
      <c r="P4366" s="49"/>
      <c r="Q4366" s="1"/>
      <c r="S4366" s="1"/>
      <c r="T4366" s="1"/>
      <c r="U4366" s="1"/>
      <c r="V4366" s="1"/>
      <c r="W4366" s="1"/>
      <c r="X4366" s="1"/>
      <c r="Y4366" s="1"/>
      <c r="AB4366" s="1"/>
      <c r="AC4366" s="1"/>
      <c r="AD4366" s="1"/>
      <c r="AE4366" s="1"/>
      <c r="AF4366" s="1"/>
      <c r="AG4366" s="1"/>
      <c r="AH4366" s="1"/>
      <c r="AI4366" s="1"/>
      <c r="AJ4366" s="1"/>
      <c r="AK4366" s="1"/>
      <c r="AL4366" s="1"/>
      <c r="AM4366" s="1"/>
    </row>
    <row r="4367" spans="16:39" x14ac:dyDescent="0.25">
      <c r="P4367" s="49"/>
      <c r="Q4367" s="1"/>
      <c r="S4367" s="1"/>
      <c r="T4367" s="1"/>
      <c r="U4367" s="1"/>
      <c r="V4367" s="1"/>
      <c r="W4367" s="1"/>
      <c r="X4367" s="1"/>
      <c r="Y4367" s="1"/>
      <c r="AB4367" s="1"/>
      <c r="AC4367" s="1"/>
      <c r="AD4367" s="1"/>
      <c r="AE4367" s="1"/>
      <c r="AF4367" s="1"/>
      <c r="AG4367" s="1"/>
      <c r="AH4367" s="1"/>
      <c r="AI4367" s="1"/>
      <c r="AJ4367" s="1"/>
      <c r="AK4367" s="1"/>
      <c r="AL4367" s="1"/>
      <c r="AM4367" s="1"/>
    </row>
    <row r="4368" spans="16:39" x14ac:dyDescent="0.25">
      <c r="P4368" s="49"/>
      <c r="Q4368" s="1"/>
      <c r="S4368" s="1"/>
      <c r="T4368" s="1"/>
      <c r="U4368" s="1"/>
      <c r="V4368" s="1"/>
      <c r="W4368" s="1"/>
      <c r="X4368" s="1"/>
      <c r="Y4368" s="1"/>
      <c r="AB4368" s="1"/>
      <c r="AC4368" s="1"/>
      <c r="AD4368" s="1"/>
      <c r="AE4368" s="1"/>
      <c r="AF4368" s="1"/>
      <c r="AG4368" s="1"/>
      <c r="AH4368" s="1"/>
      <c r="AI4368" s="1"/>
      <c r="AJ4368" s="1"/>
      <c r="AK4368" s="1"/>
      <c r="AL4368" s="1"/>
      <c r="AM4368" s="1"/>
    </row>
    <row r="4369" spans="16:39" x14ac:dyDescent="0.25">
      <c r="P4369" s="49"/>
      <c r="Q4369" s="1"/>
      <c r="S4369" s="1"/>
      <c r="T4369" s="1"/>
      <c r="U4369" s="1"/>
      <c r="V4369" s="1"/>
      <c r="W4369" s="1"/>
      <c r="X4369" s="1"/>
      <c r="Y4369" s="1"/>
      <c r="AB4369" s="1"/>
      <c r="AC4369" s="1"/>
      <c r="AD4369" s="1"/>
      <c r="AE4369" s="1"/>
      <c r="AF4369" s="1"/>
      <c r="AG4369" s="1"/>
      <c r="AH4369" s="1"/>
      <c r="AI4369" s="1"/>
      <c r="AJ4369" s="1"/>
      <c r="AK4369" s="1"/>
      <c r="AL4369" s="1"/>
      <c r="AM4369" s="1"/>
    </row>
    <row r="4370" spans="16:39" x14ac:dyDescent="0.25">
      <c r="P4370" s="49"/>
      <c r="Q4370" s="1"/>
      <c r="S4370" s="1"/>
      <c r="T4370" s="1"/>
      <c r="U4370" s="1"/>
      <c r="V4370" s="1"/>
      <c r="W4370" s="1"/>
      <c r="X4370" s="1"/>
      <c r="Y4370" s="1"/>
      <c r="AB4370" s="1"/>
      <c r="AC4370" s="1"/>
      <c r="AD4370" s="1"/>
      <c r="AE4370" s="1"/>
      <c r="AF4370" s="1"/>
      <c r="AG4370" s="1"/>
      <c r="AH4370" s="1"/>
      <c r="AI4370" s="1"/>
      <c r="AJ4370" s="1"/>
      <c r="AK4370" s="1"/>
      <c r="AL4370" s="1"/>
      <c r="AM4370" s="1"/>
    </row>
    <row r="4371" spans="16:39" x14ac:dyDescent="0.25">
      <c r="P4371" s="49"/>
      <c r="Q4371" s="1"/>
      <c r="S4371" s="1"/>
      <c r="T4371" s="1"/>
      <c r="U4371" s="1"/>
      <c r="V4371" s="1"/>
      <c r="W4371" s="1"/>
      <c r="X4371" s="1"/>
      <c r="Y4371" s="1"/>
      <c r="AB4371" s="1"/>
      <c r="AC4371" s="1"/>
      <c r="AD4371" s="1"/>
      <c r="AE4371" s="1"/>
      <c r="AF4371" s="1"/>
      <c r="AG4371" s="1"/>
      <c r="AH4371" s="1"/>
      <c r="AI4371" s="1"/>
      <c r="AJ4371" s="1"/>
      <c r="AK4371" s="1"/>
      <c r="AL4371" s="1"/>
      <c r="AM4371" s="1"/>
    </row>
    <row r="4372" spans="16:39" x14ac:dyDescent="0.25">
      <c r="P4372" s="49"/>
      <c r="Q4372" s="1"/>
      <c r="S4372" s="1"/>
      <c r="T4372" s="1"/>
      <c r="U4372" s="1"/>
      <c r="V4372" s="1"/>
      <c r="W4372" s="1"/>
      <c r="X4372" s="1"/>
      <c r="Y4372" s="1"/>
      <c r="AB4372" s="1"/>
      <c r="AC4372" s="1"/>
      <c r="AD4372" s="1"/>
      <c r="AE4372" s="1"/>
      <c r="AF4372" s="1"/>
      <c r="AG4372" s="1"/>
      <c r="AH4372" s="1"/>
      <c r="AI4372" s="1"/>
      <c r="AJ4372" s="1"/>
      <c r="AK4372" s="1"/>
      <c r="AL4372" s="1"/>
      <c r="AM4372" s="1"/>
    </row>
    <row r="4373" spans="16:39" x14ac:dyDescent="0.25">
      <c r="P4373" s="49"/>
      <c r="Q4373" s="1"/>
      <c r="S4373" s="1"/>
      <c r="T4373" s="1"/>
      <c r="U4373" s="1"/>
      <c r="V4373" s="1"/>
      <c r="W4373" s="1"/>
      <c r="X4373" s="1"/>
      <c r="Y4373" s="1"/>
      <c r="AB4373" s="1"/>
      <c r="AC4373" s="1"/>
      <c r="AD4373" s="1"/>
      <c r="AE4373" s="1"/>
      <c r="AF4373" s="1"/>
      <c r="AG4373" s="1"/>
      <c r="AH4373" s="1"/>
      <c r="AI4373" s="1"/>
      <c r="AJ4373" s="1"/>
      <c r="AK4373" s="1"/>
      <c r="AL4373" s="1"/>
      <c r="AM4373" s="1"/>
    </row>
    <row r="4374" spans="16:39" x14ac:dyDescent="0.25">
      <c r="P4374" s="49"/>
      <c r="Q4374" s="1"/>
      <c r="S4374" s="1"/>
      <c r="T4374" s="1"/>
      <c r="U4374" s="1"/>
      <c r="V4374" s="1"/>
      <c r="W4374" s="1"/>
      <c r="X4374" s="1"/>
      <c r="Y4374" s="1"/>
      <c r="AB4374" s="1"/>
      <c r="AC4374" s="1"/>
      <c r="AD4374" s="1"/>
      <c r="AE4374" s="1"/>
      <c r="AF4374" s="1"/>
      <c r="AG4374" s="1"/>
      <c r="AH4374" s="1"/>
      <c r="AI4374" s="1"/>
      <c r="AJ4374" s="1"/>
      <c r="AK4374" s="1"/>
      <c r="AL4374" s="1"/>
      <c r="AM4374" s="1"/>
    </row>
    <row r="4375" spans="16:39" x14ac:dyDescent="0.25">
      <c r="P4375" s="49"/>
      <c r="Q4375" s="1"/>
      <c r="S4375" s="1"/>
      <c r="T4375" s="1"/>
      <c r="U4375" s="1"/>
      <c r="V4375" s="1"/>
      <c r="W4375" s="1"/>
      <c r="X4375" s="1"/>
      <c r="Y4375" s="1"/>
      <c r="AB4375" s="1"/>
      <c r="AC4375" s="1"/>
      <c r="AD4375" s="1"/>
      <c r="AE4375" s="1"/>
      <c r="AF4375" s="1"/>
      <c r="AG4375" s="1"/>
      <c r="AH4375" s="1"/>
      <c r="AI4375" s="1"/>
      <c r="AJ4375" s="1"/>
      <c r="AK4375" s="1"/>
      <c r="AL4375" s="1"/>
      <c r="AM4375" s="1"/>
    </row>
    <row r="4376" spans="16:39" x14ac:dyDescent="0.25">
      <c r="P4376" s="49"/>
      <c r="Q4376" s="1"/>
      <c r="S4376" s="1"/>
      <c r="T4376" s="1"/>
      <c r="U4376" s="1"/>
      <c r="V4376" s="1"/>
      <c r="W4376" s="1"/>
      <c r="X4376" s="1"/>
      <c r="Y4376" s="1"/>
      <c r="AB4376" s="1"/>
      <c r="AC4376" s="1"/>
      <c r="AD4376" s="1"/>
      <c r="AE4376" s="1"/>
      <c r="AF4376" s="1"/>
      <c r="AG4376" s="1"/>
      <c r="AH4376" s="1"/>
      <c r="AI4376" s="1"/>
      <c r="AJ4376" s="1"/>
      <c r="AK4376" s="1"/>
      <c r="AL4376" s="1"/>
      <c r="AM4376" s="1"/>
    </row>
    <row r="4377" spans="16:39" x14ac:dyDescent="0.25">
      <c r="P4377" s="49"/>
      <c r="Q4377" s="1"/>
      <c r="S4377" s="1"/>
      <c r="T4377" s="1"/>
      <c r="U4377" s="1"/>
      <c r="V4377" s="1"/>
      <c r="W4377" s="1"/>
      <c r="X4377" s="1"/>
      <c r="Y4377" s="1"/>
      <c r="AB4377" s="1"/>
      <c r="AC4377" s="1"/>
      <c r="AD4377" s="1"/>
      <c r="AE4377" s="1"/>
      <c r="AF4377" s="1"/>
      <c r="AG4377" s="1"/>
      <c r="AH4377" s="1"/>
      <c r="AI4377" s="1"/>
      <c r="AJ4377" s="1"/>
      <c r="AK4377" s="1"/>
      <c r="AL4377" s="1"/>
      <c r="AM4377" s="1"/>
    </row>
    <row r="4378" spans="16:39" x14ac:dyDescent="0.25">
      <c r="P4378" s="49"/>
      <c r="Q4378" s="1"/>
      <c r="S4378" s="1"/>
      <c r="T4378" s="1"/>
      <c r="U4378" s="1"/>
      <c r="V4378" s="1"/>
      <c r="W4378" s="1"/>
      <c r="X4378" s="1"/>
      <c r="Y4378" s="1"/>
      <c r="AB4378" s="1"/>
      <c r="AC4378" s="1"/>
      <c r="AD4378" s="1"/>
      <c r="AE4378" s="1"/>
      <c r="AF4378" s="1"/>
      <c r="AG4378" s="1"/>
      <c r="AH4378" s="1"/>
      <c r="AI4378" s="1"/>
      <c r="AJ4378" s="1"/>
      <c r="AK4378" s="1"/>
      <c r="AL4378" s="1"/>
      <c r="AM4378" s="1"/>
    </row>
    <row r="4379" spans="16:39" x14ac:dyDescent="0.25">
      <c r="P4379" s="49"/>
      <c r="Q4379" s="1"/>
      <c r="S4379" s="1"/>
      <c r="T4379" s="1"/>
      <c r="U4379" s="1"/>
      <c r="V4379" s="1"/>
      <c r="W4379" s="1"/>
      <c r="X4379" s="1"/>
      <c r="Y4379" s="1"/>
      <c r="AB4379" s="1"/>
      <c r="AC4379" s="1"/>
      <c r="AD4379" s="1"/>
      <c r="AE4379" s="1"/>
      <c r="AF4379" s="1"/>
      <c r="AG4379" s="1"/>
      <c r="AH4379" s="1"/>
      <c r="AI4379" s="1"/>
      <c r="AJ4379" s="1"/>
      <c r="AK4379" s="1"/>
      <c r="AL4379" s="1"/>
      <c r="AM4379" s="1"/>
    </row>
    <row r="4380" spans="16:39" x14ac:dyDescent="0.25">
      <c r="P4380" s="49"/>
      <c r="Q4380" s="1"/>
      <c r="S4380" s="1"/>
      <c r="T4380" s="1"/>
      <c r="U4380" s="1"/>
      <c r="V4380" s="1"/>
      <c r="W4380" s="1"/>
      <c r="X4380" s="1"/>
      <c r="Y4380" s="1"/>
      <c r="AB4380" s="1"/>
      <c r="AC4380" s="1"/>
      <c r="AD4380" s="1"/>
      <c r="AE4380" s="1"/>
      <c r="AF4380" s="1"/>
      <c r="AG4380" s="1"/>
      <c r="AH4380" s="1"/>
      <c r="AI4380" s="1"/>
      <c r="AJ4380" s="1"/>
      <c r="AK4380" s="1"/>
      <c r="AL4380" s="1"/>
      <c r="AM4380" s="1"/>
    </row>
    <row r="4381" spans="16:39" x14ac:dyDescent="0.25">
      <c r="P4381" s="49"/>
      <c r="Q4381" s="1"/>
      <c r="S4381" s="1"/>
      <c r="T4381" s="1"/>
      <c r="U4381" s="1"/>
      <c r="V4381" s="1"/>
      <c r="W4381" s="1"/>
      <c r="X4381" s="1"/>
      <c r="Y4381" s="1"/>
      <c r="AB4381" s="1"/>
      <c r="AC4381" s="1"/>
      <c r="AD4381" s="1"/>
      <c r="AE4381" s="1"/>
      <c r="AF4381" s="1"/>
      <c r="AG4381" s="1"/>
      <c r="AH4381" s="1"/>
      <c r="AI4381" s="1"/>
      <c r="AJ4381" s="1"/>
      <c r="AK4381" s="1"/>
      <c r="AL4381" s="1"/>
      <c r="AM4381" s="1"/>
    </row>
    <row r="4382" spans="16:39" x14ac:dyDescent="0.25">
      <c r="P4382" s="49"/>
      <c r="Q4382" s="1"/>
      <c r="S4382" s="1"/>
      <c r="T4382" s="1"/>
      <c r="U4382" s="1"/>
      <c r="V4382" s="1"/>
      <c r="W4382" s="1"/>
      <c r="X4382" s="1"/>
      <c r="Y4382" s="1"/>
      <c r="AB4382" s="1"/>
      <c r="AC4382" s="1"/>
      <c r="AD4382" s="1"/>
      <c r="AE4382" s="1"/>
      <c r="AF4382" s="1"/>
      <c r="AG4382" s="1"/>
      <c r="AH4382" s="1"/>
      <c r="AI4382" s="1"/>
      <c r="AJ4382" s="1"/>
      <c r="AK4382" s="1"/>
      <c r="AL4382" s="1"/>
      <c r="AM4382" s="1"/>
    </row>
    <row r="4383" spans="16:39" x14ac:dyDescent="0.25">
      <c r="P4383" s="49"/>
      <c r="Q4383" s="1"/>
      <c r="S4383" s="1"/>
      <c r="T4383" s="1"/>
      <c r="U4383" s="1"/>
      <c r="V4383" s="1"/>
      <c r="W4383" s="1"/>
      <c r="X4383" s="1"/>
      <c r="Y4383" s="1"/>
      <c r="AB4383" s="1"/>
      <c r="AC4383" s="1"/>
      <c r="AD4383" s="1"/>
      <c r="AE4383" s="1"/>
      <c r="AF4383" s="1"/>
      <c r="AG4383" s="1"/>
      <c r="AH4383" s="1"/>
      <c r="AI4383" s="1"/>
      <c r="AJ4383" s="1"/>
      <c r="AK4383" s="1"/>
      <c r="AL4383" s="1"/>
      <c r="AM4383" s="1"/>
    </row>
    <row r="4384" spans="16:39" x14ac:dyDescent="0.25">
      <c r="P4384" s="49"/>
      <c r="Q4384" s="1"/>
      <c r="S4384" s="1"/>
      <c r="T4384" s="1"/>
      <c r="U4384" s="1"/>
      <c r="V4384" s="1"/>
      <c r="W4384" s="1"/>
      <c r="X4384" s="1"/>
      <c r="Y4384" s="1"/>
      <c r="AB4384" s="1"/>
      <c r="AC4384" s="1"/>
      <c r="AD4384" s="1"/>
      <c r="AE4384" s="1"/>
      <c r="AF4384" s="1"/>
      <c r="AG4384" s="1"/>
      <c r="AH4384" s="1"/>
      <c r="AI4384" s="1"/>
      <c r="AJ4384" s="1"/>
      <c r="AK4384" s="1"/>
      <c r="AL4384" s="1"/>
      <c r="AM4384" s="1"/>
    </row>
    <row r="4385" spans="16:39" x14ac:dyDescent="0.25">
      <c r="P4385" s="49"/>
      <c r="Q4385" s="1"/>
      <c r="S4385" s="1"/>
      <c r="T4385" s="1"/>
      <c r="U4385" s="1"/>
      <c r="V4385" s="1"/>
      <c r="W4385" s="1"/>
      <c r="X4385" s="1"/>
      <c r="Y4385" s="1"/>
      <c r="AB4385" s="1"/>
      <c r="AC4385" s="1"/>
      <c r="AD4385" s="1"/>
      <c r="AE4385" s="1"/>
      <c r="AF4385" s="1"/>
      <c r="AG4385" s="1"/>
      <c r="AH4385" s="1"/>
      <c r="AI4385" s="1"/>
      <c r="AJ4385" s="1"/>
      <c r="AK4385" s="1"/>
      <c r="AL4385" s="1"/>
      <c r="AM4385" s="1"/>
    </row>
    <row r="4386" spans="16:39" x14ac:dyDescent="0.25">
      <c r="P4386" s="49"/>
      <c r="Q4386" s="1"/>
      <c r="S4386" s="1"/>
      <c r="T4386" s="1"/>
      <c r="U4386" s="1"/>
      <c r="V4386" s="1"/>
      <c r="W4386" s="1"/>
      <c r="X4386" s="1"/>
      <c r="Y4386" s="1"/>
      <c r="AB4386" s="1"/>
      <c r="AC4386" s="1"/>
      <c r="AD4386" s="1"/>
      <c r="AE4386" s="1"/>
      <c r="AF4386" s="1"/>
      <c r="AG4386" s="1"/>
      <c r="AH4386" s="1"/>
      <c r="AI4386" s="1"/>
      <c r="AJ4386" s="1"/>
      <c r="AK4386" s="1"/>
      <c r="AL4386" s="1"/>
      <c r="AM4386" s="1"/>
    </row>
    <row r="4387" spans="16:39" x14ac:dyDescent="0.25">
      <c r="P4387" s="49"/>
      <c r="Q4387" s="1"/>
      <c r="S4387" s="1"/>
      <c r="T4387" s="1"/>
      <c r="U4387" s="1"/>
      <c r="V4387" s="1"/>
      <c r="W4387" s="1"/>
      <c r="X4387" s="1"/>
      <c r="Y4387" s="1"/>
      <c r="AB4387" s="1"/>
      <c r="AC4387" s="1"/>
      <c r="AD4387" s="1"/>
      <c r="AE4387" s="1"/>
      <c r="AF4387" s="1"/>
      <c r="AG4387" s="1"/>
      <c r="AH4387" s="1"/>
      <c r="AI4387" s="1"/>
      <c r="AJ4387" s="1"/>
      <c r="AK4387" s="1"/>
      <c r="AL4387" s="1"/>
      <c r="AM4387" s="1"/>
    </row>
    <row r="4388" spans="16:39" x14ac:dyDescent="0.25">
      <c r="P4388" s="49"/>
      <c r="Q4388" s="1"/>
      <c r="S4388" s="1"/>
      <c r="T4388" s="1"/>
      <c r="U4388" s="1"/>
      <c r="V4388" s="1"/>
      <c r="W4388" s="1"/>
      <c r="X4388" s="1"/>
      <c r="Y4388" s="1"/>
      <c r="AB4388" s="1"/>
      <c r="AC4388" s="1"/>
      <c r="AD4388" s="1"/>
      <c r="AE4388" s="1"/>
      <c r="AF4388" s="1"/>
      <c r="AG4388" s="1"/>
      <c r="AH4388" s="1"/>
      <c r="AI4388" s="1"/>
      <c r="AJ4388" s="1"/>
      <c r="AK4388" s="1"/>
      <c r="AL4388" s="1"/>
      <c r="AM4388" s="1"/>
    </row>
    <row r="4389" spans="16:39" x14ac:dyDescent="0.25">
      <c r="P4389" s="49"/>
      <c r="Q4389" s="1"/>
      <c r="S4389" s="1"/>
      <c r="T4389" s="1"/>
      <c r="U4389" s="1"/>
      <c r="V4389" s="1"/>
      <c r="W4389" s="1"/>
      <c r="X4389" s="1"/>
      <c r="Y4389" s="1"/>
      <c r="AB4389" s="1"/>
      <c r="AC4389" s="1"/>
      <c r="AD4389" s="1"/>
      <c r="AE4389" s="1"/>
      <c r="AF4389" s="1"/>
      <c r="AG4389" s="1"/>
      <c r="AH4389" s="1"/>
      <c r="AI4389" s="1"/>
      <c r="AJ4389" s="1"/>
      <c r="AK4389" s="1"/>
      <c r="AL4389" s="1"/>
      <c r="AM4389" s="1"/>
    </row>
    <row r="4390" spans="16:39" x14ac:dyDescent="0.25">
      <c r="P4390" s="49"/>
      <c r="Q4390" s="1"/>
      <c r="S4390" s="1"/>
      <c r="T4390" s="1"/>
      <c r="U4390" s="1"/>
      <c r="V4390" s="1"/>
      <c r="W4390" s="1"/>
      <c r="X4390" s="1"/>
      <c r="Y4390" s="1"/>
      <c r="AB4390" s="1"/>
      <c r="AC4390" s="1"/>
      <c r="AD4390" s="1"/>
      <c r="AE4390" s="1"/>
      <c r="AF4390" s="1"/>
      <c r="AG4390" s="1"/>
      <c r="AH4390" s="1"/>
      <c r="AI4390" s="1"/>
      <c r="AJ4390" s="1"/>
      <c r="AK4390" s="1"/>
      <c r="AL4390" s="1"/>
      <c r="AM4390" s="1"/>
    </row>
    <row r="4391" spans="16:39" x14ac:dyDescent="0.25">
      <c r="P4391" s="49"/>
      <c r="Q4391" s="1"/>
      <c r="S4391" s="1"/>
      <c r="T4391" s="1"/>
      <c r="U4391" s="1"/>
      <c r="V4391" s="1"/>
      <c r="W4391" s="1"/>
      <c r="X4391" s="1"/>
      <c r="Y4391" s="1"/>
      <c r="AB4391" s="1"/>
      <c r="AC4391" s="1"/>
      <c r="AD4391" s="1"/>
      <c r="AE4391" s="1"/>
      <c r="AF4391" s="1"/>
      <c r="AG4391" s="1"/>
      <c r="AH4391" s="1"/>
      <c r="AI4391" s="1"/>
      <c r="AJ4391" s="1"/>
      <c r="AK4391" s="1"/>
      <c r="AL4391" s="1"/>
      <c r="AM4391" s="1"/>
    </row>
    <row r="4392" spans="16:39" x14ac:dyDescent="0.25">
      <c r="P4392" s="49"/>
      <c r="Q4392" s="1"/>
      <c r="S4392" s="1"/>
      <c r="T4392" s="1"/>
      <c r="U4392" s="1"/>
      <c r="V4392" s="1"/>
      <c r="W4392" s="1"/>
      <c r="X4392" s="1"/>
      <c r="Y4392" s="1"/>
      <c r="AB4392" s="1"/>
      <c r="AC4392" s="1"/>
      <c r="AD4392" s="1"/>
      <c r="AE4392" s="1"/>
      <c r="AF4392" s="1"/>
      <c r="AG4392" s="1"/>
      <c r="AH4392" s="1"/>
      <c r="AI4392" s="1"/>
      <c r="AJ4392" s="1"/>
      <c r="AK4392" s="1"/>
      <c r="AL4392" s="1"/>
      <c r="AM4392" s="1"/>
    </row>
    <row r="4393" spans="16:39" x14ac:dyDescent="0.25">
      <c r="P4393" s="49"/>
      <c r="Q4393" s="1"/>
      <c r="S4393" s="1"/>
      <c r="T4393" s="1"/>
      <c r="U4393" s="1"/>
      <c r="V4393" s="1"/>
      <c r="W4393" s="1"/>
      <c r="X4393" s="1"/>
      <c r="Y4393" s="1"/>
      <c r="AB4393" s="1"/>
      <c r="AC4393" s="1"/>
      <c r="AD4393" s="1"/>
      <c r="AE4393" s="1"/>
      <c r="AF4393" s="1"/>
      <c r="AG4393" s="1"/>
      <c r="AH4393" s="1"/>
      <c r="AI4393" s="1"/>
      <c r="AJ4393" s="1"/>
      <c r="AK4393" s="1"/>
      <c r="AL4393" s="1"/>
      <c r="AM4393" s="1"/>
    </row>
    <row r="4394" spans="16:39" x14ac:dyDescent="0.25">
      <c r="P4394" s="49"/>
      <c r="Q4394" s="1"/>
      <c r="S4394" s="1"/>
      <c r="T4394" s="1"/>
      <c r="U4394" s="1"/>
      <c r="V4394" s="1"/>
      <c r="W4394" s="1"/>
      <c r="X4394" s="1"/>
      <c r="Y4394" s="1"/>
      <c r="AB4394" s="1"/>
      <c r="AC4394" s="1"/>
      <c r="AD4394" s="1"/>
      <c r="AE4394" s="1"/>
      <c r="AF4394" s="1"/>
      <c r="AG4394" s="1"/>
      <c r="AH4394" s="1"/>
      <c r="AI4394" s="1"/>
      <c r="AJ4394" s="1"/>
      <c r="AK4394" s="1"/>
      <c r="AL4394" s="1"/>
      <c r="AM4394" s="1"/>
    </row>
    <row r="4395" spans="16:39" x14ac:dyDescent="0.25">
      <c r="P4395" s="49"/>
      <c r="Q4395" s="1"/>
      <c r="S4395" s="1"/>
      <c r="T4395" s="1"/>
      <c r="U4395" s="1"/>
      <c r="V4395" s="1"/>
      <c r="W4395" s="1"/>
      <c r="X4395" s="1"/>
      <c r="Y4395" s="1"/>
      <c r="AB4395" s="1"/>
      <c r="AC4395" s="1"/>
      <c r="AD4395" s="1"/>
      <c r="AE4395" s="1"/>
      <c r="AF4395" s="1"/>
      <c r="AG4395" s="1"/>
      <c r="AH4395" s="1"/>
      <c r="AI4395" s="1"/>
      <c r="AJ4395" s="1"/>
      <c r="AK4395" s="1"/>
      <c r="AL4395" s="1"/>
      <c r="AM4395" s="1"/>
    </row>
    <row r="4396" spans="16:39" x14ac:dyDescent="0.25">
      <c r="P4396" s="49"/>
      <c r="Q4396" s="1"/>
      <c r="S4396" s="1"/>
      <c r="T4396" s="1"/>
      <c r="U4396" s="1"/>
      <c r="V4396" s="1"/>
      <c r="W4396" s="1"/>
      <c r="X4396" s="1"/>
      <c r="Y4396" s="1"/>
      <c r="AB4396" s="1"/>
      <c r="AC4396" s="1"/>
      <c r="AD4396" s="1"/>
      <c r="AE4396" s="1"/>
      <c r="AF4396" s="1"/>
      <c r="AG4396" s="1"/>
      <c r="AH4396" s="1"/>
      <c r="AI4396" s="1"/>
      <c r="AJ4396" s="1"/>
      <c r="AK4396" s="1"/>
      <c r="AL4396" s="1"/>
      <c r="AM4396" s="1"/>
    </row>
    <row r="4397" spans="16:39" x14ac:dyDescent="0.25">
      <c r="P4397" s="49"/>
      <c r="Q4397" s="1"/>
      <c r="S4397" s="1"/>
      <c r="T4397" s="1"/>
      <c r="U4397" s="1"/>
      <c r="V4397" s="1"/>
      <c r="W4397" s="1"/>
      <c r="X4397" s="1"/>
      <c r="Y4397" s="1"/>
      <c r="AB4397" s="1"/>
      <c r="AC4397" s="1"/>
      <c r="AD4397" s="1"/>
      <c r="AE4397" s="1"/>
      <c r="AF4397" s="1"/>
      <c r="AG4397" s="1"/>
      <c r="AH4397" s="1"/>
      <c r="AI4397" s="1"/>
      <c r="AJ4397" s="1"/>
      <c r="AK4397" s="1"/>
      <c r="AL4397" s="1"/>
      <c r="AM4397" s="1"/>
    </row>
    <row r="4398" spans="16:39" x14ac:dyDescent="0.25">
      <c r="P4398" s="49"/>
      <c r="Q4398" s="1"/>
      <c r="S4398" s="1"/>
      <c r="T4398" s="1"/>
      <c r="U4398" s="1"/>
      <c r="V4398" s="1"/>
      <c r="W4398" s="1"/>
      <c r="X4398" s="1"/>
      <c r="Y4398" s="1"/>
      <c r="AB4398" s="1"/>
      <c r="AC4398" s="1"/>
      <c r="AD4398" s="1"/>
      <c r="AE4398" s="1"/>
      <c r="AF4398" s="1"/>
      <c r="AG4398" s="1"/>
      <c r="AH4398" s="1"/>
      <c r="AI4398" s="1"/>
      <c r="AJ4398" s="1"/>
      <c r="AK4398" s="1"/>
      <c r="AL4398" s="1"/>
      <c r="AM4398" s="1"/>
    </row>
    <row r="4399" spans="16:39" x14ac:dyDescent="0.25">
      <c r="P4399" s="49"/>
      <c r="Q4399" s="1"/>
      <c r="S4399" s="1"/>
      <c r="T4399" s="1"/>
      <c r="U4399" s="1"/>
      <c r="V4399" s="1"/>
      <c r="W4399" s="1"/>
      <c r="X4399" s="1"/>
      <c r="Y4399" s="1"/>
      <c r="AB4399" s="1"/>
      <c r="AC4399" s="1"/>
      <c r="AD4399" s="1"/>
      <c r="AE4399" s="1"/>
      <c r="AF4399" s="1"/>
      <c r="AG4399" s="1"/>
      <c r="AH4399" s="1"/>
      <c r="AI4399" s="1"/>
      <c r="AJ4399" s="1"/>
      <c r="AK4399" s="1"/>
      <c r="AL4399" s="1"/>
      <c r="AM4399" s="1"/>
    </row>
    <row r="4400" spans="16:39" x14ac:dyDescent="0.25">
      <c r="P4400" s="49"/>
      <c r="Q4400" s="1"/>
      <c r="S4400" s="1"/>
      <c r="T4400" s="1"/>
      <c r="U4400" s="1"/>
      <c r="V4400" s="1"/>
      <c r="W4400" s="1"/>
      <c r="X4400" s="1"/>
      <c r="Y4400" s="1"/>
      <c r="AB4400" s="1"/>
      <c r="AC4400" s="1"/>
      <c r="AD4400" s="1"/>
      <c r="AE4400" s="1"/>
      <c r="AF4400" s="1"/>
      <c r="AG4400" s="1"/>
      <c r="AH4400" s="1"/>
      <c r="AI4400" s="1"/>
      <c r="AJ4400" s="1"/>
      <c r="AK4400" s="1"/>
      <c r="AL4400" s="1"/>
      <c r="AM4400" s="1"/>
    </row>
    <row r="4401" spans="16:39" x14ac:dyDescent="0.25">
      <c r="P4401" s="49"/>
      <c r="Q4401" s="1"/>
      <c r="S4401" s="1"/>
      <c r="T4401" s="1"/>
      <c r="U4401" s="1"/>
      <c r="V4401" s="1"/>
      <c r="W4401" s="1"/>
      <c r="X4401" s="1"/>
      <c r="Y4401" s="1"/>
      <c r="AB4401" s="1"/>
      <c r="AC4401" s="1"/>
      <c r="AD4401" s="1"/>
      <c r="AE4401" s="1"/>
      <c r="AF4401" s="1"/>
      <c r="AG4401" s="1"/>
      <c r="AH4401" s="1"/>
      <c r="AI4401" s="1"/>
      <c r="AJ4401" s="1"/>
      <c r="AK4401" s="1"/>
      <c r="AL4401" s="1"/>
      <c r="AM4401" s="1"/>
    </row>
    <row r="4402" spans="16:39" x14ac:dyDescent="0.25">
      <c r="P4402" s="49"/>
      <c r="Q4402" s="1"/>
      <c r="S4402" s="1"/>
      <c r="T4402" s="1"/>
      <c r="U4402" s="1"/>
      <c r="V4402" s="1"/>
      <c r="W4402" s="1"/>
      <c r="X4402" s="1"/>
      <c r="Y4402" s="1"/>
      <c r="AB4402" s="1"/>
      <c r="AC4402" s="1"/>
      <c r="AD4402" s="1"/>
      <c r="AE4402" s="1"/>
      <c r="AF4402" s="1"/>
      <c r="AG4402" s="1"/>
      <c r="AH4402" s="1"/>
      <c r="AI4402" s="1"/>
      <c r="AJ4402" s="1"/>
      <c r="AK4402" s="1"/>
      <c r="AL4402" s="1"/>
      <c r="AM4402" s="1"/>
    </row>
    <row r="4403" spans="16:39" x14ac:dyDescent="0.25">
      <c r="P4403" s="49"/>
      <c r="Q4403" s="1"/>
      <c r="S4403" s="1"/>
      <c r="T4403" s="1"/>
      <c r="U4403" s="1"/>
      <c r="V4403" s="1"/>
      <c r="W4403" s="1"/>
      <c r="X4403" s="1"/>
      <c r="Y4403" s="1"/>
      <c r="AB4403" s="1"/>
      <c r="AC4403" s="1"/>
      <c r="AD4403" s="1"/>
      <c r="AE4403" s="1"/>
      <c r="AF4403" s="1"/>
      <c r="AG4403" s="1"/>
      <c r="AH4403" s="1"/>
      <c r="AI4403" s="1"/>
      <c r="AJ4403" s="1"/>
      <c r="AK4403" s="1"/>
      <c r="AL4403" s="1"/>
      <c r="AM4403" s="1"/>
    </row>
    <row r="4404" spans="16:39" x14ac:dyDescent="0.25">
      <c r="P4404" s="49"/>
      <c r="Q4404" s="1"/>
      <c r="S4404" s="1"/>
      <c r="T4404" s="1"/>
      <c r="U4404" s="1"/>
      <c r="V4404" s="1"/>
      <c r="W4404" s="1"/>
      <c r="X4404" s="1"/>
      <c r="Y4404" s="1"/>
      <c r="AB4404" s="1"/>
      <c r="AC4404" s="1"/>
      <c r="AD4404" s="1"/>
      <c r="AE4404" s="1"/>
      <c r="AF4404" s="1"/>
      <c r="AG4404" s="1"/>
      <c r="AH4404" s="1"/>
      <c r="AI4404" s="1"/>
      <c r="AJ4404" s="1"/>
      <c r="AK4404" s="1"/>
      <c r="AL4404" s="1"/>
      <c r="AM4404" s="1"/>
    </row>
    <row r="4405" spans="16:39" x14ac:dyDescent="0.25">
      <c r="P4405" s="49"/>
      <c r="Q4405" s="1"/>
      <c r="S4405" s="1"/>
      <c r="T4405" s="1"/>
      <c r="U4405" s="1"/>
      <c r="V4405" s="1"/>
      <c r="W4405" s="1"/>
      <c r="X4405" s="1"/>
      <c r="Y4405" s="1"/>
      <c r="AB4405" s="1"/>
      <c r="AC4405" s="1"/>
      <c r="AD4405" s="1"/>
      <c r="AE4405" s="1"/>
      <c r="AF4405" s="1"/>
      <c r="AG4405" s="1"/>
      <c r="AH4405" s="1"/>
      <c r="AI4405" s="1"/>
      <c r="AJ4405" s="1"/>
      <c r="AK4405" s="1"/>
      <c r="AL4405" s="1"/>
      <c r="AM4405" s="1"/>
    </row>
    <row r="4406" spans="16:39" x14ac:dyDescent="0.25">
      <c r="P4406" s="49"/>
      <c r="Q4406" s="1"/>
      <c r="S4406" s="1"/>
      <c r="T4406" s="1"/>
      <c r="U4406" s="1"/>
      <c r="V4406" s="1"/>
      <c r="W4406" s="1"/>
      <c r="X4406" s="1"/>
      <c r="Y4406" s="1"/>
      <c r="AB4406" s="1"/>
      <c r="AC4406" s="1"/>
      <c r="AD4406" s="1"/>
      <c r="AE4406" s="1"/>
      <c r="AF4406" s="1"/>
      <c r="AG4406" s="1"/>
      <c r="AH4406" s="1"/>
      <c r="AI4406" s="1"/>
      <c r="AJ4406" s="1"/>
      <c r="AK4406" s="1"/>
      <c r="AL4406" s="1"/>
      <c r="AM4406" s="1"/>
    </row>
    <row r="4407" spans="16:39" x14ac:dyDescent="0.25">
      <c r="P4407" s="49"/>
      <c r="Q4407" s="1"/>
      <c r="S4407" s="1"/>
      <c r="T4407" s="1"/>
      <c r="U4407" s="1"/>
      <c r="V4407" s="1"/>
      <c r="W4407" s="1"/>
      <c r="X4407" s="1"/>
      <c r="Y4407" s="1"/>
      <c r="AB4407" s="1"/>
      <c r="AC4407" s="1"/>
      <c r="AD4407" s="1"/>
      <c r="AE4407" s="1"/>
      <c r="AF4407" s="1"/>
      <c r="AG4407" s="1"/>
      <c r="AH4407" s="1"/>
      <c r="AI4407" s="1"/>
      <c r="AJ4407" s="1"/>
      <c r="AK4407" s="1"/>
      <c r="AL4407" s="1"/>
      <c r="AM4407" s="1"/>
    </row>
    <row r="4408" spans="16:39" x14ac:dyDescent="0.25">
      <c r="P4408" s="49"/>
      <c r="Q4408" s="1"/>
      <c r="S4408" s="1"/>
      <c r="T4408" s="1"/>
      <c r="U4408" s="1"/>
      <c r="V4408" s="1"/>
      <c r="W4408" s="1"/>
      <c r="X4408" s="1"/>
      <c r="Y4408" s="1"/>
      <c r="AB4408" s="1"/>
      <c r="AC4408" s="1"/>
      <c r="AD4408" s="1"/>
      <c r="AE4408" s="1"/>
      <c r="AF4408" s="1"/>
      <c r="AG4408" s="1"/>
      <c r="AH4408" s="1"/>
      <c r="AI4408" s="1"/>
      <c r="AJ4408" s="1"/>
      <c r="AK4408" s="1"/>
      <c r="AL4408" s="1"/>
      <c r="AM4408" s="1"/>
    </row>
    <row r="4409" spans="16:39" x14ac:dyDescent="0.25">
      <c r="P4409" s="49"/>
      <c r="Q4409" s="1"/>
      <c r="S4409" s="1"/>
      <c r="T4409" s="1"/>
      <c r="U4409" s="1"/>
      <c r="V4409" s="1"/>
      <c r="W4409" s="1"/>
      <c r="X4409" s="1"/>
      <c r="Y4409" s="1"/>
      <c r="AB4409" s="1"/>
      <c r="AC4409" s="1"/>
      <c r="AD4409" s="1"/>
      <c r="AE4409" s="1"/>
      <c r="AF4409" s="1"/>
      <c r="AG4409" s="1"/>
      <c r="AH4409" s="1"/>
      <c r="AI4409" s="1"/>
      <c r="AJ4409" s="1"/>
      <c r="AK4409" s="1"/>
      <c r="AL4409" s="1"/>
      <c r="AM4409" s="1"/>
    </row>
    <row r="4410" spans="16:39" x14ac:dyDescent="0.25">
      <c r="P4410" s="49"/>
      <c r="Q4410" s="1"/>
      <c r="S4410" s="1"/>
      <c r="T4410" s="1"/>
      <c r="U4410" s="1"/>
      <c r="V4410" s="1"/>
      <c r="W4410" s="1"/>
      <c r="X4410" s="1"/>
      <c r="Y4410" s="1"/>
      <c r="AB4410" s="1"/>
      <c r="AC4410" s="1"/>
      <c r="AD4410" s="1"/>
      <c r="AE4410" s="1"/>
      <c r="AF4410" s="1"/>
      <c r="AG4410" s="1"/>
      <c r="AH4410" s="1"/>
      <c r="AI4410" s="1"/>
      <c r="AJ4410" s="1"/>
      <c r="AK4410" s="1"/>
      <c r="AL4410" s="1"/>
      <c r="AM4410" s="1"/>
    </row>
    <row r="4411" spans="16:39" x14ac:dyDescent="0.25">
      <c r="P4411" s="49"/>
      <c r="Q4411" s="1"/>
      <c r="S4411" s="1"/>
      <c r="T4411" s="1"/>
      <c r="U4411" s="1"/>
      <c r="V4411" s="1"/>
      <c r="W4411" s="1"/>
      <c r="X4411" s="1"/>
      <c r="Y4411" s="1"/>
      <c r="AB4411" s="1"/>
      <c r="AC4411" s="1"/>
      <c r="AD4411" s="1"/>
      <c r="AE4411" s="1"/>
      <c r="AF4411" s="1"/>
      <c r="AG4411" s="1"/>
      <c r="AH4411" s="1"/>
      <c r="AI4411" s="1"/>
      <c r="AJ4411" s="1"/>
      <c r="AK4411" s="1"/>
      <c r="AL4411" s="1"/>
      <c r="AM4411" s="1"/>
    </row>
    <row r="4412" spans="16:39" x14ac:dyDescent="0.25">
      <c r="P4412" s="49"/>
      <c r="Q4412" s="1"/>
      <c r="S4412" s="1"/>
      <c r="T4412" s="1"/>
      <c r="U4412" s="1"/>
      <c r="V4412" s="1"/>
      <c r="W4412" s="1"/>
      <c r="X4412" s="1"/>
      <c r="Y4412" s="1"/>
      <c r="AB4412" s="1"/>
      <c r="AC4412" s="1"/>
      <c r="AD4412" s="1"/>
      <c r="AE4412" s="1"/>
      <c r="AF4412" s="1"/>
      <c r="AG4412" s="1"/>
      <c r="AH4412" s="1"/>
      <c r="AI4412" s="1"/>
      <c r="AJ4412" s="1"/>
      <c r="AK4412" s="1"/>
      <c r="AL4412" s="1"/>
      <c r="AM4412" s="1"/>
    </row>
    <row r="4413" spans="16:39" x14ac:dyDescent="0.25">
      <c r="P4413" s="49"/>
      <c r="Q4413" s="1"/>
      <c r="S4413" s="1"/>
      <c r="T4413" s="1"/>
      <c r="U4413" s="1"/>
      <c r="V4413" s="1"/>
      <c r="W4413" s="1"/>
      <c r="X4413" s="1"/>
      <c r="Y4413" s="1"/>
      <c r="AB4413" s="1"/>
      <c r="AC4413" s="1"/>
      <c r="AD4413" s="1"/>
      <c r="AE4413" s="1"/>
      <c r="AF4413" s="1"/>
      <c r="AG4413" s="1"/>
      <c r="AH4413" s="1"/>
      <c r="AI4413" s="1"/>
      <c r="AJ4413" s="1"/>
      <c r="AK4413" s="1"/>
      <c r="AL4413" s="1"/>
      <c r="AM4413" s="1"/>
    </row>
    <row r="4414" spans="16:39" x14ac:dyDescent="0.25">
      <c r="P4414" s="49"/>
      <c r="Q4414" s="1"/>
      <c r="S4414" s="1"/>
      <c r="T4414" s="1"/>
      <c r="U4414" s="1"/>
      <c r="V4414" s="1"/>
      <c r="W4414" s="1"/>
      <c r="X4414" s="1"/>
      <c r="Y4414" s="1"/>
      <c r="AB4414" s="1"/>
      <c r="AC4414" s="1"/>
      <c r="AD4414" s="1"/>
      <c r="AE4414" s="1"/>
      <c r="AF4414" s="1"/>
      <c r="AG4414" s="1"/>
      <c r="AH4414" s="1"/>
      <c r="AI4414" s="1"/>
      <c r="AJ4414" s="1"/>
      <c r="AK4414" s="1"/>
      <c r="AL4414" s="1"/>
      <c r="AM4414" s="1"/>
    </row>
    <row r="4415" spans="16:39" x14ac:dyDescent="0.25">
      <c r="P4415" s="49"/>
      <c r="Q4415" s="1"/>
      <c r="S4415" s="1"/>
      <c r="T4415" s="1"/>
      <c r="U4415" s="1"/>
      <c r="V4415" s="1"/>
      <c r="W4415" s="1"/>
      <c r="X4415" s="1"/>
      <c r="Y4415" s="1"/>
      <c r="AB4415" s="1"/>
      <c r="AC4415" s="1"/>
      <c r="AD4415" s="1"/>
      <c r="AE4415" s="1"/>
      <c r="AF4415" s="1"/>
      <c r="AG4415" s="1"/>
      <c r="AH4415" s="1"/>
      <c r="AI4415" s="1"/>
      <c r="AJ4415" s="1"/>
      <c r="AK4415" s="1"/>
      <c r="AL4415" s="1"/>
      <c r="AM4415" s="1"/>
    </row>
    <row r="4416" spans="16:39" x14ac:dyDescent="0.25">
      <c r="P4416" s="49"/>
      <c r="Q4416" s="1"/>
      <c r="S4416" s="1"/>
      <c r="T4416" s="1"/>
      <c r="U4416" s="1"/>
      <c r="V4416" s="1"/>
      <c r="W4416" s="1"/>
      <c r="X4416" s="1"/>
      <c r="Y4416" s="1"/>
      <c r="AB4416" s="1"/>
      <c r="AC4416" s="1"/>
      <c r="AD4416" s="1"/>
      <c r="AE4416" s="1"/>
      <c r="AF4416" s="1"/>
      <c r="AG4416" s="1"/>
      <c r="AH4416" s="1"/>
      <c r="AI4416" s="1"/>
      <c r="AJ4416" s="1"/>
      <c r="AK4416" s="1"/>
      <c r="AL4416" s="1"/>
      <c r="AM4416" s="1"/>
    </row>
    <row r="4417" spans="16:39" x14ac:dyDescent="0.25">
      <c r="P4417" s="49"/>
      <c r="Q4417" s="1"/>
      <c r="S4417" s="1"/>
      <c r="T4417" s="1"/>
      <c r="U4417" s="1"/>
      <c r="V4417" s="1"/>
      <c r="W4417" s="1"/>
      <c r="X4417" s="1"/>
      <c r="Y4417" s="1"/>
      <c r="AB4417" s="1"/>
      <c r="AC4417" s="1"/>
      <c r="AD4417" s="1"/>
      <c r="AE4417" s="1"/>
      <c r="AF4417" s="1"/>
      <c r="AG4417" s="1"/>
      <c r="AH4417" s="1"/>
      <c r="AI4417" s="1"/>
      <c r="AJ4417" s="1"/>
      <c r="AK4417" s="1"/>
      <c r="AL4417" s="1"/>
      <c r="AM4417" s="1"/>
    </row>
    <row r="4418" spans="16:39" x14ac:dyDescent="0.25">
      <c r="P4418" s="49"/>
      <c r="Q4418" s="1"/>
      <c r="S4418" s="1"/>
      <c r="T4418" s="1"/>
      <c r="U4418" s="1"/>
      <c r="V4418" s="1"/>
      <c r="W4418" s="1"/>
      <c r="X4418" s="1"/>
      <c r="Y4418" s="1"/>
      <c r="AB4418" s="1"/>
      <c r="AC4418" s="1"/>
      <c r="AD4418" s="1"/>
      <c r="AE4418" s="1"/>
      <c r="AF4418" s="1"/>
      <c r="AG4418" s="1"/>
      <c r="AH4418" s="1"/>
      <c r="AI4418" s="1"/>
      <c r="AJ4418" s="1"/>
      <c r="AK4418" s="1"/>
      <c r="AL4418" s="1"/>
      <c r="AM4418" s="1"/>
    </row>
    <row r="4419" spans="16:39" x14ac:dyDescent="0.25">
      <c r="P4419" s="49"/>
      <c r="Q4419" s="1"/>
      <c r="S4419" s="1"/>
      <c r="T4419" s="1"/>
      <c r="U4419" s="1"/>
      <c r="V4419" s="1"/>
      <c r="W4419" s="1"/>
      <c r="X4419" s="1"/>
      <c r="Y4419" s="1"/>
      <c r="AB4419" s="1"/>
      <c r="AC4419" s="1"/>
      <c r="AD4419" s="1"/>
      <c r="AE4419" s="1"/>
      <c r="AF4419" s="1"/>
      <c r="AG4419" s="1"/>
      <c r="AH4419" s="1"/>
      <c r="AI4419" s="1"/>
      <c r="AJ4419" s="1"/>
      <c r="AK4419" s="1"/>
      <c r="AL4419" s="1"/>
      <c r="AM4419" s="1"/>
    </row>
    <row r="4420" spans="16:39" x14ac:dyDescent="0.25">
      <c r="P4420" s="49"/>
      <c r="Q4420" s="1"/>
      <c r="S4420" s="1"/>
      <c r="T4420" s="1"/>
      <c r="U4420" s="1"/>
      <c r="V4420" s="1"/>
      <c r="W4420" s="1"/>
      <c r="X4420" s="1"/>
      <c r="Y4420" s="1"/>
      <c r="AB4420" s="1"/>
      <c r="AC4420" s="1"/>
      <c r="AD4420" s="1"/>
      <c r="AE4420" s="1"/>
      <c r="AF4420" s="1"/>
      <c r="AG4420" s="1"/>
      <c r="AH4420" s="1"/>
      <c r="AI4420" s="1"/>
      <c r="AJ4420" s="1"/>
      <c r="AK4420" s="1"/>
      <c r="AL4420" s="1"/>
      <c r="AM4420" s="1"/>
    </row>
    <row r="4421" spans="16:39" x14ac:dyDescent="0.25">
      <c r="P4421" s="49"/>
      <c r="Q4421" s="1"/>
      <c r="S4421" s="1"/>
      <c r="T4421" s="1"/>
      <c r="U4421" s="1"/>
      <c r="V4421" s="1"/>
      <c r="W4421" s="1"/>
      <c r="X4421" s="1"/>
      <c r="Y4421" s="1"/>
      <c r="AB4421" s="1"/>
      <c r="AC4421" s="1"/>
      <c r="AD4421" s="1"/>
      <c r="AE4421" s="1"/>
      <c r="AF4421" s="1"/>
      <c r="AG4421" s="1"/>
      <c r="AH4421" s="1"/>
      <c r="AI4421" s="1"/>
      <c r="AJ4421" s="1"/>
      <c r="AK4421" s="1"/>
      <c r="AL4421" s="1"/>
      <c r="AM4421" s="1"/>
    </row>
    <row r="4422" spans="16:39" x14ac:dyDescent="0.25">
      <c r="P4422" s="49"/>
      <c r="Q4422" s="1"/>
      <c r="S4422" s="1"/>
      <c r="T4422" s="1"/>
      <c r="U4422" s="1"/>
      <c r="V4422" s="1"/>
      <c r="W4422" s="1"/>
      <c r="X4422" s="1"/>
      <c r="Y4422" s="1"/>
      <c r="AB4422" s="1"/>
      <c r="AC4422" s="1"/>
      <c r="AD4422" s="1"/>
      <c r="AE4422" s="1"/>
      <c r="AF4422" s="1"/>
      <c r="AG4422" s="1"/>
      <c r="AH4422" s="1"/>
      <c r="AI4422" s="1"/>
      <c r="AJ4422" s="1"/>
      <c r="AK4422" s="1"/>
      <c r="AL4422" s="1"/>
      <c r="AM4422" s="1"/>
    </row>
    <row r="4423" spans="16:39" x14ac:dyDescent="0.25">
      <c r="P4423" s="49"/>
      <c r="Q4423" s="1"/>
      <c r="S4423" s="1"/>
      <c r="T4423" s="1"/>
      <c r="U4423" s="1"/>
      <c r="V4423" s="1"/>
      <c r="W4423" s="1"/>
      <c r="X4423" s="1"/>
      <c r="Y4423" s="1"/>
      <c r="AB4423" s="1"/>
      <c r="AC4423" s="1"/>
      <c r="AD4423" s="1"/>
      <c r="AE4423" s="1"/>
      <c r="AF4423" s="1"/>
      <c r="AG4423" s="1"/>
      <c r="AH4423" s="1"/>
      <c r="AI4423" s="1"/>
      <c r="AJ4423" s="1"/>
      <c r="AK4423" s="1"/>
      <c r="AL4423" s="1"/>
      <c r="AM4423" s="1"/>
    </row>
    <row r="4424" spans="16:39" x14ac:dyDescent="0.25">
      <c r="P4424" s="49"/>
      <c r="Q4424" s="1"/>
      <c r="S4424" s="1"/>
      <c r="T4424" s="1"/>
      <c r="U4424" s="1"/>
      <c r="V4424" s="1"/>
      <c r="W4424" s="1"/>
      <c r="X4424" s="1"/>
      <c r="Y4424" s="1"/>
      <c r="AB4424" s="1"/>
      <c r="AC4424" s="1"/>
      <c r="AD4424" s="1"/>
      <c r="AE4424" s="1"/>
      <c r="AF4424" s="1"/>
      <c r="AG4424" s="1"/>
      <c r="AH4424" s="1"/>
      <c r="AI4424" s="1"/>
      <c r="AJ4424" s="1"/>
      <c r="AK4424" s="1"/>
      <c r="AL4424" s="1"/>
      <c r="AM4424" s="1"/>
    </row>
    <row r="4425" spans="16:39" x14ac:dyDescent="0.25">
      <c r="P4425" s="49"/>
      <c r="Q4425" s="1"/>
      <c r="S4425" s="1"/>
      <c r="T4425" s="1"/>
      <c r="U4425" s="1"/>
      <c r="V4425" s="1"/>
      <c r="W4425" s="1"/>
      <c r="X4425" s="1"/>
      <c r="Y4425" s="1"/>
      <c r="AB4425" s="1"/>
      <c r="AC4425" s="1"/>
      <c r="AD4425" s="1"/>
      <c r="AE4425" s="1"/>
      <c r="AF4425" s="1"/>
      <c r="AG4425" s="1"/>
      <c r="AH4425" s="1"/>
      <c r="AI4425" s="1"/>
      <c r="AJ4425" s="1"/>
      <c r="AK4425" s="1"/>
      <c r="AL4425" s="1"/>
      <c r="AM4425" s="1"/>
    </row>
    <row r="4426" spans="16:39" x14ac:dyDescent="0.25">
      <c r="P4426" s="49"/>
      <c r="Q4426" s="1"/>
      <c r="S4426" s="1"/>
      <c r="T4426" s="1"/>
      <c r="U4426" s="1"/>
      <c r="V4426" s="1"/>
      <c r="W4426" s="1"/>
      <c r="X4426" s="1"/>
      <c r="Y4426" s="1"/>
      <c r="AB4426" s="1"/>
      <c r="AC4426" s="1"/>
      <c r="AD4426" s="1"/>
      <c r="AE4426" s="1"/>
      <c r="AF4426" s="1"/>
      <c r="AG4426" s="1"/>
      <c r="AH4426" s="1"/>
      <c r="AI4426" s="1"/>
      <c r="AJ4426" s="1"/>
      <c r="AK4426" s="1"/>
      <c r="AL4426" s="1"/>
      <c r="AM4426" s="1"/>
    </row>
    <row r="4427" spans="16:39" x14ac:dyDescent="0.25">
      <c r="P4427" s="49"/>
      <c r="Q4427" s="1"/>
      <c r="S4427" s="1"/>
      <c r="T4427" s="1"/>
      <c r="U4427" s="1"/>
      <c r="V4427" s="1"/>
      <c r="W4427" s="1"/>
      <c r="X4427" s="1"/>
      <c r="Y4427" s="1"/>
      <c r="AB4427" s="1"/>
      <c r="AC4427" s="1"/>
      <c r="AD4427" s="1"/>
      <c r="AE4427" s="1"/>
      <c r="AF4427" s="1"/>
      <c r="AG4427" s="1"/>
      <c r="AH4427" s="1"/>
      <c r="AI4427" s="1"/>
      <c r="AJ4427" s="1"/>
      <c r="AK4427" s="1"/>
      <c r="AL4427" s="1"/>
      <c r="AM4427" s="1"/>
    </row>
    <row r="4428" spans="16:39" x14ac:dyDescent="0.25">
      <c r="P4428" s="49"/>
      <c r="Q4428" s="1"/>
      <c r="S4428" s="1"/>
      <c r="T4428" s="1"/>
      <c r="U4428" s="1"/>
      <c r="V4428" s="1"/>
      <c r="W4428" s="1"/>
      <c r="X4428" s="1"/>
      <c r="Y4428" s="1"/>
      <c r="AB4428" s="1"/>
      <c r="AC4428" s="1"/>
      <c r="AD4428" s="1"/>
      <c r="AE4428" s="1"/>
      <c r="AF4428" s="1"/>
      <c r="AG4428" s="1"/>
      <c r="AH4428" s="1"/>
      <c r="AI4428" s="1"/>
      <c r="AJ4428" s="1"/>
      <c r="AK4428" s="1"/>
      <c r="AL4428" s="1"/>
      <c r="AM4428" s="1"/>
    </row>
    <row r="4429" spans="16:39" x14ac:dyDescent="0.25">
      <c r="P4429" s="49"/>
      <c r="Q4429" s="1"/>
      <c r="S4429" s="1"/>
      <c r="T4429" s="1"/>
      <c r="U4429" s="1"/>
      <c r="V4429" s="1"/>
      <c r="W4429" s="1"/>
      <c r="X4429" s="1"/>
      <c r="Y4429" s="1"/>
      <c r="AB4429" s="1"/>
      <c r="AC4429" s="1"/>
      <c r="AD4429" s="1"/>
      <c r="AE4429" s="1"/>
      <c r="AF4429" s="1"/>
      <c r="AG4429" s="1"/>
      <c r="AH4429" s="1"/>
      <c r="AI4429" s="1"/>
      <c r="AJ4429" s="1"/>
      <c r="AK4429" s="1"/>
      <c r="AL4429" s="1"/>
      <c r="AM4429" s="1"/>
    </row>
    <row r="4430" spans="16:39" x14ac:dyDescent="0.25">
      <c r="P4430" s="49"/>
      <c r="Q4430" s="1"/>
      <c r="S4430" s="1"/>
      <c r="T4430" s="1"/>
      <c r="U4430" s="1"/>
      <c r="V4430" s="1"/>
      <c r="W4430" s="1"/>
      <c r="X4430" s="1"/>
      <c r="Y4430" s="1"/>
      <c r="AB4430" s="1"/>
      <c r="AC4430" s="1"/>
      <c r="AD4430" s="1"/>
      <c r="AE4430" s="1"/>
      <c r="AF4430" s="1"/>
      <c r="AG4430" s="1"/>
      <c r="AH4430" s="1"/>
      <c r="AI4430" s="1"/>
      <c r="AJ4430" s="1"/>
      <c r="AK4430" s="1"/>
      <c r="AL4430" s="1"/>
      <c r="AM4430" s="1"/>
    </row>
    <row r="4431" spans="16:39" x14ac:dyDescent="0.25">
      <c r="P4431" s="49"/>
      <c r="Q4431" s="1"/>
      <c r="S4431" s="1"/>
      <c r="T4431" s="1"/>
      <c r="U4431" s="1"/>
      <c r="V4431" s="1"/>
      <c r="W4431" s="1"/>
      <c r="X4431" s="1"/>
      <c r="Y4431" s="1"/>
      <c r="AB4431" s="1"/>
      <c r="AC4431" s="1"/>
      <c r="AD4431" s="1"/>
      <c r="AE4431" s="1"/>
      <c r="AF4431" s="1"/>
      <c r="AG4431" s="1"/>
      <c r="AH4431" s="1"/>
      <c r="AI4431" s="1"/>
      <c r="AJ4431" s="1"/>
      <c r="AK4431" s="1"/>
      <c r="AL4431" s="1"/>
      <c r="AM4431" s="1"/>
    </row>
    <row r="4432" spans="16:39" x14ac:dyDescent="0.25">
      <c r="P4432" s="49"/>
      <c r="Q4432" s="1"/>
      <c r="S4432" s="1"/>
      <c r="T4432" s="1"/>
      <c r="U4432" s="1"/>
      <c r="V4432" s="1"/>
      <c r="W4432" s="1"/>
      <c r="X4432" s="1"/>
      <c r="Y4432" s="1"/>
      <c r="AB4432" s="1"/>
      <c r="AC4432" s="1"/>
      <c r="AD4432" s="1"/>
      <c r="AE4432" s="1"/>
      <c r="AF4432" s="1"/>
      <c r="AG4432" s="1"/>
      <c r="AH4432" s="1"/>
      <c r="AI4432" s="1"/>
      <c r="AJ4432" s="1"/>
      <c r="AK4432" s="1"/>
      <c r="AL4432" s="1"/>
      <c r="AM4432" s="1"/>
    </row>
    <row r="4433" spans="16:39" x14ac:dyDescent="0.25">
      <c r="P4433" s="49"/>
      <c r="Q4433" s="1"/>
      <c r="S4433" s="1"/>
      <c r="T4433" s="1"/>
      <c r="U4433" s="1"/>
      <c r="V4433" s="1"/>
      <c r="W4433" s="1"/>
      <c r="X4433" s="1"/>
      <c r="Y4433" s="1"/>
      <c r="AB4433" s="1"/>
      <c r="AC4433" s="1"/>
      <c r="AD4433" s="1"/>
      <c r="AE4433" s="1"/>
      <c r="AF4433" s="1"/>
      <c r="AG4433" s="1"/>
      <c r="AH4433" s="1"/>
      <c r="AI4433" s="1"/>
      <c r="AJ4433" s="1"/>
      <c r="AK4433" s="1"/>
      <c r="AL4433" s="1"/>
      <c r="AM4433" s="1"/>
    </row>
    <row r="4434" spans="16:39" x14ac:dyDescent="0.25">
      <c r="P4434" s="49"/>
      <c r="Q4434" s="1"/>
      <c r="S4434" s="1"/>
      <c r="T4434" s="1"/>
      <c r="U4434" s="1"/>
      <c r="V4434" s="1"/>
      <c r="W4434" s="1"/>
      <c r="X4434" s="1"/>
      <c r="Y4434" s="1"/>
      <c r="AB4434" s="1"/>
      <c r="AC4434" s="1"/>
      <c r="AD4434" s="1"/>
      <c r="AE4434" s="1"/>
      <c r="AF4434" s="1"/>
      <c r="AG4434" s="1"/>
      <c r="AH4434" s="1"/>
      <c r="AI4434" s="1"/>
      <c r="AJ4434" s="1"/>
      <c r="AK4434" s="1"/>
      <c r="AL4434" s="1"/>
      <c r="AM4434" s="1"/>
    </row>
    <row r="4435" spans="16:39" x14ac:dyDescent="0.25">
      <c r="P4435" s="49"/>
      <c r="Q4435" s="1"/>
      <c r="S4435" s="1"/>
      <c r="T4435" s="1"/>
      <c r="U4435" s="1"/>
      <c r="V4435" s="1"/>
      <c r="W4435" s="1"/>
      <c r="X4435" s="1"/>
      <c r="Y4435" s="1"/>
      <c r="AB4435" s="1"/>
      <c r="AC4435" s="1"/>
      <c r="AD4435" s="1"/>
      <c r="AE4435" s="1"/>
      <c r="AF4435" s="1"/>
      <c r="AG4435" s="1"/>
      <c r="AH4435" s="1"/>
      <c r="AI4435" s="1"/>
      <c r="AJ4435" s="1"/>
      <c r="AK4435" s="1"/>
      <c r="AL4435" s="1"/>
      <c r="AM4435" s="1"/>
    </row>
    <row r="4436" spans="16:39" x14ac:dyDescent="0.25">
      <c r="P4436" s="49"/>
      <c r="Q4436" s="1"/>
      <c r="S4436" s="1"/>
      <c r="T4436" s="1"/>
      <c r="U4436" s="1"/>
      <c r="V4436" s="1"/>
      <c r="W4436" s="1"/>
      <c r="X4436" s="1"/>
      <c r="Y4436" s="1"/>
      <c r="AB4436" s="1"/>
      <c r="AC4436" s="1"/>
      <c r="AD4436" s="1"/>
      <c r="AE4436" s="1"/>
      <c r="AF4436" s="1"/>
      <c r="AG4436" s="1"/>
      <c r="AH4436" s="1"/>
      <c r="AI4436" s="1"/>
      <c r="AJ4436" s="1"/>
      <c r="AK4436" s="1"/>
      <c r="AL4436" s="1"/>
      <c r="AM4436" s="1"/>
    </row>
    <row r="4437" spans="16:39" x14ac:dyDescent="0.25">
      <c r="P4437" s="49"/>
      <c r="Q4437" s="1"/>
      <c r="S4437" s="1"/>
      <c r="T4437" s="1"/>
      <c r="U4437" s="1"/>
      <c r="V4437" s="1"/>
      <c r="W4437" s="1"/>
      <c r="X4437" s="1"/>
      <c r="Y4437" s="1"/>
      <c r="AB4437" s="1"/>
      <c r="AC4437" s="1"/>
      <c r="AD4437" s="1"/>
      <c r="AE4437" s="1"/>
      <c r="AF4437" s="1"/>
      <c r="AG4437" s="1"/>
      <c r="AH4437" s="1"/>
      <c r="AI4437" s="1"/>
      <c r="AJ4437" s="1"/>
      <c r="AK4437" s="1"/>
      <c r="AL4437" s="1"/>
      <c r="AM4437" s="1"/>
    </row>
    <row r="4438" spans="16:39" x14ac:dyDescent="0.25">
      <c r="P4438" s="49"/>
      <c r="Q4438" s="1"/>
      <c r="S4438" s="1"/>
      <c r="T4438" s="1"/>
      <c r="U4438" s="1"/>
      <c r="V4438" s="1"/>
      <c r="W4438" s="1"/>
      <c r="X4438" s="1"/>
      <c r="Y4438" s="1"/>
      <c r="AB4438" s="1"/>
      <c r="AC4438" s="1"/>
      <c r="AD4438" s="1"/>
      <c r="AE4438" s="1"/>
      <c r="AF4438" s="1"/>
      <c r="AG4438" s="1"/>
      <c r="AH4438" s="1"/>
      <c r="AI4438" s="1"/>
      <c r="AJ4438" s="1"/>
      <c r="AK4438" s="1"/>
      <c r="AL4438" s="1"/>
      <c r="AM4438" s="1"/>
    </row>
    <row r="4439" spans="16:39" x14ac:dyDescent="0.25">
      <c r="P4439" s="49"/>
      <c r="Q4439" s="1"/>
      <c r="S4439" s="1"/>
      <c r="T4439" s="1"/>
      <c r="U4439" s="1"/>
      <c r="V4439" s="1"/>
      <c r="W4439" s="1"/>
      <c r="X4439" s="1"/>
      <c r="Y4439" s="1"/>
      <c r="AB4439" s="1"/>
      <c r="AC4439" s="1"/>
      <c r="AD4439" s="1"/>
      <c r="AE4439" s="1"/>
      <c r="AF4439" s="1"/>
      <c r="AG4439" s="1"/>
      <c r="AH4439" s="1"/>
      <c r="AI4439" s="1"/>
      <c r="AJ4439" s="1"/>
      <c r="AK4439" s="1"/>
      <c r="AL4439" s="1"/>
      <c r="AM4439" s="1"/>
    </row>
    <row r="4440" spans="16:39" x14ac:dyDescent="0.25">
      <c r="P4440" s="49"/>
      <c r="Q4440" s="1"/>
      <c r="S4440" s="1"/>
      <c r="T4440" s="1"/>
      <c r="U4440" s="1"/>
      <c r="V4440" s="1"/>
      <c r="W4440" s="1"/>
      <c r="X4440" s="1"/>
      <c r="Y4440" s="1"/>
      <c r="AB4440" s="1"/>
      <c r="AC4440" s="1"/>
      <c r="AD4440" s="1"/>
      <c r="AE4440" s="1"/>
      <c r="AF4440" s="1"/>
      <c r="AG4440" s="1"/>
      <c r="AH4440" s="1"/>
      <c r="AI4440" s="1"/>
      <c r="AJ4440" s="1"/>
      <c r="AK4440" s="1"/>
      <c r="AL4440" s="1"/>
      <c r="AM4440" s="1"/>
    </row>
    <row r="4441" spans="16:39" x14ac:dyDescent="0.25">
      <c r="P4441" s="49"/>
      <c r="Q4441" s="1"/>
      <c r="S4441" s="1"/>
      <c r="T4441" s="1"/>
      <c r="U4441" s="1"/>
      <c r="V4441" s="1"/>
      <c r="W4441" s="1"/>
      <c r="X4441" s="1"/>
      <c r="Y4441" s="1"/>
      <c r="AB4441" s="1"/>
      <c r="AC4441" s="1"/>
      <c r="AD4441" s="1"/>
      <c r="AE4441" s="1"/>
      <c r="AF4441" s="1"/>
      <c r="AG4441" s="1"/>
      <c r="AH4441" s="1"/>
      <c r="AI4441" s="1"/>
      <c r="AJ4441" s="1"/>
      <c r="AK4441" s="1"/>
      <c r="AL4441" s="1"/>
      <c r="AM4441" s="1"/>
    </row>
    <row r="4442" spans="16:39" x14ac:dyDescent="0.25">
      <c r="P4442" s="49"/>
      <c r="Q4442" s="1"/>
      <c r="S4442" s="1"/>
      <c r="T4442" s="1"/>
      <c r="U4442" s="1"/>
      <c r="V4442" s="1"/>
      <c r="W4442" s="1"/>
      <c r="X4442" s="1"/>
      <c r="Y4442" s="1"/>
      <c r="AB4442" s="1"/>
      <c r="AC4442" s="1"/>
      <c r="AD4442" s="1"/>
      <c r="AE4442" s="1"/>
      <c r="AF4442" s="1"/>
      <c r="AG4442" s="1"/>
      <c r="AH4442" s="1"/>
      <c r="AI4442" s="1"/>
      <c r="AJ4442" s="1"/>
      <c r="AK4442" s="1"/>
      <c r="AL4442" s="1"/>
      <c r="AM4442" s="1"/>
    </row>
    <row r="4443" spans="16:39" x14ac:dyDescent="0.25">
      <c r="P4443" s="49"/>
      <c r="Q4443" s="1"/>
      <c r="S4443" s="1"/>
      <c r="T4443" s="1"/>
      <c r="U4443" s="1"/>
      <c r="V4443" s="1"/>
      <c r="W4443" s="1"/>
      <c r="X4443" s="1"/>
      <c r="Y4443" s="1"/>
      <c r="AB4443" s="1"/>
      <c r="AC4443" s="1"/>
      <c r="AD4443" s="1"/>
      <c r="AE4443" s="1"/>
      <c r="AF4443" s="1"/>
      <c r="AG4443" s="1"/>
      <c r="AH4443" s="1"/>
      <c r="AI4443" s="1"/>
      <c r="AJ4443" s="1"/>
      <c r="AK4443" s="1"/>
      <c r="AL4443" s="1"/>
      <c r="AM4443" s="1"/>
    </row>
    <row r="4444" spans="16:39" x14ac:dyDescent="0.25">
      <c r="P4444" s="49"/>
      <c r="Q4444" s="1"/>
      <c r="S4444" s="1"/>
      <c r="T4444" s="1"/>
      <c r="U4444" s="1"/>
      <c r="V4444" s="1"/>
      <c r="W4444" s="1"/>
      <c r="X4444" s="1"/>
      <c r="Y4444" s="1"/>
      <c r="AB4444" s="1"/>
      <c r="AC4444" s="1"/>
      <c r="AD4444" s="1"/>
      <c r="AE4444" s="1"/>
      <c r="AF4444" s="1"/>
      <c r="AG4444" s="1"/>
      <c r="AH4444" s="1"/>
      <c r="AI4444" s="1"/>
      <c r="AJ4444" s="1"/>
      <c r="AK4444" s="1"/>
      <c r="AL4444" s="1"/>
      <c r="AM4444" s="1"/>
    </row>
    <row r="4445" spans="16:39" x14ac:dyDescent="0.25">
      <c r="P4445" s="49"/>
      <c r="Q4445" s="1"/>
      <c r="S4445" s="1"/>
      <c r="T4445" s="1"/>
      <c r="U4445" s="1"/>
      <c r="V4445" s="1"/>
      <c r="W4445" s="1"/>
      <c r="X4445" s="1"/>
      <c r="Y4445" s="1"/>
      <c r="AB4445" s="1"/>
      <c r="AC4445" s="1"/>
      <c r="AD4445" s="1"/>
      <c r="AE4445" s="1"/>
      <c r="AF4445" s="1"/>
      <c r="AG4445" s="1"/>
      <c r="AH4445" s="1"/>
      <c r="AI4445" s="1"/>
      <c r="AJ4445" s="1"/>
      <c r="AK4445" s="1"/>
      <c r="AL4445" s="1"/>
      <c r="AM4445" s="1"/>
    </row>
    <row r="4446" spans="16:39" x14ac:dyDescent="0.25">
      <c r="P4446" s="49"/>
      <c r="Q4446" s="1"/>
      <c r="S4446" s="1"/>
      <c r="T4446" s="1"/>
      <c r="U4446" s="1"/>
      <c r="V4446" s="1"/>
      <c r="W4446" s="1"/>
      <c r="X4446" s="1"/>
      <c r="Y4446" s="1"/>
      <c r="AB4446" s="1"/>
      <c r="AC4446" s="1"/>
      <c r="AD4446" s="1"/>
      <c r="AE4446" s="1"/>
      <c r="AF4446" s="1"/>
      <c r="AG4446" s="1"/>
      <c r="AH4446" s="1"/>
      <c r="AI4446" s="1"/>
      <c r="AJ4446" s="1"/>
      <c r="AK4446" s="1"/>
      <c r="AL4446" s="1"/>
      <c r="AM4446" s="1"/>
    </row>
    <row r="4447" spans="16:39" x14ac:dyDescent="0.25">
      <c r="P4447" s="49"/>
      <c r="Q4447" s="1"/>
      <c r="S4447" s="1"/>
      <c r="T4447" s="1"/>
      <c r="U4447" s="1"/>
      <c r="V4447" s="1"/>
      <c r="W4447" s="1"/>
      <c r="X4447" s="1"/>
      <c r="Y4447" s="1"/>
      <c r="AB4447" s="1"/>
      <c r="AC4447" s="1"/>
      <c r="AD4447" s="1"/>
      <c r="AE4447" s="1"/>
      <c r="AF4447" s="1"/>
      <c r="AG4447" s="1"/>
      <c r="AH4447" s="1"/>
      <c r="AI4447" s="1"/>
      <c r="AJ4447" s="1"/>
      <c r="AK4447" s="1"/>
      <c r="AL4447" s="1"/>
      <c r="AM4447" s="1"/>
    </row>
    <row r="4448" spans="16:39" x14ac:dyDescent="0.25">
      <c r="P4448" s="49"/>
      <c r="Q4448" s="1"/>
      <c r="S4448" s="1"/>
      <c r="T4448" s="1"/>
      <c r="U4448" s="1"/>
      <c r="V4448" s="1"/>
      <c r="W4448" s="1"/>
      <c r="X4448" s="1"/>
      <c r="Y4448" s="1"/>
      <c r="AB4448" s="1"/>
      <c r="AC4448" s="1"/>
      <c r="AD4448" s="1"/>
      <c r="AE4448" s="1"/>
      <c r="AF4448" s="1"/>
      <c r="AG4448" s="1"/>
      <c r="AH4448" s="1"/>
      <c r="AI4448" s="1"/>
      <c r="AJ4448" s="1"/>
      <c r="AK4448" s="1"/>
      <c r="AL4448" s="1"/>
      <c r="AM4448" s="1"/>
    </row>
    <row r="4449" spans="16:39" x14ac:dyDescent="0.25">
      <c r="P4449" s="49"/>
      <c r="Q4449" s="1"/>
      <c r="S4449" s="1"/>
      <c r="T4449" s="1"/>
      <c r="U4449" s="1"/>
      <c r="V4449" s="1"/>
      <c r="W4449" s="1"/>
      <c r="X4449" s="1"/>
      <c r="Y4449" s="1"/>
      <c r="AB4449" s="1"/>
      <c r="AC4449" s="1"/>
      <c r="AD4449" s="1"/>
      <c r="AE4449" s="1"/>
      <c r="AF4449" s="1"/>
      <c r="AG4449" s="1"/>
      <c r="AH4449" s="1"/>
      <c r="AI4449" s="1"/>
      <c r="AJ4449" s="1"/>
      <c r="AK4449" s="1"/>
      <c r="AL4449" s="1"/>
      <c r="AM4449" s="1"/>
    </row>
    <row r="4450" spans="16:39" x14ac:dyDescent="0.25">
      <c r="P4450" s="49"/>
      <c r="Q4450" s="1"/>
      <c r="S4450" s="1"/>
      <c r="T4450" s="1"/>
      <c r="U4450" s="1"/>
      <c r="V4450" s="1"/>
      <c r="W4450" s="1"/>
      <c r="X4450" s="1"/>
      <c r="Y4450" s="1"/>
      <c r="AB4450" s="1"/>
      <c r="AC4450" s="1"/>
      <c r="AD4450" s="1"/>
      <c r="AE4450" s="1"/>
      <c r="AF4450" s="1"/>
      <c r="AG4450" s="1"/>
      <c r="AH4450" s="1"/>
      <c r="AI4450" s="1"/>
      <c r="AJ4450" s="1"/>
      <c r="AK4450" s="1"/>
      <c r="AL4450" s="1"/>
      <c r="AM4450" s="1"/>
    </row>
    <row r="4451" spans="16:39" x14ac:dyDescent="0.25">
      <c r="P4451" s="49"/>
      <c r="Q4451" s="1"/>
      <c r="S4451" s="1"/>
      <c r="T4451" s="1"/>
      <c r="U4451" s="1"/>
      <c r="V4451" s="1"/>
      <c r="W4451" s="1"/>
      <c r="X4451" s="1"/>
      <c r="Y4451" s="1"/>
      <c r="AB4451" s="1"/>
      <c r="AC4451" s="1"/>
      <c r="AD4451" s="1"/>
      <c r="AE4451" s="1"/>
      <c r="AF4451" s="1"/>
      <c r="AG4451" s="1"/>
      <c r="AH4451" s="1"/>
      <c r="AI4451" s="1"/>
      <c r="AJ4451" s="1"/>
      <c r="AK4451" s="1"/>
      <c r="AL4451" s="1"/>
      <c r="AM4451" s="1"/>
    </row>
    <row r="4452" spans="16:39" x14ac:dyDescent="0.25">
      <c r="P4452" s="49"/>
      <c r="Q4452" s="1"/>
      <c r="S4452" s="1"/>
      <c r="T4452" s="1"/>
      <c r="U4452" s="1"/>
      <c r="V4452" s="1"/>
      <c r="W4452" s="1"/>
      <c r="X4452" s="1"/>
      <c r="Y4452" s="1"/>
      <c r="AB4452" s="1"/>
      <c r="AC4452" s="1"/>
      <c r="AD4452" s="1"/>
      <c r="AE4452" s="1"/>
      <c r="AF4452" s="1"/>
      <c r="AG4452" s="1"/>
      <c r="AH4452" s="1"/>
      <c r="AI4452" s="1"/>
      <c r="AJ4452" s="1"/>
      <c r="AK4452" s="1"/>
      <c r="AL4452" s="1"/>
      <c r="AM4452" s="1"/>
    </row>
    <row r="4453" spans="16:39" x14ac:dyDescent="0.25">
      <c r="P4453" s="49"/>
      <c r="Q4453" s="1"/>
      <c r="S4453" s="1"/>
      <c r="T4453" s="1"/>
      <c r="U4453" s="1"/>
      <c r="V4453" s="1"/>
      <c r="W4453" s="1"/>
      <c r="X4453" s="1"/>
      <c r="Y4453" s="1"/>
      <c r="AB4453" s="1"/>
      <c r="AC4453" s="1"/>
      <c r="AD4453" s="1"/>
      <c r="AE4453" s="1"/>
      <c r="AF4453" s="1"/>
      <c r="AG4453" s="1"/>
      <c r="AH4453" s="1"/>
      <c r="AI4453" s="1"/>
      <c r="AJ4453" s="1"/>
      <c r="AK4453" s="1"/>
      <c r="AL4453" s="1"/>
      <c r="AM4453" s="1"/>
    </row>
    <row r="4454" spans="16:39" x14ac:dyDescent="0.25">
      <c r="P4454" s="49"/>
      <c r="Q4454" s="1"/>
      <c r="S4454" s="1"/>
      <c r="T4454" s="1"/>
      <c r="U4454" s="1"/>
      <c r="V4454" s="1"/>
      <c r="W4454" s="1"/>
      <c r="X4454" s="1"/>
      <c r="Y4454" s="1"/>
      <c r="AB4454" s="1"/>
      <c r="AC4454" s="1"/>
      <c r="AD4454" s="1"/>
      <c r="AE4454" s="1"/>
      <c r="AF4454" s="1"/>
      <c r="AG4454" s="1"/>
      <c r="AH4454" s="1"/>
      <c r="AI4454" s="1"/>
      <c r="AJ4454" s="1"/>
      <c r="AK4454" s="1"/>
      <c r="AL4454" s="1"/>
      <c r="AM4454" s="1"/>
    </row>
    <row r="4455" spans="16:39" x14ac:dyDescent="0.25">
      <c r="P4455" s="49"/>
      <c r="Q4455" s="1"/>
      <c r="S4455" s="1"/>
      <c r="T4455" s="1"/>
      <c r="U4455" s="1"/>
      <c r="V4455" s="1"/>
      <c r="W4455" s="1"/>
      <c r="X4455" s="1"/>
      <c r="Y4455" s="1"/>
      <c r="AB4455" s="1"/>
      <c r="AC4455" s="1"/>
      <c r="AD4455" s="1"/>
      <c r="AE4455" s="1"/>
      <c r="AF4455" s="1"/>
      <c r="AG4455" s="1"/>
      <c r="AH4455" s="1"/>
      <c r="AI4455" s="1"/>
      <c r="AJ4455" s="1"/>
      <c r="AK4455" s="1"/>
      <c r="AL4455" s="1"/>
      <c r="AM4455" s="1"/>
    </row>
    <row r="4456" spans="16:39" x14ac:dyDescent="0.25">
      <c r="P4456" s="49"/>
      <c r="Q4456" s="1"/>
      <c r="S4456" s="1"/>
      <c r="T4456" s="1"/>
      <c r="U4456" s="1"/>
      <c r="V4456" s="1"/>
      <c r="W4456" s="1"/>
      <c r="X4456" s="1"/>
      <c r="Y4456" s="1"/>
      <c r="AB4456" s="1"/>
      <c r="AC4456" s="1"/>
      <c r="AD4456" s="1"/>
      <c r="AE4456" s="1"/>
      <c r="AF4456" s="1"/>
      <c r="AG4456" s="1"/>
      <c r="AH4456" s="1"/>
      <c r="AI4456" s="1"/>
      <c r="AJ4456" s="1"/>
      <c r="AK4456" s="1"/>
      <c r="AL4456" s="1"/>
      <c r="AM4456" s="1"/>
    </row>
    <row r="4457" spans="16:39" x14ac:dyDescent="0.25">
      <c r="P4457" s="49"/>
      <c r="Q4457" s="1"/>
      <c r="S4457" s="1"/>
      <c r="T4457" s="1"/>
      <c r="U4457" s="1"/>
      <c r="V4457" s="1"/>
      <c r="W4457" s="1"/>
      <c r="X4457" s="1"/>
      <c r="Y4457" s="1"/>
      <c r="AB4457" s="1"/>
      <c r="AC4457" s="1"/>
      <c r="AD4457" s="1"/>
      <c r="AE4457" s="1"/>
      <c r="AF4457" s="1"/>
      <c r="AG4457" s="1"/>
      <c r="AH4457" s="1"/>
      <c r="AI4457" s="1"/>
      <c r="AJ4457" s="1"/>
      <c r="AK4457" s="1"/>
      <c r="AL4457" s="1"/>
      <c r="AM4457" s="1"/>
    </row>
    <row r="4458" spans="16:39" x14ac:dyDescent="0.25">
      <c r="P4458" s="49"/>
      <c r="Q4458" s="1"/>
      <c r="S4458" s="1"/>
      <c r="T4458" s="1"/>
      <c r="U4458" s="1"/>
      <c r="V4458" s="1"/>
      <c r="W4458" s="1"/>
      <c r="X4458" s="1"/>
      <c r="Y4458" s="1"/>
      <c r="AB4458" s="1"/>
      <c r="AC4458" s="1"/>
      <c r="AD4458" s="1"/>
      <c r="AE4458" s="1"/>
      <c r="AF4458" s="1"/>
      <c r="AG4458" s="1"/>
      <c r="AH4458" s="1"/>
      <c r="AI4458" s="1"/>
      <c r="AJ4458" s="1"/>
      <c r="AK4458" s="1"/>
      <c r="AL4458" s="1"/>
      <c r="AM4458" s="1"/>
    </row>
    <row r="4459" spans="16:39" x14ac:dyDescent="0.25">
      <c r="P4459" s="49"/>
      <c r="Q4459" s="1"/>
      <c r="S4459" s="1"/>
      <c r="T4459" s="1"/>
      <c r="U4459" s="1"/>
      <c r="V4459" s="1"/>
      <c r="W4459" s="1"/>
      <c r="X4459" s="1"/>
      <c r="Y4459" s="1"/>
      <c r="AB4459" s="1"/>
      <c r="AC4459" s="1"/>
      <c r="AD4459" s="1"/>
      <c r="AE4459" s="1"/>
      <c r="AF4459" s="1"/>
      <c r="AG4459" s="1"/>
      <c r="AH4459" s="1"/>
      <c r="AI4459" s="1"/>
      <c r="AJ4459" s="1"/>
      <c r="AK4459" s="1"/>
      <c r="AL4459" s="1"/>
      <c r="AM4459" s="1"/>
    </row>
    <row r="4460" spans="16:39" x14ac:dyDescent="0.25">
      <c r="P4460" s="49"/>
      <c r="Q4460" s="1"/>
      <c r="S4460" s="1"/>
      <c r="T4460" s="1"/>
      <c r="U4460" s="1"/>
      <c r="V4460" s="1"/>
      <c r="W4460" s="1"/>
      <c r="X4460" s="1"/>
      <c r="Y4460" s="1"/>
      <c r="AB4460" s="1"/>
      <c r="AC4460" s="1"/>
      <c r="AD4460" s="1"/>
      <c r="AE4460" s="1"/>
      <c r="AF4460" s="1"/>
      <c r="AG4460" s="1"/>
      <c r="AH4460" s="1"/>
      <c r="AI4460" s="1"/>
      <c r="AJ4460" s="1"/>
      <c r="AK4460" s="1"/>
      <c r="AL4460" s="1"/>
      <c r="AM4460" s="1"/>
    </row>
    <row r="4461" spans="16:39" x14ac:dyDescent="0.25">
      <c r="P4461" s="49"/>
      <c r="Q4461" s="1"/>
      <c r="S4461" s="1"/>
      <c r="T4461" s="1"/>
      <c r="U4461" s="1"/>
      <c r="V4461" s="1"/>
      <c r="W4461" s="1"/>
      <c r="X4461" s="1"/>
      <c r="Y4461" s="1"/>
      <c r="AB4461" s="1"/>
      <c r="AC4461" s="1"/>
      <c r="AD4461" s="1"/>
      <c r="AE4461" s="1"/>
      <c r="AF4461" s="1"/>
      <c r="AG4461" s="1"/>
      <c r="AH4461" s="1"/>
      <c r="AI4461" s="1"/>
      <c r="AJ4461" s="1"/>
      <c r="AK4461" s="1"/>
      <c r="AL4461" s="1"/>
      <c r="AM4461" s="1"/>
    </row>
    <row r="4462" spans="16:39" x14ac:dyDescent="0.25">
      <c r="P4462" s="49"/>
      <c r="Q4462" s="1"/>
      <c r="S4462" s="1"/>
      <c r="T4462" s="1"/>
      <c r="U4462" s="1"/>
      <c r="V4462" s="1"/>
      <c r="W4462" s="1"/>
      <c r="X4462" s="1"/>
      <c r="Y4462" s="1"/>
      <c r="AB4462" s="1"/>
      <c r="AC4462" s="1"/>
      <c r="AD4462" s="1"/>
      <c r="AE4462" s="1"/>
      <c r="AF4462" s="1"/>
      <c r="AG4462" s="1"/>
      <c r="AH4462" s="1"/>
      <c r="AI4462" s="1"/>
      <c r="AJ4462" s="1"/>
      <c r="AK4462" s="1"/>
      <c r="AL4462" s="1"/>
      <c r="AM4462" s="1"/>
    </row>
    <row r="4463" spans="16:39" x14ac:dyDescent="0.25">
      <c r="P4463" s="49"/>
      <c r="Q4463" s="1"/>
      <c r="S4463" s="1"/>
      <c r="T4463" s="1"/>
      <c r="U4463" s="1"/>
      <c r="V4463" s="1"/>
      <c r="W4463" s="1"/>
      <c r="X4463" s="1"/>
      <c r="Y4463" s="1"/>
      <c r="AB4463" s="1"/>
      <c r="AC4463" s="1"/>
      <c r="AD4463" s="1"/>
      <c r="AE4463" s="1"/>
      <c r="AF4463" s="1"/>
      <c r="AG4463" s="1"/>
      <c r="AH4463" s="1"/>
      <c r="AI4463" s="1"/>
      <c r="AJ4463" s="1"/>
      <c r="AK4463" s="1"/>
      <c r="AL4463" s="1"/>
      <c r="AM4463" s="1"/>
    </row>
    <row r="4464" spans="16:39" x14ac:dyDescent="0.25">
      <c r="P4464" s="49"/>
      <c r="Q4464" s="1"/>
      <c r="S4464" s="1"/>
      <c r="T4464" s="1"/>
      <c r="U4464" s="1"/>
      <c r="V4464" s="1"/>
      <c r="W4464" s="1"/>
      <c r="X4464" s="1"/>
      <c r="Y4464" s="1"/>
      <c r="AB4464" s="1"/>
      <c r="AC4464" s="1"/>
      <c r="AD4464" s="1"/>
      <c r="AE4464" s="1"/>
      <c r="AF4464" s="1"/>
      <c r="AG4464" s="1"/>
      <c r="AH4464" s="1"/>
      <c r="AI4464" s="1"/>
      <c r="AJ4464" s="1"/>
      <c r="AK4464" s="1"/>
      <c r="AL4464" s="1"/>
      <c r="AM4464" s="1"/>
    </row>
    <row r="4465" spans="16:39" x14ac:dyDescent="0.25">
      <c r="P4465" s="49"/>
      <c r="Q4465" s="1"/>
      <c r="S4465" s="1"/>
      <c r="T4465" s="1"/>
      <c r="U4465" s="1"/>
      <c r="V4465" s="1"/>
      <c r="W4465" s="1"/>
      <c r="X4465" s="1"/>
      <c r="Y4465" s="1"/>
      <c r="AB4465" s="1"/>
      <c r="AC4465" s="1"/>
      <c r="AD4465" s="1"/>
      <c r="AE4465" s="1"/>
      <c r="AF4465" s="1"/>
      <c r="AG4465" s="1"/>
      <c r="AH4465" s="1"/>
      <c r="AI4465" s="1"/>
      <c r="AJ4465" s="1"/>
      <c r="AK4465" s="1"/>
      <c r="AL4465" s="1"/>
      <c r="AM4465" s="1"/>
    </row>
    <row r="4466" spans="16:39" x14ac:dyDescent="0.25">
      <c r="P4466" s="49"/>
      <c r="Q4466" s="1"/>
      <c r="S4466" s="1"/>
      <c r="T4466" s="1"/>
      <c r="U4466" s="1"/>
      <c r="V4466" s="1"/>
      <c r="W4466" s="1"/>
      <c r="X4466" s="1"/>
      <c r="Y4466" s="1"/>
      <c r="AB4466" s="1"/>
      <c r="AC4466" s="1"/>
      <c r="AD4466" s="1"/>
      <c r="AE4466" s="1"/>
      <c r="AF4466" s="1"/>
      <c r="AG4466" s="1"/>
      <c r="AH4466" s="1"/>
      <c r="AI4466" s="1"/>
      <c r="AJ4466" s="1"/>
      <c r="AK4466" s="1"/>
      <c r="AL4466" s="1"/>
      <c r="AM4466" s="1"/>
    </row>
    <row r="4467" spans="16:39" x14ac:dyDescent="0.25">
      <c r="P4467" s="49"/>
      <c r="Q4467" s="1"/>
      <c r="S4467" s="1"/>
      <c r="T4467" s="1"/>
      <c r="U4467" s="1"/>
      <c r="V4467" s="1"/>
      <c r="W4467" s="1"/>
      <c r="X4467" s="1"/>
      <c r="Y4467" s="1"/>
      <c r="AB4467" s="1"/>
      <c r="AC4467" s="1"/>
      <c r="AD4467" s="1"/>
      <c r="AE4467" s="1"/>
      <c r="AF4467" s="1"/>
      <c r="AG4467" s="1"/>
      <c r="AH4467" s="1"/>
      <c r="AI4467" s="1"/>
      <c r="AJ4467" s="1"/>
      <c r="AK4467" s="1"/>
      <c r="AL4467" s="1"/>
      <c r="AM4467" s="1"/>
    </row>
    <row r="4468" spans="16:39" x14ac:dyDescent="0.25">
      <c r="P4468" s="49"/>
      <c r="Q4468" s="1"/>
      <c r="S4468" s="1"/>
      <c r="T4468" s="1"/>
      <c r="U4468" s="1"/>
      <c r="V4468" s="1"/>
      <c r="W4468" s="1"/>
      <c r="X4468" s="1"/>
      <c r="Y4468" s="1"/>
      <c r="AB4468" s="1"/>
      <c r="AC4468" s="1"/>
      <c r="AD4468" s="1"/>
      <c r="AE4468" s="1"/>
      <c r="AF4468" s="1"/>
      <c r="AG4468" s="1"/>
      <c r="AH4468" s="1"/>
      <c r="AI4468" s="1"/>
      <c r="AJ4468" s="1"/>
      <c r="AK4468" s="1"/>
      <c r="AL4468" s="1"/>
      <c r="AM4468" s="1"/>
    </row>
    <row r="4469" spans="16:39" x14ac:dyDescent="0.25">
      <c r="P4469" s="49"/>
      <c r="Q4469" s="1"/>
      <c r="S4469" s="1"/>
      <c r="T4469" s="1"/>
      <c r="U4469" s="1"/>
      <c r="V4469" s="1"/>
      <c r="W4469" s="1"/>
      <c r="X4469" s="1"/>
      <c r="Y4469" s="1"/>
      <c r="AB4469" s="1"/>
      <c r="AC4469" s="1"/>
      <c r="AD4469" s="1"/>
      <c r="AE4469" s="1"/>
      <c r="AF4469" s="1"/>
      <c r="AG4469" s="1"/>
      <c r="AH4469" s="1"/>
      <c r="AI4469" s="1"/>
      <c r="AJ4469" s="1"/>
      <c r="AK4469" s="1"/>
      <c r="AL4469" s="1"/>
      <c r="AM4469" s="1"/>
    </row>
    <row r="4470" spans="16:39" x14ac:dyDescent="0.25">
      <c r="P4470" s="49"/>
      <c r="Q4470" s="1"/>
      <c r="S4470" s="1"/>
      <c r="T4470" s="1"/>
      <c r="U4470" s="1"/>
      <c r="V4470" s="1"/>
      <c r="W4470" s="1"/>
      <c r="X4470" s="1"/>
      <c r="Y4470" s="1"/>
      <c r="AB4470" s="1"/>
      <c r="AC4470" s="1"/>
      <c r="AD4470" s="1"/>
      <c r="AE4470" s="1"/>
      <c r="AF4470" s="1"/>
      <c r="AG4470" s="1"/>
      <c r="AH4470" s="1"/>
      <c r="AI4470" s="1"/>
      <c r="AJ4470" s="1"/>
      <c r="AK4470" s="1"/>
      <c r="AL4470" s="1"/>
      <c r="AM4470" s="1"/>
    </row>
    <row r="4471" spans="16:39" x14ac:dyDescent="0.25">
      <c r="P4471" s="49"/>
      <c r="Q4471" s="1"/>
      <c r="S4471" s="1"/>
      <c r="T4471" s="1"/>
      <c r="U4471" s="1"/>
      <c r="V4471" s="1"/>
      <c r="W4471" s="1"/>
      <c r="X4471" s="1"/>
      <c r="Y4471" s="1"/>
      <c r="AB4471" s="1"/>
      <c r="AC4471" s="1"/>
      <c r="AD4471" s="1"/>
      <c r="AE4471" s="1"/>
      <c r="AF4471" s="1"/>
      <c r="AG4471" s="1"/>
      <c r="AH4471" s="1"/>
      <c r="AI4471" s="1"/>
      <c r="AJ4471" s="1"/>
      <c r="AK4471" s="1"/>
      <c r="AL4471" s="1"/>
      <c r="AM4471" s="1"/>
    </row>
    <row r="4472" spans="16:39" x14ac:dyDescent="0.25">
      <c r="P4472" s="49"/>
      <c r="Q4472" s="1"/>
      <c r="S4472" s="1"/>
      <c r="T4472" s="1"/>
      <c r="U4472" s="1"/>
      <c r="V4472" s="1"/>
      <c r="W4472" s="1"/>
      <c r="X4472" s="1"/>
      <c r="Y4472" s="1"/>
      <c r="AB4472" s="1"/>
      <c r="AC4472" s="1"/>
      <c r="AD4472" s="1"/>
      <c r="AE4472" s="1"/>
      <c r="AF4472" s="1"/>
      <c r="AG4472" s="1"/>
      <c r="AH4472" s="1"/>
      <c r="AI4472" s="1"/>
      <c r="AJ4472" s="1"/>
      <c r="AK4472" s="1"/>
      <c r="AL4472" s="1"/>
      <c r="AM4472" s="1"/>
    </row>
    <row r="4473" spans="16:39" x14ac:dyDescent="0.25">
      <c r="P4473" s="49"/>
      <c r="Q4473" s="1"/>
      <c r="S4473" s="1"/>
      <c r="T4473" s="1"/>
      <c r="U4473" s="1"/>
      <c r="V4473" s="1"/>
      <c r="W4473" s="1"/>
      <c r="X4473" s="1"/>
      <c r="Y4473" s="1"/>
      <c r="AB4473" s="1"/>
      <c r="AC4473" s="1"/>
      <c r="AD4473" s="1"/>
      <c r="AE4473" s="1"/>
      <c r="AF4473" s="1"/>
      <c r="AG4473" s="1"/>
      <c r="AH4473" s="1"/>
      <c r="AI4473" s="1"/>
      <c r="AJ4473" s="1"/>
      <c r="AK4473" s="1"/>
      <c r="AL4473" s="1"/>
      <c r="AM4473" s="1"/>
    </row>
    <row r="4474" spans="16:39" x14ac:dyDescent="0.25">
      <c r="P4474" s="49"/>
      <c r="Q4474" s="1"/>
      <c r="S4474" s="1"/>
      <c r="T4474" s="1"/>
      <c r="U4474" s="1"/>
      <c r="V4474" s="1"/>
      <c r="W4474" s="1"/>
      <c r="X4474" s="1"/>
      <c r="Y4474" s="1"/>
      <c r="AB4474" s="1"/>
      <c r="AC4474" s="1"/>
      <c r="AD4474" s="1"/>
      <c r="AE4474" s="1"/>
      <c r="AF4474" s="1"/>
      <c r="AG4474" s="1"/>
      <c r="AH4474" s="1"/>
      <c r="AI4474" s="1"/>
      <c r="AJ4474" s="1"/>
      <c r="AK4474" s="1"/>
      <c r="AL4474" s="1"/>
      <c r="AM4474" s="1"/>
    </row>
    <row r="4475" spans="16:39" x14ac:dyDescent="0.25">
      <c r="P4475" s="49"/>
      <c r="Q4475" s="1"/>
      <c r="S4475" s="1"/>
      <c r="T4475" s="1"/>
      <c r="U4475" s="1"/>
      <c r="V4475" s="1"/>
      <c r="W4475" s="1"/>
      <c r="X4475" s="1"/>
      <c r="Y4475" s="1"/>
      <c r="AB4475" s="1"/>
      <c r="AC4475" s="1"/>
      <c r="AD4475" s="1"/>
      <c r="AE4475" s="1"/>
      <c r="AF4475" s="1"/>
      <c r="AG4475" s="1"/>
      <c r="AH4475" s="1"/>
      <c r="AI4475" s="1"/>
      <c r="AJ4475" s="1"/>
      <c r="AK4475" s="1"/>
      <c r="AL4475" s="1"/>
      <c r="AM4475" s="1"/>
    </row>
    <row r="4476" spans="16:39" x14ac:dyDescent="0.25">
      <c r="P4476" s="49"/>
      <c r="Q4476" s="1"/>
      <c r="S4476" s="1"/>
      <c r="T4476" s="1"/>
      <c r="U4476" s="1"/>
      <c r="V4476" s="1"/>
      <c r="W4476" s="1"/>
      <c r="X4476" s="1"/>
      <c r="Y4476" s="1"/>
      <c r="AB4476" s="1"/>
      <c r="AC4476" s="1"/>
      <c r="AD4476" s="1"/>
      <c r="AE4476" s="1"/>
      <c r="AF4476" s="1"/>
      <c r="AG4476" s="1"/>
      <c r="AH4476" s="1"/>
      <c r="AI4476" s="1"/>
      <c r="AJ4476" s="1"/>
      <c r="AK4476" s="1"/>
      <c r="AL4476" s="1"/>
      <c r="AM4476" s="1"/>
    </row>
    <row r="4477" spans="16:39" x14ac:dyDescent="0.25">
      <c r="P4477" s="49"/>
      <c r="Q4477" s="1"/>
      <c r="S4477" s="1"/>
      <c r="T4477" s="1"/>
      <c r="U4477" s="1"/>
      <c r="V4477" s="1"/>
      <c r="W4477" s="1"/>
      <c r="X4477" s="1"/>
      <c r="Y4477" s="1"/>
      <c r="AB4477" s="1"/>
      <c r="AC4477" s="1"/>
      <c r="AD4477" s="1"/>
      <c r="AE4477" s="1"/>
      <c r="AF4477" s="1"/>
      <c r="AG4477" s="1"/>
      <c r="AH4477" s="1"/>
      <c r="AI4477" s="1"/>
      <c r="AJ4477" s="1"/>
      <c r="AK4477" s="1"/>
      <c r="AL4477" s="1"/>
      <c r="AM4477" s="1"/>
    </row>
    <row r="4478" spans="16:39" x14ac:dyDescent="0.25">
      <c r="P4478" s="49"/>
      <c r="Q4478" s="1"/>
      <c r="S4478" s="1"/>
      <c r="T4478" s="1"/>
      <c r="U4478" s="1"/>
      <c r="V4478" s="1"/>
      <c r="W4478" s="1"/>
      <c r="X4478" s="1"/>
      <c r="Y4478" s="1"/>
      <c r="AB4478" s="1"/>
      <c r="AC4478" s="1"/>
      <c r="AD4478" s="1"/>
      <c r="AE4478" s="1"/>
      <c r="AF4478" s="1"/>
      <c r="AG4478" s="1"/>
      <c r="AH4478" s="1"/>
      <c r="AI4478" s="1"/>
      <c r="AJ4478" s="1"/>
      <c r="AK4478" s="1"/>
      <c r="AL4478" s="1"/>
      <c r="AM4478" s="1"/>
    </row>
    <row r="4479" spans="16:39" x14ac:dyDescent="0.25">
      <c r="P4479" s="49"/>
      <c r="Q4479" s="1"/>
      <c r="S4479" s="1"/>
      <c r="T4479" s="1"/>
      <c r="U4479" s="1"/>
      <c r="V4479" s="1"/>
      <c r="W4479" s="1"/>
      <c r="X4479" s="1"/>
      <c r="Y4479" s="1"/>
      <c r="AB4479" s="1"/>
      <c r="AC4479" s="1"/>
      <c r="AD4479" s="1"/>
      <c r="AE4479" s="1"/>
      <c r="AF4479" s="1"/>
      <c r="AG4479" s="1"/>
      <c r="AH4479" s="1"/>
      <c r="AI4479" s="1"/>
      <c r="AJ4479" s="1"/>
      <c r="AK4479" s="1"/>
      <c r="AL4479" s="1"/>
      <c r="AM4479" s="1"/>
    </row>
    <row r="4480" spans="16:39" x14ac:dyDescent="0.25">
      <c r="P4480" s="49"/>
      <c r="Q4480" s="1"/>
      <c r="S4480" s="1"/>
      <c r="T4480" s="1"/>
      <c r="U4480" s="1"/>
      <c r="V4480" s="1"/>
      <c r="W4480" s="1"/>
      <c r="X4480" s="1"/>
      <c r="Y4480" s="1"/>
      <c r="AB4480" s="1"/>
      <c r="AC4480" s="1"/>
      <c r="AD4480" s="1"/>
      <c r="AE4480" s="1"/>
      <c r="AF4480" s="1"/>
      <c r="AG4480" s="1"/>
      <c r="AH4480" s="1"/>
      <c r="AI4480" s="1"/>
      <c r="AJ4480" s="1"/>
      <c r="AK4480" s="1"/>
      <c r="AL4480" s="1"/>
      <c r="AM4480" s="1"/>
    </row>
    <row r="4481" spans="16:39" x14ac:dyDescent="0.25">
      <c r="P4481" s="49"/>
      <c r="Q4481" s="1"/>
      <c r="S4481" s="1"/>
      <c r="T4481" s="1"/>
      <c r="U4481" s="1"/>
      <c r="V4481" s="1"/>
      <c r="W4481" s="1"/>
      <c r="X4481" s="1"/>
      <c r="Y4481" s="1"/>
      <c r="AB4481" s="1"/>
      <c r="AC4481" s="1"/>
      <c r="AD4481" s="1"/>
      <c r="AE4481" s="1"/>
      <c r="AF4481" s="1"/>
      <c r="AG4481" s="1"/>
      <c r="AH4481" s="1"/>
      <c r="AI4481" s="1"/>
      <c r="AJ4481" s="1"/>
      <c r="AK4481" s="1"/>
      <c r="AL4481" s="1"/>
      <c r="AM4481" s="1"/>
    </row>
    <row r="4482" spans="16:39" x14ac:dyDescent="0.25">
      <c r="P4482" s="49"/>
      <c r="Q4482" s="1"/>
      <c r="S4482" s="1"/>
      <c r="T4482" s="1"/>
      <c r="U4482" s="1"/>
      <c r="V4482" s="1"/>
      <c r="W4482" s="1"/>
      <c r="X4482" s="1"/>
      <c r="Y4482" s="1"/>
      <c r="AB4482" s="1"/>
      <c r="AC4482" s="1"/>
      <c r="AD4482" s="1"/>
      <c r="AE4482" s="1"/>
      <c r="AF4482" s="1"/>
      <c r="AG4482" s="1"/>
      <c r="AH4482" s="1"/>
      <c r="AI4482" s="1"/>
      <c r="AJ4482" s="1"/>
      <c r="AK4482" s="1"/>
      <c r="AL4482" s="1"/>
      <c r="AM4482" s="1"/>
    </row>
    <row r="4483" spans="16:39" x14ac:dyDescent="0.25">
      <c r="P4483" s="49"/>
      <c r="Q4483" s="1"/>
      <c r="S4483" s="1"/>
      <c r="T4483" s="1"/>
      <c r="U4483" s="1"/>
      <c r="V4483" s="1"/>
      <c r="W4483" s="1"/>
      <c r="X4483" s="1"/>
      <c r="Y4483" s="1"/>
      <c r="AB4483" s="1"/>
      <c r="AC4483" s="1"/>
      <c r="AD4483" s="1"/>
      <c r="AE4483" s="1"/>
      <c r="AF4483" s="1"/>
      <c r="AG4483" s="1"/>
      <c r="AH4483" s="1"/>
      <c r="AI4483" s="1"/>
      <c r="AJ4483" s="1"/>
      <c r="AK4483" s="1"/>
      <c r="AL4483" s="1"/>
      <c r="AM4483" s="1"/>
    </row>
    <row r="4484" spans="16:39" x14ac:dyDescent="0.25">
      <c r="P4484" s="49"/>
      <c r="Q4484" s="1"/>
      <c r="S4484" s="1"/>
      <c r="T4484" s="1"/>
      <c r="U4484" s="1"/>
      <c r="V4484" s="1"/>
      <c r="W4484" s="1"/>
      <c r="X4484" s="1"/>
      <c r="Y4484" s="1"/>
      <c r="AB4484" s="1"/>
      <c r="AC4484" s="1"/>
      <c r="AD4484" s="1"/>
      <c r="AE4484" s="1"/>
      <c r="AF4484" s="1"/>
      <c r="AG4484" s="1"/>
      <c r="AH4484" s="1"/>
      <c r="AI4484" s="1"/>
      <c r="AJ4484" s="1"/>
      <c r="AK4484" s="1"/>
      <c r="AL4484" s="1"/>
      <c r="AM4484" s="1"/>
    </row>
    <row r="4485" spans="16:39" x14ac:dyDescent="0.25">
      <c r="P4485" s="49"/>
      <c r="Q4485" s="1"/>
      <c r="S4485" s="1"/>
      <c r="T4485" s="1"/>
      <c r="U4485" s="1"/>
      <c r="V4485" s="1"/>
      <c r="W4485" s="1"/>
      <c r="X4485" s="1"/>
      <c r="Y4485" s="1"/>
      <c r="AB4485" s="1"/>
      <c r="AC4485" s="1"/>
      <c r="AD4485" s="1"/>
      <c r="AE4485" s="1"/>
      <c r="AF4485" s="1"/>
      <c r="AG4485" s="1"/>
      <c r="AH4485" s="1"/>
      <c r="AI4485" s="1"/>
      <c r="AJ4485" s="1"/>
      <c r="AK4485" s="1"/>
      <c r="AL4485" s="1"/>
      <c r="AM4485" s="1"/>
    </row>
    <row r="4486" spans="16:39" x14ac:dyDescent="0.25">
      <c r="P4486" s="49"/>
      <c r="Q4486" s="1"/>
      <c r="S4486" s="1"/>
      <c r="T4486" s="1"/>
      <c r="U4486" s="1"/>
      <c r="V4486" s="1"/>
      <c r="W4486" s="1"/>
      <c r="X4486" s="1"/>
      <c r="Y4486" s="1"/>
      <c r="AB4486" s="1"/>
      <c r="AC4486" s="1"/>
      <c r="AD4486" s="1"/>
      <c r="AE4486" s="1"/>
      <c r="AF4486" s="1"/>
      <c r="AG4486" s="1"/>
      <c r="AH4486" s="1"/>
      <c r="AI4486" s="1"/>
      <c r="AJ4486" s="1"/>
      <c r="AK4486" s="1"/>
      <c r="AL4486" s="1"/>
      <c r="AM4486" s="1"/>
    </row>
    <row r="4487" spans="16:39" x14ac:dyDescent="0.25">
      <c r="P4487" s="49"/>
      <c r="Q4487" s="1"/>
      <c r="S4487" s="1"/>
      <c r="T4487" s="1"/>
      <c r="U4487" s="1"/>
      <c r="V4487" s="1"/>
      <c r="W4487" s="1"/>
      <c r="X4487" s="1"/>
      <c r="Y4487" s="1"/>
      <c r="AB4487" s="1"/>
      <c r="AC4487" s="1"/>
      <c r="AD4487" s="1"/>
      <c r="AE4487" s="1"/>
      <c r="AF4487" s="1"/>
      <c r="AG4487" s="1"/>
      <c r="AH4487" s="1"/>
      <c r="AI4487" s="1"/>
      <c r="AJ4487" s="1"/>
      <c r="AK4487" s="1"/>
      <c r="AL4487" s="1"/>
      <c r="AM4487" s="1"/>
    </row>
    <row r="4488" spans="16:39" x14ac:dyDescent="0.25">
      <c r="P4488" s="49"/>
      <c r="Q4488" s="1"/>
      <c r="S4488" s="1"/>
      <c r="T4488" s="1"/>
      <c r="U4488" s="1"/>
      <c r="V4488" s="1"/>
      <c r="W4488" s="1"/>
      <c r="X4488" s="1"/>
      <c r="Y4488" s="1"/>
      <c r="AB4488" s="1"/>
      <c r="AC4488" s="1"/>
      <c r="AD4488" s="1"/>
      <c r="AE4488" s="1"/>
      <c r="AF4488" s="1"/>
      <c r="AG4488" s="1"/>
      <c r="AH4488" s="1"/>
      <c r="AI4488" s="1"/>
      <c r="AJ4488" s="1"/>
      <c r="AK4488" s="1"/>
      <c r="AL4488" s="1"/>
      <c r="AM4488" s="1"/>
    </row>
    <row r="4489" spans="16:39" x14ac:dyDescent="0.25">
      <c r="P4489" s="49"/>
      <c r="Q4489" s="1"/>
      <c r="S4489" s="1"/>
      <c r="T4489" s="1"/>
      <c r="U4489" s="1"/>
      <c r="V4489" s="1"/>
      <c r="W4489" s="1"/>
      <c r="X4489" s="1"/>
      <c r="Y4489" s="1"/>
      <c r="AB4489" s="1"/>
      <c r="AC4489" s="1"/>
      <c r="AD4489" s="1"/>
      <c r="AE4489" s="1"/>
      <c r="AF4489" s="1"/>
      <c r="AG4489" s="1"/>
      <c r="AH4489" s="1"/>
      <c r="AI4489" s="1"/>
      <c r="AJ4489" s="1"/>
      <c r="AK4489" s="1"/>
      <c r="AL4489" s="1"/>
      <c r="AM4489" s="1"/>
    </row>
    <row r="4490" spans="16:39" x14ac:dyDescent="0.25">
      <c r="P4490" s="49"/>
      <c r="Q4490" s="1"/>
      <c r="S4490" s="1"/>
      <c r="T4490" s="1"/>
      <c r="U4490" s="1"/>
      <c r="V4490" s="1"/>
      <c r="W4490" s="1"/>
      <c r="X4490" s="1"/>
      <c r="Y4490" s="1"/>
      <c r="AB4490" s="1"/>
      <c r="AC4490" s="1"/>
      <c r="AD4490" s="1"/>
      <c r="AE4490" s="1"/>
      <c r="AF4490" s="1"/>
      <c r="AG4490" s="1"/>
      <c r="AH4490" s="1"/>
      <c r="AI4490" s="1"/>
      <c r="AJ4490" s="1"/>
      <c r="AK4490" s="1"/>
      <c r="AL4490" s="1"/>
      <c r="AM4490" s="1"/>
    </row>
    <row r="4491" spans="16:39" x14ac:dyDescent="0.25">
      <c r="P4491" s="49"/>
      <c r="Q4491" s="1"/>
      <c r="S4491" s="1"/>
      <c r="T4491" s="1"/>
      <c r="U4491" s="1"/>
      <c r="V4491" s="1"/>
      <c r="W4491" s="1"/>
      <c r="X4491" s="1"/>
      <c r="Y4491" s="1"/>
      <c r="AB4491" s="1"/>
      <c r="AC4491" s="1"/>
      <c r="AD4491" s="1"/>
      <c r="AE4491" s="1"/>
      <c r="AF4491" s="1"/>
      <c r="AG4491" s="1"/>
      <c r="AH4491" s="1"/>
      <c r="AI4491" s="1"/>
      <c r="AJ4491" s="1"/>
      <c r="AK4491" s="1"/>
      <c r="AL4491" s="1"/>
      <c r="AM4491" s="1"/>
    </row>
    <row r="4492" spans="16:39" x14ac:dyDescent="0.25">
      <c r="P4492" s="49"/>
      <c r="Q4492" s="1"/>
      <c r="S4492" s="1"/>
      <c r="T4492" s="1"/>
      <c r="U4492" s="1"/>
      <c r="V4492" s="1"/>
      <c r="W4492" s="1"/>
      <c r="X4492" s="1"/>
      <c r="Y4492" s="1"/>
      <c r="AB4492" s="1"/>
      <c r="AC4492" s="1"/>
      <c r="AD4492" s="1"/>
      <c r="AE4492" s="1"/>
      <c r="AF4492" s="1"/>
      <c r="AG4492" s="1"/>
      <c r="AH4492" s="1"/>
      <c r="AI4492" s="1"/>
      <c r="AJ4492" s="1"/>
      <c r="AK4492" s="1"/>
      <c r="AL4492" s="1"/>
      <c r="AM4492" s="1"/>
    </row>
    <row r="4493" spans="16:39" x14ac:dyDescent="0.25">
      <c r="P4493" s="49"/>
      <c r="Q4493" s="1"/>
      <c r="S4493" s="1"/>
      <c r="T4493" s="1"/>
      <c r="U4493" s="1"/>
      <c r="V4493" s="1"/>
      <c r="W4493" s="1"/>
      <c r="X4493" s="1"/>
      <c r="Y4493" s="1"/>
      <c r="AB4493" s="1"/>
      <c r="AC4493" s="1"/>
      <c r="AD4493" s="1"/>
      <c r="AE4493" s="1"/>
      <c r="AF4493" s="1"/>
      <c r="AG4493" s="1"/>
      <c r="AH4493" s="1"/>
      <c r="AI4493" s="1"/>
      <c r="AJ4493" s="1"/>
      <c r="AK4493" s="1"/>
      <c r="AL4493" s="1"/>
      <c r="AM4493" s="1"/>
    </row>
    <row r="4494" spans="16:39" x14ac:dyDescent="0.25">
      <c r="P4494" s="49"/>
      <c r="Q4494" s="1"/>
      <c r="S4494" s="1"/>
      <c r="T4494" s="1"/>
      <c r="U4494" s="1"/>
      <c r="V4494" s="1"/>
      <c r="W4494" s="1"/>
      <c r="X4494" s="1"/>
      <c r="Y4494" s="1"/>
      <c r="AB4494" s="1"/>
      <c r="AC4494" s="1"/>
      <c r="AD4494" s="1"/>
      <c r="AE4494" s="1"/>
      <c r="AF4494" s="1"/>
      <c r="AG4494" s="1"/>
      <c r="AH4494" s="1"/>
      <c r="AI4494" s="1"/>
      <c r="AJ4494" s="1"/>
      <c r="AK4494" s="1"/>
      <c r="AL4494" s="1"/>
      <c r="AM4494" s="1"/>
    </row>
    <row r="4495" spans="16:39" x14ac:dyDescent="0.25">
      <c r="P4495" s="49"/>
      <c r="Q4495" s="1"/>
      <c r="S4495" s="1"/>
      <c r="T4495" s="1"/>
      <c r="U4495" s="1"/>
      <c r="V4495" s="1"/>
      <c r="W4495" s="1"/>
      <c r="X4495" s="1"/>
      <c r="Y4495" s="1"/>
      <c r="AB4495" s="1"/>
      <c r="AC4495" s="1"/>
      <c r="AD4495" s="1"/>
      <c r="AE4495" s="1"/>
      <c r="AF4495" s="1"/>
      <c r="AG4495" s="1"/>
      <c r="AH4495" s="1"/>
      <c r="AI4495" s="1"/>
      <c r="AJ4495" s="1"/>
      <c r="AK4495" s="1"/>
      <c r="AL4495" s="1"/>
      <c r="AM4495" s="1"/>
    </row>
    <row r="4496" spans="16:39" x14ac:dyDescent="0.25">
      <c r="P4496" s="49"/>
      <c r="Q4496" s="1"/>
      <c r="S4496" s="1"/>
      <c r="T4496" s="1"/>
      <c r="U4496" s="1"/>
      <c r="V4496" s="1"/>
      <c r="W4496" s="1"/>
      <c r="X4496" s="1"/>
      <c r="Y4496" s="1"/>
      <c r="AB4496" s="1"/>
      <c r="AC4496" s="1"/>
      <c r="AD4496" s="1"/>
      <c r="AE4496" s="1"/>
      <c r="AF4496" s="1"/>
      <c r="AG4496" s="1"/>
      <c r="AH4496" s="1"/>
      <c r="AI4496" s="1"/>
      <c r="AJ4496" s="1"/>
      <c r="AK4496" s="1"/>
      <c r="AL4496" s="1"/>
      <c r="AM4496" s="1"/>
    </row>
    <row r="4497" spans="16:39" x14ac:dyDescent="0.25">
      <c r="P4497" s="49"/>
      <c r="Q4497" s="1"/>
      <c r="S4497" s="1"/>
      <c r="T4497" s="1"/>
      <c r="U4497" s="1"/>
      <c r="V4497" s="1"/>
      <c r="W4497" s="1"/>
      <c r="X4497" s="1"/>
      <c r="Y4497" s="1"/>
      <c r="AB4497" s="1"/>
      <c r="AC4497" s="1"/>
      <c r="AD4497" s="1"/>
      <c r="AE4497" s="1"/>
      <c r="AF4497" s="1"/>
      <c r="AG4497" s="1"/>
      <c r="AH4497" s="1"/>
      <c r="AI4497" s="1"/>
      <c r="AJ4497" s="1"/>
      <c r="AK4497" s="1"/>
      <c r="AL4497" s="1"/>
      <c r="AM4497" s="1"/>
    </row>
    <row r="4498" spans="16:39" x14ac:dyDescent="0.25">
      <c r="P4498" s="49"/>
      <c r="Q4498" s="1"/>
      <c r="S4498" s="1"/>
      <c r="T4498" s="1"/>
      <c r="U4498" s="1"/>
      <c r="V4498" s="1"/>
      <c r="W4498" s="1"/>
      <c r="X4498" s="1"/>
      <c r="Y4498" s="1"/>
      <c r="AB4498" s="1"/>
      <c r="AC4498" s="1"/>
      <c r="AD4498" s="1"/>
      <c r="AE4498" s="1"/>
      <c r="AF4498" s="1"/>
      <c r="AG4498" s="1"/>
      <c r="AH4498" s="1"/>
      <c r="AI4498" s="1"/>
      <c r="AJ4498" s="1"/>
      <c r="AK4498" s="1"/>
      <c r="AL4498" s="1"/>
      <c r="AM4498" s="1"/>
    </row>
    <row r="4499" spans="16:39" x14ac:dyDescent="0.25">
      <c r="P4499" s="49"/>
      <c r="Q4499" s="1"/>
      <c r="S4499" s="1"/>
      <c r="T4499" s="1"/>
      <c r="U4499" s="1"/>
      <c r="V4499" s="1"/>
      <c r="W4499" s="1"/>
      <c r="X4499" s="1"/>
      <c r="Y4499" s="1"/>
      <c r="AB4499" s="1"/>
      <c r="AC4499" s="1"/>
      <c r="AD4499" s="1"/>
      <c r="AE4499" s="1"/>
      <c r="AF4499" s="1"/>
      <c r="AG4499" s="1"/>
      <c r="AH4499" s="1"/>
      <c r="AI4499" s="1"/>
      <c r="AJ4499" s="1"/>
      <c r="AK4499" s="1"/>
      <c r="AL4499" s="1"/>
      <c r="AM4499" s="1"/>
    </row>
    <row r="4500" spans="16:39" x14ac:dyDescent="0.25">
      <c r="P4500" s="49"/>
      <c r="Q4500" s="1"/>
      <c r="S4500" s="1"/>
      <c r="T4500" s="1"/>
      <c r="U4500" s="1"/>
      <c r="V4500" s="1"/>
      <c r="W4500" s="1"/>
      <c r="X4500" s="1"/>
      <c r="Y4500" s="1"/>
      <c r="AB4500" s="1"/>
      <c r="AC4500" s="1"/>
      <c r="AD4500" s="1"/>
      <c r="AE4500" s="1"/>
      <c r="AF4500" s="1"/>
      <c r="AG4500" s="1"/>
      <c r="AH4500" s="1"/>
      <c r="AI4500" s="1"/>
      <c r="AJ4500" s="1"/>
      <c r="AK4500" s="1"/>
      <c r="AL4500" s="1"/>
      <c r="AM4500" s="1"/>
    </row>
    <row r="4501" spans="16:39" x14ac:dyDescent="0.25">
      <c r="P4501" s="49"/>
      <c r="Q4501" s="1"/>
      <c r="S4501" s="1"/>
      <c r="T4501" s="1"/>
      <c r="U4501" s="1"/>
      <c r="V4501" s="1"/>
      <c r="W4501" s="1"/>
      <c r="X4501" s="1"/>
      <c r="Y4501" s="1"/>
      <c r="AB4501" s="1"/>
      <c r="AC4501" s="1"/>
      <c r="AD4501" s="1"/>
      <c r="AE4501" s="1"/>
      <c r="AF4501" s="1"/>
      <c r="AG4501" s="1"/>
      <c r="AH4501" s="1"/>
      <c r="AI4501" s="1"/>
      <c r="AJ4501" s="1"/>
      <c r="AK4501" s="1"/>
      <c r="AL4501" s="1"/>
      <c r="AM4501" s="1"/>
    </row>
    <row r="4502" spans="16:39" x14ac:dyDescent="0.25">
      <c r="P4502" s="49"/>
      <c r="Q4502" s="1"/>
      <c r="S4502" s="1"/>
      <c r="T4502" s="1"/>
      <c r="U4502" s="1"/>
      <c r="V4502" s="1"/>
      <c r="W4502" s="1"/>
      <c r="X4502" s="1"/>
      <c r="Y4502" s="1"/>
      <c r="AB4502" s="1"/>
      <c r="AC4502" s="1"/>
      <c r="AD4502" s="1"/>
      <c r="AE4502" s="1"/>
      <c r="AF4502" s="1"/>
      <c r="AG4502" s="1"/>
      <c r="AH4502" s="1"/>
      <c r="AI4502" s="1"/>
      <c r="AJ4502" s="1"/>
      <c r="AK4502" s="1"/>
      <c r="AL4502" s="1"/>
      <c r="AM4502" s="1"/>
    </row>
    <row r="4503" spans="16:39" x14ac:dyDescent="0.25">
      <c r="P4503" s="49"/>
      <c r="Q4503" s="1"/>
      <c r="S4503" s="1"/>
      <c r="T4503" s="1"/>
      <c r="U4503" s="1"/>
      <c r="V4503" s="1"/>
      <c r="W4503" s="1"/>
      <c r="X4503" s="1"/>
      <c r="Y4503" s="1"/>
      <c r="AB4503" s="1"/>
      <c r="AC4503" s="1"/>
      <c r="AD4503" s="1"/>
      <c r="AE4503" s="1"/>
      <c r="AF4503" s="1"/>
      <c r="AG4503" s="1"/>
      <c r="AH4503" s="1"/>
      <c r="AI4503" s="1"/>
      <c r="AJ4503" s="1"/>
      <c r="AK4503" s="1"/>
      <c r="AL4503" s="1"/>
      <c r="AM4503" s="1"/>
    </row>
    <row r="4504" spans="16:39" x14ac:dyDescent="0.25">
      <c r="P4504" s="49"/>
      <c r="Q4504" s="1"/>
      <c r="S4504" s="1"/>
      <c r="T4504" s="1"/>
      <c r="U4504" s="1"/>
      <c r="V4504" s="1"/>
      <c r="W4504" s="1"/>
      <c r="X4504" s="1"/>
      <c r="Y4504" s="1"/>
      <c r="AB4504" s="1"/>
      <c r="AC4504" s="1"/>
      <c r="AD4504" s="1"/>
      <c r="AE4504" s="1"/>
      <c r="AF4504" s="1"/>
      <c r="AG4504" s="1"/>
      <c r="AH4504" s="1"/>
      <c r="AI4504" s="1"/>
      <c r="AJ4504" s="1"/>
      <c r="AK4504" s="1"/>
      <c r="AL4504" s="1"/>
      <c r="AM4504" s="1"/>
    </row>
    <row r="4505" spans="16:39" x14ac:dyDescent="0.25">
      <c r="P4505" s="49"/>
      <c r="Q4505" s="1"/>
      <c r="S4505" s="1"/>
      <c r="T4505" s="1"/>
      <c r="U4505" s="1"/>
      <c r="V4505" s="1"/>
      <c r="W4505" s="1"/>
      <c r="X4505" s="1"/>
      <c r="Y4505" s="1"/>
      <c r="AB4505" s="1"/>
      <c r="AC4505" s="1"/>
      <c r="AD4505" s="1"/>
      <c r="AE4505" s="1"/>
      <c r="AF4505" s="1"/>
      <c r="AG4505" s="1"/>
      <c r="AH4505" s="1"/>
      <c r="AI4505" s="1"/>
      <c r="AJ4505" s="1"/>
      <c r="AK4505" s="1"/>
      <c r="AL4505" s="1"/>
      <c r="AM4505" s="1"/>
    </row>
    <row r="4506" spans="16:39" x14ac:dyDescent="0.25">
      <c r="P4506" s="49"/>
      <c r="Q4506" s="1"/>
      <c r="S4506" s="1"/>
      <c r="T4506" s="1"/>
      <c r="U4506" s="1"/>
      <c r="V4506" s="1"/>
      <c r="W4506" s="1"/>
      <c r="X4506" s="1"/>
      <c r="Y4506" s="1"/>
      <c r="AB4506" s="1"/>
      <c r="AC4506" s="1"/>
      <c r="AD4506" s="1"/>
      <c r="AE4506" s="1"/>
      <c r="AF4506" s="1"/>
      <c r="AG4506" s="1"/>
      <c r="AH4506" s="1"/>
      <c r="AI4506" s="1"/>
      <c r="AJ4506" s="1"/>
      <c r="AK4506" s="1"/>
      <c r="AL4506" s="1"/>
      <c r="AM4506" s="1"/>
    </row>
    <row r="4507" spans="16:39" x14ac:dyDescent="0.25">
      <c r="P4507" s="49"/>
      <c r="Q4507" s="1"/>
      <c r="S4507" s="1"/>
      <c r="T4507" s="1"/>
      <c r="U4507" s="1"/>
      <c r="V4507" s="1"/>
      <c r="W4507" s="1"/>
      <c r="X4507" s="1"/>
      <c r="Y4507" s="1"/>
      <c r="AB4507" s="1"/>
      <c r="AC4507" s="1"/>
      <c r="AD4507" s="1"/>
      <c r="AE4507" s="1"/>
      <c r="AF4507" s="1"/>
      <c r="AG4507" s="1"/>
      <c r="AH4507" s="1"/>
      <c r="AI4507" s="1"/>
      <c r="AJ4507" s="1"/>
      <c r="AK4507" s="1"/>
      <c r="AL4507" s="1"/>
      <c r="AM4507" s="1"/>
    </row>
    <row r="4508" spans="16:39" x14ac:dyDescent="0.25">
      <c r="P4508" s="49"/>
      <c r="Q4508" s="1"/>
      <c r="S4508" s="1"/>
      <c r="T4508" s="1"/>
      <c r="U4508" s="1"/>
      <c r="V4508" s="1"/>
      <c r="W4508" s="1"/>
      <c r="X4508" s="1"/>
      <c r="Y4508" s="1"/>
      <c r="AB4508" s="1"/>
      <c r="AC4508" s="1"/>
      <c r="AD4508" s="1"/>
      <c r="AE4508" s="1"/>
      <c r="AF4508" s="1"/>
      <c r="AG4508" s="1"/>
      <c r="AH4508" s="1"/>
      <c r="AI4508" s="1"/>
      <c r="AJ4508" s="1"/>
      <c r="AK4508" s="1"/>
      <c r="AL4508" s="1"/>
      <c r="AM4508" s="1"/>
    </row>
    <row r="4509" spans="16:39" x14ac:dyDescent="0.25">
      <c r="P4509" s="49"/>
      <c r="Q4509" s="1"/>
      <c r="S4509" s="1"/>
      <c r="T4509" s="1"/>
      <c r="U4509" s="1"/>
      <c r="V4509" s="1"/>
      <c r="W4509" s="1"/>
      <c r="X4509" s="1"/>
      <c r="Y4509" s="1"/>
      <c r="AB4509" s="1"/>
      <c r="AC4509" s="1"/>
      <c r="AD4509" s="1"/>
      <c r="AE4509" s="1"/>
      <c r="AF4509" s="1"/>
      <c r="AG4509" s="1"/>
      <c r="AH4509" s="1"/>
      <c r="AI4509" s="1"/>
      <c r="AJ4509" s="1"/>
      <c r="AK4509" s="1"/>
      <c r="AL4509" s="1"/>
      <c r="AM4509" s="1"/>
    </row>
    <row r="4510" spans="16:39" x14ac:dyDescent="0.25">
      <c r="P4510" s="49"/>
      <c r="Q4510" s="1"/>
      <c r="S4510" s="1"/>
      <c r="T4510" s="1"/>
      <c r="U4510" s="1"/>
      <c r="V4510" s="1"/>
      <c r="W4510" s="1"/>
      <c r="X4510" s="1"/>
      <c r="Y4510" s="1"/>
      <c r="AB4510" s="1"/>
      <c r="AC4510" s="1"/>
      <c r="AD4510" s="1"/>
      <c r="AE4510" s="1"/>
      <c r="AF4510" s="1"/>
      <c r="AG4510" s="1"/>
      <c r="AH4510" s="1"/>
      <c r="AI4510" s="1"/>
      <c r="AJ4510" s="1"/>
      <c r="AK4510" s="1"/>
      <c r="AL4510" s="1"/>
      <c r="AM4510" s="1"/>
    </row>
    <row r="4511" spans="16:39" x14ac:dyDescent="0.25">
      <c r="P4511" s="49"/>
      <c r="Q4511" s="1"/>
      <c r="S4511" s="1"/>
      <c r="T4511" s="1"/>
      <c r="U4511" s="1"/>
      <c r="V4511" s="1"/>
      <c r="W4511" s="1"/>
      <c r="X4511" s="1"/>
      <c r="Y4511" s="1"/>
      <c r="AB4511" s="1"/>
      <c r="AC4511" s="1"/>
      <c r="AD4511" s="1"/>
      <c r="AE4511" s="1"/>
      <c r="AF4511" s="1"/>
      <c r="AG4511" s="1"/>
      <c r="AH4511" s="1"/>
      <c r="AI4511" s="1"/>
      <c r="AJ4511" s="1"/>
      <c r="AK4511" s="1"/>
      <c r="AL4511" s="1"/>
      <c r="AM4511" s="1"/>
    </row>
    <row r="4512" spans="16:39" x14ac:dyDescent="0.25">
      <c r="P4512" s="49"/>
      <c r="Q4512" s="1"/>
      <c r="S4512" s="1"/>
      <c r="T4512" s="1"/>
      <c r="U4512" s="1"/>
      <c r="V4512" s="1"/>
      <c r="W4512" s="1"/>
      <c r="X4512" s="1"/>
      <c r="Y4512" s="1"/>
      <c r="AB4512" s="1"/>
      <c r="AC4512" s="1"/>
      <c r="AD4512" s="1"/>
      <c r="AE4512" s="1"/>
      <c r="AF4512" s="1"/>
      <c r="AG4512" s="1"/>
      <c r="AH4512" s="1"/>
      <c r="AI4512" s="1"/>
      <c r="AJ4512" s="1"/>
      <c r="AK4512" s="1"/>
      <c r="AL4512" s="1"/>
      <c r="AM4512" s="1"/>
    </row>
    <row r="4513" spans="16:39" x14ac:dyDescent="0.25">
      <c r="P4513" s="49"/>
      <c r="Q4513" s="1"/>
      <c r="S4513" s="1"/>
      <c r="T4513" s="1"/>
      <c r="U4513" s="1"/>
      <c r="V4513" s="1"/>
      <c r="W4513" s="1"/>
      <c r="X4513" s="1"/>
      <c r="Y4513" s="1"/>
      <c r="AB4513" s="1"/>
      <c r="AC4513" s="1"/>
      <c r="AD4513" s="1"/>
      <c r="AE4513" s="1"/>
      <c r="AF4513" s="1"/>
      <c r="AG4513" s="1"/>
      <c r="AH4513" s="1"/>
      <c r="AI4513" s="1"/>
      <c r="AJ4513" s="1"/>
      <c r="AK4513" s="1"/>
      <c r="AL4513" s="1"/>
      <c r="AM4513" s="1"/>
    </row>
    <row r="4514" spans="16:39" x14ac:dyDescent="0.25">
      <c r="P4514" s="49"/>
      <c r="Q4514" s="1"/>
      <c r="S4514" s="1"/>
      <c r="T4514" s="1"/>
      <c r="U4514" s="1"/>
      <c r="V4514" s="1"/>
      <c r="W4514" s="1"/>
      <c r="X4514" s="1"/>
      <c r="Y4514" s="1"/>
      <c r="AB4514" s="1"/>
      <c r="AC4514" s="1"/>
      <c r="AD4514" s="1"/>
      <c r="AE4514" s="1"/>
      <c r="AF4514" s="1"/>
      <c r="AG4514" s="1"/>
      <c r="AH4514" s="1"/>
      <c r="AI4514" s="1"/>
      <c r="AJ4514" s="1"/>
      <c r="AK4514" s="1"/>
      <c r="AL4514" s="1"/>
      <c r="AM4514" s="1"/>
    </row>
    <row r="4515" spans="16:39" x14ac:dyDescent="0.25">
      <c r="P4515" s="49"/>
      <c r="Q4515" s="1"/>
      <c r="S4515" s="1"/>
      <c r="T4515" s="1"/>
      <c r="U4515" s="1"/>
      <c r="V4515" s="1"/>
      <c r="W4515" s="1"/>
      <c r="X4515" s="1"/>
      <c r="Y4515" s="1"/>
      <c r="AB4515" s="1"/>
      <c r="AC4515" s="1"/>
      <c r="AD4515" s="1"/>
      <c r="AE4515" s="1"/>
      <c r="AF4515" s="1"/>
      <c r="AG4515" s="1"/>
      <c r="AH4515" s="1"/>
      <c r="AI4515" s="1"/>
      <c r="AJ4515" s="1"/>
      <c r="AK4515" s="1"/>
      <c r="AL4515" s="1"/>
      <c r="AM4515" s="1"/>
    </row>
    <row r="4516" spans="16:39" x14ac:dyDescent="0.25">
      <c r="P4516" s="49"/>
      <c r="Q4516" s="1"/>
      <c r="S4516" s="1"/>
      <c r="T4516" s="1"/>
      <c r="U4516" s="1"/>
      <c r="V4516" s="1"/>
      <c r="W4516" s="1"/>
      <c r="X4516" s="1"/>
      <c r="Y4516" s="1"/>
      <c r="AB4516" s="1"/>
      <c r="AC4516" s="1"/>
      <c r="AD4516" s="1"/>
      <c r="AE4516" s="1"/>
      <c r="AF4516" s="1"/>
      <c r="AG4516" s="1"/>
      <c r="AH4516" s="1"/>
      <c r="AI4516" s="1"/>
      <c r="AJ4516" s="1"/>
      <c r="AK4516" s="1"/>
      <c r="AL4516" s="1"/>
      <c r="AM4516" s="1"/>
    </row>
    <row r="4517" spans="16:39" x14ac:dyDescent="0.25">
      <c r="P4517" s="49"/>
      <c r="Q4517" s="1"/>
      <c r="S4517" s="1"/>
      <c r="T4517" s="1"/>
      <c r="U4517" s="1"/>
      <c r="V4517" s="1"/>
      <c r="W4517" s="1"/>
      <c r="X4517" s="1"/>
      <c r="Y4517" s="1"/>
      <c r="AB4517" s="1"/>
      <c r="AC4517" s="1"/>
      <c r="AD4517" s="1"/>
      <c r="AE4517" s="1"/>
      <c r="AF4517" s="1"/>
      <c r="AG4517" s="1"/>
      <c r="AH4517" s="1"/>
      <c r="AI4517" s="1"/>
      <c r="AJ4517" s="1"/>
      <c r="AK4517" s="1"/>
      <c r="AL4517" s="1"/>
      <c r="AM4517" s="1"/>
    </row>
    <row r="4518" spans="16:39" x14ac:dyDescent="0.25">
      <c r="P4518" s="49"/>
      <c r="Q4518" s="1"/>
      <c r="S4518" s="1"/>
      <c r="T4518" s="1"/>
      <c r="U4518" s="1"/>
      <c r="V4518" s="1"/>
      <c r="W4518" s="1"/>
      <c r="X4518" s="1"/>
      <c r="Y4518" s="1"/>
      <c r="AB4518" s="1"/>
      <c r="AC4518" s="1"/>
      <c r="AD4518" s="1"/>
      <c r="AE4518" s="1"/>
      <c r="AF4518" s="1"/>
      <c r="AG4518" s="1"/>
      <c r="AH4518" s="1"/>
      <c r="AI4518" s="1"/>
      <c r="AJ4518" s="1"/>
      <c r="AK4518" s="1"/>
      <c r="AL4518" s="1"/>
      <c r="AM4518" s="1"/>
    </row>
    <row r="4519" spans="16:39" x14ac:dyDescent="0.25">
      <c r="P4519" s="49"/>
      <c r="Q4519" s="1"/>
      <c r="S4519" s="1"/>
      <c r="T4519" s="1"/>
      <c r="U4519" s="1"/>
      <c r="V4519" s="1"/>
      <c r="W4519" s="1"/>
      <c r="X4519" s="1"/>
      <c r="Y4519" s="1"/>
      <c r="AB4519" s="1"/>
      <c r="AC4519" s="1"/>
      <c r="AD4519" s="1"/>
      <c r="AE4519" s="1"/>
      <c r="AF4519" s="1"/>
      <c r="AG4519" s="1"/>
      <c r="AH4519" s="1"/>
      <c r="AI4519" s="1"/>
      <c r="AJ4519" s="1"/>
      <c r="AK4519" s="1"/>
      <c r="AL4519" s="1"/>
      <c r="AM4519" s="1"/>
    </row>
    <row r="4520" spans="16:39" x14ac:dyDescent="0.25">
      <c r="P4520" s="49"/>
      <c r="Q4520" s="1"/>
      <c r="S4520" s="1"/>
      <c r="T4520" s="1"/>
      <c r="U4520" s="1"/>
      <c r="V4520" s="1"/>
      <c r="W4520" s="1"/>
      <c r="X4520" s="1"/>
      <c r="Y4520" s="1"/>
      <c r="AB4520" s="1"/>
      <c r="AC4520" s="1"/>
      <c r="AD4520" s="1"/>
      <c r="AE4520" s="1"/>
      <c r="AF4520" s="1"/>
      <c r="AG4520" s="1"/>
      <c r="AH4520" s="1"/>
      <c r="AI4520" s="1"/>
      <c r="AJ4520" s="1"/>
      <c r="AK4520" s="1"/>
      <c r="AL4520" s="1"/>
      <c r="AM4520" s="1"/>
    </row>
    <row r="4521" spans="16:39" x14ac:dyDescent="0.25">
      <c r="P4521" s="49"/>
      <c r="Q4521" s="1"/>
      <c r="S4521" s="1"/>
      <c r="T4521" s="1"/>
      <c r="U4521" s="1"/>
      <c r="V4521" s="1"/>
      <c r="W4521" s="1"/>
      <c r="X4521" s="1"/>
      <c r="Y4521" s="1"/>
      <c r="AB4521" s="1"/>
      <c r="AC4521" s="1"/>
      <c r="AD4521" s="1"/>
      <c r="AE4521" s="1"/>
      <c r="AF4521" s="1"/>
      <c r="AG4521" s="1"/>
      <c r="AH4521" s="1"/>
      <c r="AI4521" s="1"/>
      <c r="AJ4521" s="1"/>
      <c r="AK4521" s="1"/>
      <c r="AL4521" s="1"/>
      <c r="AM4521" s="1"/>
    </row>
    <row r="4522" spans="16:39" x14ac:dyDescent="0.25">
      <c r="P4522" s="49"/>
      <c r="Q4522" s="1"/>
      <c r="S4522" s="1"/>
      <c r="T4522" s="1"/>
      <c r="U4522" s="1"/>
      <c r="V4522" s="1"/>
      <c r="W4522" s="1"/>
      <c r="X4522" s="1"/>
      <c r="Y4522" s="1"/>
      <c r="AB4522" s="1"/>
      <c r="AC4522" s="1"/>
      <c r="AD4522" s="1"/>
      <c r="AE4522" s="1"/>
      <c r="AF4522" s="1"/>
      <c r="AG4522" s="1"/>
      <c r="AH4522" s="1"/>
      <c r="AI4522" s="1"/>
      <c r="AJ4522" s="1"/>
      <c r="AK4522" s="1"/>
      <c r="AL4522" s="1"/>
      <c r="AM4522" s="1"/>
    </row>
    <row r="4523" spans="16:39" x14ac:dyDescent="0.25">
      <c r="P4523" s="49"/>
      <c r="Q4523" s="1"/>
      <c r="S4523" s="1"/>
      <c r="T4523" s="1"/>
      <c r="U4523" s="1"/>
      <c r="V4523" s="1"/>
      <c r="W4523" s="1"/>
      <c r="X4523" s="1"/>
      <c r="Y4523" s="1"/>
      <c r="AB4523" s="1"/>
      <c r="AC4523" s="1"/>
      <c r="AD4523" s="1"/>
      <c r="AE4523" s="1"/>
      <c r="AF4523" s="1"/>
      <c r="AG4523" s="1"/>
      <c r="AH4523" s="1"/>
      <c r="AI4523" s="1"/>
      <c r="AJ4523" s="1"/>
      <c r="AK4523" s="1"/>
      <c r="AL4523" s="1"/>
      <c r="AM4523" s="1"/>
    </row>
    <row r="4524" spans="16:39" x14ac:dyDescent="0.25">
      <c r="P4524" s="49"/>
      <c r="Q4524" s="1"/>
      <c r="S4524" s="1"/>
      <c r="T4524" s="1"/>
      <c r="U4524" s="1"/>
      <c r="V4524" s="1"/>
      <c r="W4524" s="1"/>
      <c r="X4524" s="1"/>
      <c r="Y4524" s="1"/>
      <c r="AB4524" s="1"/>
      <c r="AC4524" s="1"/>
      <c r="AD4524" s="1"/>
      <c r="AE4524" s="1"/>
      <c r="AF4524" s="1"/>
      <c r="AG4524" s="1"/>
      <c r="AH4524" s="1"/>
      <c r="AI4524" s="1"/>
      <c r="AJ4524" s="1"/>
      <c r="AK4524" s="1"/>
      <c r="AL4524" s="1"/>
      <c r="AM4524" s="1"/>
    </row>
    <row r="4525" spans="16:39" x14ac:dyDescent="0.25">
      <c r="P4525" s="49"/>
      <c r="Q4525" s="1"/>
      <c r="S4525" s="1"/>
      <c r="T4525" s="1"/>
      <c r="U4525" s="1"/>
      <c r="V4525" s="1"/>
      <c r="W4525" s="1"/>
      <c r="X4525" s="1"/>
      <c r="Y4525" s="1"/>
      <c r="AB4525" s="1"/>
      <c r="AC4525" s="1"/>
      <c r="AD4525" s="1"/>
      <c r="AE4525" s="1"/>
      <c r="AF4525" s="1"/>
      <c r="AG4525" s="1"/>
      <c r="AH4525" s="1"/>
      <c r="AI4525" s="1"/>
      <c r="AJ4525" s="1"/>
      <c r="AK4525" s="1"/>
      <c r="AL4525" s="1"/>
      <c r="AM4525" s="1"/>
    </row>
    <row r="4526" spans="16:39" x14ac:dyDescent="0.25">
      <c r="P4526" s="49"/>
      <c r="Q4526" s="1"/>
      <c r="S4526" s="1"/>
      <c r="T4526" s="1"/>
      <c r="U4526" s="1"/>
      <c r="V4526" s="1"/>
      <c r="W4526" s="1"/>
      <c r="X4526" s="1"/>
      <c r="Y4526" s="1"/>
      <c r="AB4526" s="1"/>
      <c r="AC4526" s="1"/>
      <c r="AD4526" s="1"/>
      <c r="AE4526" s="1"/>
      <c r="AF4526" s="1"/>
      <c r="AG4526" s="1"/>
      <c r="AH4526" s="1"/>
      <c r="AI4526" s="1"/>
      <c r="AJ4526" s="1"/>
      <c r="AK4526" s="1"/>
      <c r="AL4526" s="1"/>
      <c r="AM4526" s="1"/>
    </row>
    <row r="4527" spans="16:39" x14ac:dyDescent="0.25">
      <c r="P4527" s="49"/>
      <c r="Q4527" s="1"/>
      <c r="S4527" s="1"/>
      <c r="T4527" s="1"/>
      <c r="U4527" s="1"/>
      <c r="V4527" s="1"/>
      <c r="W4527" s="1"/>
      <c r="X4527" s="1"/>
      <c r="Y4527" s="1"/>
      <c r="AB4527" s="1"/>
      <c r="AC4527" s="1"/>
      <c r="AD4527" s="1"/>
      <c r="AE4527" s="1"/>
      <c r="AF4527" s="1"/>
      <c r="AG4527" s="1"/>
      <c r="AH4527" s="1"/>
      <c r="AI4527" s="1"/>
      <c r="AJ4527" s="1"/>
      <c r="AK4527" s="1"/>
      <c r="AL4527" s="1"/>
      <c r="AM4527" s="1"/>
    </row>
    <row r="4528" spans="16:39" x14ac:dyDescent="0.25">
      <c r="P4528" s="49"/>
      <c r="Q4528" s="1"/>
      <c r="S4528" s="1"/>
      <c r="T4528" s="1"/>
      <c r="U4528" s="1"/>
      <c r="V4528" s="1"/>
      <c r="W4528" s="1"/>
      <c r="X4528" s="1"/>
      <c r="Y4528" s="1"/>
      <c r="AB4528" s="1"/>
      <c r="AC4528" s="1"/>
      <c r="AD4528" s="1"/>
      <c r="AE4528" s="1"/>
      <c r="AF4528" s="1"/>
      <c r="AG4528" s="1"/>
      <c r="AH4528" s="1"/>
      <c r="AI4528" s="1"/>
      <c r="AJ4528" s="1"/>
      <c r="AK4528" s="1"/>
      <c r="AL4528" s="1"/>
      <c r="AM4528" s="1"/>
    </row>
    <row r="4529" spans="16:39" x14ac:dyDescent="0.25">
      <c r="P4529" s="49"/>
      <c r="Q4529" s="1"/>
      <c r="S4529" s="1"/>
      <c r="T4529" s="1"/>
      <c r="U4529" s="1"/>
      <c r="V4529" s="1"/>
      <c r="W4529" s="1"/>
      <c r="X4529" s="1"/>
      <c r="Y4529" s="1"/>
      <c r="AB4529" s="1"/>
      <c r="AC4529" s="1"/>
      <c r="AD4529" s="1"/>
      <c r="AE4529" s="1"/>
      <c r="AF4529" s="1"/>
      <c r="AG4529" s="1"/>
      <c r="AH4529" s="1"/>
      <c r="AI4529" s="1"/>
      <c r="AJ4529" s="1"/>
      <c r="AK4529" s="1"/>
      <c r="AL4529" s="1"/>
      <c r="AM4529" s="1"/>
    </row>
    <row r="4530" spans="16:39" x14ac:dyDescent="0.25">
      <c r="P4530" s="49"/>
      <c r="Q4530" s="1"/>
      <c r="S4530" s="1"/>
      <c r="T4530" s="1"/>
      <c r="U4530" s="1"/>
      <c r="V4530" s="1"/>
      <c r="W4530" s="1"/>
      <c r="X4530" s="1"/>
      <c r="Y4530" s="1"/>
      <c r="AB4530" s="1"/>
      <c r="AC4530" s="1"/>
      <c r="AD4530" s="1"/>
      <c r="AE4530" s="1"/>
      <c r="AF4530" s="1"/>
      <c r="AG4530" s="1"/>
      <c r="AH4530" s="1"/>
      <c r="AI4530" s="1"/>
      <c r="AJ4530" s="1"/>
      <c r="AK4530" s="1"/>
      <c r="AL4530" s="1"/>
      <c r="AM4530" s="1"/>
    </row>
    <row r="4531" spans="16:39" x14ac:dyDescent="0.25">
      <c r="P4531" s="49"/>
      <c r="Q4531" s="1"/>
      <c r="S4531" s="1"/>
      <c r="T4531" s="1"/>
      <c r="U4531" s="1"/>
      <c r="V4531" s="1"/>
      <c r="W4531" s="1"/>
      <c r="X4531" s="1"/>
      <c r="Y4531" s="1"/>
      <c r="AB4531" s="1"/>
      <c r="AC4531" s="1"/>
      <c r="AD4531" s="1"/>
      <c r="AE4531" s="1"/>
      <c r="AF4531" s="1"/>
      <c r="AG4531" s="1"/>
      <c r="AH4531" s="1"/>
      <c r="AI4531" s="1"/>
      <c r="AJ4531" s="1"/>
      <c r="AK4531" s="1"/>
      <c r="AL4531" s="1"/>
      <c r="AM4531" s="1"/>
    </row>
    <row r="4532" spans="16:39" x14ac:dyDescent="0.25">
      <c r="P4532" s="49"/>
      <c r="Q4532" s="1"/>
      <c r="S4532" s="1"/>
      <c r="T4532" s="1"/>
      <c r="U4532" s="1"/>
      <c r="V4532" s="1"/>
      <c r="W4532" s="1"/>
      <c r="X4532" s="1"/>
      <c r="Y4532" s="1"/>
      <c r="AB4532" s="1"/>
      <c r="AC4532" s="1"/>
      <c r="AD4532" s="1"/>
      <c r="AE4532" s="1"/>
      <c r="AF4532" s="1"/>
      <c r="AG4532" s="1"/>
      <c r="AH4532" s="1"/>
      <c r="AI4532" s="1"/>
      <c r="AJ4532" s="1"/>
      <c r="AK4532" s="1"/>
      <c r="AL4532" s="1"/>
      <c r="AM4532" s="1"/>
    </row>
    <row r="4533" spans="16:39" x14ac:dyDescent="0.25">
      <c r="P4533" s="49"/>
      <c r="Q4533" s="1"/>
      <c r="S4533" s="1"/>
      <c r="T4533" s="1"/>
      <c r="U4533" s="1"/>
      <c r="V4533" s="1"/>
      <c r="W4533" s="1"/>
      <c r="X4533" s="1"/>
      <c r="Y4533" s="1"/>
      <c r="AB4533" s="1"/>
      <c r="AC4533" s="1"/>
      <c r="AD4533" s="1"/>
      <c r="AE4533" s="1"/>
      <c r="AF4533" s="1"/>
      <c r="AG4533" s="1"/>
      <c r="AH4533" s="1"/>
      <c r="AI4533" s="1"/>
      <c r="AJ4533" s="1"/>
      <c r="AK4533" s="1"/>
      <c r="AL4533" s="1"/>
      <c r="AM4533" s="1"/>
    </row>
    <row r="4534" spans="16:39" x14ac:dyDescent="0.25">
      <c r="P4534" s="49"/>
      <c r="Q4534" s="1"/>
      <c r="S4534" s="1"/>
      <c r="T4534" s="1"/>
      <c r="U4534" s="1"/>
      <c r="V4534" s="1"/>
      <c r="W4534" s="1"/>
      <c r="X4534" s="1"/>
      <c r="Y4534" s="1"/>
      <c r="AB4534" s="1"/>
      <c r="AC4534" s="1"/>
      <c r="AD4534" s="1"/>
      <c r="AE4534" s="1"/>
      <c r="AF4534" s="1"/>
      <c r="AG4534" s="1"/>
      <c r="AH4534" s="1"/>
      <c r="AI4534" s="1"/>
      <c r="AJ4534" s="1"/>
      <c r="AK4534" s="1"/>
      <c r="AL4534" s="1"/>
      <c r="AM4534" s="1"/>
    </row>
    <row r="4535" spans="16:39" x14ac:dyDescent="0.25">
      <c r="P4535" s="49"/>
      <c r="Q4535" s="1"/>
      <c r="S4535" s="1"/>
      <c r="T4535" s="1"/>
      <c r="U4535" s="1"/>
      <c r="V4535" s="1"/>
      <c r="W4535" s="1"/>
      <c r="X4535" s="1"/>
      <c r="Y4535" s="1"/>
      <c r="AB4535" s="1"/>
      <c r="AC4535" s="1"/>
      <c r="AD4535" s="1"/>
      <c r="AE4535" s="1"/>
      <c r="AF4535" s="1"/>
      <c r="AG4535" s="1"/>
      <c r="AH4535" s="1"/>
      <c r="AI4535" s="1"/>
      <c r="AJ4535" s="1"/>
      <c r="AK4535" s="1"/>
      <c r="AL4535" s="1"/>
      <c r="AM4535" s="1"/>
    </row>
    <row r="4536" spans="16:39" x14ac:dyDescent="0.25">
      <c r="P4536" s="49"/>
      <c r="Q4536" s="1"/>
      <c r="S4536" s="1"/>
      <c r="T4536" s="1"/>
      <c r="U4536" s="1"/>
      <c r="V4536" s="1"/>
      <c r="W4536" s="1"/>
      <c r="X4536" s="1"/>
      <c r="Y4536" s="1"/>
      <c r="AB4536" s="1"/>
      <c r="AC4536" s="1"/>
      <c r="AD4536" s="1"/>
      <c r="AE4536" s="1"/>
      <c r="AF4536" s="1"/>
      <c r="AG4536" s="1"/>
      <c r="AH4536" s="1"/>
      <c r="AI4536" s="1"/>
      <c r="AJ4536" s="1"/>
      <c r="AK4536" s="1"/>
      <c r="AL4536" s="1"/>
      <c r="AM4536" s="1"/>
    </row>
    <row r="4537" spans="16:39" x14ac:dyDescent="0.25">
      <c r="P4537" s="49"/>
      <c r="Q4537" s="1"/>
      <c r="S4537" s="1"/>
      <c r="T4537" s="1"/>
      <c r="U4537" s="1"/>
      <c r="V4537" s="1"/>
      <c r="W4537" s="1"/>
      <c r="X4537" s="1"/>
      <c r="Y4537" s="1"/>
      <c r="AB4537" s="1"/>
      <c r="AC4537" s="1"/>
      <c r="AD4537" s="1"/>
      <c r="AE4537" s="1"/>
      <c r="AF4537" s="1"/>
      <c r="AG4537" s="1"/>
      <c r="AH4537" s="1"/>
      <c r="AI4537" s="1"/>
      <c r="AJ4537" s="1"/>
      <c r="AK4537" s="1"/>
      <c r="AL4537" s="1"/>
      <c r="AM4537" s="1"/>
    </row>
    <row r="4538" spans="16:39" x14ac:dyDescent="0.25">
      <c r="P4538" s="49"/>
      <c r="Q4538" s="1"/>
      <c r="S4538" s="1"/>
      <c r="T4538" s="1"/>
      <c r="U4538" s="1"/>
      <c r="V4538" s="1"/>
      <c r="W4538" s="1"/>
      <c r="X4538" s="1"/>
      <c r="Y4538" s="1"/>
      <c r="AB4538" s="1"/>
      <c r="AC4538" s="1"/>
      <c r="AD4538" s="1"/>
      <c r="AE4538" s="1"/>
      <c r="AF4538" s="1"/>
      <c r="AG4538" s="1"/>
      <c r="AH4538" s="1"/>
      <c r="AI4538" s="1"/>
      <c r="AJ4538" s="1"/>
      <c r="AK4538" s="1"/>
      <c r="AL4538" s="1"/>
      <c r="AM4538" s="1"/>
    </row>
    <row r="4539" spans="16:39" x14ac:dyDescent="0.25">
      <c r="P4539" s="49"/>
      <c r="Q4539" s="1"/>
      <c r="S4539" s="1"/>
      <c r="T4539" s="1"/>
      <c r="U4539" s="1"/>
      <c r="V4539" s="1"/>
      <c r="W4539" s="1"/>
      <c r="X4539" s="1"/>
      <c r="Y4539" s="1"/>
      <c r="AB4539" s="1"/>
      <c r="AC4539" s="1"/>
      <c r="AD4539" s="1"/>
      <c r="AE4539" s="1"/>
      <c r="AF4539" s="1"/>
      <c r="AG4539" s="1"/>
      <c r="AH4539" s="1"/>
      <c r="AI4539" s="1"/>
      <c r="AJ4539" s="1"/>
      <c r="AK4539" s="1"/>
      <c r="AL4539" s="1"/>
      <c r="AM4539" s="1"/>
    </row>
    <row r="4540" spans="16:39" x14ac:dyDescent="0.25">
      <c r="P4540" s="49"/>
      <c r="Q4540" s="1"/>
      <c r="S4540" s="1"/>
      <c r="T4540" s="1"/>
      <c r="U4540" s="1"/>
      <c r="V4540" s="1"/>
      <c r="W4540" s="1"/>
      <c r="X4540" s="1"/>
      <c r="Y4540" s="1"/>
      <c r="AB4540" s="1"/>
      <c r="AC4540" s="1"/>
      <c r="AD4540" s="1"/>
      <c r="AE4540" s="1"/>
      <c r="AF4540" s="1"/>
      <c r="AG4540" s="1"/>
      <c r="AH4540" s="1"/>
      <c r="AI4540" s="1"/>
      <c r="AJ4540" s="1"/>
      <c r="AK4540" s="1"/>
      <c r="AL4540" s="1"/>
      <c r="AM4540" s="1"/>
    </row>
    <row r="4541" spans="16:39" x14ac:dyDescent="0.25">
      <c r="P4541" s="49"/>
      <c r="Q4541" s="1"/>
      <c r="S4541" s="1"/>
      <c r="T4541" s="1"/>
      <c r="U4541" s="1"/>
      <c r="V4541" s="1"/>
      <c r="W4541" s="1"/>
      <c r="X4541" s="1"/>
      <c r="Y4541" s="1"/>
      <c r="AB4541" s="1"/>
      <c r="AC4541" s="1"/>
      <c r="AD4541" s="1"/>
      <c r="AE4541" s="1"/>
      <c r="AF4541" s="1"/>
      <c r="AG4541" s="1"/>
      <c r="AH4541" s="1"/>
      <c r="AI4541" s="1"/>
      <c r="AJ4541" s="1"/>
      <c r="AK4541" s="1"/>
      <c r="AL4541" s="1"/>
      <c r="AM4541" s="1"/>
    </row>
    <row r="4542" spans="16:39" x14ac:dyDescent="0.25">
      <c r="P4542" s="49"/>
      <c r="Q4542" s="1"/>
      <c r="S4542" s="1"/>
      <c r="T4542" s="1"/>
      <c r="U4542" s="1"/>
      <c r="V4542" s="1"/>
      <c r="W4542" s="1"/>
      <c r="X4542" s="1"/>
      <c r="Y4542" s="1"/>
      <c r="AB4542" s="1"/>
      <c r="AC4542" s="1"/>
      <c r="AD4542" s="1"/>
      <c r="AE4542" s="1"/>
      <c r="AF4542" s="1"/>
      <c r="AG4542" s="1"/>
      <c r="AH4542" s="1"/>
      <c r="AI4542" s="1"/>
      <c r="AJ4542" s="1"/>
      <c r="AK4542" s="1"/>
      <c r="AL4542" s="1"/>
      <c r="AM4542" s="1"/>
    </row>
    <row r="4543" spans="16:39" x14ac:dyDescent="0.25">
      <c r="P4543" s="49"/>
      <c r="Q4543" s="1"/>
      <c r="S4543" s="1"/>
      <c r="T4543" s="1"/>
      <c r="U4543" s="1"/>
      <c r="V4543" s="1"/>
      <c r="W4543" s="1"/>
      <c r="X4543" s="1"/>
      <c r="Y4543" s="1"/>
      <c r="AB4543" s="1"/>
      <c r="AC4543" s="1"/>
      <c r="AD4543" s="1"/>
      <c r="AE4543" s="1"/>
      <c r="AF4543" s="1"/>
      <c r="AG4543" s="1"/>
      <c r="AH4543" s="1"/>
      <c r="AI4543" s="1"/>
      <c r="AJ4543" s="1"/>
      <c r="AK4543" s="1"/>
      <c r="AL4543" s="1"/>
      <c r="AM4543" s="1"/>
    </row>
    <row r="4544" spans="16:39" x14ac:dyDescent="0.25">
      <c r="P4544" s="49"/>
      <c r="Q4544" s="1"/>
      <c r="S4544" s="1"/>
      <c r="T4544" s="1"/>
      <c r="U4544" s="1"/>
      <c r="V4544" s="1"/>
      <c r="W4544" s="1"/>
      <c r="X4544" s="1"/>
      <c r="Y4544" s="1"/>
      <c r="AB4544" s="1"/>
      <c r="AC4544" s="1"/>
      <c r="AD4544" s="1"/>
      <c r="AE4544" s="1"/>
      <c r="AF4544" s="1"/>
      <c r="AG4544" s="1"/>
      <c r="AH4544" s="1"/>
      <c r="AI4544" s="1"/>
      <c r="AJ4544" s="1"/>
      <c r="AK4544" s="1"/>
      <c r="AL4544" s="1"/>
      <c r="AM4544" s="1"/>
    </row>
    <row r="4545" spans="16:39" x14ac:dyDescent="0.25">
      <c r="P4545" s="49"/>
      <c r="Q4545" s="1"/>
      <c r="S4545" s="1"/>
      <c r="T4545" s="1"/>
      <c r="U4545" s="1"/>
      <c r="V4545" s="1"/>
      <c r="W4545" s="1"/>
      <c r="X4545" s="1"/>
      <c r="Y4545" s="1"/>
      <c r="AB4545" s="1"/>
      <c r="AC4545" s="1"/>
      <c r="AD4545" s="1"/>
      <c r="AE4545" s="1"/>
      <c r="AF4545" s="1"/>
      <c r="AG4545" s="1"/>
      <c r="AH4545" s="1"/>
      <c r="AI4545" s="1"/>
      <c r="AJ4545" s="1"/>
      <c r="AK4545" s="1"/>
      <c r="AL4545" s="1"/>
      <c r="AM4545" s="1"/>
    </row>
    <row r="4546" spans="16:39" x14ac:dyDescent="0.25">
      <c r="P4546" s="49"/>
      <c r="Q4546" s="1"/>
      <c r="S4546" s="1"/>
      <c r="T4546" s="1"/>
      <c r="U4546" s="1"/>
      <c r="V4546" s="1"/>
      <c r="W4546" s="1"/>
      <c r="X4546" s="1"/>
      <c r="Y4546" s="1"/>
      <c r="AB4546" s="1"/>
      <c r="AC4546" s="1"/>
      <c r="AD4546" s="1"/>
      <c r="AE4546" s="1"/>
      <c r="AF4546" s="1"/>
      <c r="AG4546" s="1"/>
      <c r="AH4546" s="1"/>
      <c r="AI4546" s="1"/>
      <c r="AJ4546" s="1"/>
      <c r="AK4546" s="1"/>
      <c r="AL4546" s="1"/>
      <c r="AM4546" s="1"/>
    </row>
    <row r="4547" spans="16:39" x14ac:dyDescent="0.25">
      <c r="P4547" s="49"/>
      <c r="Q4547" s="1"/>
      <c r="S4547" s="1"/>
      <c r="T4547" s="1"/>
      <c r="U4547" s="1"/>
      <c r="V4547" s="1"/>
      <c r="W4547" s="1"/>
      <c r="X4547" s="1"/>
      <c r="Y4547" s="1"/>
      <c r="AB4547" s="1"/>
      <c r="AC4547" s="1"/>
      <c r="AD4547" s="1"/>
      <c r="AE4547" s="1"/>
      <c r="AF4547" s="1"/>
      <c r="AG4547" s="1"/>
      <c r="AH4547" s="1"/>
      <c r="AI4547" s="1"/>
      <c r="AJ4547" s="1"/>
      <c r="AK4547" s="1"/>
      <c r="AL4547" s="1"/>
      <c r="AM4547" s="1"/>
    </row>
    <row r="4548" spans="16:39" x14ac:dyDescent="0.25">
      <c r="P4548" s="49"/>
      <c r="Q4548" s="1"/>
      <c r="S4548" s="1"/>
      <c r="T4548" s="1"/>
      <c r="U4548" s="1"/>
      <c r="V4548" s="1"/>
      <c r="W4548" s="1"/>
      <c r="X4548" s="1"/>
      <c r="Y4548" s="1"/>
      <c r="AB4548" s="1"/>
      <c r="AC4548" s="1"/>
      <c r="AD4548" s="1"/>
      <c r="AE4548" s="1"/>
      <c r="AF4548" s="1"/>
      <c r="AG4548" s="1"/>
      <c r="AH4548" s="1"/>
      <c r="AI4548" s="1"/>
      <c r="AJ4548" s="1"/>
      <c r="AK4548" s="1"/>
      <c r="AL4548" s="1"/>
      <c r="AM4548" s="1"/>
    </row>
    <row r="4549" spans="16:39" x14ac:dyDescent="0.25">
      <c r="P4549" s="49"/>
      <c r="Q4549" s="1"/>
      <c r="S4549" s="1"/>
      <c r="T4549" s="1"/>
      <c r="U4549" s="1"/>
      <c r="V4549" s="1"/>
      <c r="W4549" s="1"/>
      <c r="X4549" s="1"/>
      <c r="Y4549" s="1"/>
      <c r="AB4549" s="1"/>
      <c r="AC4549" s="1"/>
      <c r="AD4549" s="1"/>
      <c r="AE4549" s="1"/>
      <c r="AF4549" s="1"/>
      <c r="AG4549" s="1"/>
      <c r="AH4549" s="1"/>
      <c r="AI4549" s="1"/>
      <c r="AJ4549" s="1"/>
      <c r="AK4549" s="1"/>
      <c r="AL4549" s="1"/>
      <c r="AM4549" s="1"/>
    </row>
    <row r="4550" spans="16:39" x14ac:dyDescent="0.25">
      <c r="P4550" s="49"/>
      <c r="Q4550" s="1"/>
      <c r="S4550" s="1"/>
      <c r="T4550" s="1"/>
      <c r="U4550" s="1"/>
      <c r="V4550" s="1"/>
      <c r="W4550" s="1"/>
      <c r="X4550" s="1"/>
      <c r="Y4550" s="1"/>
      <c r="AB4550" s="1"/>
      <c r="AC4550" s="1"/>
      <c r="AD4550" s="1"/>
      <c r="AE4550" s="1"/>
      <c r="AF4550" s="1"/>
      <c r="AG4550" s="1"/>
      <c r="AH4550" s="1"/>
      <c r="AI4550" s="1"/>
      <c r="AJ4550" s="1"/>
      <c r="AK4550" s="1"/>
      <c r="AL4550" s="1"/>
      <c r="AM4550" s="1"/>
    </row>
    <row r="4551" spans="16:39" x14ac:dyDescent="0.25">
      <c r="P4551" s="49"/>
      <c r="Q4551" s="1"/>
      <c r="S4551" s="1"/>
      <c r="T4551" s="1"/>
      <c r="U4551" s="1"/>
      <c r="V4551" s="1"/>
      <c r="W4551" s="1"/>
      <c r="X4551" s="1"/>
      <c r="Y4551" s="1"/>
      <c r="AB4551" s="1"/>
      <c r="AC4551" s="1"/>
      <c r="AD4551" s="1"/>
      <c r="AE4551" s="1"/>
      <c r="AF4551" s="1"/>
      <c r="AG4551" s="1"/>
      <c r="AH4551" s="1"/>
      <c r="AI4551" s="1"/>
      <c r="AJ4551" s="1"/>
      <c r="AK4551" s="1"/>
      <c r="AL4551" s="1"/>
      <c r="AM4551" s="1"/>
    </row>
    <row r="4552" spans="16:39" x14ac:dyDescent="0.25">
      <c r="P4552" s="49"/>
      <c r="Q4552" s="1"/>
      <c r="S4552" s="1"/>
      <c r="T4552" s="1"/>
      <c r="U4552" s="1"/>
      <c r="V4552" s="1"/>
      <c r="W4552" s="1"/>
      <c r="X4552" s="1"/>
      <c r="Y4552" s="1"/>
      <c r="AB4552" s="1"/>
      <c r="AC4552" s="1"/>
      <c r="AD4552" s="1"/>
      <c r="AE4552" s="1"/>
      <c r="AF4552" s="1"/>
      <c r="AG4552" s="1"/>
      <c r="AH4552" s="1"/>
      <c r="AI4552" s="1"/>
      <c r="AJ4552" s="1"/>
      <c r="AK4552" s="1"/>
      <c r="AL4552" s="1"/>
      <c r="AM4552" s="1"/>
    </row>
    <row r="4553" spans="16:39" x14ac:dyDescent="0.25">
      <c r="P4553" s="49"/>
      <c r="Q4553" s="1"/>
      <c r="S4553" s="1"/>
      <c r="T4553" s="1"/>
      <c r="U4553" s="1"/>
      <c r="V4553" s="1"/>
      <c r="W4553" s="1"/>
      <c r="X4553" s="1"/>
      <c r="Y4553" s="1"/>
      <c r="AB4553" s="1"/>
      <c r="AC4553" s="1"/>
      <c r="AD4553" s="1"/>
      <c r="AE4553" s="1"/>
      <c r="AF4553" s="1"/>
      <c r="AG4553" s="1"/>
      <c r="AH4553" s="1"/>
      <c r="AI4553" s="1"/>
      <c r="AJ4553" s="1"/>
      <c r="AK4553" s="1"/>
      <c r="AL4553" s="1"/>
      <c r="AM4553" s="1"/>
    </row>
    <row r="4554" spans="16:39" x14ac:dyDescent="0.25">
      <c r="P4554" s="49"/>
      <c r="Q4554" s="1"/>
      <c r="S4554" s="1"/>
      <c r="T4554" s="1"/>
      <c r="U4554" s="1"/>
      <c r="V4554" s="1"/>
      <c r="W4554" s="1"/>
      <c r="X4554" s="1"/>
      <c r="Y4554" s="1"/>
      <c r="AB4554" s="1"/>
      <c r="AC4554" s="1"/>
      <c r="AD4554" s="1"/>
      <c r="AE4554" s="1"/>
      <c r="AF4554" s="1"/>
      <c r="AG4554" s="1"/>
      <c r="AH4554" s="1"/>
      <c r="AI4554" s="1"/>
      <c r="AJ4554" s="1"/>
      <c r="AK4554" s="1"/>
      <c r="AL4554" s="1"/>
      <c r="AM4554" s="1"/>
    </row>
    <row r="4555" spans="16:39" x14ac:dyDescent="0.25">
      <c r="P4555" s="49"/>
      <c r="Q4555" s="1"/>
      <c r="S4555" s="1"/>
      <c r="T4555" s="1"/>
      <c r="U4555" s="1"/>
      <c r="V4555" s="1"/>
      <c r="W4555" s="1"/>
      <c r="X4555" s="1"/>
      <c r="Y4555" s="1"/>
      <c r="AB4555" s="1"/>
      <c r="AC4555" s="1"/>
      <c r="AD4555" s="1"/>
      <c r="AE4555" s="1"/>
      <c r="AF4555" s="1"/>
      <c r="AG4555" s="1"/>
      <c r="AH4555" s="1"/>
      <c r="AI4555" s="1"/>
      <c r="AJ4555" s="1"/>
      <c r="AK4555" s="1"/>
      <c r="AL4555" s="1"/>
      <c r="AM4555" s="1"/>
    </row>
    <row r="4556" spans="16:39" x14ac:dyDescent="0.25">
      <c r="P4556" s="49"/>
      <c r="Q4556" s="1"/>
      <c r="S4556" s="1"/>
      <c r="T4556" s="1"/>
      <c r="U4556" s="1"/>
      <c r="V4556" s="1"/>
      <c r="W4556" s="1"/>
      <c r="X4556" s="1"/>
      <c r="Y4556" s="1"/>
      <c r="AB4556" s="1"/>
      <c r="AC4556" s="1"/>
      <c r="AD4556" s="1"/>
      <c r="AE4556" s="1"/>
      <c r="AF4556" s="1"/>
      <c r="AG4556" s="1"/>
      <c r="AH4556" s="1"/>
      <c r="AI4556" s="1"/>
      <c r="AJ4556" s="1"/>
      <c r="AK4556" s="1"/>
      <c r="AL4556" s="1"/>
      <c r="AM4556" s="1"/>
    </row>
    <row r="4557" spans="16:39" x14ac:dyDescent="0.25">
      <c r="P4557" s="49"/>
      <c r="Q4557" s="1"/>
      <c r="S4557" s="1"/>
      <c r="T4557" s="1"/>
      <c r="U4557" s="1"/>
      <c r="V4557" s="1"/>
      <c r="W4557" s="1"/>
      <c r="X4557" s="1"/>
      <c r="Y4557" s="1"/>
      <c r="AB4557" s="1"/>
      <c r="AC4557" s="1"/>
      <c r="AD4557" s="1"/>
      <c r="AE4557" s="1"/>
      <c r="AF4557" s="1"/>
      <c r="AG4557" s="1"/>
      <c r="AH4557" s="1"/>
      <c r="AI4557" s="1"/>
      <c r="AJ4557" s="1"/>
      <c r="AK4557" s="1"/>
      <c r="AL4557" s="1"/>
      <c r="AM4557" s="1"/>
    </row>
    <row r="4558" spans="16:39" x14ac:dyDescent="0.25">
      <c r="P4558" s="49"/>
      <c r="Q4558" s="1"/>
      <c r="S4558" s="1"/>
      <c r="T4558" s="1"/>
      <c r="U4558" s="1"/>
      <c r="V4558" s="1"/>
      <c r="W4558" s="1"/>
      <c r="X4558" s="1"/>
      <c r="Y4558" s="1"/>
      <c r="AB4558" s="1"/>
      <c r="AC4558" s="1"/>
      <c r="AD4558" s="1"/>
      <c r="AE4558" s="1"/>
      <c r="AF4558" s="1"/>
      <c r="AG4558" s="1"/>
      <c r="AH4558" s="1"/>
      <c r="AI4558" s="1"/>
      <c r="AJ4558" s="1"/>
      <c r="AK4558" s="1"/>
      <c r="AL4558" s="1"/>
      <c r="AM4558" s="1"/>
    </row>
    <row r="4559" spans="16:39" x14ac:dyDescent="0.25">
      <c r="P4559" s="49"/>
      <c r="Q4559" s="1"/>
      <c r="S4559" s="1"/>
      <c r="T4559" s="1"/>
      <c r="U4559" s="1"/>
      <c r="V4559" s="1"/>
      <c r="W4559" s="1"/>
      <c r="X4559" s="1"/>
      <c r="Y4559" s="1"/>
      <c r="AB4559" s="1"/>
      <c r="AC4559" s="1"/>
      <c r="AD4559" s="1"/>
      <c r="AE4559" s="1"/>
      <c r="AF4559" s="1"/>
      <c r="AG4559" s="1"/>
      <c r="AH4559" s="1"/>
      <c r="AI4559" s="1"/>
      <c r="AJ4559" s="1"/>
      <c r="AK4559" s="1"/>
      <c r="AL4559" s="1"/>
      <c r="AM4559" s="1"/>
    </row>
    <row r="4560" spans="16:39" x14ac:dyDescent="0.25">
      <c r="P4560" s="49"/>
      <c r="Q4560" s="1"/>
      <c r="S4560" s="1"/>
      <c r="T4560" s="1"/>
      <c r="U4560" s="1"/>
      <c r="V4560" s="1"/>
      <c r="W4560" s="1"/>
      <c r="X4560" s="1"/>
      <c r="Y4560" s="1"/>
      <c r="AB4560" s="1"/>
      <c r="AC4560" s="1"/>
      <c r="AD4560" s="1"/>
      <c r="AE4560" s="1"/>
      <c r="AF4560" s="1"/>
      <c r="AG4560" s="1"/>
      <c r="AH4560" s="1"/>
      <c r="AI4560" s="1"/>
      <c r="AJ4560" s="1"/>
      <c r="AK4560" s="1"/>
      <c r="AL4560" s="1"/>
      <c r="AM4560" s="1"/>
    </row>
    <row r="4561" spans="16:39" x14ac:dyDescent="0.25">
      <c r="P4561" s="49"/>
      <c r="Q4561" s="1"/>
      <c r="S4561" s="1"/>
      <c r="T4561" s="1"/>
      <c r="U4561" s="1"/>
      <c r="V4561" s="1"/>
      <c r="W4561" s="1"/>
      <c r="X4561" s="1"/>
      <c r="Y4561" s="1"/>
      <c r="AB4561" s="1"/>
      <c r="AC4561" s="1"/>
      <c r="AD4561" s="1"/>
      <c r="AE4561" s="1"/>
      <c r="AF4561" s="1"/>
      <c r="AG4561" s="1"/>
      <c r="AH4561" s="1"/>
      <c r="AI4561" s="1"/>
      <c r="AJ4561" s="1"/>
      <c r="AK4561" s="1"/>
      <c r="AL4561" s="1"/>
      <c r="AM4561" s="1"/>
    </row>
    <row r="4562" spans="16:39" x14ac:dyDescent="0.25">
      <c r="P4562" s="49"/>
      <c r="Q4562" s="1"/>
      <c r="S4562" s="1"/>
      <c r="T4562" s="1"/>
      <c r="U4562" s="1"/>
      <c r="V4562" s="1"/>
      <c r="W4562" s="1"/>
      <c r="X4562" s="1"/>
      <c r="Y4562" s="1"/>
      <c r="AB4562" s="1"/>
      <c r="AC4562" s="1"/>
      <c r="AD4562" s="1"/>
      <c r="AE4562" s="1"/>
      <c r="AF4562" s="1"/>
      <c r="AG4562" s="1"/>
      <c r="AH4562" s="1"/>
      <c r="AI4562" s="1"/>
      <c r="AJ4562" s="1"/>
      <c r="AK4562" s="1"/>
      <c r="AL4562" s="1"/>
      <c r="AM4562" s="1"/>
    </row>
    <row r="4563" spans="16:39" x14ac:dyDescent="0.25">
      <c r="P4563" s="49"/>
      <c r="Q4563" s="1"/>
      <c r="S4563" s="1"/>
      <c r="T4563" s="1"/>
      <c r="U4563" s="1"/>
      <c r="V4563" s="1"/>
      <c r="W4563" s="1"/>
      <c r="X4563" s="1"/>
      <c r="Y4563" s="1"/>
      <c r="AB4563" s="1"/>
      <c r="AC4563" s="1"/>
      <c r="AD4563" s="1"/>
      <c r="AE4563" s="1"/>
      <c r="AF4563" s="1"/>
      <c r="AG4563" s="1"/>
      <c r="AH4563" s="1"/>
      <c r="AI4563" s="1"/>
      <c r="AJ4563" s="1"/>
      <c r="AK4563" s="1"/>
      <c r="AL4563" s="1"/>
      <c r="AM4563" s="1"/>
    </row>
    <row r="4564" spans="16:39" x14ac:dyDescent="0.25">
      <c r="P4564" s="49"/>
      <c r="Q4564" s="1"/>
      <c r="S4564" s="1"/>
      <c r="T4564" s="1"/>
      <c r="U4564" s="1"/>
      <c r="V4564" s="1"/>
      <c r="W4564" s="1"/>
      <c r="X4564" s="1"/>
      <c r="Y4564" s="1"/>
      <c r="AB4564" s="1"/>
      <c r="AC4564" s="1"/>
      <c r="AD4564" s="1"/>
      <c r="AE4564" s="1"/>
      <c r="AF4564" s="1"/>
      <c r="AG4564" s="1"/>
      <c r="AH4564" s="1"/>
      <c r="AI4564" s="1"/>
      <c r="AJ4564" s="1"/>
      <c r="AK4564" s="1"/>
      <c r="AL4564" s="1"/>
      <c r="AM4564" s="1"/>
    </row>
    <row r="4565" spans="16:39" x14ac:dyDescent="0.25">
      <c r="P4565" s="49"/>
      <c r="Q4565" s="1"/>
      <c r="S4565" s="1"/>
      <c r="T4565" s="1"/>
      <c r="U4565" s="1"/>
      <c r="V4565" s="1"/>
      <c r="W4565" s="1"/>
      <c r="X4565" s="1"/>
      <c r="Y4565" s="1"/>
      <c r="AB4565" s="1"/>
      <c r="AC4565" s="1"/>
      <c r="AD4565" s="1"/>
      <c r="AE4565" s="1"/>
      <c r="AF4565" s="1"/>
      <c r="AG4565" s="1"/>
      <c r="AH4565" s="1"/>
      <c r="AI4565" s="1"/>
      <c r="AJ4565" s="1"/>
      <c r="AK4565" s="1"/>
      <c r="AL4565" s="1"/>
      <c r="AM4565" s="1"/>
    </row>
    <row r="4566" spans="16:39" x14ac:dyDescent="0.25">
      <c r="P4566" s="49"/>
      <c r="Q4566" s="1"/>
      <c r="S4566" s="1"/>
      <c r="T4566" s="1"/>
      <c r="U4566" s="1"/>
      <c r="V4566" s="1"/>
      <c r="W4566" s="1"/>
      <c r="X4566" s="1"/>
      <c r="Y4566" s="1"/>
      <c r="AB4566" s="1"/>
      <c r="AC4566" s="1"/>
      <c r="AD4566" s="1"/>
      <c r="AE4566" s="1"/>
      <c r="AF4566" s="1"/>
      <c r="AG4566" s="1"/>
      <c r="AH4566" s="1"/>
      <c r="AI4566" s="1"/>
      <c r="AJ4566" s="1"/>
      <c r="AK4566" s="1"/>
      <c r="AL4566" s="1"/>
      <c r="AM4566" s="1"/>
    </row>
    <row r="4567" spans="16:39" x14ac:dyDescent="0.25">
      <c r="P4567" s="49"/>
      <c r="Q4567" s="1"/>
      <c r="S4567" s="1"/>
      <c r="T4567" s="1"/>
      <c r="U4567" s="1"/>
      <c r="V4567" s="1"/>
      <c r="W4567" s="1"/>
      <c r="X4567" s="1"/>
      <c r="Y4567" s="1"/>
      <c r="AB4567" s="1"/>
      <c r="AC4567" s="1"/>
      <c r="AD4567" s="1"/>
      <c r="AE4567" s="1"/>
      <c r="AF4567" s="1"/>
      <c r="AG4567" s="1"/>
      <c r="AH4567" s="1"/>
      <c r="AI4567" s="1"/>
      <c r="AJ4567" s="1"/>
      <c r="AK4567" s="1"/>
      <c r="AL4567" s="1"/>
      <c r="AM4567" s="1"/>
    </row>
    <row r="4568" spans="16:39" x14ac:dyDescent="0.25">
      <c r="P4568" s="49"/>
      <c r="Q4568" s="1"/>
      <c r="S4568" s="1"/>
      <c r="T4568" s="1"/>
      <c r="U4568" s="1"/>
      <c r="V4568" s="1"/>
      <c r="W4568" s="1"/>
      <c r="X4568" s="1"/>
      <c r="Y4568" s="1"/>
      <c r="AB4568" s="1"/>
      <c r="AC4568" s="1"/>
      <c r="AD4568" s="1"/>
      <c r="AE4568" s="1"/>
      <c r="AF4568" s="1"/>
      <c r="AG4568" s="1"/>
      <c r="AH4568" s="1"/>
      <c r="AI4568" s="1"/>
      <c r="AJ4568" s="1"/>
      <c r="AK4568" s="1"/>
      <c r="AL4568" s="1"/>
      <c r="AM4568" s="1"/>
    </row>
    <row r="4569" spans="16:39" x14ac:dyDescent="0.25">
      <c r="P4569" s="49"/>
      <c r="Q4569" s="1"/>
      <c r="S4569" s="1"/>
      <c r="T4569" s="1"/>
      <c r="U4569" s="1"/>
      <c r="V4569" s="1"/>
      <c r="W4569" s="1"/>
      <c r="X4569" s="1"/>
      <c r="Y4569" s="1"/>
      <c r="AB4569" s="1"/>
      <c r="AC4569" s="1"/>
      <c r="AD4569" s="1"/>
      <c r="AE4569" s="1"/>
      <c r="AF4569" s="1"/>
      <c r="AG4569" s="1"/>
      <c r="AH4569" s="1"/>
      <c r="AI4569" s="1"/>
      <c r="AJ4569" s="1"/>
      <c r="AK4569" s="1"/>
      <c r="AL4569" s="1"/>
      <c r="AM4569" s="1"/>
    </row>
    <row r="4570" spans="16:39" x14ac:dyDescent="0.25">
      <c r="P4570" s="49"/>
      <c r="Q4570" s="1"/>
      <c r="S4570" s="1"/>
      <c r="T4570" s="1"/>
      <c r="U4570" s="1"/>
      <c r="V4570" s="1"/>
      <c r="W4570" s="1"/>
      <c r="X4570" s="1"/>
      <c r="Y4570" s="1"/>
      <c r="AB4570" s="1"/>
      <c r="AC4570" s="1"/>
      <c r="AD4570" s="1"/>
      <c r="AE4570" s="1"/>
      <c r="AF4570" s="1"/>
      <c r="AG4570" s="1"/>
      <c r="AH4570" s="1"/>
      <c r="AI4570" s="1"/>
      <c r="AJ4570" s="1"/>
      <c r="AK4570" s="1"/>
      <c r="AL4570" s="1"/>
      <c r="AM4570" s="1"/>
    </row>
    <row r="4571" spans="16:39" x14ac:dyDescent="0.25">
      <c r="P4571" s="49"/>
      <c r="Q4571" s="1"/>
      <c r="S4571" s="1"/>
      <c r="T4571" s="1"/>
      <c r="U4571" s="1"/>
      <c r="V4571" s="1"/>
      <c r="W4571" s="1"/>
      <c r="X4571" s="1"/>
      <c r="Y4571" s="1"/>
      <c r="AB4571" s="1"/>
      <c r="AC4571" s="1"/>
      <c r="AD4571" s="1"/>
      <c r="AE4571" s="1"/>
      <c r="AF4571" s="1"/>
      <c r="AG4571" s="1"/>
      <c r="AH4571" s="1"/>
      <c r="AI4571" s="1"/>
      <c r="AJ4571" s="1"/>
      <c r="AK4571" s="1"/>
      <c r="AL4571" s="1"/>
      <c r="AM4571" s="1"/>
    </row>
    <row r="4572" spans="16:39" x14ac:dyDescent="0.25">
      <c r="P4572" s="49"/>
      <c r="Q4572" s="1"/>
      <c r="S4572" s="1"/>
      <c r="T4572" s="1"/>
      <c r="U4572" s="1"/>
      <c r="V4572" s="1"/>
      <c r="W4572" s="1"/>
      <c r="X4572" s="1"/>
      <c r="Y4572" s="1"/>
      <c r="AB4572" s="1"/>
      <c r="AC4572" s="1"/>
      <c r="AD4572" s="1"/>
      <c r="AE4572" s="1"/>
      <c r="AF4572" s="1"/>
      <c r="AG4572" s="1"/>
      <c r="AH4572" s="1"/>
      <c r="AI4572" s="1"/>
      <c r="AJ4572" s="1"/>
      <c r="AK4572" s="1"/>
      <c r="AL4572" s="1"/>
      <c r="AM4572" s="1"/>
    </row>
    <row r="4573" spans="16:39" x14ac:dyDescent="0.25">
      <c r="P4573" s="49"/>
      <c r="Q4573" s="1"/>
      <c r="S4573" s="1"/>
      <c r="T4573" s="1"/>
      <c r="U4573" s="1"/>
      <c r="V4573" s="1"/>
      <c r="W4573" s="1"/>
      <c r="X4573" s="1"/>
      <c r="Y4573" s="1"/>
      <c r="AB4573" s="1"/>
      <c r="AC4573" s="1"/>
      <c r="AD4573" s="1"/>
      <c r="AE4573" s="1"/>
      <c r="AF4573" s="1"/>
      <c r="AG4573" s="1"/>
      <c r="AH4573" s="1"/>
      <c r="AI4573" s="1"/>
      <c r="AJ4573" s="1"/>
      <c r="AK4573" s="1"/>
      <c r="AL4573" s="1"/>
      <c r="AM4573" s="1"/>
    </row>
    <row r="4574" spans="16:39" x14ac:dyDescent="0.25">
      <c r="P4574" s="49"/>
      <c r="Q4574" s="1"/>
      <c r="S4574" s="1"/>
      <c r="T4574" s="1"/>
      <c r="U4574" s="1"/>
      <c r="V4574" s="1"/>
      <c r="W4574" s="1"/>
      <c r="X4574" s="1"/>
      <c r="Y4574" s="1"/>
      <c r="AB4574" s="1"/>
      <c r="AC4574" s="1"/>
      <c r="AD4574" s="1"/>
      <c r="AE4574" s="1"/>
      <c r="AF4574" s="1"/>
      <c r="AG4574" s="1"/>
      <c r="AH4574" s="1"/>
      <c r="AI4574" s="1"/>
      <c r="AJ4574" s="1"/>
      <c r="AK4574" s="1"/>
      <c r="AL4574" s="1"/>
      <c r="AM4574" s="1"/>
    </row>
    <row r="4575" spans="16:39" x14ac:dyDescent="0.25">
      <c r="P4575" s="49"/>
      <c r="Q4575" s="1"/>
      <c r="S4575" s="1"/>
      <c r="T4575" s="1"/>
      <c r="U4575" s="1"/>
      <c r="V4575" s="1"/>
      <c r="W4575" s="1"/>
      <c r="X4575" s="1"/>
      <c r="Y4575" s="1"/>
      <c r="AB4575" s="1"/>
      <c r="AC4575" s="1"/>
      <c r="AD4575" s="1"/>
      <c r="AE4575" s="1"/>
      <c r="AF4575" s="1"/>
      <c r="AG4575" s="1"/>
      <c r="AH4575" s="1"/>
      <c r="AI4575" s="1"/>
      <c r="AJ4575" s="1"/>
      <c r="AK4575" s="1"/>
      <c r="AL4575" s="1"/>
      <c r="AM4575" s="1"/>
    </row>
    <row r="4576" spans="16:39" x14ac:dyDescent="0.25">
      <c r="P4576" s="49"/>
      <c r="Q4576" s="1"/>
      <c r="S4576" s="1"/>
      <c r="T4576" s="1"/>
      <c r="U4576" s="1"/>
      <c r="V4576" s="1"/>
      <c r="W4576" s="1"/>
      <c r="X4576" s="1"/>
      <c r="Y4576" s="1"/>
      <c r="AB4576" s="1"/>
      <c r="AC4576" s="1"/>
      <c r="AD4576" s="1"/>
      <c r="AE4576" s="1"/>
      <c r="AF4576" s="1"/>
      <c r="AG4576" s="1"/>
      <c r="AH4576" s="1"/>
      <c r="AI4576" s="1"/>
      <c r="AJ4576" s="1"/>
      <c r="AK4576" s="1"/>
      <c r="AL4576" s="1"/>
      <c r="AM4576" s="1"/>
    </row>
    <row r="4577" spans="16:39" x14ac:dyDescent="0.25">
      <c r="P4577" s="49"/>
      <c r="Q4577" s="1"/>
      <c r="S4577" s="1"/>
      <c r="T4577" s="1"/>
      <c r="U4577" s="1"/>
      <c r="V4577" s="1"/>
      <c r="W4577" s="1"/>
      <c r="X4577" s="1"/>
      <c r="Y4577" s="1"/>
      <c r="AB4577" s="1"/>
      <c r="AC4577" s="1"/>
      <c r="AD4577" s="1"/>
      <c r="AE4577" s="1"/>
      <c r="AF4577" s="1"/>
      <c r="AG4577" s="1"/>
      <c r="AH4577" s="1"/>
      <c r="AI4577" s="1"/>
      <c r="AJ4577" s="1"/>
      <c r="AK4577" s="1"/>
      <c r="AL4577" s="1"/>
      <c r="AM4577" s="1"/>
    </row>
    <row r="4578" spans="16:39" x14ac:dyDescent="0.25">
      <c r="P4578" s="49"/>
      <c r="Q4578" s="1"/>
      <c r="S4578" s="1"/>
      <c r="T4578" s="1"/>
      <c r="U4578" s="1"/>
      <c r="V4578" s="1"/>
      <c r="W4578" s="1"/>
      <c r="X4578" s="1"/>
      <c r="Y4578" s="1"/>
      <c r="AB4578" s="1"/>
      <c r="AC4578" s="1"/>
      <c r="AD4578" s="1"/>
      <c r="AE4578" s="1"/>
      <c r="AF4578" s="1"/>
      <c r="AG4578" s="1"/>
      <c r="AH4578" s="1"/>
      <c r="AI4578" s="1"/>
      <c r="AJ4578" s="1"/>
      <c r="AK4578" s="1"/>
      <c r="AL4578" s="1"/>
      <c r="AM4578" s="1"/>
    </row>
    <row r="4579" spans="16:39" x14ac:dyDescent="0.25">
      <c r="P4579" s="49"/>
      <c r="Q4579" s="1"/>
      <c r="S4579" s="1"/>
      <c r="T4579" s="1"/>
      <c r="U4579" s="1"/>
      <c r="V4579" s="1"/>
      <c r="W4579" s="1"/>
      <c r="X4579" s="1"/>
      <c r="Y4579" s="1"/>
      <c r="AB4579" s="1"/>
      <c r="AC4579" s="1"/>
      <c r="AD4579" s="1"/>
      <c r="AE4579" s="1"/>
      <c r="AF4579" s="1"/>
      <c r="AG4579" s="1"/>
      <c r="AH4579" s="1"/>
      <c r="AI4579" s="1"/>
      <c r="AJ4579" s="1"/>
      <c r="AK4579" s="1"/>
      <c r="AL4579" s="1"/>
      <c r="AM4579" s="1"/>
    </row>
    <row r="4580" spans="16:39" x14ac:dyDescent="0.25">
      <c r="P4580" s="49"/>
      <c r="Q4580" s="1"/>
      <c r="S4580" s="1"/>
      <c r="T4580" s="1"/>
      <c r="U4580" s="1"/>
      <c r="V4580" s="1"/>
      <c r="W4580" s="1"/>
      <c r="X4580" s="1"/>
      <c r="Y4580" s="1"/>
      <c r="AB4580" s="1"/>
      <c r="AC4580" s="1"/>
      <c r="AD4580" s="1"/>
      <c r="AE4580" s="1"/>
      <c r="AF4580" s="1"/>
      <c r="AG4580" s="1"/>
      <c r="AH4580" s="1"/>
      <c r="AI4580" s="1"/>
      <c r="AJ4580" s="1"/>
      <c r="AK4580" s="1"/>
      <c r="AL4580" s="1"/>
      <c r="AM4580" s="1"/>
    </row>
    <row r="4581" spans="16:39" x14ac:dyDescent="0.25">
      <c r="P4581" s="49"/>
      <c r="Q4581" s="1"/>
      <c r="S4581" s="1"/>
      <c r="T4581" s="1"/>
      <c r="U4581" s="1"/>
      <c r="V4581" s="1"/>
      <c r="W4581" s="1"/>
      <c r="X4581" s="1"/>
      <c r="Y4581" s="1"/>
      <c r="AB4581" s="1"/>
      <c r="AC4581" s="1"/>
      <c r="AD4581" s="1"/>
      <c r="AE4581" s="1"/>
      <c r="AF4581" s="1"/>
      <c r="AG4581" s="1"/>
      <c r="AH4581" s="1"/>
      <c r="AI4581" s="1"/>
      <c r="AJ4581" s="1"/>
      <c r="AK4581" s="1"/>
      <c r="AL4581" s="1"/>
      <c r="AM4581" s="1"/>
    </row>
    <row r="4582" spans="16:39" x14ac:dyDescent="0.25">
      <c r="P4582" s="49"/>
      <c r="Q4582" s="1"/>
      <c r="S4582" s="1"/>
      <c r="T4582" s="1"/>
      <c r="U4582" s="1"/>
      <c r="V4582" s="1"/>
      <c r="W4582" s="1"/>
      <c r="X4582" s="1"/>
      <c r="Y4582" s="1"/>
      <c r="AB4582" s="1"/>
      <c r="AC4582" s="1"/>
      <c r="AD4582" s="1"/>
      <c r="AE4582" s="1"/>
      <c r="AF4582" s="1"/>
      <c r="AG4582" s="1"/>
      <c r="AH4582" s="1"/>
      <c r="AI4582" s="1"/>
      <c r="AJ4582" s="1"/>
      <c r="AK4582" s="1"/>
      <c r="AL4582" s="1"/>
      <c r="AM4582" s="1"/>
    </row>
    <row r="4583" spans="16:39" x14ac:dyDescent="0.25">
      <c r="P4583" s="49"/>
      <c r="Q4583" s="1"/>
      <c r="S4583" s="1"/>
      <c r="T4583" s="1"/>
      <c r="U4583" s="1"/>
      <c r="V4583" s="1"/>
      <c r="W4583" s="1"/>
      <c r="X4583" s="1"/>
      <c r="Y4583" s="1"/>
      <c r="AB4583" s="1"/>
      <c r="AC4583" s="1"/>
      <c r="AD4583" s="1"/>
      <c r="AE4583" s="1"/>
      <c r="AF4583" s="1"/>
      <c r="AG4583" s="1"/>
      <c r="AH4583" s="1"/>
      <c r="AI4583" s="1"/>
      <c r="AJ4583" s="1"/>
      <c r="AK4583" s="1"/>
      <c r="AL4583" s="1"/>
      <c r="AM4583" s="1"/>
    </row>
    <row r="4584" spans="16:39" x14ac:dyDescent="0.25">
      <c r="P4584" s="49"/>
      <c r="Q4584" s="1"/>
      <c r="S4584" s="1"/>
      <c r="T4584" s="1"/>
      <c r="U4584" s="1"/>
      <c r="V4584" s="1"/>
      <c r="W4584" s="1"/>
      <c r="X4584" s="1"/>
      <c r="Y4584" s="1"/>
      <c r="AB4584" s="1"/>
      <c r="AC4584" s="1"/>
      <c r="AD4584" s="1"/>
      <c r="AE4584" s="1"/>
      <c r="AF4584" s="1"/>
      <c r="AG4584" s="1"/>
      <c r="AH4584" s="1"/>
      <c r="AI4584" s="1"/>
      <c r="AJ4584" s="1"/>
      <c r="AK4584" s="1"/>
      <c r="AL4584" s="1"/>
      <c r="AM4584" s="1"/>
    </row>
    <row r="4585" spans="16:39" x14ac:dyDescent="0.25">
      <c r="P4585" s="49"/>
      <c r="Q4585" s="1"/>
      <c r="S4585" s="1"/>
      <c r="T4585" s="1"/>
      <c r="U4585" s="1"/>
      <c r="V4585" s="1"/>
      <c r="W4585" s="1"/>
      <c r="X4585" s="1"/>
      <c r="Y4585" s="1"/>
      <c r="AB4585" s="1"/>
      <c r="AC4585" s="1"/>
      <c r="AD4585" s="1"/>
      <c r="AE4585" s="1"/>
      <c r="AF4585" s="1"/>
      <c r="AG4585" s="1"/>
      <c r="AH4585" s="1"/>
      <c r="AI4585" s="1"/>
      <c r="AJ4585" s="1"/>
      <c r="AK4585" s="1"/>
      <c r="AL4585" s="1"/>
      <c r="AM4585" s="1"/>
    </row>
    <row r="4586" spans="16:39" x14ac:dyDescent="0.25">
      <c r="P4586" s="49"/>
      <c r="Q4586" s="1"/>
      <c r="S4586" s="1"/>
      <c r="T4586" s="1"/>
      <c r="U4586" s="1"/>
      <c r="V4586" s="1"/>
      <c r="W4586" s="1"/>
      <c r="X4586" s="1"/>
      <c r="Y4586" s="1"/>
      <c r="AB4586" s="1"/>
      <c r="AC4586" s="1"/>
      <c r="AD4586" s="1"/>
      <c r="AE4586" s="1"/>
      <c r="AF4586" s="1"/>
      <c r="AG4586" s="1"/>
      <c r="AH4586" s="1"/>
      <c r="AI4586" s="1"/>
      <c r="AJ4586" s="1"/>
      <c r="AK4586" s="1"/>
      <c r="AL4586" s="1"/>
      <c r="AM4586" s="1"/>
    </row>
    <row r="4587" spans="16:39" x14ac:dyDescent="0.25">
      <c r="P4587" s="49"/>
      <c r="Q4587" s="1"/>
      <c r="S4587" s="1"/>
      <c r="T4587" s="1"/>
      <c r="U4587" s="1"/>
      <c r="V4587" s="1"/>
      <c r="W4587" s="1"/>
      <c r="X4587" s="1"/>
      <c r="Y4587" s="1"/>
      <c r="AB4587" s="1"/>
      <c r="AC4587" s="1"/>
      <c r="AD4587" s="1"/>
      <c r="AE4587" s="1"/>
      <c r="AF4587" s="1"/>
      <c r="AG4587" s="1"/>
      <c r="AH4587" s="1"/>
      <c r="AI4587" s="1"/>
      <c r="AJ4587" s="1"/>
      <c r="AK4587" s="1"/>
      <c r="AL4587" s="1"/>
      <c r="AM4587" s="1"/>
    </row>
    <row r="4588" spans="16:39" x14ac:dyDescent="0.25">
      <c r="P4588" s="49"/>
      <c r="Q4588" s="1"/>
      <c r="S4588" s="1"/>
      <c r="T4588" s="1"/>
      <c r="U4588" s="1"/>
      <c r="V4588" s="1"/>
      <c r="W4588" s="1"/>
      <c r="X4588" s="1"/>
      <c r="Y4588" s="1"/>
      <c r="AB4588" s="1"/>
      <c r="AC4588" s="1"/>
      <c r="AD4588" s="1"/>
      <c r="AE4588" s="1"/>
      <c r="AF4588" s="1"/>
      <c r="AG4588" s="1"/>
      <c r="AH4588" s="1"/>
      <c r="AI4588" s="1"/>
      <c r="AJ4588" s="1"/>
      <c r="AK4588" s="1"/>
      <c r="AL4588" s="1"/>
      <c r="AM4588" s="1"/>
    </row>
    <row r="4589" spans="16:39" x14ac:dyDescent="0.25">
      <c r="P4589" s="49"/>
      <c r="Q4589" s="1"/>
      <c r="S4589" s="1"/>
      <c r="T4589" s="1"/>
      <c r="U4589" s="1"/>
      <c r="V4589" s="1"/>
      <c r="W4589" s="1"/>
      <c r="X4589" s="1"/>
      <c r="Y4589" s="1"/>
      <c r="AB4589" s="1"/>
      <c r="AC4589" s="1"/>
      <c r="AD4589" s="1"/>
      <c r="AE4589" s="1"/>
      <c r="AF4589" s="1"/>
      <c r="AG4589" s="1"/>
      <c r="AH4589" s="1"/>
      <c r="AI4589" s="1"/>
      <c r="AJ4589" s="1"/>
      <c r="AK4589" s="1"/>
      <c r="AL4589" s="1"/>
      <c r="AM4589" s="1"/>
    </row>
    <row r="4590" spans="16:39" x14ac:dyDescent="0.25">
      <c r="P4590" s="49"/>
      <c r="Q4590" s="1"/>
      <c r="S4590" s="1"/>
      <c r="T4590" s="1"/>
      <c r="U4590" s="1"/>
      <c r="V4590" s="1"/>
      <c r="W4590" s="1"/>
      <c r="X4590" s="1"/>
      <c r="Y4590" s="1"/>
      <c r="AB4590" s="1"/>
      <c r="AC4590" s="1"/>
      <c r="AD4590" s="1"/>
      <c r="AE4590" s="1"/>
      <c r="AF4590" s="1"/>
      <c r="AG4590" s="1"/>
      <c r="AH4590" s="1"/>
      <c r="AI4590" s="1"/>
      <c r="AJ4590" s="1"/>
      <c r="AK4590" s="1"/>
      <c r="AL4590" s="1"/>
      <c r="AM4590" s="1"/>
    </row>
    <row r="4591" spans="16:39" x14ac:dyDescent="0.25">
      <c r="P4591" s="49"/>
      <c r="Q4591" s="1"/>
      <c r="S4591" s="1"/>
      <c r="T4591" s="1"/>
      <c r="U4591" s="1"/>
      <c r="V4591" s="1"/>
      <c r="W4591" s="1"/>
      <c r="X4591" s="1"/>
      <c r="Y4591" s="1"/>
      <c r="AB4591" s="1"/>
      <c r="AC4591" s="1"/>
      <c r="AD4591" s="1"/>
      <c r="AE4591" s="1"/>
      <c r="AF4591" s="1"/>
      <c r="AG4591" s="1"/>
      <c r="AH4591" s="1"/>
      <c r="AI4591" s="1"/>
      <c r="AJ4591" s="1"/>
      <c r="AK4591" s="1"/>
      <c r="AL4591" s="1"/>
      <c r="AM4591" s="1"/>
    </row>
    <row r="4592" spans="16:39" x14ac:dyDescent="0.25">
      <c r="P4592" s="49"/>
      <c r="Q4592" s="1"/>
      <c r="S4592" s="1"/>
      <c r="T4592" s="1"/>
      <c r="U4592" s="1"/>
      <c r="V4592" s="1"/>
      <c r="W4592" s="1"/>
      <c r="X4592" s="1"/>
      <c r="Y4592" s="1"/>
      <c r="AB4592" s="1"/>
      <c r="AC4592" s="1"/>
      <c r="AD4592" s="1"/>
      <c r="AE4592" s="1"/>
      <c r="AF4592" s="1"/>
      <c r="AG4592" s="1"/>
      <c r="AH4592" s="1"/>
      <c r="AI4592" s="1"/>
      <c r="AJ4592" s="1"/>
      <c r="AK4592" s="1"/>
      <c r="AL4592" s="1"/>
      <c r="AM4592" s="1"/>
    </row>
    <row r="4593" spans="16:39" x14ac:dyDescent="0.25">
      <c r="P4593" s="49"/>
      <c r="Q4593" s="1"/>
      <c r="S4593" s="1"/>
      <c r="T4593" s="1"/>
      <c r="U4593" s="1"/>
      <c r="V4593" s="1"/>
      <c r="W4593" s="1"/>
      <c r="X4593" s="1"/>
      <c r="Y4593" s="1"/>
      <c r="AB4593" s="1"/>
      <c r="AC4593" s="1"/>
      <c r="AD4593" s="1"/>
      <c r="AE4593" s="1"/>
      <c r="AF4593" s="1"/>
      <c r="AG4593" s="1"/>
      <c r="AH4593" s="1"/>
      <c r="AI4593" s="1"/>
      <c r="AJ4593" s="1"/>
      <c r="AK4593" s="1"/>
      <c r="AL4593" s="1"/>
      <c r="AM4593" s="1"/>
    </row>
    <row r="4594" spans="16:39" x14ac:dyDescent="0.25">
      <c r="P4594" s="49"/>
      <c r="Q4594" s="1"/>
      <c r="S4594" s="1"/>
      <c r="T4594" s="1"/>
      <c r="U4594" s="1"/>
      <c r="V4594" s="1"/>
      <c r="W4594" s="1"/>
      <c r="X4594" s="1"/>
      <c r="Y4594" s="1"/>
      <c r="AB4594" s="1"/>
      <c r="AC4594" s="1"/>
      <c r="AD4594" s="1"/>
      <c r="AE4594" s="1"/>
      <c r="AF4594" s="1"/>
      <c r="AG4594" s="1"/>
      <c r="AH4594" s="1"/>
      <c r="AI4594" s="1"/>
      <c r="AJ4594" s="1"/>
      <c r="AK4594" s="1"/>
      <c r="AL4594" s="1"/>
      <c r="AM4594" s="1"/>
    </row>
    <row r="4595" spans="16:39" x14ac:dyDescent="0.25">
      <c r="P4595" s="49"/>
      <c r="Q4595" s="1"/>
      <c r="S4595" s="1"/>
      <c r="T4595" s="1"/>
      <c r="U4595" s="1"/>
      <c r="V4595" s="1"/>
      <c r="W4595" s="1"/>
      <c r="X4595" s="1"/>
      <c r="Y4595" s="1"/>
      <c r="AB4595" s="1"/>
      <c r="AC4595" s="1"/>
      <c r="AD4595" s="1"/>
      <c r="AE4595" s="1"/>
      <c r="AF4595" s="1"/>
      <c r="AG4595" s="1"/>
      <c r="AH4595" s="1"/>
      <c r="AI4595" s="1"/>
      <c r="AJ4595" s="1"/>
      <c r="AK4595" s="1"/>
      <c r="AL4595" s="1"/>
      <c r="AM4595" s="1"/>
    </row>
    <row r="4596" spans="16:39" x14ac:dyDescent="0.25">
      <c r="P4596" s="49"/>
      <c r="Q4596" s="1"/>
      <c r="S4596" s="1"/>
      <c r="T4596" s="1"/>
      <c r="U4596" s="1"/>
      <c r="V4596" s="1"/>
      <c r="W4596" s="1"/>
      <c r="X4596" s="1"/>
      <c r="Y4596" s="1"/>
      <c r="AB4596" s="1"/>
      <c r="AC4596" s="1"/>
      <c r="AD4596" s="1"/>
      <c r="AE4596" s="1"/>
      <c r="AF4596" s="1"/>
      <c r="AG4596" s="1"/>
      <c r="AH4596" s="1"/>
      <c r="AI4596" s="1"/>
      <c r="AJ4596" s="1"/>
      <c r="AK4596" s="1"/>
      <c r="AL4596" s="1"/>
      <c r="AM4596" s="1"/>
    </row>
    <row r="4597" spans="16:39" x14ac:dyDescent="0.25">
      <c r="P4597" s="49"/>
      <c r="Q4597" s="1"/>
      <c r="S4597" s="1"/>
      <c r="T4597" s="1"/>
      <c r="U4597" s="1"/>
      <c r="V4597" s="1"/>
      <c r="W4597" s="1"/>
      <c r="X4597" s="1"/>
      <c r="Y4597" s="1"/>
      <c r="AB4597" s="1"/>
      <c r="AC4597" s="1"/>
      <c r="AD4597" s="1"/>
      <c r="AE4597" s="1"/>
      <c r="AF4597" s="1"/>
      <c r="AG4597" s="1"/>
      <c r="AH4597" s="1"/>
      <c r="AI4597" s="1"/>
      <c r="AJ4597" s="1"/>
      <c r="AK4597" s="1"/>
      <c r="AL4597" s="1"/>
      <c r="AM4597" s="1"/>
    </row>
    <row r="4598" spans="16:39" x14ac:dyDescent="0.25">
      <c r="P4598" s="49"/>
      <c r="Q4598" s="1"/>
      <c r="S4598" s="1"/>
      <c r="T4598" s="1"/>
      <c r="U4598" s="1"/>
      <c r="V4598" s="1"/>
      <c r="W4598" s="1"/>
      <c r="X4598" s="1"/>
      <c r="Y4598" s="1"/>
      <c r="AB4598" s="1"/>
      <c r="AC4598" s="1"/>
      <c r="AD4598" s="1"/>
      <c r="AE4598" s="1"/>
      <c r="AF4598" s="1"/>
      <c r="AG4598" s="1"/>
      <c r="AH4598" s="1"/>
      <c r="AI4598" s="1"/>
      <c r="AJ4598" s="1"/>
      <c r="AK4598" s="1"/>
      <c r="AL4598" s="1"/>
      <c r="AM4598" s="1"/>
    </row>
    <row r="4599" spans="16:39" x14ac:dyDescent="0.25">
      <c r="P4599" s="49"/>
      <c r="Q4599" s="1"/>
      <c r="S4599" s="1"/>
      <c r="T4599" s="1"/>
      <c r="U4599" s="1"/>
      <c r="V4599" s="1"/>
      <c r="W4599" s="1"/>
      <c r="X4599" s="1"/>
      <c r="Y4599" s="1"/>
      <c r="AB4599" s="1"/>
      <c r="AC4599" s="1"/>
      <c r="AD4599" s="1"/>
      <c r="AE4599" s="1"/>
      <c r="AF4599" s="1"/>
      <c r="AG4599" s="1"/>
      <c r="AH4599" s="1"/>
      <c r="AI4599" s="1"/>
      <c r="AJ4599" s="1"/>
      <c r="AK4599" s="1"/>
      <c r="AL4599" s="1"/>
      <c r="AM4599" s="1"/>
    </row>
    <row r="4600" spans="16:39" x14ac:dyDescent="0.25">
      <c r="P4600" s="49"/>
      <c r="Q4600" s="1"/>
      <c r="S4600" s="1"/>
      <c r="T4600" s="1"/>
      <c r="U4600" s="1"/>
      <c r="V4600" s="1"/>
      <c r="W4600" s="1"/>
      <c r="X4600" s="1"/>
      <c r="Y4600" s="1"/>
      <c r="AB4600" s="1"/>
      <c r="AC4600" s="1"/>
      <c r="AD4600" s="1"/>
      <c r="AE4600" s="1"/>
      <c r="AF4600" s="1"/>
      <c r="AG4600" s="1"/>
      <c r="AH4600" s="1"/>
      <c r="AI4600" s="1"/>
      <c r="AJ4600" s="1"/>
      <c r="AK4600" s="1"/>
      <c r="AL4600" s="1"/>
      <c r="AM4600" s="1"/>
    </row>
    <row r="4601" spans="16:39" x14ac:dyDescent="0.25">
      <c r="P4601" s="49"/>
      <c r="Q4601" s="1"/>
      <c r="S4601" s="1"/>
      <c r="T4601" s="1"/>
      <c r="U4601" s="1"/>
      <c r="V4601" s="1"/>
      <c r="W4601" s="1"/>
      <c r="X4601" s="1"/>
      <c r="Y4601" s="1"/>
      <c r="AB4601" s="1"/>
      <c r="AC4601" s="1"/>
      <c r="AD4601" s="1"/>
      <c r="AE4601" s="1"/>
      <c r="AF4601" s="1"/>
      <c r="AG4601" s="1"/>
      <c r="AH4601" s="1"/>
      <c r="AI4601" s="1"/>
      <c r="AJ4601" s="1"/>
      <c r="AK4601" s="1"/>
      <c r="AL4601" s="1"/>
      <c r="AM4601" s="1"/>
    </row>
    <row r="4602" spans="16:39" x14ac:dyDescent="0.25">
      <c r="P4602" s="49"/>
      <c r="Q4602" s="1"/>
      <c r="S4602" s="1"/>
      <c r="T4602" s="1"/>
      <c r="U4602" s="1"/>
      <c r="V4602" s="1"/>
      <c r="W4602" s="1"/>
      <c r="X4602" s="1"/>
      <c r="Y4602" s="1"/>
      <c r="AB4602" s="1"/>
      <c r="AC4602" s="1"/>
      <c r="AD4602" s="1"/>
      <c r="AE4602" s="1"/>
      <c r="AF4602" s="1"/>
      <c r="AG4602" s="1"/>
      <c r="AH4602" s="1"/>
      <c r="AI4602" s="1"/>
      <c r="AJ4602" s="1"/>
      <c r="AK4602" s="1"/>
      <c r="AL4602" s="1"/>
      <c r="AM4602" s="1"/>
    </row>
    <row r="4603" spans="16:39" x14ac:dyDescent="0.25">
      <c r="P4603" s="49"/>
      <c r="Q4603" s="1"/>
      <c r="S4603" s="1"/>
      <c r="T4603" s="1"/>
      <c r="U4603" s="1"/>
      <c r="V4603" s="1"/>
      <c r="W4603" s="1"/>
      <c r="X4603" s="1"/>
      <c r="Y4603" s="1"/>
      <c r="AB4603" s="1"/>
      <c r="AC4603" s="1"/>
      <c r="AD4603" s="1"/>
      <c r="AE4603" s="1"/>
      <c r="AF4603" s="1"/>
      <c r="AG4603" s="1"/>
      <c r="AH4603" s="1"/>
      <c r="AI4603" s="1"/>
      <c r="AJ4603" s="1"/>
      <c r="AK4603" s="1"/>
      <c r="AL4603" s="1"/>
      <c r="AM4603" s="1"/>
    </row>
    <row r="4604" spans="16:39" x14ac:dyDescent="0.25">
      <c r="P4604" s="49"/>
      <c r="Q4604" s="1"/>
      <c r="S4604" s="1"/>
      <c r="T4604" s="1"/>
      <c r="U4604" s="1"/>
      <c r="V4604" s="1"/>
      <c r="W4604" s="1"/>
      <c r="X4604" s="1"/>
      <c r="Y4604" s="1"/>
      <c r="AB4604" s="1"/>
      <c r="AC4604" s="1"/>
      <c r="AD4604" s="1"/>
      <c r="AE4604" s="1"/>
      <c r="AF4604" s="1"/>
      <c r="AG4604" s="1"/>
      <c r="AH4604" s="1"/>
      <c r="AI4604" s="1"/>
      <c r="AJ4604" s="1"/>
      <c r="AK4604" s="1"/>
      <c r="AL4604" s="1"/>
      <c r="AM4604" s="1"/>
    </row>
    <row r="4605" spans="16:39" x14ac:dyDescent="0.25">
      <c r="P4605" s="49"/>
      <c r="Q4605" s="1"/>
      <c r="S4605" s="1"/>
      <c r="T4605" s="1"/>
      <c r="U4605" s="1"/>
      <c r="V4605" s="1"/>
      <c r="W4605" s="1"/>
      <c r="X4605" s="1"/>
      <c r="Y4605" s="1"/>
      <c r="AB4605" s="1"/>
      <c r="AC4605" s="1"/>
      <c r="AD4605" s="1"/>
      <c r="AE4605" s="1"/>
      <c r="AF4605" s="1"/>
      <c r="AG4605" s="1"/>
      <c r="AH4605" s="1"/>
      <c r="AI4605" s="1"/>
      <c r="AJ4605" s="1"/>
      <c r="AK4605" s="1"/>
      <c r="AL4605" s="1"/>
      <c r="AM4605" s="1"/>
    </row>
    <row r="4606" spans="16:39" x14ac:dyDescent="0.25">
      <c r="P4606" s="49"/>
      <c r="Q4606" s="1"/>
      <c r="S4606" s="1"/>
      <c r="T4606" s="1"/>
      <c r="U4606" s="1"/>
      <c r="V4606" s="1"/>
      <c r="W4606" s="1"/>
      <c r="X4606" s="1"/>
      <c r="Y4606" s="1"/>
      <c r="AB4606" s="1"/>
      <c r="AC4606" s="1"/>
      <c r="AD4606" s="1"/>
      <c r="AE4606" s="1"/>
      <c r="AF4606" s="1"/>
      <c r="AG4606" s="1"/>
      <c r="AH4606" s="1"/>
      <c r="AI4606" s="1"/>
      <c r="AJ4606" s="1"/>
      <c r="AK4606" s="1"/>
      <c r="AL4606" s="1"/>
      <c r="AM4606" s="1"/>
    </row>
    <row r="4607" spans="16:39" x14ac:dyDescent="0.25">
      <c r="P4607" s="49"/>
      <c r="Q4607" s="1"/>
      <c r="S4607" s="1"/>
      <c r="T4607" s="1"/>
      <c r="U4607" s="1"/>
      <c r="V4607" s="1"/>
      <c r="W4607" s="1"/>
      <c r="X4607" s="1"/>
      <c r="Y4607" s="1"/>
      <c r="AB4607" s="1"/>
      <c r="AC4607" s="1"/>
      <c r="AD4607" s="1"/>
      <c r="AE4607" s="1"/>
      <c r="AF4607" s="1"/>
      <c r="AG4607" s="1"/>
      <c r="AH4607" s="1"/>
      <c r="AI4607" s="1"/>
      <c r="AJ4607" s="1"/>
      <c r="AK4607" s="1"/>
      <c r="AL4607" s="1"/>
      <c r="AM4607" s="1"/>
    </row>
    <row r="4608" spans="16:39" x14ac:dyDescent="0.25">
      <c r="P4608" s="49"/>
      <c r="Q4608" s="1"/>
      <c r="S4608" s="1"/>
      <c r="T4608" s="1"/>
      <c r="U4608" s="1"/>
      <c r="V4608" s="1"/>
      <c r="W4608" s="1"/>
      <c r="X4608" s="1"/>
      <c r="Y4608" s="1"/>
      <c r="AB4608" s="1"/>
      <c r="AC4608" s="1"/>
      <c r="AD4608" s="1"/>
      <c r="AE4608" s="1"/>
      <c r="AF4608" s="1"/>
      <c r="AG4608" s="1"/>
      <c r="AH4608" s="1"/>
      <c r="AI4608" s="1"/>
      <c r="AJ4608" s="1"/>
      <c r="AK4608" s="1"/>
      <c r="AL4608" s="1"/>
      <c r="AM4608" s="1"/>
    </row>
    <row r="4609" spans="16:39" x14ac:dyDescent="0.25">
      <c r="P4609" s="49"/>
      <c r="Q4609" s="1"/>
      <c r="S4609" s="1"/>
      <c r="T4609" s="1"/>
      <c r="U4609" s="1"/>
      <c r="V4609" s="1"/>
      <c r="W4609" s="1"/>
      <c r="X4609" s="1"/>
      <c r="Y4609" s="1"/>
      <c r="AB4609" s="1"/>
      <c r="AC4609" s="1"/>
      <c r="AD4609" s="1"/>
      <c r="AE4609" s="1"/>
      <c r="AF4609" s="1"/>
      <c r="AG4609" s="1"/>
      <c r="AH4609" s="1"/>
      <c r="AI4609" s="1"/>
      <c r="AJ4609" s="1"/>
      <c r="AK4609" s="1"/>
      <c r="AL4609" s="1"/>
      <c r="AM4609" s="1"/>
    </row>
    <row r="4610" spans="16:39" x14ac:dyDescent="0.25">
      <c r="P4610" s="49"/>
      <c r="Q4610" s="1"/>
      <c r="S4610" s="1"/>
      <c r="T4610" s="1"/>
      <c r="U4610" s="1"/>
      <c r="V4610" s="1"/>
      <c r="W4610" s="1"/>
      <c r="X4610" s="1"/>
      <c r="Y4610" s="1"/>
      <c r="AB4610" s="1"/>
      <c r="AC4610" s="1"/>
      <c r="AD4610" s="1"/>
      <c r="AE4610" s="1"/>
      <c r="AF4610" s="1"/>
      <c r="AG4610" s="1"/>
      <c r="AH4610" s="1"/>
      <c r="AI4610" s="1"/>
      <c r="AJ4610" s="1"/>
      <c r="AK4610" s="1"/>
      <c r="AL4610" s="1"/>
      <c r="AM4610" s="1"/>
    </row>
    <row r="4611" spans="16:39" x14ac:dyDescent="0.25">
      <c r="P4611" s="49"/>
      <c r="Q4611" s="1"/>
      <c r="S4611" s="1"/>
      <c r="T4611" s="1"/>
      <c r="U4611" s="1"/>
      <c r="V4611" s="1"/>
      <c r="W4611" s="1"/>
      <c r="X4611" s="1"/>
      <c r="Y4611" s="1"/>
      <c r="AB4611" s="1"/>
      <c r="AC4611" s="1"/>
      <c r="AD4611" s="1"/>
      <c r="AE4611" s="1"/>
      <c r="AF4611" s="1"/>
      <c r="AG4611" s="1"/>
      <c r="AH4611" s="1"/>
      <c r="AI4611" s="1"/>
      <c r="AJ4611" s="1"/>
      <c r="AK4611" s="1"/>
      <c r="AL4611" s="1"/>
      <c r="AM4611" s="1"/>
    </row>
    <row r="4612" spans="16:39" x14ac:dyDescent="0.25">
      <c r="P4612" s="49"/>
      <c r="Q4612" s="1"/>
      <c r="S4612" s="1"/>
      <c r="T4612" s="1"/>
      <c r="U4612" s="1"/>
      <c r="V4612" s="1"/>
      <c r="W4612" s="1"/>
      <c r="X4612" s="1"/>
      <c r="Y4612" s="1"/>
      <c r="AB4612" s="1"/>
      <c r="AC4612" s="1"/>
      <c r="AD4612" s="1"/>
      <c r="AE4612" s="1"/>
      <c r="AF4612" s="1"/>
      <c r="AG4612" s="1"/>
      <c r="AH4612" s="1"/>
      <c r="AI4612" s="1"/>
      <c r="AJ4612" s="1"/>
      <c r="AK4612" s="1"/>
      <c r="AL4612" s="1"/>
      <c r="AM4612" s="1"/>
    </row>
    <row r="4613" spans="16:39" x14ac:dyDescent="0.25">
      <c r="P4613" s="49"/>
      <c r="Q4613" s="1"/>
      <c r="S4613" s="1"/>
      <c r="T4613" s="1"/>
      <c r="U4613" s="1"/>
      <c r="V4613" s="1"/>
      <c r="W4613" s="1"/>
      <c r="X4613" s="1"/>
      <c r="Y4613" s="1"/>
      <c r="AB4613" s="1"/>
      <c r="AC4613" s="1"/>
      <c r="AD4613" s="1"/>
      <c r="AE4613" s="1"/>
      <c r="AF4613" s="1"/>
      <c r="AG4613" s="1"/>
      <c r="AH4613" s="1"/>
      <c r="AI4613" s="1"/>
      <c r="AJ4613" s="1"/>
      <c r="AK4613" s="1"/>
      <c r="AL4613" s="1"/>
      <c r="AM4613" s="1"/>
    </row>
    <row r="4614" spans="16:39" x14ac:dyDescent="0.25">
      <c r="P4614" s="49"/>
      <c r="Q4614" s="1"/>
      <c r="S4614" s="1"/>
      <c r="T4614" s="1"/>
      <c r="U4614" s="1"/>
      <c r="V4614" s="1"/>
      <c r="W4614" s="1"/>
      <c r="X4614" s="1"/>
      <c r="Y4614" s="1"/>
      <c r="AB4614" s="1"/>
      <c r="AC4614" s="1"/>
      <c r="AD4614" s="1"/>
      <c r="AE4614" s="1"/>
      <c r="AF4614" s="1"/>
      <c r="AG4614" s="1"/>
      <c r="AH4614" s="1"/>
      <c r="AI4614" s="1"/>
      <c r="AJ4614" s="1"/>
      <c r="AK4614" s="1"/>
      <c r="AL4614" s="1"/>
      <c r="AM4614" s="1"/>
    </row>
    <row r="4615" spans="16:39" x14ac:dyDescent="0.25">
      <c r="P4615" s="49"/>
      <c r="Q4615" s="1"/>
      <c r="S4615" s="1"/>
      <c r="T4615" s="1"/>
      <c r="U4615" s="1"/>
      <c r="V4615" s="1"/>
      <c r="W4615" s="1"/>
      <c r="X4615" s="1"/>
      <c r="Y4615" s="1"/>
      <c r="AB4615" s="1"/>
      <c r="AC4615" s="1"/>
      <c r="AD4615" s="1"/>
      <c r="AE4615" s="1"/>
      <c r="AF4615" s="1"/>
      <c r="AG4615" s="1"/>
      <c r="AH4615" s="1"/>
      <c r="AI4615" s="1"/>
      <c r="AJ4615" s="1"/>
      <c r="AK4615" s="1"/>
      <c r="AL4615" s="1"/>
      <c r="AM4615" s="1"/>
    </row>
    <row r="4616" spans="16:39" x14ac:dyDescent="0.25">
      <c r="P4616" s="49"/>
      <c r="Q4616" s="1"/>
      <c r="S4616" s="1"/>
      <c r="T4616" s="1"/>
      <c r="U4616" s="1"/>
      <c r="V4616" s="1"/>
      <c r="W4616" s="1"/>
      <c r="X4616" s="1"/>
      <c r="Y4616" s="1"/>
      <c r="AB4616" s="1"/>
      <c r="AC4616" s="1"/>
      <c r="AD4616" s="1"/>
      <c r="AE4616" s="1"/>
      <c r="AF4616" s="1"/>
      <c r="AG4616" s="1"/>
      <c r="AH4616" s="1"/>
      <c r="AI4616" s="1"/>
      <c r="AJ4616" s="1"/>
      <c r="AK4616" s="1"/>
      <c r="AL4616" s="1"/>
      <c r="AM4616" s="1"/>
    </row>
    <row r="4617" spans="16:39" x14ac:dyDescent="0.25">
      <c r="P4617" s="49"/>
      <c r="Q4617" s="1"/>
      <c r="S4617" s="1"/>
      <c r="T4617" s="1"/>
      <c r="U4617" s="1"/>
      <c r="V4617" s="1"/>
      <c r="W4617" s="1"/>
      <c r="X4617" s="1"/>
      <c r="Y4617" s="1"/>
      <c r="AB4617" s="1"/>
      <c r="AC4617" s="1"/>
      <c r="AD4617" s="1"/>
      <c r="AE4617" s="1"/>
      <c r="AF4617" s="1"/>
      <c r="AG4617" s="1"/>
      <c r="AH4617" s="1"/>
      <c r="AI4617" s="1"/>
      <c r="AJ4617" s="1"/>
      <c r="AK4617" s="1"/>
      <c r="AL4617" s="1"/>
      <c r="AM4617" s="1"/>
    </row>
    <row r="4618" spans="16:39" x14ac:dyDescent="0.25">
      <c r="P4618" s="49"/>
      <c r="Q4618" s="1"/>
      <c r="S4618" s="1"/>
      <c r="T4618" s="1"/>
      <c r="U4618" s="1"/>
      <c r="V4618" s="1"/>
      <c r="W4618" s="1"/>
      <c r="X4618" s="1"/>
      <c r="Y4618" s="1"/>
      <c r="AB4618" s="1"/>
      <c r="AC4618" s="1"/>
      <c r="AD4618" s="1"/>
      <c r="AE4618" s="1"/>
      <c r="AF4618" s="1"/>
      <c r="AG4618" s="1"/>
      <c r="AH4618" s="1"/>
      <c r="AI4618" s="1"/>
      <c r="AJ4618" s="1"/>
      <c r="AK4618" s="1"/>
      <c r="AL4618" s="1"/>
      <c r="AM4618" s="1"/>
    </row>
    <row r="4619" spans="16:39" x14ac:dyDescent="0.25">
      <c r="P4619" s="49"/>
      <c r="Q4619" s="1"/>
      <c r="S4619" s="1"/>
      <c r="T4619" s="1"/>
      <c r="U4619" s="1"/>
      <c r="V4619" s="1"/>
      <c r="W4619" s="1"/>
      <c r="X4619" s="1"/>
      <c r="Y4619" s="1"/>
      <c r="AB4619" s="1"/>
      <c r="AC4619" s="1"/>
      <c r="AD4619" s="1"/>
      <c r="AE4619" s="1"/>
      <c r="AF4619" s="1"/>
      <c r="AG4619" s="1"/>
      <c r="AH4619" s="1"/>
      <c r="AI4619" s="1"/>
      <c r="AJ4619" s="1"/>
      <c r="AK4619" s="1"/>
      <c r="AL4619" s="1"/>
      <c r="AM4619" s="1"/>
    </row>
    <row r="4620" spans="16:39" x14ac:dyDescent="0.25">
      <c r="P4620" s="49"/>
      <c r="Q4620" s="1"/>
      <c r="S4620" s="1"/>
      <c r="T4620" s="1"/>
      <c r="U4620" s="1"/>
      <c r="V4620" s="1"/>
      <c r="W4620" s="1"/>
      <c r="X4620" s="1"/>
      <c r="Y4620" s="1"/>
      <c r="AB4620" s="1"/>
      <c r="AC4620" s="1"/>
      <c r="AD4620" s="1"/>
      <c r="AE4620" s="1"/>
      <c r="AF4620" s="1"/>
      <c r="AG4620" s="1"/>
      <c r="AH4620" s="1"/>
      <c r="AI4620" s="1"/>
      <c r="AJ4620" s="1"/>
      <c r="AK4620" s="1"/>
      <c r="AL4620" s="1"/>
      <c r="AM4620" s="1"/>
    </row>
    <row r="4621" spans="16:39" x14ac:dyDescent="0.25">
      <c r="P4621" s="49"/>
      <c r="Q4621" s="1"/>
      <c r="S4621" s="1"/>
      <c r="T4621" s="1"/>
      <c r="U4621" s="1"/>
      <c r="V4621" s="1"/>
      <c r="W4621" s="1"/>
      <c r="X4621" s="1"/>
      <c r="Y4621" s="1"/>
      <c r="AB4621" s="1"/>
      <c r="AC4621" s="1"/>
      <c r="AD4621" s="1"/>
      <c r="AE4621" s="1"/>
      <c r="AF4621" s="1"/>
      <c r="AG4621" s="1"/>
      <c r="AH4621" s="1"/>
      <c r="AI4621" s="1"/>
      <c r="AJ4621" s="1"/>
      <c r="AK4621" s="1"/>
      <c r="AL4621" s="1"/>
      <c r="AM4621" s="1"/>
    </row>
    <row r="4622" spans="16:39" x14ac:dyDescent="0.25">
      <c r="P4622" s="49"/>
      <c r="Q4622" s="1"/>
      <c r="S4622" s="1"/>
      <c r="T4622" s="1"/>
      <c r="U4622" s="1"/>
      <c r="V4622" s="1"/>
      <c r="W4622" s="1"/>
      <c r="X4622" s="1"/>
      <c r="Y4622" s="1"/>
      <c r="AB4622" s="1"/>
      <c r="AC4622" s="1"/>
      <c r="AD4622" s="1"/>
      <c r="AE4622" s="1"/>
      <c r="AF4622" s="1"/>
      <c r="AG4622" s="1"/>
      <c r="AH4622" s="1"/>
      <c r="AI4622" s="1"/>
      <c r="AJ4622" s="1"/>
      <c r="AK4622" s="1"/>
      <c r="AL4622" s="1"/>
      <c r="AM4622" s="1"/>
    </row>
    <row r="4623" spans="16:39" x14ac:dyDescent="0.25">
      <c r="P4623" s="49"/>
      <c r="Q4623" s="1"/>
      <c r="S4623" s="1"/>
      <c r="T4623" s="1"/>
      <c r="U4623" s="1"/>
      <c r="V4623" s="1"/>
      <c r="W4623" s="1"/>
      <c r="X4623" s="1"/>
      <c r="Y4623" s="1"/>
      <c r="AB4623" s="1"/>
      <c r="AC4623" s="1"/>
      <c r="AD4623" s="1"/>
      <c r="AE4623" s="1"/>
      <c r="AF4623" s="1"/>
      <c r="AG4623" s="1"/>
      <c r="AH4623" s="1"/>
      <c r="AI4623" s="1"/>
      <c r="AJ4623" s="1"/>
      <c r="AK4623" s="1"/>
      <c r="AL4623" s="1"/>
      <c r="AM4623" s="1"/>
    </row>
    <row r="4624" spans="16:39" x14ac:dyDescent="0.25">
      <c r="P4624" s="49"/>
      <c r="Q4624" s="1"/>
      <c r="S4624" s="1"/>
      <c r="T4624" s="1"/>
      <c r="U4624" s="1"/>
      <c r="V4624" s="1"/>
      <c r="W4624" s="1"/>
      <c r="X4624" s="1"/>
      <c r="Y4624" s="1"/>
      <c r="AB4624" s="1"/>
      <c r="AC4624" s="1"/>
      <c r="AD4624" s="1"/>
      <c r="AE4624" s="1"/>
      <c r="AF4624" s="1"/>
      <c r="AG4624" s="1"/>
      <c r="AH4624" s="1"/>
      <c r="AI4624" s="1"/>
      <c r="AJ4624" s="1"/>
      <c r="AK4624" s="1"/>
      <c r="AL4624" s="1"/>
      <c r="AM4624" s="1"/>
    </row>
    <row r="4625" spans="16:39" x14ac:dyDescent="0.25">
      <c r="P4625" s="49"/>
      <c r="Q4625" s="1"/>
      <c r="S4625" s="1"/>
      <c r="T4625" s="1"/>
      <c r="U4625" s="1"/>
      <c r="V4625" s="1"/>
      <c r="W4625" s="1"/>
      <c r="X4625" s="1"/>
      <c r="Y4625" s="1"/>
      <c r="AB4625" s="1"/>
      <c r="AC4625" s="1"/>
      <c r="AD4625" s="1"/>
      <c r="AE4625" s="1"/>
      <c r="AF4625" s="1"/>
      <c r="AG4625" s="1"/>
      <c r="AH4625" s="1"/>
      <c r="AI4625" s="1"/>
      <c r="AJ4625" s="1"/>
      <c r="AK4625" s="1"/>
      <c r="AL4625" s="1"/>
      <c r="AM4625" s="1"/>
    </row>
    <row r="4626" spans="16:39" x14ac:dyDescent="0.25">
      <c r="P4626" s="49"/>
      <c r="Q4626" s="1"/>
      <c r="S4626" s="1"/>
      <c r="T4626" s="1"/>
      <c r="U4626" s="1"/>
      <c r="V4626" s="1"/>
      <c r="W4626" s="1"/>
      <c r="X4626" s="1"/>
      <c r="Y4626" s="1"/>
      <c r="AB4626" s="1"/>
      <c r="AC4626" s="1"/>
      <c r="AD4626" s="1"/>
      <c r="AE4626" s="1"/>
      <c r="AF4626" s="1"/>
      <c r="AG4626" s="1"/>
      <c r="AH4626" s="1"/>
      <c r="AI4626" s="1"/>
      <c r="AJ4626" s="1"/>
      <c r="AK4626" s="1"/>
      <c r="AL4626" s="1"/>
      <c r="AM4626" s="1"/>
    </row>
    <row r="4627" spans="16:39" x14ac:dyDescent="0.25">
      <c r="P4627" s="49"/>
      <c r="Q4627" s="1"/>
      <c r="S4627" s="1"/>
      <c r="T4627" s="1"/>
      <c r="U4627" s="1"/>
      <c r="V4627" s="1"/>
      <c r="W4627" s="1"/>
      <c r="X4627" s="1"/>
      <c r="Y4627" s="1"/>
      <c r="AB4627" s="1"/>
      <c r="AC4627" s="1"/>
      <c r="AD4627" s="1"/>
      <c r="AE4627" s="1"/>
      <c r="AF4627" s="1"/>
      <c r="AG4627" s="1"/>
      <c r="AH4627" s="1"/>
      <c r="AI4627" s="1"/>
      <c r="AJ4627" s="1"/>
      <c r="AK4627" s="1"/>
      <c r="AL4627" s="1"/>
      <c r="AM4627" s="1"/>
    </row>
    <row r="4628" spans="16:39" x14ac:dyDescent="0.25">
      <c r="P4628" s="49"/>
      <c r="Q4628" s="1"/>
      <c r="S4628" s="1"/>
      <c r="T4628" s="1"/>
      <c r="U4628" s="1"/>
      <c r="V4628" s="1"/>
      <c r="W4628" s="1"/>
      <c r="X4628" s="1"/>
      <c r="Y4628" s="1"/>
      <c r="AB4628" s="1"/>
      <c r="AC4628" s="1"/>
      <c r="AD4628" s="1"/>
      <c r="AE4628" s="1"/>
      <c r="AF4628" s="1"/>
      <c r="AG4628" s="1"/>
      <c r="AH4628" s="1"/>
      <c r="AI4628" s="1"/>
      <c r="AJ4628" s="1"/>
      <c r="AK4628" s="1"/>
      <c r="AL4628" s="1"/>
      <c r="AM4628" s="1"/>
    </row>
    <row r="4629" spans="16:39" x14ac:dyDescent="0.25">
      <c r="P4629" s="49"/>
      <c r="Q4629" s="1"/>
      <c r="S4629" s="1"/>
      <c r="T4629" s="1"/>
      <c r="U4629" s="1"/>
      <c r="V4629" s="1"/>
      <c r="W4629" s="1"/>
      <c r="X4629" s="1"/>
      <c r="Y4629" s="1"/>
      <c r="AB4629" s="1"/>
      <c r="AC4629" s="1"/>
      <c r="AD4629" s="1"/>
      <c r="AE4629" s="1"/>
      <c r="AF4629" s="1"/>
      <c r="AG4629" s="1"/>
      <c r="AH4629" s="1"/>
      <c r="AI4629" s="1"/>
      <c r="AJ4629" s="1"/>
      <c r="AK4629" s="1"/>
      <c r="AL4629" s="1"/>
      <c r="AM4629" s="1"/>
    </row>
    <row r="4630" spans="16:39" x14ac:dyDescent="0.25">
      <c r="P4630" s="49"/>
      <c r="Q4630" s="1"/>
      <c r="S4630" s="1"/>
      <c r="T4630" s="1"/>
      <c r="U4630" s="1"/>
      <c r="V4630" s="1"/>
      <c r="W4630" s="1"/>
      <c r="X4630" s="1"/>
      <c r="Y4630" s="1"/>
      <c r="AB4630" s="1"/>
      <c r="AC4630" s="1"/>
      <c r="AD4630" s="1"/>
      <c r="AE4630" s="1"/>
      <c r="AF4630" s="1"/>
      <c r="AG4630" s="1"/>
      <c r="AH4630" s="1"/>
      <c r="AI4630" s="1"/>
      <c r="AJ4630" s="1"/>
      <c r="AK4630" s="1"/>
      <c r="AL4630" s="1"/>
      <c r="AM4630" s="1"/>
    </row>
    <row r="4631" spans="16:39" x14ac:dyDescent="0.25">
      <c r="P4631" s="49"/>
      <c r="Q4631" s="1"/>
      <c r="S4631" s="1"/>
      <c r="T4631" s="1"/>
      <c r="U4631" s="1"/>
      <c r="V4631" s="1"/>
      <c r="W4631" s="1"/>
      <c r="X4631" s="1"/>
      <c r="Y4631" s="1"/>
      <c r="AB4631" s="1"/>
      <c r="AC4631" s="1"/>
      <c r="AD4631" s="1"/>
      <c r="AE4631" s="1"/>
      <c r="AF4631" s="1"/>
      <c r="AG4631" s="1"/>
      <c r="AH4631" s="1"/>
      <c r="AI4631" s="1"/>
      <c r="AJ4631" s="1"/>
      <c r="AK4631" s="1"/>
      <c r="AL4631" s="1"/>
      <c r="AM4631" s="1"/>
    </row>
    <row r="4632" spans="16:39" x14ac:dyDescent="0.25">
      <c r="P4632" s="49"/>
      <c r="Q4632" s="1"/>
      <c r="S4632" s="1"/>
      <c r="T4632" s="1"/>
      <c r="U4632" s="1"/>
      <c r="V4632" s="1"/>
      <c r="W4632" s="1"/>
      <c r="X4632" s="1"/>
      <c r="Y4632" s="1"/>
      <c r="AB4632" s="1"/>
      <c r="AC4632" s="1"/>
      <c r="AD4632" s="1"/>
      <c r="AE4632" s="1"/>
      <c r="AF4632" s="1"/>
      <c r="AG4632" s="1"/>
      <c r="AH4632" s="1"/>
      <c r="AI4632" s="1"/>
      <c r="AJ4632" s="1"/>
      <c r="AK4632" s="1"/>
      <c r="AL4632" s="1"/>
      <c r="AM4632" s="1"/>
    </row>
    <row r="4633" spans="16:39" x14ac:dyDescent="0.25">
      <c r="P4633" s="49"/>
      <c r="Q4633" s="1"/>
      <c r="S4633" s="1"/>
      <c r="T4633" s="1"/>
      <c r="U4633" s="1"/>
      <c r="V4633" s="1"/>
      <c r="W4633" s="1"/>
      <c r="X4633" s="1"/>
      <c r="Y4633" s="1"/>
      <c r="AB4633" s="1"/>
      <c r="AC4633" s="1"/>
      <c r="AD4633" s="1"/>
      <c r="AE4633" s="1"/>
      <c r="AF4633" s="1"/>
      <c r="AG4633" s="1"/>
      <c r="AH4633" s="1"/>
      <c r="AI4633" s="1"/>
      <c r="AJ4633" s="1"/>
      <c r="AK4633" s="1"/>
      <c r="AL4633" s="1"/>
      <c r="AM4633" s="1"/>
    </row>
    <row r="4634" spans="16:39" x14ac:dyDescent="0.25">
      <c r="P4634" s="49"/>
      <c r="Q4634" s="1"/>
      <c r="S4634" s="1"/>
      <c r="T4634" s="1"/>
      <c r="U4634" s="1"/>
      <c r="V4634" s="1"/>
      <c r="W4634" s="1"/>
      <c r="X4634" s="1"/>
      <c r="Y4634" s="1"/>
      <c r="AB4634" s="1"/>
      <c r="AC4634" s="1"/>
      <c r="AD4634" s="1"/>
      <c r="AE4634" s="1"/>
      <c r="AF4634" s="1"/>
      <c r="AG4634" s="1"/>
      <c r="AH4634" s="1"/>
      <c r="AI4634" s="1"/>
      <c r="AJ4634" s="1"/>
      <c r="AK4634" s="1"/>
      <c r="AL4634" s="1"/>
      <c r="AM4634" s="1"/>
    </row>
    <row r="4635" spans="16:39" x14ac:dyDescent="0.25">
      <c r="P4635" s="49"/>
      <c r="Q4635" s="1"/>
      <c r="S4635" s="1"/>
      <c r="T4635" s="1"/>
      <c r="U4635" s="1"/>
      <c r="V4635" s="1"/>
      <c r="W4635" s="1"/>
      <c r="X4635" s="1"/>
      <c r="Y4635" s="1"/>
      <c r="AB4635" s="1"/>
      <c r="AC4635" s="1"/>
      <c r="AD4635" s="1"/>
      <c r="AE4635" s="1"/>
      <c r="AF4635" s="1"/>
      <c r="AG4635" s="1"/>
      <c r="AH4635" s="1"/>
      <c r="AI4635" s="1"/>
      <c r="AJ4635" s="1"/>
      <c r="AK4635" s="1"/>
      <c r="AL4635" s="1"/>
      <c r="AM4635" s="1"/>
    </row>
    <row r="4636" spans="16:39" x14ac:dyDescent="0.25">
      <c r="P4636" s="49"/>
      <c r="Q4636" s="1"/>
      <c r="S4636" s="1"/>
      <c r="T4636" s="1"/>
      <c r="U4636" s="1"/>
      <c r="V4636" s="1"/>
      <c r="W4636" s="1"/>
      <c r="X4636" s="1"/>
      <c r="Y4636" s="1"/>
      <c r="AB4636" s="1"/>
      <c r="AC4636" s="1"/>
      <c r="AD4636" s="1"/>
      <c r="AE4636" s="1"/>
      <c r="AF4636" s="1"/>
      <c r="AG4636" s="1"/>
      <c r="AH4636" s="1"/>
      <c r="AI4636" s="1"/>
      <c r="AJ4636" s="1"/>
      <c r="AK4636" s="1"/>
      <c r="AL4636" s="1"/>
      <c r="AM4636" s="1"/>
    </row>
    <row r="4637" spans="16:39" x14ac:dyDescent="0.25">
      <c r="P4637" s="49"/>
      <c r="Q4637" s="1"/>
      <c r="S4637" s="1"/>
      <c r="T4637" s="1"/>
      <c r="U4637" s="1"/>
      <c r="V4637" s="1"/>
      <c r="W4637" s="1"/>
      <c r="X4637" s="1"/>
      <c r="Y4637" s="1"/>
      <c r="AB4637" s="1"/>
      <c r="AC4637" s="1"/>
      <c r="AD4637" s="1"/>
      <c r="AE4637" s="1"/>
      <c r="AF4637" s="1"/>
      <c r="AG4637" s="1"/>
      <c r="AH4637" s="1"/>
      <c r="AI4637" s="1"/>
      <c r="AJ4637" s="1"/>
      <c r="AK4637" s="1"/>
      <c r="AL4637" s="1"/>
      <c r="AM4637" s="1"/>
    </row>
    <row r="4638" spans="16:39" x14ac:dyDescent="0.25">
      <c r="P4638" s="49"/>
      <c r="Q4638" s="1"/>
      <c r="S4638" s="1"/>
      <c r="T4638" s="1"/>
      <c r="U4638" s="1"/>
      <c r="V4638" s="1"/>
      <c r="W4638" s="1"/>
      <c r="X4638" s="1"/>
      <c r="Y4638" s="1"/>
      <c r="AB4638" s="1"/>
      <c r="AC4638" s="1"/>
      <c r="AD4638" s="1"/>
      <c r="AE4638" s="1"/>
      <c r="AF4638" s="1"/>
      <c r="AG4638" s="1"/>
      <c r="AH4638" s="1"/>
      <c r="AI4638" s="1"/>
      <c r="AJ4638" s="1"/>
      <c r="AK4638" s="1"/>
      <c r="AL4638" s="1"/>
      <c r="AM4638" s="1"/>
    </row>
    <row r="4639" spans="16:39" x14ac:dyDescent="0.25">
      <c r="P4639" s="49"/>
      <c r="Q4639" s="1"/>
      <c r="S4639" s="1"/>
      <c r="T4639" s="1"/>
      <c r="U4639" s="1"/>
      <c r="V4639" s="1"/>
      <c r="W4639" s="1"/>
      <c r="X4639" s="1"/>
      <c r="Y4639" s="1"/>
      <c r="AB4639" s="1"/>
      <c r="AC4639" s="1"/>
      <c r="AD4639" s="1"/>
      <c r="AE4639" s="1"/>
      <c r="AF4639" s="1"/>
      <c r="AG4639" s="1"/>
      <c r="AH4639" s="1"/>
      <c r="AI4639" s="1"/>
      <c r="AJ4639" s="1"/>
      <c r="AK4639" s="1"/>
      <c r="AL4639" s="1"/>
      <c r="AM4639" s="1"/>
    </row>
    <row r="4640" spans="16:39" x14ac:dyDescent="0.25">
      <c r="P4640" s="49"/>
      <c r="Q4640" s="1"/>
      <c r="S4640" s="1"/>
      <c r="T4640" s="1"/>
      <c r="U4640" s="1"/>
      <c r="V4640" s="1"/>
      <c r="W4640" s="1"/>
      <c r="X4640" s="1"/>
      <c r="Y4640" s="1"/>
      <c r="AB4640" s="1"/>
      <c r="AC4640" s="1"/>
      <c r="AD4640" s="1"/>
      <c r="AE4640" s="1"/>
      <c r="AF4640" s="1"/>
      <c r="AG4640" s="1"/>
      <c r="AH4640" s="1"/>
      <c r="AI4640" s="1"/>
      <c r="AJ4640" s="1"/>
      <c r="AK4640" s="1"/>
      <c r="AL4640" s="1"/>
      <c r="AM4640" s="1"/>
    </row>
    <row r="4641" spans="16:39" x14ac:dyDescent="0.25">
      <c r="P4641" s="49"/>
      <c r="Q4641" s="1"/>
      <c r="S4641" s="1"/>
      <c r="T4641" s="1"/>
      <c r="U4641" s="1"/>
      <c r="V4641" s="1"/>
      <c r="W4641" s="1"/>
      <c r="X4641" s="1"/>
      <c r="Y4641" s="1"/>
      <c r="AB4641" s="1"/>
      <c r="AC4641" s="1"/>
      <c r="AD4641" s="1"/>
      <c r="AE4641" s="1"/>
      <c r="AF4641" s="1"/>
      <c r="AG4641" s="1"/>
      <c r="AH4641" s="1"/>
      <c r="AI4641" s="1"/>
      <c r="AJ4641" s="1"/>
      <c r="AK4641" s="1"/>
      <c r="AL4641" s="1"/>
      <c r="AM4641" s="1"/>
    </row>
    <row r="4642" spans="16:39" x14ac:dyDescent="0.25">
      <c r="P4642" s="49"/>
      <c r="Q4642" s="1"/>
      <c r="S4642" s="1"/>
      <c r="T4642" s="1"/>
      <c r="U4642" s="1"/>
      <c r="V4642" s="1"/>
      <c r="W4642" s="1"/>
      <c r="X4642" s="1"/>
      <c r="Y4642" s="1"/>
      <c r="AB4642" s="1"/>
      <c r="AC4642" s="1"/>
      <c r="AD4642" s="1"/>
      <c r="AE4642" s="1"/>
      <c r="AF4642" s="1"/>
      <c r="AG4642" s="1"/>
      <c r="AH4642" s="1"/>
      <c r="AI4642" s="1"/>
      <c r="AJ4642" s="1"/>
      <c r="AK4642" s="1"/>
      <c r="AL4642" s="1"/>
      <c r="AM4642" s="1"/>
    </row>
    <row r="4643" spans="16:39" x14ac:dyDescent="0.25">
      <c r="P4643" s="49"/>
      <c r="Q4643" s="1"/>
      <c r="S4643" s="1"/>
      <c r="T4643" s="1"/>
      <c r="U4643" s="1"/>
      <c r="V4643" s="1"/>
      <c r="W4643" s="1"/>
      <c r="X4643" s="1"/>
      <c r="Y4643" s="1"/>
      <c r="AB4643" s="1"/>
      <c r="AC4643" s="1"/>
      <c r="AD4643" s="1"/>
      <c r="AE4643" s="1"/>
      <c r="AF4643" s="1"/>
      <c r="AG4643" s="1"/>
      <c r="AH4643" s="1"/>
      <c r="AI4643" s="1"/>
      <c r="AJ4643" s="1"/>
      <c r="AK4643" s="1"/>
      <c r="AL4643" s="1"/>
      <c r="AM4643" s="1"/>
    </row>
    <row r="4644" spans="16:39" x14ac:dyDescent="0.25">
      <c r="P4644" s="49"/>
      <c r="Q4644" s="1"/>
      <c r="S4644" s="1"/>
      <c r="T4644" s="1"/>
      <c r="U4644" s="1"/>
      <c r="V4644" s="1"/>
      <c r="W4644" s="1"/>
      <c r="X4644" s="1"/>
      <c r="Y4644" s="1"/>
      <c r="AB4644" s="1"/>
      <c r="AC4644" s="1"/>
      <c r="AD4644" s="1"/>
      <c r="AE4644" s="1"/>
      <c r="AF4644" s="1"/>
      <c r="AG4644" s="1"/>
      <c r="AH4644" s="1"/>
      <c r="AI4644" s="1"/>
      <c r="AJ4644" s="1"/>
      <c r="AK4644" s="1"/>
      <c r="AL4644" s="1"/>
      <c r="AM4644" s="1"/>
    </row>
    <row r="4645" spans="16:39" x14ac:dyDescent="0.25">
      <c r="P4645" s="49"/>
      <c r="Q4645" s="1"/>
      <c r="S4645" s="1"/>
      <c r="T4645" s="1"/>
      <c r="U4645" s="1"/>
      <c r="V4645" s="1"/>
      <c r="W4645" s="1"/>
      <c r="X4645" s="1"/>
      <c r="Y4645" s="1"/>
      <c r="AB4645" s="1"/>
      <c r="AC4645" s="1"/>
      <c r="AD4645" s="1"/>
      <c r="AE4645" s="1"/>
      <c r="AF4645" s="1"/>
      <c r="AG4645" s="1"/>
      <c r="AH4645" s="1"/>
      <c r="AI4645" s="1"/>
      <c r="AJ4645" s="1"/>
      <c r="AK4645" s="1"/>
      <c r="AL4645" s="1"/>
      <c r="AM4645" s="1"/>
    </row>
    <row r="4646" spans="16:39" x14ac:dyDescent="0.25">
      <c r="P4646" s="49"/>
      <c r="Q4646" s="1"/>
      <c r="S4646" s="1"/>
      <c r="T4646" s="1"/>
      <c r="U4646" s="1"/>
      <c r="V4646" s="1"/>
      <c r="W4646" s="1"/>
      <c r="X4646" s="1"/>
      <c r="Y4646" s="1"/>
      <c r="AB4646" s="1"/>
      <c r="AC4646" s="1"/>
      <c r="AD4646" s="1"/>
      <c r="AE4646" s="1"/>
      <c r="AF4646" s="1"/>
      <c r="AG4646" s="1"/>
      <c r="AH4646" s="1"/>
      <c r="AI4646" s="1"/>
      <c r="AJ4646" s="1"/>
      <c r="AK4646" s="1"/>
      <c r="AL4646" s="1"/>
      <c r="AM4646" s="1"/>
    </row>
    <row r="4647" spans="16:39" x14ac:dyDescent="0.25">
      <c r="P4647" s="49"/>
      <c r="Q4647" s="1"/>
      <c r="S4647" s="1"/>
      <c r="T4647" s="1"/>
      <c r="U4647" s="1"/>
      <c r="V4647" s="1"/>
      <c r="W4647" s="1"/>
      <c r="X4647" s="1"/>
      <c r="Y4647" s="1"/>
      <c r="AB4647" s="1"/>
      <c r="AC4647" s="1"/>
      <c r="AD4647" s="1"/>
      <c r="AE4647" s="1"/>
      <c r="AF4647" s="1"/>
      <c r="AG4647" s="1"/>
      <c r="AH4647" s="1"/>
      <c r="AI4647" s="1"/>
      <c r="AJ4647" s="1"/>
      <c r="AK4647" s="1"/>
      <c r="AL4647" s="1"/>
      <c r="AM4647" s="1"/>
    </row>
    <row r="4648" spans="16:39" x14ac:dyDescent="0.25">
      <c r="P4648" s="49"/>
      <c r="Q4648" s="1"/>
      <c r="S4648" s="1"/>
      <c r="T4648" s="1"/>
      <c r="U4648" s="1"/>
      <c r="V4648" s="1"/>
      <c r="W4648" s="1"/>
      <c r="X4648" s="1"/>
      <c r="Y4648" s="1"/>
      <c r="AB4648" s="1"/>
      <c r="AC4648" s="1"/>
      <c r="AD4648" s="1"/>
      <c r="AE4648" s="1"/>
      <c r="AF4648" s="1"/>
      <c r="AG4648" s="1"/>
      <c r="AH4648" s="1"/>
      <c r="AI4648" s="1"/>
      <c r="AJ4648" s="1"/>
      <c r="AK4648" s="1"/>
      <c r="AL4648" s="1"/>
      <c r="AM4648" s="1"/>
    </row>
    <row r="4649" spans="16:39" x14ac:dyDescent="0.25">
      <c r="P4649" s="49"/>
      <c r="Q4649" s="1"/>
      <c r="S4649" s="1"/>
      <c r="T4649" s="1"/>
      <c r="U4649" s="1"/>
      <c r="V4649" s="1"/>
      <c r="W4649" s="1"/>
      <c r="X4649" s="1"/>
      <c r="Y4649" s="1"/>
      <c r="AB4649" s="1"/>
      <c r="AC4649" s="1"/>
      <c r="AD4649" s="1"/>
      <c r="AE4649" s="1"/>
      <c r="AF4649" s="1"/>
      <c r="AG4649" s="1"/>
      <c r="AH4649" s="1"/>
      <c r="AI4649" s="1"/>
      <c r="AJ4649" s="1"/>
      <c r="AK4649" s="1"/>
      <c r="AL4649" s="1"/>
      <c r="AM4649" s="1"/>
    </row>
    <row r="4650" spans="16:39" x14ac:dyDescent="0.25">
      <c r="P4650" s="49"/>
      <c r="Q4650" s="1"/>
      <c r="S4650" s="1"/>
      <c r="T4650" s="1"/>
      <c r="U4650" s="1"/>
      <c r="V4650" s="1"/>
      <c r="W4650" s="1"/>
      <c r="X4650" s="1"/>
      <c r="Y4650" s="1"/>
      <c r="AB4650" s="1"/>
      <c r="AC4650" s="1"/>
      <c r="AD4650" s="1"/>
      <c r="AE4650" s="1"/>
      <c r="AF4650" s="1"/>
      <c r="AG4650" s="1"/>
      <c r="AH4650" s="1"/>
      <c r="AI4650" s="1"/>
      <c r="AJ4650" s="1"/>
      <c r="AK4650" s="1"/>
      <c r="AL4650" s="1"/>
      <c r="AM4650" s="1"/>
    </row>
    <row r="4651" spans="16:39" x14ac:dyDescent="0.25">
      <c r="P4651" s="49"/>
      <c r="Q4651" s="1"/>
      <c r="S4651" s="1"/>
      <c r="T4651" s="1"/>
      <c r="U4651" s="1"/>
      <c r="V4651" s="1"/>
      <c r="W4651" s="1"/>
      <c r="X4651" s="1"/>
      <c r="Y4651" s="1"/>
      <c r="AB4651" s="1"/>
      <c r="AC4651" s="1"/>
      <c r="AD4651" s="1"/>
      <c r="AE4651" s="1"/>
      <c r="AF4651" s="1"/>
      <c r="AG4651" s="1"/>
      <c r="AH4651" s="1"/>
      <c r="AI4651" s="1"/>
      <c r="AJ4651" s="1"/>
      <c r="AK4651" s="1"/>
      <c r="AL4651" s="1"/>
      <c r="AM4651" s="1"/>
    </row>
    <row r="4652" spans="16:39" x14ac:dyDescent="0.25">
      <c r="P4652" s="49"/>
      <c r="Q4652" s="1"/>
      <c r="S4652" s="1"/>
      <c r="T4652" s="1"/>
      <c r="U4652" s="1"/>
      <c r="V4652" s="1"/>
      <c r="W4652" s="1"/>
      <c r="X4652" s="1"/>
      <c r="Y4652" s="1"/>
      <c r="AB4652" s="1"/>
      <c r="AC4652" s="1"/>
      <c r="AD4652" s="1"/>
      <c r="AE4652" s="1"/>
      <c r="AF4652" s="1"/>
      <c r="AG4652" s="1"/>
      <c r="AH4652" s="1"/>
      <c r="AI4652" s="1"/>
      <c r="AJ4652" s="1"/>
      <c r="AK4652" s="1"/>
      <c r="AL4652" s="1"/>
      <c r="AM4652" s="1"/>
    </row>
    <row r="4653" spans="16:39" x14ac:dyDescent="0.25">
      <c r="P4653" s="49"/>
      <c r="Q4653" s="1"/>
      <c r="S4653" s="1"/>
      <c r="T4653" s="1"/>
      <c r="U4653" s="1"/>
      <c r="V4653" s="1"/>
      <c r="W4653" s="1"/>
      <c r="X4653" s="1"/>
      <c r="Y4653" s="1"/>
      <c r="AB4653" s="1"/>
      <c r="AC4653" s="1"/>
      <c r="AD4653" s="1"/>
      <c r="AE4653" s="1"/>
      <c r="AF4653" s="1"/>
      <c r="AG4653" s="1"/>
      <c r="AH4653" s="1"/>
      <c r="AI4653" s="1"/>
      <c r="AJ4653" s="1"/>
      <c r="AK4653" s="1"/>
      <c r="AL4653" s="1"/>
      <c r="AM4653" s="1"/>
    </row>
    <row r="4654" spans="16:39" x14ac:dyDescent="0.25">
      <c r="P4654" s="49"/>
      <c r="Q4654" s="1"/>
      <c r="S4654" s="1"/>
      <c r="T4654" s="1"/>
      <c r="U4654" s="1"/>
      <c r="V4654" s="1"/>
      <c r="W4654" s="1"/>
      <c r="X4654" s="1"/>
      <c r="Y4654" s="1"/>
      <c r="AB4654" s="1"/>
      <c r="AC4654" s="1"/>
      <c r="AD4654" s="1"/>
      <c r="AE4654" s="1"/>
      <c r="AF4654" s="1"/>
      <c r="AG4654" s="1"/>
      <c r="AH4654" s="1"/>
      <c r="AI4654" s="1"/>
      <c r="AJ4654" s="1"/>
      <c r="AK4654" s="1"/>
      <c r="AL4654" s="1"/>
      <c r="AM4654" s="1"/>
    </row>
    <row r="4655" spans="16:39" x14ac:dyDescent="0.25">
      <c r="P4655" s="49"/>
      <c r="Q4655" s="1"/>
      <c r="S4655" s="1"/>
      <c r="T4655" s="1"/>
      <c r="U4655" s="1"/>
      <c r="V4655" s="1"/>
      <c r="W4655" s="1"/>
      <c r="X4655" s="1"/>
      <c r="Y4655" s="1"/>
      <c r="AB4655" s="1"/>
      <c r="AC4655" s="1"/>
      <c r="AD4655" s="1"/>
      <c r="AE4655" s="1"/>
      <c r="AF4655" s="1"/>
      <c r="AG4655" s="1"/>
      <c r="AH4655" s="1"/>
      <c r="AI4655" s="1"/>
      <c r="AJ4655" s="1"/>
      <c r="AK4655" s="1"/>
      <c r="AL4655" s="1"/>
      <c r="AM4655" s="1"/>
    </row>
    <row r="4656" spans="16:39" x14ac:dyDescent="0.25">
      <c r="P4656" s="49"/>
      <c r="Q4656" s="1"/>
      <c r="S4656" s="1"/>
      <c r="T4656" s="1"/>
      <c r="U4656" s="1"/>
      <c r="V4656" s="1"/>
      <c r="W4656" s="1"/>
      <c r="X4656" s="1"/>
      <c r="Y4656" s="1"/>
      <c r="AB4656" s="1"/>
      <c r="AC4656" s="1"/>
      <c r="AD4656" s="1"/>
      <c r="AE4656" s="1"/>
      <c r="AF4656" s="1"/>
      <c r="AG4656" s="1"/>
      <c r="AH4656" s="1"/>
      <c r="AI4656" s="1"/>
      <c r="AJ4656" s="1"/>
      <c r="AK4656" s="1"/>
      <c r="AL4656" s="1"/>
      <c r="AM4656" s="1"/>
    </row>
    <row r="4657" spans="16:39" x14ac:dyDescent="0.25">
      <c r="P4657" s="49"/>
      <c r="Q4657" s="1"/>
      <c r="S4657" s="1"/>
      <c r="T4657" s="1"/>
      <c r="U4657" s="1"/>
      <c r="V4657" s="1"/>
      <c r="W4657" s="1"/>
      <c r="X4657" s="1"/>
      <c r="Y4657" s="1"/>
      <c r="AB4657" s="1"/>
      <c r="AC4657" s="1"/>
      <c r="AD4657" s="1"/>
      <c r="AE4657" s="1"/>
      <c r="AF4657" s="1"/>
      <c r="AG4657" s="1"/>
      <c r="AH4657" s="1"/>
      <c r="AI4657" s="1"/>
      <c r="AJ4657" s="1"/>
      <c r="AK4657" s="1"/>
      <c r="AL4657" s="1"/>
      <c r="AM4657" s="1"/>
    </row>
    <row r="4658" spans="16:39" x14ac:dyDescent="0.25">
      <c r="P4658" s="49"/>
      <c r="Q4658" s="1"/>
      <c r="S4658" s="1"/>
      <c r="T4658" s="1"/>
      <c r="U4658" s="1"/>
      <c r="V4658" s="1"/>
      <c r="W4658" s="1"/>
      <c r="X4658" s="1"/>
      <c r="Y4658" s="1"/>
      <c r="AB4658" s="1"/>
      <c r="AC4658" s="1"/>
      <c r="AD4658" s="1"/>
      <c r="AE4658" s="1"/>
      <c r="AF4658" s="1"/>
      <c r="AG4658" s="1"/>
      <c r="AH4658" s="1"/>
      <c r="AI4658" s="1"/>
      <c r="AJ4658" s="1"/>
      <c r="AK4658" s="1"/>
      <c r="AL4658" s="1"/>
      <c r="AM4658" s="1"/>
    </row>
    <row r="4659" spans="16:39" x14ac:dyDescent="0.25">
      <c r="P4659" s="49"/>
      <c r="Q4659" s="1"/>
      <c r="S4659" s="1"/>
      <c r="T4659" s="1"/>
      <c r="U4659" s="1"/>
      <c r="V4659" s="1"/>
      <c r="W4659" s="1"/>
      <c r="X4659" s="1"/>
      <c r="Y4659" s="1"/>
      <c r="AB4659" s="1"/>
      <c r="AC4659" s="1"/>
      <c r="AD4659" s="1"/>
      <c r="AE4659" s="1"/>
      <c r="AF4659" s="1"/>
      <c r="AG4659" s="1"/>
      <c r="AH4659" s="1"/>
      <c r="AI4659" s="1"/>
      <c r="AJ4659" s="1"/>
      <c r="AK4659" s="1"/>
      <c r="AL4659" s="1"/>
      <c r="AM4659" s="1"/>
    </row>
    <row r="4660" spans="16:39" x14ac:dyDescent="0.25">
      <c r="P4660" s="49"/>
      <c r="Q4660" s="1"/>
      <c r="S4660" s="1"/>
      <c r="T4660" s="1"/>
      <c r="U4660" s="1"/>
      <c r="V4660" s="1"/>
      <c r="W4660" s="1"/>
      <c r="X4660" s="1"/>
      <c r="Y4660" s="1"/>
      <c r="AB4660" s="1"/>
      <c r="AC4660" s="1"/>
      <c r="AD4660" s="1"/>
      <c r="AE4660" s="1"/>
      <c r="AF4660" s="1"/>
      <c r="AG4660" s="1"/>
      <c r="AH4660" s="1"/>
      <c r="AI4660" s="1"/>
      <c r="AJ4660" s="1"/>
      <c r="AK4660" s="1"/>
      <c r="AL4660" s="1"/>
      <c r="AM4660" s="1"/>
    </row>
    <row r="4661" spans="16:39" x14ac:dyDescent="0.25">
      <c r="P4661" s="49"/>
      <c r="Q4661" s="1"/>
      <c r="S4661" s="1"/>
      <c r="T4661" s="1"/>
      <c r="U4661" s="1"/>
      <c r="V4661" s="1"/>
      <c r="W4661" s="1"/>
      <c r="X4661" s="1"/>
      <c r="Y4661" s="1"/>
      <c r="AB4661" s="1"/>
      <c r="AC4661" s="1"/>
      <c r="AD4661" s="1"/>
      <c r="AE4661" s="1"/>
      <c r="AF4661" s="1"/>
      <c r="AG4661" s="1"/>
      <c r="AH4661" s="1"/>
      <c r="AI4661" s="1"/>
      <c r="AJ4661" s="1"/>
      <c r="AK4661" s="1"/>
      <c r="AL4661" s="1"/>
      <c r="AM4661" s="1"/>
    </row>
    <row r="4662" spans="16:39" x14ac:dyDescent="0.25">
      <c r="P4662" s="49"/>
      <c r="Q4662" s="1"/>
      <c r="S4662" s="1"/>
      <c r="T4662" s="1"/>
      <c r="U4662" s="1"/>
      <c r="V4662" s="1"/>
      <c r="W4662" s="1"/>
      <c r="X4662" s="1"/>
      <c r="Y4662" s="1"/>
      <c r="AB4662" s="1"/>
      <c r="AC4662" s="1"/>
      <c r="AD4662" s="1"/>
      <c r="AE4662" s="1"/>
      <c r="AF4662" s="1"/>
      <c r="AG4662" s="1"/>
      <c r="AH4662" s="1"/>
      <c r="AI4662" s="1"/>
      <c r="AJ4662" s="1"/>
      <c r="AK4662" s="1"/>
      <c r="AL4662" s="1"/>
      <c r="AM4662" s="1"/>
    </row>
    <row r="4663" spans="16:39" x14ac:dyDescent="0.25">
      <c r="P4663" s="49"/>
      <c r="Q4663" s="1"/>
      <c r="S4663" s="1"/>
      <c r="T4663" s="1"/>
      <c r="U4663" s="1"/>
      <c r="V4663" s="1"/>
      <c r="W4663" s="1"/>
      <c r="X4663" s="1"/>
      <c r="Y4663" s="1"/>
      <c r="AB4663" s="1"/>
      <c r="AC4663" s="1"/>
      <c r="AD4663" s="1"/>
      <c r="AE4663" s="1"/>
      <c r="AF4663" s="1"/>
      <c r="AG4663" s="1"/>
      <c r="AH4663" s="1"/>
      <c r="AI4663" s="1"/>
      <c r="AJ4663" s="1"/>
      <c r="AK4663" s="1"/>
      <c r="AL4663" s="1"/>
      <c r="AM4663" s="1"/>
    </row>
    <row r="4664" spans="16:39" x14ac:dyDescent="0.25">
      <c r="P4664" s="49"/>
      <c r="Q4664" s="1"/>
      <c r="S4664" s="1"/>
      <c r="T4664" s="1"/>
      <c r="U4664" s="1"/>
      <c r="V4664" s="1"/>
      <c r="W4664" s="1"/>
      <c r="X4664" s="1"/>
      <c r="Y4664" s="1"/>
      <c r="AB4664" s="1"/>
      <c r="AC4664" s="1"/>
      <c r="AD4664" s="1"/>
      <c r="AE4664" s="1"/>
      <c r="AF4664" s="1"/>
      <c r="AG4664" s="1"/>
      <c r="AH4664" s="1"/>
      <c r="AI4664" s="1"/>
      <c r="AJ4664" s="1"/>
      <c r="AK4664" s="1"/>
      <c r="AL4664" s="1"/>
      <c r="AM4664" s="1"/>
    </row>
    <row r="4665" spans="16:39" x14ac:dyDescent="0.25">
      <c r="P4665" s="49"/>
      <c r="Q4665" s="1"/>
      <c r="S4665" s="1"/>
      <c r="T4665" s="1"/>
      <c r="U4665" s="1"/>
      <c r="V4665" s="1"/>
      <c r="W4665" s="1"/>
      <c r="X4665" s="1"/>
      <c r="Y4665" s="1"/>
      <c r="AB4665" s="1"/>
      <c r="AC4665" s="1"/>
      <c r="AD4665" s="1"/>
      <c r="AE4665" s="1"/>
      <c r="AF4665" s="1"/>
      <c r="AG4665" s="1"/>
      <c r="AH4665" s="1"/>
      <c r="AI4665" s="1"/>
      <c r="AJ4665" s="1"/>
      <c r="AK4665" s="1"/>
      <c r="AL4665" s="1"/>
      <c r="AM4665" s="1"/>
    </row>
    <row r="4666" spans="16:39" x14ac:dyDescent="0.25">
      <c r="P4666" s="49"/>
      <c r="Q4666" s="1"/>
      <c r="S4666" s="1"/>
      <c r="T4666" s="1"/>
      <c r="U4666" s="1"/>
      <c r="V4666" s="1"/>
      <c r="W4666" s="1"/>
      <c r="X4666" s="1"/>
      <c r="Y4666" s="1"/>
      <c r="AB4666" s="1"/>
      <c r="AC4666" s="1"/>
      <c r="AD4666" s="1"/>
      <c r="AE4666" s="1"/>
      <c r="AF4666" s="1"/>
      <c r="AG4666" s="1"/>
      <c r="AH4666" s="1"/>
      <c r="AI4666" s="1"/>
      <c r="AJ4666" s="1"/>
      <c r="AK4666" s="1"/>
      <c r="AL4666" s="1"/>
      <c r="AM4666" s="1"/>
    </row>
    <row r="4667" spans="16:39" x14ac:dyDescent="0.25">
      <c r="P4667" s="49"/>
      <c r="Q4667" s="1"/>
      <c r="S4667" s="1"/>
      <c r="T4667" s="1"/>
      <c r="U4667" s="1"/>
      <c r="V4667" s="1"/>
      <c r="W4667" s="1"/>
      <c r="X4667" s="1"/>
      <c r="Y4667" s="1"/>
      <c r="AB4667" s="1"/>
      <c r="AC4667" s="1"/>
      <c r="AD4667" s="1"/>
      <c r="AE4667" s="1"/>
      <c r="AF4667" s="1"/>
      <c r="AG4667" s="1"/>
      <c r="AH4667" s="1"/>
      <c r="AI4667" s="1"/>
      <c r="AJ4667" s="1"/>
      <c r="AK4667" s="1"/>
      <c r="AL4667" s="1"/>
      <c r="AM4667" s="1"/>
    </row>
    <row r="4668" spans="16:39" x14ac:dyDescent="0.25">
      <c r="P4668" s="49"/>
      <c r="Q4668" s="1"/>
      <c r="S4668" s="1"/>
      <c r="T4668" s="1"/>
      <c r="U4668" s="1"/>
      <c r="V4668" s="1"/>
      <c r="W4668" s="1"/>
      <c r="X4668" s="1"/>
      <c r="Y4668" s="1"/>
      <c r="AB4668" s="1"/>
      <c r="AC4668" s="1"/>
      <c r="AD4668" s="1"/>
      <c r="AE4668" s="1"/>
      <c r="AF4668" s="1"/>
      <c r="AG4668" s="1"/>
      <c r="AH4668" s="1"/>
      <c r="AI4668" s="1"/>
      <c r="AJ4668" s="1"/>
      <c r="AK4668" s="1"/>
      <c r="AL4668" s="1"/>
      <c r="AM4668" s="1"/>
    </row>
    <row r="4669" spans="16:39" x14ac:dyDescent="0.25">
      <c r="P4669" s="49"/>
      <c r="Q4669" s="1"/>
      <c r="S4669" s="1"/>
      <c r="T4669" s="1"/>
      <c r="U4669" s="1"/>
      <c r="V4669" s="1"/>
      <c r="W4669" s="1"/>
      <c r="X4669" s="1"/>
      <c r="Y4669" s="1"/>
      <c r="AB4669" s="1"/>
      <c r="AC4669" s="1"/>
      <c r="AD4669" s="1"/>
      <c r="AE4669" s="1"/>
      <c r="AF4669" s="1"/>
      <c r="AG4669" s="1"/>
      <c r="AH4669" s="1"/>
      <c r="AI4669" s="1"/>
      <c r="AJ4669" s="1"/>
      <c r="AK4669" s="1"/>
      <c r="AL4669" s="1"/>
      <c r="AM4669" s="1"/>
    </row>
    <row r="4670" spans="16:39" x14ac:dyDescent="0.25">
      <c r="P4670" s="49"/>
      <c r="Q4670" s="1"/>
      <c r="S4670" s="1"/>
      <c r="T4670" s="1"/>
      <c r="U4670" s="1"/>
      <c r="V4670" s="1"/>
      <c r="W4670" s="1"/>
      <c r="X4670" s="1"/>
      <c r="Y4670" s="1"/>
      <c r="AB4670" s="1"/>
      <c r="AC4670" s="1"/>
      <c r="AD4670" s="1"/>
      <c r="AE4670" s="1"/>
      <c r="AF4670" s="1"/>
      <c r="AG4670" s="1"/>
      <c r="AH4670" s="1"/>
      <c r="AI4670" s="1"/>
      <c r="AJ4670" s="1"/>
      <c r="AK4670" s="1"/>
      <c r="AL4670" s="1"/>
      <c r="AM4670" s="1"/>
    </row>
    <row r="4671" spans="16:39" x14ac:dyDescent="0.25">
      <c r="P4671" s="49"/>
      <c r="Q4671" s="1"/>
      <c r="S4671" s="1"/>
      <c r="T4671" s="1"/>
      <c r="U4671" s="1"/>
      <c r="V4671" s="1"/>
      <c r="W4671" s="1"/>
      <c r="X4671" s="1"/>
      <c r="Y4671" s="1"/>
      <c r="AB4671" s="1"/>
      <c r="AC4671" s="1"/>
      <c r="AD4671" s="1"/>
      <c r="AE4671" s="1"/>
      <c r="AF4671" s="1"/>
      <c r="AG4671" s="1"/>
      <c r="AH4671" s="1"/>
      <c r="AI4671" s="1"/>
      <c r="AJ4671" s="1"/>
      <c r="AK4671" s="1"/>
      <c r="AL4671" s="1"/>
      <c r="AM4671" s="1"/>
    </row>
    <row r="4672" spans="16:39" x14ac:dyDescent="0.25">
      <c r="P4672" s="49"/>
      <c r="Q4672" s="1"/>
      <c r="S4672" s="1"/>
      <c r="T4672" s="1"/>
      <c r="U4672" s="1"/>
      <c r="V4672" s="1"/>
      <c r="W4672" s="1"/>
      <c r="X4672" s="1"/>
      <c r="Y4672" s="1"/>
      <c r="AB4672" s="1"/>
      <c r="AC4672" s="1"/>
      <c r="AD4672" s="1"/>
      <c r="AE4672" s="1"/>
      <c r="AF4672" s="1"/>
      <c r="AG4672" s="1"/>
      <c r="AH4672" s="1"/>
      <c r="AI4672" s="1"/>
      <c r="AJ4672" s="1"/>
      <c r="AK4672" s="1"/>
      <c r="AL4672" s="1"/>
      <c r="AM4672" s="1"/>
    </row>
    <row r="4673" spans="16:39" x14ac:dyDescent="0.25">
      <c r="P4673" s="49"/>
      <c r="Q4673" s="1"/>
      <c r="S4673" s="1"/>
      <c r="T4673" s="1"/>
      <c r="U4673" s="1"/>
      <c r="V4673" s="1"/>
      <c r="W4673" s="1"/>
      <c r="X4673" s="1"/>
      <c r="Y4673" s="1"/>
      <c r="AB4673" s="1"/>
      <c r="AC4673" s="1"/>
      <c r="AD4673" s="1"/>
      <c r="AE4673" s="1"/>
      <c r="AF4673" s="1"/>
      <c r="AG4673" s="1"/>
      <c r="AH4673" s="1"/>
      <c r="AI4673" s="1"/>
      <c r="AJ4673" s="1"/>
      <c r="AK4673" s="1"/>
      <c r="AL4673" s="1"/>
      <c r="AM4673" s="1"/>
    </row>
    <row r="4674" spans="16:39" x14ac:dyDescent="0.25">
      <c r="P4674" s="49"/>
      <c r="Q4674" s="1"/>
      <c r="S4674" s="1"/>
      <c r="T4674" s="1"/>
      <c r="U4674" s="1"/>
      <c r="V4674" s="1"/>
      <c r="W4674" s="1"/>
      <c r="X4674" s="1"/>
      <c r="Y4674" s="1"/>
      <c r="AB4674" s="1"/>
      <c r="AC4674" s="1"/>
      <c r="AD4674" s="1"/>
      <c r="AE4674" s="1"/>
      <c r="AF4674" s="1"/>
      <c r="AG4674" s="1"/>
      <c r="AH4674" s="1"/>
      <c r="AI4674" s="1"/>
      <c r="AJ4674" s="1"/>
      <c r="AK4674" s="1"/>
      <c r="AL4674" s="1"/>
      <c r="AM4674" s="1"/>
    </row>
    <row r="4675" spans="16:39" x14ac:dyDescent="0.25">
      <c r="P4675" s="49"/>
      <c r="Q4675" s="1"/>
      <c r="S4675" s="1"/>
      <c r="T4675" s="1"/>
      <c r="U4675" s="1"/>
      <c r="V4675" s="1"/>
      <c r="W4675" s="1"/>
      <c r="X4675" s="1"/>
      <c r="Y4675" s="1"/>
      <c r="AB4675" s="1"/>
      <c r="AC4675" s="1"/>
      <c r="AD4675" s="1"/>
      <c r="AE4675" s="1"/>
      <c r="AF4675" s="1"/>
      <c r="AG4675" s="1"/>
      <c r="AH4675" s="1"/>
      <c r="AI4675" s="1"/>
      <c r="AJ4675" s="1"/>
      <c r="AK4675" s="1"/>
      <c r="AL4675" s="1"/>
      <c r="AM4675" s="1"/>
    </row>
    <row r="4676" spans="16:39" x14ac:dyDescent="0.25">
      <c r="P4676" s="49"/>
      <c r="Q4676" s="1"/>
      <c r="S4676" s="1"/>
      <c r="T4676" s="1"/>
      <c r="U4676" s="1"/>
      <c r="V4676" s="1"/>
      <c r="W4676" s="1"/>
      <c r="X4676" s="1"/>
      <c r="Y4676" s="1"/>
      <c r="AB4676" s="1"/>
      <c r="AC4676" s="1"/>
      <c r="AD4676" s="1"/>
      <c r="AE4676" s="1"/>
      <c r="AF4676" s="1"/>
      <c r="AG4676" s="1"/>
      <c r="AH4676" s="1"/>
      <c r="AI4676" s="1"/>
      <c r="AJ4676" s="1"/>
      <c r="AK4676" s="1"/>
      <c r="AL4676" s="1"/>
      <c r="AM4676" s="1"/>
    </row>
    <row r="4677" spans="16:39" x14ac:dyDescent="0.25">
      <c r="P4677" s="49"/>
      <c r="Q4677" s="1"/>
      <c r="S4677" s="1"/>
      <c r="T4677" s="1"/>
      <c r="U4677" s="1"/>
      <c r="V4677" s="1"/>
      <c r="W4677" s="1"/>
      <c r="X4677" s="1"/>
      <c r="Y4677" s="1"/>
      <c r="AB4677" s="1"/>
      <c r="AC4677" s="1"/>
      <c r="AD4677" s="1"/>
      <c r="AE4677" s="1"/>
      <c r="AF4677" s="1"/>
      <c r="AG4677" s="1"/>
      <c r="AH4677" s="1"/>
      <c r="AI4677" s="1"/>
      <c r="AJ4677" s="1"/>
      <c r="AK4677" s="1"/>
      <c r="AL4677" s="1"/>
      <c r="AM4677" s="1"/>
    </row>
    <row r="4678" spans="16:39" x14ac:dyDescent="0.25">
      <c r="P4678" s="49"/>
      <c r="Q4678" s="1"/>
      <c r="S4678" s="1"/>
      <c r="T4678" s="1"/>
      <c r="U4678" s="1"/>
      <c r="V4678" s="1"/>
      <c r="W4678" s="1"/>
      <c r="X4678" s="1"/>
      <c r="Y4678" s="1"/>
      <c r="AB4678" s="1"/>
      <c r="AC4678" s="1"/>
      <c r="AD4678" s="1"/>
      <c r="AE4678" s="1"/>
      <c r="AF4678" s="1"/>
      <c r="AG4678" s="1"/>
      <c r="AH4678" s="1"/>
      <c r="AI4678" s="1"/>
      <c r="AJ4678" s="1"/>
      <c r="AK4678" s="1"/>
      <c r="AL4678" s="1"/>
      <c r="AM4678" s="1"/>
    </row>
    <row r="4679" spans="16:39" x14ac:dyDescent="0.25">
      <c r="P4679" s="49"/>
      <c r="Q4679" s="1"/>
      <c r="S4679" s="1"/>
      <c r="T4679" s="1"/>
      <c r="U4679" s="1"/>
      <c r="V4679" s="1"/>
      <c r="W4679" s="1"/>
      <c r="X4679" s="1"/>
      <c r="Y4679" s="1"/>
      <c r="AB4679" s="1"/>
      <c r="AC4679" s="1"/>
      <c r="AD4679" s="1"/>
      <c r="AE4679" s="1"/>
      <c r="AF4679" s="1"/>
      <c r="AG4679" s="1"/>
      <c r="AH4679" s="1"/>
      <c r="AI4679" s="1"/>
      <c r="AJ4679" s="1"/>
      <c r="AK4679" s="1"/>
      <c r="AL4679" s="1"/>
      <c r="AM4679" s="1"/>
    </row>
    <row r="4680" spans="16:39" x14ac:dyDescent="0.25">
      <c r="P4680" s="49"/>
      <c r="Q4680" s="1"/>
      <c r="S4680" s="1"/>
      <c r="T4680" s="1"/>
      <c r="U4680" s="1"/>
      <c r="V4680" s="1"/>
      <c r="W4680" s="1"/>
      <c r="X4680" s="1"/>
      <c r="Y4680" s="1"/>
      <c r="AB4680" s="1"/>
      <c r="AC4680" s="1"/>
      <c r="AD4680" s="1"/>
      <c r="AE4680" s="1"/>
      <c r="AF4680" s="1"/>
      <c r="AG4680" s="1"/>
      <c r="AH4680" s="1"/>
      <c r="AI4680" s="1"/>
      <c r="AJ4680" s="1"/>
      <c r="AK4680" s="1"/>
      <c r="AL4680" s="1"/>
      <c r="AM4680" s="1"/>
    </row>
    <row r="4681" spans="16:39" x14ac:dyDescent="0.25">
      <c r="P4681" s="49"/>
      <c r="Q4681" s="1"/>
      <c r="S4681" s="1"/>
      <c r="T4681" s="1"/>
      <c r="U4681" s="1"/>
      <c r="V4681" s="1"/>
      <c r="W4681" s="1"/>
      <c r="X4681" s="1"/>
      <c r="Y4681" s="1"/>
      <c r="AB4681" s="1"/>
      <c r="AC4681" s="1"/>
      <c r="AD4681" s="1"/>
      <c r="AE4681" s="1"/>
      <c r="AF4681" s="1"/>
      <c r="AG4681" s="1"/>
      <c r="AH4681" s="1"/>
      <c r="AI4681" s="1"/>
      <c r="AJ4681" s="1"/>
      <c r="AK4681" s="1"/>
      <c r="AL4681" s="1"/>
      <c r="AM4681" s="1"/>
    </row>
    <row r="4682" spans="16:39" x14ac:dyDescent="0.25">
      <c r="P4682" s="49"/>
      <c r="Q4682" s="1"/>
      <c r="S4682" s="1"/>
      <c r="T4682" s="1"/>
      <c r="U4682" s="1"/>
      <c r="V4682" s="1"/>
      <c r="W4682" s="1"/>
      <c r="X4682" s="1"/>
      <c r="Y4682" s="1"/>
      <c r="AB4682" s="1"/>
      <c r="AC4682" s="1"/>
      <c r="AD4682" s="1"/>
      <c r="AE4682" s="1"/>
      <c r="AF4682" s="1"/>
      <c r="AG4682" s="1"/>
      <c r="AH4682" s="1"/>
      <c r="AI4682" s="1"/>
      <c r="AJ4682" s="1"/>
      <c r="AK4682" s="1"/>
      <c r="AL4682" s="1"/>
      <c r="AM4682" s="1"/>
    </row>
    <row r="4683" spans="16:39" x14ac:dyDescent="0.25">
      <c r="P4683" s="49"/>
      <c r="Q4683" s="1"/>
      <c r="S4683" s="1"/>
      <c r="T4683" s="1"/>
      <c r="U4683" s="1"/>
      <c r="V4683" s="1"/>
      <c r="W4683" s="1"/>
      <c r="X4683" s="1"/>
      <c r="Y4683" s="1"/>
      <c r="AB4683" s="1"/>
      <c r="AC4683" s="1"/>
      <c r="AD4683" s="1"/>
      <c r="AE4683" s="1"/>
      <c r="AF4683" s="1"/>
      <c r="AG4683" s="1"/>
      <c r="AH4683" s="1"/>
      <c r="AI4683" s="1"/>
      <c r="AJ4683" s="1"/>
      <c r="AK4683" s="1"/>
      <c r="AL4683" s="1"/>
      <c r="AM4683" s="1"/>
    </row>
    <row r="4684" spans="16:39" x14ac:dyDescent="0.25">
      <c r="P4684" s="49"/>
      <c r="Q4684" s="1"/>
      <c r="S4684" s="1"/>
      <c r="T4684" s="1"/>
      <c r="U4684" s="1"/>
      <c r="V4684" s="1"/>
      <c r="W4684" s="1"/>
      <c r="X4684" s="1"/>
      <c r="Y4684" s="1"/>
      <c r="AB4684" s="1"/>
      <c r="AC4684" s="1"/>
      <c r="AD4684" s="1"/>
      <c r="AE4684" s="1"/>
      <c r="AF4684" s="1"/>
      <c r="AG4684" s="1"/>
      <c r="AH4684" s="1"/>
      <c r="AI4684" s="1"/>
      <c r="AJ4684" s="1"/>
      <c r="AK4684" s="1"/>
      <c r="AL4684" s="1"/>
      <c r="AM4684" s="1"/>
    </row>
    <row r="4685" spans="16:39" x14ac:dyDescent="0.25">
      <c r="P4685" s="49"/>
      <c r="Q4685" s="1"/>
      <c r="S4685" s="1"/>
      <c r="T4685" s="1"/>
      <c r="U4685" s="1"/>
      <c r="V4685" s="1"/>
      <c r="W4685" s="1"/>
      <c r="X4685" s="1"/>
      <c r="Y4685" s="1"/>
      <c r="AB4685" s="1"/>
      <c r="AC4685" s="1"/>
      <c r="AD4685" s="1"/>
      <c r="AE4685" s="1"/>
      <c r="AF4685" s="1"/>
      <c r="AG4685" s="1"/>
      <c r="AH4685" s="1"/>
      <c r="AI4685" s="1"/>
      <c r="AJ4685" s="1"/>
      <c r="AK4685" s="1"/>
      <c r="AL4685" s="1"/>
      <c r="AM4685" s="1"/>
    </row>
    <row r="4686" spans="16:39" x14ac:dyDescent="0.25">
      <c r="P4686" s="49"/>
      <c r="Q4686" s="1"/>
      <c r="S4686" s="1"/>
      <c r="T4686" s="1"/>
      <c r="U4686" s="1"/>
      <c r="V4686" s="1"/>
      <c r="W4686" s="1"/>
      <c r="X4686" s="1"/>
      <c r="Y4686" s="1"/>
      <c r="AB4686" s="1"/>
      <c r="AC4686" s="1"/>
      <c r="AD4686" s="1"/>
      <c r="AE4686" s="1"/>
      <c r="AF4686" s="1"/>
      <c r="AG4686" s="1"/>
      <c r="AH4686" s="1"/>
      <c r="AI4686" s="1"/>
      <c r="AJ4686" s="1"/>
      <c r="AK4686" s="1"/>
      <c r="AL4686" s="1"/>
      <c r="AM4686" s="1"/>
    </row>
    <row r="4687" spans="16:39" x14ac:dyDescent="0.25">
      <c r="P4687" s="49"/>
      <c r="Q4687" s="1"/>
      <c r="S4687" s="1"/>
      <c r="T4687" s="1"/>
      <c r="U4687" s="1"/>
      <c r="V4687" s="1"/>
      <c r="W4687" s="1"/>
      <c r="X4687" s="1"/>
      <c r="Y4687" s="1"/>
      <c r="AB4687" s="1"/>
      <c r="AC4687" s="1"/>
      <c r="AD4687" s="1"/>
      <c r="AE4687" s="1"/>
      <c r="AF4687" s="1"/>
      <c r="AG4687" s="1"/>
      <c r="AH4687" s="1"/>
      <c r="AI4687" s="1"/>
      <c r="AJ4687" s="1"/>
      <c r="AK4687" s="1"/>
      <c r="AL4687" s="1"/>
      <c r="AM4687" s="1"/>
    </row>
    <row r="4688" spans="16:39" x14ac:dyDescent="0.25">
      <c r="P4688" s="49"/>
      <c r="Q4688" s="1"/>
      <c r="S4688" s="1"/>
      <c r="T4688" s="1"/>
      <c r="U4688" s="1"/>
      <c r="V4688" s="1"/>
      <c r="W4688" s="1"/>
      <c r="X4688" s="1"/>
      <c r="Y4688" s="1"/>
      <c r="AB4688" s="1"/>
      <c r="AC4688" s="1"/>
      <c r="AD4688" s="1"/>
      <c r="AE4688" s="1"/>
      <c r="AF4688" s="1"/>
      <c r="AG4688" s="1"/>
      <c r="AH4688" s="1"/>
      <c r="AI4688" s="1"/>
      <c r="AJ4688" s="1"/>
      <c r="AK4688" s="1"/>
      <c r="AL4688" s="1"/>
      <c r="AM4688" s="1"/>
    </row>
    <row r="4689" spans="16:39" x14ac:dyDescent="0.25">
      <c r="P4689" s="49"/>
      <c r="Q4689" s="1"/>
      <c r="S4689" s="1"/>
      <c r="T4689" s="1"/>
      <c r="U4689" s="1"/>
      <c r="V4689" s="1"/>
      <c r="W4689" s="1"/>
      <c r="X4689" s="1"/>
      <c r="Y4689" s="1"/>
      <c r="AB4689" s="1"/>
      <c r="AC4689" s="1"/>
      <c r="AD4689" s="1"/>
      <c r="AE4689" s="1"/>
      <c r="AF4689" s="1"/>
      <c r="AG4689" s="1"/>
      <c r="AH4689" s="1"/>
      <c r="AI4689" s="1"/>
      <c r="AJ4689" s="1"/>
      <c r="AK4689" s="1"/>
      <c r="AL4689" s="1"/>
      <c r="AM4689" s="1"/>
    </row>
    <row r="4690" spans="16:39" x14ac:dyDescent="0.25">
      <c r="P4690" s="49"/>
      <c r="Q4690" s="1"/>
      <c r="S4690" s="1"/>
      <c r="T4690" s="1"/>
      <c r="U4690" s="1"/>
      <c r="V4690" s="1"/>
      <c r="W4690" s="1"/>
      <c r="X4690" s="1"/>
      <c r="Y4690" s="1"/>
      <c r="AB4690" s="1"/>
      <c r="AC4690" s="1"/>
      <c r="AD4690" s="1"/>
      <c r="AE4690" s="1"/>
      <c r="AF4690" s="1"/>
      <c r="AG4690" s="1"/>
      <c r="AH4690" s="1"/>
      <c r="AI4690" s="1"/>
      <c r="AJ4690" s="1"/>
      <c r="AK4690" s="1"/>
      <c r="AL4690" s="1"/>
      <c r="AM4690" s="1"/>
    </row>
    <row r="4691" spans="16:39" x14ac:dyDescent="0.25">
      <c r="P4691" s="49"/>
      <c r="Q4691" s="1"/>
      <c r="S4691" s="1"/>
      <c r="T4691" s="1"/>
      <c r="U4691" s="1"/>
      <c r="V4691" s="1"/>
      <c r="W4691" s="1"/>
      <c r="X4691" s="1"/>
      <c r="Y4691" s="1"/>
      <c r="AB4691" s="1"/>
      <c r="AC4691" s="1"/>
      <c r="AD4691" s="1"/>
      <c r="AE4691" s="1"/>
      <c r="AF4691" s="1"/>
      <c r="AG4691" s="1"/>
      <c r="AH4691" s="1"/>
      <c r="AI4691" s="1"/>
      <c r="AJ4691" s="1"/>
      <c r="AK4691" s="1"/>
      <c r="AL4691" s="1"/>
      <c r="AM4691" s="1"/>
    </row>
    <row r="4692" spans="16:39" x14ac:dyDescent="0.25">
      <c r="P4692" s="49"/>
      <c r="Q4692" s="1"/>
      <c r="S4692" s="1"/>
      <c r="T4692" s="1"/>
      <c r="U4692" s="1"/>
      <c r="V4692" s="1"/>
      <c r="W4692" s="1"/>
      <c r="X4692" s="1"/>
      <c r="Y4692" s="1"/>
      <c r="AB4692" s="1"/>
      <c r="AC4692" s="1"/>
      <c r="AD4692" s="1"/>
      <c r="AE4692" s="1"/>
      <c r="AF4692" s="1"/>
      <c r="AG4692" s="1"/>
      <c r="AH4692" s="1"/>
      <c r="AI4692" s="1"/>
      <c r="AJ4692" s="1"/>
      <c r="AK4692" s="1"/>
      <c r="AL4692" s="1"/>
      <c r="AM4692" s="1"/>
    </row>
    <row r="4693" spans="16:39" x14ac:dyDescent="0.25">
      <c r="P4693" s="49"/>
      <c r="Q4693" s="1"/>
      <c r="S4693" s="1"/>
      <c r="T4693" s="1"/>
      <c r="U4693" s="1"/>
      <c r="V4693" s="1"/>
      <c r="W4693" s="1"/>
      <c r="X4693" s="1"/>
      <c r="Y4693" s="1"/>
      <c r="AB4693" s="1"/>
      <c r="AC4693" s="1"/>
      <c r="AD4693" s="1"/>
      <c r="AE4693" s="1"/>
      <c r="AF4693" s="1"/>
      <c r="AG4693" s="1"/>
      <c r="AH4693" s="1"/>
      <c r="AI4693" s="1"/>
      <c r="AJ4693" s="1"/>
      <c r="AK4693" s="1"/>
      <c r="AL4693" s="1"/>
      <c r="AM4693" s="1"/>
    </row>
    <row r="4694" spans="16:39" x14ac:dyDescent="0.25">
      <c r="P4694" s="49"/>
      <c r="Q4694" s="1"/>
      <c r="S4694" s="1"/>
      <c r="T4694" s="1"/>
      <c r="U4694" s="1"/>
      <c r="V4694" s="1"/>
      <c r="W4694" s="1"/>
      <c r="X4694" s="1"/>
      <c r="Y4694" s="1"/>
      <c r="AB4694" s="1"/>
      <c r="AC4694" s="1"/>
      <c r="AD4694" s="1"/>
      <c r="AE4694" s="1"/>
      <c r="AF4694" s="1"/>
      <c r="AG4694" s="1"/>
      <c r="AH4694" s="1"/>
      <c r="AI4694" s="1"/>
      <c r="AJ4694" s="1"/>
      <c r="AK4694" s="1"/>
      <c r="AL4694" s="1"/>
      <c r="AM4694" s="1"/>
    </row>
    <row r="4695" spans="16:39" x14ac:dyDescent="0.25">
      <c r="P4695" s="49"/>
      <c r="Q4695" s="1"/>
      <c r="S4695" s="1"/>
      <c r="T4695" s="1"/>
      <c r="U4695" s="1"/>
      <c r="V4695" s="1"/>
      <c r="W4695" s="1"/>
      <c r="X4695" s="1"/>
      <c r="Y4695" s="1"/>
      <c r="AB4695" s="1"/>
      <c r="AC4695" s="1"/>
      <c r="AD4695" s="1"/>
      <c r="AE4695" s="1"/>
      <c r="AF4695" s="1"/>
      <c r="AG4695" s="1"/>
      <c r="AH4695" s="1"/>
      <c r="AI4695" s="1"/>
      <c r="AJ4695" s="1"/>
      <c r="AK4695" s="1"/>
      <c r="AL4695" s="1"/>
      <c r="AM4695" s="1"/>
    </row>
    <row r="4696" spans="16:39" x14ac:dyDescent="0.25">
      <c r="P4696" s="49"/>
      <c r="Q4696" s="1"/>
      <c r="S4696" s="1"/>
      <c r="T4696" s="1"/>
      <c r="U4696" s="1"/>
      <c r="V4696" s="1"/>
      <c r="W4696" s="1"/>
      <c r="X4696" s="1"/>
      <c r="Y4696" s="1"/>
      <c r="AB4696" s="1"/>
      <c r="AC4696" s="1"/>
      <c r="AD4696" s="1"/>
      <c r="AE4696" s="1"/>
      <c r="AF4696" s="1"/>
      <c r="AG4696" s="1"/>
      <c r="AH4696" s="1"/>
      <c r="AI4696" s="1"/>
      <c r="AJ4696" s="1"/>
      <c r="AK4696" s="1"/>
      <c r="AL4696" s="1"/>
      <c r="AM4696" s="1"/>
    </row>
    <row r="4697" spans="16:39" x14ac:dyDescent="0.25">
      <c r="P4697" s="49"/>
      <c r="Q4697" s="1"/>
      <c r="S4697" s="1"/>
      <c r="T4697" s="1"/>
      <c r="U4697" s="1"/>
      <c r="V4697" s="1"/>
      <c r="W4697" s="1"/>
      <c r="X4697" s="1"/>
      <c r="Y4697" s="1"/>
      <c r="AB4697" s="1"/>
      <c r="AC4697" s="1"/>
      <c r="AD4697" s="1"/>
      <c r="AE4697" s="1"/>
      <c r="AF4697" s="1"/>
      <c r="AG4697" s="1"/>
      <c r="AH4697" s="1"/>
      <c r="AI4697" s="1"/>
      <c r="AJ4697" s="1"/>
      <c r="AK4697" s="1"/>
      <c r="AL4697" s="1"/>
      <c r="AM4697" s="1"/>
    </row>
    <row r="4698" spans="16:39" x14ac:dyDescent="0.25">
      <c r="P4698" s="49"/>
      <c r="Q4698" s="1"/>
      <c r="S4698" s="1"/>
      <c r="T4698" s="1"/>
      <c r="U4698" s="1"/>
      <c r="V4698" s="1"/>
      <c r="W4698" s="1"/>
      <c r="X4698" s="1"/>
      <c r="Y4698" s="1"/>
      <c r="AB4698" s="1"/>
      <c r="AC4698" s="1"/>
      <c r="AD4698" s="1"/>
      <c r="AE4698" s="1"/>
      <c r="AF4698" s="1"/>
      <c r="AG4698" s="1"/>
      <c r="AH4698" s="1"/>
      <c r="AI4698" s="1"/>
      <c r="AJ4698" s="1"/>
      <c r="AK4698" s="1"/>
      <c r="AL4698" s="1"/>
      <c r="AM4698" s="1"/>
    </row>
    <row r="4699" spans="16:39" x14ac:dyDescent="0.25">
      <c r="P4699" s="49"/>
      <c r="Q4699" s="1"/>
      <c r="S4699" s="1"/>
      <c r="T4699" s="1"/>
      <c r="U4699" s="1"/>
      <c r="V4699" s="1"/>
      <c r="W4699" s="1"/>
      <c r="X4699" s="1"/>
      <c r="Y4699" s="1"/>
      <c r="AB4699" s="1"/>
      <c r="AC4699" s="1"/>
      <c r="AD4699" s="1"/>
      <c r="AE4699" s="1"/>
      <c r="AF4699" s="1"/>
      <c r="AG4699" s="1"/>
      <c r="AH4699" s="1"/>
      <c r="AI4699" s="1"/>
      <c r="AJ4699" s="1"/>
      <c r="AK4699" s="1"/>
      <c r="AL4699" s="1"/>
      <c r="AM4699" s="1"/>
    </row>
    <row r="4700" spans="16:39" x14ac:dyDescent="0.25">
      <c r="P4700" s="49"/>
      <c r="Q4700" s="1"/>
      <c r="S4700" s="1"/>
      <c r="T4700" s="1"/>
      <c r="U4700" s="1"/>
      <c r="V4700" s="1"/>
      <c r="W4700" s="1"/>
      <c r="X4700" s="1"/>
      <c r="Y4700" s="1"/>
      <c r="AB4700" s="1"/>
      <c r="AC4700" s="1"/>
      <c r="AD4700" s="1"/>
      <c r="AE4700" s="1"/>
      <c r="AF4700" s="1"/>
      <c r="AG4700" s="1"/>
      <c r="AH4700" s="1"/>
      <c r="AI4700" s="1"/>
      <c r="AJ4700" s="1"/>
      <c r="AK4700" s="1"/>
      <c r="AL4700" s="1"/>
      <c r="AM4700" s="1"/>
    </row>
    <row r="4701" spans="16:39" x14ac:dyDescent="0.25">
      <c r="P4701" s="49"/>
      <c r="Q4701" s="1"/>
      <c r="S4701" s="1"/>
      <c r="T4701" s="1"/>
      <c r="U4701" s="1"/>
      <c r="V4701" s="1"/>
      <c r="W4701" s="1"/>
      <c r="X4701" s="1"/>
      <c r="Y4701" s="1"/>
      <c r="AB4701" s="1"/>
      <c r="AC4701" s="1"/>
      <c r="AD4701" s="1"/>
      <c r="AE4701" s="1"/>
      <c r="AF4701" s="1"/>
      <c r="AG4701" s="1"/>
      <c r="AH4701" s="1"/>
      <c r="AI4701" s="1"/>
      <c r="AJ4701" s="1"/>
      <c r="AK4701" s="1"/>
      <c r="AL4701" s="1"/>
      <c r="AM4701" s="1"/>
    </row>
    <row r="4702" spans="16:39" x14ac:dyDescent="0.25">
      <c r="P4702" s="49"/>
      <c r="Q4702" s="1"/>
      <c r="S4702" s="1"/>
      <c r="T4702" s="1"/>
      <c r="U4702" s="1"/>
      <c r="V4702" s="1"/>
      <c r="W4702" s="1"/>
      <c r="X4702" s="1"/>
      <c r="Y4702" s="1"/>
      <c r="AB4702" s="1"/>
      <c r="AC4702" s="1"/>
      <c r="AD4702" s="1"/>
      <c r="AE4702" s="1"/>
      <c r="AF4702" s="1"/>
      <c r="AG4702" s="1"/>
      <c r="AH4702" s="1"/>
      <c r="AI4702" s="1"/>
      <c r="AJ4702" s="1"/>
      <c r="AK4702" s="1"/>
      <c r="AL4702" s="1"/>
      <c r="AM4702" s="1"/>
    </row>
    <row r="4703" spans="16:39" x14ac:dyDescent="0.25">
      <c r="P4703" s="49"/>
      <c r="Q4703" s="1"/>
      <c r="S4703" s="1"/>
      <c r="T4703" s="1"/>
      <c r="U4703" s="1"/>
      <c r="V4703" s="1"/>
      <c r="W4703" s="1"/>
      <c r="X4703" s="1"/>
      <c r="Y4703" s="1"/>
      <c r="AB4703" s="1"/>
      <c r="AC4703" s="1"/>
      <c r="AD4703" s="1"/>
      <c r="AE4703" s="1"/>
      <c r="AF4703" s="1"/>
      <c r="AG4703" s="1"/>
      <c r="AH4703" s="1"/>
      <c r="AI4703" s="1"/>
      <c r="AJ4703" s="1"/>
      <c r="AK4703" s="1"/>
      <c r="AL4703" s="1"/>
      <c r="AM4703" s="1"/>
    </row>
    <row r="4704" spans="16:39" x14ac:dyDescent="0.25">
      <c r="P4704" s="49"/>
      <c r="Q4704" s="1"/>
      <c r="S4704" s="1"/>
      <c r="T4704" s="1"/>
      <c r="U4704" s="1"/>
      <c r="V4704" s="1"/>
      <c r="W4704" s="1"/>
      <c r="X4704" s="1"/>
      <c r="Y4704" s="1"/>
      <c r="AB4704" s="1"/>
      <c r="AC4704" s="1"/>
      <c r="AD4704" s="1"/>
      <c r="AE4704" s="1"/>
      <c r="AF4704" s="1"/>
      <c r="AG4704" s="1"/>
      <c r="AH4704" s="1"/>
      <c r="AI4704" s="1"/>
      <c r="AJ4704" s="1"/>
      <c r="AK4704" s="1"/>
      <c r="AL4704" s="1"/>
      <c r="AM4704" s="1"/>
    </row>
    <row r="4705" spans="16:39" x14ac:dyDescent="0.25">
      <c r="P4705" s="49"/>
      <c r="Q4705" s="1"/>
      <c r="S4705" s="1"/>
      <c r="T4705" s="1"/>
      <c r="U4705" s="1"/>
      <c r="V4705" s="1"/>
      <c r="W4705" s="1"/>
      <c r="X4705" s="1"/>
      <c r="Y4705" s="1"/>
      <c r="AB4705" s="1"/>
      <c r="AC4705" s="1"/>
      <c r="AD4705" s="1"/>
      <c r="AE4705" s="1"/>
      <c r="AF4705" s="1"/>
      <c r="AG4705" s="1"/>
      <c r="AH4705" s="1"/>
      <c r="AI4705" s="1"/>
      <c r="AJ4705" s="1"/>
      <c r="AK4705" s="1"/>
      <c r="AL4705" s="1"/>
      <c r="AM4705" s="1"/>
    </row>
    <row r="4706" spans="16:39" x14ac:dyDescent="0.25">
      <c r="P4706" s="49"/>
      <c r="Q4706" s="1"/>
      <c r="S4706" s="1"/>
      <c r="T4706" s="1"/>
      <c r="U4706" s="1"/>
      <c r="V4706" s="1"/>
      <c r="W4706" s="1"/>
      <c r="X4706" s="1"/>
      <c r="Y4706" s="1"/>
      <c r="AB4706" s="1"/>
      <c r="AC4706" s="1"/>
      <c r="AD4706" s="1"/>
      <c r="AE4706" s="1"/>
      <c r="AF4706" s="1"/>
      <c r="AG4706" s="1"/>
      <c r="AH4706" s="1"/>
      <c r="AI4706" s="1"/>
      <c r="AJ4706" s="1"/>
      <c r="AK4706" s="1"/>
      <c r="AL4706" s="1"/>
      <c r="AM4706" s="1"/>
    </row>
    <row r="4707" spans="16:39" x14ac:dyDescent="0.25">
      <c r="P4707" s="49"/>
      <c r="Q4707" s="1"/>
      <c r="S4707" s="1"/>
      <c r="T4707" s="1"/>
      <c r="U4707" s="1"/>
      <c r="V4707" s="1"/>
      <c r="W4707" s="1"/>
      <c r="X4707" s="1"/>
      <c r="Y4707" s="1"/>
      <c r="AB4707" s="1"/>
      <c r="AC4707" s="1"/>
      <c r="AD4707" s="1"/>
      <c r="AE4707" s="1"/>
      <c r="AF4707" s="1"/>
      <c r="AG4707" s="1"/>
      <c r="AH4707" s="1"/>
      <c r="AI4707" s="1"/>
      <c r="AJ4707" s="1"/>
      <c r="AK4707" s="1"/>
      <c r="AL4707" s="1"/>
      <c r="AM4707" s="1"/>
    </row>
    <row r="4708" spans="16:39" x14ac:dyDescent="0.25">
      <c r="P4708" s="49"/>
      <c r="Q4708" s="1"/>
      <c r="S4708" s="1"/>
      <c r="T4708" s="1"/>
      <c r="U4708" s="1"/>
      <c r="V4708" s="1"/>
      <c r="W4708" s="1"/>
      <c r="X4708" s="1"/>
      <c r="Y4708" s="1"/>
      <c r="AB4708" s="1"/>
      <c r="AC4708" s="1"/>
      <c r="AD4708" s="1"/>
      <c r="AE4708" s="1"/>
      <c r="AF4708" s="1"/>
      <c r="AG4708" s="1"/>
      <c r="AH4708" s="1"/>
      <c r="AI4708" s="1"/>
      <c r="AJ4708" s="1"/>
      <c r="AK4708" s="1"/>
      <c r="AL4708" s="1"/>
      <c r="AM4708" s="1"/>
    </row>
    <row r="4709" spans="16:39" x14ac:dyDescent="0.25">
      <c r="P4709" s="49"/>
      <c r="Q4709" s="1"/>
      <c r="S4709" s="1"/>
      <c r="T4709" s="1"/>
      <c r="U4709" s="1"/>
      <c r="V4709" s="1"/>
      <c r="W4709" s="1"/>
      <c r="X4709" s="1"/>
      <c r="Y4709" s="1"/>
      <c r="AB4709" s="1"/>
      <c r="AC4709" s="1"/>
      <c r="AD4709" s="1"/>
      <c r="AE4709" s="1"/>
      <c r="AF4709" s="1"/>
      <c r="AG4709" s="1"/>
      <c r="AH4709" s="1"/>
      <c r="AI4709" s="1"/>
      <c r="AJ4709" s="1"/>
      <c r="AK4709" s="1"/>
      <c r="AL4709" s="1"/>
      <c r="AM4709" s="1"/>
    </row>
    <row r="4710" spans="16:39" x14ac:dyDescent="0.25">
      <c r="P4710" s="49"/>
      <c r="Q4710" s="1"/>
      <c r="S4710" s="1"/>
      <c r="T4710" s="1"/>
      <c r="U4710" s="1"/>
      <c r="V4710" s="1"/>
      <c r="W4710" s="1"/>
      <c r="X4710" s="1"/>
      <c r="Y4710" s="1"/>
      <c r="AB4710" s="1"/>
      <c r="AC4710" s="1"/>
      <c r="AD4710" s="1"/>
      <c r="AE4710" s="1"/>
      <c r="AF4710" s="1"/>
      <c r="AG4710" s="1"/>
      <c r="AH4710" s="1"/>
      <c r="AI4710" s="1"/>
      <c r="AJ4710" s="1"/>
      <c r="AK4710" s="1"/>
      <c r="AL4710" s="1"/>
      <c r="AM4710" s="1"/>
    </row>
    <row r="4711" spans="16:39" x14ac:dyDescent="0.25">
      <c r="P4711" s="49"/>
      <c r="Q4711" s="1"/>
      <c r="S4711" s="1"/>
      <c r="T4711" s="1"/>
      <c r="U4711" s="1"/>
      <c r="V4711" s="1"/>
      <c r="W4711" s="1"/>
      <c r="X4711" s="1"/>
      <c r="Y4711" s="1"/>
      <c r="AB4711" s="1"/>
      <c r="AC4711" s="1"/>
      <c r="AD4711" s="1"/>
      <c r="AE4711" s="1"/>
      <c r="AF4711" s="1"/>
      <c r="AG4711" s="1"/>
      <c r="AH4711" s="1"/>
      <c r="AI4711" s="1"/>
      <c r="AJ4711" s="1"/>
      <c r="AK4711" s="1"/>
      <c r="AL4711" s="1"/>
      <c r="AM4711" s="1"/>
    </row>
    <row r="4712" spans="16:39" x14ac:dyDescent="0.25">
      <c r="P4712" s="49"/>
      <c r="Q4712" s="1"/>
      <c r="S4712" s="1"/>
      <c r="T4712" s="1"/>
      <c r="U4712" s="1"/>
      <c r="V4712" s="1"/>
      <c r="W4712" s="1"/>
      <c r="X4712" s="1"/>
      <c r="Y4712" s="1"/>
      <c r="AB4712" s="1"/>
      <c r="AC4712" s="1"/>
      <c r="AD4712" s="1"/>
      <c r="AE4712" s="1"/>
      <c r="AF4712" s="1"/>
      <c r="AG4712" s="1"/>
      <c r="AH4712" s="1"/>
      <c r="AI4712" s="1"/>
      <c r="AJ4712" s="1"/>
      <c r="AK4712" s="1"/>
      <c r="AL4712" s="1"/>
      <c r="AM4712" s="1"/>
    </row>
    <row r="4713" spans="16:39" x14ac:dyDescent="0.25">
      <c r="P4713" s="49"/>
      <c r="Q4713" s="1"/>
      <c r="S4713" s="1"/>
      <c r="T4713" s="1"/>
      <c r="U4713" s="1"/>
      <c r="V4713" s="1"/>
      <c r="W4713" s="1"/>
      <c r="X4713" s="1"/>
      <c r="Y4713" s="1"/>
      <c r="AB4713" s="1"/>
      <c r="AC4713" s="1"/>
      <c r="AD4713" s="1"/>
      <c r="AE4713" s="1"/>
      <c r="AF4713" s="1"/>
      <c r="AG4713" s="1"/>
      <c r="AH4713" s="1"/>
      <c r="AI4713" s="1"/>
      <c r="AJ4713" s="1"/>
      <c r="AK4713" s="1"/>
      <c r="AL4713" s="1"/>
      <c r="AM4713" s="1"/>
    </row>
    <row r="4714" spans="16:39" x14ac:dyDescent="0.25">
      <c r="P4714" s="49"/>
      <c r="Q4714" s="1"/>
      <c r="S4714" s="1"/>
      <c r="T4714" s="1"/>
      <c r="U4714" s="1"/>
      <c r="V4714" s="1"/>
      <c r="W4714" s="1"/>
      <c r="X4714" s="1"/>
      <c r="Y4714" s="1"/>
      <c r="AB4714" s="1"/>
      <c r="AC4714" s="1"/>
      <c r="AD4714" s="1"/>
      <c r="AE4714" s="1"/>
      <c r="AF4714" s="1"/>
      <c r="AG4714" s="1"/>
      <c r="AH4714" s="1"/>
      <c r="AI4714" s="1"/>
      <c r="AJ4714" s="1"/>
      <c r="AK4714" s="1"/>
      <c r="AL4714" s="1"/>
      <c r="AM4714" s="1"/>
    </row>
    <row r="4715" spans="16:39" x14ac:dyDescent="0.25">
      <c r="P4715" s="49"/>
      <c r="Q4715" s="1"/>
      <c r="S4715" s="1"/>
      <c r="T4715" s="1"/>
      <c r="U4715" s="1"/>
      <c r="V4715" s="1"/>
      <c r="W4715" s="1"/>
      <c r="X4715" s="1"/>
      <c r="Y4715" s="1"/>
      <c r="AB4715" s="1"/>
      <c r="AC4715" s="1"/>
      <c r="AD4715" s="1"/>
      <c r="AE4715" s="1"/>
      <c r="AF4715" s="1"/>
      <c r="AG4715" s="1"/>
      <c r="AH4715" s="1"/>
      <c r="AI4715" s="1"/>
      <c r="AJ4715" s="1"/>
      <c r="AK4715" s="1"/>
      <c r="AL4715" s="1"/>
      <c r="AM4715" s="1"/>
    </row>
    <row r="4716" spans="16:39" x14ac:dyDescent="0.25">
      <c r="P4716" s="49"/>
      <c r="Q4716" s="1"/>
      <c r="S4716" s="1"/>
      <c r="T4716" s="1"/>
      <c r="U4716" s="1"/>
      <c r="V4716" s="1"/>
      <c r="W4716" s="1"/>
      <c r="X4716" s="1"/>
      <c r="Y4716" s="1"/>
      <c r="AB4716" s="1"/>
      <c r="AC4716" s="1"/>
      <c r="AD4716" s="1"/>
      <c r="AE4716" s="1"/>
      <c r="AF4716" s="1"/>
      <c r="AG4716" s="1"/>
      <c r="AH4716" s="1"/>
      <c r="AI4716" s="1"/>
      <c r="AJ4716" s="1"/>
      <c r="AK4716" s="1"/>
      <c r="AL4716" s="1"/>
      <c r="AM4716" s="1"/>
    </row>
    <row r="4717" spans="16:39" x14ac:dyDescent="0.25">
      <c r="P4717" s="49"/>
      <c r="Q4717" s="1"/>
      <c r="S4717" s="1"/>
      <c r="T4717" s="1"/>
      <c r="U4717" s="1"/>
      <c r="V4717" s="1"/>
      <c r="W4717" s="1"/>
      <c r="X4717" s="1"/>
      <c r="Y4717" s="1"/>
      <c r="AB4717" s="1"/>
      <c r="AC4717" s="1"/>
      <c r="AD4717" s="1"/>
      <c r="AE4717" s="1"/>
      <c r="AF4717" s="1"/>
      <c r="AG4717" s="1"/>
      <c r="AH4717" s="1"/>
      <c r="AI4717" s="1"/>
      <c r="AJ4717" s="1"/>
      <c r="AK4717" s="1"/>
      <c r="AL4717" s="1"/>
      <c r="AM4717" s="1"/>
    </row>
    <row r="4718" spans="16:39" x14ac:dyDescent="0.25">
      <c r="P4718" s="49"/>
      <c r="Q4718" s="1"/>
      <c r="S4718" s="1"/>
      <c r="T4718" s="1"/>
      <c r="U4718" s="1"/>
      <c r="V4718" s="1"/>
      <c r="W4718" s="1"/>
      <c r="X4718" s="1"/>
      <c r="Y4718" s="1"/>
      <c r="AB4718" s="1"/>
      <c r="AC4718" s="1"/>
      <c r="AD4718" s="1"/>
      <c r="AE4718" s="1"/>
      <c r="AF4718" s="1"/>
      <c r="AG4718" s="1"/>
      <c r="AH4718" s="1"/>
      <c r="AI4718" s="1"/>
      <c r="AJ4718" s="1"/>
      <c r="AK4718" s="1"/>
      <c r="AL4718" s="1"/>
      <c r="AM4718" s="1"/>
    </row>
    <row r="4719" spans="16:39" x14ac:dyDescent="0.25">
      <c r="P4719" s="49"/>
      <c r="Q4719" s="1"/>
      <c r="S4719" s="1"/>
      <c r="T4719" s="1"/>
      <c r="U4719" s="1"/>
      <c r="V4719" s="1"/>
      <c r="W4719" s="1"/>
      <c r="X4719" s="1"/>
      <c r="Y4719" s="1"/>
      <c r="AB4719" s="1"/>
      <c r="AC4719" s="1"/>
      <c r="AD4719" s="1"/>
      <c r="AE4719" s="1"/>
      <c r="AF4719" s="1"/>
      <c r="AG4719" s="1"/>
      <c r="AH4719" s="1"/>
      <c r="AI4719" s="1"/>
      <c r="AJ4719" s="1"/>
      <c r="AK4719" s="1"/>
      <c r="AL4719" s="1"/>
      <c r="AM4719" s="1"/>
    </row>
    <row r="4720" spans="16:39" x14ac:dyDescent="0.25">
      <c r="P4720" s="49"/>
      <c r="Q4720" s="1"/>
      <c r="S4720" s="1"/>
      <c r="T4720" s="1"/>
      <c r="U4720" s="1"/>
      <c r="V4720" s="1"/>
      <c r="W4720" s="1"/>
      <c r="X4720" s="1"/>
      <c r="Y4720" s="1"/>
      <c r="AB4720" s="1"/>
      <c r="AC4720" s="1"/>
      <c r="AD4720" s="1"/>
      <c r="AE4720" s="1"/>
      <c r="AF4720" s="1"/>
      <c r="AG4720" s="1"/>
      <c r="AH4720" s="1"/>
      <c r="AI4720" s="1"/>
      <c r="AJ4720" s="1"/>
      <c r="AK4720" s="1"/>
      <c r="AL4720" s="1"/>
      <c r="AM4720" s="1"/>
    </row>
    <row r="4721" spans="16:39" x14ac:dyDescent="0.25">
      <c r="P4721" s="49"/>
      <c r="Q4721" s="1"/>
      <c r="S4721" s="1"/>
      <c r="T4721" s="1"/>
      <c r="U4721" s="1"/>
      <c r="V4721" s="1"/>
      <c r="W4721" s="1"/>
      <c r="X4721" s="1"/>
      <c r="Y4721" s="1"/>
      <c r="AB4721" s="1"/>
      <c r="AC4721" s="1"/>
      <c r="AD4721" s="1"/>
      <c r="AE4721" s="1"/>
      <c r="AF4721" s="1"/>
      <c r="AG4721" s="1"/>
      <c r="AH4721" s="1"/>
      <c r="AI4721" s="1"/>
      <c r="AJ4721" s="1"/>
      <c r="AK4721" s="1"/>
      <c r="AL4721" s="1"/>
      <c r="AM4721" s="1"/>
    </row>
    <row r="4722" spans="16:39" x14ac:dyDescent="0.25">
      <c r="P4722" s="49"/>
      <c r="Q4722" s="1"/>
      <c r="S4722" s="1"/>
      <c r="T4722" s="1"/>
      <c r="U4722" s="1"/>
      <c r="V4722" s="1"/>
      <c r="W4722" s="1"/>
      <c r="X4722" s="1"/>
      <c r="Y4722" s="1"/>
      <c r="AB4722" s="1"/>
      <c r="AC4722" s="1"/>
      <c r="AD4722" s="1"/>
      <c r="AE4722" s="1"/>
      <c r="AF4722" s="1"/>
      <c r="AG4722" s="1"/>
      <c r="AH4722" s="1"/>
      <c r="AI4722" s="1"/>
      <c r="AJ4722" s="1"/>
      <c r="AK4722" s="1"/>
      <c r="AL4722" s="1"/>
      <c r="AM4722" s="1"/>
    </row>
    <row r="4723" spans="16:39" x14ac:dyDescent="0.25">
      <c r="P4723" s="49"/>
      <c r="Q4723" s="1"/>
      <c r="S4723" s="1"/>
      <c r="T4723" s="1"/>
      <c r="U4723" s="1"/>
      <c r="V4723" s="1"/>
      <c r="W4723" s="1"/>
      <c r="X4723" s="1"/>
      <c r="Y4723" s="1"/>
      <c r="AB4723" s="1"/>
      <c r="AC4723" s="1"/>
      <c r="AD4723" s="1"/>
      <c r="AE4723" s="1"/>
      <c r="AF4723" s="1"/>
      <c r="AG4723" s="1"/>
      <c r="AH4723" s="1"/>
      <c r="AI4723" s="1"/>
      <c r="AJ4723" s="1"/>
      <c r="AK4723" s="1"/>
      <c r="AL4723" s="1"/>
      <c r="AM4723" s="1"/>
    </row>
    <row r="4724" spans="16:39" x14ac:dyDescent="0.25">
      <c r="P4724" s="49"/>
      <c r="Q4724" s="1"/>
      <c r="S4724" s="1"/>
      <c r="T4724" s="1"/>
      <c r="U4724" s="1"/>
      <c r="V4724" s="1"/>
      <c r="W4724" s="1"/>
      <c r="X4724" s="1"/>
      <c r="Y4724" s="1"/>
      <c r="AB4724" s="1"/>
      <c r="AC4724" s="1"/>
      <c r="AD4724" s="1"/>
      <c r="AE4724" s="1"/>
      <c r="AF4724" s="1"/>
      <c r="AG4724" s="1"/>
      <c r="AH4724" s="1"/>
      <c r="AI4724" s="1"/>
      <c r="AJ4724" s="1"/>
      <c r="AK4724" s="1"/>
      <c r="AL4724" s="1"/>
      <c r="AM4724" s="1"/>
    </row>
    <row r="4725" spans="16:39" x14ac:dyDescent="0.25">
      <c r="P4725" s="49"/>
      <c r="Q4725" s="1"/>
      <c r="S4725" s="1"/>
      <c r="T4725" s="1"/>
      <c r="U4725" s="1"/>
      <c r="V4725" s="1"/>
      <c r="W4725" s="1"/>
      <c r="X4725" s="1"/>
      <c r="Y4725" s="1"/>
      <c r="AB4725" s="1"/>
      <c r="AC4725" s="1"/>
      <c r="AD4725" s="1"/>
      <c r="AE4725" s="1"/>
      <c r="AF4725" s="1"/>
      <c r="AG4725" s="1"/>
      <c r="AH4725" s="1"/>
      <c r="AI4725" s="1"/>
      <c r="AJ4725" s="1"/>
      <c r="AK4725" s="1"/>
      <c r="AL4725" s="1"/>
      <c r="AM4725" s="1"/>
    </row>
    <row r="4726" spans="16:39" x14ac:dyDescent="0.25">
      <c r="P4726" s="49"/>
      <c r="Q4726" s="1"/>
      <c r="S4726" s="1"/>
      <c r="T4726" s="1"/>
      <c r="U4726" s="1"/>
      <c r="V4726" s="1"/>
      <c r="W4726" s="1"/>
      <c r="X4726" s="1"/>
      <c r="Y4726" s="1"/>
      <c r="AB4726" s="1"/>
      <c r="AC4726" s="1"/>
      <c r="AD4726" s="1"/>
      <c r="AE4726" s="1"/>
      <c r="AF4726" s="1"/>
      <c r="AG4726" s="1"/>
      <c r="AH4726" s="1"/>
      <c r="AI4726" s="1"/>
      <c r="AJ4726" s="1"/>
      <c r="AK4726" s="1"/>
      <c r="AL4726" s="1"/>
      <c r="AM4726" s="1"/>
    </row>
    <row r="4727" spans="16:39" x14ac:dyDescent="0.25">
      <c r="P4727" s="49"/>
      <c r="Q4727" s="1"/>
      <c r="S4727" s="1"/>
      <c r="T4727" s="1"/>
      <c r="U4727" s="1"/>
      <c r="V4727" s="1"/>
      <c r="W4727" s="1"/>
      <c r="X4727" s="1"/>
      <c r="Y4727" s="1"/>
      <c r="AB4727" s="1"/>
      <c r="AC4727" s="1"/>
      <c r="AD4727" s="1"/>
      <c r="AE4727" s="1"/>
      <c r="AF4727" s="1"/>
      <c r="AG4727" s="1"/>
      <c r="AH4727" s="1"/>
      <c r="AI4727" s="1"/>
      <c r="AJ4727" s="1"/>
      <c r="AK4727" s="1"/>
      <c r="AL4727" s="1"/>
      <c r="AM4727" s="1"/>
    </row>
    <row r="4728" spans="16:39" x14ac:dyDescent="0.25">
      <c r="P4728" s="49"/>
      <c r="Q4728" s="1"/>
      <c r="S4728" s="1"/>
      <c r="T4728" s="1"/>
      <c r="U4728" s="1"/>
      <c r="V4728" s="1"/>
      <c r="W4728" s="1"/>
      <c r="X4728" s="1"/>
      <c r="Y4728" s="1"/>
      <c r="AB4728" s="1"/>
      <c r="AC4728" s="1"/>
      <c r="AD4728" s="1"/>
      <c r="AE4728" s="1"/>
      <c r="AF4728" s="1"/>
      <c r="AG4728" s="1"/>
      <c r="AH4728" s="1"/>
      <c r="AI4728" s="1"/>
      <c r="AJ4728" s="1"/>
      <c r="AK4728" s="1"/>
      <c r="AL4728" s="1"/>
      <c r="AM4728" s="1"/>
    </row>
    <row r="4729" spans="16:39" x14ac:dyDescent="0.25">
      <c r="P4729" s="49"/>
      <c r="Q4729" s="1"/>
      <c r="S4729" s="1"/>
      <c r="T4729" s="1"/>
      <c r="U4729" s="1"/>
      <c r="V4729" s="1"/>
      <c r="W4729" s="1"/>
      <c r="X4729" s="1"/>
      <c r="Y4729" s="1"/>
      <c r="AB4729" s="1"/>
      <c r="AC4729" s="1"/>
      <c r="AD4729" s="1"/>
      <c r="AE4729" s="1"/>
      <c r="AF4729" s="1"/>
      <c r="AG4729" s="1"/>
      <c r="AH4729" s="1"/>
      <c r="AI4729" s="1"/>
      <c r="AJ4729" s="1"/>
      <c r="AK4729" s="1"/>
      <c r="AL4729" s="1"/>
      <c r="AM4729" s="1"/>
    </row>
    <row r="4730" spans="16:39" x14ac:dyDescent="0.25">
      <c r="P4730" s="49"/>
      <c r="Q4730" s="1"/>
      <c r="S4730" s="1"/>
      <c r="T4730" s="1"/>
      <c r="U4730" s="1"/>
      <c r="V4730" s="1"/>
      <c r="W4730" s="1"/>
      <c r="X4730" s="1"/>
      <c r="Y4730" s="1"/>
      <c r="AB4730" s="1"/>
      <c r="AC4730" s="1"/>
      <c r="AD4730" s="1"/>
      <c r="AE4730" s="1"/>
      <c r="AF4730" s="1"/>
      <c r="AG4730" s="1"/>
      <c r="AH4730" s="1"/>
      <c r="AI4730" s="1"/>
      <c r="AJ4730" s="1"/>
      <c r="AK4730" s="1"/>
      <c r="AL4730" s="1"/>
      <c r="AM4730" s="1"/>
    </row>
    <row r="4731" spans="16:39" x14ac:dyDescent="0.25">
      <c r="P4731" s="49"/>
      <c r="Q4731" s="1"/>
      <c r="S4731" s="1"/>
      <c r="T4731" s="1"/>
      <c r="U4731" s="1"/>
      <c r="V4731" s="1"/>
      <c r="W4731" s="1"/>
      <c r="X4731" s="1"/>
      <c r="Y4731" s="1"/>
      <c r="AB4731" s="1"/>
      <c r="AC4731" s="1"/>
      <c r="AD4731" s="1"/>
      <c r="AE4731" s="1"/>
      <c r="AF4731" s="1"/>
      <c r="AG4731" s="1"/>
      <c r="AH4731" s="1"/>
      <c r="AI4731" s="1"/>
      <c r="AJ4731" s="1"/>
      <c r="AK4731" s="1"/>
      <c r="AL4731" s="1"/>
      <c r="AM4731" s="1"/>
    </row>
    <row r="4732" spans="16:39" x14ac:dyDescent="0.25">
      <c r="P4732" s="49"/>
      <c r="Q4732" s="1"/>
      <c r="S4732" s="1"/>
      <c r="T4732" s="1"/>
      <c r="U4732" s="1"/>
      <c r="V4732" s="1"/>
      <c r="W4732" s="1"/>
      <c r="X4732" s="1"/>
      <c r="Y4732" s="1"/>
      <c r="AB4732" s="1"/>
      <c r="AC4732" s="1"/>
      <c r="AD4732" s="1"/>
      <c r="AE4732" s="1"/>
      <c r="AF4732" s="1"/>
      <c r="AG4732" s="1"/>
      <c r="AH4732" s="1"/>
      <c r="AI4732" s="1"/>
      <c r="AJ4732" s="1"/>
      <c r="AK4732" s="1"/>
      <c r="AL4732" s="1"/>
      <c r="AM4732" s="1"/>
    </row>
    <row r="4733" spans="16:39" x14ac:dyDescent="0.25">
      <c r="P4733" s="49"/>
      <c r="Q4733" s="1"/>
      <c r="S4733" s="1"/>
      <c r="T4733" s="1"/>
      <c r="U4733" s="1"/>
      <c r="V4733" s="1"/>
      <c r="W4733" s="1"/>
      <c r="X4733" s="1"/>
      <c r="Y4733" s="1"/>
      <c r="AB4733" s="1"/>
      <c r="AC4733" s="1"/>
      <c r="AD4733" s="1"/>
      <c r="AE4733" s="1"/>
      <c r="AF4733" s="1"/>
      <c r="AG4733" s="1"/>
      <c r="AH4733" s="1"/>
      <c r="AI4733" s="1"/>
      <c r="AJ4733" s="1"/>
      <c r="AK4733" s="1"/>
      <c r="AL4733" s="1"/>
      <c r="AM4733" s="1"/>
    </row>
    <row r="4734" spans="16:39" x14ac:dyDescent="0.25">
      <c r="P4734" s="49"/>
      <c r="Q4734" s="1"/>
      <c r="S4734" s="1"/>
      <c r="T4734" s="1"/>
      <c r="U4734" s="1"/>
      <c r="V4734" s="1"/>
      <c r="W4734" s="1"/>
      <c r="X4734" s="1"/>
      <c r="Y4734" s="1"/>
      <c r="AB4734" s="1"/>
      <c r="AC4734" s="1"/>
      <c r="AD4734" s="1"/>
      <c r="AE4734" s="1"/>
      <c r="AF4734" s="1"/>
      <c r="AG4734" s="1"/>
      <c r="AH4734" s="1"/>
      <c r="AI4734" s="1"/>
      <c r="AJ4734" s="1"/>
      <c r="AK4734" s="1"/>
      <c r="AL4734" s="1"/>
      <c r="AM4734" s="1"/>
    </row>
    <row r="4735" spans="16:39" x14ac:dyDescent="0.25">
      <c r="P4735" s="49"/>
      <c r="Q4735" s="1"/>
      <c r="S4735" s="1"/>
      <c r="T4735" s="1"/>
      <c r="U4735" s="1"/>
      <c r="V4735" s="1"/>
      <c r="W4735" s="1"/>
      <c r="X4735" s="1"/>
      <c r="Y4735" s="1"/>
      <c r="AB4735" s="1"/>
      <c r="AC4735" s="1"/>
      <c r="AD4735" s="1"/>
      <c r="AE4735" s="1"/>
      <c r="AF4735" s="1"/>
      <c r="AG4735" s="1"/>
      <c r="AH4735" s="1"/>
      <c r="AI4735" s="1"/>
      <c r="AJ4735" s="1"/>
      <c r="AK4735" s="1"/>
      <c r="AL4735" s="1"/>
      <c r="AM4735" s="1"/>
    </row>
    <row r="4736" spans="16:39" x14ac:dyDescent="0.25">
      <c r="P4736" s="49"/>
      <c r="Q4736" s="1"/>
      <c r="S4736" s="1"/>
      <c r="T4736" s="1"/>
      <c r="U4736" s="1"/>
      <c r="V4736" s="1"/>
      <c r="W4736" s="1"/>
      <c r="X4736" s="1"/>
      <c r="Y4736" s="1"/>
      <c r="AB4736" s="1"/>
      <c r="AC4736" s="1"/>
      <c r="AD4736" s="1"/>
      <c r="AE4736" s="1"/>
      <c r="AF4736" s="1"/>
      <c r="AG4736" s="1"/>
      <c r="AH4736" s="1"/>
      <c r="AI4736" s="1"/>
      <c r="AJ4736" s="1"/>
      <c r="AK4736" s="1"/>
      <c r="AL4736" s="1"/>
      <c r="AM4736" s="1"/>
    </row>
    <row r="4737" spans="16:39" x14ac:dyDescent="0.25">
      <c r="P4737" s="49"/>
      <c r="Q4737" s="1"/>
      <c r="S4737" s="1"/>
      <c r="T4737" s="1"/>
      <c r="U4737" s="1"/>
      <c r="V4737" s="1"/>
      <c r="W4737" s="1"/>
      <c r="X4737" s="1"/>
      <c r="Y4737" s="1"/>
      <c r="AB4737" s="1"/>
      <c r="AC4737" s="1"/>
      <c r="AD4737" s="1"/>
      <c r="AE4737" s="1"/>
      <c r="AF4737" s="1"/>
      <c r="AG4737" s="1"/>
      <c r="AH4737" s="1"/>
      <c r="AI4737" s="1"/>
      <c r="AJ4737" s="1"/>
      <c r="AK4737" s="1"/>
      <c r="AL4737" s="1"/>
      <c r="AM4737" s="1"/>
    </row>
    <row r="4738" spans="16:39" x14ac:dyDescent="0.25">
      <c r="P4738" s="49"/>
      <c r="Q4738" s="1"/>
      <c r="S4738" s="1"/>
      <c r="T4738" s="1"/>
      <c r="U4738" s="1"/>
      <c r="V4738" s="1"/>
      <c r="W4738" s="1"/>
      <c r="X4738" s="1"/>
      <c r="Y4738" s="1"/>
      <c r="AB4738" s="1"/>
      <c r="AC4738" s="1"/>
      <c r="AD4738" s="1"/>
      <c r="AE4738" s="1"/>
      <c r="AF4738" s="1"/>
      <c r="AG4738" s="1"/>
      <c r="AH4738" s="1"/>
      <c r="AI4738" s="1"/>
      <c r="AJ4738" s="1"/>
      <c r="AK4738" s="1"/>
      <c r="AL4738" s="1"/>
      <c r="AM4738" s="1"/>
    </row>
    <row r="4739" spans="16:39" x14ac:dyDescent="0.25">
      <c r="P4739" s="49"/>
      <c r="Q4739" s="1"/>
      <c r="S4739" s="1"/>
      <c r="T4739" s="1"/>
      <c r="U4739" s="1"/>
      <c r="V4739" s="1"/>
      <c r="W4739" s="1"/>
      <c r="X4739" s="1"/>
      <c r="Y4739" s="1"/>
      <c r="AB4739" s="1"/>
      <c r="AC4739" s="1"/>
      <c r="AD4739" s="1"/>
      <c r="AE4739" s="1"/>
      <c r="AF4739" s="1"/>
      <c r="AG4739" s="1"/>
      <c r="AH4739" s="1"/>
      <c r="AI4739" s="1"/>
      <c r="AJ4739" s="1"/>
      <c r="AK4739" s="1"/>
      <c r="AL4739" s="1"/>
      <c r="AM4739" s="1"/>
    </row>
    <row r="4740" spans="16:39" x14ac:dyDescent="0.25">
      <c r="P4740" s="49"/>
      <c r="Q4740" s="1"/>
      <c r="S4740" s="1"/>
      <c r="T4740" s="1"/>
      <c r="U4740" s="1"/>
      <c r="V4740" s="1"/>
      <c r="W4740" s="1"/>
      <c r="X4740" s="1"/>
      <c r="Y4740" s="1"/>
      <c r="AB4740" s="1"/>
      <c r="AC4740" s="1"/>
      <c r="AD4740" s="1"/>
      <c r="AE4740" s="1"/>
      <c r="AF4740" s="1"/>
      <c r="AG4740" s="1"/>
      <c r="AH4740" s="1"/>
      <c r="AI4740" s="1"/>
      <c r="AJ4740" s="1"/>
      <c r="AK4740" s="1"/>
      <c r="AL4740" s="1"/>
      <c r="AM4740" s="1"/>
    </row>
    <row r="4741" spans="16:39" x14ac:dyDescent="0.25">
      <c r="P4741" s="49"/>
      <c r="Q4741" s="1"/>
      <c r="S4741" s="1"/>
      <c r="T4741" s="1"/>
      <c r="U4741" s="1"/>
      <c r="V4741" s="1"/>
      <c r="W4741" s="1"/>
      <c r="X4741" s="1"/>
      <c r="Y4741" s="1"/>
      <c r="AB4741" s="1"/>
      <c r="AC4741" s="1"/>
      <c r="AD4741" s="1"/>
      <c r="AE4741" s="1"/>
      <c r="AF4741" s="1"/>
      <c r="AG4741" s="1"/>
      <c r="AH4741" s="1"/>
      <c r="AI4741" s="1"/>
      <c r="AJ4741" s="1"/>
      <c r="AK4741" s="1"/>
      <c r="AL4741" s="1"/>
      <c r="AM4741" s="1"/>
    </row>
    <row r="4742" spans="16:39" x14ac:dyDescent="0.25">
      <c r="P4742" s="49"/>
      <c r="Q4742" s="1"/>
      <c r="S4742" s="1"/>
      <c r="T4742" s="1"/>
      <c r="U4742" s="1"/>
      <c r="V4742" s="1"/>
      <c r="W4742" s="1"/>
      <c r="X4742" s="1"/>
      <c r="Y4742" s="1"/>
      <c r="AB4742" s="1"/>
      <c r="AC4742" s="1"/>
      <c r="AD4742" s="1"/>
      <c r="AE4742" s="1"/>
      <c r="AF4742" s="1"/>
      <c r="AG4742" s="1"/>
      <c r="AH4742" s="1"/>
      <c r="AI4742" s="1"/>
      <c r="AJ4742" s="1"/>
      <c r="AK4742" s="1"/>
      <c r="AL4742" s="1"/>
      <c r="AM4742" s="1"/>
    </row>
    <row r="4743" spans="16:39" x14ac:dyDescent="0.25">
      <c r="P4743" s="49"/>
      <c r="Q4743" s="1"/>
      <c r="S4743" s="1"/>
      <c r="T4743" s="1"/>
      <c r="U4743" s="1"/>
      <c r="V4743" s="1"/>
      <c r="W4743" s="1"/>
      <c r="X4743" s="1"/>
      <c r="Y4743" s="1"/>
      <c r="AB4743" s="1"/>
      <c r="AC4743" s="1"/>
      <c r="AD4743" s="1"/>
      <c r="AE4743" s="1"/>
      <c r="AF4743" s="1"/>
      <c r="AG4743" s="1"/>
      <c r="AH4743" s="1"/>
      <c r="AI4743" s="1"/>
      <c r="AJ4743" s="1"/>
      <c r="AK4743" s="1"/>
      <c r="AL4743" s="1"/>
      <c r="AM4743" s="1"/>
    </row>
    <row r="4744" spans="16:39" x14ac:dyDescent="0.25">
      <c r="P4744" s="49"/>
      <c r="Q4744" s="1"/>
      <c r="S4744" s="1"/>
      <c r="T4744" s="1"/>
      <c r="U4744" s="1"/>
      <c r="V4744" s="1"/>
      <c r="W4744" s="1"/>
      <c r="X4744" s="1"/>
      <c r="Y4744" s="1"/>
      <c r="AB4744" s="1"/>
      <c r="AC4744" s="1"/>
      <c r="AD4744" s="1"/>
      <c r="AE4744" s="1"/>
      <c r="AF4744" s="1"/>
      <c r="AG4744" s="1"/>
      <c r="AH4744" s="1"/>
      <c r="AI4744" s="1"/>
      <c r="AJ4744" s="1"/>
      <c r="AK4744" s="1"/>
      <c r="AL4744" s="1"/>
      <c r="AM4744" s="1"/>
    </row>
    <row r="4745" spans="16:39" x14ac:dyDescent="0.25">
      <c r="P4745" s="49"/>
      <c r="Q4745" s="1"/>
      <c r="S4745" s="1"/>
      <c r="T4745" s="1"/>
      <c r="U4745" s="1"/>
      <c r="V4745" s="1"/>
      <c r="W4745" s="1"/>
      <c r="X4745" s="1"/>
      <c r="Y4745" s="1"/>
      <c r="AB4745" s="1"/>
      <c r="AC4745" s="1"/>
      <c r="AD4745" s="1"/>
      <c r="AE4745" s="1"/>
      <c r="AF4745" s="1"/>
      <c r="AG4745" s="1"/>
      <c r="AH4745" s="1"/>
      <c r="AI4745" s="1"/>
      <c r="AJ4745" s="1"/>
      <c r="AK4745" s="1"/>
      <c r="AL4745" s="1"/>
      <c r="AM4745" s="1"/>
    </row>
    <row r="4746" spans="16:39" x14ac:dyDescent="0.25">
      <c r="P4746" s="49"/>
      <c r="Q4746" s="1"/>
      <c r="S4746" s="1"/>
      <c r="T4746" s="1"/>
      <c r="U4746" s="1"/>
      <c r="V4746" s="1"/>
      <c r="W4746" s="1"/>
      <c r="X4746" s="1"/>
      <c r="Y4746" s="1"/>
      <c r="AB4746" s="1"/>
      <c r="AC4746" s="1"/>
      <c r="AD4746" s="1"/>
      <c r="AE4746" s="1"/>
      <c r="AF4746" s="1"/>
      <c r="AG4746" s="1"/>
      <c r="AH4746" s="1"/>
      <c r="AI4746" s="1"/>
      <c r="AJ4746" s="1"/>
      <c r="AK4746" s="1"/>
      <c r="AL4746" s="1"/>
      <c r="AM4746" s="1"/>
    </row>
    <row r="4747" spans="16:39" x14ac:dyDescent="0.25">
      <c r="P4747" s="49"/>
      <c r="Q4747" s="1"/>
      <c r="S4747" s="1"/>
      <c r="T4747" s="1"/>
      <c r="U4747" s="1"/>
      <c r="V4747" s="1"/>
      <c r="W4747" s="1"/>
      <c r="X4747" s="1"/>
      <c r="Y4747" s="1"/>
      <c r="AB4747" s="1"/>
      <c r="AC4747" s="1"/>
      <c r="AD4747" s="1"/>
      <c r="AE4747" s="1"/>
      <c r="AF4747" s="1"/>
      <c r="AG4747" s="1"/>
      <c r="AH4747" s="1"/>
      <c r="AI4747" s="1"/>
      <c r="AJ4747" s="1"/>
      <c r="AK4747" s="1"/>
      <c r="AL4747" s="1"/>
      <c r="AM4747" s="1"/>
    </row>
    <row r="4748" spans="16:39" x14ac:dyDescent="0.25">
      <c r="P4748" s="49"/>
      <c r="Q4748" s="1"/>
      <c r="S4748" s="1"/>
      <c r="T4748" s="1"/>
      <c r="U4748" s="1"/>
      <c r="V4748" s="1"/>
      <c r="W4748" s="1"/>
      <c r="X4748" s="1"/>
      <c r="Y4748" s="1"/>
      <c r="AB4748" s="1"/>
      <c r="AC4748" s="1"/>
      <c r="AD4748" s="1"/>
      <c r="AE4748" s="1"/>
      <c r="AF4748" s="1"/>
      <c r="AG4748" s="1"/>
      <c r="AH4748" s="1"/>
      <c r="AI4748" s="1"/>
      <c r="AJ4748" s="1"/>
      <c r="AK4748" s="1"/>
      <c r="AL4748" s="1"/>
      <c r="AM4748" s="1"/>
    </row>
    <row r="4749" spans="16:39" x14ac:dyDescent="0.25">
      <c r="P4749" s="49"/>
      <c r="Q4749" s="1"/>
      <c r="S4749" s="1"/>
      <c r="T4749" s="1"/>
      <c r="U4749" s="1"/>
      <c r="V4749" s="1"/>
      <c r="W4749" s="1"/>
      <c r="X4749" s="1"/>
      <c r="Y4749" s="1"/>
      <c r="AB4749" s="1"/>
      <c r="AC4749" s="1"/>
      <c r="AD4749" s="1"/>
      <c r="AE4749" s="1"/>
      <c r="AF4749" s="1"/>
      <c r="AG4749" s="1"/>
      <c r="AH4749" s="1"/>
      <c r="AI4749" s="1"/>
      <c r="AJ4749" s="1"/>
      <c r="AK4749" s="1"/>
      <c r="AL4749" s="1"/>
      <c r="AM4749" s="1"/>
    </row>
    <row r="4750" spans="16:39" x14ac:dyDescent="0.25">
      <c r="P4750" s="49"/>
      <c r="Q4750" s="1"/>
      <c r="S4750" s="1"/>
      <c r="T4750" s="1"/>
      <c r="U4750" s="1"/>
      <c r="V4750" s="1"/>
      <c r="W4750" s="1"/>
      <c r="X4750" s="1"/>
      <c r="Y4750" s="1"/>
      <c r="AB4750" s="1"/>
      <c r="AC4750" s="1"/>
      <c r="AD4750" s="1"/>
      <c r="AE4750" s="1"/>
      <c r="AF4750" s="1"/>
      <c r="AG4750" s="1"/>
      <c r="AH4750" s="1"/>
      <c r="AI4750" s="1"/>
      <c r="AJ4750" s="1"/>
      <c r="AK4750" s="1"/>
      <c r="AL4750" s="1"/>
      <c r="AM4750" s="1"/>
    </row>
    <row r="4751" spans="16:39" x14ac:dyDescent="0.25">
      <c r="P4751" s="49"/>
      <c r="Q4751" s="1"/>
      <c r="S4751" s="1"/>
      <c r="T4751" s="1"/>
      <c r="U4751" s="1"/>
      <c r="V4751" s="1"/>
      <c r="W4751" s="1"/>
      <c r="X4751" s="1"/>
      <c r="Y4751" s="1"/>
      <c r="AB4751" s="1"/>
      <c r="AC4751" s="1"/>
      <c r="AD4751" s="1"/>
      <c r="AE4751" s="1"/>
      <c r="AF4751" s="1"/>
      <c r="AG4751" s="1"/>
      <c r="AH4751" s="1"/>
      <c r="AI4751" s="1"/>
      <c r="AJ4751" s="1"/>
      <c r="AK4751" s="1"/>
      <c r="AL4751" s="1"/>
      <c r="AM4751" s="1"/>
    </row>
    <row r="4752" spans="16:39" x14ac:dyDescent="0.25">
      <c r="P4752" s="49"/>
      <c r="Q4752" s="1"/>
      <c r="S4752" s="1"/>
      <c r="T4752" s="1"/>
      <c r="U4752" s="1"/>
      <c r="V4752" s="1"/>
      <c r="W4752" s="1"/>
      <c r="X4752" s="1"/>
      <c r="Y4752" s="1"/>
      <c r="AB4752" s="1"/>
      <c r="AC4752" s="1"/>
      <c r="AD4752" s="1"/>
      <c r="AE4752" s="1"/>
      <c r="AF4752" s="1"/>
      <c r="AG4752" s="1"/>
      <c r="AH4752" s="1"/>
      <c r="AI4752" s="1"/>
      <c r="AJ4752" s="1"/>
      <c r="AK4752" s="1"/>
      <c r="AL4752" s="1"/>
      <c r="AM4752" s="1"/>
    </row>
    <row r="4753" spans="16:39" x14ac:dyDescent="0.25">
      <c r="P4753" s="49"/>
      <c r="Q4753" s="1"/>
      <c r="S4753" s="1"/>
      <c r="T4753" s="1"/>
      <c r="U4753" s="1"/>
      <c r="V4753" s="1"/>
      <c r="W4753" s="1"/>
      <c r="X4753" s="1"/>
      <c r="Y4753" s="1"/>
      <c r="AB4753" s="1"/>
      <c r="AC4753" s="1"/>
      <c r="AD4753" s="1"/>
      <c r="AE4753" s="1"/>
      <c r="AF4753" s="1"/>
      <c r="AG4753" s="1"/>
      <c r="AH4753" s="1"/>
      <c r="AI4753" s="1"/>
      <c r="AJ4753" s="1"/>
      <c r="AK4753" s="1"/>
      <c r="AL4753" s="1"/>
      <c r="AM4753" s="1"/>
    </row>
    <row r="4754" spans="16:39" x14ac:dyDescent="0.25">
      <c r="P4754" s="49"/>
      <c r="Q4754" s="1"/>
      <c r="S4754" s="1"/>
      <c r="T4754" s="1"/>
      <c r="U4754" s="1"/>
      <c r="V4754" s="1"/>
      <c r="W4754" s="1"/>
      <c r="X4754" s="1"/>
      <c r="Y4754" s="1"/>
      <c r="AB4754" s="1"/>
      <c r="AC4754" s="1"/>
      <c r="AD4754" s="1"/>
      <c r="AE4754" s="1"/>
      <c r="AF4754" s="1"/>
      <c r="AG4754" s="1"/>
      <c r="AH4754" s="1"/>
      <c r="AI4754" s="1"/>
      <c r="AJ4754" s="1"/>
      <c r="AK4754" s="1"/>
      <c r="AL4754" s="1"/>
      <c r="AM4754" s="1"/>
    </row>
    <row r="4755" spans="16:39" x14ac:dyDescent="0.25">
      <c r="P4755" s="49"/>
      <c r="Q4755" s="1"/>
      <c r="S4755" s="1"/>
      <c r="T4755" s="1"/>
      <c r="U4755" s="1"/>
      <c r="V4755" s="1"/>
      <c r="W4755" s="1"/>
      <c r="X4755" s="1"/>
      <c r="Y4755" s="1"/>
      <c r="AB4755" s="1"/>
      <c r="AC4755" s="1"/>
      <c r="AD4755" s="1"/>
      <c r="AE4755" s="1"/>
      <c r="AF4755" s="1"/>
      <c r="AG4755" s="1"/>
      <c r="AH4755" s="1"/>
      <c r="AI4755" s="1"/>
      <c r="AJ4755" s="1"/>
      <c r="AK4755" s="1"/>
      <c r="AL4755" s="1"/>
      <c r="AM4755" s="1"/>
    </row>
    <row r="4756" spans="16:39" x14ac:dyDescent="0.25">
      <c r="P4756" s="49"/>
      <c r="Q4756" s="1"/>
      <c r="S4756" s="1"/>
      <c r="T4756" s="1"/>
      <c r="U4756" s="1"/>
      <c r="V4756" s="1"/>
      <c r="W4756" s="1"/>
      <c r="X4756" s="1"/>
      <c r="Y4756" s="1"/>
      <c r="AB4756" s="1"/>
      <c r="AC4756" s="1"/>
      <c r="AD4756" s="1"/>
      <c r="AE4756" s="1"/>
      <c r="AF4756" s="1"/>
      <c r="AG4756" s="1"/>
      <c r="AH4756" s="1"/>
      <c r="AI4756" s="1"/>
      <c r="AJ4756" s="1"/>
      <c r="AK4756" s="1"/>
      <c r="AL4756" s="1"/>
      <c r="AM4756" s="1"/>
    </row>
    <row r="4757" spans="16:39" x14ac:dyDescent="0.25">
      <c r="P4757" s="49"/>
      <c r="Q4757" s="1"/>
      <c r="S4757" s="1"/>
      <c r="T4757" s="1"/>
      <c r="U4757" s="1"/>
      <c r="V4757" s="1"/>
      <c r="W4757" s="1"/>
      <c r="X4757" s="1"/>
      <c r="Y4757" s="1"/>
      <c r="AB4757" s="1"/>
      <c r="AC4757" s="1"/>
      <c r="AD4757" s="1"/>
      <c r="AE4757" s="1"/>
      <c r="AF4757" s="1"/>
      <c r="AG4757" s="1"/>
      <c r="AH4757" s="1"/>
      <c r="AI4757" s="1"/>
      <c r="AJ4757" s="1"/>
      <c r="AK4757" s="1"/>
      <c r="AL4757" s="1"/>
      <c r="AM4757" s="1"/>
    </row>
    <row r="4758" spans="16:39" x14ac:dyDescent="0.25">
      <c r="P4758" s="49"/>
      <c r="Q4758" s="1"/>
      <c r="S4758" s="1"/>
      <c r="T4758" s="1"/>
      <c r="U4758" s="1"/>
      <c r="V4758" s="1"/>
      <c r="W4758" s="1"/>
      <c r="X4758" s="1"/>
      <c r="Y4758" s="1"/>
      <c r="AB4758" s="1"/>
      <c r="AC4758" s="1"/>
      <c r="AD4758" s="1"/>
      <c r="AE4758" s="1"/>
      <c r="AF4758" s="1"/>
      <c r="AG4758" s="1"/>
      <c r="AH4758" s="1"/>
      <c r="AI4758" s="1"/>
      <c r="AJ4758" s="1"/>
      <c r="AK4758" s="1"/>
      <c r="AL4758" s="1"/>
      <c r="AM4758" s="1"/>
    </row>
    <row r="4759" spans="16:39" x14ac:dyDescent="0.25">
      <c r="P4759" s="49"/>
      <c r="Q4759" s="1"/>
      <c r="S4759" s="1"/>
      <c r="T4759" s="1"/>
      <c r="U4759" s="1"/>
      <c r="V4759" s="1"/>
      <c r="W4759" s="1"/>
      <c r="X4759" s="1"/>
      <c r="Y4759" s="1"/>
      <c r="AB4759" s="1"/>
      <c r="AC4759" s="1"/>
      <c r="AD4759" s="1"/>
      <c r="AE4759" s="1"/>
      <c r="AF4759" s="1"/>
      <c r="AG4759" s="1"/>
      <c r="AH4759" s="1"/>
      <c r="AI4759" s="1"/>
      <c r="AJ4759" s="1"/>
      <c r="AK4759" s="1"/>
      <c r="AL4759" s="1"/>
      <c r="AM4759" s="1"/>
    </row>
    <row r="4760" spans="16:39" x14ac:dyDescent="0.25">
      <c r="P4760" s="49"/>
      <c r="Q4760" s="1"/>
      <c r="S4760" s="1"/>
      <c r="T4760" s="1"/>
      <c r="U4760" s="1"/>
      <c r="V4760" s="1"/>
      <c r="W4760" s="1"/>
      <c r="X4760" s="1"/>
      <c r="Y4760" s="1"/>
      <c r="AB4760" s="1"/>
      <c r="AC4760" s="1"/>
      <c r="AD4760" s="1"/>
      <c r="AE4760" s="1"/>
      <c r="AF4760" s="1"/>
      <c r="AG4760" s="1"/>
      <c r="AH4760" s="1"/>
      <c r="AI4760" s="1"/>
      <c r="AJ4760" s="1"/>
      <c r="AK4760" s="1"/>
      <c r="AL4760" s="1"/>
      <c r="AM4760" s="1"/>
    </row>
    <row r="4761" spans="16:39" x14ac:dyDescent="0.25">
      <c r="P4761" s="49"/>
      <c r="Q4761" s="1"/>
      <c r="S4761" s="1"/>
      <c r="T4761" s="1"/>
      <c r="U4761" s="1"/>
      <c r="V4761" s="1"/>
      <c r="W4761" s="1"/>
      <c r="X4761" s="1"/>
      <c r="Y4761" s="1"/>
      <c r="AB4761" s="1"/>
      <c r="AC4761" s="1"/>
      <c r="AD4761" s="1"/>
      <c r="AE4761" s="1"/>
      <c r="AF4761" s="1"/>
      <c r="AG4761" s="1"/>
      <c r="AH4761" s="1"/>
      <c r="AI4761" s="1"/>
      <c r="AJ4761" s="1"/>
      <c r="AK4761" s="1"/>
      <c r="AL4761" s="1"/>
      <c r="AM4761" s="1"/>
    </row>
    <row r="4762" spans="16:39" x14ac:dyDescent="0.25">
      <c r="P4762" s="49"/>
      <c r="Q4762" s="1"/>
      <c r="S4762" s="1"/>
      <c r="T4762" s="1"/>
      <c r="U4762" s="1"/>
      <c r="V4762" s="1"/>
      <c r="W4762" s="1"/>
      <c r="X4762" s="1"/>
      <c r="Y4762" s="1"/>
      <c r="AB4762" s="1"/>
      <c r="AC4762" s="1"/>
      <c r="AD4762" s="1"/>
      <c r="AE4762" s="1"/>
      <c r="AF4762" s="1"/>
      <c r="AG4762" s="1"/>
      <c r="AH4762" s="1"/>
      <c r="AI4762" s="1"/>
      <c r="AJ4762" s="1"/>
      <c r="AK4762" s="1"/>
      <c r="AL4762" s="1"/>
      <c r="AM4762" s="1"/>
    </row>
    <row r="4763" spans="16:39" x14ac:dyDescent="0.25">
      <c r="P4763" s="49"/>
      <c r="Q4763" s="1"/>
      <c r="S4763" s="1"/>
      <c r="T4763" s="1"/>
      <c r="U4763" s="1"/>
      <c r="V4763" s="1"/>
      <c r="W4763" s="1"/>
      <c r="X4763" s="1"/>
      <c r="Y4763" s="1"/>
      <c r="AB4763" s="1"/>
      <c r="AC4763" s="1"/>
      <c r="AD4763" s="1"/>
      <c r="AE4763" s="1"/>
      <c r="AF4763" s="1"/>
      <c r="AG4763" s="1"/>
      <c r="AH4763" s="1"/>
      <c r="AI4763" s="1"/>
      <c r="AJ4763" s="1"/>
      <c r="AK4763" s="1"/>
      <c r="AL4763" s="1"/>
      <c r="AM4763" s="1"/>
    </row>
    <row r="4764" spans="16:39" x14ac:dyDescent="0.25">
      <c r="P4764" s="49"/>
      <c r="Q4764" s="1"/>
      <c r="S4764" s="1"/>
      <c r="T4764" s="1"/>
      <c r="U4764" s="1"/>
      <c r="V4764" s="1"/>
      <c r="W4764" s="1"/>
      <c r="X4764" s="1"/>
      <c r="Y4764" s="1"/>
      <c r="AB4764" s="1"/>
      <c r="AC4764" s="1"/>
      <c r="AD4764" s="1"/>
      <c r="AE4764" s="1"/>
      <c r="AF4764" s="1"/>
      <c r="AG4764" s="1"/>
      <c r="AH4764" s="1"/>
      <c r="AI4764" s="1"/>
      <c r="AJ4764" s="1"/>
      <c r="AK4764" s="1"/>
      <c r="AL4764" s="1"/>
      <c r="AM4764" s="1"/>
    </row>
    <row r="4765" spans="16:39" x14ac:dyDescent="0.25">
      <c r="P4765" s="49"/>
      <c r="Q4765" s="1"/>
      <c r="S4765" s="1"/>
      <c r="T4765" s="1"/>
      <c r="U4765" s="1"/>
      <c r="V4765" s="1"/>
      <c r="W4765" s="1"/>
      <c r="X4765" s="1"/>
      <c r="Y4765" s="1"/>
      <c r="AB4765" s="1"/>
      <c r="AC4765" s="1"/>
      <c r="AD4765" s="1"/>
      <c r="AE4765" s="1"/>
      <c r="AF4765" s="1"/>
      <c r="AG4765" s="1"/>
      <c r="AH4765" s="1"/>
      <c r="AI4765" s="1"/>
      <c r="AJ4765" s="1"/>
      <c r="AK4765" s="1"/>
      <c r="AL4765" s="1"/>
      <c r="AM4765" s="1"/>
    </row>
    <row r="4766" spans="16:39" x14ac:dyDescent="0.25">
      <c r="P4766" s="49"/>
      <c r="Q4766" s="1"/>
      <c r="S4766" s="1"/>
      <c r="T4766" s="1"/>
      <c r="U4766" s="1"/>
      <c r="V4766" s="1"/>
      <c r="W4766" s="1"/>
      <c r="X4766" s="1"/>
      <c r="Y4766" s="1"/>
      <c r="AB4766" s="1"/>
      <c r="AC4766" s="1"/>
      <c r="AD4766" s="1"/>
      <c r="AE4766" s="1"/>
      <c r="AF4766" s="1"/>
      <c r="AG4766" s="1"/>
      <c r="AH4766" s="1"/>
      <c r="AI4766" s="1"/>
      <c r="AJ4766" s="1"/>
      <c r="AK4766" s="1"/>
      <c r="AL4766" s="1"/>
      <c r="AM4766" s="1"/>
    </row>
    <row r="4767" spans="16:39" x14ac:dyDescent="0.25">
      <c r="P4767" s="49"/>
      <c r="Q4767" s="1"/>
      <c r="S4767" s="1"/>
      <c r="T4767" s="1"/>
      <c r="U4767" s="1"/>
      <c r="V4767" s="1"/>
      <c r="W4767" s="1"/>
      <c r="X4767" s="1"/>
      <c r="Y4767" s="1"/>
      <c r="AB4767" s="1"/>
      <c r="AC4767" s="1"/>
      <c r="AD4767" s="1"/>
      <c r="AE4767" s="1"/>
      <c r="AF4767" s="1"/>
      <c r="AG4767" s="1"/>
      <c r="AH4767" s="1"/>
      <c r="AI4767" s="1"/>
      <c r="AJ4767" s="1"/>
      <c r="AK4767" s="1"/>
      <c r="AL4767" s="1"/>
      <c r="AM4767" s="1"/>
    </row>
    <row r="4768" spans="16:39" x14ac:dyDescent="0.25">
      <c r="P4768" s="49"/>
      <c r="Q4768" s="1"/>
      <c r="S4768" s="1"/>
      <c r="T4768" s="1"/>
      <c r="U4768" s="1"/>
      <c r="V4768" s="1"/>
      <c r="W4768" s="1"/>
      <c r="X4768" s="1"/>
      <c r="Y4768" s="1"/>
      <c r="AB4768" s="1"/>
      <c r="AC4768" s="1"/>
      <c r="AD4768" s="1"/>
      <c r="AE4768" s="1"/>
      <c r="AF4768" s="1"/>
      <c r="AG4768" s="1"/>
      <c r="AH4768" s="1"/>
      <c r="AI4768" s="1"/>
      <c r="AJ4768" s="1"/>
      <c r="AK4768" s="1"/>
      <c r="AL4768" s="1"/>
      <c r="AM4768" s="1"/>
    </row>
    <row r="4769" spans="16:39" x14ac:dyDescent="0.25">
      <c r="P4769" s="49"/>
      <c r="Q4769" s="1"/>
      <c r="S4769" s="1"/>
      <c r="T4769" s="1"/>
      <c r="U4769" s="1"/>
      <c r="V4769" s="1"/>
      <c r="W4769" s="1"/>
      <c r="X4769" s="1"/>
      <c r="Y4769" s="1"/>
      <c r="AB4769" s="1"/>
      <c r="AC4769" s="1"/>
      <c r="AD4769" s="1"/>
      <c r="AE4769" s="1"/>
      <c r="AF4769" s="1"/>
      <c r="AG4769" s="1"/>
      <c r="AH4769" s="1"/>
      <c r="AI4769" s="1"/>
      <c r="AJ4769" s="1"/>
      <c r="AK4769" s="1"/>
      <c r="AL4769" s="1"/>
      <c r="AM4769" s="1"/>
    </row>
    <row r="4770" spans="16:39" x14ac:dyDescent="0.25">
      <c r="P4770" s="49"/>
      <c r="Q4770" s="1"/>
      <c r="S4770" s="1"/>
      <c r="T4770" s="1"/>
      <c r="U4770" s="1"/>
      <c r="V4770" s="1"/>
      <c r="W4770" s="1"/>
      <c r="X4770" s="1"/>
      <c r="Y4770" s="1"/>
      <c r="AB4770" s="1"/>
      <c r="AC4770" s="1"/>
      <c r="AD4770" s="1"/>
      <c r="AE4770" s="1"/>
      <c r="AF4770" s="1"/>
      <c r="AG4770" s="1"/>
      <c r="AH4770" s="1"/>
      <c r="AI4770" s="1"/>
      <c r="AJ4770" s="1"/>
      <c r="AK4770" s="1"/>
      <c r="AL4770" s="1"/>
      <c r="AM4770" s="1"/>
    </row>
    <row r="4771" spans="16:39" x14ac:dyDescent="0.25">
      <c r="P4771" s="49"/>
      <c r="Q4771" s="1"/>
      <c r="S4771" s="1"/>
      <c r="T4771" s="1"/>
      <c r="U4771" s="1"/>
      <c r="V4771" s="1"/>
      <c r="W4771" s="1"/>
      <c r="X4771" s="1"/>
      <c r="Y4771" s="1"/>
      <c r="AB4771" s="1"/>
      <c r="AC4771" s="1"/>
      <c r="AD4771" s="1"/>
      <c r="AE4771" s="1"/>
      <c r="AF4771" s="1"/>
      <c r="AG4771" s="1"/>
      <c r="AH4771" s="1"/>
      <c r="AI4771" s="1"/>
      <c r="AJ4771" s="1"/>
      <c r="AK4771" s="1"/>
      <c r="AL4771" s="1"/>
      <c r="AM4771" s="1"/>
    </row>
    <row r="4772" spans="16:39" x14ac:dyDescent="0.25">
      <c r="P4772" s="49"/>
      <c r="Q4772" s="1"/>
      <c r="S4772" s="1"/>
      <c r="T4772" s="1"/>
      <c r="U4772" s="1"/>
      <c r="V4772" s="1"/>
      <c r="W4772" s="1"/>
      <c r="X4772" s="1"/>
      <c r="Y4772" s="1"/>
      <c r="AB4772" s="1"/>
      <c r="AC4772" s="1"/>
      <c r="AD4772" s="1"/>
      <c r="AE4772" s="1"/>
      <c r="AF4772" s="1"/>
      <c r="AG4772" s="1"/>
      <c r="AH4772" s="1"/>
      <c r="AI4772" s="1"/>
      <c r="AJ4772" s="1"/>
      <c r="AK4772" s="1"/>
      <c r="AL4772" s="1"/>
      <c r="AM4772" s="1"/>
    </row>
    <row r="4773" spans="16:39" x14ac:dyDescent="0.25">
      <c r="P4773" s="49"/>
      <c r="Q4773" s="1"/>
      <c r="S4773" s="1"/>
      <c r="T4773" s="1"/>
      <c r="U4773" s="1"/>
      <c r="V4773" s="1"/>
      <c r="W4773" s="1"/>
      <c r="X4773" s="1"/>
      <c r="Y4773" s="1"/>
      <c r="AB4773" s="1"/>
      <c r="AC4773" s="1"/>
      <c r="AD4773" s="1"/>
      <c r="AE4773" s="1"/>
      <c r="AF4773" s="1"/>
      <c r="AG4773" s="1"/>
      <c r="AH4773" s="1"/>
      <c r="AI4773" s="1"/>
      <c r="AJ4773" s="1"/>
      <c r="AK4773" s="1"/>
      <c r="AL4773" s="1"/>
      <c r="AM4773" s="1"/>
    </row>
    <row r="4774" spans="16:39" x14ac:dyDescent="0.25">
      <c r="P4774" s="49"/>
      <c r="Q4774" s="1"/>
      <c r="S4774" s="1"/>
      <c r="T4774" s="1"/>
      <c r="U4774" s="1"/>
      <c r="V4774" s="1"/>
      <c r="W4774" s="1"/>
      <c r="X4774" s="1"/>
      <c r="Y4774" s="1"/>
      <c r="AB4774" s="1"/>
      <c r="AC4774" s="1"/>
      <c r="AD4774" s="1"/>
      <c r="AE4774" s="1"/>
      <c r="AF4774" s="1"/>
      <c r="AG4774" s="1"/>
      <c r="AH4774" s="1"/>
      <c r="AI4774" s="1"/>
      <c r="AJ4774" s="1"/>
      <c r="AK4774" s="1"/>
      <c r="AL4774" s="1"/>
      <c r="AM4774" s="1"/>
    </row>
    <row r="4775" spans="16:39" x14ac:dyDescent="0.25">
      <c r="P4775" s="49"/>
      <c r="Q4775" s="1"/>
      <c r="S4775" s="1"/>
      <c r="T4775" s="1"/>
      <c r="U4775" s="1"/>
      <c r="V4775" s="1"/>
      <c r="W4775" s="1"/>
      <c r="X4775" s="1"/>
      <c r="Y4775" s="1"/>
      <c r="AB4775" s="1"/>
      <c r="AC4775" s="1"/>
      <c r="AD4775" s="1"/>
      <c r="AE4775" s="1"/>
      <c r="AF4775" s="1"/>
      <c r="AG4775" s="1"/>
      <c r="AH4775" s="1"/>
      <c r="AI4775" s="1"/>
      <c r="AJ4775" s="1"/>
      <c r="AK4775" s="1"/>
      <c r="AL4775" s="1"/>
      <c r="AM4775" s="1"/>
    </row>
    <row r="4776" spans="16:39" x14ac:dyDescent="0.25">
      <c r="P4776" s="49"/>
      <c r="Q4776" s="1"/>
      <c r="S4776" s="1"/>
      <c r="T4776" s="1"/>
      <c r="U4776" s="1"/>
      <c r="V4776" s="1"/>
      <c r="W4776" s="1"/>
      <c r="X4776" s="1"/>
      <c r="Y4776" s="1"/>
      <c r="AB4776" s="1"/>
      <c r="AC4776" s="1"/>
      <c r="AD4776" s="1"/>
      <c r="AE4776" s="1"/>
      <c r="AF4776" s="1"/>
      <c r="AG4776" s="1"/>
      <c r="AH4776" s="1"/>
      <c r="AI4776" s="1"/>
      <c r="AJ4776" s="1"/>
      <c r="AK4776" s="1"/>
      <c r="AL4776" s="1"/>
      <c r="AM4776" s="1"/>
    </row>
    <row r="4777" spans="16:39" x14ac:dyDescent="0.25">
      <c r="P4777" s="49"/>
      <c r="Q4777" s="1"/>
      <c r="S4777" s="1"/>
      <c r="T4777" s="1"/>
      <c r="U4777" s="1"/>
      <c r="V4777" s="1"/>
      <c r="W4777" s="1"/>
      <c r="X4777" s="1"/>
      <c r="Y4777" s="1"/>
      <c r="AB4777" s="1"/>
      <c r="AC4777" s="1"/>
      <c r="AD4777" s="1"/>
      <c r="AE4777" s="1"/>
      <c r="AF4777" s="1"/>
      <c r="AG4777" s="1"/>
      <c r="AH4777" s="1"/>
      <c r="AI4777" s="1"/>
      <c r="AJ4777" s="1"/>
      <c r="AK4777" s="1"/>
      <c r="AL4777" s="1"/>
      <c r="AM4777" s="1"/>
    </row>
    <row r="4778" spans="16:39" x14ac:dyDescent="0.25">
      <c r="P4778" s="49"/>
      <c r="Q4778" s="1"/>
      <c r="S4778" s="1"/>
      <c r="T4778" s="1"/>
      <c r="U4778" s="1"/>
      <c r="V4778" s="1"/>
      <c r="W4778" s="1"/>
      <c r="X4778" s="1"/>
      <c r="Y4778" s="1"/>
      <c r="AB4778" s="1"/>
      <c r="AC4778" s="1"/>
      <c r="AD4778" s="1"/>
      <c r="AE4778" s="1"/>
      <c r="AF4778" s="1"/>
      <c r="AG4778" s="1"/>
      <c r="AH4778" s="1"/>
      <c r="AI4778" s="1"/>
      <c r="AJ4778" s="1"/>
      <c r="AK4778" s="1"/>
      <c r="AL4778" s="1"/>
      <c r="AM4778" s="1"/>
    </row>
    <row r="4779" spans="16:39" x14ac:dyDescent="0.25">
      <c r="P4779" s="49"/>
      <c r="Q4779" s="1"/>
      <c r="S4779" s="1"/>
      <c r="T4779" s="1"/>
      <c r="U4779" s="1"/>
      <c r="V4779" s="1"/>
      <c r="W4779" s="1"/>
      <c r="X4779" s="1"/>
      <c r="Y4779" s="1"/>
      <c r="AB4779" s="1"/>
      <c r="AC4779" s="1"/>
      <c r="AD4779" s="1"/>
      <c r="AE4779" s="1"/>
      <c r="AF4779" s="1"/>
      <c r="AG4779" s="1"/>
      <c r="AH4779" s="1"/>
      <c r="AI4779" s="1"/>
      <c r="AJ4779" s="1"/>
      <c r="AK4779" s="1"/>
      <c r="AL4779" s="1"/>
      <c r="AM4779" s="1"/>
    </row>
    <row r="4780" spans="16:39" x14ac:dyDescent="0.25">
      <c r="P4780" s="49"/>
      <c r="Q4780" s="1"/>
      <c r="S4780" s="1"/>
      <c r="T4780" s="1"/>
      <c r="U4780" s="1"/>
      <c r="V4780" s="1"/>
      <c r="W4780" s="1"/>
      <c r="X4780" s="1"/>
      <c r="Y4780" s="1"/>
      <c r="AB4780" s="1"/>
      <c r="AC4780" s="1"/>
      <c r="AD4780" s="1"/>
      <c r="AE4780" s="1"/>
      <c r="AF4780" s="1"/>
      <c r="AG4780" s="1"/>
      <c r="AH4780" s="1"/>
      <c r="AI4780" s="1"/>
      <c r="AJ4780" s="1"/>
      <c r="AK4780" s="1"/>
      <c r="AL4780" s="1"/>
      <c r="AM4780" s="1"/>
    </row>
    <row r="4781" spans="16:39" x14ac:dyDescent="0.25">
      <c r="P4781" s="49"/>
      <c r="Q4781" s="1"/>
      <c r="S4781" s="1"/>
      <c r="T4781" s="1"/>
      <c r="U4781" s="1"/>
      <c r="V4781" s="1"/>
      <c r="W4781" s="1"/>
      <c r="X4781" s="1"/>
      <c r="Y4781" s="1"/>
      <c r="AB4781" s="1"/>
      <c r="AC4781" s="1"/>
      <c r="AD4781" s="1"/>
      <c r="AE4781" s="1"/>
      <c r="AF4781" s="1"/>
      <c r="AG4781" s="1"/>
      <c r="AH4781" s="1"/>
      <c r="AI4781" s="1"/>
      <c r="AJ4781" s="1"/>
      <c r="AK4781" s="1"/>
      <c r="AL4781" s="1"/>
      <c r="AM4781" s="1"/>
    </row>
    <row r="4782" spans="16:39" x14ac:dyDescent="0.25">
      <c r="P4782" s="49"/>
      <c r="Q4782" s="1"/>
      <c r="S4782" s="1"/>
      <c r="T4782" s="1"/>
      <c r="U4782" s="1"/>
      <c r="V4782" s="1"/>
      <c r="W4782" s="1"/>
      <c r="X4782" s="1"/>
      <c r="Y4782" s="1"/>
      <c r="AB4782" s="1"/>
      <c r="AC4782" s="1"/>
      <c r="AD4782" s="1"/>
      <c r="AE4782" s="1"/>
      <c r="AF4782" s="1"/>
      <c r="AG4782" s="1"/>
      <c r="AH4782" s="1"/>
      <c r="AI4782" s="1"/>
      <c r="AJ4782" s="1"/>
      <c r="AK4782" s="1"/>
      <c r="AL4782" s="1"/>
      <c r="AM4782" s="1"/>
    </row>
    <row r="4783" spans="16:39" x14ac:dyDescent="0.25">
      <c r="P4783" s="49"/>
      <c r="Q4783" s="1"/>
      <c r="S4783" s="1"/>
      <c r="T4783" s="1"/>
      <c r="U4783" s="1"/>
      <c r="V4783" s="1"/>
      <c r="W4783" s="1"/>
      <c r="X4783" s="1"/>
      <c r="Y4783" s="1"/>
      <c r="AB4783" s="1"/>
      <c r="AC4783" s="1"/>
      <c r="AD4783" s="1"/>
      <c r="AE4783" s="1"/>
      <c r="AF4783" s="1"/>
      <c r="AG4783" s="1"/>
      <c r="AH4783" s="1"/>
      <c r="AI4783" s="1"/>
      <c r="AJ4783" s="1"/>
      <c r="AK4783" s="1"/>
      <c r="AL4783" s="1"/>
      <c r="AM4783" s="1"/>
    </row>
    <row r="4784" spans="16:39" x14ac:dyDescent="0.25">
      <c r="P4784" s="49"/>
      <c r="Q4784" s="1"/>
      <c r="S4784" s="1"/>
      <c r="T4784" s="1"/>
      <c r="U4784" s="1"/>
      <c r="V4784" s="1"/>
      <c r="W4784" s="1"/>
      <c r="X4784" s="1"/>
      <c r="Y4784" s="1"/>
      <c r="AB4784" s="1"/>
      <c r="AC4784" s="1"/>
      <c r="AD4784" s="1"/>
      <c r="AE4784" s="1"/>
      <c r="AF4784" s="1"/>
      <c r="AG4784" s="1"/>
      <c r="AH4784" s="1"/>
      <c r="AI4784" s="1"/>
      <c r="AJ4784" s="1"/>
      <c r="AK4784" s="1"/>
      <c r="AL4784" s="1"/>
      <c r="AM4784" s="1"/>
    </row>
    <row r="4785" spans="16:39" x14ac:dyDescent="0.25">
      <c r="P4785" s="49"/>
      <c r="Q4785" s="1"/>
      <c r="S4785" s="1"/>
      <c r="T4785" s="1"/>
      <c r="U4785" s="1"/>
      <c r="V4785" s="1"/>
      <c r="W4785" s="1"/>
      <c r="X4785" s="1"/>
      <c r="Y4785" s="1"/>
      <c r="AB4785" s="1"/>
      <c r="AC4785" s="1"/>
      <c r="AD4785" s="1"/>
      <c r="AE4785" s="1"/>
      <c r="AF4785" s="1"/>
      <c r="AG4785" s="1"/>
      <c r="AH4785" s="1"/>
      <c r="AI4785" s="1"/>
      <c r="AJ4785" s="1"/>
      <c r="AK4785" s="1"/>
      <c r="AL4785" s="1"/>
      <c r="AM4785" s="1"/>
    </row>
    <row r="4786" spans="16:39" x14ac:dyDescent="0.25">
      <c r="P4786" s="49"/>
      <c r="Q4786" s="1"/>
      <c r="S4786" s="1"/>
      <c r="T4786" s="1"/>
      <c r="U4786" s="1"/>
      <c r="V4786" s="1"/>
      <c r="W4786" s="1"/>
      <c r="X4786" s="1"/>
      <c r="Y4786" s="1"/>
      <c r="AB4786" s="1"/>
      <c r="AC4786" s="1"/>
      <c r="AD4786" s="1"/>
      <c r="AE4786" s="1"/>
      <c r="AF4786" s="1"/>
      <c r="AG4786" s="1"/>
      <c r="AH4786" s="1"/>
      <c r="AI4786" s="1"/>
      <c r="AJ4786" s="1"/>
      <c r="AK4786" s="1"/>
      <c r="AL4786" s="1"/>
      <c r="AM4786" s="1"/>
    </row>
    <row r="4787" spans="16:39" x14ac:dyDescent="0.25">
      <c r="P4787" s="49"/>
      <c r="Q4787" s="1"/>
      <c r="S4787" s="1"/>
      <c r="T4787" s="1"/>
      <c r="U4787" s="1"/>
      <c r="V4787" s="1"/>
      <c r="W4787" s="1"/>
      <c r="X4787" s="1"/>
      <c r="Y4787" s="1"/>
      <c r="AB4787" s="1"/>
      <c r="AC4787" s="1"/>
      <c r="AD4787" s="1"/>
      <c r="AE4787" s="1"/>
      <c r="AF4787" s="1"/>
      <c r="AG4787" s="1"/>
      <c r="AH4787" s="1"/>
      <c r="AI4787" s="1"/>
      <c r="AJ4787" s="1"/>
      <c r="AK4787" s="1"/>
      <c r="AL4787" s="1"/>
      <c r="AM4787" s="1"/>
    </row>
    <row r="4788" spans="16:39" x14ac:dyDescent="0.25">
      <c r="P4788" s="49"/>
      <c r="Q4788" s="1"/>
      <c r="S4788" s="1"/>
      <c r="T4788" s="1"/>
      <c r="U4788" s="1"/>
      <c r="V4788" s="1"/>
      <c r="W4788" s="1"/>
      <c r="X4788" s="1"/>
      <c r="Y4788" s="1"/>
      <c r="AB4788" s="1"/>
      <c r="AC4788" s="1"/>
      <c r="AD4788" s="1"/>
      <c r="AE4788" s="1"/>
      <c r="AF4788" s="1"/>
      <c r="AG4788" s="1"/>
      <c r="AH4788" s="1"/>
      <c r="AI4788" s="1"/>
      <c r="AJ4788" s="1"/>
      <c r="AK4788" s="1"/>
      <c r="AL4788" s="1"/>
      <c r="AM4788" s="1"/>
    </row>
    <row r="4789" spans="16:39" x14ac:dyDescent="0.25">
      <c r="P4789" s="49"/>
      <c r="Q4789" s="1"/>
      <c r="S4789" s="1"/>
      <c r="T4789" s="1"/>
      <c r="U4789" s="1"/>
      <c r="V4789" s="1"/>
      <c r="W4789" s="1"/>
      <c r="X4789" s="1"/>
      <c r="Y4789" s="1"/>
      <c r="AB4789" s="1"/>
      <c r="AC4789" s="1"/>
      <c r="AD4789" s="1"/>
      <c r="AE4789" s="1"/>
      <c r="AF4789" s="1"/>
      <c r="AG4789" s="1"/>
      <c r="AH4789" s="1"/>
      <c r="AI4789" s="1"/>
      <c r="AJ4789" s="1"/>
      <c r="AK4789" s="1"/>
      <c r="AL4789" s="1"/>
      <c r="AM4789" s="1"/>
    </row>
    <row r="4790" spans="16:39" x14ac:dyDescent="0.25">
      <c r="P4790" s="49"/>
      <c r="Q4790" s="1"/>
      <c r="S4790" s="1"/>
      <c r="T4790" s="1"/>
      <c r="U4790" s="1"/>
      <c r="V4790" s="1"/>
      <c r="W4790" s="1"/>
      <c r="X4790" s="1"/>
      <c r="Y4790" s="1"/>
      <c r="AB4790" s="1"/>
      <c r="AC4790" s="1"/>
      <c r="AD4790" s="1"/>
      <c r="AE4790" s="1"/>
      <c r="AF4790" s="1"/>
      <c r="AG4790" s="1"/>
      <c r="AH4790" s="1"/>
      <c r="AI4790" s="1"/>
      <c r="AJ4790" s="1"/>
      <c r="AK4790" s="1"/>
      <c r="AL4790" s="1"/>
      <c r="AM4790" s="1"/>
    </row>
    <row r="4791" spans="16:39" x14ac:dyDescent="0.25">
      <c r="P4791" s="49"/>
      <c r="Q4791" s="1"/>
      <c r="S4791" s="1"/>
      <c r="T4791" s="1"/>
      <c r="U4791" s="1"/>
      <c r="V4791" s="1"/>
      <c r="W4791" s="1"/>
      <c r="X4791" s="1"/>
      <c r="Y4791" s="1"/>
      <c r="AB4791" s="1"/>
      <c r="AC4791" s="1"/>
      <c r="AD4791" s="1"/>
      <c r="AE4791" s="1"/>
      <c r="AF4791" s="1"/>
      <c r="AG4791" s="1"/>
      <c r="AH4791" s="1"/>
      <c r="AI4791" s="1"/>
      <c r="AJ4791" s="1"/>
      <c r="AK4791" s="1"/>
      <c r="AL4791" s="1"/>
      <c r="AM4791" s="1"/>
    </row>
    <row r="4792" spans="16:39" x14ac:dyDescent="0.25">
      <c r="P4792" s="49"/>
      <c r="Q4792" s="1"/>
      <c r="S4792" s="1"/>
      <c r="T4792" s="1"/>
      <c r="U4792" s="1"/>
      <c r="V4792" s="1"/>
      <c r="W4792" s="1"/>
      <c r="X4792" s="1"/>
      <c r="Y4792" s="1"/>
      <c r="AB4792" s="1"/>
      <c r="AC4792" s="1"/>
      <c r="AD4792" s="1"/>
      <c r="AE4792" s="1"/>
      <c r="AF4792" s="1"/>
      <c r="AG4792" s="1"/>
      <c r="AH4792" s="1"/>
      <c r="AI4792" s="1"/>
      <c r="AJ4792" s="1"/>
      <c r="AK4792" s="1"/>
      <c r="AL4792" s="1"/>
      <c r="AM4792" s="1"/>
    </row>
    <row r="4793" spans="16:39" x14ac:dyDescent="0.25">
      <c r="P4793" s="49"/>
      <c r="Q4793" s="1"/>
      <c r="S4793" s="1"/>
      <c r="T4793" s="1"/>
      <c r="U4793" s="1"/>
      <c r="V4793" s="1"/>
      <c r="W4793" s="1"/>
      <c r="X4793" s="1"/>
      <c r="Y4793" s="1"/>
      <c r="AB4793" s="1"/>
      <c r="AC4793" s="1"/>
      <c r="AD4793" s="1"/>
      <c r="AE4793" s="1"/>
      <c r="AF4793" s="1"/>
      <c r="AG4793" s="1"/>
      <c r="AH4793" s="1"/>
      <c r="AI4793" s="1"/>
      <c r="AJ4793" s="1"/>
      <c r="AK4793" s="1"/>
      <c r="AL4793" s="1"/>
      <c r="AM4793" s="1"/>
    </row>
    <row r="4794" spans="16:39" x14ac:dyDescent="0.25">
      <c r="P4794" s="49"/>
      <c r="Q4794" s="1"/>
      <c r="S4794" s="1"/>
      <c r="T4794" s="1"/>
      <c r="U4794" s="1"/>
      <c r="V4794" s="1"/>
      <c r="W4794" s="1"/>
      <c r="X4794" s="1"/>
      <c r="Y4794" s="1"/>
      <c r="AB4794" s="1"/>
      <c r="AC4794" s="1"/>
      <c r="AD4794" s="1"/>
      <c r="AE4794" s="1"/>
      <c r="AF4794" s="1"/>
      <c r="AG4794" s="1"/>
      <c r="AH4794" s="1"/>
      <c r="AI4794" s="1"/>
      <c r="AJ4794" s="1"/>
      <c r="AK4794" s="1"/>
      <c r="AL4794" s="1"/>
      <c r="AM4794" s="1"/>
    </row>
    <row r="4795" spans="16:39" x14ac:dyDescent="0.25">
      <c r="P4795" s="49"/>
      <c r="Q4795" s="1"/>
      <c r="S4795" s="1"/>
      <c r="T4795" s="1"/>
      <c r="U4795" s="1"/>
      <c r="V4795" s="1"/>
      <c r="W4795" s="1"/>
      <c r="X4795" s="1"/>
      <c r="Y4795" s="1"/>
      <c r="AB4795" s="1"/>
      <c r="AC4795" s="1"/>
      <c r="AD4795" s="1"/>
      <c r="AE4795" s="1"/>
      <c r="AF4795" s="1"/>
      <c r="AG4795" s="1"/>
      <c r="AH4795" s="1"/>
      <c r="AI4795" s="1"/>
      <c r="AJ4795" s="1"/>
      <c r="AK4795" s="1"/>
      <c r="AL4795" s="1"/>
      <c r="AM4795" s="1"/>
    </row>
    <row r="4796" spans="16:39" x14ac:dyDescent="0.25">
      <c r="P4796" s="49"/>
      <c r="Q4796" s="1"/>
      <c r="S4796" s="1"/>
      <c r="T4796" s="1"/>
      <c r="U4796" s="1"/>
      <c r="V4796" s="1"/>
      <c r="W4796" s="1"/>
      <c r="X4796" s="1"/>
      <c r="Y4796" s="1"/>
      <c r="AB4796" s="1"/>
      <c r="AC4796" s="1"/>
      <c r="AD4796" s="1"/>
      <c r="AE4796" s="1"/>
      <c r="AF4796" s="1"/>
      <c r="AG4796" s="1"/>
      <c r="AH4796" s="1"/>
      <c r="AI4796" s="1"/>
      <c r="AJ4796" s="1"/>
      <c r="AK4796" s="1"/>
      <c r="AL4796" s="1"/>
      <c r="AM4796" s="1"/>
    </row>
    <row r="4797" spans="16:39" x14ac:dyDescent="0.25">
      <c r="P4797" s="49"/>
      <c r="Q4797" s="1"/>
      <c r="S4797" s="1"/>
      <c r="T4797" s="1"/>
      <c r="U4797" s="1"/>
      <c r="V4797" s="1"/>
      <c r="W4797" s="1"/>
      <c r="X4797" s="1"/>
      <c r="Y4797" s="1"/>
      <c r="AB4797" s="1"/>
      <c r="AC4797" s="1"/>
      <c r="AD4797" s="1"/>
      <c r="AE4797" s="1"/>
      <c r="AF4797" s="1"/>
      <c r="AG4797" s="1"/>
      <c r="AH4797" s="1"/>
      <c r="AI4797" s="1"/>
      <c r="AJ4797" s="1"/>
      <c r="AK4797" s="1"/>
      <c r="AL4797" s="1"/>
      <c r="AM4797" s="1"/>
    </row>
    <row r="4798" spans="16:39" x14ac:dyDescent="0.25">
      <c r="P4798" s="49"/>
      <c r="Q4798" s="1"/>
      <c r="S4798" s="1"/>
      <c r="T4798" s="1"/>
      <c r="U4798" s="1"/>
      <c r="V4798" s="1"/>
      <c r="W4798" s="1"/>
      <c r="X4798" s="1"/>
      <c r="Y4798" s="1"/>
      <c r="AB4798" s="1"/>
      <c r="AC4798" s="1"/>
      <c r="AD4798" s="1"/>
      <c r="AE4798" s="1"/>
      <c r="AF4798" s="1"/>
      <c r="AG4798" s="1"/>
      <c r="AH4798" s="1"/>
      <c r="AI4798" s="1"/>
      <c r="AJ4798" s="1"/>
      <c r="AK4798" s="1"/>
      <c r="AL4798" s="1"/>
      <c r="AM4798" s="1"/>
    </row>
    <row r="4799" spans="16:39" x14ac:dyDescent="0.25">
      <c r="P4799" s="49"/>
      <c r="Q4799" s="1"/>
      <c r="S4799" s="1"/>
      <c r="T4799" s="1"/>
      <c r="U4799" s="1"/>
      <c r="V4799" s="1"/>
      <c r="W4799" s="1"/>
      <c r="X4799" s="1"/>
      <c r="Y4799" s="1"/>
      <c r="AB4799" s="1"/>
      <c r="AC4799" s="1"/>
      <c r="AD4799" s="1"/>
      <c r="AE4799" s="1"/>
      <c r="AF4799" s="1"/>
      <c r="AG4799" s="1"/>
      <c r="AH4799" s="1"/>
      <c r="AI4799" s="1"/>
      <c r="AJ4799" s="1"/>
      <c r="AK4799" s="1"/>
      <c r="AL4799" s="1"/>
      <c r="AM4799" s="1"/>
    </row>
    <row r="4800" spans="16:39" x14ac:dyDescent="0.25">
      <c r="P4800" s="49"/>
      <c r="Q4800" s="1"/>
      <c r="S4800" s="1"/>
      <c r="T4800" s="1"/>
      <c r="U4800" s="1"/>
      <c r="V4800" s="1"/>
      <c r="W4800" s="1"/>
      <c r="X4800" s="1"/>
      <c r="Y4800" s="1"/>
      <c r="AB4800" s="1"/>
      <c r="AC4800" s="1"/>
      <c r="AD4800" s="1"/>
      <c r="AE4800" s="1"/>
      <c r="AF4800" s="1"/>
      <c r="AG4800" s="1"/>
      <c r="AH4800" s="1"/>
      <c r="AI4800" s="1"/>
      <c r="AJ4800" s="1"/>
      <c r="AK4800" s="1"/>
      <c r="AL4800" s="1"/>
      <c r="AM4800" s="1"/>
    </row>
    <row r="4801" spans="16:39" x14ac:dyDescent="0.25">
      <c r="P4801" s="49"/>
      <c r="Q4801" s="1"/>
      <c r="S4801" s="1"/>
      <c r="T4801" s="1"/>
      <c r="U4801" s="1"/>
      <c r="V4801" s="1"/>
      <c r="W4801" s="1"/>
      <c r="X4801" s="1"/>
      <c r="Y4801" s="1"/>
      <c r="AB4801" s="1"/>
      <c r="AC4801" s="1"/>
      <c r="AD4801" s="1"/>
      <c r="AE4801" s="1"/>
      <c r="AF4801" s="1"/>
      <c r="AG4801" s="1"/>
      <c r="AH4801" s="1"/>
      <c r="AI4801" s="1"/>
      <c r="AJ4801" s="1"/>
      <c r="AK4801" s="1"/>
      <c r="AL4801" s="1"/>
      <c r="AM4801" s="1"/>
    </row>
    <row r="4802" spans="16:39" x14ac:dyDescent="0.25">
      <c r="P4802" s="49"/>
      <c r="Q4802" s="1"/>
      <c r="S4802" s="1"/>
      <c r="T4802" s="1"/>
      <c r="U4802" s="1"/>
      <c r="V4802" s="1"/>
      <c r="W4802" s="1"/>
      <c r="X4802" s="1"/>
      <c r="Y4802" s="1"/>
      <c r="AB4802" s="1"/>
      <c r="AC4802" s="1"/>
      <c r="AD4802" s="1"/>
      <c r="AE4802" s="1"/>
      <c r="AF4802" s="1"/>
      <c r="AG4802" s="1"/>
      <c r="AH4802" s="1"/>
      <c r="AI4802" s="1"/>
      <c r="AJ4802" s="1"/>
      <c r="AK4802" s="1"/>
      <c r="AL4802" s="1"/>
      <c r="AM4802" s="1"/>
    </row>
    <row r="4803" spans="16:39" x14ac:dyDescent="0.25">
      <c r="P4803" s="49"/>
      <c r="Q4803" s="1"/>
      <c r="S4803" s="1"/>
      <c r="T4803" s="1"/>
      <c r="U4803" s="1"/>
      <c r="V4803" s="1"/>
      <c r="W4803" s="1"/>
      <c r="X4803" s="1"/>
      <c r="Y4803" s="1"/>
      <c r="AB4803" s="1"/>
      <c r="AC4803" s="1"/>
      <c r="AD4803" s="1"/>
      <c r="AE4803" s="1"/>
      <c r="AF4803" s="1"/>
      <c r="AG4803" s="1"/>
      <c r="AH4803" s="1"/>
      <c r="AI4803" s="1"/>
      <c r="AJ4803" s="1"/>
      <c r="AK4803" s="1"/>
      <c r="AL4803" s="1"/>
      <c r="AM4803" s="1"/>
    </row>
    <row r="4804" spans="16:39" x14ac:dyDescent="0.25">
      <c r="P4804" s="49"/>
      <c r="Q4804" s="1"/>
      <c r="S4804" s="1"/>
      <c r="T4804" s="1"/>
      <c r="U4804" s="1"/>
      <c r="V4804" s="1"/>
      <c r="W4804" s="1"/>
      <c r="X4804" s="1"/>
      <c r="Y4804" s="1"/>
      <c r="AB4804" s="1"/>
      <c r="AC4804" s="1"/>
      <c r="AD4804" s="1"/>
      <c r="AE4804" s="1"/>
      <c r="AF4804" s="1"/>
      <c r="AG4804" s="1"/>
      <c r="AH4804" s="1"/>
      <c r="AI4804" s="1"/>
      <c r="AJ4804" s="1"/>
      <c r="AK4804" s="1"/>
      <c r="AL4804" s="1"/>
      <c r="AM4804" s="1"/>
    </row>
    <row r="4805" spans="16:39" x14ac:dyDescent="0.25">
      <c r="P4805" s="49"/>
      <c r="Q4805" s="1"/>
      <c r="S4805" s="1"/>
      <c r="T4805" s="1"/>
      <c r="U4805" s="1"/>
      <c r="V4805" s="1"/>
      <c r="W4805" s="1"/>
      <c r="X4805" s="1"/>
      <c r="Y4805" s="1"/>
      <c r="AB4805" s="1"/>
      <c r="AC4805" s="1"/>
      <c r="AD4805" s="1"/>
      <c r="AE4805" s="1"/>
      <c r="AF4805" s="1"/>
      <c r="AG4805" s="1"/>
      <c r="AH4805" s="1"/>
      <c r="AI4805" s="1"/>
      <c r="AJ4805" s="1"/>
      <c r="AK4805" s="1"/>
      <c r="AL4805" s="1"/>
      <c r="AM4805" s="1"/>
    </row>
    <row r="4806" spans="16:39" x14ac:dyDescent="0.25">
      <c r="P4806" s="49"/>
      <c r="Q4806" s="1"/>
      <c r="S4806" s="1"/>
      <c r="T4806" s="1"/>
      <c r="U4806" s="1"/>
      <c r="V4806" s="1"/>
      <c r="W4806" s="1"/>
      <c r="X4806" s="1"/>
      <c r="Y4806" s="1"/>
      <c r="AB4806" s="1"/>
      <c r="AC4806" s="1"/>
      <c r="AD4806" s="1"/>
      <c r="AE4806" s="1"/>
      <c r="AF4806" s="1"/>
      <c r="AG4806" s="1"/>
      <c r="AH4806" s="1"/>
      <c r="AI4806" s="1"/>
      <c r="AJ4806" s="1"/>
      <c r="AK4806" s="1"/>
      <c r="AL4806" s="1"/>
      <c r="AM4806" s="1"/>
    </row>
    <row r="4807" spans="16:39" x14ac:dyDescent="0.25">
      <c r="P4807" s="49"/>
      <c r="Q4807" s="1"/>
      <c r="S4807" s="1"/>
      <c r="T4807" s="1"/>
      <c r="U4807" s="1"/>
      <c r="V4807" s="1"/>
      <c r="W4807" s="1"/>
      <c r="X4807" s="1"/>
      <c r="Y4807" s="1"/>
      <c r="AB4807" s="1"/>
      <c r="AC4807" s="1"/>
      <c r="AD4807" s="1"/>
      <c r="AE4807" s="1"/>
      <c r="AF4807" s="1"/>
      <c r="AG4807" s="1"/>
      <c r="AH4807" s="1"/>
      <c r="AI4807" s="1"/>
      <c r="AJ4807" s="1"/>
      <c r="AK4807" s="1"/>
      <c r="AL4807" s="1"/>
      <c r="AM4807" s="1"/>
    </row>
    <row r="4808" spans="16:39" x14ac:dyDescent="0.25">
      <c r="P4808" s="49"/>
      <c r="Q4808" s="1"/>
      <c r="S4808" s="1"/>
      <c r="T4808" s="1"/>
      <c r="U4808" s="1"/>
      <c r="V4808" s="1"/>
      <c r="W4808" s="1"/>
      <c r="X4808" s="1"/>
      <c r="Y4808" s="1"/>
      <c r="AB4808" s="1"/>
      <c r="AC4808" s="1"/>
      <c r="AD4808" s="1"/>
      <c r="AE4808" s="1"/>
      <c r="AF4808" s="1"/>
      <c r="AG4808" s="1"/>
      <c r="AH4808" s="1"/>
      <c r="AI4808" s="1"/>
      <c r="AJ4808" s="1"/>
      <c r="AK4808" s="1"/>
      <c r="AL4808" s="1"/>
      <c r="AM4808" s="1"/>
    </row>
    <row r="4809" spans="16:39" x14ac:dyDescent="0.25">
      <c r="P4809" s="49"/>
      <c r="Q4809" s="1"/>
      <c r="S4809" s="1"/>
      <c r="T4809" s="1"/>
      <c r="U4809" s="1"/>
      <c r="V4809" s="1"/>
      <c r="W4809" s="1"/>
      <c r="X4809" s="1"/>
      <c r="Y4809" s="1"/>
      <c r="AB4809" s="1"/>
      <c r="AC4809" s="1"/>
      <c r="AD4809" s="1"/>
      <c r="AE4809" s="1"/>
      <c r="AF4809" s="1"/>
      <c r="AG4809" s="1"/>
      <c r="AH4809" s="1"/>
      <c r="AI4809" s="1"/>
      <c r="AJ4809" s="1"/>
      <c r="AK4809" s="1"/>
      <c r="AL4809" s="1"/>
      <c r="AM4809" s="1"/>
    </row>
    <row r="4810" spans="16:39" x14ac:dyDescent="0.25">
      <c r="P4810" s="49"/>
      <c r="Q4810" s="1"/>
      <c r="S4810" s="1"/>
      <c r="T4810" s="1"/>
      <c r="U4810" s="1"/>
      <c r="V4810" s="1"/>
      <c r="W4810" s="1"/>
      <c r="X4810" s="1"/>
      <c r="Y4810" s="1"/>
      <c r="AB4810" s="1"/>
      <c r="AC4810" s="1"/>
      <c r="AD4810" s="1"/>
      <c r="AE4810" s="1"/>
      <c r="AF4810" s="1"/>
      <c r="AG4810" s="1"/>
      <c r="AH4810" s="1"/>
      <c r="AI4810" s="1"/>
      <c r="AJ4810" s="1"/>
      <c r="AK4810" s="1"/>
      <c r="AL4810" s="1"/>
      <c r="AM4810" s="1"/>
    </row>
    <row r="4811" spans="16:39" x14ac:dyDescent="0.25">
      <c r="P4811" s="49"/>
      <c r="Q4811" s="1"/>
      <c r="S4811" s="1"/>
      <c r="T4811" s="1"/>
      <c r="U4811" s="1"/>
      <c r="V4811" s="1"/>
      <c r="W4811" s="1"/>
      <c r="X4811" s="1"/>
      <c r="Y4811" s="1"/>
      <c r="AB4811" s="1"/>
      <c r="AC4811" s="1"/>
      <c r="AD4811" s="1"/>
      <c r="AE4811" s="1"/>
      <c r="AF4811" s="1"/>
      <c r="AG4811" s="1"/>
      <c r="AH4811" s="1"/>
      <c r="AI4811" s="1"/>
      <c r="AJ4811" s="1"/>
      <c r="AK4811" s="1"/>
      <c r="AL4811" s="1"/>
      <c r="AM4811" s="1"/>
    </row>
    <row r="4812" spans="16:39" x14ac:dyDescent="0.25">
      <c r="P4812" s="49"/>
      <c r="Q4812" s="1"/>
      <c r="S4812" s="1"/>
      <c r="T4812" s="1"/>
      <c r="U4812" s="1"/>
      <c r="V4812" s="1"/>
      <c r="W4812" s="1"/>
      <c r="X4812" s="1"/>
      <c r="Y4812" s="1"/>
      <c r="AB4812" s="1"/>
      <c r="AC4812" s="1"/>
      <c r="AD4812" s="1"/>
      <c r="AE4812" s="1"/>
      <c r="AF4812" s="1"/>
      <c r="AG4812" s="1"/>
      <c r="AH4812" s="1"/>
      <c r="AI4812" s="1"/>
      <c r="AJ4812" s="1"/>
      <c r="AK4812" s="1"/>
      <c r="AL4812" s="1"/>
      <c r="AM4812" s="1"/>
    </row>
    <row r="4813" spans="16:39" x14ac:dyDescent="0.25">
      <c r="P4813" s="49"/>
      <c r="Q4813" s="1"/>
      <c r="S4813" s="1"/>
      <c r="T4813" s="1"/>
      <c r="U4813" s="1"/>
      <c r="V4813" s="1"/>
      <c r="W4813" s="1"/>
      <c r="X4813" s="1"/>
      <c r="Y4813" s="1"/>
      <c r="AB4813" s="1"/>
      <c r="AC4813" s="1"/>
      <c r="AD4813" s="1"/>
      <c r="AE4813" s="1"/>
      <c r="AF4813" s="1"/>
      <c r="AG4813" s="1"/>
      <c r="AH4813" s="1"/>
      <c r="AI4813" s="1"/>
      <c r="AJ4813" s="1"/>
      <c r="AK4813" s="1"/>
      <c r="AL4813" s="1"/>
      <c r="AM4813" s="1"/>
    </row>
    <row r="4814" spans="16:39" x14ac:dyDescent="0.25">
      <c r="P4814" s="49"/>
      <c r="Q4814" s="1"/>
      <c r="S4814" s="1"/>
      <c r="T4814" s="1"/>
      <c r="U4814" s="1"/>
      <c r="V4814" s="1"/>
      <c r="W4814" s="1"/>
      <c r="X4814" s="1"/>
      <c r="Y4814" s="1"/>
      <c r="AB4814" s="1"/>
      <c r="AC4814" s="1"/>
      <c r="AD4814" s="1"/>
      <c r="AE4814" s="1"/>
      <c r="AF4814" s="1"/>
      <c r="AG4814" s="1"/>
      <c r="AH4814" s="1"/>
      <c r="AI4814" s="1"/>
      <c r="AJ4814" s="1"/>
      <c r="AK4814" s="1"/>
      <c r="AL4814" s="1"/>
      <c r="AM4814" s="1"/>
    </row>
    <row r="4815" spans="16:39" x14ac:dyDescent="0.25">
      <c r="P4815" s="49"/>
      <c r="Q4815" s="1"/>
      <c r="S4815" s="1"/>
      <c r="T4815" s="1"/>
      <c r="U4815" s="1"/>
      <c r="V4815" s="1"/>
      <c r="W4815" s="1"/>
      <c r="X4815" s="1"/>
      <c r="Y4815" s="1"/>
      <c r="AB4815" s="1"/>
      <c r="AC4815" s="1"/>
      <c r="AD4815" s="1"/>
      <c r="AE4815" s="1"/>
      <c r="AF4815" s="1"/>
      <c r="AG4815" s="1"/>
      <c r="AH4815" s="1"/>
      <c r="AI4815" s="1"/>
      <c r="AJ4815" s="1"/>
      <c r="AK4815" s="1"/>
      <c r="AL4815" s="1"/>
      <c r="AM4815" s="1"/>
    </row>
    <row r="4816" spans="16:39" x14ac:dyDescent="0.25">
      <c r="P4816" s="49"/>
      <c r="Q4816" s="1"/>
      <c r="S4816" s="1"/>
      <c r="T4816" s="1"/>
      <c r="U4816" s="1"/>
      <c r="V4816" s="1"/>
      <c r="W4816" s="1"/>
      <c r="X4816" s="1"/>
      <c r="Y4816" s="1"/>
      <c r="AB4816" s="1"/>
      <c r="AC4816" s="1"/>
      <c r="AD4816" s="1"/>
      <c r="AE4816" s="1"/>
      <c r="AF4816" s="1"/>
      <c r="AG4816" s="1"/>
      <c r="AH4816" s="1"/>
      <c r="AI4816" s="1"/>
      <c r="AJ4816" s="1"/>
      <c r="AK4816" s="1"/>
      <c r="AL4816" s="1"/>
      <c r="AM4816" s="1"/>
    </row>
    <row r="4817" spans="16:39" x14ac:dyDescent="0.25">
      <c r="P4817" s="49"/>
      <c r="Q4817" s="1"/>
      <c r="S4817" s="1"/>
      <c r="T4817" s="1"/>
      <c r="U4817" s="1"/>
      <c r="V4817" s="1"/>
      <c r="W4817" s="1"/>
      <c r="X4817" s="1"/>
      <c r="Y4817" s="1"/>
      <c r="AB4817" s="1"/>
      <c r="AC4817" s="1"/>
      <c r="AD4817" s="1"/>
      <c r="AE4817" s="1"/>
      <c r="AF4817" s="1"/>
      <c r="AG4817" s="1"/>
      <c r="AH4817" s="1"/>
      <c r="AI4817" s="1"/>
      <c r="AJ4817" s="1"/>
      <c r="AK4817" s="1"/>
      <c r="AL4817" s="1"/>
      <c r="AM4817" s="1"/>
    </row>
    <row r="4818" spans="16:39" x14ac:dyDescent="0.25">
      <c r="P4818" s="49"/>
      <c r="Q4818" s="1"/>
      <c r="S4818" s="1"/>
      <c r="T4818" s="1"/>
      <c r="U4818" s="1"/>
      <c r="V4818" s="1"/>
      <c r="W4818" s="1"/>
      <c r="X4818" s="1"/>
      <c r="Y4818" s="1"/>
      <c r="AB4818" s="1"/>
      <c r="AC4818" s="1"/>
      <c r="AD4818" s="1"/>
      <c r="AE4818" s="1"/>
      <c r="AF4818" s="1"/>
      <c r="AG4818" s="1"/>
      <c r="AH4818" s="1"/>
      <c r="AI4818" s="1"/>
      <c r="AJ4818" s="1"/>
      <c r="AK4818" s="1"/>
      <c r="AL4818" s="1"/>
      <c r="AM4818" s="1"/>
    </row>
    <row r="4819" spans="16:39" x14ac:dyDescent="0.25">
      <c r="P4819" s="49"/>
      <c r="Q4819" s="1"/>
      <c r="S4819" s="1"/>
      <c r="T4819" s="1"/>
      <c r="U4819" s="1"/>
      <c r="V4819" s="1"/>
      <c r="W4819" s="1"/>
      <c r="X4819" s="1"/>
      <c r="Y4819" s="1"/>
      <c r="AB4819" s="1"/>
      <c r="AC4819" s="1"/>
      <c r="AD4819" s="1"/>
      <c r="AE4819" s="1"/>
      <c r="AF4819" s="1"/>
      <c r="AG4819" s="1"/>
      <c r="AH4819" s="1"/>
      <c r="AI4819" s="1"/>
      <c r="AJ4819" s="1"/>
      <c r="AK4819" s="1"/>
      <c r="AL4819" s="1"/>
      <c r="AM4819" s="1"/>
    </row>
    <row r="4820" spans="16:39" x14ac:dyDescent="0.25">
      <c r="P4820" s="49"/>
      <c r="Q4820" s="1"/>
      <c r="S4820" s="1"/>
      <c r="T4820" s="1"/>
      <c r="U4820" s="1"/>
      <c r="V4820" s="1"/>
      <c r="W4820" s="1"/>
      <c r="X4820" s="1"/>
      <c r="Y4820" s="1"/>
      <c r="AB4820" s="1"/>
      <c r="AC4820" s="1"/>
      <c r="AD4820" s="1"/>
      <c r="AE4820" s="1"/>
      <c r="AF4820" s="1"/>
      <c r="AG4820" s="1"/>
      <c r="AH4820" s="1"/>
      <c r="AI4820" s="1"/>
      <c r="AJ4820" s="1"/>
      <c r="AK4820" s="1"/>
      <c r="AL4820" s="1"/>
      <c r="AM4820" s="1"/>
    </row>
    <row r="4821" spans="16:39" x14ac:dyDescent="0.25">
      <c r="P4821" s="49"/>
      <c r="Q4821" s="1"/>
      <c r="S4821" s="1"/>
      <c r="T4821" s="1"/>
      <c r="U4821" s="1"/>
      <c r="V4821" s="1"/>
      <c r="W4821" s="1"/>
      <c r="X4821" s="1"/>
      <c r="Y4821" s="1"/>
      <c r="AB4821" s="1"/>
      <c r="AC4821" s="1"/>
      <c r="AD4821" s="1"/>
      <c r="AE4821" s="1"/>
      <c r="AF4821" s="1"/>
      <c r="AG4821" s="1"/>
      <c r="AH4821" s="1"/>
      <c r="AI4821" s="1"/>
      <c r="AJ4821" s="1"/>
      <c r="AK4821" s="1"/>
      <c r="AL4821" s="1"/>
      <c r="AM4821" s="1"/>
    </row>
    <row r="4822" spans="16:39" x14ac:dyDescent="0.25">
      <c r="P4822" s="49"/>
      <c r="Q4822" s="1"/>
      <c r="S4822" s="1"/>
      <c r="T4822" s="1"/>
      <c r="U4822" s="1"/>
      <c r="V4822" s="1"/>
      <c r="W4822" s="1"/>
      <c r="X4822" s="1"/>
      <c r="Y4822" s="1"/>
      <c r="AB4822" s="1"/>
      <c r="AC4822" s="1"/>
      <c r="AD4822" s="1"/>
      <c r="AE4822" s="1"/>
      <c r="AF4822" s="1"/>
      <c r="AG4822" s="1"/>
      <c r="AH4822" s="1"/>
      <c r="AI4822" s="1"/>
      <c r="AJ4822" s="1"/>
      <c r="AK4822" s="1"/>
      <c r="AL4822" s="1"/>
      <c r="AM4822" s="1"/>
    </row>
    <row r="4823" spans="16:39" x14ac:dyDescent="0.25">
      <c r="P4823" s="49"/>
      <c r="Q4823" s="1"/>
      <c r="S4823" s="1"/>
      <c r="T4823" s="1"/>
      <c r="U4823" s="1"/>
      <c r="V4823" s="1"/>
      <c r="W4823" s="1"/>
      <c r="X4823" s="1"/>
      <c r="Y4823" s="1"/>
      <c r="AB4823" s="1"/>
      <c r="AC4823" s="1"/>
      <c r="AD4823" s="1"/>
      <c r="AE4823" s="1"/>
      <c r="AF4823" s="1"/>
      <c r="AG4823" s="1"/>
      <c r="AH4823" s="1"/>
      <c r="AI4823" s="1"/>
      <c r="AJ4823" s="1"/>
      <c r="AK4823" s="1"/>
      <c r="AL4823" s="1"/>
      <c r="AM4823" s="1"/>
    </row>
    <row r="4824" spans="16:39" x14ac:dyDescent="0.25">
      <c r="P4824" s="49"/>
      <c r="Q4824" s="1"/>
      <c r="S4824" s="1"/>
      <c r="T4824" s="1"/>
      <c r="U4824" s="1"/>
      <c r="V4824" s="1"/>
      <c r="W4824" s="1"/>
      <c r="X4824" s="1"/>
      <c r="Y4824" s="1"/>
      <c r="AB4824" s="1"/>
      <c r="AC4824" s="1"/>
      <c r="AD4824" s="1"/>
      <c r="AE4824" s="1"/>
      <c r="AF4824" s="1"/>
      <c r="AG4824" s="1"/>
      <c r="AH4824" s="1"/>
      <c r="AI4824" s="1"/>
      <c r="AJ4824" s="1"/>
      <c r="AK4824" s="1"/>
      <c r="AL4824" s="1"/>
      <c r="AM4824" s="1"/>
    </row>
    <row r="4825" spans="16:39" x14ac:dyDescent="0.25">
      <c r="P4825" s="49"/>
      <c r="Q4825" s="1"/>
      <c r="S4825" s="1"/>
      <c r="T4825" s="1"/>
      <c r="U4825" s="1"/>
      <c r="V4825" s="1"/>
      <c r="W4825" s="1"/>
      <c r="X4825" s="1"/>
      <c r="Y4825" s="1"/>
      <c r="AB4825" s="1"/>
      <c r="AC4825" s="1"/>
      <c r="AD4825" s="1"/>
      <c r="AE4825" s="1"/>
      <c r="AF4825" s="1"/>
      <c r="AG4825" s="1"/>
      <c r="AH4825" s="1"/>
      <c r="AI4825" s="1"/>
      <c r="AJ4825" s="1"/>
      <c r="AK4825" s="1"/>
      <c r="AL4825" s="1"/>
      <c r="AM4825" s="1"/>
    </row>
    <row r="4826" spans="16:39" x14ac:dyDescent="0.25">
      <c r="P4826" s="49"/>
      <c r="Q4826" s="1"/>
      <c r="S4826" s="1"/>
      <c r="T4826" s="1"/>
      <c r="U4826" s="1"/>
      <c r="V4826" s="1"/>
      <c r="W4826" s="1"/>
      <c r="X4826" s="1"/>
      <c r="Y4826" s="1"/>
      <c r="AB4826" s="1"/>
      <c r="AC4826" s="1"/>
      <c r="AD4826" s="1"/>
      <c r="AE4826" s="1"/>
      <c r="AF4826" s="1"/>
      <c r="AG4826" s="1"/>
      <c r="AH4826" s="1"/>
      <c r="AI4826" s="1"/>
      <c r="AJ4826" s="1"/>
      <c r="AK4826" s="1"/>
      <c r="AL4826" s="1"/>
      <c r="AM4826" s="1"/>
    </row>
    <row r="4827" spans="16:39" x14ac:dyDescent="0.25">
      <c r="P4827" s="49"/>
      <c r="Q4827" s="1"/>
      <c r="S4827" s="1"/>
      <c r="T4827" s="1"/>
      <c r="U4827" s="1"/>
      <c r="V4827" s="1"/>
      <c r="W4827" s="1"/>
      <c r="X4827" s="1"/>
      <c r="Y4827" s="1"/>
      <c r="AB4827" s="1"/>
      <c r="AC4827" s="1"/>
      <c r="AD4827" s="1"/>
      <c r="AE4827" s="1"/>
      <c r="AF4827" s="1"/>
      <c r="AG4827" s="1"/>
      <c r="AH4827" s="1"/>
      <c r="AI4827" s="1"/>
      <c r="AJ4827" s="1"/>
      <c r="AK4827" s="1"/>
      <c r="AL4827" s="1"/>
      <c r="AM4827" s="1"/>
    </row>
    <row r="4828" spans="16:39" x14ac:dyDescent="0.25">
      <c r="P4828" s="49"/>
      <c r="Q4828" s="1"/>
      <c r="S4828" s="1"/>
      <c r="T4828" s="1"/>
      <c r="U4828" s="1"/>
      <c r="V4828" s="1"/>
      <c r="W4828" s="1"/>
      <c r="X4828" s="1"/>
      <c r="Y4828" s="1"/>
      <c r="AB4828" s="1"/>
      <c r="AC4828" s="1"/>
      <c r="AD4828" s="1"/>
      <c r="AE4828" s="1"/>
      <c r="AF4828" s="1"/>
      <c r="AG4828" s="1"/>
      <c r="AH4828" s="1"/>
      <c r="AI4828" s="1"/>
      <c r="AJ4828" s="1"/>
      <c r="AK4828" s="1"/>
      <c r="AL4828" s="1"/>
      <c r="AM4828" s="1"/>
    </row>
    <row r="4829" spans="16:39" x14ac:dyDescent="0.25">
      <c r="P4829" s="49"/>
      <c r="Q4829" s="1"/>
      <c r="S4829" s="1"/>
      <c r="T4829" s="1"/>
      <c r="U4829" s="1"/>
      <c r="V4829" s="1"/>
      <c r="W4829" s="1"/>
      <c r="X4829" s="1"/>
      <c r="Y4829" s="1"/>
      <c r="AB4829" s="1"/>
      <c r="AC4829" s="1"/>
      <c r="AD4829" s="1"/>
      <c r="AE4829" s="1"/>
      <c r="AF4829" s="1"/>
      <c r="AG4829" s="1"/>
      <c r="AH4829" s="1"/>
      <c r="AI4829" s="1"/>
      <c r="AJ4829" s="1"/>
      <c r="AK4829" s="1"/>
      <c r="AL4829" s="1"/>
      <c r="AM4829" s="1"/>
    </row>
    <row r="4830" spans="16:39" x14ac:dyDescent="0.25">
      <c r="P4830" s="49"/>
      <c r="Q4830" s="1"/>
      <c r="S4830" s="1"/>
      <c r="T4830" s="1"/>
      <c r="U4830" s="1"/>
      <c r="V4830" s="1"/>
      <c r="W4830" s="1"/>
      <c r="X4830" s="1"/>
      <c r="Y4830" s="1"/>
      <c r="AB4830" s="1"/>
      <c r="AC4830" s="1"/>
      <c r="AD4830" s="1"/>
      <c r="AE4830" s="1"/>
      <c r="AF4830" s="1"/>
      <c r="AG4830" s="1"/>
      <c r="AH4830" s="1"/>
      <c r="AI4830" s="1"/>
      <c r="AJ4830" s="1"/>
      <c r="AK4830" s="1"/>
      <c r="AL4830" s="1"/>
      <c r="AM4830" s="1"/>
    </row>
    <row r="4831" spans="16:39" x14ac:dyDescent="0.25">
      <c r="P4831" s="49"/>
      <c r="Q4831" s="1"/>
      <c r="S4831" s="1"/>
      <c r="T4831" s="1"/>
      <c r="U4831" s="1"/>
      <c r="V4831" s="1"/>
      <c r="W4831" s="1"/>
      <c r="X4831" s="1"/>
      <c r="Y4831" s="1"/>
      <c r="AB4831" s="1"/>
      <c r="AC4831" s="1"/>
      <c r="AD4831" s="1"/>
      <c r="AE4831" s="1"/>
      <c r="AF4831" s="1"/>
      <c r="AG4831" s="1"/>
      <c r="AH4831" s="1"/>
      <c r="AI4831" s="1"/>
      <c r="AJ4831" s="1"/>
      <c r="AK4831" s="1"/>
      <c r="AL4831" s="1"/>
      <c r="AM4831" s="1"/>
    </row>
    <row r="4832" spans="16:39" x14ac:dyDescent="0.25">
      <c r="P4832" s="49"/>
      <c r="Q4832" s="1"/>
      <c r="S4832" s="1"/>
      <c r="T4832" s="1"/>
      <c r="U4832" s="1"/>
      <c r="V4832" s="1"/>
      <c r="W4832" s="1"/>
      <c r="X4832" s="1"/>
      <c r="Y4832" s="1"/>
      <c r="AB4832" s="1"/>
      <c r="AC4832" s="1"/>
      <c r="AD4832" s="1"/>
      <c r="AE4832" s="1"/>
      <c r="AF4832" s="1"/>
      <c r="AG4832" s="1"/>
      <c r="AH4832" s="1"/>
      <c r="AI4832" s="1"/>
      <c r="AJ4832" s="1"/>
      <c r="AK4832" s="1"/>
      <c r="AL4832" s="1"/>
      <c r="AM4832" s="1"/>
    </row>
    <row r="4833" spans="16:39" x14ac:dyDescent="0.25">
      <c r="P4833" s="49"/>
      <c r="Q4833" s="1"/>
      <c r="S4833" s="1"/>
      <c r="T4833" s="1"/>
      <c r="U4833" s="1"/>
      <c r="V4833" s="1"/>
      <c r="W4833" s="1"/>
      <c r="X4833" s="1"/>
      <c r="Y4833" s="1"/>
      <c r="AB4833" s="1"/>
      <c r="AC4833" s="1"/>
      <c r="AD4833" s="1"/>
      <c r="AE4833" s="1"/>
      <c r="AF4833" s="1"/>
      <c r="AG4833" s="1"/>
      <c r="AH4833" s="1"/>
      <c r="AI4833" s="1"/>
      <c r="AJ4833" s="1"/>
      <c r="AK4833" s="1"/>
      <c r="AL4833" s="1"/>
      <c r="AM4833" s="1"/>
    </row>
    <row r="4834" spans="16:39" x14ac:dyDescent="0.25">
      <c r="P4834" s="49"/>
      <c r="Q4834" s="1"/>
      <c r="S4834" s="1"/>
      <c r="T4834" s="1"/>
      <c r="U4834" s="1"/>
      <c r="V4834" s="1"/>
      <c r="W4834" s="1"/>
      <c r="X4834" s="1"/>
      <c r="Y4834" s="1"/>
      <c r="AB4834" s="1"/>
      <c r="AC4834" s="1"/>
      <c r="AD4834" s="1"/>
      <c r="AE4834" s="1"/>
      <c r="AF4834" s="1"/>
      <c r="AG4834" s="1"/>
      <c r="AH4834" s="1"/>
      <c r="AI4834" s="1"/>
      <c r="AJ4834" s="1"/>
      <c r="AK4834" s="1"/>
      <c r="AL4834" s="1"/>
      <c r="AM4834" s="1"/>
    </row>
    <row r="4835" spans="16:39" x14ac:dyDescent="0.25">
      <c r="P4835" s="49"/>
      <c r="Q4835" s="1"/>
      <c r="S4835" s="1"/>
      <c r="T4835" s="1"/>
      <c r="U4835" s="1"/>
      <c r="V4835" s="1"/>
      <c r="W4835" s="1"/>
      <c r="X4835" s="1"/>
      <c r="Y4835" s="1"/>
      <c r="AB4835" s="1"/>
      <c r="AC4835" s="1"/>
      <c r="AD4835" s="1"/>
      <c r="AE4835" s="1"/>
      <c r="AF4835" s="1"/>
      <c r="AG4835" s="1"/>
      <c r="AH4835" s="1"/>
      <c r="AI4835" s="1"/>
      <c r="AJ4835" s="1"/>
      <c r="AK4835" s="1"/>
      <c r="AL4835" s="1"/>
      <c r="AM4835" s="1"/>
    </row>
    <row r="4836" spans="16:39" x14ac:dyDescent="0.25">
      <c r="P4836" s="49"/>
      <c r="Q4836" s="1"/>
      <c r="S4836" s="1"/>
      <c r="T4836" s="1"/>
      <c r="U4836" s="1"/>
      <c r="V4836" s="1"/>
      <c r="W4836" s="1"/>
      <c r="X4836" s="1"/>
      <c r="Y4836" s="1"/>
      <c r="AB4836" s="1"/>
      <c r="AC4836" s="1"/>
      <c r="AD4836" s="1"/>
      <c r="AE4836" s="1"/>
      <c r="AF4836" s="1"/>
      <c r="AG4836" s="1"/>
      <c r="AH4836" s="1"/>
      <c r="AI4836" s="1"/>
      <c r="AJ4836" s="1"/>
      <c r="AK4836" s="1"/>
      <c r="AL4836" s="1"/>
      <c r="AM4836" s="1"/>
    </row>
    <row r="4837" spans="16:39" x14ac:dyDescent="0.25">
      <c r="P4837" s="49"/>
      <c r="Q4837" s="1"/>
      <c r="S4837" s="1"/>
      <c r="T4837" s="1"/>
      <c r="U4837" s="1"/>
      <c r="V4837" s="1"/>
      <c r="W4837" s="1"/>
      <c r="X4837" s="1"/>
      <c r="Y4837" s="1"/>
      <c r="AB4837" s="1"/>
      <c r="AC4837" s="1"/>
      <c r="AD4837" s="1"/>
      <c r="AE4837" s="1"/>
      <c r="AF4837" s="1"/>
      <c r="AG4837" s="1"/>
      <c r="AH4837" s="1"/>
      <c r="AI4837" s="1"/>
      <c r="AJ4837" s="1"/>
      <c r="AK4837" s="1"/>
      <c r="AL4837" s="1"/>
      <c r="AM4837" s="1"/>
    </row>
    <row r="4838" spans="16:39" x14ac:dyDescent="0.25">
      <c r="P4838" s="49"/>
      <c r="Q4838" s="1"/>
      <c r="S4838" s="1"/>
      <c r="T4838" s="1"/>
      <c r="U4838" s="1"/>
      <c r="V4838" s="1"/>
      <c r="W4838" s="1"/>
      <c r="X4838" s="1"/>
      <c r="Y4838" s="1"/>
      <c r="AB4838" s="1"/>
      <c r="AC4838" s="1"/>
      <c r="AD4838" s="1"/>
      <c r="AE4838" s="1"/>
      <c r="AF4838" s="1"/>
      <c r="AG4838" s="1"/>
      <c r="AH4838" s="1"/>
      <c r="AI4838" s="1"/>
      <c r="AJ4838" s="1"/>
      <c r="AK4838" s="1"/>
      <c r="AL4838" s="1"/>
      <c r="AM4838" s="1"/>
    </row>
    <row r="4839" spans="16:39" x14ac:dyDescent="0.25">
      <c r="P4839" s="49"/>
      <c r="Q4839" s="1"/>
      <c r="S4839" s="1"/>
      <c r="T4839" s="1"/>
      <c r="U4839" s="1"/>
      <c r="V4839" s="1"/>
      <c r="W4839" s="1"/>
      <c r="X4839" s="1"/>
      <c r="Y4839" s="1"/>
      <c r="AB4839" s="1"/>
      <c r="AC4839" s="1"/>
      <c r="AD4839" s="1"/>
      <c r="AE4839" s="1"/>
      <c r="AF4839" s="1"/>
      <c r="AG4839" s="1"/>
      <c r="AH4839" s="1"/>
      <c r="AI4839" s="1"/>
      <c r="AJ4839" s="1"/>
      <c r="AK4839" s="1"/>
      <c r="AL4839" s="1"/>
      <c r="AM4839" s="1"/>
    </row>
    <row r="4840" spans="16:39" x14ac:dyDescent="0.25">
      <c r="P4840" s="49"/>
      <c r="Q4840" s="1"/>
      <c r="S4840" s="1"/>
      <c r="T4840" s="1"/>
      <c r="U4840" s="1"/>
      <c r="V4840" s="1"/>
      <c r="W4840" s="1"/>
      <c r="X4840" s="1"/>
      <c r="Y4840" s="1"/>
      <c r="AB4840" s="1"/>
      <c r="AC4840" s="1"/>
      <c r="AD4840" s="1"/>
      <c r="AE4840" s="1"/>
      <c r="AF4840" s="1"/>
      <c r="AG4840" s="1"/>
      <c r="AH4840" s="1"/>
      <c r="AI4840" s="1"/>
      <c r="AJ4840" s="1"/>
      <c r="AK4840" s="1"/>
      <c r="AL4840" s="1"/>
      <c r="AM4840" s="1"/>
    </row>
    <row r="4841" spans="16:39" x14ac:dyDescent="0.25">
      <c r="P4841" s="49"/>
      <c r="Q4841" s="1"/>
      <c r="S4841" s="1"/>
      <c r="T4841" s="1"/>
      <c r="U4841" s="1"/>
      <c r="V4841" s="1"/>
      <c r="W4841" s="1"/>
      <c r="X4841" s="1"/>
      <c r="Y4841" s="1"/>
      <c r="AB4841" s="1"/>
      <c r="AC4841" s="1"/>
      <c r="AD4841" s="1"/>
      <c r="AE4841" s="1"/>
      <c r="AF4841" s="1"/>
      <c r="AG4841" s="1"/>
      <c r="AH4841" s="1"/>
      <c r="AI4841" s="1"/>
      <c r="AJ4841" s="1"/>
      <c r="AK4841" s="1"/>
      <c r="AL4841" s="1"/>
      <c r="AM4841" s="1"/>
    </row>
    <row r="4842" spans="16:39" x14ac:dyDescent="0.25">
      <c r="P4842" s="49"/>
      <c r="Q4842" s="1"/>
      <c r="S4842" s="1"/>
      <c r="T4842" s="1"/>
      <c r="U4842" s="1"/>
      <c r="V4842" s="1"/>
      <c r="W4842" s="1"/>
      <c r="X4842" s="1"/>
      <c r="Y4842" s="1"/>
      <c r="AB4842" s="1"/>
      <c r="AC4842" s="1"/>
      <c r="AD4842" s="1"/>
      <c r="AE4842" s="1"/>
      <c r="AF4842" s="1"/>
      <c r="AG4842" s="1"/>
      <c r="AH4842" s="1"/>
      <c r="AI4842" s="1"/>
      <c r="AJ4842" s="1"/>
      <c r="AK4842" s="1"/>
      <c r="AL4842" s="1"/>
      <c r="AM4842" s="1"/>
    </row>
    <row r="4843" spans="16:39" x14ac:dyDescent="0.25">
      <c r="P4843" s="49"/>
      <c r="Q4843" s="1"/>
      <c r="S4843" s="1"/>
      <c r="T4843" s="1"/>
      <c r="U4843" s="1"/>
      <c r="V4843" s="1"/>
      <c r="W4843" s="1"/>
      <c r="X4843" s="1"/>
      <c r="Y4843" s="1"/>
      <c r="AB4843" s="1"/>
      <c r="AC4843" s="1"/>
      <c r="AD4843" s="1"/>
      <c r="AE4843" s="1"/>
      <c r="AF4843" s="1"/>
      <c r="AG4843" s="1"/>
      <c r="AH4843" s="1"/>
      <c r="AI4843" s="1"/>
      <c r="AJ4843" s="1"/>
      <c r="AK4843" s="1"/>
      <c r="AL4843" s="1"/>
      <c r="AM4843" s="1"/>
    </row>
    <row r="4844" spans="16:39" x14ac:dyDescent="0.25">
      <c r="P4844" s="49"/>
      <c r="Q4844" s="1"/>
      <c r="S4844" s="1"/>
      <c r="T4844" s="1"/>
      <c r="U4844" s="1"/>
      <c r="V4844" s="1"/>
      <c r="W4844" s="1"/>
      <c r="X4844" s="1"/>
      <c r="Y4844" s="1"/>
      <c r="AB4844" s="1"/>
      <c r="AC4844" s="1"/>
      <c r="AD4844" s="1"/>
      <c r="AE4844" s="1"/>
      <c r="AF4844" s="1"/>
      <c r="AG4844" s="1"/>
      <c r="AH4844" s="1"/>
      <c r="AI4844" s="1"/>
      <c r="AJ4844" s="1"/>
      <c r="AK4844" s="1"/>
      <c r="AL4844" s="1"/>
      <c r="AM4844" s="1"/>
    </row>
    <row r="4845" spans="16:39" x14ac:dyDescent="0.25">
      <c r="P4845" s="49"/>
      <c r="Q4845" s="1"/>
      <c r="S4845" s="1"/>
      <c r="T4845" s="1"/>
      <c r="U4845" s="1"/>
      <c r="V4845" s="1"/>
      <c r="W4845" s="1"/>
      <c r="X4845" s="1"/>
      <c r="Y4845" s="1"/>
      <c r="AB4845" s="1"/>
      <c r="AC4845" s="1"/>
      <c r="AD4845" s="1"/>
      <c r="AE4845" s="1"/>
      <c r="AF4845" s="1"/>
      <c r="AG4845" s="1"/>
      <c r="AH4845" s="1"/>
      <c r="AI4845" s="1"/>
      <c r="AJ4845" s="1"/>
      <c r="AK4845" s="1"/>
      <c r="AL4845" s="1"/>
      <c r="AM4845" s="1"/>
    </row>
    <row r="4846" spans="16:39" x14ac:dyDescent="0.25">
      <c r="P4846" s="49"/>
      <c r="Q4846" s="1"/>
      <c r="S4846" s="1"/>
      <c r="T4846" s="1"/>
      <c r="U4846" s="1"/>
      <c r="V4846" s="1"/>
      <c r="W4846" s="1"/>
      <c r="X4846" s="1"/>
      <c r="Y4846" s="1"/>
      <c r="AB4846" s="1"/>
      <c r="AC4846" s="1"/>
      <c r="AD4846" s="1"/>
      <c r="AE4846" s="1"/>
      <c r="AF4846" s="1"/>
      <c r="AG4846" s="1"/>
      <c r="AH4846" s="1"/>
      <c r="AI4846" s="1"/>
      <c r="AJ4846" s="1"/>
      <c r="AK4846" s="1"/>
      <c r="AL4846" s="1"/>
      <c r="AM4846" s="1"/>
    </row>
    <row r="4847" spans="16:39" x14ac:dyDescent="0.25">
      <c r="P4847" s="49"/>
      <c r="Q4847" s="1"/>
      <c r="S4847" s="1"/>
      <c r="T4847" s="1"/>
      <c r="U4847" s="1"/>
      <c r="V4847" s="1"/>
      <c r="W4847" s="1"/>
      <c r="X4847" s="1"/>
      <c r="Y4847" s="1"/>
      <c r="AB4847" s="1"/>
      <c r="AC4847" s="1"/>
      <c r="AD4847" s="1"/>
      <c r="AE4847" s="1"/>
      <c r="AF4847" s="1"/>
      <c r="AG4847" s="1"/>
      <c r="AH4847" s="1"/>
      <c r="AI4847" s="1"/>
      <c r="AJ4847" s="1"/>
      <c r="AK4847" s="1"/>
      <c r="AL4847" s="1"/>
      <c r="AM4847" s="1"/>
    </row>
    <row r="4848" spans="16:39" x14ac:dyDescent="0.25">
      <c r="P4848" s="49"/>
      <c r="Q4848" s="1"/>
      <c r="S4848" s="1"/>
      <c r="T4848" s="1"/>
      <c r="U4848" s="1"/>
      <c r="V4848" s="1"/>
      <c r="W4848" s="1"/>
      <c r="X4848" s="1"/>
      <c r="Y4848" s="1"/>
      <c r="AB4848" s="1"/>
      <c r="AC4848" s="1"/>
      <c r="AD4848" s="1"/>
      <c r="AE4848" s="1"/>
      <c r="AF4848" s="1"/>
      <c r="AG4848" s="1"/>
      <c r="AH4848" s="1"/>
      <c r="AI4848" s="1"/>
      <c r="AJ4848" s="1"/>
      <c r="AK4848" s="1"/>
      <c r="AL4848" s="1"/>
      <c r="AM4848" s="1"/>
    </row>
    <row r="4849" spans="16:39" x14ac:dyDescent="0.25">
      <c r="P4849" s="49"/>
      <c r="Q4849" s="1"/>
      <c r="S4849" s="1"/>
      <c r="T4849" s="1"/>
      <c r="U4849" s="1"/>
      <c r="V4849" s="1"/>
      <c r="W4849" s="1"/>
      <c r="X4849" s="1"/>
      <c r="Y4849" s="1"/>
      <c r="AB4849" s="1"/>
      <c r="AC4849" s="1"/>
      <c r="AD4849" s="1"/>
      <c r="AE4849" s="1"/>
      <c r="AF4849" s="1"/>
      <c r="AG4849" s="1"/>
      <c r="AH4849" s="1"/>
      <c r="AI4849" s="1"/>
      <c r="AJ4849" s="1"/>
      <c r="AK4849" s="1"/>
      <c r="AL4849" s="1"/>
      <c r="AM4849" s="1"/>
    </row>
    <row r="4850" spans="16:39" x14ac:dyDescent="0.25">
      <c r="P4850" s="49"/>
      <c r="Q4850" s="1"/>
      <c r="S4850" s="1"/>
      <c r="T4850" s="1"/>
      <c r="U4850" s="1"/>
      <c r="V4850" s="1"/>
      <c r="W4850" s="1"/>
      <c r="X4850" s="1"/>
      <c r="Y4850" s="1"/>
      <c r="AB4850" s="1"/>
      <c r="AC4850" s="1"/>
      <c r="AD4850" s="1"/>
      <c r="AE4850" s="1"/>
      <c r="AF4850" s="1"/>
      <c r="AG4850" s="1"/>
      <c r="AH4850" s="1"/>
      <c r="AI4850" s="1"/>
      <c r="AJ4850" s="1"/>
      <c r="AK4850" s="1"/>
      <c r="AL4850" s="1"/>
      <c r="AM4850" s="1"/>
    </row>
    <row r="4851" spans="16:39" x14ac:dyDescent="0.25">
      <c r="P4851" s="49"/>
      <c r="Q4851" s="1"/>
      <c r="S4851" s="1"/>
      <c r="T4851" s="1"/>
      <c r="U4851" s="1"/>
      <c r="V4851" s="1"/>
      <c r="W4851" s="1"/>
      <c r="X4851" s="1"/>
      <c r="Y4851" s="1"/>
      <c r="AB4851" s="1"/>
      <c r="AC4851" s="1"/>
      <c r="AD4851" s="1"/>
      <c r="AE4851" s="1"/>
      <c r="AF4851" s="1"/>
      <c r="AG4851" s="1"/>
      <c r="AH4851" s="1"/>
      <c r="AI4851" s="1"/>
      <c r="AJ4851" s="1"/>
      <c r="AK4851" s="1"/>
      <c r="AL4851" s="1"/>
      <c r="AM4851" s="1"/>
    </row>
    <row r="4852" spans="16:39" x14ac:dyDescent="0.25">
      <c r="P4852" s="49"/>
      <c r="Q4852" s="1"/>
      <c r="S4852" s="1"/>
      <c r="T4852" s="1"/>
      <c r="U4852" s="1"/>
      <c r="V4852" s="1"/>
      <c r="W4852" s="1"/>
      <c r="X4852" s="1"/>
      <c r="Y4852" s="1"/>
      <c r="AB4852" s="1"/>
      <c r="AC4852" s="1"/>
      <c r="AD4852" s="1"/>
      <c r="AE4852" s="1"/>
      <c r="AF4852" s="1"/>
      <c r="AG4852" s="1"/>
      <c r="AH4852" s="1"/>
      <c r="AI4852" s="1"/>
      <c r="AJ4852" s="1"/>
      <c r="AK4852" s="1"/>
      <c r="AL4852" s="1"/>
      <c r="AM4852" s="1"/>
    </row>
    <row r="4853" spans="16:39" x14ac:dyDescent="0.25">
      <c r="P4853" s="49"/>
      <c r="Q4853" s="1"/>
      <c r="S4853" s="1"/>
      <c r="T4853" s="1"/>
      <c r="U4853" s="1"/>
      <c r="V4853" s="1"/>
      <c r="W4853" s="1"/>
      <c r="X4853" s="1"/>
      <c r="Y4853" s="1"/>
      <c r="AB4853" s="1"/>
      <c r="AC4853" s="1"/>
      <c r="AD4853" s="1"/>
      <c r="AE4853" s="1"/>
      <c r="AF4853" s="1"/>
      <c r="AG4853" s="1"/>
      <c r="AH4853" s="1"/>
      <c r="AI4853" s="1"/>
      <c r="AJ4853" s="1"/>
      <c r="AK4853" s="1"/>
      <c r="AL4853" s="1"/>
      <c r="AM4853" s="1"/>
    </row>
    <row r="4854" spans="16:39" x14ac:dyDescent="0.25">
      <c r="P4854" s="49"/>
      <c r="Q4854" s="1"/>
      <c r="S4854" s="1"/>
      <c r="T4854" s="1"/>
      <c r="U4854" s="1"/>
      <c r="V4854" s="1"/>
      <c r="W4854" s="1"/>
      <c r="X4854" s="1"/>
      <c r="Y4854" s="1"/>
      <c r="AB4854" s="1"/>
      <c r="AC4854" s="1"/>
      <c r="AD4854" s="1"/>
      <c r="AE4854" s="1"/>
      <c r="AF4854" s="1"/>
      <c r="AG4854" s="1"/>
      <c r="AH4854" s="1"/>
      <c r="AI4854" s="1"/>
      <c r="AJ4854" s="1"/>
      <c r="AK4854" s="1"/>
      <c r="AL4854" s="1"/>
      <c r="AM4854" s="1"/>
    </row>
    <row r="4855" spans="16:39" x14ac:dyDescent="0.25">
      <c r="P4855" s="49"/>
      <c r="Q4855" s="1"/>
      <c r="S4855" s="1"/>
      <c r="T4855" s="1"/>
      <c r="U4855" s="1"/>
      <c r="V4855" s="1"/>
      <c r="W4855" s="1"/>
      <c r="X4855" s="1"/>
      <c r="Y4855" s="1"/>
      <c r="AB4855" s="1"/>
      <c r="AC4855" s="1"/>
      <c r="AD4855" s="1"/>
      <c r="AE4855" s="1"/>
      <c r="AF4855" s="1"/>
      <c r="AG4855" s="1"/>
      <c r="AH4855" s="1"/>
      <c r="AI4855" s="1"/>
      <c r="AJ4855" s="1"/>
      <c r="AK4855" s="1"/>
      <c r="AL4855" s="1"/>
      <c r="AM4855" s="1"/>
    </row>
    <row r="4856" spans="16:39" x14ac:dyDescent="0.25">
      <c r="P4856" s="49"/>
      <c r="Q4856" s="1"/>
      <c r="S4856" s="1"/>
      <c r="T4856" s="1"/>
      <c r="U4856" s="1"/>
      <c r="V4856" s="1"/>
      <c r="W4856" s="1"/>
      <c r="X4856" s="1"/>
      <c r="Y4856" s="1"/>
      <c r="AB4856" s="1"/>
      <c r="AC4856" s="1"/>
      <c r="AD4856" s="1"/>
      <c r="AE4856" s="1"/>
      <c r="AF4856" s="1"/>
      <c r="AG4856" s="1"/>
      <c r="AH4856" s="1"/>
      <c r="AI4856" s="1"/>
      <c r="AJ4856" s="1"/>
      <c r="AK4856" s="1"/>
      <c r="AL4856" s="1"/>
      <c r="AM4856" s="1"/>
    </row>
    <row r="4857" spans="16:39" x14ac:dyDescent="0.25">
      <c r="P4857" s="49"/>
      <c r="Q4857" s="1"/>
      <c r="S4857" s="1"/>
      <c r="T4857" s="1"/>
      <c r="U4857" s="1"/>
      <c r="V4857" s="1"/>
      <c r="W4857" s="1"/>
      <c r="X4857" s="1"/>
      <c r="Y4857" s="1"/>
      <c r="AB4857" s="1"/>
      <c r="AC4857" s="1"/>
      <c r="AD4857" s="1"/>
      <c r="AE4857" s="1"/>
      <c r="AF4857" s="1"/>
      <c r="AG4857" s="1"/>
      <c r="AH4857" s="1"/>
      <c r="AI4857" s="1"/>
      <c r="AJ4857" s="1"/>
      <c r="AK4857" s="1"/>
      <c r="AL4857" s="1"/>
      <c r="AM4857" s="1"/>
    </row>
    <row r="4858" spans="16:39" x14ac:dyDescent="0.25">
      <c r="P4858" s="49"/>
      <c r="Q4858" s="1"/>
      <c r="S4858" s="1"/>
      <c r="T4858" s="1"/>
      <c r="U4858" s="1"/>
      <c r="V4858" s="1"/>
      <c r="W4858" s="1"/>
      <c r="X4858" s="1"/>
      <c r="Y4858" s="1"/>
      <c r="AB4858" s="1"/>
      <c r="AC4858" s="1"/>
      <c r="AD4858" s="1"/>
      <c r="AE4858" s="1"/>
      <c r="AF4858" s="1"/>
      <c r="AG4858" s="1"/>
      <c r="AH4858" s="1"/>
      <c r="AI4858" s="1"/>
      <c r="AJ4858" s="1"/>
      <c r="AK4858" s="1"/>
      <c r="AL4858" s="1"/>
      <c r="AM4858" s="1"/>
    </row>
    <row r="4859" spans="16:39" x14ac:dyDescent="0.25">
      <c r="P4859" s="49"/>
      <c r="Q4859" s="1"/>
      <c r="S4859" s="1"/>
      <c r="T4859" s="1"/>
      <c r="U4859" s="1"/>
      <c r="V4859" s="1"/>
      <c r="W4859" s="1"/>
      <c r="X4859" s="1"/>
      <c r="Y4859" s="1"/>
      <c r="AB4859" s="1"/>
      <c r="AC4859" s="1"/>
      <c r="AD4859" s="1"/>
      <c r="AE4859" s="1"/>
      <c r="AF4859" s="1"/>
      <c r="AG4859" s="1"/>
      <c r="AH4859" s="1"/>
      <c r="AI4859" s="1"/>
      <c r="AJ4859" s="1"/>
      <c r="AK4859" s="1"/>
      <c r="AL4859" s="1"/>
      <c r="AM4859" s="1"/>
    </row>
    <row r="4860" spans="16:39" x14ac:dyDescent="0.25">
      <c r="P4860" s="49"/>
      <c r="Q4860" s="1"/>
      <c r="S4860" s="1"/>
      <c r="T4860" s="1"/>
      <c r="U4860" s="1"/>
      <c r="V4860" s="1"/>
      <c r="W4860" s="1"/>
      <c r="X4860" s="1"/>
      <c r="Y4860" s="1"/>
      <c r="AB4860" s="1"/>
      <c r="AC4860" s="1"/>
      <c r="AD4860" s="1"/>
      <c r="AE4860" s="1"/>
      <c r="AF4860" s="1"/>
      <c r="AG4860" s="1"/>
      <c r="AH4860" s="1"/>
      <c r="AI4860" s="1"/>
      <c r="AJ4860" s="1"/>
      <c r="AK4860" s="1"/>
      <c r="AL4860" s="1"/>
      <c r="AM4860" s="1"/>
    </row>
    <row r="4861" spans="16:39" x14ac:dyDescent="0.25">
      <c r="P4861" s="49"/>
      <c r="Q4861" s="1"/>
      <c r="S4861" s="1"/>
      <c r="T4861" s="1"/>
      <c r="U4861" s="1"/>
      <c r="V4861" s="1"/>
      <c r="W4861" s="1"/>
      <c r="X4861" s="1"/>
      <c r="Y4861" s="1"/>
      <c r="AB4861" s="1"/>
      <c r="AC4861" s="1"/>
      <c r="AD4861" s="1"/>
      <c r="AE4861" s="1"/>
      <c r="AF4861" s="1"/>
      <c r="AG4861" s="1"/>
      <c r="AH4861" s="1"/>
      <c r="AI4861" s="1"/>
      <c r="AJ4861" s="1"/>
      <c r="AK4861" s="1"/>
      <c r="AL4861" s="1"/>
      <c r="AM4861" s="1"/>
    </row>
    <row r="4862" spans="16:39" x14ac:dyDescent="0.25">
      <c r="P4862" s="49"/>
      <c r="Q4862" s="1"/>
      <c r="S4862" s="1"/>
      <c r="T4862" s="1"/>
      <c r="U4862" s="1"/>
      <c r="V4862" s="1"/>
      <c r="W4862" s="1"/>
      <c r="X4862" s="1"/>
      <c r="Y4862" s="1"/>
      <c r="AB4862" s="1"/>
      <c r="AC4862" s="1"/>
      <c r="AD4862" s="1"/>
      <c r="AE4862" s="1"/>
      <c r="AF4862" s="1"/>
      <c r="AG4862" s="1"/>
      <c r="AH4862" s="1"/>
      <c r="AI4862" s="1"/>
      <c r="AJ4862" s="1"/>
      <c r="AK4862" s="1"/>
      <c r="AL4862" s="1"/>
      <c r="AM4862" s="1"/>
    </row>
    <row r="4863" spans="16:39" x14ac:dyDescent="0.25">
      <c r="P4863" s="49"/>
      <c r="Q4863" s="1"/>
      <c r="S4863" s="1"/>
      <c r="T4863" s="1"/>
      <c r="U4863" s="1"/>
      <c r="V4863" s="1"/>
      <c r="W4863" s="1"/>
      <c r="X4863" s="1"/>
      <c r="Y4863" s="1"/>
      <c r="AB4863" s="1"/>
      <c r="AC4863" s="1"/>
      <c r="AD4863" s="1"/>
      <c r="AE4863" s="1"/>
      <c r="AF4863" s="1"/>
      <c r="AG4863" s="1"/>
      <c r="AH4863" s="1"/>
      <c r="AI4863" s="1"/>
      <c r="AJ4863" s="1"/>
      <c r="AK4863" s="1"/>
      <c r="AL4863" s="1"/>
      <c r="AM4863" s="1"/>
    </row>
    <row r="4864" spans="16:39" x14ac:dyDescent="0.25">
      <c r="P4864" s="49"/>
      <c r="Q4864" s="1"/>
      <c r="S4864" s="1"/>
      <c r="T4864" s="1"/>
      <c r="U4864" s="1"/>
      <c r="V4864" s="1"/>
      <c r="W4864" s="1"/>
      <c r="X4864" s="1"/>
      <c r="Y4864" s="1"/>
      <c r="AB4864" s="1"/>
      <c r="AC4864" s="1"/>
      <c r="AD4864" s="1"/>
      <c r="AE4864" s="1"/>
      <c r="AF4864" s="1"/>
      <c r="AG4864" s="1"/>
      <c r="AH4864" s="1"/>
      <c r="AI4864" s="1"/>
      <c r="AJ4864" s="1"/>
      <c r="AK4864" s="1"/>
      <c r="AL4864" s="1"/>
      <c r="AM4864" s="1"/>
    </row>
    <row r="4865" spans="16:39" x14ac:dyDescent="0.25">
      <c r="P4865" s="49"/>
      <c r="Q4865" s="1"/>
      <c r="S4865" s="1"/>
      <c r="T4865" s="1"/>
      <c r="U4865" s="1"/>
      <c r="V4865" s="1"/>
      <c r="W4865" s="1"/>
      <c r="X4865" s="1"/>
      <c r="Y4865" s="1"/>
      <c r="AB4865" s="1"/>
      <c r="AC4865" s="1"/>
      <c r="AD4865" s="1"/>
      <c r="AE4865" s="1"/>
      <c r="AF4865" s="1"/>
      <c r="AG4865" s="1"/>
      <c r="AH4865" s="1"/>
      <c r="AI4865" s="1"/>
      <c r="AJ4865" s="1"/>
      <c r="AK4865" s="1"/>
      <c r="AL4865" s="1"/>
      <c r="AM4865" s="1"/>
    </row>
    <row r="4866" spans="16:39" x14ac:dyDescent="0.25">
      <c r="P4866" s="49"/>
      <c r="Q4866" s="1"/>
      <c r="S4866" s="1"/>
      <c r="T4866" s="1"/>
      <c r="U4866" s="1"/>
      <c r="V4866" s="1"/>
      <c r="W4866" s="1"/>
      <c r="X4866" s="1"/>
      <c r="Y4866" s="1"/>
      <c r="AB4866" s="1"/>
      <c r="AC4866" s="1"/>
      <c r="AD4866" s="1"/>
      <c r="AE4866" s="1"/>
      <c r="AF4866" s="1"/>
      <c r="AG4866" s="1"/>
      <c r="AH4866" s="1"/>
      <c r="AI4866" s="1"/>
      <c r="AJ4866" s="1"/>
      <c r="AK4866" s="1"/>
      <c r="AL4866" s="1"/>
      <c r="AM4866" s="1"/>
    </row>
    <row r="4867" spans="16:39" x14ac:dyDescent="0.25">
      <c r="P4867" s="49"/>
      <c r="Q4867" s="1"/>
      <c r="S4867" s="1"/>
      <c r="T4867" s="1"/>
      <c r="U4867" s="1"/>
      <c r="V4867" s="1"/>
      <c r="W4867" s="1"/>
      <c r="X4867" s="1"/>
      <c r="Y4867" s="1"/>
      <c r="AB4867" s="1"/>
      <c r="AC4867" s="1"/>
      <c r="AD4867" s="1"/>
      <c r="AE4867" s="1"/>
      <c r="AF4867" s="1"/>
      <c r="AG4867" s="1"/>
      <c r="AH4867" s="1"/>
      <c r="AI4867" s="1"/>
      <c r="AJ4867" s="1"/>
      <c r="AK4867" s="1"/>
      <c r="AL4867" s="1"/>
      <c r="AM4867" s="1"/>
    </row>
    <row r="4868" spans="16:39" x14ac:dyDescent="0.25">
      <c r="P4868" s="49"/>
      <c r="Q4868" s="1"/>
      <c r="S4868" s="1"/>
      <c r="T4868" s="1"/>
      <c r="U4868" s="1"/>
      <c r="V4868" s="1"/>
      <c r="W4868" s="1"/>
      <c r="X4868" s="1"/>
      <c r="Y4868" s="1"/>
      <c r="AB4868" s="1"/>
      <c r="AC4868" s="1"/>
      <c r="AD4868" s="1"/>
      <c r="AE4868" s="1"/>
      <c r="AF4868" s="1"/>
      <c r="AG4868" s="1"/>
      <c r="AH4868" s="1"/>
      <c r="AI4868" s="1"/>
      <c r="AJ4868" s="1"/>
      <c r="AK4868" s="1"/>
      <c r="AL4868" s="1"/>
      <c r="AM4868" s="1"/>
    </row>
    <row r="4869" spans="16:39" x14ac:dyDescent="0.25">
      <c r="P4869" s="49"/>
      <c r="Q4869" s="1"/>
      <c r="S4869" s="1"/>
      <c r="T4869" s="1"/>
      <c r="U4869" s="1"/>
      <c r="V4869" s="1"/>
      <c r="W4869" s="1"/>
      <c r="X4869" s="1"/>
      <c r="Y4869" s="1"/>
      <c r="AB4869" s="1"/>
      <c r="AC4869" s="1"/>
      <c r="AD4869" s="1"/>
      <c r="AE4869" s="1"/>
      <c r="AF4869" s="1"/>
      <c r="AG4869" s="1"/>
      <c r="AH4869" s="1"/>
      <c r="AI4869" s="1"/>
      <c r="AJ4869" s="1"/>
      <c r="AK4869" s="1"/>
      <c r="AL4869" s="1"/>
      <c r="AM4869" s="1"/>
    </row>
    <row r="4870" spans="16:39" x14ac:dyDescent="0.25">
      <c r="P4870" s="49"/>
      <c r="Q4870" s="1"/>
      <c r="S4870" s="1"/>
      <c r="T4870" s="1"/>
      <c r="U4870" s="1"/>
      <c r="V4870" s="1"/>
      <c r="W4870" s="1"/>
      <c r="X4870" s="1"/>
      <c r="Y4870" s="1"/>
      <c r="AB4870" s="1"/>
      <c r="AC4870" s="1"/>
      <c r="AD4870" s="1"/>
      <c r="AE4870" s="1"/>
      <c r="AF4870" s="1"/>
      <c r="AG4870" s="1"/>
      <c r="AH4870" s="1"/>
      <c r="AI4870" s="1"/>
      <c r="AJ4870" s="1"/>
      <c r="AK4870" s="1"/>
      <c r="AL4870" s="1"/>
      <c r="AM4870" s="1"/>
    </row>
    <row r="4871" spans="16:39" x14ac:dyDescent="0.25">
      <c r="P4871" s="49"/>
      <c r="Q4871" s="1"/>
      <c r="S4871" s="1"/>
      <c r="T4871" s="1"/>
      <c r="U4871" s="1"/>
      <c r="V4871" s="1"/>
      <c r="W4871" s="1"/>
      <c r="X4871" s="1"/>
      <c r="Y4871" s="1"/>
      <c r="AB4871" s="1"/>
      <c r="AC4871" s="1"/>
      <c r="AD4871" s="1"/>
      <c r="AE4871" s="1"/>
      <c r="AF4871" s="1"/>
      <c r="AG4871" s="1"/>
      <c r="AH4871" s="1"/>
      <c r="AI4871" s="1"/>
      <c r="AJ4871" s="1"/>
      <c r="AK4871" s="1"/>
      <c r="AL4871" s="1"/>
      <c r="AM4871" s="1"/>
    </row>
    <row r="4872" spans="16:39" x14ac:dyDescent="0.25">
      <c r="P4872" s="49"/>
      <c r="Q4872" s="1"/>
      <c r="S4872" s="1"/>
      <c r="T4872" s="1"/>
      <c r="U4872" s="1"/>
      <c r="V4872" s="1"/>
      <c r="W4872" s="1"/>
      <c r="X4872" s="1"/>
      <c r="Y4872" s="1"/>
      <c r="AB4872" s="1"/>
      <c r="AC4872" s="1"/>
      <c r="AD4872" s="1"/>
      <c r="AE4872" s="1"/>
      <c r="AF4872" s="1"/>
      <c r="AG4872" s="1"/>
      <c r="AH4872" s="1"/>
      <c r="AI4872" s="1"/>
      <c r="AJ4872" s="1"/>
      <c r="AK4872" s="1"/>
      <c r="AL4872" s="1"/>
      <c r="AM4872" s="1"/>
    </row>
    <row r="4873" spans="16:39" x14ac:dyDescent="0.25">
      <c r="P4873" s="49"/>
      <c r="Q4873" s="1"/>
      <c r="S4873" s="1"/>
      <c r="T4873" s="1"/>
      <c r="U4873" s="1"/>
      <c r="V4873" s="1"/>
      <c r="W4873" s="1"/>
      <c r="X4873" s="1"/>
      <c r="Y4873" s="1"/>
      <c r="AB4873" s="1"/>
      <c r="AC4873" s="1"/>
      <c r="AD4873" s="1"/>
      <c r="AE4873" s="1"/>
      <c r="AF4873" s="1"/>
      <c r="AG4873" s="1"/>
      <c r="AH4873" s="1"/>
      <c r="AI4873" s="1"/>
      <c r="AJ4873" s="1"/>
      <c r="AK4873" s="1"/>
      <c r="AL4873" s="1"/>
      <c r="AM4873" s="1"/>
    </row>
    <row r="4874" spans="16:39" x14ac:dyDescent="0.25">
      <c r="P4874" s="49"/>
      <c r="Q4874" s="1"/>
      <c r="S4874" s="1"/>
      <c r="T4874" s="1"/>
      <c r="U4874" s="1"/>
      <c r="V4874" s="1"/>
      <c r="W4874" s="1"/>
      <c r="X4874" s="1"/>
      <c r="Y4874" s="1"/>
      <c r="AB4874" s="1"/>
      <c r="AC4874" s="1"/>
      <c r="AD4874" s="1"/>
      <c r="AE4874" s="1"/>
      <c r="AF4874" s="1"/>
      <c r="AG4874" s="1"/>
      <c r="AH4874" s="1"/>
      <c r="AI4874" s="1"/>
      <c r="AJ4874" s="1"/>
      <c r="AK4874" s="1"/>
      <c r="AL4874" s="1"/>
      <c r="AM4874" s="1"/>
    </row>
    <row r="4875" spans="16:39" x14ac:dyDescent="0.25">
      <c r="P4875" s="49"/>
      <c r="Q4875" s="1"/>
      <c r="S4875" s="1"/>
      <c r="T4875" s="1"/>
      <c r="U4875" s="1"/>
      <c r="V4875" s="1"/>
      <c r="W4875" s="1"/>
      <c r="X4875" s="1"/>
      <c r="Y4875" s="1"/>
      <c r="AB4875" s="1"/>
      <c r="AC4875" s="1"/>
      <c r="AD4875" s="1"/>
      <c r="AE4875" s="1"/>
      <c r="AF4875" s="1"/>
      <c r="AG4875" s="1"/>
      <c r="AH4875" s="1"/>
      <c r="AI4875" s="1"/>
      <c r="AJ4875" s="1"/>
      <c r="AK4875" s="1"/>
      <c r="AL4875" s="1"/>
      <c r="AM4875" s="1"/>
    </row>
    <row r="4876" spans="16:39" x14ac:dyDescent="0.25">
      <c r="P4876" s="49"/>
      <c r="Q4876" s="1"/>
      <c r="S4876" s="1"/>
      <c r="T4876" s="1"/>
      <c r="U4876" s="1"/>
      <c r="V4876" s="1"/>
      <c r="W4876" s="1"/>
      <c r="X4876" s="1"/>
      <c r="Y4876" s="1"/>
      <c r="AB4876" s="1"/>
      <c r="AC4876" s="1"/>
      <c r="AD4876" s="1"/>
      <c r="AE4876" s="1"/>
      <c r="AF4876" s="1"/>
      <c r="AG4876" s="1"/>
      <c r="AH4876" s="1"/>
      <c r="AI4876" s="1"/>
      <c r="AJ4876" s="1"/>
      <c r="AK4876" s="1"/>
      <c r="AL4876" s="1"/>
      <c r="AM4876" s="1"/>
    </row>
    <row r="4877" spans="16:39" x14ac:dyDescent="0.25">
      <c r="P4877" s="49"/>
      <c r="Q4877" s="1"/>
      <c r="S4877" s="1"/>
      <c r="T4877" s="1"/>
      <c r="U4877" s="1"/>
      <c r="V4877" s="1"/>
      <c r="W4877" s="1"/>
      <c r="X4877" s="1"/>
      <c r="Y4877" s="1"/>
      <c r="AB4877" s="1"/>
      <c r="AC4877" s="1"/>
      <c r="AD4877" s="1"/>
      <c r="AE4877" s="1"/>
      <c r="AF4877" s="1"/>
      <c r="AG4877" s="1"/>
      <c r="AH4877" s="1"/>
      <c r="AI4877" s="1"/>
      <c r="AJ4877" s="1"/>
      <c r="AK4877" s="1"/>
      <c r="AL4877" s="1"/>
      <c r="AM4877" s="1"/>
    </row>
    <row r="4878" spans="16:39" x14ac:dyDescent="0.25">
      <c r="P4878" s="49"/>
      <c r="Q4878" s="1"/>
      <c r="S4878" s="1"/>
      <c r="T4878" s="1"/>
      <c r="U4878" s="1"/>
      <c r="V4878" s="1"/>
      <c r="W4878" s="1"/>
      <c r="X4878" s="1"/>
      <c r="Y4878" s="1"/>
      <c r="AB4878" s="1"/>
      <c r="AC4878" s="1"/>
      <c r="AD4878" s="1"/>
      <c r="AE4878" s="1"/>
      <c r="AF4878" s="1"/>
      <c r="AG4878" s="1"/>
      <c r="AH4878" s="1"/>
      <c r="AI4878" s="1"/>
      <c r="AJ4878" s="1"/>
      <c r="AK4878" s="1"/>
      <c r="AL4878" s="1"/>
      <c r="AM4878" s="1"/>
    </row>
    <row r="4879" spans="16:39" x14ac:dyDescent="0.25">
      <c r="P4879" s="49"/>
      <c r="Q4879" s="1"/>
      <c r="S4879" s="1"/>
      <c r="T4879" s="1"/>
      <c r="U4879" s="1"/>
      <c r="V4879" s="1"/>
      <c r="W4879" s="1"/>
      <c r="X4879" s="1"/>
      <c r="Y4879" s="1"/>
      <c r="AB4879" s="1"/>
      <c r="AC4879" s="1"/>
      <c r="AD4879" s="1"/>
      <c r="AE4879" s="1"/>
      <c r="AF4879" s="1"/>
      <c r="AG4879" s="1"/>
      <c r="AH4879" s="1"/>
      <c r="AI4879" s="1"/>
      <c r="AJ4879" s="1"/>
      <c r="AK4879" s="1"/>
      <c r="AL4879" s="1"/>
      <c r="AM4879" s="1"/>
    </row>
    <row r="4880" spans="16:39" x14ac:dyDescent="0.25">
      <c r="P4880" s="49"/>
      <c r="Q4880" s="1"/>
      <c r="S4880" s="1"/>
      <c r="T4880" s="1"/>
      <c r="U4880" s="1"/>
      <c r="V4880" s="1"/>
      <c r="W4880" s="1"/>
      <c r="X4880" s="1"/>
      <c r="Y4880" s="1"/>
      <c r="AB4880" s="1"/>
      <c r="AC4880" s="1"/>
      <c r="AD4880" s="1"/>
      <c r="AE4880" s="1"/>
      <c r="AF4880" s="1"/>
      <c r="AG4880" s="1"/>
      <c r="AH4880" s="1"/>
      <c r="AI4880" s="1"/>
      <c r="AJ4880" s="1"/>
      <c r="AK4880" s="1"/>
      <c r="AL4880" s="1"/>
      <c r="AM4880" s="1"/>
    </row>
    <row r="4881" spans="16:39" x14ac:dyDescent="0.25">
      <c r="P4881" s="49"/>
      <c r="Q4881" s="1"/>
      <c r="S4881" s="1"/>
      <c r="T4881" s="1"/>
      <c r="U4881" s="1"/>
      <c r="V4881" s="1"/>
      <c r="W4881" s="1"/>
      <c r="X4881" s="1"/>
      <c r="Y4881" s="1"/>
      <c r="AB4881" s="1"/>
      <c r="AC4881" s="1"/>
      <c r="AD4881" s="1"/>
      <c r="AE4881" s="1"/>
      <c r="AF4881" s="1"/>
      <c r="AG4881" s="1"/>
      <c r="AH4881" s="1"/>
      <c r="AI4881" s="1"/>
      <c r="AJ4881" s="1"/>
      <c r="AK4881" s="1"/>
      <c r="AL4881" s="1"/>
      <c r="AM4881" s="1"/>
    </row>
    <row r="4882" spans="16:39" x14ac:dyDescent="0.25">
      <c r="P4882" s="49"/>
      <c r="Q4882" s="1"/>
      <c r="S4882" s="1"/>
      <c r="T4882" s="1"/>
      <c r="U4882" s="1"/>
      <c r="V4882" s="1"/>
      <c r="W4882" s="1"/>
      <c r="X4882" s="1"/>
      <c r="Y4882" s="1"/>
      <c r="AB4882" s="1"/>
      <c r="AC4882" s="1"/>
      <c r="AD4882" s="1"/>
      <c r="AE4882" s="1"/>
      <c r="AF4882" s="1"/>
      <c r="AG4882" s="1"/>
      <c r="AH4882" s="1"/>
      <c r="AI4882" s="1"/>
      <c r="AJ4882" s="1"/>
      <c r="AK4882" s="1"/>
      <c r="AL4882" s="1"/>
      <c r="AM4882" s="1"/>
    </row>
    <row r="4883" spans="16:39" x14ac:dyDescent="0.25">
      <c r="P4883" s="49"/>
      <c r="Q4883" s="1"/>
      <c r="S4883" s="1"/>
      <c r="T4883" s="1"/>
      <c r="U4883" s="1"/>
      <c r="V4883" s="1"/>
      <c r="W4883" s="1"/>
      <c r="X4883" s="1"/>
      <c r="Y4883" s="1"/>
      <c r="AB4883" s="1"/>
      <c r="AC4883" s="1"/>
      <c r="AD4883" s="1"/>
      <c r="AE4883" s="1"/>
      <c r="AF4883" s="1"/>
      <c r="AG4883" s="1"/>
      <c r="AH4883" s="1"/>
      <c r="AI4883" s="1"/>
      <c r="AJ4883" s="1"/>
      <c r="AK4883" s="1"/>
      <c r="AL4883" s="1"/>
      <c r="AM4883" s="1"/>
    </row>
    <row r="4884" spans="16:39" x14ac:dyDescent="0.25">
      <c r="P4884" s="49"/>
      <c r="Q4884" s="1"/>
      <c r="S4884" s="1"/>
      <c r="T4884" s="1"/>
      <c r="U4884" s="1"/>
      <c r="V4884" s="1"/>
      <c r="W4884" s="1"/>
      <c r="X4884" s="1"/>
      <c r="Y4884" s="1"/>
      <c r="AB4884" s="1"/>
      <c r="AC4884" s="1"/>
      <c r="AD4884" s="1"/>
      <c r="AE4884" s="1"/>
      <c r="AF4884" s="1"/>
      <c r="AG4884" s="1"/>
      <c r="AH4884" s="1"/>
      <c r="AI4884" s="1"/>
      <c r="AJ4884" s="1"/>
      <c r="AK4884" s="1"/>
      <c r="AL4884" s="1"/>
      <c r="AM4884" s="1"/>
    </row>
    <row r="4885" spans="16:39" x14ac:dyDescent="0.25">
      <c r="P4885" s="49"/>
      <c r="Q4885" s="1"/>
      <c r="S4885" s="1"/>
      <c r="T4885" s="1"/>
      <c r="U4885" s="1"/>
      <c r="V4885" s="1"/>
      <c r="W4885" s="1"/>
      <c r="X4885" s="1"/>
      <c r="Y4885" s="1"/>
      <c r="AB4885" s="1"/>
      <c r="AC4885" s="1"/>
      <c r="AD4885" s="1"/>
      <c r="AE4885" s="1"/>
      <c r="AF4885" s="1"/>
      <c r="AG4885" s="1"/>
      <c r="AH4885" s="1"/>
      <c r="AI4885" s="1"/>
      <c r="AJ4885" s="1"/>
      <c r="AK4885" s="1"/>
      <c r="AL4885" s="1"/>
      <c r="AM4885" s="1"/>
    </row>
    <row r="4886" spans="16:39" x14ac:dyDescent="0.25">
      <c r="P4886" s="49"/>
      <c r="Q4886" s="1"/>
      <c r="S4886" s="1"/>
      <c r="T4886" s="1"/>
      <c r="U4886" s="1"/>
      <c r="V4886" s="1"/>
      <c r="W4886" s="1"/>
      <c r="X4886" s="1"/>
      <c r="Y4886" s="1"/>
      <c r="AB4886" s="1"/>
      <c r="AC4886" s="1"/>
      <c r="AD4886" s="1"/>
      <c r="AE4886" s="1"/>
      <c r="AF4886" s="1"/>
      <c r="AG4886" s="1"/>
      <c r="AH4886" s="1"/>
      <c r="AI4886" s="1"/>
      <c r="AJ4886" s="1"/>
      <c r="AK4886" s="1"/>
      <c r="AL4886" s="1"/>
      <c r="AM4886" s="1"/>
    </row>
    <row r="4887" spans="16:39" x14ac:dyDescent="0.25">
      <c r="P4887" s="49"/>
      <c r="Q4887" s="1"/>
      <c r="S4887" s="1"/>
      <c r="T4887" s="1"/>
      <c r="U4887" s="1"/>
      <c r="V4887" s="1"/>
      <c r="W4887" s="1"/>
      <c r="X4887" s="1"/>
      <c r="Y4887" s="1"/>
      <c r="AB4887" s="1"/>
      <c r="AC4887" s="1"/>
      <c r="AD4887" s="1"/>
      <c r="AE4887" s="1"/>
      <c r="AF4887" s="1"/>
      <c r="AG4887" s="1"/>
      <c r="AH4887" s="1"/>
      <c r="AI4887" s="1"/>
      <c r="AJ4887" s="1"/>
      <c r="AK4887" s="1"/>
      <c r="AL4887" s="1"/>
      <c r="AM4887" s="1"/>
    </row>
    <row r="4888" spans="16:39" x14ac:dyDescent="0.25">
      <c r="P4888" s="49"/>
      <c r="Q4888" s="1"/>
      <c r="S4888" s="1"/>
      <c r="T4888" s="1"/>
      <c r="U4888" s="1"/>
      <c r="V4888" s="1"/>
      <c r="W4888" s="1"/>
      <c r="X4888" s="1"/>
      <c r="Y4888" s="1"/>
      <c r="AB4888" s="1"/>
      <c r="AC4888" s="1"/>
      <c r="AD4888" s="1"/>
      <c r="AE4888" s="1"/>
      <c r="AF4888" s="1"/>
      <c r="AG4888" s="1"/>
      <c r="AH4888" s="1"/>
      <c r="AI4888" s="1"/>
      <c r="AJ4888" s="1"/>
      <c r="AK4888" s="1"/>
      <c r="AL4888" s="1"/>
      <c r="AM4888" s="1"/>
    </row>
    <row r="4889" spans="16:39" x14ac:dyDescent="0.25">
      <c r="P4889" s="49"/>
      <c r="Q4889" s="1"/>
      <c r="S4889" s="1"/>
      <c r="T4889" s="1"/>
      <c r="U4889" s="1"/>
      <c r="V4889" s="1"/>
      <c r="W4889" s="1"/>
      <c r="X4889" s="1"/>
      <c r="Y4889" s="1"/>
      <c r="AB4889" s="1"/>
      <c r="AC4889" s="1"/>
      <c r="AD4889" s="1"/>
      <c r="AE4889" s="1"/>
      <c r="AF4889" s="1"/>
      <c r="AG4889" s="1"/>
      <c r="AH4889" s="1"/>
      <c r="AI4889" s="1"/>
      <c r="AJ4889" s="1"/>
      <c r="AK4889" s="1"/>
      <c r="AL4889" s="1"/>
      <c r="AM4889" s="1"/>
    </row>
    <row r="4890" spans="16:39" x14ac:dyDescent="0.25">
      <c r="P4890" s="49"/>
      <c r="Q4890" s="1"/>
      <c r="S4890" s="1"/>
      <c r="T4890" s="1"/>
      <c r="U4890" s="1"/>
      <c r="V4890" s="1"/>
      <c r="W4890" s="1"/>
      <c r="X4890" s="1"/>
      <c r="Y4890" s="1"/>
      <c r="AB4890" s="1"/>
      <c r="AC4890" s="1"/>
      <c r="AD4890" s="1"/>
      <c r="AE4890" s="1"/>
      <c r="AF4890" s="1"/>
      <c r="AG4890" s="1"/>
      <c r="AH4890" s="1"/>
      <c r="AI4890" s="1"/>
      <c r="AJ4890" s="1"/>
      <c r="AK4890" s="1"/>
      <c r="AL4890" s="1"/>
      <c r="AM4890" s="1"/>
    </row>
    <row r="4891" spans="16:39" x14ac:dyDescent="0.25">
      <c r="P4891" s="49"/>
      <c r="Q4891" s="1"/>
      <c r="S4891" s="1"/>
      <c r="T4891" s="1"/>
      <c r="U4891" s="1"/>
      <c r="V4891" s="1"/>
      <c r="W4891" s="1"/>
      <c r="X4891" s="1"/>
      <c r="Y4891" s="1"/>
      <c r="AB4891" s="1"/>
      <c r="AC4891" s="1"/>
      <c r="AD4891" s="1"/>
      <c r="AE4891" s="1"/>
      <c r="AF4891" s="1"/>
      <c r="AG4891" s="1"/>
      <c r="AH4891" s="1"/>
      <c r="AI4891" s="1"/>
      <c r="AJ4891" s="1"/>
      <c r="AK4891" s="1"/>
      <c r="AL4891" s="1"/>
      <c r="AM4891" s="1"/>
    </row>
    <row r="4892" spans="16:39" x14ac:dyDescent="0.25">
      <c r="P4892" s="49"/>
      <c r="Q4892" s="1"/>
      <c r="S4892" s="1"/>
      <c r="T4892" s="1"/>
      <c r="U4892" s="1"/>
      <c r="V4892" s="1"/>
      <c r="W4892" s="1"/>
      <c r="X4892" s="1"/>
      <c r="Y4892" s="1"/>
      <c r="AB4892" s="1"/>
      <c r="AC4892" s="1"/>
      <c r="AD4892" s="1"/>
      <c r="AE4892" s="1"/>
      <c r="AF4892" s="1"/>
      <c r="AG4892" s="1"/>
      <c r="AH4892" s="1"/>
      <c r="AI4892" s="1"/>
      <c r="AJ4892" s="1"/>
      <c r="AK4892" s="1"/>
      <c r="AL4892" s="1"/>
      <c r="AM4892" s="1"/>
    </row>
    <row r="4893" spans="16:39" x14ac:dyDescent="0.25">
      <c r="P4893" s="49"/>
      <c r="Q4893" s="1"/>
      <c r="S4893" s="1"/>
      <c r="T4893" s="1"/>
      <c r="U4893" s="1"/>
      <c r="V4893" s="1"/>
      <c r="W4893" s="1"/>
      <c r="X4893" s="1"/>
      <c r="Y4893" s="1"/>
      <c r="AB4893" s="1"/>
      <c r="AC4893" s="1"/>
      <c r="AD4893" s="1"/>
      <c r="AE4893" s="1"/>
      <c r="AF4893" s="1"/>
      <c r="AG4893" s="1"/>
      <c r="AH4893" s="1"/>
      <c r="AI4893" s="1"/>
      <c r="AJ4893" s="1"/>
      <c r="AK4893" s="1"/>
      <c r="AL4893" s="1"/>
      <c r="AM4893" s="1"/>
    </row>
    <row r="4894" spans="16:39" x14ac:dyDescent="0.25">
      <c r="P4894" s="49"/>
      <c r="Q4894" s="1"/>
      <c r="S4894" s="1"/>
      <c r="T4894" s="1"/>
      <c r="U4894" s="1"/>
      <c r="V4894" s="1"/>
      <c r="W4894" s="1"/>
      <c r="X4894" s="1"/>
      <c r="Y4894" s="1"/>
      <c r="AB4894" s="1"/>
      <c r="AC4894" s="1"/>
      <c r="AD4894" s="1"/>
      <c r="AE4894" s="1"/>
      <c r="AF4894" s="1"/>
      <c r="AG4894" s="1"/>
      <c r="AH4894" s="1"/>
      <c r="AI4894" s="1"/>
      <c r="AJ4894" s="1"/>
      <c r="AK4894" s="1"/>
      <c r="AL4894" s="1"/>
      <c r="AM4894" s="1"/>
    </row>
    <row r="4895" spans="16:39" x14ac:dyDescent="0.25">
      <c r="P4895" s="49"/>
      <c r="Q4895" s="1"/>
      <c r="S4895" s="1"/>
      <c r="T4895" s="1"/>
      <c r="U4895" s="1"/>
      <c r="V4895" s="1"/>
      <c r="W4895" s="1"/>
      <c r="X4895" s="1"/>
      <c r="Y4895" s="1"/>
      <c r="AB4895" s="1"/>
      <c r="AC4895" s="1"/>
      <c r="AD4895" s="1"/>
      <c r="AE4895" s="1"/>
      <c r="AF4895" s="1"/>
      <c r="AG4895" s="1"/>
      <c r="AH4895" s="1"/>
      <c r="AI4895" s="1"/>
      <c r="AJ4895" s="1"/>
      <c r="AK4895" s="1"/>
      <c r="AL4895" s="1"/>
      <c r="AM4895" s="1"/>
    </row>
    <row r="4896" spans="16:39" x14ac:dyDescent="0.25">
      <c r="P4896" s="49"/>
      <c r="Q4896" s="1"/>
      <c r="S4896" s="1"/>
      <c r="T4896" s="1"/>
      <c r="U4896" s="1"/>
      <c r="V4896" s="1"/>
      <c r="W4896" s="1"/>
      <c r="X4896" s="1"/>
      <c r="Y4896" s="1"/>
      <c r="AB4896" s="1"/>
      <c r="AC4896" s="1"/>
      <c r="AD4896" s="1"/>
      <c r="AE4896" s="1"/>
      <c r="AF4896" s="1"/>
      <c r="AG4896" s="1"/>
      <c r="AH4896" s="1"/>
      <c r="AI4896" s="1"/>
      <c r="AJ4896" s="1"/>
      <c r="AK4896" s="1"/>
      <c r="AL4896" s="1"/>
      <c r="AM4896" s="1"/>
    </row>
    <row r="4897" spans="16:39" x14ac:dyDescent="0.25">
      <c r="P4897" s="49"/>
      <c r="Q4897" s="1"/>
      <c r="S4897" s="1"/>
      <c r="T4897" s="1"/>
      <c r="U4897" s="1"/>
      <c r="V4897" s="1"/>
      <c r="W4897" s="1"/>
      <c r="X4897" s="1"/>
      <c r="Y4897" s="1"/>
      <c r="AB4897" s="1"/>
      <c r="AC4897" s="1"/>
      <c r="AD4897" s="1"/>
      <c r="AE4897" s="1"/>
      <c r="AF4897" s="1"/>
      <c r="AG4897" s="1"/>
      <c r="AH4897" s="1"/>
      <c r="AI4897" s="1"/>
      <c r="AJ4897" s="1"/>
      <c r="AK4897" s="1"/>
      <c r="AL4897" s="1"/>
      <c r="AM4897" s="1"/>
    </row>
    <row r="4898" spans="16:39" x14ac:dyDescent="0.25">
      <c r="P4898" s="49"/>
      <c r="Q4898" s="1"/>
      <c r="S4898" s="1"/>
      <c r="T4898" s="1"/>
      <c r="U4898" s="1"/>
      <c r="V4898" s="1"/>
      <c r="W4898" s="1"/>
      <c r="X4898" s="1"/>
      <c r="Y4898" s="1"/>
      <c r="AB4898" s="1"/>
      <c r="AC4898" s="1"/>
      <c r="AD4898" s="1"/>
      <c r="AE4898" s="1"/>
      <c r="AF4898" s="1"/>
      <c r="AG4898" s="1"/>
      <c r="AH4898" s="1"/>
      <c r="AI4898" s="1"/>
      <c r="AJ4898" s="1"/>
      <c r="AK4898" s="1"/>
      <c r="AL4898" s="1"/>
      <c r="AM4898" s="1"/>
    </row>
    <row r="4899" spans="16:39" x14ac:dyDescent="0.25">
      <c r="P4899" s="49"/>
      <c r="Q4899" s="1"/>
      <c r="S4899" s="1"/>
      <c r="T4899" s="1"/>
      <c r="U4899" s="1"/>
      <c r="V4899" s="1"/>
      <c r="W4899" s="1"/>
      <c r="X4899" s="1"/>
      <c r="Y4899" s="1"/>
      <c r="AB4899" s="1"/>
      <c r="AC4899" s="1"/>
      <c r="AD4899" s="1"/>
      <c r="AE4899" s="1"/>
      <c r="AF4899" s="1"/>
      <c r="AG4899" s="1"/>
      <c r="AH4899" s="1"/>
      <c r="AI4899" s="1"/>
      <c r="AJ4899" s="1"/>
      <c r="AK4899" s="1"/>
      <c r="AL4899" s="1"/>
      <c r="AM4899" s="1"/>
    </row>
    <row r="4900" spans="16:39" x14ac:dyDescent="0.25">
      <c r="P4900" s="49"/>
      <c r="Q4900" s="1"/>
      <c r="S4900" s="1"/>
      <c r="T4900" s="1"/>
      <c r="U4900" s="1"/>
      <c r="V4900" s="1"/>
      <c r="W4900" s="1"/>
      <c r="X4900" s="1"/>
      <c r="Y4900" s="1"/>
      <c r="AB4900" s="1"/>
      <c r="AC4900" s="1"/>
      <c r="AD4900" s="1"/>
      <c r="AE4900" s="1"/>
      <c r="AF4900" s="1"/>
      <c r="AG4900" s="1"/>
      <c r="AH4900" s="1"/>
      <c r="AI4900" s="1"/>
      <c r="AJ4900" s="1"/>
      <c r="AK4900" s="1"/>
      <c r="AL4900" s="1"/>
      <c r="AM4900" s="1"/>
    </row>
    <row r="4901" spans="16:39" x14ac:dyDescent="0.25">
      <c r="P4901" s="49"/>
      <c r="Q4901" s="1"/>
      <c r="S4901" s="1"/>
      <c r="T4901" s="1"/>
      <c r="U4901" s="1"/>
      <c r="V4901" s="1"/>
      <c r="W4901" s="1"/>
      <c r="X4901" s="1"/>
      <c r="Y4901" s="1"/>
      <c r="AB4901" s="1"/>
      <c r="AC4901" s="1"/>
      <c r="AD4901" s="1"/>
      <c r="AE4901" s="1"/>
      <c r="AF4901" s="1"/>
      <c r="AG4901" s="1"/>
      <c r="AH4901" s="1"/>
      <c r="AI4901" s="1"/>
      <c r="AJ4901" s="1"/>
      <c r="AK4901" s="1"/>
      <c r="AL4901" s="1"/>
      <c r="AM4901" s="1"/>
    </row>
    <row r="4902" spans="16:39" x14ac:dyDescent="0.25">
      <c r="P4902" s="49"/>
      <c r="Q4902" s="1"/>
      <c r="S4902" s="1"/>
      <c r="T4902" s="1"/>
      <c r="U4902" s="1"/>
      <c r="V4902" s="1"/>
      <c r="W4902" s="1"/>
      <c r="X4902" s="1"/>
      <c r="Y4902" s="1"/>
      <c r="AB4902" s="1"/>
      <c r="AC4902" s="1"/>
      <c r="AD4902" s="1"/>
      <c r="AE4902" s="1"/>
      <c r="AF4902" s="1"/>
      <c r="AG4902" s="1"/>
      <c r="AH4902" s="1"/>
      <c r="AI4902" s="1"/>
      <c r="AJ4902" s="1"/>
      <c r="AK4902" s="1"/>
      <c r="AL4902" s="1"/>
      <c r="AM4902" s="1"/>
    </row>
    <row r="4903" spans="16:39" x14ac:dyDescent="0.25">
      <c r="P4903" s="49"/>
      <c r="Q4903" s="1"/>
      <c r="S4903" s="1"/>
      <c r="T4903" s="1"/>
      <c r="U4903" s="1"/>
      <c r="V4903" s="1"/>
      <c r="W4903" s="1"/>
      <c r="X4903" s="1"/>
      <c r="Y4903" s="1"/>
      <c r="AB4903" s="1"/>
      <c r="AC4903" s="1"/>
      <c r="AD4903" s="1"/>
      <c r="AE4903" s="1"/>
      <c r="AF4903" s="1"/>
      <c r="AG4903" s="1"/>
      <c r="AH4903" s="1"/>
      <c r="AI4903" s="1"/>
      <c r="AJ4903" s="1"/>
      <c r="AK4903" s="1"/>
      <c r="AL4903" s="1"/>
      <c r="AM4903" s="1"/>
    </row>
    <row r="4904" spans="16:39" x14ac:dyDescent="0.25">
      <c r="P4904" s="49"/>
      <c r="Q4904" s="1"/>
      <c r="S4904" s="1"/>
      <c r="T4904" s="1"/>
      <c r="U4904" s="1"/>
      <c r="V4904" s="1"/>
      <c r="W4904" s="1"/>
      <c r="X4904" s="1"/>
      <c r="Y4904" s="1"/>
      <c r="AB4904" s="1"/>
      <c r="AC4904" s="1"/>
      <c r="AD4904" s="1"/>
      <c r="AE4904" s="1"/>
      <c r="AF4904" s="1"/>
      <c r="AG4904" s="1"/>
      <c r="AH4904" s="1"/>
      <c r="AI4904" s="1"/>
      <c r="AJ4904" s="1"/>
      <c r="AK4904" s="1"/>
      <c r="AL4904" s="1"/>
      <c r="AM4904" s="1"/>
    </row>
    <row r="4905" spans="16:39" x14ac:dyDescent="0.25">
      <c r="P4905" s="49"/>
      <c r="Q4905" s="1"/>
      <c r="S4905" s="1"/>
      <c r="T4905" s="1"/>
      <c r="U4905" s="1"/>
      <c r="V4905" s="1"/>
      <c r="W4905" s="1"/>
      <c r="X4905" s="1"/>
      <c r="Y4905" s="1"/>
      <c r="AB4905" s="1"/>
      <c r="AC4905" s="1"/>
      <c r="AD4905" s="1"/>
      <c r="AE4905" s="1"/>
      <c r="AF4905" s="1"/>
      <c r="AG4905" s="1"/>
      <c r="AH4905" s="1"/>
      <c r="AI4905" s="1"/>
      <c r="AJ4905" s="1"/>
      <c r="AK4905" s="1"/>
      <c r="AL4905" s="1"/>
      <c r="AM4905" s="1"/>
    </row>
    <row r="4906" spans="16:39" x14ac:dyDescent="0.25">
      <c r="P4906" s="49"/>
      <c r="Q4906" s="1"/>
      <c r="S4906" s="1"/>
      <c r="T4906" s="1"/>
      <c r="U4906" s="1"/>
      <c r="V4906" s="1"/>
      <c r="W4906" s="1"/>
      <c r="X4906" s="1"/>
      <c r="Y4906" s="1"/>
      <c r="AB4906" s="1"/>
      <c r="AC4906" s="1"/>
      <c r="AD4906" s="1"/>
      <c r="AE4906" s="1"/>
      <c r="AF4906" s="1"/>
      <c r="AG4906" s="1"/>
      <c r="AH4906" s="1"/>
      <c r="AI4906" s="1"/>
      <c r="AJ4906" s="1"/>
      <c r="AK4906" s="1"/>
      <c r="AL4906" s="1"/>
      <c r="AM4906" s="1"/>
    </row>
    <row r="4907" spans="16:39" x14ac:dyDescent="0.25">
      <c r="P4907" s="49"/>
      <c r="Q4907" s="1"/>
      <c r="S4907" s="1"/>
      <c r="T4907" s="1"/>
      <c r="U4907" s="1"/>
      <c r="V4907" s="1"/>
      <c r="W4907" s="1"/>
      <c r="X4907" s="1"/>
      <c r="Y4907" s="1"/>
      <c r="AB4907" s="1"/>
      <c r="AC4907" s="1"/>
      <c r="AD4907" s="1"/>
      <c r="AE4907" s="1"/>
      <c r="AF4907" s="1"/>
      <c r="AG4907" s="1"/>
      <c r="AH4907" s="1"/>
      <c r="AI4907" s="1"/>
      <c r="AJ4907" s="1"/>
      <c r="AK4907" s="1"/>
      <c r="AL4907" s="1"/>
      <c r="AM4907" s="1"/>
    </row>
    <row r="4908" spans="16:39" x14ac:dyDescent="0.25">
      <c r="P4908" s="49"/>
      <c r="Q4908" s="1"/>
      <c r="S4908" s="1"/>
      <c r="T4908" s="1"/>
      <c r="U4908" s="1"/>
      <c r="V4908" s="1"/>
      <c r="W4908" s="1"/>
      <c r="X4908" s="1"/>
      <c r="Y4908" s="1"/>
      <c r="AB4908" s="1"/>
      <c r="AC4908" s="1"/>
      <c r="AD4908" s="1"/>
      <c r="AE4908" s="1"/>
      <c r="AF4908" s="1"/>
      <c r="AG4908" s="1"/>
      <c r="AH4908" s="1"/>
      <c r="AI4908" s="1"/>
      <c r="AJ4908" s="1"/>
      <c r="AK4908" s="1"/>
      <c r="AL4908" s="1"/>
      <c r="AM4908" s="1"/>
    </row>
    <row r="4909" spans="16:39" x14ac:dyDescent="0.25">
      <c r="P4909" s="49"/>
      <c r="Q4909" s="1"/>
      <c r="S4909" s="1"/>
      <c r="T4909" s="1"/>
      <c r="U4909" s="1"/>
      <c r="V4909" s="1"/>
      <c r="W4909" s="1"/>
      <c r="X4909" s="1"/>
      <c r="Y4909" s="1"/>
      <c r="AB4909" s="1"/>
      <c r="AC4909" s="1"/>
      <c r="AD4909" s="1"/>
      <c r="AE4909" s="1"/>
      <c r="AF4909" s="1"/>
      <c r="AG4909" s="1"/>
      <c r="AH4909" s="1"/>
      <c r="AI4909" s="1"/>
      <c r="AJ4909" s="1"/>
      <c r="AK4909" s="1"/>
      <c r="AL4909" s="1"/>
      <c r="AM4909" s="1"/>
    </row>
    <row r="4910" spans="16:39" x14ac:dyDescent="0.25">
      <c r="P4910" s="49"/>
      <c r="Q4910" s="1"/>
      <c r="S4910" s="1"/>
      <c r="T4910" s="1"/>
      <c r="U4910" s="1"/>
      <c r="V4910" s="1"/>
      <c r="W4910" s="1"/>
      <c r="X4910" s="1"/>
      <c r="Y4910" s="1"/>
      <c r="AB4910" s="1"/>
      <c r="AC4910" s="1"/>
      <c r="AD4910" s="1"/>
      <c r="AE4910" s="1"/>
      <c r="AF4910" s="1"/>
      <c r="AG4910" s="1"/>
      <c r="AH4910" s="1"/>
      <c r="AI4910" s="1"/>
      <c r="AJ4910" s="1"/>
      <c r="AK4910" s="1"/>
      <c r="AL4910" s="1"/>
      <c r="AM4910" s="1"/>
    </row>
    <row r="4911" spans="16:39" x14ac:dyDescent="0.25">
      <c r="P4911" s="49"/>
      <c r="Q4911" s="1"/>
      <c r="S4911" s="1"/>
      <c r="T4911" s="1"/>
      <c r="U4911" s="1"/>
      <c r="V4911" s="1"/>
      <c r="W4911" s="1"/>
      <c r="X4911" s="1"/>
      <c r="Y4911" s="1"/>
      <c r="AB4911" s="1"/>
      <c r="AC4911" s="1"/>
      <c r="AD4911" s="1"/>
      <c r="AE4911" s="1"/>
      <c r="AF4911" s="1"/>
      <c r="AG4911" s="1"/>
      <c r="AH4911" s="1"/>
      <c r="AI4911" s="1"/>
      <c r="AJ4911" s="1"/>
      <c r="AK4911" s="1"/>
      <c r="AL4911" s="1"/>
      <c r="AM4911" s="1"/>
    </row>
    <row r="4912" spans="16:39" x14ac:dyDescent="0.25">
      <c r="P4912" s="49"/>
      <c r="Q4912" s="1"/>
      <c r="S4912" s="1"/>
      <c r="T4912" s="1"/>
      <c r="U4912" s="1"/>
      <c r="V4912" s="1"/>
      <c r="W4912" s="1"/>
      <c r="X4912" s="1"/>
      <c r="Y4912" s="1"/>
      <c r="AB4912" s="1"/>
      <c r="AC4912" s="1"/>
      <c r="AD4912" s="1"/>
      <c r="AE4912" s="1"/>
      <c r="AF4912" s="1"/>
      <c r="AG4912" s="1"/>
      <c r="AH4912" s="1"/>
      <c r="AI4912" s="1"/>
      <c r="AJ4912" s="1"/>
      <c r="AK4912" s="1"/>
      <c r="AL4912" s="1"/>
      <c r="AM4912" s="1"/>
    </row>
    <row r="4913" spans="16:39" x14ac:dyDescent="0.25">
      <c r="P4913" s="49"/>
      <c r="Q4913" s="1"/>
      <c r="S4913" s="1"/>
      <c r="T4913" s="1"/>
      <c r="U4913" s="1"/>
      <c r="V4913" s="1"/>
      <c r="W4913" s="1"/>
      <c r="X4913" s="1"/>
      <c r="Y4913" s="1"/>
      <c r="AB4913" s="1"/>
      <c r="AC4913" s="1"/>
      <c r="AD4913" s="1"/>
      <c r="AE4913" s="1"/>
      <c r="AF4913" s="1"/>
      <c r="AG4913" s="1"/>
      <c r="AH4913" s="1"/>
      <c r="AI4913" s="1"/>
      <c r="AJ4913" s="1"/>
      <c r="AK4913" s="1"/>
      <c r="AL4913" s="1"/>
      <c r="AM4913" s="1"/>
    </row>
    <row r="4914" spans="16:39" x14ac:dyDescent="0.25">
      <c r="P4914" s="49"/>
      <c r="Q4914" s="1"/>
      <c r="S4914" s="1"/>
      <c r="T4914" s="1"/>
      <c r="U4914" s="1"/>
      <c r="V4914" s="1"/>
      <c r="W4914" s="1"/>
      <c r="X4914" s="1"/>
      <c r="Y4914" s="1"/>
      <c r="AB4914" s="1"/>
      <c r="AC4914" s="1"/>
      <c r="AD4914" s="1"/>
      <c r="AE4914" s="1"/>
      <c r="AF4914" s="1"/>
      <c r="AG4914" s="1"/>
      <c r="AH4914" s="1"/>
      <c r="AI4914" s="1"/>
      <c r="AJ4914" s="1"/>
      <c r="AK4914" s="1"/>
      <c r="AL4914" s="1"/>
      <c r="AM4914" s="1"/>
    </row>
    <row r="4915" spans="16:39" x14ac:dyDescent="0.25">
      <c r="P4915" s="49"/>
      <c r="Q4915" s="1"/>
      <c r="S4915" s="1"/>
      <c r="T4915" s="1"/>
      <c r="U4915" s="1"/>
      <c r="V4915" s="1"/>
      <c r="W4915" s="1"/>
      <c r="X4915" s="1"/>
      <c r="Y4915" s="1"/>
      <c r="AB4915" s="1"/>
      <c r="AC4915" s="1"/>
      <c r="AD4915" s="1"/>
      <c r="AE4915" s="1"/>
      <c r="AF4915" s="1"/>
      <c r="AG4915" s="1"/>
      <c r="AH4915" s="1"/>
      <c r="AI4915" s="1"/>
      <c r="AJ4915" s="1"/>
      <c r="AK4915" s="1"/>
      <c r="AL4915" s="1"/>
      <c r="AM4915" s="1"/>
    </row>
    <row r="4916" spans="16:39" x14ac:dyDescent="0.25">
      <c r="P4916" s="49"/>
      <c r="Q4916" s="1"/>
      <c r="S4916" s="1"/>
      <c r="T4916" s="1"/>
      <c r="U4916" s="1"/>
      <c r="V4916" s="1"/>
      <c r="W4916" s="1"/>
      <c r="X4916" s="1"/>
      <c r="Y4916" s="1"/>
      <c r="AB4916" s="1"/>
      <c r="AC4916" s="1"/>
      <c r="AD4916" s="1"/>
      <c r="AE4916" s="1"/>
      <c r="AF4916" s="1"/>
      <c r="AG4916" s="1"/>
      <c r="AH4916" s="1"/>
      <c r="AI4916" s="1"/>
      <c r="AJ4916" s="1"/>
      <c r="AK4916" s="1"/>
      <c r="AL4916" s="1"/>
      <c r="AM4916" s="1"/>
    </row>
    <row r="4917" spans="16:39" x14ac:dyDescent="0.25">
      <c r="P4917" s="49"/>
      <c r="Q4917" s="1"/>
      <c r="S4917" s="1"/>
      <c r="T4917" s="1"/>
      <c r="U4917" s="1"/>
      <c r="V4917" s="1"/>
      <c r="W4917" s="1"/>
      <c r="X4917" s="1"/>
      <c r="Y4917" s="1"/>
      <c r="AB4917" s="1"/>
      <c r="AC4917" s="1"/>
      <c r="AD4917" s="1"/>
      <c r="AE4917" s="1"/>
      <c r="AF4917" s="1"/>
      <c r="AG4917" s="1"/>
      <c r="AH4917" s="1"/>
      <c r="AI4917" s="1"/>
      <c r="AJ4917" s="1"/>
      <c r="AK4917" s="1"/>
      <c r="AL4917" s="1"/>
      <c r="AM4917" s="1"/>
    </row>
    <row r="4918" spans="16:39" x14ac:dyDescent="0.25">
      <c r="P4918" s="49"/>
      <c r="Q4918" s="1"/>
      <c r="S4918" s="1"/>
      <c r="T4918" s="1"/>
      <c r="U4918" s="1"/>
      <c r="V4918" s="1"/>
      <c r="W4918" s="1"/>
      <c r="X4918" s="1"/>
      <c r="Y4918" s="1"/>
      <c r="AB4918" s="1"/>
      <c r="AC4918" s="1"/>
      <c r="AD4918" s="1"/>
      <c r="AE4918" s="1"/>
      <c r="AF4918" s="1"/>
      <c r="AG4918" s="1"/>
      <c r="AH4918" s="1"/>
      <c r="AI4918" s="1"/>
      <c r="AJ4918" s="1"/>
      <c r="AK4918" s="1"/>
      <c r="AL4918" s="1"/>
      <c r="AM4918" s="1"/>
    </row>
    <row r="4919" spans="16:39" x14ac:dyDescent="0.25">
      <c r="P4919" s="49"/>
      <c r="Q4919" s="1"/>
      <c r="S4919" s="1"/>
      <c r="T4919" s="1"/>
      <c r="U4919" s="1"/>
      <c r="V4919" s="1"/>
      <c r="W4919" s="1"/>
      <c r="X4919" s="1"/>
      <c r="Y4919" s="1"/>
      <c r="AB4919" s="1"/>
      <c r="AC4919" s="1"/>
      <c r="AD4919" s="1"/>
      <c r="AE4919" s="1"/>
      <c r="AF4919" s="1"/>
      <c r="AG4919" s="1"/>
      <c r="AH4919" s="1"/>
      <c r="AI4919" s="1"/>
      <c r="AJ4919" s="1"/>
      <c r="AK4919" s="1"/>
      <c r="AL4919" s="1"/>
      <c r="AM4919" s="1"/>
    </row>
    <row r="4920" spans="16:39" x14ac:dyDescent="0.25">
      <c r="P4920" s="49"/>
      <c r="Q4920" s="1"/>
      <c r="S4920" s="1"/>
      <c r="T4920" s="1"/>
      <c r="U4920" s="1"/>
      <c r="V4920" s="1"/>
      <c r="W4920" s="1"/>
      <c r="X4920" s="1"/>
      <c r="Y4920" s="1"/>
      <c r="AB4920" s="1"/>
      <c r="AC4920" s="1"/>
      <c r="AD4920" s="1"/>
      <c r="AE4920" s="1"/>
      <c r="AF4920" s="1"/>
      <c r="AG4920" s="1"/>
      <c r="AH4920" s="1"/>
      <c r="AI4920" s="1"/>
      <c r="AJ4920" s="1"/>
      <c r="AK4920" s="1"/>
      <c r="AL4920" s="1"/>
      <c r="AM4920" s="1"/>
    </row>
    <row r="4921" spans="16:39" x14ac:dyDescent="0.25">
      <c r="P4921" s="49"/>
      <c r="Q4921" s="1"/>
      <c r="S4921" s="1"/>
      <c r="T4921" s="1"/>
      <c r="U4921" s="1"/>
      <c r="V4921" s="1"/>
      <c r="W4921" s="1"/>
      <c r="X4921" s="1"/>
      <c r="Y4921" s="1"/>
      <c r="AB4921" s="1"/>
      <c r="AC4921" s="1"/>
      <c r="AD4921" s="1"/>
      <c r="AE4921" s="1"/>
      <c r="AF4921" s="1"/>
      <c r="AG4921" s="1"/>
      <c r="AH4921" s="1"/>
      <c r="AI4921" s="1"/>
      <c r="AJ4921" s="1"/>
      <c r="AK4921" s="1"/>
      <c r="AL4921" s="1"/>
      <c r="AM4921" s="1"/>
    </row>
    <row r="4922" spans="16:39" x14ac:dyDescent="0.25">
      <c r="P4922" s="49"/>
      <c r="Q4922" s="1"/>
      <c r="S4922" s="1"/>
      <c r="T4922" s="1"/>
      <c r="U4922" s="1"/>
      <c r="V4922" s="1"/>
      <c r="W4922" s="1"/>
      <c r="X4922" s="1"/>
      <c r="Y4922" s="1"/>
      <c r="AB4922" s="1"/>
      <c r="AC4922" s="1"/>
      <c r="AD4922" s="1"/>
      <c r="AE4922" s="1"/>
      <c r="AF4922" s="1"/>
      <c r="AG4922" s="1"/>
      <c r="AH4922" s="1"/>
      <c r="AI4922" s="1"/>
      <c r="AJ4922" s="1"/>
      <c r="AK4922" s="1"/>
      <c r="AL4922" s="1"/>
      <c r="AM4922" s="1"/>
    </row>
    <row r="4923" spans="16:39" x14ac:dyDescent="0.25">
      <c r="P4923" s="49"/>
      <c r="Q4923" s="1"/>
      <c r="S4923" s="1"/>
      <c r="T4923" s="1"/>
      <c r="U4923" s="1"/>
      <c r="V4923" s="1"/>
      <c r="W4923" s="1"/>
      <c r="X4923" s="1"/>
      <c r="Y4923" s="1"/>
      <c r="AB4923" s="1"/>
      <c r="AC4923" s="1"/>
      <c r="AD4923" s="1"/>
      <c r="AE4923" s="1"/>
      <c r="AF4923" s="1"/>
      <c r="AG4923" s="1"/>
      <c r="AH4923" s="1"/>
      <c r="AI4923" s="1"/>
      <c r="AJ4923" s="1"/>
      <c r="AK4923" s="1"/>
      <c r="AL4923" s="1"/>
      <c r="AM4923" s="1"/>
    </row>
    <row r="4924" spans="16:39" x14ac:dyDescent="0.25">
      <c r="P4924" s="49"/>
      <c r="Q4924" s="1"/>
      <c r="S4924" s="1"/>
      <c r="T4924" s="1"/>
      <c r="U4924" s="1"/>
      <c r="V4924" s="1"/>
      <c r="W4924" s="1"/>
      <c r="X4924" s="1"/>
      <c r="Y4924" s="1"/>
      <c r="AB4924" s="1"/>
      <c r="AC4924" s="1"/>
      <c r="AD4924" s="1"/>
      <c r="AE4924" s="1"/>
      <c r="AF4924" s="1"/>
      <c r="AG4924" s="1"/>
      <c r="AH4924" s="1"/>
      <c r="AI4924" s="1"/>
      <c r="AJ4924" s="1"/>
      <c r="AK4924" s="1"/>
      <c r="AL4924" s="1"/>
      <c r="AM4924" s="1"/>
    </row>
    <row r="4925" spans="16:39" x14ac:dyDescent="0.25">
      <c r="P4925" s="49"/>
      <c r="Q4925" s="1"/>
      <c r="S4925" s="1"/>
      <c r="T4925" s="1"/>
      <c r="U4925" s="1"/>
      <c r="V4925" s="1"/>
      <c r="W4925" s="1"/>
      <c r="X4925" s="1"/>
      <c r="Y4925" s="1"/>
      <c r="AB4925" s="1"/>
      <c r="AC4925" s="1"/>
      <c r="AD4925" s="1"/>
      <c r="AE4925" s="1"/>
      <c r="AF4925" s="1"/>
      <c r="AG4925" s="1"/>
      <c r="AH4925" s="1"/>
      <c r="AI4925" s="1"/>
      <c r="AJ4925" s="1"/>
      <c r="AK4925" s="1"/>
      <c r="AL4925" s="1"/>
      <c r="AM4925" s="1"/>
    </row>
    <row r="4926" spans="16:39" x14ac:dyDescent="0.25">
      <c r="P4926" s="49"/>
      <c r="Q4926" s="1"/>
      <c r="S4926" s="1"/>
      <c r="T4926" s="1"/>
      <c r="U4926" s="1"/>
      <c r="V4926" s="1"/>
      <c r="W4926" s="1"/>
      <c r="X4926" s="1"/>
      <c r="Y4926" s="1"/>
      <c r="AB4926" s="1"/>
      <c r="AC4926" s="1"/>
      <c r="AD4926" s="1"/>
      <c r="AE4926" s="1"/>
      <c r="AF4926" s="1"/>
      <c r="AG4926" s="1"/>
      <c r="AH4926" s="1"/>
      <c r="AI4926" s="1"/>
      <c r="AJ4926" s="1"/>
      <c r="AK4926" s="1"/>
      <c r="AL4926" s="1"/>
      <c r="AM4926" s="1"/>
    </row>
    <row r="4927" spans="16:39" x14ac:dyDescent="0.25">
      <c r="P4927" s="49"/>
      <c r="Q4927" s="1"/>
      <c r="S4927" s="1"/>
      <c r="T4927" s="1"/>
      <c r="U4927" s="1"/>
      <c r="V4927" s="1"/>
      <c r="W4927" s="1"/>
      <c r="X4927" s="1"/>
      <c r="Y4927" s="1"/>
      <c r="AB4927" s="1"/>
      <c r="AC4927" s="1"/>
      <c r="AD4927" s="1"/>
      <c r="AE4927" s="1"/>
      <c r="AF4927" s="1"/>
      <c r="AG4927" s="1"/>
      <c r="AH4927" s="1"/>
      <c r="AI4927" s="1"/>
      <c r="AJ4927" s="1"/>
      <c r="AK4927" s="1"/>
      <c r="AL4927" s="1"/>
      <c r="AM4927" s="1"/>
    </row>
    <row r="4928" spans="16:39" x14ac:dyDescent="0.25">
      <c r="P4928" s="49"/>
      <c r="Q4928" s="1"/>
      <c r="S4928" s="1"/>
      <c r="T4928" s="1"/>
      <c r="U4928" s="1"/>
      <c r="V4928" s="1"/>
      <c r="W4928" s="1"/>
      <c r="X4928" s="1"/>
      <c r="Y4928" s="1"/>
      <c r="AB4928" s="1"/>
      <c r="AC4928" s="1"/>
      <c r="AD4928" s="1"/>
      <c r="AE4928" s="1"/>
      <c r="AF4928" s="1"/>
      <c r="AG4928" s="1"/>
      <c r="AH4928" s="1"/>
      <c r="AI4928" s="1"/>
      <c r="AJ4928" s="1"/>
      <c r="AK4928" s="1"/>
      <c r="AL4928" s="1"/>
      <c r="AM4928" s="1"/>
    </row>
    <row r="4929" spans="16:39" x14ac:dyDescent="0.25">
      <c r="P4929" s="49"/>
      <c r="Q4929" s="1"/>
      <c r="S4929" s="1"/>
      <c r="T4929" s="1"/>
      <c r="U4929" s="1"/>
      <c r="V4929" s="1"/>
      <c r="W4929" s="1"/>
      <c r="X4929" s="1"/>
      <c r="Y4929" s="1"/>
      <c r="AB4929" s="1"/>
      <c r="AC4929" s="1"/>
      <c r="AD4929" s="1"/>
      <c r="AE4929" s="1"/>
      <c r="AF4929" s="1"/>
      <c r="AG4929" s="1"/>
      <c r="AH4929" s="1"/>
      <c r="AI4929" s="1"/>
      <c r="AJ4929" s="1"/>
      <c r="AK4929" s="1"/>
      <c r="AL4929" s="1"/>
      <c r="AM4929" s="1"/>
    </row>
    <row r="4930" spans="16:39" x14ac:dyDescent="0.25">
      <c r="P4930" s="49"/>
      <c r="Q4930" s="1"/>
      <c r="S4930" s="1"/>
      <c r="T4930" s="1"/>
      <c r="U4930" s="1"/>
      <c r="V4930" s="1"/>
      <c r="W4930" s="1"/>
      <c r="X4930" s="1"/>
      <c r="Y4930" s="1"/>
      <c r="AB4930" s="1"/>
      <c r="AC4930" s="1"/>
      <c r="AD4930" s="1"/>
      <c r="AE4930" s="1"/>
      <c r="AF4930" s="1"/>
      <c r="AG4930" s="1"/>
      <c r="AH4930" s="1"/>
      <c r="AI4930" s="1"/>
      <c r="AJ4930" s="1"/>
      <c r="AK4930" s="1"/>
      <c r="AL4930" s="1"/>
      <c r="AM4930" s="1"/>
    </row>
    <row r="4931" spans="16:39" x14ac:dyDescent="0.25">
      <c r="P4931" s="49"/>
      <c r="Q4931" s="1"/>
      <c r="S4931" s="1"/>
      <c r="T4931" s="1"/>
      <c r="U4931" s="1"/>
      <c r="V4931" s="1"/>
      <c r="W4931" s="1"/>
      <c r="X4931" s="1"/>
      <c r="Y4931" s="1"/>
      <c r="AB4931" s="1"/>
      <c r="AC4931" s="1"/>
      <c r="AD4931" s="1"/>
      <c r="AE4931" s="1"/>
      <c r="AF4931" s="1"/>
      <c r="AG4931" s="1"/>
      <c r="AH4931" s="1"/>
      <c r="AI4931" s="1"/>
      <c r="AJ4931" s="1"/>
      <c r="AK4931" s="1"/>
      <c r="AL4931" s="1"/>
      <c r="AM4931" s="1"/>
    </row>
    <row r="4932" spans="16:39" x14ac:dyDescent="0.25">
      <c r="P4932" s="49"/>
      <c r="Q4932" s="1"/>
      <c r="S4932" s="1"/>
      <c r="T4932" s="1"/>
      <c r="U4932" s="1"/>
      <c r="V4932" s="1"/>
      <c r="W4932" s="1"/>
      <c r="X4932" s="1"/>
      <c r="Y4932" s="1"/>
      <c r="AB4932" s="1"/>
      <c r="AC4932" s="1"/>
      <c r="AD4932" s="1"/>
      <c r="AE4932" s="1"/>
      <c r="AF4932" s="1"/>
      <c r="AG4932" s="1"/>
      <c r="AH4932" s="1"/>
      <c r="AI4932" s="1"/>
      <c r="AJ4932" s="1"/>
      <c r="AK4932" s="1"/>
      <c r="AL4932" s="1"/>
      <c r="AM4932" s="1"/>
    </row>
    <row r="4933" spans="16:39" x14ac:dyDescent="0.25">
      <c r="P4933" s="49"/>
      <c r="Q4933" s="1"/>
      <c r="S4933" s="1"/>
      <c r="T4933" s="1"/>
      <c r="U4933" s="1"/>
      <c r="V4933" s="1"/>
      <c r="W4933" s="1"/>
      <c r="X4933" s="1"/>
      <c r="Y4933" s="1"/>
      <c r="AB4933" s="1"/>
      <c r="AC4933" s="1"/>
      <c r="AD4933" s="1"/>
      <c r="AE4933" s="1"/>
      <c r="AF4933" s="1"/>
      <c r="AG4933" s="1"/>
      <c r="AH4933" s="1"/>
      <c r="AI4933" s="1"/>
      <c r="AJ4933" s="1"/>
      <c r="AK4933" s="1"/>
      <c r="AL4933" s="1"/>
      <c r="AM4933" s="1"/>
    </row>
    <row r="4934" spans="16:39" x14ac:dyDescent="0.25">
      <c r="P4934" s="49"/>
      <c r="Q4934" s="1"/>
      <c r="S4934" s="1"/>
      <c r="T4934" s="1"/>
      <c r="U4934" s="1"/>
      <c r="V4934" s="1"/>
      <c r="W4934" s="1"/>
      <c r="X4934" s="1"/>
      <c r="Y4934" s="1"/>
      <c r="AB4934" s="1"/>
      <c r="AC4934" s="1"/>
      <c r="AD4934" s="1"/>
      <c r="AE4934" s="1"/>
      <c r="AF4934" s="1"/>
      <c r="AG4934" s="1"/>
      <c r="AH4934" s="1"/>
      <c r="AI4934" s="1"/>
      <c r="AJ4934" s="1"/>
      <c r="AK4934" s="1"/>
      <c r="AL4934" s="1"/>
      <c r="AM4934" s="1"/>
    </row>
    <row r="4935" spans="16:39" x14ac:dyDescent="0.25">
      <c r="P4935" s="49"/>
      <c r="Q4935" s="1"/>
      <c r="S4935" s="1"/>
      <c r="T4935" s="1"/>
      <c r="U4935" s="1"/>
      <c r="V4935" s="1"/>
      <c r="W4935" s="1"/>
      <c r="X4935" s="1"/>
      <c r="Y4935" s="1"/>
      <c r="AB4935" s="1"/>
      <c r="AC4935" s="1"/>
      <c r="AD4935" s="1"/>
      <c r="AE4935" s="1"/>
      <c r="AF4935" s="1"/>
      <c r="AG4935" s="1"/>
      <c r="AH4935" s="1"/>
      <c r="AI4935" s="1"/>
      <c r="AJ4935" s="1"/>
      <c r="AK4935" s="1"/>
      <c r="AL4935" s="1"/>
      <c r="AM4935" s="1"/>
    </row>
    <row r="4936" spans="16:39" x14ac:dyDescent="0.25">
      <c r="P4936" s="49"/>
      <c r="Q4936" s="1"/>
      <c r="S4936" s="1"/>
      <c r="T4936" s="1"/>
      <c r="U4936" s="1"/>
      <c r="V4936" s="1"/>
      <c r="W4936" s="1"/>
      <c r="X4936" s="1"/>
      <c r="Y4936" s="1"/>
      <c r="AB4936" s="1"/>
      <c r="AC4936" s="1"/>
      <c r="AD4936" s="1"/>
      <c r="AE4936" s="1"/>
      <c r="AF4936" s="1"/>
      <c r="AG4936" s="1"/>
      <c r="AH4936" s="1"/>
      <c r="AI4936" s="1"/>
      <c r="AJ4936" s="1"/>
      <c r="AK4936" s="1"/>
      <c r="AL4936" s="1"/>
      <c r="AM4936" s="1"/>
    </row>
    <row r="4937" spans="16:39" x14ac:dyDescent="0.25">
      <c r="P4937" s="49"/>
      <c r="Q4937" s="1"/>
      <c r="S4937" s="1"/>
      <c r="T4937" s="1"/>
      <c r="U4937" s="1"/>
      <c r="V4937" s="1"/>
      <c r="W4937" s="1"/>
      <c r="X4937" s="1"/>
      <c r="Y4937" s="1"/>
      <c r="AB4937" s="1"/>
      <c r="AC4937" s="1"/>
      <c r="AD4937" s="1"/>
      <c r="AE4937" s="1"/>
      <c r="AF4937" s="1"/>
      <c r="AG4937" s="1"/>
      <c r="AH4937" s="1"/>
      <c r="AI4937" s="1"/>
      <c r="AJ4937" s="1"/>
      <c r="AK4937" s="1"/>
      <c r="AL4937" s="1"/>
      <c r="AM4937" s="1"/>
    </row>
    <row r="4938" spans="16:39" x14ac:dyDescent="0.25">
      <c r="P4938" s="49"/>
      <c r="Q4938" s="1"/>
      <c r="S4938" s="1"/>
      <c r="T4938" s="1"/>
      <c r="U4938" s="1"/>
      <c r="V4938" s="1"/>
      <c r="W4938" s="1"/>
      <c r="X4938" s="1"/>
      <c r="Y4938" s="1"/>
      <c r="AB4938" s="1"/>
      <c r="AC4938" s="1"/>
      <c r="AD4938" s="1"/>
      <c r="AE4938" s="1"/>
      <c r="AF4938" s="1"/>
      <c r="AG4938" s="1"/>
      <c r="AH4938" s="1"/>
      <c r="AI4938" s="1"/>
      <c r="AJ4938" s="1"/>
      <c r="AK4938" s="1"/>
      <c r="AL4938" s="1"/>
      <c r="AM4938" s="1"/>
    </row>
    <row r="4939" spans="16:39" x14ac:dyDescent="0.25">
      <c r="P4939" s="49"/>
      <c r="Q4939" s="1"/>
      <c r="S4939" s="1"/>
      <c r="T4939" s="1"/>
      <c r="U4939" s="1"/>
      <c r="V4939" s="1"/>
      <c r="W4939" s="1"/>
      <c r="X4939" s="1"/>
      <c r="Y4939" s="1"/>
      <c r="AB4939" s="1"/>
      <c r="AC4939" s="1"/>
      <c r="AD4939" s="1"/>
      <c r="AE4939" s="1"/>
      <c r="AF4939" s="1"/>
      <c r="AG4939" s="1"/>
      <c r="AH4939" s="1"/>
      <c r="AI4939" s="1"/>
      <c r="AJ4939" s="1"/>
      <c r="AK4939" s="1"/>
      <c r="AL4939" s="1"/>
      <c r="AM4939" s="1"/>
    </row>
    <row r="4940" spans="16:39" x14ac:dyDescent="0.25">
      <c r="P4940" s="49"/>
      <c r="Q4940" s="1"/>
      <c r="S4940" s="1"/>
      <c r="T4940" s="1"/>
      <c r="U4940" s="1"/>
      <c r="V4940" s="1"/>
      <c r="W4940" s="1"/>
      <c r="X4940" s="1"/>
      <c r="Y4940" s="1"/>
      <c r="AB4940" s="1"/>
      <c r="AC4940" s="1"/>
      <c r="AD4940" s="1"/>
      <c r="AE4940" s="1"/>
      <c r="AF4940" s="1"/>
      <c r="AG4940" s="1"/>
      <c r="AH4940" s="1"/>
      <c r="AI4940" s="1"/>
      <c r="AJ4940" s="1"/>
      <c r="AK4940" s="1"/>
      <c r="AL4940" s="1"/>
      <c r="AM4940" s="1"/>
    </row>
    <row r="4941" spans="16:39" x14ac:dyDescent="0.25">
      <c r="P4941" s="49"/>
      <c r="Q4941" s="1"/>
      <c r="S4941" s="1"/>
      <c r="T4941" s="1"/>
      <c r="U4941" s="1"/>
      <c r="V4941" s="1"/>
      <c r="W4941" s="1"/>
      <c r="X4941" s="1"/>
      <c r="Y4941" s="1"/>
      <c r="AB4941" s="1"/>
      <c r="AC4941" s="1"/>
      <c r="AD4941" s="1"/>
      <c r="AE4941" s="1"/>
      <c r="AF4941" s="1"/>
      <c r="AG4941" s="1"/>
      <c r="AH4941" s="1"/>
      <c r="AI4941" s="1"/>
      <c r="AJ4941" s="1"/>
      <c r="AK4941" s="1"/>
      <c r="AL4941" s="1"/>
      <c r="AM4941" s="1"/>
    </row>
    <row r="4942" spans="16:39" x14ac:dyDescent="0.25">
      <c r="P4942" s="49"/>
      <c r="Q4942" s="1"/>
      <c r="S4942" s="1"/>
      <c r="T4942" s="1"/>
      <c r="U4942" s="1"/>
      <c r="V4942" s="1"/>
      <c r="W4942" s="1"/>
      <c r="X4942" s="1"/>
      <c r="Y4942" s="1"/>
      <c r="AB4942" s="1"/>
      <c r="AC4942" s="1"/>
      <c r="AD4942" s="1"/>
      <c r="AE4942" s="1"/>
      <c r="AF4942" s="1"/>
      <c r="AG4942" s="1"/>
      <c r="AH4942" s="1"/>
      <c r="AI4942" s="1"/>
      <c r="AJ4942" s="1"/>
      <c r="AK4942" s="1"/>
      <c r="AL4942" s="1"/>
      <c r="AM4942" s="1"/>
    </row>
    <row r="4943" spans="16:39" x14ac:dyDescent="0.25">
      <c r="P4943" s="49"/>
      <c r="Q4943" s="1"/>
      <c r="S4943" s="1"/>
      <c r="T4943" s="1"/>
      <c r="U4943" s="1"/>
      <c r="V4943" s="1"/>
      <c r="W4943" s="1"/>
      <c r="X4943" s="1"/>
      <c r="Y4943" s="1"/>
      <c r="AB4943" s="1"/>
      <c r="AC4943" s="1"/>
      <c r="AD4943" s="1"/>
      <c r="AE4943" s="1"/>
      <c r="AF4943" s="1"/>
      <c r="AG4943" s="1"/>
      <c r="AH4943" s="1"/>
      <c r="AI4943" s="1"/>
      <c r="AJ4943" s="1"/>
      <c r="AK4943" s="1"/>
      <c r="AL4943" s="1"/>
      <c r="AM4943" s="1"/>
    </row>
    <row r="4944" spans="16:39" x14ac:dyDescent="0.25">
      <c r="P4944" s="49"/>
      <c r="Q4944" s="1"/>
      <c r="S4944" s="1"/>
      <c r="T4944" s="1"/>
      <c r="U4944" s="1"/>
      <c r="V4944" s="1"/>
      <c r="W4944" s="1"/>
      <c r="X4944" s="1"/>
      <c r="Y4944" s="1"/>
      <c r="AB4944" s="1"/>
      <c r="AC4944" s="1"/>
      <c r="AD4944" s="1"/>
      <c r="AE4944" s="1"/>
      <c r="AF4944" s="1"/>
      <c r="AG4944" s="1"/>
      <c r="AH4944" s="1"/>
      <c r="AI4944" s="1"/>
      <c r="AJ4944" s="1"/>
      <c r="AK4944" s="1"/>
      <c r="AL4944" s="1"/>
      <c r="AM4944" s="1"/>
    </row>
    <row r="4945" spans="16:39" x14ac:dyDescent="0.25">
      <c r="P4945" s="49"/>
      <c r="Q4945" s="1"/>
      <c r="S4945" s="1"/>
      <c r="T4945" s="1"/>
      <c r="U4945" s="1"/>
      <c r="V4945" s="1"/>
      <c r="W4945" s="1"/>
      <c r="X4945" s="1"/>
      <c r="Y4945" s="1"/>
      <c r="AB4945" s="1"/>
      <c r="AC4945" s="1"/>
      <c r="AD4945" s="1"/>
      <c r="AE4945" s="1"/>
      <c r="AF4945" s="1"/>
      <c r="AG4945" s="1"/>
      <c r="AH4945" s="1"/>
      <c r="AI4945" s="1"/>
      <c r="AJ4945" s="1"/>
      <c r="AK4945" s="1"/>
      <c r="AL4945" s="1"/>
      <c r="AM4945" s="1"/>
    </row>
    <row r="4946" spans="16:39" x14ac:dyDescent="0.25">
      <c r="P4946" s="49"/>
      <c r="Q4946" s="1"/>
      <c r="S4946" s="1"/>
      <c r="T4946" s="1"/>
      <c r="U4946" s="1"/>
      <c r="V4946" s="1"/>
      <c r="W4946" s="1"/>
      <c r="X4946" s="1"/>
      <c r="Y4946" s="1"/>
      <c r="AB4946" s="1"/>
      <c r="AC4946" s="1"/>
      <c r="AD4946" s="1"/>
      <c r="AE4946" s="1"/>
      <c r="AF4946" s="1"/>
      <c r="AG4946" s="1"/>
      <c r="AH4946" s="1"/>
      <c r="AI4946" s="1"/>
      <c r="AJ4946" s="1"/>
      <c r="AK4946" s="1"/>
      <c r="AL4946" s="1"/>
      <c r="AM4946" s="1"/>
    </row>
    <row r="4947" spans="16:39" x14ac:dyDescent="0.25">
      <c r="P4947" s="49"/>
      <c r="Q4947" s="1"/>
      <c r="S4947" s="1"/>
      <c r="T4947" s="1"/>
      <c r="U4947" s="1"/>
      <c r="V4947" s="1"/>
      <c r="W4947" s="1"/>
      <c r="X4947" s="1"/>
      <c r="Y4947" s="1"/>
      <c r="AB4947" s="1"/>
      <c r="AC4947" s="1"/>
      <c r="AD4947" s="1"/>
      <c r="AE4947" s="1"/>
      <c r="AF4947" s="1"/>
      <c r="AG4947" s="1"/>
      <c r="AH4947" s="1"/>
      <c r="AI4947" s="1"/>
      <c r="AJ4947" s="1"/>
      <c r="AK4947" s="1"/>
      <c r="AL4947" s="1"/>
      <c r="AM4947" s="1"/>
    </row>
    <row r="4948" spans="16:39" x14ac:dyDescent="0.25">
      <c r="P4948" s="49"/>
      <c r="Q4948" s="1"/>
      <c r="S4948" s="1"/>
      <c r="T4948" s="1"/>
      <c r="U4948" s="1"/>
      <c r="V4948" s="1"/>
      <c r="W4948" s="1"/>
      <c r="X4948" s="1"/>
      <c r="Y4948" s="1"/>
      <c r="AB4948" s="1"/>
      <c r="AC4948" s="1"/>
      <c r="AD4948" s="1"/>
      <c r="AE4948" s="1"/>
      <c r="AF4948" s="1"/>
      <c r="AG4948" s="1"/>
      <c r="AH4948" s="1"/>
      <c r="AI4948" s="1"/>
      <c r="AJ4948" s="1"/>
      <c r="AK4948" s="1"/>
      <c r="AL4948" s="1"/>
      <c r="AM4948" s="1"/>
    </row>
    <row r="4949" spans="16:39" x14ac:dyDescent="0.25">
      <c r="P4949" s="49"/>
      <c r="Q4949" s="1"/>
      <c r="S4949" s="1"/>
      <c r="T4949" s="1"/>
      <c r="U4949" s="1"/>
      <c r="V4949" s="1"/>
      <c r="W4949" s="1"/>
      <c r="X4949" s="1"/>
      <c r="Y4949" s="1"/>
      <c r="AB4949" s="1"/>
      <c r="AC4949" s="1"/>
      <c r="AD4949" s="1"/>
      <c r="AE4949" s="1"/>
      <c r="AF4949" s="1"/>
      <c r="AG4949" s="1"/>
      <c r="AH4949" s="1"/>
      <c r="AI4949" s="1"/>
      <c r="AJ4949" s="1"/>
      <c r="AK4949" s="1"/>
      <c r="AL4949" s="1"/>
      <c r="AM4949" s="1"/>
    </row>
    <row r="4950" spans="16:39" x14ac:dyDescent="0.25">
      <c r="P4950" s="49"/>
      <c r="Q4950" s="1"/>
      <c r="S4950" s="1"/>
      <c r="T4950" s="1"/>
      <c r="U4950" s="1"/>
      <c r="V4950" s="1"/>
      <c r="W4950" s="1"/>
      <c r="X4950" s="1"/>
      <c r="Y4950" s="1"/>
      <c r="AB4950" s="1"/>
      <c r="AC4950" s="1"/>
      <c r="AD4950" s="1"/>
      <c r="AE4950" s="1"/>
      <c r="AF4950" s="1"/>
      <c r="AG4950" s="1"/>
      <c r="AH4950" s="1"/>
      <c r="AI4950" s="1"/>
      <c r="AJ4950" s="1"/>
      <c r="AK4950" s="1"/>
      <c r="AL4950" s="1"/>
      <c r="AM4950" s="1"/>
    </row>
    <row r="4951" spans="16:39" x14ac:dyDescent="0.25">
      <c r="P4951" s="49"/>
      <c r="Q4951" s="1"/>
      <c r="S4951" s="1"/>
      <c r="T4951" s="1"/>
      <c r="U4951" s="1"/>
      <c r="V4951" s="1"/>
      <c r="W4951" s="1"/>
      <c r="X4951" s="1"/>
      <c r="Y4951" s="1"/>
      <c r="AB4951" s="1"/>
      <c r="AC4951" s="1"/>
      <c r="AD4951" s="1"/>
      <c r="AE4951" s="1"/>
      <c r="AF4951" s="1"/>
      <c r="AG4951" s="1"/>
      <c r="AH4951" s="1"/>
      <c r="AI4951" s="1"/>
      <c r="AJ4951" s="1"/>
      <c r="AK4951" s="1"/>
      <c r="AL4951" s="1"/>
      <c r="AM4951" s="1"/>
    </row>
    <row r="4952" spans="16:39" x14ac:dyDescent="0.25">
      <c r="P4952" s="49"/>
      <c r="Q4952" s="1"/>
      <c r="S4952" s="1"/>
      <c r="T4952" s="1"/>
      <c r="U4952" s="1"/>
      <c r="V4952" s="1"/>
      <c r="W4952" s="1"/>
      <c r="X4952" s="1"/>
      <c r="Y4952" s="1"/>
      <c r="AB4952" s="1"/>
      <c r="AC4952" s="1"/>
      <c r="AD4952" s="1"/>
      <c r="AE4952" s="1"/>
      <c r="AF4952" s="1"/>
      <c r="AG4952" s="1"/>
      <c r="AH4952" s="1"/>
      <c r="AI4952" s="1"/>
      <c r="AJ4952" s="1"/>
      <c r="AK4952" s="1"/>
      <c r="AL4952" s="1"/>
      <c r="AM4952" s="1"/>
    </row>
    <row r="4953" spans="16:39" x14ac:dyDescent="0.25">
      <c r="P4953" s="49"/>
      <c r="Q4953" s="1"/>
      <c r="S4953" s="1"/>
      <c r="T4953" s="1"/>
      <c r="U4953" s="1"/>
      <c r="V4953" s="1"/>
      <c r="W4953" s="1"/>
      <c r="X4953" s="1"/>
      <c r="Y4953" s="1"/>
      <c r="AB4953" s="1"/>
      <c r="AC4953" s="1"/>
      <c r="AD4953" s="1"/>
      <c r="AE4953" s="1"/>
      <c r="AF4953" s="1"/>
      <c r="AG4953" s="1"/>
      <c r="AH4953" s="1"/>
      <c r="AI4953" s="1"/>
      <c r="AJ4953" s="1"/>
      <c r="AK4953" s="1"/>
      <c r="AL4953" s="1"/>
      <c r="AM4953" s="1"/>
    </row>
    <row r="4954" spans="16:39" x14ac:dyDescent="0.25">
      <c r="P4954" s="49"/>
      <c r="Q4954" s="1"/>
      <c r="S4954" s="1"/>
      <c r="T4954" s="1"/>
      <c r="U4954" s="1"/>
      <c r="V4954" s="1"/>
      <c r="W4954" s="1"/>
      <c r="X4954" s="1"/>
      <c r="Y4954" s="1"/>
      <c r="AB4954" s="1"/>
      <c r="AC4954" s="1"/>
      <c r="AD4954" s="1"/>
      <c r="AE4954" s="1"/>
      <c r="AF4954" s="1"/>
      <c r="AG4954" s="1"/>
      <c r="AH4954" s="1"/>
      <c r="AI4954" s="1"/>
      <c r="AJ4954" s="1"/>
      <c r="AK4954" s="1"/>
      <c r="AL4954" s="1"/>
      <c r="AM4954" s="1"/>
    </row>
    <row r="4955" spans="16:39" x14ac:dyDescent="0.25">
      <c r="P4955" s="49"/>
      <c r="Q4955" s="1"/>
      <c r="S4955" s="1"/>
      <c r="T4955" s="1"/>
      <c r="U4955" s="1"/>
      <c r="V4955" s="1"/>
      <c r="W4955" s="1"/>
      <c r="X4955" s="1"/>
      <c r="Y4955" s="1"/>
      <c r="AB4955" s="1"/>
      <c r="AC4955" s="1"/>
      <c r="AD4955" s="1"/>
      <c r="AE4955" s="1"/>
      <c r="AF4955" s="1"/>
      <c r="AG4955" s="1"/>
      <c r="AH4955" s="1"/>
      <c r="AI4955" s="1"/>
      <c r="AJ4955" s="1"/>
      <c r="AK4955" s="1"/>
      <c r="AL4955" s="1"/>
      <c r="AM4955" s="1"/>
    </row>
    <row r="4956" spans="16:39" x14ac:dyDescent="0.25">
      <c r="P4956" s="49"/>
      <c r="Q4956" s="1"/>
      <c r="S4956" s="1"/>
      <c r="T4956" s="1"/>
      <c r="U4956" s="1"/>
      <c r="V4956" s="1"/>
      <c r="W4956" s="1"/>
      <c r="X4956" s="1"/>
      <c r="Y4956" s="1"/>
      <c r="AB4956" s="1"/>
      <c r="AC4956" s="1"/>
      <c r="AD4956" s="1"/>
      <c r="AE4956" s="1"/>
      <c r="AF4956" s="1"/>
      <c r="AG4956" s="1"/>
      <c r="AH4956" s="1"/>
      <c r="AI4956" s="1"/>
      <c r="AJ4956" s="1"/>
      <c r="AK4956" s="1"/>
      <c r="AL4956" s="1"/>
      <c r="AM4956" s="1"/>
    </row>
    <row r="4957" spans="16:39" x14ac:dyDescent="0.25">
      <c r="P4957" s="49"/>
      <c r="Q4957" s="1"/>
      <c r="S4957" s="1"/>
      <c r="T4957" s="1"/>
      <c r="U4957" s="1"/>
      <c r="V4957" s="1"/>
      <c r="W4957" s="1"/>
      <c r="X4957" s="1"/>
      <c r="Y4957" s="1"/>
      <c r="AB4957" s="1"/>
      <c r="AC4957" s="1"/>
      <c r="AD4957" s="1"/>
      <c r="AE4957" s="1"/>
      <c r="AF4957" s="1"/>
      <c r="AG4957" s="1"/>
      <c r="AH4957" s="1"/>
      <c r="AI4957" s="1"/>
      <c r="AJ4957" s="1"/>
      <c r="AK4957" s="1"/>
      <c r="AL4957" s="1"/>
      <c r="AM4957" s="1"/>
    </row>
    <row r="4958" spans="16:39" x14ac:dyDescent="0.25">
      <c r="P4958" s="49"/>
      <c r="Q4958" s="1"/>
      <c r="S4958" s="1"/>
      <c r="T4958" s="1"/>
      <c r="U4958" s="1"/>
      <c r="V4958" s="1"/>
      <c r="W4958" s="1"/>
      <c r="X4958" s="1"/>
      <c r="Y4958" s="1"/>
      <c r="AB4958" s="1"/>
      <c r="AC4958" s="1"/>
      <c r="AD4958" s="1"/>
      <c r="AE4958" s="1"/>
      <c r="AF4958" s="1"/>
      <c r="AG4958" s="1"/>
      <c r="AH4958" s="1"/>
      <c r="AI4958" s="1"/>
      <c r="AJ4958" s="1"/>
      <c r="AK4958" s="1"/>
      <c r="AL4958" s="1"/>
      <c r="AM4958" s="1"/>
    </row>
    <row r="4959" spans="16:39" x14ac:dyDescent="0.25">
      <c r="P4959" s="49"/>
      <c r="Q4959" s="1"/>
      <c r="S4959" s="1"/>
      <c r="T4959" s="1"/>
      <c r="U4959" s="1"/>
      <c r="V4959" s="1"/>
      <c r="W4959" s="1"/>
      <c r="X4959" s="1"/>
      <c r="Y4959" s="1"/>
      <c r="AB4959" s="1"/>
      <c r="AC4959" s="1"/>
      <c r="AD4959" s="1"/>
      <c r="AE4959" s="1"/>
      <c r="AF4959" s="1"/>
      <c r="AG4959" s="1"/>
      <c r="AH4959" s="1"/>
      <c r="AI4959" s="1"/>
      <c r="AJ4959" s="1"/>
      <c r="AK4959" s="1"/>
      <c r="AL4959" s="1"/>
      <c r="AM4959" s="1"/>
    </row>
    <row r="4960" spans="16:39" x14ac:dyDescent="0.25">
      <c r="P4960" s="49"/>
      <c r="Q4960" s="1"/>
      <c r="S4960" s="1"/>
      <c r="T4960" s="1"/>
      <c r="U4960" s="1"/>
      <c r="V4960" s="1"/>
      <c r="W4960" s="1"/>
      <c r="X4960" s="1"/>
      <c r="Y4960" s="1"/>
      <c r="AB4960" s="1"/>
      <c r="AC4960" s="1"/>
      <c r="AD4960" s="1"/>
      <c r="AE4960" s="1"/>
      <c r="AF4960" s="1"/>
      <c r="AG4960" s="1"/>
      <c r="AH4960" s="1"/>
      <c r="AI4960" s="1"/>
      <c r="AJ4960" s="1"/>
      <c r="AK4960" s="1"/>
      <c r="AL4960" s="1"/>
      <c r="AM4960" s="1"/>
    </row>
    <row r="4961" spans="16:39" x14ac:dyDescent="0.25">
      <c r="P4961" s="49"/>
      <c r="Q4961" s="1"/>
      <c r="S4961" s="1"/>
      <c r="T4961" s="1"/>
      <c r="U4961" s="1"/>
      <c r="V4961" s="1"/>
      <c r="W4961" s="1"/>
      <c r="X4961" s="1"/>
      <c r="Y4961" s="1"/>
      <c r="AB4961" s="1"/>
      <c r="AC4961" s="1"/>
      <c r="AD4961" s="1"/>
      <c r="AE4961" s="1"/>
      <c r="AF4961" s="1"/>
      <c r="AG4961" s="1"/>
      <c r="AH4961" s="1"/>
      <c r="AI4961" s="1"/>
      <c r="AJ4961" s="1"/>
      <c r="AK4961" s="1"/>
      <c r="AL4961" s="1"/>
      <c r="AM4961" s="1"/>
    </row>
    <row r="4962" spans="16:39" x14ac:dyDescent="0.25">
      <c r="P4962" s="49"/>
      <c r="Q4962" s="1"/>
      <c r="S4962" s="1"/>
      <c r="T4962" s="1"/>
      <c r="U4962" s="1"/>
      <c r="V4962" s="1"/>
      <c r="W4962" s="1"/>
      <c r="X4962" s="1"/>
      <c r="Y4962" s="1"/>
      <c r="AB4962" s="1"/>
      <c r="AC4962" s="1"/>
      <c r="AD4962" s="1"/>
      <c r="AE4962" s="1"/>
      <c r="AF4962" s="1"/>
      <c r="AG4962" s="1"/>
      <c r="AH4962" s="1"/>
      <c r="AI4962" s="1"/>
      <c r="AJ4962" s="1"/>
      <c r="AK4962" s="1"/>
      <c r="AL4962" s="1"/>
      <c r="AM4962" s="1"/>
    </row>
    <row r="4963" spans="16:39" x14ac:dyDescent="0.25">
      <c r="P4963" s="49"/>
      <c r="Q4963" s="1"/>
      <c r="S4963" s="1"/>
      <c r="T4963" s="1"/>
      <c r="U4963" s="1"/>
      <c r="V4963" s="1"/>
      <c r="W4963" s="1"/>
      <c r="X4963" s="1"/>
      <c r="Y4963" s="1"/>
      <c r="AB4963" s="1"/>
      <c r="AC4963" s="1"/>
      <c r="AD4963" s="1"/>
      <c r="AE4963" s="1"/>
      <c r="AF4963" s="1"/>
      <c r="AG4963" s="1"/>
      <c r="AH4963" s="1"/>
      <c r="AI4963" s="1"/>
      <c r="AJ4963" s="1"/>
      <c r="AK4963" s="1"/>
      <c r="AL4963" s="1"/>
      <c r="AM4963" s="1"/>
    </row>
    <row r="4964" spans="16:39" x14ac:dyDescent="0.25">
      <c r="P4964" s="49"/>
      <c r="Q4964" s="1"/>
      <c r="S4964" s="1"/>
      <c r="T4964" s="1"/>
      <c r="U4964" s="1"/>
      <c r="V4964" s="1"/>
      <c r="W4964" s="1"/>
      <c r="X4964" s="1"/>
      <c r="Y4964" s="1"/>
      <c r="AB4964" s="1"/>
      <c r="AC4964" s="1"/>
      <c r="AD4964" s="1"/>
      <c r="AE4964" s="1"/>
      <c r="AF4964" s="1"/>
      <c r="AG4964" s="1"/>
      <c r="AH4964" s="1"/>
      <c r="AI4964" s="1"/>
      <c r="AJ4964" s="1"/>
      <c r="AK4964" s="1"/>
      <c r="AL4964" s="1"/>
      <c r="AM4964" s="1"/>
    </row>
    <row r="4965" spans="16:39" x14ac:dyDescent="0.25">
      <c r="P4965" s="49"/>
      <c r="Q4965" s="1"/>
      <c r="S4965" s="1"/>
      <c r="T4965" s="1"/>
      <c r="U4965" s="1"/>
      <c r="V4965" s="1"/>
      <c r="W4965" s="1"/>
      <c r="X4965" s="1"/>
      <c r="Y4965" s="1"/>
      <c r="AB4965" s="1"/>
      <c r="AC4965" s="1"/>
      <c r="AD4965" s="1"/>
      <c r="AE4965" s="1"/>
      <c r="AF4965" s="1"/>
      <c r="AG4965" s="1"/>
      <c r="AH4965" s="1"/>
      <c r="AI4965" s="1"/>
      <c r="AJ4965" s="1"/>
      <c r="AK4965" s="1"/>
      <c r="AL4965" s="1"/>
      <c r="AM4965" s="1"/>
    </row>
    <row r="4966" spans="16:39" x14ac:dyDescent="0.25">
      <c r="P4966" s="49"/>
      <c r="Q4966" s="1"/>
      <c r="S4966" s="1"/>
      <c r="T4966" s="1"/>
      <c r="U4966" s="1"/>
      <c r="V4966" s="1"/>
      <c r="W4966" s="1"/>
      <c r="X4966" s="1"/>
      <c r="Y4966" s="1"/>
      <c r="AB4966" s="1"/>
      <c r="AC4966" s="1"/>
      <c r="AD4966" s="1"/>
      <c r="AE4966" s="1"/>
      <c r="AF4966" s="1"/>
      <c r="AG4966" s="1"/>
      <c r="AH4966" s="1"/>
      <c r="AI4966" s="1"/>
      <c r="AJ4966" s="1"/>
      <c r="AK4966" s="1"/>
      <c r="AL4966" s="1"/>
      <c r="AM4966" s="1"/>
    </row>
    <row r="4967" spans="16:39" x14ac:dyDescent="0.25">
      <c r="P4967" s="49"/>
      <c r="Q4967" s="1"/>
      <c r="S4967" s="1"/>
      <c r="T4967" s="1"/>
      <c r="U4967" s="1"/>
      <c r="V4967" s="1"/>
      <c r="W4967" s="1"/>
      <c r="X4967" s="1"/>
      <c r="Y4967" s="1"/>
      <c r="AB4967" s="1"/>
      <c r="AC4967" s="1"/>
      <c r="AD4967" s="1"/>
      <c r="AE4967" s="1"/>
      <c r="AF4967" s="1"/>
      <c r="AG4967" s="1"/>
      <c r="AH4967" s="1"/>
      <c r="AI4967" s="1"/>
      <c r="AJ4967" s="1"/>
      <c r="AK4967" s="1"/>
      <c r="AL4967" s="1"/>
      <c r="AM4967" s="1"/>
    </row>
    <row r="4968" spans="16:39" x14ac:dyDescent="0.25">
      <c r="P4968" s="49"/>
      <c r="Q4968" s="1"/>
      <c r="S4968" s="1"/>
      <c r="T4968" s="1"/>
      <c r="U4968" s="1"/>
      <c r="V4968" s="1"/>
      <c r="W4968" s="1"/>
      <c r="X4968" s="1"/>
      <c r="Y4968" s="1"/>
      <c r="AB4968" s="1"/>
      <c r="AC4968" s="1"/>
      <c r="AD4968" s="1"/>
      <c r="AE4968" s="1"/>
      <c r="AF4968" s="1"/>
      <c r="AG4968" s="1"/>
      <c r="AH4968" s="1"/>
      <c r="AI4968" s="1"/>
      <c r="AJ4968" s="1"/>
      <c r="AK4968" s="1"/>
      <c r="AL4968" s="1"/>
      <c r="AM4968" s="1"/>
    </row>
    <row r="4969" spans="16:39" x14ac:dyDescent="0.25">
      <c r="P4969" s="49"/>
      <c r="Q4969" s="1"/>
      <c r="S4969" s="1"/>
      <c r="T4969" s="1"/>
      <c r="U4969" s="1"/>
      <c r="V4969" s="1"/>
      <c r="W4969" s="1"/>
      <c r="X4969" s="1"/>
      <c r="Y4969" s="1"/>
      <c r="AB4969" s="1"/>
      <c r="AC4969" s="1"/>
      <c r="AD4969" s="1"/>
      <c r="AE4969" s="1"/>
      <c r="AF4969" s="1"/>
      <c r="AG4969" s="1"/>
      <c r="AH4969" s="1"/>
      <c r="AI4969" s="1"/>
      <c r="AJ4969" s="1"/>
      <c r="AK4969" s="1"/>
      <c r="AL4969" s="1"/>
      <c r="AM4969" s="1"/>
    </row>
    <row r="4970" spans="16:39" x14ac:dyDescent="0.25">
      <c r="P4970" s="49"/>
      <c r="Q4970" s="1"/>
      <c r="S4970" s="1"/>
      <c r="T4970" s="1"/>
      <c r="U4970" s="1"/>
      <c r="V4970" s="1"/>
      <c r="W4970" s="1"/>
      <c r="X4970" s="1"/>
      <c r="Y4970" s="1"/>
      <c r="AB4970" s="1"/>
      <c r="AC4970" s="1"/>
      <c r="AD4970" s="1"/>
      <c r="AE4970" s="1"/>
      <c r="AF4970" s="1"/>
      <c r="AG4970" s="1"/>
      <c r="AH4970" s="1"/>
      <c r="AI4970" s="1"/>
      <c r="AJ4970" s="1"/>
      <c r="AK4970" s="1"/>
      <c r="AL4970" s="1"/>
      <c r="AM4970" s="1"/>
    </row>
    <row r="4971" spans="16:39" x14ac:dyDescent="0.25">
      <c r="P4971" s="49"/>
      <c r="Q4971" s="1"/>
      <c r="S4971" s="1"/>
      <c r="T4971" s="1"/>
      <c r="U4971" s="1"/>
      <c r="V4971" s="1"/>
      <c r="W4971" s="1"/>
      <c r="X4971" s="1"/>
      <c r="Y4971" s="1"/>
      <c r="AB4971" s="1"/>
      <c r="AC4971" s="1"/>
      <c r="AD4971" s="1"/>
      <c r="AE4971" s="1"/>
      <c r="AF4971" s="1"/>
      <c r="AG4971" s="1"/>
      <c r="AH4971" s="1"/>
      <c r="AI4971" s="1"/>
      <c r="AJ4971" s="1"/>
      <c r="AK4971" s="1"/>
      <c r="AL4971" s="1"/>
      <c r="AM4971" s="1"/>
    </row>
    <row r="4972" spans="16:39" x14ac:dyDescent="0.25">
      <c r="P4972" s="49"/>
      <c r="Q4972" s="1"/>
      <c r="S4972" s="1"/>
      <c r="T4972" s="1"/>
      <c r="U4972" s="1"/>
      <c r="V4972" s="1"/>
      <c r="W4972" s="1"/>
      <c r="X4972" s="1"/>
      <c r="Y4972" s="1"/>
      <c r="AB4972" s="1"/>
      <c r="AC4972" s="1"/>
      <c r="AD4972" s="1"/>
      <c r="AE4972" s="1"/>
      <c r="AF4972" s="1"/>
      <c r="AG4972" s="1"/>
      <c r="AH4972" s="1"/>
      <c r="AI4972" s="1"/>
      <c r="AJ4972" s="1"/>
      <c r="AK4972" s="1"/>
      <c r="AL4972" s="1"/>
      <c r="AM4972" s="1"/>
    </row>
    <row r="4973" spans="16:39" x14ac:dyDescent="0.25">
      <c r="P4973" s="49"/>
      <c r="Q4973" s="1"/>
      <c r="S4973" s="1"/>
      <c r="T4973" s="1"/>
      <c r="U4973" s="1"/>
      <c r="V4973" s="1"/>
      <c r="W4973" s="1"/>
      <c r="X4973" s="1"/>
      <c r="Y4973" s="1"/>
      <c r="AB4973" s="1"/>
      <c r="AC4973" s="1"/>
      <c r="AD4973" s="1"/>
      <c r="AE4973" s="1"/>
      <c r="AF4973" s="1"/>
      <c r="AG4973" s="1"/>
      <c r="AH4973" s="1"/>
      <c r="AI4973" s="1"/>
      <c r="AJ4973" s="1"/>
      <c r="AK4973" s="1"/>
      <c r="AL4973" s="1"/>
      <c r="AM4973" s="1"/>
    </row>
    <row r="4974" spans="16:39" x14ac:dyDescent="0.25">
      <c r="P4974" s="49"/>
      <c r="Q4974" s="1"/>
      <c r="S4974" s="1"/>
      <c r="T4974" s="1"/>
      <c r="U4974" s="1"/>
      <c r="V4974" s="1"/>
      <c r="W4974" s="1"/>
      <c r="X4974" s="1"/>
      <c r="Y4974" s="1"/>
      <c r="AB4974" s="1"/>
      <c r="AC4974" s="1"/>
      <c r="AD4974" s="1"/>
      <c r="AE4974" s="1"/>
      <c r="AF4974" s="1"/>
      <c r="AG4974" s="1"/>
      <c r="AH4974" s="1"/>
      <c r="AI4974" s="1"/>
      <c r="AJ4974" s="1"/>
      <c r="AK4974" s="1"/>
      <c r="AL4974" s="1"/>
      <c r="AM4974" s="1"/>
    </row>
    <row r="4975" spans="16:39" x14ac:dyDescent="0.25">
      <c r="P4975" s="49"/>
      <c r="Q4975" s="1"/>
      <c r="S4975" s="1"/>
      <c r="T4975" s="1"/>
      <c r="U4975" s="1"/>
      <c r="V4975" s="1"/>
      <c r="W4975" s="1"/>
      <c r="X4975" s="1"/>
      <c r="Y4975" s="1"/>
      <c r="AB4975" s="1"/>
      <c r="AC4975" s="1"/>
      <c r="AD4975" s="1"/>
      <c r="AE4975" s="1"/>
      <c r="AF4975" s="1"/>
      <c r="AG4975" s="1"/>
      <c r="AH4975" s="1"/>
      <c r="AI4975" s="1"/>
      <c r="AJ4975" s="1"/>
      <c r="AK4975" s="1"/>
      <c r="AL4975" s="1"/>
      <c r="AM4975" s="1"/>
    </row>
    <row r="4976" spans="16:39" x14ac:dyDescent="0.25">
      <c r="P4976" s="49"/>
      <c r="Q4976" s="1"/>
      <c r="S4976" s="1"/>
      <c r="T4976" s="1"/>
      <c r="U4976" s="1"/>
      <c r="V4976" s="1"/>
      <c r="W4976" s="1"/>
      <c r="X4976" s="1"/>
      <c r="Y4976" s="1"/>
      <c r="AB4976" s="1"/>
      <c r="AC4976" s="1"/>
      <c r="AD4976" s="1"/>
      <c r="AE4976" s="1"/>
      <c r="AF4976" s="1"/>
      <c r="AG4976" s="1"/>
      <c r="AH4976" s="1"/>
      <c r="AI4976" s="1"/>
      <c r="AJ4976" s="1"/>
      <c r="AK4976" s="1"/>
      <c r="AL4976" s="1"/>
      <c r="AM4976" s="1"/>
    </row>
    <row r="4977" spans="16:39" x14ac:dyDescent="0.25">
      <c r="P4977" s="49"/>
      <c r="Q4977" s="1"/>
      <c r="S4977" s="1"/>
      <c r="T4977" s="1"/>
      <c r="U4977" s="1"/>
      <c r="V4977" s="1"/>
      <c r="W4977" s="1"/>
      <c r="X4977" s="1"/>
      <c r="Y4977" s="1"/>
      <c r="AB4977" s="1"/>
      <c r="AC4977" s="1"/>
      <c r="AD4977" s="1"/>
      <c r="AE4977" s="1"/>
      <c r="AF4977" s="1"/>
      <c r="AG4977" s="1"/>
      <c r="AH4977" s="1"/>
      <c r="AI4977" s="1"/>
      <c r="AJ4977" s="1"/>
      <c r="AK4977" s="1"/>
      <c r="AL4977" s="1"/>
      <c r="AM4977" s="1"/>
    </row>
    <row r="4978" spans="16:39" x14ac:dyDescent="0.25">
      <c r="P4978" s="49"/>
      <c r="Q4978" s="1"/>
      <c r="S4978" s="1"/>
      <c r="T4978" s="1"/>
      <c r="U4978" s="1"/>
      <c r="V4978" s="1"/>
      <c r="W4978" s="1"/>
      <c r="X4978" s="1"/>
      <c r="Y4978" s="1"/>
      <c r="AB4978" s="1"/>
      <c r="AC4978" s="1"/>
      <c r="AD4978" s="1"/>
      <c r="AE4978" s="1"/>
      <c r="AF4978" s="1"/>
      <c r="AG4978" s="1"/>
      <c r="AH4978" s="1"/>
      <c r="AI4978" s="1"/>
      <c r="AJ4978" s="1"/>
      <c r="AK4978" s="1"/>
      <c r="AL4978" s="1"/>
      <c r="AM4978" s="1"/>
    </row>
    <row r="4979" spans="16:39" x14ac:dyDescent="0.25">
      <c r="P4979" s="49"/>
      <c r="Q4979" s="1"/>
      <c r="S4979" s="1"/>
      <c r="T4979" s="1"/>
      <c r="U4979" s="1"/>
      <c r="V4979" s="1"/>
      <c r="W4979" s="1"/>
      <c r="X4979" s="1"/>
      <c r="Y4979" s="1"/>
      <c r="AB4979" s="1"/>
      <c r="AC4979" s="1"/>
      <c r="AD4979" s="1"/>
      <c r="AE4979" s="1"/>
      <c r="AF4979" s="1"/>
      <c r="AG4979" s="1"/>
      <c r="AH4979" s="1"/>
      <c r="AI4979" s="1"/>
      <c r="AJ4979" s="1"/>
      <c r="AK4979" s="1"/>
      <c r="AL4979" s="1"/>
      <c r="AM4979" s="1"/>
    </row>
    <row r="4980" spans="16:39" x14ac:dyDescent="0.25">
      <c r="P4980" s="49"/>
      <c r="Q4980" s="1"/>
      <c r="S4980" s="1"/>
      <c r="T4980" s="1"/>
      <c r="U4980" s="1"/>
      <c r="V4980" s="1"/>
      <c r="W4980" s="1"/>
      <c r="X4980" s="1"/>
      <c r="Y4980" s="1"/>
      <c r="AB4980" s="1"/>
      <c r="AC4980" s="1"/>
      <c r="AD4980" s="1"/>
      <c r="AE4980" s="1"/>
      <c r="AF4980" s="1"/>
      <c r="AG4980" s="1"/>
      <c r="AH4980" s="1"/>
      <c r="AI4980" s="1"/>
      <c r="AJ4980" s="1"/>
      <c r="AK4980" s="1"/>
      <c r="AL4980" s="1"/>
      <c r="AM4980" s="1"/>
    </row>
    <row r="4981" spans="16:39" x14ac:dyDescent="0.25">
      <c r="P4981" s="49"/>
      <c r="Q4981" s="1"/>
      <c r="S4981" s="1"/>
      <c r="T4981" s="1"/>
      <c r="U4981" s="1"/>
      <c r="V4981" s="1"/>
      <c r="W4981" s="1"/>
      <c r="X4981" s="1"/>
      <c r="Y4981" s="1"/>
      <c r="AB4981" s="1"/>
      <c r="AC4981" s="1"/>
      <c r="AD4981" s="1"/>
      <c r="AE4981" s="1"/>
      <c r="AF4981" s="1"/>
      <c r="AG4981" s="1"/>
      <c r="AH4981" s="1"/>
      <c r="AI4981" s="1"/>
      <c r="AJ4981" s="1"/>
      <c r="AK4981" s="1"/>
      <c r="AL4981" s="1"/>
      <c r="AM4981" s="1"/>
    </row>
    <row r="4982" spans="16:39" x14ac:dyDescent="0.25">
      <c r="P4982" s="49"/>
      <c r="Q4982" s="1"/>
      <c r="S4982" s="1"/>
      <c r="T4982" s="1"/>
      <c r="U4982" s="1"/>
      <c r="V4982" s="1"/>
      <c r="W4982" s="1"/>
      <c r="X4982" s="1"/>
      <c r="Y4982" s="1"/>
      <c r="AB4982" s="1"/>
      <c r="AC4982" s="1"/>
      <c r="AD4982" s="1"/>
      <c r="AE4982" s="1"/>
      <c r="AF4982" s="1"/>
      <c r="AG4982" s="1"/>
      <c r="AH4982" s="1"/>
      <c r="AI4982" s="1"/>
      <c r="AJ4982" s="1"/>
      <c r="AK4982" s="1"/>
      <c r="AL4982" s="1"/>
      <c r="AM4982" s="1"/>
    </row>
    <row r="4983" spans="16:39" x14ac:dyDescent="0.25">
      <c r="P4983" s="49"/>
      <c r="Q4983" s="1"/>
      <c r="S4983" s="1"/>
      <c r="T4983" s="1"/>
      <c r="U4983" s="1"/>
      <c r="V4983" s="1"/>
      <c r="W4983" s="1"/>
      <c r="X4983" s="1"/>
      <c r="Y4983" s="1"/>
      <c r="AB4983" s="1"/>
      <c r="AC4983" s="1"/>
      <c r="AD4983" s="1"/>
      <c r="AE4983" s="1"/>
      <c r="AF4983" s="1"/>
      <c r="AG4983" s="1"/>
      <c r="AH4983" s="1"/>
      <c r="AI4983" s="1"/>
      <c r="AJ4983" s="1"/>
      <c r="AK4983" s="1"/>
      <c r="AL4983" s="1"/>
      <c r="AM4983" s="1"/>
    </row>
    <row r="4984" spans="16:39" x14ac:dyDescent="0.25">
      <c r="P4984" s="49"/>
      <c r="Q4984" s="1"/>
      <c r="S4984" s="1"/>
      <c r="T4984" s="1"/>
      <c r="U4984" s="1"/>
      <c r="V4984" s="1"/>
      <c r="W4984" s="1"/>
      <c r="X4984" s="1"/>
      <c r="Y4984" s="1"/>
      <c r="AB4984" s="1"/>
      <c r="AC4984" s="1"/>
      <c r="AD4984" s="1"/>
      <c r="AE4984" s="1"/>
      <c r="AF4984" s="1"/>
      <c r="AG4984" s="1"/>
      <c r="AH4984" s="1"/>
      <c r="AI4984" s="1"/>
      <c r="AJ4984" s="1"/>
      <c r="AK4984" s="1"/>
      <c r="AL4984" s="1"/>
      <c r="AM4984" s="1"/>
    </row>
    <row r="4985" spans="16:39" x14ac:dyDescent="0.25">
      <c r="P4985" s="49"/>
      <c r="Q4985" s="1"/>
      <c r="S4985" s="1"/>
      <c r="T4985" s="1"/>
      <c r="U4985" s="1"/>
      <c r="V4985" s="1"/>
      <c r="W4985" s="1"/>
      <c r="X4985" s="1"/>
      <c r="Y4985" s="1"/>
      <c r="AB4985" s="1"/>
      <c r="AC4985" s="1"/>
      <c r="AD4985" s="1"/>
      <c r="AE4985" s="1"/>
      <c r="AF4985" s="1"/>
      <c r="AG4985" s="1"/>
      <c r="AH4985" s="1"/>
      <c r="AI4985" s="1"/>
      <c r="AJ4985" s="1"/>
      <c r="AK4985" s="1"/>
      <c r="AL4985" s="1"/>
      <c r="AM4985" s="1"/>
    </row>
    <row r="4986" spans="16:39" x14ac:dyDescent="0.25">
      <c r="P4986" s="49"/>
      <c r="Q4986" s="1"/>
      <c r="S4986" s="1"/>
      <c r="T4986" s="1"/>
      <c r="U4986" s="1"/>
      <c r="V4986" s="1"/>
      <c r="W4986" s="1"/>
      <c r="X4986" s="1"/>
      <c r="Y4986" s="1"/>
      <c r="AB4986" s="1"/>
      <c r="AC4986" s="1"/>
      <c r="AD4986" s="1"/>
      <c r="AE4986" s="1"/>
      <c r="AF4986" s="1"/>
      <c r="AG4986" s="1"/>
      <c r="AH4986" s="1"/>
      <c r="AI4986" s="1"/>
      <c r="AJ4986" s="1"/>
      <c r="AK4986" s="1"/>
      <c r="AL4986" s="1"/>
      <c r="AM4986" s="1"/>
    </row>
    <row r="4987" spans="16:39" x14ac:dyDescent="0.25">
      <c r="P4987" s="49"/>
      <c r="Q4987" s="1"/>
      <c r="S4987" s="1"/>
      <c r="T4987" s="1"/>
      <c r="U4987" s="1"/>
      <c r="V4987" s="1"/>
      <c r="W4987" s="1"/>
      <c r="X4987" s="1"/>
      <c r="Y4987" s="1"/>
      <c r="AB4987" s="1"/>
      <c r="AC4987" s="1"/>
      <c r="AD4987" s="1"/>
      <c r="AE4987" s="1"/>
      <c r="AF4987" s="1"/>
      <c r="AG4987" s="1"/>
      <c r="AH4987" s="1"/>
      <c r="AI4987" s="1"/>
      <c r="AJ4987" s="1"/>
      <c r="AK4987" s="1"/>
      <c r="AL4987" s="1"/>
      <c r="AM4987" s="1"/>
    </row>
    <row r="4988" spans="16:39" x14ac:dyDescent="0.25">
      <c r="P4988" s="49"/>
      <c r="Q4988" s="1"/>
      <c r="S4988" s="1"/>
      <c r="T4988" s="1"/>
      <c r="U4988" s="1"/>
      <c r="V4988" s="1"/>
      <c r="W4988" s="1"/>
      <c r="X4988" s="1"/>
      <c r="Y4988" s="1"/>
      <c r="AB4988" s="1"/>
      <c r="AC4988" s="1"/>
      <c r="AD4988" s="1"/>
      <c r="AE4988" s="1"/>
      <c r="AF4988" s="1"/>
      <c r="AG4988" s="1"/>
      <c r="AH4988" s="1"/>
      <c r="AI4988" s="1"/>
      <c r="AJ4988" s="1"/>
      <c r="AK4988" s="1"/>
      <c r="AL4988" s="1"/>
      <c r="AM4988" s="1"/>
    </row>
    <row r="4989" spans="16:39" x14ac:dyDescent="0.25">
      <c r="P4989" s="49"/>
      <c r="Q4989" s="1"/>
      <c r="S4989" s="1"/>
      <c r="T4989" s="1"/>
      <c r="U4989" s="1"/>
      <c r="V4989" s="1"/>
      <c r="W4989" s="1"/>
      <c r="X4989" s="1"/>
      <c r="Y4989" s="1"/>
      <c r="AB4989" s="1"/>
      <c r="AC4989" s="1"/>
      <c r="AD4989" s="1"/>
      <c r="AE4989" s="1"/>
      <c r="AF4989" s="1"/>
      <c r="AG4989" s="1"/>
      <c r="AH4989" s="1"/>
      <c r="AI4989" s="1"/>
      <c r="AJ4989" s="1"/>
      <c r="AK4989" s="1"/>
      <c r="AL4989" s="1"/>
      <c r="AM4989" s="1"/>
    </row>
    <row r="4990" spans="16:39" x14ac:dyDescent="0.25">
      <c r="P4990" s="49"/>
      <c r="Q4990" s="1"/>
      <c r="S4990" s="1"/>
      <c r="T4990" s="1"/>
      <c r="U4990" s="1"/>
      <c r="V4990" s="1"/>
      <c r="W4990" s="1"/>
      <c r="X4990" s="1"/>
      <c r="Y4990" s="1"/>
      <c r="AB4990" s="1"/>
      <c r="AC4990" s="1"/>
      <c r="AD4990" s="1"/>
      <c r="AE4990" s="1"/>
      <c r="AF4990" s="1"/>
      <c r="AG4990" s="1"/>
      <c r="AH4990" s="1"/>
      <c r="AI4990" s="1"/>
      <c r="AJ4990" s="1"/>
      <c r="AK4990" s="1"/>
      <c r="AL4990" s="1"/>
      <c r="AM4990" s="1"/>
    </row>
    <row r="4991" spans="16:39" x14ac:dyDescent="0.25">
      <c r="P4991" s="49"/>
      <c r="Q4991" s="1"/>
      <c r="S4991" s="1"/>
      <c r="T4991" s="1"/>
      <c r="U4991" s="1"/>
      <c r="V4991" s="1"/>
      <c r="W4991" s="1"/>
      <c r="X4991" s="1"/>
      <c r="Y4991" s="1"/>
      <c r="AB4991" s="1"/>
      <c r="AC4991" s="1"/>
      <c r="AD4991" s="1"/>
      <c r="AE4991" s="1"/>
      <c r="AF4991" s="1"/>
      <c r="AG4991" s="1"/>
      <c r="AH4991" s="1"/>
      <c r="AI4991" s="1"/>
      <c r="AJ4991" s="1"/>
      <c r="AK4991" s="1"/>
      <c r="AL4991" s="1"/>
      <c r="AM4991" s="1"/>
    </row>
    <row r="4992" spans="16:39" x14ac:dyDescent="0.25">
      <c r="P4992" s="49"/>
      <c r="Q4992" s="1"/>
      <c r="S4992" s="1"/>
      <c r="T4992" s="1"/>
      <c r="U4992" s="1"/>
      <c r="V4992" s="1"/>
      <c r="W4992" s="1"/>
      <c r="X4992" s="1"/>
      <c r="Y4992" s="1"/>
      <c r="AB4992" s="1"/>
      <c r="AC4992" s="1"/>
      <c r="AD4992" s="1"/>
      <c r="AE4992" s="1"/>
      <c r="AF4992" s="1"/>
      <c r="AG4992" s="1"/>
      <c r="AH4992" s="1"/>
      <c r="AI4992" s="1"/>
      <c r="AJ4992" s="1"/>
      <c r="AK4992" s="1"/>
      <c r="AL4992" s="1"/>
      <c r="AM4992" s="1"/>
    </row>
    <row r="4993" spans="16:39" x14ac:dyDescent="0.25">
      <c r="P4993" s="49"/>
      <c r="Q4993" s="1"/>
      <c r="S4993" s="1"/>
      <c r="T4993" s="1"/>
      <c r="U4993" s="1"/>
      <c r="V4993" s="1"/>
      <c r="W4993" s="1"/>
      <c r="X4993" s="1"/>
      <c r="Y4993" s="1"/>
      <c r="AB4993" s="1"/>
      <c r="AC4993" s="1"/>
      <c r="AD4993" s="1"/>
      <c r="AE4993" s="1"/>
      <c r="AF4993" s="1"/>
      <c r="AG4993" s="1"/>
      <c r="AH4993" s="1"/>
      <c r="AI4993" s="1"/>
      <c r="AJ4993" s="1"/>
      <c r="AK4993" s="1"/>
      <c r="AL4993" s="1"/>
      <c r="AM4993" s="1"/>
    </row>
    <row r="4994" spans="16:39" x14ac:dyDescent="0.25">
      <c r="P4994" s="49"/>
      <c r="Q4994" s="1"/>
      <c r="S4994" s="1"/>
      <c r="T4994" s="1"/>
      <c r="U4994" s="1"/>
      <c r="V4994" s="1"/>
      <c r="W4994" s="1"/>
      <c r="X4994" s="1"/>
      <c r="Y4994" s="1"/>
      <c r="AB4994" s="1"/>
      <c r="AC4994" s="1"/>
      <c r="AD4994" s="1"/>
      <c r="AE4994" s="1"/>
      <c r="AF4994" s="1"/>
      <c r="AG4994" s="1"/>
      <c r="AH4994" s="1"/>
      <c r="AI4994" s="1"/>
      <c r="AJ4994" s="1"/>
      <c r="AK4994" s="1"/>
      <c r="AL4994" s="1"/>
      <c r="AM4994" s="1"/>
    </row>
    <row r="4995" spans="16:39" x14ac:dyDescent="0.25">
      <c r="P4995" s="49"/>
      <c r="Q4995" s="1"/>
      <c r="S4995" s="1"/>
      <c r="T4995" s="1"/>
      <c r="U4995" s="1"/>
      <c r="V4995" s="1"/>
      <c r="W4995" s="1"/>
      <c r="X4995" s="1"/>
      <c r="Y4995" s="1"/>
      <c r="AB4995" s="1"/>
      <c r="AC4995" s="1"/>
      <c r="AD4995" s="1"/>
      <c r="AE4995" s="1"/>
      <c r="AF4995" s="1"/>
      <c r="AG4995" s="1"/>
      <c r="AH4995" s="1"/>
      <c r="AI4995" s="1"/>
      <c r="AJ4995" s="1"/>
      <c r="AK4995" s="1"/>
      <c r="AL4995" s="1"/>
      <c r="AM4995" s="1"/>
    </row>
    <row r="4996" spans="16:39" x14ac:dyDescent="0.25">
      <c r="P4996" s="49"/>
      <c r="Q4996" s="1"/>
      <c r="S4996" s="1"/>
      <c r="T4996" s="1"/>
      <c r="U4996" s="1"/>
      <c r="V4996" s="1"/>
      <c r="W4996" s="1"/>
      <c r="X4996" s="1"/>
      <c r="Y4996" s="1"/>
      <c r="AB4996" s="1"/>
      <c r="AC4996" s="1"/>
      <c r="AD4996" s="1"/>
      <c r="AE4996" s="1"/>
      <c r="AF4996" s="1"/>
      <c r="AG4996" s="1"/>
      <c r="AH4996" s="1"/>
      <c r="AI4996" s="1"/>
      <c r="AJ4996" s="1"/>
      <c r="AK4996" s="1"/>
      <c r="AL4996" s="1"/>
      <c r="AM4996" s="1"/>
    </row>
    <row r="4997" spans="16:39" x14ac:dyDescent="0.25">
      <c r="P4997" s="49"/>
      <c r="Q4997" s="1"/>
      <c r="S4997" s="1"/>
      <c r="T4997" s="1"/>
      <c r="U4997" s="1"/>
      <c r="V4997" s="1"/>
      <c r="W4997" s="1"/>
      <c r="X4997" s="1"/>
      <c r="Y4997" s="1"/>
      <c r="AB4997" s="1"/>
      <c r="AC4997" s="1"/>
      <c r="AD4997" s="1"/>
      <c r="AE4997" s="1"/>
      <c r="AF4997" s="1"/>
      <c r="AG4997" s="1"/>
      <c r="AH4997" s="1"/>
      <c r="AI4997" s="1"/>
      <c r="AJ4997" s="1"/>
      <c r="AK4997" s="1"/>
      <c r="AL4997" s="1"/>
      <c r="AM4997" s="1"/>
    </row>
    <row r="4998" spans="16:39" x14ac:dyDescent="0.25">
      <c r="P4998" s="49"/>
      <c r="Q4998" s="1"/>
      <c r="S4998" s="1"/>
      <c r="T4998" s="1"/>
      <c r="U4998" s="1"/>
      <c r="V4998" s="1"/>
      <c r="W4998" s="1"/>
      <c r="X4998" s="1"/>
      <c r="Y4998" s="1"/>
      <c r="AB4998" s="1"/>
      <c r="AC4998" s="1"/>
      <c r="AD4998" s="1"/>
      <c r="AE4998" s="1"/>
      <c r="AF4998" s="1"/>
      <c r="AG4998" s="1"/>
      <c r="AH4998" s="1"/>
      <c r="AI4998" s="1"/>
      <c r="AJ4998" s="1"/>
      <c r="AK4998" s="1"/>
      <c r="AL4998" s="1"/>
      <c r="AM4998" s="1"/>
    </row>
    <row r="4999" spans="16:39" x14ac:dyDescent="0.25">
      <c r="P4999" s="49"/>
      <c r="Q4999" s="1"/>
      <c r="S4999" s="1"/>
      <c r="T4999" s="1"/>
      <c r="U4999" s="1"/>
      <c r="V4999" s="1"/>
      <c r="W4999" s="1"/>
      <c r="X4999" s="1"/>
      <c r="Y4999" s="1"/>
      <c r="AB4999" s="1"/>
      <c r="AC4999" s="1"/>
      <c r="AD4999" s="1"/>
      <c r="AE4999" s="1"/>
      <c r="AF4999" s="1"/>
      <c r="AG4999" s="1"/>
      <c r="AH4999" s="1"/>
      <c r="AI4999" s="1"/>
      <c r="AJ4999" s="1"/>
      <c r="AK4999" s="1"/>
      <c r="AL4999" s="1"/>
      <c r="AM4999" s="1"/>
    </row>
    <row r="5000" spans="16:39" x14ac:dyDescent="0.25">
      <c r="P5000" s="49"/>
      <c r="Q5000" s="1"/>
      <c r="S5000" s="1"/>
      <c r="T5000" s="1"/>
      <c r="U5000" s="1"/>
      <c r="V5000" s="1"/>
      <c r="W5000" s="1"/>
      <c r="X5000" s="1"/>
      <c r="Y5000" s="1"/>
      <c r="AB5000" s="1"/>
      <c r="AC5000" s="1"/>
      <c r="AD5000" s="1"/>
      <c r="AE5000" s="1"/>
      <c r="AF5000" s="1"/>
      <c r="AG5000" s="1"/>
      <c r="AH5000" s="1"/>
      <c r="AI5000" s="1"/>
      <c r="AJ5000" s="1"/>
      <c r="AK5000" s="1"/>
      <c r="AL5000" s="1"/>
      <c r="AM5000" s="1"/>
    </row>
    <row r="5001" spans="16:39" x14ac:dyDescent="0.25">
      <c r="P5001" s="49"/>
      <c r="Q5001" s="1"/>
      <c r="S5001" s="1"/>
      <c r="T5001" s="1"/>
      <c r="U5001" s="1"/>
      <c r="V5001" s="1"/>
      <c r="W5001" s="1"/>
      <c r="X5001" s="1"/>
      <c r="Y5001" s="1"/>
      <c r="AB5001" s="1"/>
      <c r="AC5001" s="1"/>
      <c r="AD5001" s="1"/>
      <c r="AE5001" s="1"/>
      <c r="AF5001" s="1"/>
      <c r="AG5001" s="1"/>
      <c r="AH5001" s="1"/>
      <c r="AI5001" s="1"/>
      <c r="AJ5001" s="1"/>
      <c r="AK5001" s="1"/>
      <c r="AL5001" s="1"/>
      <c r="AM5001" s="1"/>
    </row>
    <row r="5002" spans="16:39" x14ac:dyDescent="0.25">
      <c r="P5002" s="49"/>
      <c r="Q5002" s="1"/>
      <c r="S5002" s="1"/>
      <c r="T5002" s="1"/>
      <c r="U5002" s="1"/>
      <c r="V5002" s="1"/>
      <c r="W5002" s="1"/>
      <c r="X5002" s="1"/>
      <c r="Y5002" s="1"/>
      <c r="AB5002" s="1"/>
      <c r="AC5002" s="1"/>
      <c r="AD5002" s="1"/>
      <c r="AE5002" s="1"/>
      <c r="AF5002" s="1"/>
      <c r="AG5002" s="1"/>
      <c r="AH5002" s="1"/>
      <c r="AI5002" s="1"/>
      <c r="AJ5002" s="1"/>
      <c r="AK5002" s="1"/>
      <c r="AL5002" s="1"/>
      <c r="AM5002" s="1"/>
    </row>
    <row r="5003" spans="16:39" x14ac:dyDescent="0.25">
      <c r="P5003" s="49"/>
      <c r="Q5003" s="1"/>
      <c r="S5003" s="1"/>
      <c r="T5003" s="1"/>
      <c r="U5003" s="1"/>
      <c r="V5003" s="1"/>
      <c r="W5003" s="1"/>
      <c r="X5003" s="1"/>
      <c r="Y5003" s="1"/>
      <c r="AB5003" s="1"/>
      <c r="AC5003" s="1"/>
      <c r="AD5003" s="1"/>
      <c r="AE5003" s="1"/>
      <c r="AF5003" s="1"/>
      <c r="AG5003" s="1"/>
      <c r="AH5003" s="1"/>
      <c r="AI5003" s="1"/>
      <c r="AJ5003" s="1"/>
      <c r="AK5003" s="1"/>
      <c r="AL5003" s="1"/>
      <c r="AM5003" s="1"/>
    </row>
    <row r="5004" spans="16:39" x14ac:dyDescent="0.25">
      <c r="P5004" s="49"/>
      <c r="Q5004" s="1"/>
      <c r="S5004" s="1"/>
      <c r="T5004" s="1"/>
      <c r="U5004" s="1"/>
      <c r="V5004" s="1"/>
      <c r="W5004" s="1"/>
      <c r="X5004" s="1"/>
      <c r="Y5004" s="1"/>
      <c r="AB5004" s="1"/>
      <c r="AC5004" s="1"/>
      <c r="AD5004" s="1"/>
      <c r="AE5004" s="1"/>
      <c r="AF5004" s="1"/>
      <c r="AG5004" s="1"/>
      <c r="AH5004" s="1"/>
      <c r="AI5004" s="1"/>
      <c r="AJ5004" s="1"/>
      <c r="AK5004" s="1"/>
      <c r="AL5004" s="1"/>
      <c r="AM5004" s="1"/>
    </row>
    <row r="5005" spans="16:39" x14ac:dyDescent="0.25">
      <c r="P5005" s="49"/>
      <c r="Q5005" s="1"/>
      <c r="S5005" s="1"/>
      <c r="T5005" s="1"/>
      <c r="U5005" s="1"/>
      <c r="V5005" s="1"/>
      <c r="W5005" s="1"/>
      <c r="X5005" s="1"/>
      <c r="Y5005" s="1"/>
      <c r="AB5005" s="1"/>
      <c r="AC5005" s="1"/>
      <c r="AD5005" s="1"/>
      <c r="AE5005" s="1"/>
      <c r="AF5005" s="1"/>
      <c r="AG5005" s="1"/>
      <c r="AH5005" s="1"/>
      <c r="AI5005" s="1"/>
      <c r="AJ5005" s="1"/>
      <c r="AK5005" s="1"/>
      <c r="AL5005" s="1"/>
      <c r="AM5005" s="1"/>
    </row>
    <row r="5006" spans="16:39" x14ac:dyDescent="0.25">
      <c r="P5006" s="49"/>
      <c r="Q5006" s="1"/>
      <c r="S5006" s="1"/>
      <c r="T5006" s="1"/>
      <c r="U5006" s="1"/>
      <c r="V5006" s="1"/>
      <c r="W5006" s="1"/>
      <c r="X5006" s="1"/>
      <c r="Y5006" s="1"/>
      <c r="AB5006" s="1"/>
      <c r="AC5006" s="1"/>
      <c r="AD5006" s="1"/>
      <c r="AE5006" s="1"/>
      <c r="AF5006" s="1"/>
      <c r="AG5006" s="1"/>
      <c r="AH5006" s="1"/>
      <c r="AI5006" s="1"/>
      <c r="AJ5006" s="1"/>
      <c r="AK5006" s="1"/>
      <c r="AL5006" s="1"/>
      <c r="AM5006" s="1"/>
    </row>
    <row r="5007" spans="16:39" x14ac:dyDescent="0.25">
      <c r="P5007" s="49"/>
      <c r="Q5007" s="1"/>
      <c r="S5007" s="1"/>
      <c r="T5007" s="1"/>
      <c r="U5007" s="1"/>
      <c r="V5007" s="1"/>
      <c r="W5007" s="1"/>
      <c r="X5007" s="1"/>
      <c r="Y5007" s="1"/>
      <c r="AB5007" s="1"/>
      <c r="AC5007" s="1"/>
      <c r="AD5007" s="1"/>
      <c r="AE5007" s="1"/>
      <c r="AF5007" s="1"/>
      <c r="AG5007" s="1"/>
      <c r="AH5007" s="1"/>
      <c r="AI5007" s="1"/>
      <c r="AJ5007" s="1"/>
      <c r="AK5007" s="1"/>
      <c r="AL5007" s="1"/>
      <c r="AM5007" s="1"/>
    </row>
    <row r="5008" spans="16:39" x14ac:dyDescent="0.25">
      <c r="P5008" s="49"/>
      <c r="Q5008" s="1"/>
      <c r="S5008" s="1"/>
      <c r="T5008" s="1"/>
      <c r="U5008" s="1"/>
      <c r="V5008" s="1"/>
      <c r="W5008" s="1"/>
      <c r="X5008" s="1"/>
      <c r="Y5008" s="1"/>
      <c r="AB5008" s="1"/>
      <c r="AC5008" s="1"/>
      <c r="AD5008" s="1"/>
      <c r="AE5008" s="1"/>
      <c r="AF5008" s="1"/>
      <c r="AG5008" s="1"/>
      <c r="AH5008" s="1"/>
      <c r="AI5008" s="1"/>
      <c r="AJ5008" s="1"/>
      <c r="AK5008" s="1"/>
      <c r="AL5008" s="1"/>
      <c r="AM5008" s="1"/>
    </row>
    <row r="5009" spans="16:39" x14ac:dyDescent="0.25">
      <c r="P5009" s="49"/>
      <c r="Q5009" s="1"/>
      <c r="S5009" s="1"/>
      <c r="T5009" s="1"/>
      <c r="U5009" s="1"/>
      <c r="V5009" s="1"/>
      <c r="W5009" s="1"/>
      <c r="X5009" s="1"/>
      <c r="Y5009" s="1"/>
      <c r="AB5009" s="1"/>
      <c r="AC5009" s="1"/>
      <c r="AD5009" s="1"/>
      <c r="AE5009" s="1"/>
      <c r="AF5009" s="1"/>
      <c r="AG5009" s="1"/>
      <c r="AH5009" s="1"/>
      <c r="AI5009" s="1"/>
      <c r="AJ5009" s="1"/>
      <c r="AK5009" s="1"/>
      <c r="AL5009" s="1"/>
      <c r="AM5009" s="1"/>
    </row>
    <row r="5010" spans="16:39" x14ac:dyDescent="0.25">
      <c r="P5010" s="49"/>
      <c r="Q5010" s="1"/>
      <c r="S5010" s="1"/>
      <c r="T5010" s="1"/>
      <c r="U5010" s="1"/>
      <c r="V5010" s="1"/>
      <c r="W5010" s="1"/>
      <c r="X5010" s="1"/>
      <c r="Y5010" s="1"/>
      <c r="AB5010" s="1"/>
      <c r="AC5010" s="1"/>
      <c r="AD5010" s="1"/>
      <c r="AE5010" s="1"/>
      <c r="AF5010" s="1"/>
      <c r="AG5010" s="1"/>
      <c r="AH5010" s="1"/>
      <c r="AI5010" s="1"/>
      <c r="AJ5010" s="1"/>
      <c r="AK5010" s="1"/>
      <c r="AL5010" s="1"/>
      <c r="AM5010" s="1"/>
    </row>
    <row r="5011" spans="16:39" x14ac:dyDescent="0.25">
      <c r="P5011" s="49"/>
      <c r="Q5011" s="1"/>
      <c r="S5011" s="1"/>
      <c r="T5011" s="1"/>
      <c r="U5011" s="1"/>
      <c r="V5011" s="1"/>
      <c r="W5011" s="1"/>
      <c r="X5011" s="1"/>
      <c r="Y5011" s="1"/>
      <c r="AB5011" s="1"/>
      <c r="AC5011" s="1"/>
      <c r="AD5011" s="1"/>
      <c r="AE5011" s="1"/>
      <c r="AF5011" s="1"/>
      <c r="AG5011" s="1"/>
      <c r="AH5011" s="1"/>
      <c r="AI5011" s="1"/>
      <c r="AJ5011" s="1"/>
      <c r="AK5011" s="1"/>
      <c r="AL5011" s="1"/>
      <c r="AM5011" s="1"/>
    </row>
    <row r="5012" spans="16:39" x14ac:dyDescent="0.25">
      <c r="P5012" s="49"/>
      <c r="Q5012" s="1"/>
      <c r="S5012" s="1"/>
      <c r="T5012" s="1"/>
      <c r="U5012" s="1"/>
      <c r="V5012" s="1"/>
      <c r="W5012" s="1"/>
      <c r="X5012" s="1"/>
      <c r="Y5012" s="1"/>
      <c r="AB5012" s="1"/>
      <c r="AC5012" s="1"/>
      <c r="AD5012" s="1"/>
      <c r="AE5012" s="1"/>
      <c r="AF5012" s="1"/>
      <c r="AG5012" s="1"/>
      <c r="AH5012" s="1"/>
      <c r="AI5012" s="1"/>
      <c r="AJ5012" s="1"/>
      <c r="AK5012" s="1"/>
      <c r="AL5012" s="1"/>
      <c r="AM5012" s="1"/>
    </row>
    <row r="5013" spans="16:39" x14ac:dyDescent="0.25">
      <c r="P5013" s="49"/>
      <c r="Q5013" s="1"/>
      <c r="S5013" s="1"/>
      <c r="T5013" s="1"/>
      <c r="U5013" s="1"/>
      <c r="V5013" s="1"/>
      <c r="W5013" s="1"/>
      <c r="X5013" s="1"/>
      <c r="Y5013" s="1"/>
      <c r="AB5013" s="1"/>
      <c r="AC5013" s="1"/>
      <c r="AD5013" s="1"/>
      <c r="AE5013" s="1"/>
      <c r="AF5013" s="1"/>
      <c r="AG5013" s="1"/>
      <c r="AH5013" s="1"/>
      <c r="AI5013" s="1"/>
      <c r="AJ5013" s="1"/>
      <c r="AK5013" s="1"/>
      <c r="AL5013" s="1"/>
      <c r="AM5013" s="1"/>
    </row>
    <row r="5014" spans="16:39" x14ac:dyDescent="0.25">
      <c r="P5014" s="49"/>
      <c r="Q5014" s="1"/>
      <c r="S5014" s="1"/>
      <c r="T5014" s="1"/>
      <c r="U5014" s="1"/>
      <c r="V5014" s="1"/>
      <c r="W5014" s="1"/>
      <c r="X5014" s="1"/>
      <c r="Y5014" s="1"/>
      <c r="AB5014" s="1"/>
      <c r="AC5014" s="1"/>
      <c r="AD5014" s="1"/>
      <c r="AE5014" s="1"/>
      <c r="AF5014" s="1"/>
      <c r="AG5014" s="1"/>
      <c r="AH5014" s="1"/>
      <c r="AI5014" s="1"/>
      <c r="AJ5014" s="1"/>
      <c r="AK5014" s="1"/>
      <c r="AL5014" s="1"/>
      <c r="AM5014" s="1"/>
    </row>
    <row r="5015" spans="16:39" x14ac:dyDescent="0.25">
      <c r="P5015" s="49"/>
      <c r="Q5015" s="1"/>
      <c r="S5015" s="1"/>
      <c r="T5015" s="1"/>
      <c r="U5015" s="1"/>
      <c r="V5015" s="1"/>
      <c r="W5015" s="1"/>
      <c r="X5015" s="1"/>
      <c r="Y5015" s="1"/>
      <c r="AB5015" s="1"/>
      <c r="AC5015" s="1"/>
      <c r="AD5015" s="1"/>
      <c r="AE5015" s="1"/>
      <c r="AF5015" s="1"/>
      <c r="AG5015" s="1"/>
      <c r="AH5015" s="1"/>
      <c r="AI5015" s="1"/>
      <c r="AJ5015" s="1"/>
      <c r="AK5015" s="1"/>
      <c r="AL5015" s="1"/>
      <c r="AM5015" s="1"/>
    </row>
    <row r="5016" spans="16:39" x14ac:dyDescent="0.25">
      <c r="P5016" s="49"/>
      <c r="Q5016" s="1"/>
      <c r="S5016" s="1"/>
      <c r="T5016" s="1"/>
      <c r="U5016" s="1"/>
      <c r="V5016" s="1"/>
      <c r="W5016" s="1"/>
      <c r="X5016" s="1"/>
      <c r="Y5016" s="1"/>
      <c r="AB5016" s="1"/>
      <c r="AC5016" s="1"/>
      <c r="AD5016" s="1"/>
      <c r="AE5016" s="1"/>
      <c r="AF5016" s="1"/>
      <c r="AG5016" s="1"/>
      <c r="AH5016" s="1"/>
      <c r="AI5016" s="1"/>
      <c r="AJ5016" s="1"/>
      <c r="AK5016" s="1"/>
      <c r="AL5016" s="1"/>
      <c r="AM5016" s="1"/>
    </row>
    <row r="5017" spans="16:39" x14ac:dyDescent="0.25">
      <c r="P5017" s="49"/>
      <c r="Q5017" s="1"/>
      <c r="S5017" s="1"/>
      <c r="T5017" s="1"/>
      <c r="U5017" s="1"/>
      <c r="V5017" s="1"/>
      <c r="W5017" s="1"/>
      <c r="X5017" s="1"/>
      <c r="Y5017" s="1"/>
      <c r="AB5017" s="1"/>
      <c r="AC5017" s="1"/>
      <c r="AD5017" s="1"/>
      <c r="AE5017" s="1"/>
      <c r="AF5017" s="1"/>
      <c r="AG5017" s="1"/>
      <c r="AH5017" s="1"/>
      <c r="AI5017" s="1"/>
      <c r="AJ5017" s="1"/>
      <c r="AK5017" s="1"/>
      <c r="AL5017" s="1"/>
      <c r="AM5017" s="1"/>
    </row>
    <row r="5018" spans="16:39" x14ac:dyDescent="0.25">
      <c r="P5018" s="49"/>
      <c r="Q5018" s="1"/>
      <c r="S5018" s="1"/>
      <c r="T5018" s="1"/>
      <c r="U5018" s="1"/>
      <c r="V5018" s="1"/>
      <c r="W5018" s="1"/>
      <c r="X5018" s="1"/>
      <c r="Y5018" s="1"/>
      <c r="AB5018" s="1"/>
      <c r="AC5018" s="1"/>
      <c r="AD5018" s="1"/>
      <c r="AE5018" s="1"/>
      <c r="AF5018" s="1"/>
      <c r="AG5018" s="1"/>
      <c r="AH5018" s="1"/>
      <c r="AI5018" s="1"/>
      <c r="AJ5018" s="1"/>
      <c r="AK5018" s="1"/>
      <c r="AL5018" s="1"/>
      <c r="AM5018" s="1"/>
    </row>
    <row r="5019" spans="16:39" x14ac:dyDescent="0.25">
      <c r="P5019" s="49"/>
      <c r="Q5019" s="1"/>
      <c r="S5019" s="1"/>
      <c r="T5019" s="1"/>
      <c r="U5019" s="1"/>
      <c r="V5019" s="1"/>
      <c r="W5019" s="1"/>
      <c r="X5019" s="1"/>
      <c r="Y5019" s="1"/>
      <c r="AB5019" s="1"/>
      <c r="AC5019" s="1"/>
      <c r="AD5019" s="1"/>
      <c r="AE5019" s="1"/>
      <c r="AF5019" s="1"/>
      <c r="AG5019" s="1"/>
      <c r="AH5019" s="1"/>
      <c r="AI5019" s="1"/>
      <c r="AJ5019" s="1"/>
      <c r="AK5019" s="1"/>
      <c r="AL5019" s="1"/>
      <c r="AM5019" s="1"/>
    </row>
    <row r="5020" spans="16:39" x14ac:dyDescent="0.25">
      <c r="P5020" s="49"/>
      <c r="Q5020" s="1"/>
      <c r="S5020" s="1"/>
      <c r="T5020" s="1"/>
      <c r="U5020" s="1"/>
      <c r="V5020" s="1"/>
      <c r="W5020" s="1"/>
      <c r="X5020" s="1"/>
      <c r="Y5020" s="1"/>
      <c r="AB5020" s="1"/>
      <c r="AC5020" s="1"/>
      <c r="AD5020" s="1"/>
      <c r="AE5020" s="1"/>
      <c r="AF5020" s="1"/>
      <c r="AG5020" s="1"/>
      <c r="AH5020" s="1"/>
      <c r="AI5020" s="1"/>
      <c r="AJ5020" s="1"/>
      <c r="AK5020" s="1"/>
      <c r="AL5020" s="1"/>
      <c r="AM5020" s="1"/>
    </row>
    <row r="5021" spans="16:39" x14ac:dyDescent="0.25">
      <c r="P5021" s="49"/>
      <c r="Q5021" s="1"/>
      <c r="S5021" s="1"/>
      <c r="T5021" s="1"/>
      <c r="U5021" s="1"/>
      <c r="V5021" s="1"/>
      <c r="W5021" s="1"/>
      <c r="X5021" s="1"/>
      <c r="Y5021" s="1"/>
      <c r="AB5021" s="1"/>
      <c r="AC5021" s="1"/>
      <c r="AD5021" s="1"/>
      <c r="AE5021" s="1"/>
      <c r="AF5021" s="1"/>
      <c r="AG5021" s="1"/>
      <c r="AH5021" s="1"/>
      <c r="AI5021" s="1"/>
      <c r="AJ5021" s="1"/>
      <c r="AK5021" s="1"/>
      <c r="AL5021" s="1"/>
      <c r="AM5021" s="1"/>
    </row>
    <row r="5022" spans="16:39" x14ac:dyDescent="0.25">
      <c r="P5022" s="49"/>
      <c r="Q5022" s="1"/>
      <c r="S5022" s="1"/>
      <c r="T5022" s="1"/>
      <c r="U5022" s="1"/>
      <c r="V5022" s="1"/>
      <c r="W5022" s="1"/>
      <c r="X5022" s="1"/>
      <c r="Y5022" s="1"/>
      <c r="AB5022" s="1"/>
      <c r="AC5022" s="1"/>
      <c r="AD5022" s="1"/>
      <c r="AE5022" s="1"/>
      <c r="AF5022" s="1"/>
      <c r="AG5022" s="1"/>
      <c r="AH5022" s="1"/>
      <c r="AI5022" s="1"/>
      <c r="AJ5022" s="1"/>
      <c r="AK5022" s="1"/>
      <c r="AL5022" s="1"/>
      <c r="AM5022" s="1"/>
    </row>
    <row r="5023" spans="16:39" x14ac:dyDescent="0.25">
      <c r="P5023" s="49"/>
      <c r="Q5023" s="1"/>
      <c r="S5023" s="1"/>
      <c r="T5023" s="1"/>
      <c r="U5023" s="1"/>
      <c r="V5023" s="1"/>
      <c r="W5023" s="1"/>
      <c r="X5023" s="1"/>
      <c r="Y5023" s="1"/>
      <c r="AB5023" s="1"/>
      <c r="AC5023" s="1"/>
      <c r="AD5023" s="1"/>
      <c r="AE5023" s="1"/>
      <c r="AF5023" s="1"/>
      <c r="AG5023" s="1"/>
      <c r="AH5023" s="1"/>
      <c r="AI5023" s="1"/>
      <c r="AJ5023" s="1"/>
      <c r="AK5023" s="1"/>
      <c r="AL5023" s="1"/>
      <c r="AM5023" s="1"/>
    </row>
    <row r="5024" spans="16:39" x14ac:dyDescent="0.25">
      <c r="P5024" s="49"/>
      <c r="Q5024" s="1"/>
      <c r="S5024" s="1"/>
      <c r="T5024" s="1"/>
      <c r="U5024" s="1"/>
      <c r="V5024" s="1"/>
      <c r="W5024" s="1"/>
      <c r="X5024" s="1"/>
      <c r="Y5024" s="1"/>
      <c r="AB5024" s="1"/>
      <c r="AC5024" s="1"/>
      <c r="AD5024" s="1"/>
      <c r="AE5024" s="1"/>
      <c r="AF5024" s="1"/>
      <c r="AG5024" s="1"/>
      <c r="AH5024" s="1"/>
      <c r="AI5024" s="1"/>
      <c r="AJ5024" s="1"/>
      <c r="AK5024" s="1"/>
      <c r="AL5024" s="1"/>
      <c r="AM5024" s="1"/>
    </row>
    <row r="5025" spans="16:39" x14ac:dyDescent="0.25">
      <c r="P5025" s="49"/>
      <c r="Q5025" s="1"/>
      <c r="S5025" s="1"/>
      <c r="T5025" s="1"/>
      <c r="U5025" s="1"/>
      <c r="V5025" s="1"/>
      <c r="W5025" s="1"/>
      <c r="X5025" s="1"/>
      <c r="Y5025" s="1"/>
      <c r="AB5025" s="1"/>
      <c r="AC5025" s="1"/>
      <c r="AD5025" s="1"/>
      <c r="AE5025" s="1"/>
      <c r="AF5025" s="1"/>
      <c r="AG5025" s="1"/>
      <c r="AH5025" s="1"/>
      <c r="AI5025" s="1"/>
      <c r="AJ5025" s="1"/>
      <c r="AK5025" s="1"/>
      <c r="AL5025" s="1"/>
      <c r="AM5025" s="1"/>
    </row>
    <row r="5026" spans="16:39" x14ac:dyDescent="0.25">
      <c r="P5026" s="49"/>
      <c r="Q5026" s="1"/>
      <c r="S5026" s="1"/>
      <c r="T5026" s="1"/>
      <c r="U5026" s="1"/>
      <c r="V5026" s="1"/>
      <c r="W5026" s="1"/>
      <c r="X5026" s="1"/>
      <c r="Y5026" s="1"/>
      <c r="AB5026" s="1"/>
      <c r="AC5026" s="1"/>
      <c r="AD5026" s="1"/>
      <c r="AE5026" s="1"/>
      <c r="AF5026" s="1"/>
      <c r="AG5026" s="1"/>
      <c r="AH5026" s="1"/>
      <c r="AI5026" s="1"/>
      <c r="AJ5026" s="1"/>
      <c r="AK5026" s="1"/>
      <c r="AL5026" s="1"/>
      <c r="AM5026" s="1"/>
    </row>
    <row r="5027" spans="16:39" x14ac:dyDescent="0.25">
      <c r="P5027" s="49"/>
      <c r="Q5027" s="1"/>
      <c r="S5027" s="1"/>
      <c r="T5027" s="1"/>
      <c r="U5027" s="1"/>
      <c r="V5027" s="1"/>
      <c r="W5027" s="1"/>
      <c r="X5027" s="1"/>
      <c r="Y5027" s="1"/>
      <c r="AB5027" s="1"/>
      <c r="AC5027" s="1"/>
      <c r="AD5027" s="1"/>
      <c r="AE5027" s="1"/>
      <c r="AF5027" s="1"/>
      <c r="AG5027" s="1"/>
      <c r="AH5027" s="1"/>
      <c r="AI5027" s="1"/>
      <c r="AJ5027" s="1"/>
      <c r="AK5027" s="1"/>
      <c r="AL5027" s="1"/>
      <c r="AM5027" s="1"/>
    </row>
    <row r="5028" spans="16:39" x14ac:dyDescent="0.25">
      <c r="P5028" s="49"/>
      <c r="Q5028" s="1"/>
      <c r="S5028" s="1"/>
      <c r="T5028" s="1"/>
      <c r="U5028" s="1"/>
      <c r="V5028" s="1"/>
      <c r="W5028" s="1"/>
      <c r="X5028" s="1"/>
      <c r="Y5028" s="1"/>
      <c r="AB5028" s="1"/>
      <c r="AC5028" s="1"/>
      <c r="AD5028" s="1"/>
      <c r="AE5028" s="1"/>
      <c r="AF5028" s="1"/>
      <c r="AG5028" s="1"/>
      <c r="AH5028" s="1"/>
      <c r="AI5028" s="1"/>
      <c r="AJ5028" s="1"/>
      <c r="AK5028" s="1"/>
      <c r="AL5028" s="1"/>
      <c r="AM5028" s="1"/>
    </row>
    <row r="5029" spans="16:39" x14ac:dyDescent="0.25">
      <c r="P5029" s="49"/>
      <c r="Q5029" s="1"/>
      <c r="S5029" s="1"/>
      <c r="T5029" s="1"/>
      <c r="U5029" s="1"/>
      <c r="V5029" s="1"/>
      <c r="W5029" s="1"/>
      <c r="X5029" s="1"/>
      <c r="Y5029" s="1"/>
      <c r="AB5029" s="1"/>
      <c r="AC5029" s="1"/>
      <c r="AD5029" s="1"/>
      <c r="AE5029" s="1"/>
      <c r="AF5029" s="1"/>
      <c r="AG5029" s="1"/>
      <c r="AH5029" s="1"/>
      <c r="AI5029" s="1"/>
      <c r="AJ5029" s="1"/>
      <c r="AK5029" s="1"/>
      <c r="AL5029" s="1"/>
      <c r="AM5029" s="1"/>
    </row>
    <row r="5030" spans="16:39" x14ac:dyDescent="0.25">
      <c r="P5030" s="49"/>
      <c r="Q5030" s="1"/>
      <c r="S5030" s="1"/>
      <c r="T5030" s="1"/>
      <c r="U5030" s="1"/>
      <c r="V5030" s="1"/>
      <c r="W5030" s="1"/>
      <c r="X5030" s="1"/>
      <c r="Y5030" s="1"/>
      <c r="AB5030" s="1"/>
      <c r="AC5030" s="1"/>
      <c r="AD5030" s="1"/>
      <c r="AE5030" s="1"/>
      <c r="AF5030" s="1"/>
      <c r="AG5030" s="1"/>
      <c r="AH5030" s="1"/>
      <c r="AI5030" s="1"/>
      <c r="AJ5030" s="1"/>
      <c r="AK5030" s="1"/>
      <c r="AL5030" s="1"/>
      <c r="AM5030" s="1"/>
    </row>
    <row r="5031" spans="16:39" x14ac:dyDescent="0.25">
      <c r="P5031" s="49"/>
      <c r="Q5031" s="1"/>
      <c r="S5031" s="1"/>
      <c r="T5031" s="1"/>
      <c r="U5031" s="1"/>
      <c r="V5031" s="1"/>
      <c r="W5031" s="1"/>
      <c r="X5031" s="1"/>
      <c r="Y5031" s="1"/>
      <c r="AB5031" s="1"/>
      <c r="AC5031" s="1"/>
      <c r="AD5031" s="1"/>
      <c r="AE5031" s="1"/>
      <c r="AF5031" s="1"/>
      <c r="AG5031" s="1"/>
      <c r="AH5031" s="1"/>
      <c r="AI5031" s="1"/>
      <c r="AJ5031" s="1"/>
      <c r="AK5031" s="1"/>
      <c r="AL5031" s="1"/>
      <c r="AM5031" s="1"/>
    </row>
    <row r="5032" spans="16:39" x14ac:dyDescent="0.25">
      <c r="P5032" s="49"/>
      <c r="Q5032" s="1"/>
      <c r="S5032" s="1"/>
      <c r="T5032" s="1"/>
      <c r="U5032" s="1"/>
      <c r="V5032" s="1"/>
      <c r="W5032" s="1"/>
      <c r="X5032" s="1"/>
      <c r="Y5032" s="1"/>
      <c r="AB5032" s="1"/>
      <c r="AC5032" s="1"/>
      <c r="AD5032" s="1"/>
      <c r="AE5032" s="1"/>
      <c r="AF5032" s="1"/>
      <c r="AG5032" s="1"/>
      <c r="AH5032" s="1"/>
      <c r="AI5032" s="1"/>
      <c r="AJ5032" s="1"/>
      <c r="AK5032" s="1"/>
      <c r="AL5032" s="1"/>
      <c r="AM5032" s="1"/>
    </row>
    <row r="5033" spans="16:39" x14ac:dyDescent="0.25">
      <c r="P5033" s="49"/>
      <c r="Q5033" s="1"/>
      <c r="S5033" s="1"/>
      <c r="T5033" s="1"/>
      <c r="U5033" s="1"/>
      <c r="V5033" s="1"/>
      <c r="W5033" s="1"/>
      <c r="X5033" s="1"/>
      <c r="Y5033" s="1"/>
      <c r="AB5033" s="1"/>
      <c r="AC5033" s="1"/>
      <c r="AD5033" s="1"/>
      <c r="AE5033" s="1"/>
      <c r="AF5033" s="1"/>
      <c r="AG5033" s="1"/>
      <c r="AH5033" s="1"/>
      <c r="AI5033" s="1"/>
      <c r="AJ5033" s="1"/>
      <c r="AK5033" s="1"/>
      <c r="AL5033" s="1"/>
      <c r="AM5033" s="1"/>
    </row>
    <row r="5034" spans="16:39" x14ac:dyDescent="0.25">
      <c r="P5034" s="49"/>
      <c r="Q5034" s="1"/>
      <c r="S5034" s="1"/>
      <c r="T5034" s="1"/>
      <c r="U5034" s="1"/>
      <c r="V5034" s="1"/>
      <c r="W5034" s="1"/>
      <c r="X5034" s="1"/>
      <c r="Y5034" s="1"/>
      <c r="AB5034" s="1"/>
      <c r="AC5034" s="1"/>
      <c r="AD5034" s="1"/>
      <c r="AE5034" s="1"/>
      <c r="AF5034" s="1"/>
      <c r="AG5034" s="1"/>
      <c r="AH5034" s="1"/>
      <c r="AI5034" s="1"/>
      <c r="AJ5034" s="1"/>
      <c r="AK5034" s="1"/>
      <c r="AL5034" s="1"/>
      <c r="AM5034" s="1"/>
    </row>
    <row r="5035" spans="16:39" x14ac:dyDescent="0.25">
      <c r="P5035" s="49"/>
      <c r="Q5035" s="1"/>
      <c r="S5035" s="1"/>
      <c r="T5035" s="1"/>
      <c r="U5035" s="1"/>
      <c r="V5035" s="1"/>
      <c r="W5035" s="1"/>
      <c r="X5035" s="1"/>
      <c r="Y5035" s="1"/>
      <c r="AB5035" s="1"/>
      <c r="AC5035" s="1"/>
      <c r="AD5035" s="1"/>
      <c r="AE5035" s="1"/>
      <c r="AF5035" s="1"/>
      <c r="AG5035" s="1"/>
      <c r="AH5035" s="1"/>
      <c r="AI5035" s="1"/>
      <c r="AJ5035" s="1"/>
      <c r="AK5035" s="1"/>
      <c r="AL5035" s="1"/>
      <c r="AM5035" s="1"/>
    </row>
    <row r="5036" spans="16:39" x14ac:dyDescent="0.25">
      <c r="P5036" s="49"/>
      <c r="Q5036" s="1"/>
      <c r="S5036" s="1"/>
      <c r="T5036" s="1"/>
      <c r="U5036" s="1"/>
      <c r="V5036" s="1"/>
      <c r="W5036" s="1"/>
      <c r="X5036" s="1"/>
      <c r="Y5036" s="1"/>
      <c r="AB5036" s="1"/>
      <c r="AC5036" s="1"/>
      <c r="AD5036" s="1"/>
      <c r="AE5036" s="1"/>
      <c r="AF5036" s="1"/>
      <c r="AG5036" s="1"/>
      <c r="AH5036" s="1"/>
      <c r="AI5036" s="1"/>
      <c r="AJ5036" s="1"/>
      <c r="AK5036" s="1"/>
      <c r="AL5036" s="1"/>
      <c r="AM5036" s="1"/>
    </row>
    <row r="5037" spans="16:39" x14ac:dyDescent="0.25">
      <c r="P5037" s="49"/>
      <c r="Q5037" s="1"/>
      <c r="S5037" s="1"/>
      <c r="T5037" s="1"/>
      <c r="U5037" s="1"/>
      <c r="V5037" s="1"/>
      <c r="W5037" s="1"/>
      <c r="X5037" s="1"/>
      <c r="Y5037" s="1"/>
      <c r="AB5037" s="1"/>
      <c r="AC5037" s="1"/>
      <c r="AD5037" s="1"/>
      <c r="AE5037" s="1"/>
      <c r="AF5037" s="1"/>
      <c r="AG5037" s="1"/>
      <c r="AH5037" s="1"/>
      <c r="AI5037" s="1"/>
      <c r="AJ5037" s="1"/>
      <c r="AK5037" s="1"/>
      <c r="AL5037" s="1"/>
      <c r="AM5037" s="1"/>
    </row>
    <row r="5038" spans="16:39" x14ac:dyDescent="0.25">
      <c r="P5038" s="49"/>
      <c r="Q5038" s="1"/>
      <c r="S5038" s="1"/>
      <c r="T5038" s="1"/>
      <c r="U5038" s="1"/>
      <c r="V5038" s="1"/>
      <c r="W5038" s="1"/>
      <c r="X5038" s="1"/>
      <c r="Y5038" s="1"/>
      <c r="AB5038" s="1"/>
      <c r="AC5038" s="1"/>
      <c r="AD5038" s="1"/>
      <c r="AE5038" s="1"/>
      <c r="AF5038" s="1"/>
      <c r="AG5038" s="1"/>
      <c r="AH5038" s="1"/>
      <c r="AI5038" s="1"/>
      <c r="AJ5038" s="1"/>
      <c r="AK5038" s="1"/>
      <c r="AL5038" s="1"/>
      <c r="AM5038" s="1"/>
    </row>
    <row r="5039" spans="16:39" x14ac:dyDescent="0.25">
      <c r="P5039" s="49"/>
      <c r="Q5039" s="1"/>
      <c r="S5039" s="1"/>
      <c r="T5039" s="1"/>
      <c r="U5039" s="1"/>
      <c r="V5039" s="1"/>
      <c r="W5039" s="1"/>
      <c r="X5039" s="1"/>
      <c r="Y5039" s="1"/>
      <c r="AB5039" s="1"/>
      <c r="AC5039" s="1"/>
      <c r="AD5039" s="1"/>
      <c r="AE5039" s="1"/>
      <c r="AF5039" s="1"/>
      <c r="AG5039" s="1"/>
      <c r="AH5039" s="1"/>
      <c r="AI5039" s="1"/>
      <c r="AJ5039" s="1"/>
      <c r="AK5039" s="1"/>
      <c r="AL5039" s="1"/>
      <c r="AM5039" s="1"/>
    </row>
    <row r="5040" spans="16:39" x14ac:dyDescent="0.25">
      <c r="P5040" s="49"/>
      <c r="Q5040" s="1"/>
      <c r="S5040" s="1"/>
      <c r="T5040" s="1"/>
      <c r="U5040" s="1"/>
      <c r="V5040" s="1"/>
      <c r="W5040" s="1"/>
      <c r="X5040" s="1"/>
      <c r="Y5040" s="1"/>
      <c r="AB5040" s="1"/>
      <c r="AC5040" s="1"/>
      <c r="AD5040" s="1"/>
      <c r="AE5040" s="1"/>
      <c r="AF5040" s="1"/>
      <c r="AG5040" s="1"/>
      <c r="AH5040" s="1"/>
      <c r="AI5040" s="1"/>
      <c r="AJ5040" s="1"/>
      <c r="AK5040" s="1"/>
      <c r="AL5040" s="1"/>
      <c r="AM5040" s="1"/>
    </row>
    <row r="5041" spans="16:39" x14ac:dyDescent="0.25">
      <c r="P5041" s="49"/>
      <c r="Q5041" s="1"/>
      <c r="S5041" s="1"/>
      <c r="T5041" s="1"/>
      <c r="U5041" s="1"/>
      <c r="V5041" s="1"/>
      <c r="W5041" s="1"/>
      <c r="X5041" s="1"/>
      <c r="Y5041" s="1"/>
      <c r="AB5041" s="1"/>
      <c r="AC5041" s="1"/>
      <c r="AD5041" s="1"/>
      <c r="AE5041" s="1"/>
      <c r="AF5041" s="1"/>
      <c r="AG5041" s="1"/>
      <c r="AH5041" s="1"/>
      <c r="AI5041" s="1"/>
      <c r="AJ5041" s="1"/>
      <c r="AK5041" s="1"/>
      <c r="AL5041" s="1"/>
      <c r="AM5041" s="1"/>
    </row>
    <row r="5042" spans="16:39" x14ac:dyDescent="0.25">
      <c r="P5042" s="49"/>
      <c r="Q5042" s="1"/>
      <c r="S5042" s="1"/>
      <c r="T5042" s="1"/>
      <c r="U5042" s="1"/>
      <c r="V5042" s="1"/>
      <c r="W5042" s="1"/>
      <c r="X5042" s="1"/>
      <c r="Y5042" s="1"/>
      <c r="AB5042" s="1"/>
      <c r="AC5042" s="1"/>
      <c r="AD5042" s="1"/>
      <c r="AE5042" s="1"/>
      <c r="AF5042" s="1"/>
      <c r="AG5042" s="1"/>
      <c r="AH5042" s="1"/>
      <c r="AI5042" s="1"/>
      <c r="AJ5042" s="1"/>
      <c r="AK5042" s="1"/>
      <c r="AL5042" s="1"/>
      <c r="AM5042" s="1"/>
    </row>
    <row r="5043" spans="16:39" x14ac:dyDescent="0.25">
      <c r="P5043" s="49"/>
      <c r="Q5043" s="1"/>
      <c r="S5043" s="1"/>
      <c r="T5043" s="1"/>
      <c r="U5043" s="1"/>
      <c r="V5043" s="1"/>
      <c r="W5043" s="1"/>
      <c r="X5043" s="1"/>
      <c r="Y5043" s="1"/>
      <c r="AB5043" s="1"/>
      <c r="AC5043" s="1"/>
      <c r="AD5043" s="1"/>
      <c r="AE5043" s="1"/>
      <c r="AF5043" s="1"/>
      <c r="AG5043" s="1"/>
      <c r="AH5043" s="1"/>
      <c r="AI5043" s="1"/>
      <c r="AJ5043" s="1"/>
      <c r="AK5043" s="1"/>
      <c r="AL5043" s="1"/>
      <c r="AM5043" s="1"/>
    </row>
    <row r="5044" spans="16:39" x14ac:dyDescent="0.25">
      <c r="P5044" s="49"/>
      <c r="Q5044" s="1"/>
      <c r="S5044" s="1"/>
      <c r="T5044" s="1"/>
      <c r="U5044" s="1"/>
      <c r="V5044" s="1"/>
      <c r="W5044" s="1"/>
      <c r="X5044" s="1"/>
      <c r="Y5044" s="1"/>
      <c r="AB5044" s="1"/>
      <c r="AC5044" s="1"/>
      <c r="AD5044" s="1"/>
      <c r="AE5044" s="1"/>
      <c r="AF5044" s="1"/>
      <c r="AG5044" s="1"/>
      <c r="AH5044" s="1"/>
      <c r="AI5044" s="1"/>
      <c r="AJ5044" s="1"/>
      <c r="AK5044" s="1"/>
      <c r="AL5044" s="1"/>
      <c r="AM5044" s="1"/>
    </row>
    <row r="5045" spans="16:39" x14ac:dyDescent="0.25">
      <c r="P5045" s="49"/>
      <c r="Q5045" s="1"/>
      <c r="S5045" s="1"/>
      <c r="T5045" s="1"/>
      <c r="U5045" s="1"/>
      <c r="V5045" s="1"/>
      <c r="W5045" s="1"/>
      <c r="X5045" s="1"/>
      <c r="Y5045" s="1"/>
      <c r="AB5045" s="1"/>
      <c r="AC5045" s="1"/>
      <c r="AD5045" s="1"/>
      <c r="AE5045" s="1"/>
      <c r="AF5045" s="1"/>
      <c r="AG5045" s="1"/>
      <c r="AH5045" s="1"/>
      <c r="AI5045" s="1"/>
      <c r="AJ5045" s="1"/>
      <c r="AK5045" s="1"/>
      <c r="AL5045" s="1"/>
      <c r="AM5045" s="1"/>
    </row>
    <row r="5046" spans="16:39" x14ac:dyDescent="0.25">
      <c r="P5046" s="49"/>
      <c r="Q5046" s="1"/>
      <c r="S5046" s="1"/>
      <c r="T5046" s="1"/>
      <c r="U5046" s="1"/>
      <c r="V5046" s="1"/>
      <c r="W5046" s="1"/>
      <c r="X5046" s="1"/>
      <c r="Y5046" s="1"/>
      <c r="AB5046" s="1"/>
      <c r="AC5046" s="1"/>
      <c r="AD5046" s="1"/>
      <c r="AE5046" s="1"/>
      <c r="AF5046" s="1"/>
      <c r="AG5046" s="1"/>
      <c r="AH5046" s="1"/>
      <c r="AI5046" s="1"/>
      <c r="AJ5046" s="1"/>
      <c r="AK5046" s="1"/>
      <c r="AL5046" s="1"/>
      <c r="AM5046" s="1"/>
    </row>
    <row r="5047" spans="16:39" x14ac:dyDescent="0.25">
      <c r="P5047" s="49"/>
      <c r="Q5047" s="1"/>
      <c r="S5047" s="1"/>
      <c r="T5047" s="1"/>
      <c r="U5047" s="1"/>
      <c r="V5047" s="1"/>
      <c r="W5047" s="1"/>
      <c r="X5047" s="1"/>
      <c r="Y5047" s="1"/>
      <c r="AB5047" s="1"/>
      <c r="AC5047" s="1"/>
      <c r="AD5047" s="1"/>
      <c r="AE5047" s="1"/>
      <c r="AF5047" s="1"/>
      <c r="AG5047" s="1"/>
      <c r="AH5047" s="1"/>
      <c r="AI5047" s="1"/>
      <c r="AJ5047" s="1"/>
      <c r="AK5047" s="1"/>
      <c r="AL5047" s="1"/>
      <c r="AM5047" s="1"/>
    </row>
    <row r="5048" spans="16:39" x14ac:dyDescent="0.25">
      <c r="P5048" s="49"/>
      <c r="Q5048" s="1"/>
      <c r="S5048" s="1"/>
      <c r="T5048" s="1"/>
      <c r="U5048" s="1"/>
      <c r="V5048" s="1"/>
      <c r="W5048" s="1"/>
      <c r="X5048" s="1"/>
      <c r="Y5048" s="1"/>
      <c r="AB5048" s="1"/>
      <c r="AC5048" s="1"/>
      <c r="AD5048" s="1"/>
      <c r="AE5048" s="1"/>
      <c r="AF5048" s="1"/>
      <c r="AG5048" s="1"/>
      <c r="AH5048" s="1"/>
      <c r="AI5048" s="1"/>
      <c r="AJ5048" s="1"/>
      <c r="AK5048" s="1"/>
      <c r="AL5048" s="1"/>
      <c r="AM5048" s="1"/>
    </row>
    <row r="5049" spans="16:39" x14ac:dyDescent="0.25">
      <c r="P5049" s="49"/>
      <c r="Q5049" s="1"/>
      <c r="S5049" s="1"/>
      <c r="T5049" s="1"/>
      <c r="U5049" s="1"/>
      <c r="V5049" s="1"/>
      <c r="W5049" s="1"/>
      <c r="X5049" s="1"/>
      <c r="Y5049" s="1"/>
      <c r="AB5049" s="1"/>
      <c r="AC5049" s="1"/>
      <c r="AD5049" s="1"/>
      <c r="AE5049" s="1"/>
      <c r="AF5049" s="1"/>
      <c r="AG5049" s="1"/>
      <c r="AH5049" s="1"/>
      <c r="AI5049" s="1"/>
      <c r="AJ5049" s="1"/>
      <c r="AK5049" s="1"/>
      <c r="AL5049" s="1"/>
      <c r="AM5049" s="1"/>
    </row>
    <row r="5050" spans="16:39" x14ac:dyDescent="0.25">
      <c r="P5050" s="49"/>
      <c r="Q5050" s="1"/>
      <c r="S5050" s="1"/>
      <c r="T5050" s="1"/>
      <c r="U5050" s="1"/>
      <c r="V5050" s="1"/>
      <c r="W5050" s="1"/>
      <c r="X5050" s="1"/>
      <c r="Y5050" s="1"/>
      <c r="AB5050" s="1"/>
      <c r="AC5050" s="1"/>
      <c r="AD5050" s="1"/>
      <c r="AE5050" s="1"/>
      <c r="AF5050" s="1"/>
      <c r="AG5050" s="1"/>
      <c r="AH5050" s="1"/>
      <c r="AI5050" s="1"/>
      <c r="AJ5050" s="1"/>
      <c r="AK5050" s="1"/>
      <c r="AL5050" s="1"/>
      <c r="AM5050" s="1"/>
    </row>
    <row r="5051" spans="16:39" x14ac:dyDescent="0.25">
      <c r="P5051" s="49"/>
      <c r="Q5051" s="1"/>
      <c r="S5051" s="1"/>
      <c r="T5051" s="1"/>
      <c r="U5051" s="1"/>
      <c r="V5051" s="1"/>
      <c r="W5051" s="1"/>
      <c r="X5051" s="1"/>
      <c r="Y5051" s="1"/>
      <c r="AB5051" s="1"/>
      <c r="AC5051" s="1"/>
      <c r="AD5051" s="1"/>
      <c r="AE5051" s="1"/>
      <c r="AF5051" s="1"/>
      <c r="AG5051" s="1"/>
      <c r="AH5051" s="1"/>
      <c r="AI5051" s="1"/>
      <c r="AJ5051" s="1"/>
      <c r="AK5051" s="1"/>
      <c r="AL5051" s="1"/>
      <c r="AM5051" s="1"/>
    </row>
    <row r="5052" spans="16:39" x14ac:dyDescent="0.25">
      <c r="P5052" s="49"/>
      <c r="Q5052" s="1"/>
      <c r="S5052" s="1"/>
      <c r="T5052" s="1"/>
      <c r="U5052" s="1"/>
      <c r="V5052" s="1"/>
      <c r="W5052" s="1"/>
      <c r="X5052" s="1"/>
      <c r="Y5052" s="1"/>
      <c r="AB5052" s="1"/>
      <c r="AC5052" s="1"/>
      <c r="AD5052" s="1"/>
      <c r="AE5052" s="1"/>
      <c r="AF5052" s="1"/>
      <c r="AG5052" s="1"/>
      <c r="AH5052" s="1"/>
      <c r="AI5052" s="1"/>
      <c r="AJ5052" s="1"/>
      <c r="AK5052" s="1"/>
      <c r="AL5052" s="1"/>
      <c r="AM5052" s="1"/>
    </row>
    <row r="5053" spans="16:39" x14ac:dyDescent="0.25">
      <c r="P5053" s="49"/>
      <c r="Q5053" s="1"/>
      <c r="S5053" s="1"/>
      <c r="T5053" s="1"/>
      <c r="U5053" s="1"/>
      <c r="V5053" s="1"/>
      <c r="W5053" s="1"/>
      <c r="X5053" s="1"/>
      <c r="Y5053" s="1"/>
      <c r="AB5053" s="1"/>
      <c r="AC5053" s="1"/>
      <c r="AD5053" s="1"/>
      <c r="AE5053" s="1"/>
      <c r="AF5053" s="1"/>
      <c r="AG5053" s="1"/>
      <c r="AH5053" s="1"/>
      <c r="AI5053" s="1"/>
      <c r="AJ5053" s="1"/>
      <c r="AK5053" s="1"/>
      <c r="AL5053" s="1"/>
      <c r="AM5053" s="1"/>
    </row>
    <row r="5054" spans="16:39" x14ac:dyDescent="0.25">
      <c r="P5054" s="49"/>
      <c r="Q5054" s="1"/>
      <c r="S5054" s="1"/>
      <c r="T5054" s="1"/>
      <c r="U5054" s="1"/>
      <c r="V5054" s="1"/>
      <c r="W5054" s="1"/>
      <c r="X5054" s="1"/>
      <c r="Y5054" s="1"/>
      <c r="AB5054" s="1"/>
      <c r="AC5054" s="1"/>
      <c r="AD5054" s="1"/>
      <c r="AE5054" s="1"/>
      <c r="AF5054" s="1"/>
      <c r="AG5054" s="1"/>
      <c r="AH5054" s="1"/>
      <c r="AI5054" s="1"/>
      <c r="AJ5054" s="1"/>
      <c r="AK5054" s="1"/>
      <c r="AL5054" s="1"/>
      <c r="AM5054" s="1"/>
    </row>
    <row r="5055" spans="16:39" x14ac:dyDescent="0.25">
      <c r="P5055" s="49"/>
      <c r="Q5055" s="1"/>
      <c r="S5055" s="1"/>
      <c r="T5055" s="1"/>
      <c r="U5055" s="1"/>
      <c r="V5055" s="1"/>
      <c r="W5055" s="1"/>
      <c r="X5055" s="1"/>
      <c r="Y5055" s="1"/>
      <c r="AB5055" s="1"/>
      <c r="AC5055" s="1"/>
      <c r="AD5055" s="1"/>
      <c r="AE5055" s="1"/>
      <c r="AF5055" s="1"/>
      <c r="AG5055" s="1"/>
      <c r="AH5055" s="1"/>
      <c r="AI5055" s="1"/>
      <c r="AJ5055" s="1"/>
      <c r="AK5055" s="1"/>
      <c r="AL5055" s="1"/>
      <c r="AM5055" s="1"/>
    </row>
    <row r="5056" spans="16:39" x14ac:dyDescent="0.25">
      <c r="P5056" s="49"/>
      <c r="Q5056" s="1"/>
      <c r="S5056" s="1"/>
      <c r="T5056" s="1"/>
      <c r="U5056" s="1"/>
      <c r="V5056" s="1"/>
      <c r="W5056" s="1"/>
      <c r="X5056" s="1"/>
      <c r="Y5056" s="1"/>
      <c r="AB5056" s="1"/>
      <c r="AC5056" s="1"/>
      <c r="AD5056" s="1"/>
      <c r="AE5056" s="1"/>
      <c r="AF5056" s="1"/>
      <c r="AG5056" s="1"/>
      <c r="AH5056" s="1"/>
      <c r="AI5056" s="1"/>
      <c r="AJ5056" s="1"/>
      <c r="AK5056" s="1"/>
      <c r="AL5056" s="1"/>
      <c r="AM5056" s="1"/>
    </row>
    <row r="5057" spans="16:39" x14ac:dyDescent="0.25">
      <c r="P5057" s="49"/>
      <c r="Q5057" s="1"/>
      <c r="S5057" s="1"/>
      <c r="T5057" s="1"/>
      <c r="U5057" s="1"/>
      <c r="V5057" s="1"/>
      <c r="W5057" s="1"/>
      <c r="X5057" s="1"/>
      <c r="Y5057" s="1"/>
      <c r="AB5057" s="1"/>
      <c r="AC5057" s="1"/>
      <c r="AD5057" s="1"/>
      <c r="AE5057" s="1"/>
      <c r="AF5057" s="1"/>
      <c r="AG5057" s="1"/>
      <c r="AH5057" s="1"/>
      <c r="AI5057" s="1"/>
      <c r="AJ5057" s="1"/>
      <c r="AK5057" s="1"/>
      <c r="AL5057" s="1"/>
      <c r="AM5057" s="1"/>
    </row>
    <row r="5058" spans="16:39" x14ac:dyDescent="0.25">
      <c r="P5058" s="49"/>
      <c r="Q5058" s="1"/>
      <c r="S5058" s="1"/>
      <c r="T5058" s="1"/>
      <c r="U5058" s="1"/>
      <c r="V5058" s="1"/>
      <c r="W5058" s="1"/>
      <c r="X5058" s="1"/>
      <c r="Y5058" s="1"/>
      <c r="AB5058" s="1"/>
      <c r="AC5058" s="1"/>
      <c r="AD5058" s="1"/>
      <c r="AE5058" s="1"/>
      <c r="AF5058" s="1"/>
      <c r="AG5058" s="1"/>
      <c r="AH5058" s="1"/>
      <c r="AI5058" s="1"/>
      <c r="AJ5058" s="1"/>
      <c r="AK5058" s="1"/>
      <c r="AL5058" s="1"/>
      <c r="AM5058" s="1"/>
    </row>
    <row r="5059" spans="16:39" x14ac:dyDescent="0.25">
      <c r="P5059" s="49"/>
      <c r="Q5059" s="1"/>
      <c r="S5059" s="1"/>
      <c r="T5059" s="1"/>
      <c r="U5059" s="1"/>
      <c r="V5059" s="1"/>
      <c r="W5059" s="1"/>
      <c r="X5059" s="1"/>
      <c r="Y5059" s="1"/>
      <c r="AB5059" s="1"/>
      <c r="AC5059" s="1"/>
      <c r="AD5059" s="1"/>
      <c r="AE5059" s="1"/>
      <c r="AF5059" s="1"/>
      <c r="AG5059" s="1"/>
      <c r="AH5059" s="1"/>
      <c r="AI5059" s="1"/>
      <c r="AJ5059" s="1"/>
      <c r="AK5059" s="1"/>
      <c r="AL5059" s="1"/>
      <c r="AM5059" s="1"/>
    </row>
    <row r="5060" spans="16:39" x14ac:dyDescent="0.25">
      <c r="P5060" s="49"/>
      <c r="Q5060" s="1"/>
      <c r="S5060" s="1"/>
      <c r="T5060" s="1"/>
      <c r="U5060" s="1"/>
      <c r="V5060" s="1"/>
      <c r="W5060" s="1"/>
      <c r="X5060" s="1"/>
      <c r="Y5060" s="1"/>
      <c r="AB5060" s="1"/>
      <c r="AC5060" s="1"/>
      <c r="AD5060" s="1"/>
      <c r="AE5060" s="1"/>
      <c r="AF5060" s="1"/>
      <c r="AG5060" s="1"/>
      <c r="AH5060" s="1"/>
      <c r="AI5060" s="1"/>
      <c r="AJ5060" s="1"/>
      <c r="AK5060" s="1"/>
      <c r="AL5060" s="1"/>
      <c r="AM5060" s="1"/>
    </row>
    <row r="5061" spans="16:39" x14ac:dyDescent="0.25">
      <c r="P5061" s="49"/>
      <c r="Q5061" s="1"/>
      <c r="S5061" s="1"/>
      <c r="T5061" s="1"/>
      <c r="U5061" s="1"/>
      <c r="V5061" s="1"/>
      <c r="W5061" s="1"/>
      <c r="X5061" s="1"/>
      <c r="Y5061" s="1"/>
      <c r="AB5061" s="1"/>
      <c r="AC5061" s="1"/>
      <c r="AD5061" s="1"/>
      <c r="AE5061" s="1"/>
      <c r="AF5061" s="1"/>
      <c r="AG5061" s="1"/>
      <c r="AH5061" s="1"/>
      <c r="AI5061" s="1"/>
      <c r="AJ5061" s="1"/>
      <c r="AK5061" s="1"/>
      <c r="AL5061" s="1"/>
      <c r="AM5061" s="1"/>
    </row>
    <row r="5062" spans="16:39" x14ac:dyDescent="0.25">
      <c r="P5062" s="49"/>
      <c r="Q5062" s="1"/>
      <c r="S5062" s="1"/>
      <c r="T5062" s="1"/>
      <c r="U5062" s="1"/>
      <c r="V5062" s="1"/>
      <c r="W5062" s="1"/>
      <c r="X5062" s="1"/>
      <c r="Y5062" s="1"/>
      <c r="AB5062" s="1"/>
      <c r="AC5062" s="1"/>
      <c r="AD5062" s="1"/>
      <c r="AE5062" s="1"/>
      <c r="AF5062" s="1"/>
      <c r="AG5062" s="1"/>
      <c r="AH5062" s="1"/>
      <c r="AI5062" s="1"/>
      <c r="AJ5062" s="1"/>
      <c r="AK5062" s="1"/>
      <c r="AL5062" s="1"/>
      <c r="AM5062" s="1"/>
    </row>
    <row r="5063" spans="16:39" x14ac:dyDescent="0.25">
      <c r="P5063" s="49"/>
      <c r="Q5063" s="1"/>
      <c r="S5063" s="1"/>
      <c r="T5063" s="1"/>
      <c r="U5063" s="1"/>
      <c r="V5063" s="1"/>
      <c r="W5063" s="1"/>
      <c r="X5063" s="1"/>
      <c r="Y5063" s="1"/>
      <c r="AB5063" s="1"/>
      <c r="AC5063" s="1"/>
      <c r="AD5063" s="1"/>
      <c r="AE5063" s="1"/>
      <c r="AF5063" s="1"/>
      <c r="AG5063" s="1"/>
      <c r="AH5063" s="1"/>
      <c r="AI5063" s="1"/>
      <c r="AJ5063" s="1"/>
      <c r="AK5063" s="1"/>
      <c r="AL5063" s="1"/>
      <c r="AM5063" s="1"/>
    </row>
    <row r="5064" spans="16:39" x14ac:dyDescent="0.25">
      <c r="P5064" s="49"/>
      <c r="Q5064" s="1"/>
      <c r="S5064" s="1"/>
      <c r="T5064" s="1"/>
      <c r="U5064" s="1"/>
      <c r="V5064" s="1"/>
      <c r="W5064" s="1"/>
      <c r="X5064" s="1"/>
      <c r="Y5064" s="1"/>
      <c r="AB5064" s="1"/>
      <c r="AC5064" s="1"/>
      <c r="AD5064" s="1"/>
      <c r="AE5064" s="1"/>
      <c r="AF5064" s="1"/>
      <c r="AG5064" s="1"/>
      <c r="AH5064" s="1"/>
      <c r="AI5064" s="1"/>
      <c r="AJ5064" s="1"/>
      <c r="AK5064" s="1"/>
      <c r="AL5064" s="1"/>
      <c r="AM5064" s="1"/>
    </row>
    <row r="5065" spans="16:39" x14ac:dyDescent="0.25">
      <c r="P5065" s="49"/>
      <c r="Q5065" s="1"/>
      <c r="S5065" s="1"/>
      <c r="T5065" s="1"/>
      <c r="U5065" s="1"/>
      <c r="V5065" s="1"/>
      <c r="W5065" s="1"/>
      <c r="X5065" s="1"/>
      <c r="Y5065" s="1"/>
      <c r="AB5065" s="1"/>
      <c r="AC5065" s="1"/>
      <c r="AD5065" s="1"/>
      <c r="AE5065" s="1"/>
      <c r="AF5065" s="1"/>
      <c r="AG5065" s="1"/>
      <c r="AH5065" s="1"/>
      <c r="AI5065" s="1"/>
      <c r="AJ5065" s="1"/>
      <c r="AK5065" s="1"/>
      <c r="AL5065" s="1"/>
      <c r="AM5065" s="1"/>
    </row>
    <row r="5066" spans="16:39" x14ac:dyDescent="0.25">
      <c r="P5066" s="49"/>
      <c r="Q5066" s="1"/>
      <c r="S5066" s="1"/>
      <c r="T5066" s="1"/>
      <c r="U5066" s="1"/>
      <c r="V5066" s="1"/>
      <c r="W5066" s="1"/>
      <c r="X5066" s="1"/>
      <c r="Y5066" s="1"/>
      <c r="AB5066" s="1"/>
      <c r="AC5066" s="1"/>
      <c r="AD5066" s="1"/>
      <c r="AE5066" s="1"/>
      <c r="AF5066" s="1"/>
      <c r="AG5066" s="1"/>
      <c r="AH5066" s="1"/>
      <c r="AI5066" s="1"/>
      <c r="AJ5066" s="1"/>
      <c r="AK5066" s="1"/>
      <c r="AL5066" s="1"/>
      <c r="AM5066" s="1"/>
    </row>
    <row r="5067" spans="16:39" x14ac:dyDescent="0.25">
      <c r="P5067" s="49"/>
      <c r="Q5067" s="1"/>
      <c r="S5067" s="1"/>
      <c r="T5067" s="1"/>
      <c r="U5067" s="1"/>
      <c r="V5067" s="1"/>
      <c r="W5067" s="1"/>
      <c r="X5067" s="1"/>
      <c r="Y5067" s="1"/>
      <c r="AB5067" s="1"/>
      <c r="AC5067" s="1"/>
      <c r="AD5067" s="1"/>
      <c r="AE5067" s="1"/>
      <c r="AF5067" s="1"/>
      <c r="AG5067" s="1"/>
      <c r="AH5067" s="1"/>
      <c r="AI5067" s="1"/>
      <c r="AJ5067" s="1"/>
      <c r="AK5067" s="1"/>
      <c r="AL5067" s="1"/>
      <c r="AM5067" s="1"/>
    </row>
    <row r="5068" spans="16:39" x14ac:dyDescent="0.25">
      <c r="P5068" s="49"/>
      <c r="Q5068" s="1"/>
      <c r="S5068" s="1"/>
      <c r="T5068" s="1"/>
      <c r="U5068" s="1"/>
      <c r="V5068" s="1"/>
      <c r="W5068" s="1"/>
      <c r="X5068" s="1"/>
      <c r="Y5068" s="1"/>
      <c r="AB5068" s="1"/>
      <c r="AC5068" s="1"/>
      <c r="AD5068" s="1"/>
      <c r="AE5068" s="1"/>
      <c r="AF5068" s="1"/>
      <c r="AG5068" s="1"/>
      <c r="AH5068" s="1"/>
      <c r="AI5068" s="1"/>
      <c r="AJ5068" s="1"/>
      <c r="AK5068" s="1"/>
      <c r="AL5068" s="1"/>
      <c r="AM5068" s="1"/>
    </row>
    <row r="5069" spans="16:39" x14ac:dyDescent="0.25">
      <c r="P5069" s="49"/>
      <c r="Q5069" s="1"/>
      <c r="S5069" s="1"/>
      <c r="T5069" s="1"/>
      <c r="U5069" s="1"/>
      <c r="V5069" s="1"/>
      <c r="W5069" s="1"/>
      <c r="X5069" s="1"/>
      <c r="Y5069" s="1"/>
      <c r="AB5069" s="1"/>
      <c r="AC5069" s="1"/>
      <c r="AD5069" s="1"/>
      <c r="AE5069" s="1"/>
      <c r="AF5069" s="1"/>
      <c r="AG5069" s="1"/>
      <c r="AH5069" s="1"/>
      <c r="AI5069" s="1"/>
      <c r="AJ5069" s="1"/>
      <c r="AK5069" s="1"/>
      <c r="AL5069" s="1"/>
      <c r="AM5069" s="1"/>
    </row>
    <row r="5070" spans="16:39" x14ac:dyDescent="0.25">
      <c r="P5070" s="49"/>
      <c r="Q5070" s="1"/>
      <c r="S5070" s="1"/>
      <c r="T5070" s="1"/>
      <c r="U5070" s="1"/>
      <c r="V5070" s="1"/>
      <c r="W5070" s="1"/>
      <c r="X5070" s="1"/>
      <c r="Y5070" s="1"/>
      <c r="AB5070" s="1"/>
      <c r="AC5070" s="1"/>
      <c r="AD5070" s="1"/>
      <c r="AE5070" s="1"/>
      <c r="AF5070" s="1"/>
      <c r="AG5070" s="1"/>
      <c r="AH5070" s="1"/>
      <c r="AI5070" s="1"/>
      <c r="AJ5070" s="1"/>
      <c r="AK5070" s="1"/>
      <c r="AL5070" s="1"/>
      <c r="AM5070" s="1"/>
    </row>
    <row r="5071" spans="16:39" x14ac:dyDescent="0.25">
      <c r="P5071" s="49"/>
      <c r="Q5071" s="1"/>
      <c r="S5071" s="1"/>
      <c r="T5071" s="1"/>
      <c r="U5071" s="1"/>
      <c r="V5071" s="1"/>
      <c r="W5071" s="1"/>
      <c r="X5071" s="1"/>
      <c r="Y5071" s="1"/>
      <c r="AB5071" s="1"/>
      <c r="AC5071" s="1"/>
      <c r="AD5071" s="1"/>
      <c r="AE5071" s="1"/>
      <c r="AF5071" s="1"/>
      <c r="AG5071" s="1"/>
      <c r="AH5071" s="1"/>
      <c r="AI5071" s="1"/>
      <c r="AJ5071" s="1"/>
      <c r="AK5071" s="1"/>
      <c r="AL5071" s="1"/>
      <c r="AM5071" s="1"/>
    </row>
    <row r="5072" spans="16:39" x14ac:dyDescent="0.25">
      <c r="P5072" s="49"/>
      <c r="Q5072" s="1"/>
      <c r="S5072" s="1"/>
      <c r="T5072" s="1"/>
      <c r="U5072" s="1"/>
      <c r="V5072" s="1"/>
      <c r="W5072" s="1"/>
      <c r="X5072" s="1"/>
      <c r="Y5072" s="1"/>
      <c r="AB5072" s="1"/>
      <c r="AC5072" s="1"/>
      <c r="AD5072" s="1"/>
      <c r="AE5072" s="1"/>
      <c r="AF5072" s="1"/>
      <c r="AG5072" s="1"/>
      <c r="AH5072" s="1"/>
      <c r="AI5072" s="1"/>
      <c r="AJ5072" s="1"/>
      <c r="AK5072" s="1"/>
      <c r="AL5072" s="1"/>
      <c r="AM5072" s="1"/>
    </row>
    <row r="5073" spans="16:39" x14ac:dyDescent="0.25">
      <c r="P5073" s="49"/>
      <c r="Q5073" s="1"/>
      <c r="S5073" s="1"/>
      <c r="T5073" s="1"/>
      <c r="U5073" s="1"/>
      <c r="V5073" s="1"/>
      <c r="W5073" s="1"/>
      <c r="X5073" s="1"/>
      <c r="Y5073" s="1"/>
      <c r="AB5073" s="1"/>
      <c r="AC5073" s="1"/>
      <c r="AD5073" s="1"/>
      <c r="AE5073" s="1"/>
      <c r="AF5073" s="1"/>
      <c r="AG5073" s="1"/>
      <c r="AH5073" s="1"/>
      <c r="AI5073" s="1"/>
      <c r="AJ5073" s="1"/>
      <c r="AK5073" s="1"/>
      <c r="AL5073" s="1"/>
      <c r="AM5073" s="1"/>
    </row>
    <row r="5074" spans="16:39" x14ac:dyDescent="0.25">
      <c r="P5074" s="49"/>
      <c r="Q5074" s="1"/>
      <c r="S5074" s="1"/>
      <c r="T5074" s="1"/>
      <c r="U5074" s="1"/>
      <c r="V5074" s="1"/>
      <c r="W5074" s="1"/>
      <c r="X5074" s="1"/>
      <c r="Y5074" s="1"/>
      <c r="AB5074" s="1"/>
      <c r="AC5074" s="1"/>
      <c r="AD5074" s="1"/>
      <c r="AE5074" s="1"/>
      <c r="AF5074" s="1"/>
      <c r="AG5074" s="1"/>
      <c r="AH5074" s="1"/>
      <c r="AI5074" s="1"/>
      <c r="AJ5074" s="1"/>
      <c r="AK5074" s="1"/>
      <c r="AL5074" s="1"/>
      <c r="AM5074" s="1"/>
    </row>
    <row r="5075" spans="16:39" x14ac:dyDescent="0.25">
      <c r="P5075" s="49"/>
      <c r="Q5075" s="1"/>
      <c r="S5075" s="1"/>
      <c r="T5075" s="1"/>
      <c r="U5075" s="1"/>
      <c r="V5075" s="1"/>
      <c r="W5075" s="1"/>
      <c r="X5075" s="1"/>
      <c r="Y5075" s="1"/>
      <c r="AB5075" s="1"/>
      <c r="AC5075" s="1"/>
      <c r="AD5075" s="1"/>
      <c r="AE5075" s="1"/>
      <c r="AF5075" s="1"/>
      <c r="AG5075" s="1"/>
      <c r="AH5075" s="1"/>
      <c r="AI5075" s="1"/>
      <c r="AJ5075" s="1"/>
      <c r="AK5075" s="1"/>
      <c r="AL5075" s="1"/>
      <c r="AM5075" s="1"/>
    </row>
    <row r="5076" spans="16:39" x14ac:dyDescent="0.25">
      <c r="P5076" s="49"/>
      <c r="Q5076" s="1"/>
      <c r="S5076" s="1"/>
      <c r="T5076" s="1"/>
      <c r="U5076" s="1"/>
      <c r="V5076" s="1"/>
      <c r="W5076" s="1"/>
      <c r="X5076" s="1"/>
      <c r="Y5076" s="1"/>
      <c r="AB5076" s="1"/>
      <c r="AC5076" s="1"/>
      <c r="AD5076" s="1"/>
      <c r="AE5076" s="1"/>
      <c r="AF5076" s="1"/>
      <c r="AG5076" s="1"/>
      <c r="AH5076" s="1"/>
      <c r="AI5076" s="1"/>
      <c r="AJ5076" s="1"/>
      <c r="AK5076" s="1"/>
      <c r="AL5076" s="1"/>
      <c r="AM5076" s="1"/>
    </row>
    <row r="5077" spans="16:39" x14ac:dyDescent="0.25">
      <c r="P5077" s="49"/>
      <c r="Q5077" s="1"/>
      <c r="S5077" s="1"/>
      <c r="T5077" s="1"/>
      <c r="U5077" s="1"/>
      <c r="V5077" s="1"/>
      <c r="W5077" s="1"/>
      <c r="X5077" s="1"/>
      <c r="Y5077" s="1"/>
      <c r="AB5077" s="1"/>
      <c r="AC5077" s="1"/>
      <c r="AD5077" s="1"/>
      <c r="AE5077" s="1"/>
      <c r="AF5077" s="1"/>
      <c r="AG5077" s="1"/>
      <c r="AH5077" s="1"/>
      <c r="AI5077" s="1"/>
      <c r="AJ5077" s="1"/>
      <c r="AK5077" s="1"/>
      <c r="AL5077" s="1"/>
      <c r="AM5077" s="1"/>
    </row>
    <row r="5078" spans="16:39" x14ac:dyDescent="0.25">
      <c r="P5078" s="49"/>
      <c r="Q5078" s="1"/>
      <c r="S5078" s="1"/>
      <c r="T5078" s="1"/>
      <c r="U5078" s="1"/>
      <c r="V5078" s="1"/>
      <c r="W5078" s="1"/>
      <c r="X5078" s="1"/>
      <c r="Y5078" s="1"/>
      <c r="AB5078" s="1"/>
      <c r="AC5078" s="1"/>
      <c r="AD5078" s="1"/>
      <c r="AE5078" s="1"/>
      <c r="AF5078" s="1"/>
      <c r="AG5078" s="1"/>
      <c r="AH5078" s="1"/>
      <c r="AI5078" s="1"/>
      <c r="AJ5078" s="1"/>
      <c r="AK5078" s="1"/>
      <c r="AL5078" s="1"/>
      <c r="AM5078" s="1"/>
    </row>
    <row r="5079" spans="16:39" x14ac:dyDescent="0.25">
      <c r="P5079" s="49"/>
      <c r="Q5079" s="1"/>
      <c r="S5079" s="1"/>
      <c r="T5079" s="1"/>
      <c r="U5079" s="1"/>
      <c r="V5079" s="1"/>
      <c r="W5079" s="1"/>
      <c r="X5079" s="1"/>
      <c r="Y5079" s="1"/>
      <c r="AB5079" s="1"/>
      <c r="AC5079" s="1"/>
      <c r="AD5079" s="1"/>
      <c r="AE5079" s="1"/>
      <c r="AF5079" s="1"/>
      <c r="AG5079" s="1"/>
      <c r="AH5079" s="1"/>
      <c r="AI5079" s="1"/>
      <c r="AJ5079" s="1"/>
      <c r="AK5079" s="1"/>
      <c r="AL5079" s="1"/>
      <c r="AM5079" s="1"/>
    </row>
    <row r="5080" spans="16:39" x14ac:dyDescent="0.25">
      <c r="P5080" s="49"/>
      <c r="Q5080" s="1"/>
      <c r="S5080" s="1"/>
      <c r="T5080" s="1"/>
      <c r="U5080" s="1"/>
      <c r="V5080" s="1"/>
      <c r="W5080" s="1"/>
      <c r="X5080" s="1"/>
      <c r="Y5080" s="1"/>
      <c r="AB5080" s="1"/>
      <c r="AC5080" s="1"/>
      <c r="AD5080" s="1"/>
      <c r="AE5080" s="1"/>
      <c r="AF5080" s="1"/>
      <c r="AG5080" s="1"/>
      <c r="AH5080" s="1"/>
      <c r="AI5080" s="1"/>
      <c r="AJ5080" s="1"/>
      <c r="AK5080" s="1"/>
      <c r="AL5080" s="1"/>
      <c r="AM5080" s="1"/>
    </row>
    <row r="5081" spans="16:39" x14ac:dyDescent="0.25">
      <c r="P5081" s="49"/>
      <c r="Q5081" s="1"/>
      <c r="S5081" s="1"/>
      <c r="T5081" s="1"/>
      <c r="U5081" s="1"/>
      <c r="V5081" s="1"/>
      <c r="W5081" s="1"/>
      <c r="X5081" s="1"/>
      <c r="Y5081" s="1"/>
      <c r="AB5081" s="1"/>
      <c r="AC5081" s="1"/>
      <c r="AD5081" s="1"/>
      <c r="AE5081" s="1"/>
      <c r="AF5081" s="1"/>
      <c r="AG5081" s="1"/>
      <c r="AH5081" s="1"/>
      <c r="AI5081" s="1"/>
      <c r="AJ5081" s="1"/>
      <c r="AK5081" s="1"/>
      <c r="AL5081" s="1"/>
      <c r="AM5081" s="1"/>
    </row>
    <row r="5082" spans="16:39" x14ac:dyDescent="0.25">
      <c r="P5082" s="49"/>
      <c r="Q5082" s="1"/>
      <c r="S5082" s="1"/>
      <c r="T5082" s="1"/>
      <c r="U5082" s="1"/>
      <c r="V5082" s="1"/>
      <c r="W5082" s="1"/>
      <c r="X5082" s="1"/>
      <c r="Y5082" s="1"/>
      <c r="AB5082" s="1"/>
      <c r="AC5082" s="1"/>
      <c r="AD5082" s="1"/>
      <c r="AE5082" s="1"/>
      <c r="AF5082" s="1"/>
      <c r="AG5082" s="1"/>
      <c r="AH5082" s="1"/>
      <c r="AI5082" s="1"/>
      <c r="AJ5082" s="1"/>
      <c r="AK5082" s="1"/>
      <c r="AL5082" s="1"/>
      <c r="AM5082" s="1"/>
    </row>
    <row r="5083" spans="16:39" x14ac:dyDescent="0.25">
      <c r="P5083" s="49"/>
      <c r="Q5083" s="1"/>
      <c r="S5083" s="1"/>
      <c r="T5083" s="1"/>
      <c r="U5083" s="1"/>
      <c r="V5083" s="1"/>
      <c r="W5083" s="1"/>
      <c r="X5083" s="1"/>
      <c r="Y5083" s="1"/>
      <c r="AB5083" s="1"/>
      <c r="AC5083" s="1"/>
      <c r="AD5083" s="1"/>
      <c r="AE5083" s="1"/>
      <c r="AF5083" s="1"/>
      <c r="AG5083" s="1"/>
      <c r="AH5083" s="1"/>
      <c r="AI5083" s="1"/>
      <c r="AJ5083" s="1"/>
      <c r="AK5083" s="1"/>
      <c r="AL5083" s="1"/>
      <c r="AM5083" s="1"/>
    </row>
    <row r="5084" spans="16:39" x14ac:dyDescent="0.25">
      <c r="P5084" s="49"/>
      <c r="Q5084" s="1"/>
      <c r="S5084" s="1"/>
      <c r="T5084" s="1"/>
      <c r="U5084" s="1"/>
      <c r="V5084" s="1"/>
      <c r="W5084" s="1"/>
      <c r="X5084" s="1"/>
      <c r="Y5084" s="1"/>
      <c r="AB5084" s="1"/>
      <c r="AC5084" s="1"/>
      <c r="AD5084" s="1"/>
      <c r="AE5084" s="1"/>
      <c r="AF5084" s="1"/>
      <c r="AG5084" s="1"/>
      <c r="AH5084" s="1"/>
      <c r="AI5084" s="1"/>
      <c r="AJ5084" s="1"/>
      <c r="AK5084" s="1"/>
      <c r="AL5084" s="1"/>
      <c r="AM5084" s="1"/>
    </row>
    <row r="5085" spans="16:39" x14ac:dyDescent="0.25">
      <c r="P5085" s="49"/>
      <c r="Q5085" s="1"/>
      <c r="S5085" s="1"/>
      <c r="T5085" s="1"/>
      <c r="U5085" s="1"/>
      <c r="V5085" s="1"/>
      <c r="W5085" s="1"/>
      <c r="X5085" s="1"/>
      <c r="Y5085" s="1"/>
      <c r="AB5085" s="1"/>
      <c r="AC5085" s="1"/>
      <c r="AD5085" s="1"/>
      <c r="AE5085" s="1"/>
      <c r="AF5085" s="1"/>
      <c r="AG5085" s="1"/>
      <c r="AH5085" s="1"/>
      <c r="AI5085" s="1"/>
      <c r="AJ5085" s="1"/>
      <c r="AK5085" s="1"/>
      <c r="AL5085" s="1"/>
      <c r="AM5085" s="1"/>
    </row>
    <row r="5086" spans="16:39" x14ac:dyDescent="0.25">
      <c r="P5086" s="49"/>
      <c r="Q5086" s="1"/>
      <c r="S5086" s="1"/>
      <c r="T5086" s="1"/>
      <c r="U5086" s="1"/>
      <c r="V5086" s="1"/>
      <c r="W5086" s="1"/>
      <c r="X5086" s="1"/>
      <c r="Y5086" s="1"/>
      <c r="AB5086" s="1"/>
      <c r="AC5086" s="1"/>
      <c r="AD5086" s="1"/>
      <c r="AE5086" s="1"/>
      <c r="AF5086" s="1"/>
      <c r="AG5086" s="1"/>
      <c r="AH5086" s="1"/>
      <c r="AI5086" s="1"/>
      <c r="AJ5086" s="1"/>
      <c r="AK5086" s="1"/>
      <c r="AL5086" s="1"/>
      <c r="AM5086" s="1"/>
    </row>
    <row r="5087" spans="16:39" x14ac:dyDescent="0.25">
      <c r="P5087" s="49"/>
      <c r="Q5087" s="1"/>
      <c r="S5087" s="1"/>
      <c r="T5087" s="1"/>
      <c r="U5087" s="1"/>
      <c r="V5087" s="1"/>
      <c r="W5087" s="1"/>
      <c r="X5087" s="1"/>
      <c r="Y5087" s="1"/>
      <c r="AB5087" s="1"/>
      <c r="AC5087" s="1"/>
      <c r="AD5087" s="1"/>
      <c r="AE5087" s="1"/>
      <c r="AF5087" s="1"/>
      <c r="AG5087" s="1"/>
      <c r="AH5087" s="1"/>
      <c r="AI5087" s="1"/>
      <c r="AJ5087" s="1"/>
      <c r="AK5087" s="1"/>
      <c r="AL5087" s="1"/>
      <c r="AM5087" s="1"/>
    </row>
    <row r="5088" spans="16:39" x14ac:dyDescent="0.25">
      <c r="P5088" s="49"/>
      <c r="Q5088" s="1"/>
      <c r="S5088" s="1"/>
      <c r="T5088" s="1"/>
      <c r="U5088" s="1"/>
      <c r="V5088" s="1"/>
      <c r="W5088" s="1"/>
      <c r="X5088" s="1"/>
      <c r="Y5088" s="1"/>
      <c r="AB5088" s="1"/>
      <c r="AC5088" s="1"/>
      <c r="AD5088" s="1"/>
      <c r="AE5088" s="1"/>
      <c r="AF5088" s="1"/>
      <c r="AG5088" s="1"/>
      <c r="AH5088" s="1"/>
      <c r="AI5088" s="1"/>
      <c r="AJ5088" s="1"/>
      <c r="AK5088" s="1"/>
      <c r="AL5088" s="1"/>
      <c r="AM5088" s="1"/>
    </row>
    <row r="5089" spans="16:39" x14ac:dyDescent="0.25">
      <c r="P5089" s="49"/>
      <c r="Q5089" s="1"/>
      <c r="S5089" s="1"/>
      <c r="T5089" s="1"/>
      <c r="U5089" s="1"/>
      <c r="V5089" s="1"/>
      <c r="W5089" s="1"/>
      <c r="X5089" s="1"/>
      <c r="Y5089" s="1"/>
      <c r="AB5089" s="1"/>
      <c r="AC5089" s="1"/>
      <c r="AD5089" s="1"/>
      <c r="AE5089" s="1"/>
      <c r="AF5089" s="1"/>
      <c r="AG5089" s="1"/>
      <c r="AH5089" s="1"/>
      <c r="AI5089" s="1"/>
      <c r="AJ5089" s="1"/>
      <c r="AK5089" s="1"/>
      <c r="AL5089" s="1"/>
      <c r="AM5089" s="1"/>
    </row>
    <row r="5090" spans="16:39" x14ac:dyDescent="0.25">
      <c r="P5090" s="49"/>
      <c r="Q5090" s="1"/>
      <c r="S5090" s="1"/>
      <c r="T5090" s="1"/>
      <c r="U5090" s="1"/>
      <c r="V5090" s="1"/>
      <c r="W5090" s="1"/>
      <c r="X5090" s="1"/>
      <c r="Y5090" s="1"/>
      <c r="AB5090" s="1"/>
      <c r="AC5090" s="1"/>
      <c r="AD5090" s="1"/>
      <c r="AE5090" s="1"/>
      <c r="AF5090" s="1"/>
      <c r="AG5090" s="1"/>
      <c r="AH5090" s="1"/>
      <c r="AI5090" s="1"/>
      <c r="AJ5090" s="1"/>
      <c r="AK5090" s="1"/>
      <c r="AL5090" s="1"/>
      <c r="AM5090" s="1"/>
    </row>
    <row r="5091" spans="16:39" x14ac:dyDescent="0.25">
      <c r="P5091" s="49"/>
      <c r="Q5091" s="1"/>
      <c r="S5091" s="1"/>
      <c r="T5091" s="1"/>
      <c r="U5091" s="1"/>
      <c r="V5091" s="1"/>
      <c r="W5091" s="1"/>
      <c r="X5091" s="1"/>
      <c r="Y5091" s="1"/>
      <c r="AB5091" s="1"/>
      <c r="AC5091" s="1"/>
      <c r="AD5091" s="1"/>
      <c r="AE5091" s="1"/>
      <c r="AF5091" s="1"/>
      <c r="AG5091" s="1"/>
      <c r="AH5091" s="1"/>
      <c r="AI5091" s="1"/>
      <c r="AJ5091" s="1"/>
      <c r="AK5091" s="1"/>
      <c r="AL5091" s="1"/>
      <c r="AM5091" s="1"/>
    </row>
    <row r="5092" spans="16:39" x14ac:dyDescent="0.25">
      <c r="P5092" s="49"/>
      <c r="Q5092" s="1"/>
      <c r="S5092" s="1"/>
      <c r="T5092" s="1"/>
      <c r="U5092" s="1"/>
      <c r="V5092" s="1"/>
      <c r="W5092" s="1"/>
      <c r="X5092" s="1"/>
      <c r="Y5092" s="1"/>
      <c r="AB5092" s="1"/>
      <c r="AC5092" s="1"/>
      <c r="AD5092" s="1"/>
      <c r="AE5092" s="1"/>
      <c r="AF5092" s="1"/>
      <c r="AG5092" s="1"/>
      <c r="AH5092" s="1"/>
      <c r="AI5092" s="1"/>
      <c r="AJ5092" s="1"/>
      <c r="AK5092" s="1"/>
      <c r="AL5092" s="1"/>
      <c r="AM5092" s="1"/>
    </row>
    <row r="5093" spans="16:39" x14ac:dyDescent="0.25">
      <c r="P5093" s="49"/>
      <c r="Q5093" s="1"/>
      <c r="S5093" s="1"/>
      <c r="T5093" s="1"/>
      <c r="U5093" s="1"/>
      <c r="V5093" s="1"/>
      <c r="W5093" s="1"/>
      <c r="X5093" s="1"/>
      <c r="Y5093" s="1"/>
      <c r="AB5093" s="1"/>
      <c r="AC5093" s="1"/>
      <c r="AD5093" s="1"/>
      <c r="AE5093" s="1"/>
      <c r="AF5093" s="1"/>
      <c r="AG5093" s="1"/>
      <c r="AH5093" s="1"/>
      <c r="AI5093" s="1"/>
      <c r="AJ5093" s="1"/>
      <c r="AK5093" s="1"/>
      <c r="AL5093" s="1"/>
      <c r="AM5093" s="1"/>
    </row>
    <row r="5094" spans="16:39" x14ac:dyDescent="0.25">
      <c r="P5094" s="49"/>
      <c r="Q5094" s="1"/>
      <c r="S5094" s="1"/>
      <c r="T5094" s="1"/>
      <c r="U5094" s="1"/>
      <c r="V5094" s="1"/>
      <c r="W5094" s="1"/>
      <c r="X5094" s="1"/>
      <c r="Y5094" s="1"/>
      <c r="AB5094" s="1"/>
      <c r="AC5094" s="1"/>
      <c r="AD5094" s="1"/>
      <c r="AE5094" s="1"/>
      <c r="AF5094" s="1"/>
      <c r="AG5094" s="1"/>
      <c r="AH5094" s="1"/>
      <c r="AI5094" s="1"/>
      <c r="AJ5094" s="1"/>
      <c r="AK5094" s="1"/>
      <c r="AL5094" s="1"/>
      <c r="AM5094" s="1"/>
    </row>
    <row r="5095" spans="16:39" x14ac:dyDescent="0.25">
      <c r="P5095" s="49"/>
      <c r="Q5095" s="1"/>
      <c r="S5095" s="1"/>
      <c r="T5095" s="1"/>
      <c r="U5095" s="1"/>
      <c r="V5095" s="1"/>
      <c r="W5095" s="1"/>
      <c r="X5095" s="1"/>
      <c r="Y5095" s="1"/>
      <c r="AB5095" s="1"/>
      <c r="AC5095" s="1"/>
      <c r="AD5095" s="1"/>
      <c r="AE5095" s="1"/>
      <c r="AF5095" s="1"/>
      <c r="AG5095" s="1"/>
      <c r="AH5095" s="1"/>
      <c r="AI5095" s="1"/>
      <c r="AJ5095" s="1"/>
      <c r="AK5095" s="1"/>
      <c r="AL5095" s="1"/>
      <c r="AM5095" s="1"/>
    </row>
    <row r="5096" spans="16:39" x14ac:dyDescent="0.25">
      <c r="P5096" s="49"/>
      <c r="Q5096" s="1"/>
      <c r="S5096" s="1"/>
      <c r="T5096" s="1"/>
      <c r="U5096" s="1"/>
      <c r="V5096" s="1"/>
      <c r="W5096" s="1"/>
      <c r="X5096" s="1"/>
      <c r="Y5096" s="1"/>
      <c r="AB5096" s="1"/>
      <c r="AC5096" s="1"/>
      <c r="AD5096" s="1"/>
      <c r="AE5096" s="1"/>
      <c r="AF5096" s="1"/>
      <c r="AG5096" s="1"/>
      <c r="AH5096" s="1"/>
      <c r="AI5096" s="1"/>
      <c r="AJ5096" s="1"/>
      <c r="AK5096" s="1"/>
      <c r="AL5096" s="1"/>
      <c r="AM5096" s="1"/>
    </row>
    <row r="5097" spans="16:39" x14ac:dyDescent="0.25">
      <c r="P5097" s="49"/>
      <c r="Q5097" s="1"/>
      <c r="S5097" s="1"/>
      <c r="T5097" s="1"/>
      <c r="U5097" s="1"/>
      <c r="V5097" s="1"/>
      <c r="W5097" s="1"/>
      <c r="X5097" s="1"/>
      <c r="Y5097" s="1"/>
      <c r="AB5097" s="1"/>
      <c r="AC5097" s="1"/>
      <c r="AD5097" s="1"/>
      <c r="AE5097" s="1"/>
      <c r="AF5097" s="1"/>
      <c r="AG5097" s="1"/>
      <c r="AH5097" s="1"/>
      <c r="AI5097" s="1"/>
      <c r="AJ5097" s="1"/>
      <c r="AK5097" s="1"/>
      <c r="AL5097" s="1"/>
      <c r="AM5097" s="1"/>
    </row>
    <row r="5098" spans="16:39" x14ac:dyDescent="0.25">
      <c r="P5098" s="49"/>
      <c r="Q5098" s="1"/>
      <c r="S5098" s="1"/>
      <c r="T5098" s="1"/>
      <c r="U5098" s="1"/>
      <c r="V5098" s="1"/>
      <c r="W5098" s="1"/>
      <c r="X5098" s="1"/>
      <c r="Y5098" s="1"/>
      <c r="AB5098" s="1"/>
      <c r="AC5098" s="1"/>
      <c r="AD5098" s="1"/>
      <c r="AE5098" s="1"/>
      <c r="AF5098" s="1"/>
      <c r="AG5098" s="1"/>
      <c r="AH5098" s="1"/>
      <c r="AI5098" s="1"/>
      <c r="AJ5098" s="1"/>
      <c r="AK5098" s="1"/>
      <c r="AL5098" s="1"/>
      <c r="AM5098" s="1"/>
    </row>
    <row r="5099" spans="16:39" x14ac:dyDescent="0.25">
      <c r="P5099" s="49"/>
      <c r="Q5099" s="1"/>
      <c r="S5099" s="1"/>
      <c r="T5099" s="1"/>
      <c r="U5099" s="1"/>
      <c r="V5099" s="1"/>
      <c r="W5099" s="1"/>
      <c r="X5099" s="1"/>
      <c r="Y5099" s="1"/>
      <c r="AB5099" s="1"/>
      <c r="AC5099" s="1"/>
      <c r="AD5099" s="1"/>
      <c r="AE5099" s="1"/>
      <c r="AF5099" s="1"/>
      <c r="AG5099" s="1"/>
      <c r="AH5099" s="1"/>
      <c r="AI5099" s="1"/>
      <c r="AJ5099" s="1"/>
      <c r="AK5099" s="1"/>
      <c r="AL5099" s="1"/>
      <c r="AM5099" s="1"/>
    </row>
    <row r="5100" spans="16:39" x14ac:dyDescent="0.25">
      <c r="P5100" s="49"/>
      <c r="Q5100" s="1"/>
      <c r="S5100" s="1"/>
      <c r="T5100" s="1"/>
      <c r="U5100" s="1"/>
      <c r="V5100" s="1"/>
      <c r="W5100" s="1"/>
      <c r="X5100" s="1"/>
      <c r="Y5100" s="1"/>
      <c r="AB5100" s="1"/>
      <c r="AC5100" s="1"/>
      <c r="AD5100" s="1"/>
      <c r="AE5100" s="1"/>
      <c r="AF5100" s="1"/>
      <c r="AG5100" s="1"/>
      <c r="AH5100" s="1"/>
      <c r="AI5100" s="1"/>
      <c r="AJ5100" s="1"/>
      <c r="AK5100" s="1"/>
      <c r="AL5100" s="1"/>
      <c r="AM5100" s="1"/>
    </row>
    <row r="5101" spans="16:39" x14ac:dyDescent="0.25">
      <c r="P5101" s="49"/>
      <c r="Q5101" s="1"/>
      <c r="S5101" s="1"/>
      <c r="T5101" s="1"/>
      <c r="U5101" s="1"/>
      <c r="V5101" s="1"/>
      <c r="W5101" s="1"/>
      <c r="X5101" s="1"/>
      <c r="Y5101" s="1"/>
      <c r="AB5101" s="1"/>
      <c r="AC5101" s="1"/>
      <c r="AD5101" s="1"/>
      <c r="AE5101" s="1"/>
      <c r="AF5101" s="1"/>
      <c r="AG5101" s="1"/>
      <c r="AH5101" s="1"/>
      <c r="AI5101" s="1"/>
      <c r="AJ5101" s="1"/>
      <c r="AK5101" s="1"/>
      <c r="AL5101" s="1"/>
      <c r="AM5101" s="1"/>
    </row>
    <row r="5102" spans="16:39" x14ac:dyDescent="0.25">
      <c r="P5102" s="49"/>
      <c r="Q5102" s="1"/>
      <c r="S5102" s="1"/>
      <c r="T5102" s="1"/>
      <c r="U5102" s="1"/>
      <c r="V5102" s="1"/>
      <c r="W5102" s="1"/>
      <c r="X5102" s="1"/>
      <c r="Y5102" s="1"/>
      <c r="AB5102" s="1"/>
      <c r="AC5102" s="1"/>
      <c r="AD5102" s="1"/>
      <c r="AE5102" s="1"/>
      <c r="AF5102" s="1"/>
      <c r="AG5102" s="1"/>
      <c r="AH5102" s="1"/>
      <c r="AI5102" s="1"/>
      <c r="AJ5102" s="1"/>
      <c r="AK5102" s="1"/>
      <c r="AL5102" s="1"/>
      <c r="AM5102" s="1"/>
    </row>
    <row r="5103" spans="16:39" x14ac:dyDescent="0.25">
      <c r="P5103" s="49"/>
      <c r="Q5103" s="1"/>
      <c r="S5103" s="1"/>
      <c r="T5103" s="1"/>
      <c r="U5103" s="1"/>
      <c r="V5103" s="1"/>
      <c r="W5103" s="1"/>
      <c r="X5103" s="1"/>
      <c r="Y5103" s="1"/>
      <c r="AB5103" s="1"/>
      <c r="AC5103" s="1"/>
      <c r="AD5103" s="1"/>
      <c r="AE5103" s="1"/>
      <c r="AF5103" s="1"/>
      <c r="AG5103" s="1"/>
      <c r="AH5103" s="1"/>
      <c r="AI5103" s="1"/>
      <c r="AJ5103" s="1"/>
      <c r="AK5103" s="1"/>
      <c r="AL5103" s="1"/>
      <c r="AM5103" s="1"/>
    </row>
    <row r="5104" spans="16:39" x14ac:dyDescent="0.25">
      <c r="P5104" s="49"/>
      <c r="Q5104" s="1"/>
      <c r="S5104" s="1"/>
      <c r="T5104" s="1"/>
      <c r="U5104" s="1"/>
      <c r="V5104" s="1"/>
      <c r="W5104" s="1"/>
      <c r="X5104" s="1"/>
      <c r="Y5104" s="1"/>
      <c r="AB5104" s="1"/>
      <c r="AC5104" s="1"/>
      <c r="AD5104" s="1"/>
      <c r="AE5104" s="1"/>
      <c r="AF5104" s="1"/>
      <c r="AG5104" s="1"/>
      <c r="AH5104" s="1"/>
      <c r="AI5104" s="1"/>
      <c r="AJ5104" s="1"/>
      <c r="AK5104" s="1"/>
      <c r="AL5104" s="1"/>
      <c r="AM5104" s="1"/>
    </row>
    <row r="5105" spans="16:39" x14ac:dyDescent="0.25">
      <c r="P5105" s="49"/>
      <c r="Q5105" s="1"/>
      <c r="S5105" s="1"/>
      <c r="T5105" s="1"/>
      <c r="U5105" s="1"/>
      <c r="V5105" s="1"/>
      <c r="W5105" s="1"/>
      <c r="X5105" s="1"/>
      <c r="Y5105" s="1"/>
      <c r="AB5105" s="1"/>
      <c r="AC5105" s="1"/>
      <c r="AD5105" s="1"/>
      <c r="AE5105" s="1"/>
      <c r="AF5105" s="1"/>
      <c r="AG5105" s="1"/>
      <c r="AH5105" s="1"/>
      <c r="AI5105" s="1"/>
      <c r="AJ5105" s="1"/>
      <c r="AK5105" s="1"/>
      <c r="AL5105" s="1"/>
      <c r="AM5105" s="1"/>
    </row>
    <row r="5106" spans="16:39" x14ac:dyDescent="0.25">
      <c r="P5106" s="49"/>
      <c r="Q5106" s="1"/>
      <c r="S5106" s="1"/>
      <c r="T5106" s="1"/>
      <c r="U5106" s="1"/>
      <c r="V5106" s="1"/>
      <c r="W5106" s="1"/>
      <c r="X5106" s="1"/>
      <c r="Y5106" s="1"/>
      <c r="AB5106" s="1"/>
      <c r="AC5106" s="1"/>
      <c r="AD5106" s="1"/>
      <c r="AE5106" s="1"/>
      <c r="AF5106" s="1"/>
      <c r="AG5106" s="1"/>
      <c r="AH5106" s="1"/>
      <c r="AI5106" s="1"/>
      <c r="AJ5106" s="1"/>
      <c r="AK5106" s="1"/>
      <c r="AL5106" s="1"/>
      <c r="AM5106" s="1"/>
    </row>
    <row r="5107" spans="16:39" x14ac:dyDescent="0.25">
      <c r="P5107" s="49"/>
      <c r="Q5107" s="1"/>
      <c r="S5107" s="1"/>
      <c r="T5107" s="1"/>
      <c r="U5107" s="1"/>
      <c r="V5107" s="1"/>
      <c r="W5107" s="1"/>
      <c r="X5107" s="1"/>
      <c r="Y5107" s="1"/>
      <c r="AB5107" s="1"/>
      <c r="AC5107" s="1"/>
      <c r="AD5107" s="1"/>
      <c r="AE5107" s="1"/>
      <c r="AF5107" s="1"/>
      <c r="AG5107" s="1"/>
      <c r="AH5107" s="1"/>
      <c r="AI5107" s="1"/>
      <c r="AJ5107" s="1"/>
      <c r="AK5107" s="1"/>
      <c r="AL5107" s="1"/>
      <c r="AM5107" s="1"/>
    </row>
    <row r="5108" spans="16:39" x14ac:dyDescent="0.25">
      <c r="P5108" s="49"/>
      <c r="Q5108" s="1"/>
      <c r="S5108" s="1"/>
      <c r="T5108" s="1"/>
      <c r="U5108" s="1"/>
      <c r="V5108" s="1"/>
      <c r="W5108" s="1"/>
      <c r="X5108" s="1"/>
      <c r="Y5108" s="1"/>
      <c r="AB5108" s="1"/>
      <c r="AC5108" s="1"/>
      <c r="AD5108" s="1"/>
      <c r="AE5108" s="1"/>
      <c r="AF5108" s="1"/>
      <c r="AG5108" s="1"/>
      <c r="AH5108" s="1"/>
      <c r="AI5108" s="1"/>
      <c r="AJ5108" s="1"/>
      <c r="AK5108" s="1"/>
      <c r="AL5108" s="1"/>
      <c r="AM5108" s="1"/>
    </row>
    <row r="5109" spans="16:39" x14ac:dyDescent="0.25">
      <c r="P5109" s="49"/>
      <c r="Q5109" s="1"/>
      <c r="S5109" s="1"/>
      <c r="T5109" s="1"/>
      <c r="U5109" s="1"/>
      <c r="V5109" s="1"/>
      <c r="W5109" s="1"/>
      <c r="X5109" s="1"/>
      <c r="Y5109" s="1"/>
      <c r="AB5109" s="1"/>
      <c r="AC5109" s="1"/>
      <c r="AD5109" s="1"/>
      <c r="AE5109" s="1"/>
      <c r="AF5109" s="1"/>
      <c r="AG5109" s="1"/>
      <c r="AH5109" s="1"/>
      <c r="AI5109" s="1"/>
      <c r="AJ5109" s="1"/>
      <c r="AK5109" s="1"/>
      <c r="AL5109" s="1"/>
      <c r="AM5109" s="1"/>
    </row>
    <row r="5110" spans="16:39" x14ac:dyDescent="0.25">
      <c r="P5110" s="49"/>
      <c r="Q5110" s="1"/>
      <c r="S5110" s="1"/>
      <c r="T5110" s="1"/>
      <c r="U5110" s="1"/>
      <c r="V5110" s="1"/>
      <c r="W5110" s="1"/>
      <c r="X5110" s="1"/>
      <c r="Y5110" s="1"/>
      <c r="AB5110" s="1"/>
      <c r="AC5110" s="1"/>
      <c r="AD5110" s="1"/>
      <c r="AE5110" s="1"/>
      <c r="AF5110" s="1"/>
      <c r="AG5110" s="1"/>
      <c r="AH5110" s="1"/>
      <c r="AI5110" s="1"/>
      <c r="AJ5110" s="1"/>
      <c r="AK5110" s="1"/>
      <c r="AL5110" s="1"/>
      <c r="AM5110" s="1"/>
    </row>
    <row r="5111" spans="16:39" x14ac:dyDescent="0.25">
      <c r="P5111" s="49"/>
      <c r="Q5111" s="1"/>
      <c r="S5111" s="1"/>
      <c r="T5111" s="1"/>
      <c r="U5111" s="1"/>
      <c r="V5111" s="1"/>
      <c r="W5111" s="1"/>
      <c r="X5111" s="1"/>
      <c r="Y5111" s="1"/>
      <c r="AB5111" s="1"/>
      <c r="AC5111" s="1"/>
      <c r="AD5111" s="1"/>
      <c r="AE5111" s="1"/>
      <c r="AF5111" s="1"/>
      <c r="AG5111" s="1"/>
      <c r="AH5111" s="1"/>
      <c r="AI5111" s="1"/>
      <c r="AJ5111" s="1"/>
      <c r="AK5111" s="1"/>
      <c r="AL5111" s="1"/>
      <c r="AM5111" s="1"/>
    </row>
    <row r="5112" spans="16:39" x14ac:dyDescent="0.25">
      <c r="P5112" s="49"/>
      <c r="Q5112" s="1"/>
      <c r="S5112" s="1"/>
      <c r="T5112" s="1"/>
      <c r="U5112" s="1"/>
      <c r="V5112" s="1"/>
      <c r="W5112" s="1"/>
      <c r="X5112" s="1"/>
      <c r="Y5112" s="1"/>
      <c r="AB5112" s="1"/>
      <c r="AC5112" s="1"/>
      <c r="AD5112" s="1"/>
      <c r="AE5112" s="1"/>
      <c r="AF5112" s="1"/>
      <c r="AG5112" s="1"/>
      <c r="AH5112" s="1"/>
      <c r="AI5112" s="1"/>
      <c r="AJ5112" s="1"/>
      <c r="AK5112" s="1"/>
      <c r="AL5112" s="1"/>
      <c r="AM5112" s="1"/>
    </row>
    <row r="5113" spans="16:39" x14ac:dyDescent="0.25">
      <c r="P5113" s="49"/>
      <c r="Q5113" s="1"/>
      <c r="S5113" s="1"/>
      <c r="T5113" s="1"/>
      <c r="U5113" s="1"/>
      <c r="V5113" s="1"/>
      <c r="W5113" s="1"/>
      <c r="X5113" s="1"/>
      <c r="Y5113" s="1"/>
      <c r="AB5113" s="1"/>
      <c r="AC5113" s="1"/>
      <c r="AD5113" s="1"/>
      <c r="AE5113" s="1"/>
      <c r="AF5113" s="1"/>
      <c r="AG5113" s="1"/>
      <c r="AH5113" s="1"/>
      <c r="AI5113" s="1"/>
      <c r="AJ5113" s="1"/>
      <c r="AK5113" s="1"/>
      <c r="AL5113" s="1"/>
      <c r="AM5113" s="1"/>
    </row>
    <row r="5114" spans="16:39" x14ac:dyDescent="0.25">
      <c r="P5114" s="49"/>
      <c r="Q5114" s="1"/>
      <c r="S5114" s="1"/>
      <c r="T5114" s="1"/>
      <c r="U5114" s="1"/>
      <c r="V5114" s="1"/>
      <c r="W5114" s="1"/>
      <c r="X5114" s="1"/>
      <c r="Y5114" s="1"/>
      <c r="AB5114" s="1"/>
      <c r="AC5114" s="1"/>
      <c r="AD5114" s="1"/>
      <c r="AE5114" s="1"/>
      <c r="AF5114" s="1"/>
      <c r="AG5114" s="1"/>
      <c r="AH5114" s="1"/>
      <c r="AI5114" s="1"/>
      <c r="AJ5114" s="1"/>
      <c r="AK5114" s="1"/>
      <c r="AL5114" s="1"/>
      <c r="AM5114" s="1"/>
    </row>
    <row r="5115" spans="16:39" x14ac:dyDescent="0.25">
      <c r="P5115" s="49"/>
      <c r="Q5115" s="1"/>
      <c r="S5115" s="1"/>
      <c r="T5115" s="1"/>
      <c r="U5115" s="1"/>
      <c r="V5115" s="1"/>
      <c r="W5115" s="1"/>
      <c r="X5115" s="1"/>
      <c r="Y5115" s="1"/>
      <c r="AB5115" s="1"/>
      <c r="AC5115" s="1"/>
      <c r="AD5115" s="1"/>
      <c r="AE5115" s="1"/>
      <c r="AF5115" s="1"/>
      <c r="AG5115" s="1"/>
      <c r="AH5115" s="1"/>
      <c r="AI5115" s="1"/>
      <c r="AJ5115" s="1"/>
      <c r="AK5115" s="1"/>
      <c r="AL5115" s="1"/>
      <c r="AM5115" s="1"/>
    </row>
    <row r="5116" spans="16:39" x14ac:dyDescent="0.25">
      <c r="P5116" s="49"/>
      <c r="Q5116" s="1"/>
      <c r="S5116" s="1"/>
      <c r="T5116" s="1"/>
      <c r="U5116" s="1"/>
      <c r="V5116" s="1"/>
      <c r="W5116" s="1"/>
      <c r="X5116" s="1"/>
      <c r="Y5116" s="1"/>
      <c r="AB5116" s="1"/>
      <c r="AC5116" s="1"/>
      <c r="AD5116" s="1"/>
      <c r="AE5116" s="1"/>
      <c r="AF5116" s="1"/>
      <c r="AG5116" s="1"/>
      <c r="AH5116" s="1"/>
      <c r="AI5116" s="1"/>
      <c r="AJ5116" s="1"/>
      <c r="AK5116" s="1"/>
      <c r="AL5116" s="1"/>
      <c r="AM5116" s="1"/>
    </row>
    <row r="5117" spans="16:39" x14ac:dyDescent="0.25">
      <c r="P5117" s="49"/>
      <c r="Q5117" s="1"/>
      <c r="S5117" s="1"/>
      <c r="T5117" s="1"/>
      <c r="U5117" s="1"/>
      <c r="V5117" s="1"/>
      <c r="W5117" s="1"/>
      <c r="X5117" s="1"/>
      <c r="Y5117" s="1"/>
      <c r="AB5117" s="1"/>
      <c r="AC5117" s="1"/>
      <c r="AD5117" s="1"/>
      <c r="AE5117" s="1"/>
      <c r="AF5117" s="1"/>
      <c r="AG5117" s="1"/>
      <c r="AH5117" s="1"/>
      <c r="AI5117" s="1"/>
      <c r="AJ5117" s="1"/>
      <c r="AK5117" s="1"/>
      <c r="AL5117" s="1"/>
      <c r="AM5117" s="1"/>
    </row>
    <row r="5118" spans="16:39" x14ac:dyDescent="0.25">
      <c r="P5118" s="49"/>
      <c r="Q5118" s="1"/>
      <c r="S5118" s="1"/>
      <c r="T5118" s="1"/>
      <c r="U5118" s="1"/>
      <c r="V5118" s="1"/>
      <c r="W5118" s="1"/>
      <c r="X5118" s="1"/>
      <c r="Y5118" s="1"/>
      <c r="AB5118" s="1"/>
      <c r="AC5118" s="1"/>
      <c r="AD5118" s="1"/>
      <c r="AE5118" s="1"/>
      <c r="AF5118" s="1"/>
      <c r="AG5118" s="1"/>
      <c r="AH5118" s="1"/>
      <c r="AI5118" s="1"/>
      <c r="AJ5118" s="1"/>
      <c r="AK5118" s="1"/>
      <c r="AL5118" s="1"/>
      <c r="AM5118" s="1"/>
    </row>
    <row r="5119" spans="16:39" x14ac:dyDescent="0.25">
      <c r="P5119" s="49"/>
      <c r="Q5119" s="1"/>
      <c r="S5119" s="1"/>
      <c r="T5119" s="1"/>
      <c r="U5119" s="1"/>
      <c r="V5119" s="1"/>
      <c r="W5119" s="1"/>
      <c r="X5119" s="1"/>
      <c r="Y5119" s="1"/>
      <c r="AB5119" s="1"/>
      <c r="AC5119" s="1"/>
      <c r="AD5119" s="1"/>
      <c r="AE5119" s="1"/>
      <c r="AF5119" s="1"/>
      <c r="AG5119" s="1"/>
      <c r="AH5119" s="1"/>
      <c r="AI5119" s="1"/>
      <c r="AJ5119" s="1"/>
      <c r="AK5119" s="1"/>
      <c r="AL5119" s="1"/>
      <c r="AM5119" s="1"/>
    </row>
    <row r="5120" spans="16:39" x14ac:dyDescent="0.25">
      <c r="P5120" s="49"/>
      <c r="Q5120" s="1"/>
      <c r="S5120" s="1"/>
      <c r="T5120" s="1"/>
      <c r="U5120" s="1"/>
      <c r="V5120" s="1"/>
      <c r="W5120" s="1"/>
      <c r="X5120" s="1"/>
      <c r="Y5120" s="1"/>
      <c r="AB5120" s="1"/>
      <c r="AC5120" s="1"/>
      <c r="AD5120" s="1"/>
      <c r="AE5120" s="1"/>
      <c r="AF5120" s="1"/>
      <c r="AG5120" s="1"/>
      <c r="AH5120" s="1"/>
      <c r="AI5120" s="1"/>
      <c r="AJ5120" s="1"/>
      <c r="AK5120" s="1"/>
      <c r="AL5120" s="1"/>
      <c r="AM5120" s="1"/>
    </row>
    <row r="5121" spans="16:39" x14ac:dyDescent="0.25">
      <c r="P5121" s="49"/>
      <c r="Q5121" s="1"/>
      <c r="S5121" s="1"/>
      <c r="T5121" s="1"/>
      <c r="U5121" s="1"/>
      <c r="V5121" s="1"/>
      <c r="W5121" s="1"/>
      <c r="X5121" s="1"/>
      <c r="Y5121" s="1"/>
      <c r="AB5121" s="1"/>
      <c r="AC5121" s="1"/>
      <c r="AD5121" s="1"/>
      <c r="AE5121" s="1"/>
      <c r="AF5121" s="1"/>
      <c r="AG5121" s="1"/>
      <c r="AH5121" s="1"/>
      <c r="AI5121" s="1"/>
      <c r="AJ5121" s="1"/>
      <c r="AK5121" s="1"/>
      <c r="AL5121" s="1"/>
      <c r="AM5121" s="1"/>
    </row>
    <row r="5122" spans="16:39" x14ac:dyDescent="0.25">
      <c r="P5122" s="49"/>
      <c r="Q5122" s="1"/>
      <c r="S5122" s="1"/>
      <c r="T5122" s="1"/>
      <c r="U5122" s="1"/>
      <c r="V5122" s="1"/>
      <c r="W5122" s="1"/>
      <c r="X5122" s="1"/>
      <c r="Y5122" s="1"/>
      <c r="AB5122" s="1"/>
      <c r="AC5122" s="1"/>
      <c r="AD5122" s="1"/>
      <c r="AE5122" s="1"/>
      <c r="AF5122" s="1"/>
      <c r="AG5122" s="1"/>
      <c r="AH5122" s="1"/>
      <c r="AI5122" s="1"/>
      <c r="AJ5122" s="1"/>
      <c r="AK5122" s="1"/>
      <c r="AL5122" s="1"/>
      <c r="AM5122" s="1"/>
    </row>
    <row r="5123" spans="16:39" x14ac:dyDescent="0.25">
      <c r="P5123" s="49"/>
      <c r="Q5123" s="1"/>
      <c r="S5123" s="1"/>
      <c r="T5123" s="1"/>
      <c r="U5123" s="1"/>
      <c r="V5123" s="1"/>
      <c r="W5123" s="1"/>
      <c r="X5123" s="1"/>
      <c r="Y5123" s="1"/>
      <c r="AB5123" s="1"/>
      <c r="AC5123" s="1"/>
      <c r="AD5123" s="1"/>
      <c r="AE5123" s="1"/>
      <c r="AF5123" s="1"/>
      <c r="AG5123" s="1"/>
      <c r="AH5123" s="1"/>
      <c r="AI5123" s="1"/>
      <c r="AJ5123" s="1"/>
      <c r="AK5123" s="1"/>
      <c r="AL5123" s="1"/>
      <c r="AM5123" s="1"/>
    </row>
    <row r="5124" spans="16:39" x14ac:dyDescent="0.25">
      <c r="P5124" s="49"/>
      <c r="Q5124" s="1"/>
      <c r="S5124" s="1"/>
      <c r="T5124" s="1"/>
      <c r="U5124" s="1"/>
      <c r="V5124" s="1"/>
      <c r="W5124" s="1"/>
      <c r="X5124" s="1"/>
      <c r="Y5124" s="1"/>
      <c r="AB5124" s="1"/>
      <c r="AC5124" s="1"/>
      <c r="AD5124" s="1"/>
      <c r="AE5124" s="1"/>
      <c r="AF5124" s="1"/>
      <c r="AG5124" s="1"/>
      <c r="AH5124" s="1"/>
      <c r="AI5124" s="1"/>
      <c r="AJ5124" s="1"/>
      <c r="AK5124" s="1"/>
      <c r="AL5124" s="1"/>
      <c r="AM5124" s="1"/>
    </row>
    <row r="5125" spans="16:39" x14ac:dyDescent="0.25">
      <c r="P5125" s="49"/>
      <c r="Q5125" s="1"/>
      <c r="S5125" s="1"/>
      <c r="T5125" s="1"/>
      <c r="U5125" s="1"/>
      <c r="V5125" s="1"/>
      <c r="W5125" s="1"/>
      <c r="X5125" s="1"/>
      <c r="Y5125" s="1"/>
      <c r="AB5125" s="1"/>
      <c r="AC5125" s="1"/>
      <c r="AD5125" s="1"/>
      <c r="AE5125" s="1"/>
      <c r="AF5125" s="1"/>
      <c r="AG5125" s="1"/>
      <c r="AH5125" s="1"/>
      <c r="AI5125" s="1"/>
      <c r="AJ5125" s="1"/>
      <c r="AK5125" s="1"/>
      <c r="AL5125" s="1"/>
      <c r="AM5125" s="1"/>
    </row>
    <row r="5126" spans="16:39" x14ac:dyDescent="0.25">
      <c r="P5126" s="49"/>
      <c r="Q5126" s="1"/>
      <c r="S5126" s="1"/>
      <c r="T5126" s="1"/>
      <c r="U5126" s="1"/>
      <c r="V5126" s="1"/>
      <c r="W5126" s="1"/>
      <c r="X5126" s="1"/>
      <c r="Y5126" s="1"/>
      <c r="AB5126" s="1"/>
      <c r="AC5126" s="1"/>
      <c r="AD5126" s="1"/>
      <c r="AE5126" s="1"/>
      <c r="AF5126" s="1"/>
      <c r="AG5126" s="1"/>
      <c r="AH5126" s="1"/>
      <c r="AI5126" s="1"/>
      <c r="AJ5126" s="1"/>
      <c r="AK5126" s="1"/>
      <c r="AL5126" s="1"/>
      <c r="AM5126" s="1"/>
    </row>
    <row r="5127" spans="16:39" x14ac:dyDescent="0.25">
      <c r="P5127" s="49"/>
      <c r="Q5127" s="1"/>
      <c r="S5127" s="1"/>
      <c r="T5127" s="1"/>
      <c r="U5127" s="1"/>
      <c r="V5127" s="1"/>
      <c r="W5127" s="1"/>
      <c r="X5127" s="1"/>
      <c r="Y5127" s="1"/>
      <c r="AB5127" s="1"/>
      <c r="AC5127" s="1"/>
      <c r="AD5127" s="1"/>
      <c r="AE5127" s="1"/>
      <c r="AF5127" s="1"/>
      <c r="AG5127" s="1"/>
      <c r="AH5127" s="1"/>
      <c r="AI5127" s="1"/>
      <c r="AJ5127" s="1"/>
      <c r="AK5127" s="1"/>
      <c r="AL5127" s="1"/>
      <c r="AM5127" s="1"/>
    </row>
    <row r="5128" spans="16:39" x14ac:dyDescent="0.25">
      <c r="P5128" s="49"/>
      <c r="Q5128" s="1"/>
      <c r="S5128" s="1"/>
      <c r="T5128" s="1"/>
      <c r="U5128" s="1"/>
      <c r="V5128" s="1"/>
      <c r="W5128" s="1"/>
      <c r="X5128" s="1"/>
      <c r="Y5128" s="1"/>
      <c r="AB5128" s="1"/>
      <c r="AC5128" s="1"/>
      <c r="AD5128" s="1"/>
      <c r="AE5128" s="1"/>
      <c r="AF5128" s="1"/>
      <c r="AG5128" s="1"/>
      <c r="AH5128" s="1"/>
      <c r="AI5128" s="1"/>
      <c r="AJ5128" s="1"/>
      <c r="AK5128" s="1"/>
      <c r="AL5128" s="1"/>
      <c r="AM5128" s="1"/>
    </row>
    <row r="5129" spans="16:39" x14ac:dyDescent="0.25">
      <c r="P5129" s="49"/>
      <c r="Q5129" s="1"/>
      <c r="S5129" s="1"/>
      <c r="T5129" s="1"/>
      <c r="U5129" s="1"/>
      <c r="V5129" s="1"/>
      <c r="W5129" s="1"/>
      <c r="X5129" s="1"/>
      <c r="Y5129" s="1"/>
      <c r="AB5129" s="1"/>
      <c r="AC5129" s="1"/>
      <c r="AD5129" s="1"/>
      <c r="AE5129" s="1"/>
      <c r="AF5129" s="1"/>
      <c r="AG5129" s="1"/>
      <c r="AH5129" s="1"/>
      <c r="AI5129" s="1"/>
      <c r="AJ5129" s="1"/>
      <c r="AK5129" s="1"/>
      <c r="AL5129" s="1"/>
      <c r="AM5129" s="1"/>
    </row>
    <row r="5130" spans="16:39" x14ac:dyDescent="0.25">
      <c r="P5130" s="49"/>
      <c r="Q5130" s="1"/>
      <c r="S5130" s="1"/>
      <c r="T5130" s="1"/>
      <c r="U5130" s="1"/>
      <c r="V5130" s="1"/>
      <c r="W5130" s="1"/>
      <c r="X5130" s="1"/>
      <c r="Y5130" s="1"/>
      <c r="AB5130" s="1"/>
      <c r="AC5130" s="1"/>
      <c r="AD5130" s="1"/>
      <c r="AE5130" s="1"/>
      <c r="AF5130" s="1"/>
      <c r="AG5130" s="1"/>
      <c r="AH5130" s="1"/>
      <c r="AI5130" s="1"/>
      <c r="AJ5130" s="1"/>
      <c r="AK5130" s="1"/>
      <c r="AL5130" s="1"/>
      <c r="AM5130" s="1"/>
    </row>
    <row r="5131" spans="16:39" x14ac:dyDescent="0.25">
      <c r="P5131" s="49"/>
      <c r="Q5131" s="1"/>
      <c r="S5131" s="1"/>
      <c r="T5131" s="1"/>
      <c r="U5131" s="1"/>
      <c r="V5131" s="1"/>
      <c r="W5131" s="1"/>
      <c r="X5131" s="1"/>
      <c r="Y5131" s="1"/>
      <c r="AB5131" s="1"/>
      <c r="AC5131" s="1"/>
      <c r="AD5131" s="1"/>
      <c r="AE5131" s="1"/>
      <c r="AF5131" s="1"/>
      <c r="AG5131" s="1"/>
      <c r="AH5131" s="1"/>
      <c r="AI5131" s="1"/>
      <c r="AJ5131" s="1"/>
      <c r="AK5131" s="1"/>
      <c r="AL5131" s="1"/>
      <c r="AM5131" s="1"/>
    </row>
    <row r="5132" spans="16:39" x14ac:dyDescent="0.25">
      <c r="P5132" s="49"/>
      <c r="Q5132" s="1"/>
      <c r="S5132" s="1"/>
      <c r="T5132" s="1"/>
      <c r="U5132" s="1"/>
      <c r="V5132" s="1"/>
      <c r="W5132" s="1"/>
      <c r="X5132" s="1"/>
      <c r="Y5132" s="1"/>
      <c r="AB5132" s="1"/>
      <c r="AC5132" s="1"/>
      <c r="AD5132" s="1"/>
      <c r="AE5132" s="1"/>
      <c r="AF5132" s="1"/>
      <c r="AG5132" s="1"/>
      <c r="AH5132" s="1"/>
      <c r="AI5132" s="1"/>
      <c r="AJ5132" s="1"/>
      <c r="AK5132" s="1"/>
      <c r="AL5132" s="1"/>
      <c r="AM5132" s="1"/>
    </row>
    <row r="5133" spans="16:39" x14ac:dyDescent="0.25">
      <c r="P5133" s="49"/>
      <c r="Q5133" s="1"/>
      <c r="S5133" s="1"/>
      <c r="T5133" s="1"/>
      <c r="U5133" s="1"/>
      <c r="V5133" s="1"/>
      <c r="W5133" s="1"/>
      <c r="X5133" s="1"/>
      <c r="Y5133" s="1"/>
      <c r="AB5133" s="1"/>
      <c r="AC5133" s="1"/>
      <c r="AD5133" s="1"/>
      <c r="AE5133" s="1"/>
      <c r="AF5133" s="1"/>
      <c r="AG5133" s="1"/>
      <c r="AH5133" s="1"/>
      <c r="AI5133" s="1"/>
      <c r="AJ5133" s="1"/>
      <c r="AK5133" s="1"/>
      <c r="AL5133" s="1"/>
      <c r="AM5133" s="1"/>
    </row>
    <row r="5134" spans="16:39" x14ac:dyDescent="0.25">
      <c r="P5134" s="49"/>
      <c r="Q5134" s="1"/>
      <c r="S5134" s="1"/>
      <c r="T5134" s="1"/>
      <c r="U5134" s="1"/>
      <c r="V5134" s="1"/>
      <c r="W5134" s="1"/>
      <c r="X5134" s="1"/>
      <c r="Y5134" s="1"/>
      <c r="AB5134" s="1"/>
      <c r="AC5134" s="1"/>
      <c r="AD5134" s="1"/>
      <c r="AE5134" s="1"/>
      <c r="AF5134" s="1"/>
      <c r="AG5134" s="1"/>
      <c r="AH5134" s="1"/>
      <c r="AI5134" s="1"/>
      <c r="AJ5134" s="1"/>
      <c r="AK5134" s="1"/>
      <c r="AL5134" s="1"/>
      <c r="AM5134" s="1"/>
    </row>
    <row r="5135" spans="16:39" x14ac:dyDescent="0.25">
      <c r="P5135" s="49"/>
      <c r="Q5135" s="1"/>
      <c r="S5135" s="1"/>
      <c r="T5135" s="1"/>
      <c r="U5135" s="1"/>
      <c r="V5135" s="1"/>
      <c r="W5135" s="1"/>
      <c r="X5135" s="1"/>
      <c r="Y5135" s="1"/>
      <c r="AB5135" s="1"/>
      <c r="AC5135" s="1"/>
      <c r="AD5135" s="1"/>
      <c r="AE5135" s="1"/>
      <c r="AF5135" s="1"/>
      <c r="AG5135" s="1"/>
      <c r="AH5135" s="1"/>
      <c r="AI5135" s="1"/>
      <c r="AJ5135" s="1"/>
      <c r="AK5135" s="1"/>
      <c r="AL5135" s="1"/>
      <c r="AM5135" s="1"/>
    </row>
    <row r="5136" spans="16:39" x14ac:dyDescent="0.25">
      <c r="P5136" s="49"/>
      <c r="Q5136" s="1"/>
      <c r="S5136" s="1"/>
      <c r="T5136" s="1"/>
      <c r="U5136" s="1"/>
      <c r="V5136" s="1"/>
      <c r="W5136" s="1"/>
      <c r="X5136" s="1"/>
      <c r="Y5136" s="1"/>
      <c r="AB5136" s="1"/>
      <c r="AC5136" s="1"/>
      <c r="AD5136" s="1"/>
      <c r="AE5136" s="1"/>
      <c r="AF5136" s="1"/>
      <c r="AG5136" s="1"/>
      <c r="AH5136" s="1"/>
      <c r="AI5136" s="1"/>
      <c r="AJ5136" s="1"/>
      <c r="AK5136" s="1"/>
      <c r="AL5136" s="1"/>
      <c r="AM5136" s="1"/>
    </row>
    <row r="5137" spans="16:39" x14ac:dyDescent="0.25">
      <c r="P5137" s="49"/>
      <c r="Q5137" s="1"/>
      <c r="S5137" s="1"/>
      <c r="T5137" s="1"/>
      <c r="U5137" s="1"/>
      <c r="V5137" s="1"/>
      <c r="W5137" s="1"/>
      <c r="X5137" s="1"/>
      <c r="Y5137" s="1"/>
      <c r="AB5137" s="1"/>
      <c r="AC5137" s="1"/>
      <c r="AD5137" s="1"/>
      <c r="AE5137" s="1"/>
      <c r="AF5137" s="1"/>
      <c r="AG5137" s="1"/>
      <c r="AH5137" s="1"/>
      <c r="AI5137" s="1"/>
      <c r="AJ5137" s="1"/>
      <c r="AK5137" s="1"/>
      <c r="AL5137" s="1"/>
      <c r="AM5137" s="1"/>
    </row>
    <row r="5138" spans="16:39" x14ac:dyDescent="0.25">
      <c r="P5138" s="49"/>
      <c r="Q5138" s="1"/>
      <c r="S5138" s="1"/>
      <c r="T5138" s="1"/>
      <c r="U5138" s="1"/>
      <c r="V5138" s="1"/>
      <c r="W5138" s="1"/>
      <c r="X5138" s="1"/>
      <c r="Y5138" s="1"/>
      <c r="AB5138" s="1"/>
      <c r="AC5138" s="1"/>
      <c r="AD5138" s="1"/>
      <c r="AE5138" s="1"/>
      <c r="AF5138" s="1"/>
      <c r="AG5138" s="1"/>
      <c r="AH5138" s="1"/>
      <c r="AI5138" s="1"/>
      <c r="AJ5138" s="1"/>
      <c r="AK5138" s="1"/>
      <c r="AL5138" s="1"/>
      <c r="AM5138" s="1"/>
    </row>
    <row r="5139" spans="16:39" x14ac:dyDescent="0.25">
      <c r="P5139" s="49"/>
      <c r="Q5139" s="1"/>
      <c r="S5139" s="1"/>
      <c r="T5139" s="1"/>
      <c r="U5139" s="1"/>
      <c r="V5139" s="1"/>
      <c r="W5139" s="1"/>
      <c r="X5139" s="1"/>
      <c r="Y5139" s="1"/>
      <c r="AB5139" s="1"/>
      <c r="AC5139" s="1"/>
      <c r="AD5139" s="1"/>
      <c r="AE5139" s="1"/>
      <c r="AF5139" s="1"/>
      <c r="AG5139" s="1"/>
      <c r="AH5139" s="1"/>
      <c r="AI5139" s="1"/>
      <c r="AJ5139" s="1"/>
      <c r="AK5139" s="1"/>
      <c r="AL5139" s="1"/>
      <c r="AM5139" s="1"/>
    </row>
    <row r="5140" spans="16:39" x14ac:dyDescent="0.25">
      <c r="P5140" s="49"/>
      <c r="Q5140" s="1"/>
      <c r="S5140" s="1"/>
      <c r="T5140" s="1"/>
      <c r="U5140" s="1"/>
      <c r="V5140" s="1"/>
      <c r="W5140" s="1"/>
      <c r="X5140" s="1"/>
      <c r="Y5140" s="1"/>
      <c r="AB5140" s="1"/>
      <c r="AC5140" s="1"/>
      <c r="AD5140" s="1"/>
      <c r="AE5140" s="1"/>
      <c r="AF5140" s="1"/>
      <c r="AG5140" s="1"/>
      <c r="AH5140" s="1"/>
      <c r="AI5140" s="1"/>
      <c r="AJ5140" s="1"/>
      <c r="AK5140" s="1"/>
      <c r="AL5140" s="1"/>
      <c r="AM5140" s="1"/>
    </row>
    <row r="5141" spans="16:39" x14ac:dyDescent="0.25">
      <c r="P5141" s="49"/>
      <c r="Q5141" s="1"/>
      <c r="S5141" s="1"/>
      <c r="T5141" s="1"/>
      <c r="U5141" s="1"/>
      <c r="V5141" s="1"/>
      <c r="W5141" s="1"/>
      <c r="X5141" s="1"/>
      <c r="Y5141" s="1"/>
      <c r="AB5141" s="1"/>
      <c r="AC5141" s="1"/>
      <c r="AD5141" s="1"/>
      <c r="AE5141" s="1"/>
      <c r="AF5141" s="1"/>
      <c r="AG5141" s="1"/>
      <c r="AH5141" s="1"/>
      <c r="AI5141" s="1"/>
      <c r="AJ5141" s="1"/>
      <c r="AK5141" s="1"/>
      <c r="AL5141" s="1"/>
      <c r="AM5141" s="1"/>
    </row>
    <row r="5142" spans="16:39" x14ac:dyDescent="0.25">
      <c r="P5142" s="49"/>
      <c r="Q5142" s="1"/>
      <c r="S5142" s="1"/>
      <c r="T5142" s="1"/>
      <c r="U5142" s="1"/>
      <c r="V5142" s="1"/>
      <c r="W5142" s="1"/>
      <c r="X5142" s="1"/>
      <c r="Y5142" s="1"/>
      <c r="AB5142" s="1"/>
      <c r="AC5142" s="1"/>
      <c r="AD5142" s="1"/>
      <c r="AE5142" s="1"/>
      <c r="AF5142" s="1"/>
      <c r="AG5142" s="1"/>
      <c r="AH5142" s="1"/>
      <c r="AI5142" s="1"/>
      <c r="AJ5142" s="1"/>
      <c r="AK5142" s="1"/>
      <c r="AL5142" s="1"/>
      <c r="AM5142" s="1"/>
    </row>
    <row r="5143" spans="16:39" x14ac:dyDescent="0.25">
      <c r="P5143" s="49"/>
      <c r="Q5143" s="1"/>
      <c r="S5143" s="1"/>
      <c r="T5143" s="1"/>
      <c r="U5143" s="1"/>
      <c r="V5143" s="1"/>
      <c r="W5143" s="1"/>
      <c r="X5143" s="1"/>
      <c r="Y5143" s="1"/>
      <c r="AB5143" s="1"/>
      <c r="AC5143" s="1"/>
      <c r="AD5143" s="1"/>
      <c r="AE5143" s="1"/>
      <c r="AF5143" s="1"/>
      <c r="AG5143" s="1"/>
      <c r="AH5143" s="1"/>
      <c r="AI5143" s="1"/>
      <c r="AJ5143" s="1"/>
      <c r="AK5143" s="1"/>
      <c r="AL5143" s="1"/>
      <c r="AM5143" s="1"/>
    </row>
    <row r="5144" spans="16:39" x14ac:dyDescent="0.25">
      <c r="P5144" s="49"/>
      <c r="Q5144" s="1"/>
      <c r="S5144" s="1"/>
      <c r="T5144" s="1"/>
      <c r="U5144" s="1"/>
      <c r="V5144" s="1"/>
      <c r="W5144" s="1"/>
      <c r="X5144" s="1"/>
      <c r="Y5144" s="1"/>
      <c r="AB5144" s="1"/>
      <c r="AC5144" s="1"/>
      <c r="AD5144" s="1"/>
      <c r="AE5144" s="1"/>
      <c r="AF5144" s="1"/>
      <c r="AG5144" s="1"/>
      <c r="AH5144" s="1"/>
      <c r="AI5144" s="1"/>
      <c r="AJ5144" s="1"/>
      <c r="AK5144" s="1"/>
      <c r="AL5144" s="1"/>
      <c r="AM5144" s="1"/>
    </row>
    <row r="5145" spans="16:39" x14ac:dyDescent="0.25">
      <c r="P5145" s="49"/>
      <c r="Q5145" s="1"/>
      <c r="S5145" s="1"/>
      <c r="T5145" s="1"/>
      <c r="U5145" s="1"/>
      <c r="V5145" s="1"/>
      <c r="W5145" s="1"/>
      <c r="X5145" s="1"/>
      <c r="Y5145" s="1"/>
      <c r="AB5145" s="1"/>
      <c r="AC5145" s="1"/>
      <c r="AD5145" s="1"/>
      <c r="AE5145" s="1"/>
      <c r="AF5145" s="1"/>
      <c r="AG5145" s="1"/>
      <c r="AH5145" s="1"/>
      <c r="AI5145" s="1"/>
      <c r="AJ5145" s="1"/>
      <c r="AK5145" s="1"/>
      <c r="AL5145" s="1"/>
      <c r="AM5145" s="1"/>
    </row>
    <row r="5146" spans="16:39" x14ac:dyDescent="0.25">
      <c r="P5146" s="49"/>
      <c r="Q5146" s="1"/>
      <c r="S5146" s="1"/>
      <c r="T5146" s="1"/>
      <c r="U5146" s="1"/>
      <c r="V5146" s="1"/>
      <c r="W5146" s="1"/>
      <c r="X5146" s="1"/>
      <c r="Y5146" s="1"/>
      <c r="AB5146" s="1"/>
      <c r="AC5146" s="1"/>
      <c r="AD5146" s="1"/>
      <c r="AE5146" s="1"/>
      <c r="AF5146" s="1"/>
      <c r="AG5146" s="1"/>
      <c r="AH5146" s="1"/>
      <c r="AI5146" s="1"/>
      <c r="AJ5146" s="1"/>
      <c r="AK5146" s="1"/>
      <c r="AL5146" s="1"/>
      <c r="AM5146" s="1"/>
    </row>
    <row r="5147" spans="16:39" x14ac:dyDescent="0.25">
      <c r="P5147" s="49"/>
      <c r="Q5147" s="1"/>
      <c r="S5147" s="1"/>
      <c r="T5147" s="1"/>
      <c r="U5147" s="1"/>
      <c r="V5147" s="1"/>
      <c r="W5147" s="1"/>
      <c r="X5147" s="1"/>
      <c r="Y5147" s="1"/>
      <c r="AB5147" s="1"/>
      <c r="AC5147" s="1"/>
      <c r="AD5147" s="1"/>
      <c r="AE5147" s="1"/>
      <c r="AF5147" s="1"/>
      <c r="AG5147" s="1"/>
      <c r="AH5147" s="1"/>
      <c r="AI5147" s="1"/>
      <c r="AJ5147" s="1"/>
      <c r="AK5147" s="1"/>
      <c r="AL5147" s="1"/>
      <c r="AM5147" s="1"/>
    </row>
    <row r="5148" spans="16:39" x14ac:dyDescent="0.25">
      <c r="P5148" s="49"/>
      <c r="Q5148" s="1"/>
      <c r="S5148" s="1"/>
      <c r="T5148" s="1"/>
      <c r="U5148" s="1"/>
      <c r="V5148" s="1"/>
      <c r="W5148" s="1"/>
      <c r="X5148" s="1"/>
      <c r="Y5148" s="1"/>
      <c r="AB5148" s="1"/>
      <c r="AC5148" s="1"/>
      <c r="AD5148" s="1"/>
      <c r="AE5148" s="1"/>
      <c r="AF5148" s="1"/>
      <c r="AG5148" s="1"/>
      <c r="AH5148" s="1"/>
      <c r="AI5148" s="1"/>
      <c r="AJ5148" s="1"/>
      <c r="AK5148" s="1"/>
      <c r="AL5148" s="1"/>
      <c r="AM5148" s="1"/>
    </row>
    <row r="5149" spans="16:39" x14ac:dyDescent="0.25">
      <c r="P5149" s="49"/>
      <c r="Q5149" s="1"/>
      <c r="S5149" s="1"/>
      <c r="T5149" s="1"/>
      <c r="U5149" s="1"/>
      <c r="V5149" s="1"/>
      <c r="W5149" s="1"/>
      <c r="X5149" s="1"/>
      <c r="Y5149" s="1"/>
      <c r="AB5149" s="1"/>
      <c r="AC5149" s="1"/>
      <c r="AD5149" s="1"/>
      <c r="AE5149" s="1"/>
      <c r="AF5149" s="1"/>
      <c r="AG5149" s="1"/>
      <c r="AH5149" s="1"/>
      <c r="AI5149" s="1"/>
      <c r="AJ5149" s="1"/>
      <c r="AK5149" s="1"/>
      <c r="AL5149" s="1"/>
      <c r="AM5149" s="1"/>
    </row>
    <row r="5150" spans="16:39" x14ac:dyDescent="0.25">
      <c r="P5150" s="49"/>
      <c r="Q5150" s="1"/>
      <c r="S5150" s="1"/>
      <c r="T5150" s="1"/>
      <c r="U5150" s="1"/>
      <c r="V5150" s="1"/>
      <c r="W5150" s="1"/>
      <c r="X5150" s="1"/>
      <c r="Y5150" s="1"/>
      <c r="AB5150" s="1"/>
      <c r="AC5150" s="1"/>
      <c r="AD5150" s="1"/>
      <c r="AE5150" s="1"/>
      <c r="AF5150" s="1"/>
      <c r="AG5150" s="1"/>
      <c r="AH5150" s="1"/>
      <c r="AI5150" s="1"/>
      <c r="AJ5150" s="1"/>
      <c r="AK5150" s="1"/>
      <c r="AL5150" s="1"/>
      <c r="AM5150" s="1"/>
    </row>
    <row r="5151" spans="16:39" x14ac:dyDescent="0.25">
      <c r="P5151" s="49"/>
      <c r="Q5151" s="1"/>
      <c r="S5151" s="1"/>
      <c r="T5151" s="1"/>
      <c r="U5151" s="1"/>
      <c r="V5151" s="1"/>
      <c r="W5151" s="1"/>
      <c r="X5151" s="1"/>
      <c r="Y5151" s="1"/>
      <c r="AB5151" s="1"/>
      <c r="AC5151" s="1"/>
      <c r="AD5151" s="1"/>
      <c r="AE5151" s="1"/>
      <c r="AF5151" s="1"/>
      <c r="AG5151" s="1"/>
      <c r="AH5151" s="1"/>
      <c r="AI5151" s="1"/>
      <c r="AJ5151" s="1"/>
      <c r="AK5151" s="1"/>
      <c r="AL5151" s="1"/>
      <c r="AM5151" s="1"/>
    </row>
    <row r="5152" spans="16:39" x14ac:dyDescent="0.25">
      <c r="P5152" s="49"/>
      <c r="Q5152" s="1"/>
      <c r="S5152" s="1"/>
      <c r="T5152" s="1"/>
      <c r="U5152" s="1"/>
      <c r="V5152" s="1"/>
      <c r="W5152" s="1"/>
      <c r="X5152" s="1"/>
      <c r="Y5152" s="1"/>
      <c r="AB5152" s="1"/>
      <c r="AC5152" s="1"/>
      <c r="AD5152" s="1"/>
      <c r="AE5152" s="1"/>
      <c r="AF5152" s="1"/>
      <c r="AG5152" s="1"/>
      <c r="AH5152" s="1"/>
      <c r="AI5152" s="1"/>
      <c r="AJ5152" s="1"/>
      <c r="AK5152" s="1"/>
      <c r="AL5152" s="1"/>
      <c r="AM5152" s="1"/>
    </row>
    <row r="5153" spans="16:39" x14ac:dyDescent="0.25">
      <c r="P5153" s="49"/>
      <c r="Q5153" s="1"/>
      <c r="S5153" s="1"/>
      <c r="T5153" s="1"/>
      <c r="U5153" s="1"/>
      <c r="V5153" s="1"/>
      <c r="W5153" s="1"/>
      <c r="X5153" s="1"/>
      <c r="Y5153" s="1"/>
      <c r="AB5153" s="1"/>
      <c r="AC5153" s="1"/>
      <c r="AD5153" s="1"/>
      <c r="AE5153" s="1"/>
      <c r="AF5153" s="1"/>
      <c r="AG5153" s="1"/>
      <c r="AH5153" s="1"/>
      <c r="AI5153" s="1"/>
      <c r="AJ5153" s="1"/>
      <c r="AK5153" s="1"/>
      <c r="AL5153" s="1"/>
      <c r="AM5153" s="1"/>
    </row>
    <row r="5154" spans="16:39" x14ac:dyDescent="0.25">
      <c r="P5154" s="49"/>
      <c r="Q5154" s="1"/>
      <c r="S5154" s="1"/>
      <c r="T5154" s="1"/>
      <c r="U5154" s="1"/>
      <c r="V5154" s="1"/>
      <c r="W5154" s="1"/>
      <c r="X5154" s="1"/>
      <c r="Y5154" s="1"/>
      <c r="AB5154" s="1"/>
      <c r="AC5154" s="1"/>
      <c r="AD5154" s="1"/>
      <c r="AE5154" s="1"/>
      <c r="AF5154" s="1"/>
      <c r="AG5154" s="1"/>
      <c r="AH5154" s="1"/>
      <c r="AI5154" s="1"/>
      <c r="AJ5154" s="1"/>
      <c r="AK5154" s="1"/>
      <c r="AL5154" s="1"/>
      <c r="AM5154" s="1"/>
    </row>
    <row r="5155" spans="16:39" x14ac:dyDescent="0.25">
      <c r="P5155" s="49"/>
      <c r="Q5155" s="1"/>
      <c r="S5155" s="1"/>
      <c r="T5155" s="1"/>
      <c r="U5155" s="1"/>
      <c r="V5155" s="1"/>
      <c r="W5155" s="1"/>
      <c r="X5155" s="1"/>
      <c r="Y5155" s="1"/>
      <c r="AB5155" s="1"/>
      <c r="AC5155" s="1"/>
      <c r="AD5155" s="1"/>
      <c r="AE5155" s="1"/>
      <c r="AF5155" s="1"/>
      <c r="AG5155" s="1"/>
      <c r="AH5155" s="1"/>
      <c r="AI5155" s="1"/>
      <c r="AJ5155" s="1"/>
      <c r="AK5155" s="1"/>
      <c r="AL5155" s="1"/>
      <c r="AM5155" s="1"/>
    </row>
    <row r="5156" spans="16:39" x14ac:dyDescent="0.25">
      <c r="P5156" s="49"/>
      <c r="Q5156" s="1"/>
      <c r="S5156" s="1"/>
      <c r="T5156" s="1"/>
      <c r="U5156" s="1"/>
      <c r="V5156" s="1"/>
      <c r="W5156" s="1"/>
      <c r="X5156" s="1"/>
      <c r="Y5156" s="1"/>
      <c r="AB5156" s="1"/>
      <c r="AC5156" s="1"/>
      <c r="AD5156" s="1"/>
      <c r="AE5156" s="1"/>
      <c r="AF5156" s="1"/>
      <c r="AG5156" s="1"/>
      <c r="AH5156" s="1"/>
      <c r="AI5156" s="1"/>
      <c r="AJ5156" s="1"/>
      <c r="AK5156" s="1"/>
      <c r="AL5156" s="1"/>
      <c r="AM5156" s="1"/>
    </row>
    <row r="5157" spans="16:39" x14ac:dyDescent="0.25">
      <c r="P5157" s="49"/>
      <c r="Q5157" s="1"/>
      <c r="S5157" s="1"/>
      <c r="T5157" s="1"/>
      <c r="U5157" s="1"/>
      <c r="V5157" s="1"/>
      <c r="W5157" s="1"/>
      <c r="X5157" s="1"/>
      <c r="Y5157" s="1"/>
      <c r="AB5157" s="1"/>
      <c r="AC5157" s="1"/>
      <c r="AD5157" s="1"/>
      <c r="AE5157" s="1"/>
      <c r="AF5157" s="1"/>
      <c r="AG5157" s="1"/>
      <c r="AH5157" s="1"/>
      <c r="AI5157" s="1"/>
      <c r="AJ5157" s="1"/>
      <c r="AK5157" s="1"/>
      <c r="AL5157" s="1"/>
      <c r="AM5157" s="1"/>
    </row>
    <row r="5158" spans="16:39" x14ac:dyDescent="0.25">
      <c r="P5158" s="49"/>
      <c r="Q5158" s="1"/>
      <c r="S5158" s="1"/>
      <c r="T5158" s="1"/>
      <c r="U5158" s="1"/>
      <c r="V5158" s="1"/>
      <c r="W5158" s="1"/>
      <c r="X5158" s="1"/>
      <c r="Y5158" s="1"/>
      <c r="AB5158" s="1"/>
      <c r="AC5158" s="1"/>
      <c r="AD5158" s="1"/>
      <c r="AE5158" s="1"/>
      <c r="AF5158" s="1"/>
      <c r="AG5158" s="1"/>
      <c r="AH5158" s="1"/>
      <c r="AI5158" s="1"/>
      <c r="AJ5158" s="1"/>
      <c r="AK5158" s="1"/>
      <c r="AL5158" s="1"/>
      <c r="AM5158" s="1"/>
    </row>
    <row r="5159" spans="16:39" x14ac:dyDescent="0.25">
      <c r="P5159" s="49"/>
      <c r="Q5159" s="1"/>
      <c r="S5159" s="1"/>
      <c r="T5159" s="1"/>
      <c r="U5159" s="1"/>
      <c r="V5159" s="1"/>
      <c r="W5159" s="1"/>
      <c r="X5159" s="1"/>
      <c r="Y5159" s="1"/>
      <c r="AB5159" s="1"/>
      <c r="AC5159" s="1"/>
      <c r="AD5159" s="1"/>
      <c r="AE5159" s="1"/>
      <c r="AF5159" s="1"/>
      <c r="AG5159" s="1"/>
      <c r="AH5159" s="1"/>
      <c r="AI5159" s="1"/>
      <c r="AJ5159" s="1"/>
      <c r="AK5159" s="1"/>
      <c r="AL5159" s="1"/>
      <c r="AM5159" s="1"/>
    </row>
    <row r="5160" spans="16:39" x14ac:dyDescent="0.25">
      <c r="P5160" s="49"/>
      <c r="Q5160" s="1"/>
      <c r="S5160" s="1"/>
      <c r="T5160" s="1"/>
      <c r="U5160" s="1"/>
      <c r="V5160" s="1"/>
      <c r="W5160" s="1"/>
      <c r="X5160" s="1"/>
      <c r="Y5160" s="1"/>
      <c r="AB5160" s="1"/>
      <c r="AC5160" s="1"/>
      <c r="AD5160" s="1"/>
      <c r="AE5160" s="1"/>
      <c r="AF5160" s="1"/>
      <c r="AG5160" s="1"/>
      <c r="AH5160" s="1"/>
      <c r="AI5160" s="1"/>
      <c r="AJ5160" s="1"/>
      <c r="AK5160" s="1"/>
      <c r="AL5160" s="1"/>
      <c r="AM5160" s="1"/>
    </row>
    <row r="5161" spans="16:39" x14ac:dyDescent="0.25">
      <c r="P5161" s="49"/>
      <c r="Q5161" s="1"/>
      <c r="S5161" s="1"/>
      <c r="T5161" s="1"/>
      <c r="U5161" s="1"/>
      <c r="V5161" s="1"/>
      <c r="W5161" s="1"/>
      <c r="X5161" s="1"/>
      <c r="Y5161" s="1"/>
      <c r="AB5161" s="1"/>
      <c r="AC5161" s="1"/>
      <c r="AD5161" s="1"/>
      <c r="AE5161" s="1"/>
      <c r="AF5161" s="1"/>
      <c r="AG5161" s="1"/>
      <c r="AH5161" s="1"/>
      <c r="AI5161" s="1"/>
      <c r="AJ5161" s="1"/>
      <c r="AK5161" s="1"/>
      <c r="AL5161" s="1"/>
      <c r="AM5161" s="1"/>
    </row>
    <row r="5162" spans="16:39" x14ac:dyDescent="0.25">
      <c r="P5162" s="49"/>
      <c r="Q5162" s="1"/>
      <c r="S5162" s="1"/>
      <c r="T5162" s="1"/>
      <c r="U5162" s="1"/>
      <c r="V5162" s="1"/>
      <c r="W5162" s="1"/>
      <c r="X5162" s="1"/>
      <c r="Y5162" s="1"/>
      <c r="AB5162" s="1"/>
      <c r="AC5162" s="1"/>
      <c r="AD5162" s="1"/>
      <c r="AE5162" s="1"/>
      <c r="AF5162" s="1"/>
      <c r="AG5162" s="1"/>
      <c r="AH5162" s="1"/>
      <c r="AI5162" s="1"/>
      <c r="AJ5162" s="1"/>
      <c r="AK5162" s="1"/>
      <c r="AL5162" s="1"/>
      <c r="AM5162" s="1"/>
    </row>
    <row r="5163" spans="16:39" x14ac:dyDescent="0.25">
      <c r="P5163" s="49"/>
      <c r="Q5163" s="1"/>
      <c r="S5163" s="1"/>
      <c r="T5163" s="1"/>
      <c r="U5163" s="1"/>
      <c r="V5163" s="1"/>
      <c r="W5163" s="1"/>
      <c r="X5163" s="1"/>
      <c r="Y5163" s="1"/>
      <c r="AB5163" s="1"/>
      <c r="AC5163" s="1"/>
      <c r="AD5163" s="1"/>
      <c r="AE5163" s="1"/>
      <c r="AF5163" s="1"/>
      <c r="AG5163" s="1"/>
      <c r="AH5163" s="1"/>
      <c r="AI5163" s="1"/>
      <c r="AJ5163" s="1"/>
      <c r="AK5163" s="1"/>
      <c r="AL5163" s="1"/>
      <c r="AM5163" s="1"/>
    </row>
    <row r="5164" spans="16:39" x14ac:dyDescent="0.25">
      <c r="P5164" s="49"/>
      <c r="Q5164" s="1"/>
      <c r="S5164" s="1"/>
      <c r="T5164" s="1"/>
      <c r="U5164" s="1"/>
      <c r="V5164" s="1"/>
      <c r="W5164" s="1"/>
      <c r="X5164" s="1"/>
      <c r="Y5164" s="1"/>
      <c r="AB5164" s="1"/>
      <c r="AC5164" s="1"/>
      <c r="AD5164" s="1"/>
      <c r="AE5164" s="1"/>
      <c r="AF5164" s="1"/>
      <c r="AG5164" s="1"/>
      <c r="AH5164" s="1"/>
      <c r="AI5164" s="1"/>
      <c r="AJ5164" s="1"/>
      <c r="AK5164" s="1"/>
      <c r="AL5164" s="1"/>
      <c r="AM5164" s="1"/>
    </row>
    <row r="5165" spans="16:39" x14ac:dyDescent="0.25">
      <c r="P5165" s="49"/>
      <c r="Q5165" s="1"/>
      <c r="S5165" s="1"/>
      <c r="T5165" s="1"/>
      <c r="U5165" s="1"/>
      <c r="V5165" s="1"/>
      <c r="W5165" s="1"/>
      <c r="X5165" s="1"/>
      <c r="Y5165" s="1"/>
      <c r="AB5165" s="1"/>
      <c r="AC5165" s="1"/>
      <c r="AD5165" s="1"/>
      <c r="AE5165" s="1"/>
      <c r="AF5165" s="1"/>
      <c r="AG5165" s="1"/>
      <c r="AH5165" s="1"/>
      <c r="AI5165" s="1"/>
      <c r="AJ5165" s="1"/>
      <c r="AK5165" s="1"/>
      <c r="AL5165" s="1"/>
      <c r="AM5165" s="1"/>
    </row>
    <row r="5166" spans="16:39" x14ac:dyDescent="0.25">
      <c r="P5166" s="49"/>
      <c r="Q5166" s="1"/>
      <c r="S5166" s="1"/>
      <c r="T5166" s="1"/>
      <c r="U5166" s="1"/>
      <c r="V5166" s="1"/>
      <c r="W5166" s="1"/>
      <c r="X5166" s="1"/>
      <c r="Y5166" s="1"/>
      <c r="AB5166" s="1"/>
      <c r="AC5166" s="1"/>
      <c r="AD5166" s="1"/>
      <c r="AE5166" s="1"/>
      <c r="AF5166" s="1"/>
      <c r="AG5166" s="1"/>
      <c r="AH5166" s="1"/>
      <c r="AI5166" s="1"/>
      <c r="AJ5166" s="1"/>
      <c r="AK5166" s="1"/>
      <c r="AL5166" s="1"/>
      <c r="AM5166" s="1"/>
    </row>
    <row r="5167" spans="16:39" x14ac:dyDescent="0.25">
      <c r="P5167" s="49"/>
      <c r="Q5167" s="1"/>
      <c r="S5167" s="1"/>
      <c r="T5167" s="1"/>
      <c r="U5167" s="1"/>
      <c r="V5167" s="1"/>
      <c r="W5167" s="1"/>
      <c r="X5167" s="1"/>
      <c r="Y5167" s="1"/>
      <c r="AB5167" s="1"/>
      <c r="AC5167" s="1"/>
      <c r="AD5167" s="1"/>
      <c r="AE5167" s="1"/>
      <c r="AF5167" s="1"/>
      <c r="AG5167" s="1"/>
      <c r="AH5167" s="1"/>
      <c r="AI5167" s="1"/>
      <c r="AJ5167" s="1"/>
      <c r="AK5167" s="1"/>
      <c r="AL5167" s="1"/>
      <c r="AM5167" s="1"/>
    </row>
    <row r="5168" spans="16:39" x14ac:dyDescent="0.25">
      <c r="P5168" s="49"/>
      <c r="Q5168" s="1"/>
      <c r="S5168" s="1"/>
      <c r="T5168" s="1"/>
      <c r="U5168" s="1"/>
      <c r="V5168" s="1"/>
      <c r="W5168" s="1"/>
      <c r="X5168" s="1"/>
      <c r="Y5168" s="1"/>
      <c r="AB5168" s="1"/>
      <c r="AC5168" s="1"/>
      <c r="AD5168" s="1"/>
      <c r="AE5168" s="1"/>
      <c r="AF5168" s="1"/>
      <c r="AG5168" s="1"/>
      <c r="AH5168" s="1"/>
      <c r="AI5168" s="1"/>
      <c r="AJ5168" s="1"/>
      <c r="AK5168" s="1"/>
      <c r="AL5168" s="1"/>
      <c r="AM5168" s="1"/>
    </row>
    <row r="5169" spans="16:39" x14ac:dyDescent="0.25">
      <c r="P5169" s="49"/>
      <c r="Q5169" s="1"/>
      <c r="S5169" s="1"/>
      <c r="T5169" s="1"/>
      <c r="U5169" s="1"/>
      <c r="V5169" s="1"/>
      <c r="W5169" s="1"/>
      <c r="X5169" s="1"/>
      <c r="Y5169" s="1"/>
      <c r="AB5169" s="1"/>
      <c r="AC5169" s="1"/>
      <c r="AD5169" s="1"/>
      <c r="AE5169" s="1"/>
      <c r="AF5169" s="1"/>
      <c r="AG5169" s="1"/>
      <c r="AH5169" s="1"/>
      <c r="AI5169" s="1"/>
      <c r="AJ5169" s="1"/>
      <c r="AK5169" s="1"/>
      <c r="AL5169" s="1"/>
      <c r="AM5169" s="1"/>
    </row>
    <row r="5170" spans="16:39" x14ac:dyDescent="0.25">
      <c r="P5170" s="49"/>
      <c r="Q5170" s="1"/>
      <c r="S5170" s="1"/>
      <c r="T5170" s="1"/>
      <c r="U5170" s="1"/>
      <c r="V5170" s="1"/>
      <c r="W5170" s="1"/>
      <c r="X5170" s="1"/>
      <c r="Y5170" s="1"/>
      <c r="AB5170" s="1"/>
      <c r="AC5170" s="1"/>
      <c r="AD5170" s="1"/>
      <c r="AE5170" s="1"/>
      <c r="AF5170" s="1"/>
      <c r="AG5170" s="1"/>
      <c r="AH5170" s="1"/>
      <c r="AI5170" s="1"/>
      <c r="AJ5170" s="1"/>
      <c r="AK5170" s="1"/>
      <c r="AL5170" s="1"/>
      <c r="AM5170" s="1"/>
    </row>
    <row r="5171" spans="16:39" x14ac:dyDescent="0.25">
      <c r="P5171" s="49"/>
      <c r="Q5171" s="1"/>
      <c r="S5171" s="1"/>
      <c r="T5171" s="1"/>
      <c r="U5171" s="1"/>
      <c r="V5171" s="1"/>
      <c r="W5171" s="1"/>
      <c r="X5171" s="1"/>
      <c r="Y5171" s="1"/>
      <c r="AB5171" s="1"/>
      <c r="AC5171" s="1"/>
      <c r="AD5171" s="1"/>
      <c r="AE5171" s="1"/>
      <c r="AF5171" s="1"/>
      <c r="AG5171" s="1"/>
      <c r="AH5171" s="1"/>
      <c r="AI5171" s="1"/>
      <c r="AJ5171" s="1"/>
      <c r="AK5171" s="1"/>
      <c r="AL5171" s="1"/>
      <c r="AM5171" s="1"/>
    </row>
    <row r="5172" spans="16:39" x14ac:dyDescent="0.25">
      <c r="P5172" s="49"/>
      <c r="Q5172" s="1"/>
      <c r="S5172" s="1"/>
      <c r="T5172" s="1"/>
      <c r="U5172" s="1"/>
      <c r="V5172" s="1"/>
      <c r="W5172" s="1"/>
      <c r="X5172" s="1"/>
      <c r="Y5172" s="1"/>
      <c r="AB5172" s="1"/>
      <c r="AC5172" s="1"/>
      <c r="AD5172" s="1"/>
      <c r="AE5172" s="1"/>
      <c r="AF5172" s="1"/>
      <c r="AG5172" s="1"/>
      <c r="AH5172" s="1"/>
      <c r="AI5172" s="1"/>
      <c r="AJ5172" s="1"/>
      <c r="AK5172" s="1"/>
      <c r="AL5172" s="1"/>
      <c r="AM5172" s="1"/>
    </row>
    <row r="5173" spans="16:39" x14ac:dyDescent="0.25">
      <c r="P5173" s="49"/>
      <c r="Q5173" s="1"/>
      <c r="S5173" s="1"/>
      <c r="T5173" s="1"/>
      <c r="U5173" s="1"/>
      <c r="V5173" s="1"/>
      <c r="W5173" s="1"/>
      <c r="X5173" s="1"/>
      <c r="Y5173" s="1"/>
      <c r="AB5173" s="1"/>
      <c r="AC5173" s="1"/>
      <c r="AD5173" s="1"/>
      <c r="AE5173" s="1"/>
      <c r="AF5173" s="1"/>
      <c r="AG5173" s="1"/>
      <c r="AH5173" s="1"/>
      <c r="AI5173" s="1"/>
      <c r="AJ5173" s="1"/>
      <c r="AK5173" s="1"/>
      <c r="AL5173" s="1"/>
      <c r="AM5173" s="1"/>
    </row>
    <row r="5174" spans="16:39" x14ac:dyDescent="0.25">
      <c r="P5174" s="49"/>
      <c r="Q5174" s="1"/>
      <c r="S5174" s="1"/>
      <c r="T5174" s="1"/>
      <c r="U5174" s="1"/>
      <c r="V5174" s="1"/>
      <c r="W5174" s="1"/>
      <c r="X5174" s="1"/>
      <c r="Y5174" s="1"/>
      <c r="AB5174" s="1"/>
      <c r="AC5174" s="1"/>
      <c r="AD5174" s="1"/>
      <c r="AE5174" s="1"/>
      <c r="AF5174" s="1"/>
      <c r="AG5174" s="1"/>
      <c r="AH5174" s="1"/>
      <c r="AI5174" s="1"/>
      <c r="AJ5174" s="1"/>
      <c r="AK5174" s="1"/>
      <c r="AL5174" s="1"/>
      <c r="AM5174" s="1"/>
    </row>
    <row r="5175" spans="16:39" x14ac:dyDescent="0.25">
      <c r="P5175" s="49"/>
      <c r="Q5175" s="1"/>
      <c r="S5175" s="1"/>
      <c r="T5175" s="1"/>
      <c r="U5175" s="1"/>
      <c r="V5175" s="1"/>
      <c r="W5175" s="1"/>
      <c r="X5175" s="1"/>
      <c r="Y5175" s="1"/>
      <c r="AB5175" s="1"/>
      <c r="AC5175" s="1"/>
      <c r="AD5175" s="1"/>
      <c r="AE5175" s="1"/>
      <c r="AF5175" s="1"/>
      <c r="AG5175" s="1"/>
      <c r="AH5175" s="1"/>
      <c r="AI5175" s="1"/>
      <c r="AJ5175" s="1"/>
      <c r="AK5175" s="1"/>
      <c r="AL5175" s="1"/>
      <c r="AM5175" s="1"/>
    </row>
    <row r="5176" spans="16:39" x14ac:dyDescent="0.25">
      <c r="P5176" s="49"/>
      <c r="Q5176" s="1"/>
      <c r="S5176" s="1"/>
      <c r="T5176" s="1"/>
      <c r="U5176" s="1"/>
      <c r="V5176" s="1"/>
      <c r="W5176" s="1"/>
      <c r="X5176" s="1"/>
      <c r="Y5176" s="1"/>
      <c r="AB5176" s="1"/>
      <c r="AC5176" s="1"/>
      <c r="AD5176" s="1"/>
      <c r="AE5176" s="1"/>
      <c r="AF5176" s="1"/>
      <c r="AG5176" s="1"/>
      <c r="AH5176" s="1"/>
      <c r="AI5176" s="1"/>
      <c r="AJ5176" s="1"/>
      <c r="AK5176" s="1"/>
      <c r="AL5176" s="1"/>
      <c r="AM5176" s="1"/>
    </row>
    <row r="5177" spans="16:39" x14ac:dyDescent="0.25">
      <c r="P5177" s="49"/>
      <c r="Q5177" s="1"/>
      <c r="S5177" s="1"/>
      <c r="T5177" s="1"/>
      <c r="U5177" s="1"/>
      <c r="V5177" s="1"/>
      <c r="W5177" s="1"/>
      <c r="X5177" s="1"/>
      <c r="Y5177" s="1"/>
      <c r="AB5177" s="1"/>
      <c r="AC5177" s="1"/>
      <c r="AD5177" s="1"/>
      <c r="AE5177" s="1"/>
      <c r="AF5177" s="1"/>
      <c r="AG5177" s="1"/>
      <c r="AH5177" s="1"/>
      <c r="AI5177" s="1"/>
      <c r="AJ5177" s="1"/>
      <c r="AK5177" s="1"/>
      <c r="AL5177" s="1"/>
      <c r="AM5177" s="1"/>
    </row>
    <row r="5178" spans="16:39" x14ac:dyDescent="0.25">
      <c r="P5178" s="49"/>
      <c r="Q5178" s="1"/>
      <c r="S5178" s="1"/>
      <c r="T5178" s="1"/>
      <c r="U5178" s="1"/>
      <c r="V5178" s="1"/>
      <c r="W5178" s="1"/>
      <c r="X5178" s="1"/>
      <c r="Y5178" s="1"/>
      <c r="AB5178" s="1"/>
      <c r="AC5178" s="1"/>
      <c r="AD5178" s="1"/>
      <c r="AE5178" s="1"/>
      <c r="AF5178" s="1"/>
      <c r="AG5178" s="1"/>
      <c r="AH5178" s="1"/>
      <c r="AI5178" s="1"/>
      <c r="AJ5178" s="1"/>
      <c r="AK5178" s="1"/>
      <c r="AL5178" s="1"/>
      <c r="AM5178" s="1"/>
    </row>
    <row r="5179" spans="16:39" x14ac:dyDescent="0.25">
      <c r="P5179" s="49"/>
      <c r="Q5179" s="1"/>
      <c r="S5179" s="1"/>
      <c r="T5179" s="1"/>
      <c r="U5179" s="1"/>
      <c r="V5179" s="1"/>
      <c r="W5179" s="1"/>
      <c r="X5179" s="1"/>
      <c r="Y5179" s="1"/>
      <c r="AB5179" s="1"/>
      <c r="AC5179" s="1"/>
      <c r="AD5179" s="1"/>
      <c r="AE5179" s="1"/>
      <c r="AF5179" s="1"/>
      <c r="AG5179" s="1"/>
      <c r="AH5179" s="1"/>
      <c r="AI5179" s="1"/>
      <c r="AJ5179" s="1"/>
      <c r="AK5179" s="1"/>
      <c r="AL5179" s="1"/>
      <c r="AM5179" s="1"/>
    </row>
    <row r="5180" spans="16:39" x14ac:dyDescent="0.25">
      <c r="P5180" s="49"/>
      <c r="Q5180" s="1"/>
      <c r="S5180" s="1"/>
      <c r="T5180" s="1"/>
      <c r="U5180" s="1"/>
      <c r="V5180" s="1"/>
      <c r="W5180" s="1"/>
      <c r="X5180" s="1"/>
      <c r="Y5180" s="1"/>
      <c r="AB5180" s="1"/>
      <c r="AC5180" s="1"/>
      <c r="AD5180" s="1"/>
      <c r="AE5180" s="1"/>
      <c r="AF5180" s="1"/>
      <c r="AG5180" s="1"/>
      <c r="AH5180" s="1"/>
      <c r="AI5180" s="1"/>
      <c r="AJ5180" s="1"/>
      <c r="AK5180" s="1"/>
      <c r="AL5180" s="1"/>
      <c r="AM5180" s="1"/>
    </row>
    <row r="5181" spans="16:39" x14ac:dyDescent="0.25">
      <c r="P5181" s="49"/>
      <c r="Q5181" s="1"/>
      <c r="S5181" s="1"/>
      <c r="T5181" s="1"/>
      <c r="U5181" s="1"/>
      <c r="V5181" s="1"/>
      <c r="W5181" s="1"/>
      <c r="X5181" s="1"/>
      <c r="Y5181" s="1"/>
      <c r="AB5181" s="1"/>
      <c r="AC5181" s="1"/>
      <c r="AD5181" s="1"/>
      <c r="AE5181" s="1"/>
      <c r="AF5181" s="1"/>
      <c r="AG5181" s="1"/>
      <c r="AH5181" s="1"/>
      <c r="AI5181" s="1"/>
      <c r="AJ5181" s="1"/>
      <c r="AK5181" s="1"/>
      <c r="AL5181" s="1"/>
      <c r="AM5181" s="1"/>
    </row>
    <row r="5182" spans="16:39" x14ac:dyDescent="0.25">
      <c r="P5182" s="49"/>
      <c r="Q5182" s="1"/>
      <c r="S5182" s="1"/>
      <c r="T5182" s="1"/>
      <c r="U5182" s="1"/>
      <c r="V5182" s="1"/>
      <c r="W5182" s="1"/>
      <c r="X5182" s="1"/>
      <c r="Y5182" s="1"/>
      <c r="AB5182" s="1"/>
      <c r="AC5182" s="1"/>
      <c r="AD5182" s="1"/>
      <c r="AE5182" s="1"/>
      <c r="AF5182" s="1"/>
      <c r="AG5182" s="1"/>
      <c r="AH5182" s="1"/>
      <c r="AI5182" s="1"/>
      <c r="AJ5182" s="1"/>
      <c r="AK5182" s="1"/>
      <c r="AL5182" s="1"/>
      <c r="AM5182" s="1"/>
    </row>
    <row r="5183" spans="16:39" x14ac:dyDescent="0.25">
      <c r="P5183" s="49"/>
      <c r="Q5183" s="1"/>
      <c r="S5183" s="1"/>
      <c r="T5183" s="1"/>
      <c r="U5183" s="1"/>
      <c r="V5183" s="1"/>
      <c r="W5183" s="1"/>
      <c r="X5183" s="1"/>
      <c r="Y5183" s="1"/>
      <c r="AB5183" s="1"/>
      <c r="AC5183" s="1"/>
      <c r="AD5183" s="1"/>
      <c r="AE5183" s="1"/>
      <c r="AF5183" s="1"/>
      <c r="AG5183" s="1"/>
      <c r="AH5183" s="1"/>
      <c r="AI5183" s="1"/>
      <c r="AJ5183" s="1"/>
      <c r="AK5183" s="1"/>
      <c r="AL5183" s="1"/>
      <c r="AM5183" s="1"/>
    </row>
    <row r="5184" spans="16:39" x14ac:dyDescent="0.25">
      <c r="P5184" s="49"/>
      <c r="Q5184" s="1"/>
      <c r="S5184" s="1"/>
      <c r="T5184" s="1"/>
      <c r="U5184" s="1"/>
      <c r="V5184" s="1"/>
      <c r="W5184" s="1"/>
      <c r="X5184" s="1"/>
      <c r="Y5184" s="1"/>
      <c r="AB5184" s="1"/>
      <c r="AC5184" s="1"/>
      <c r="AD5184" s="1"/>
      <c r="AE5184" s="1"/>
      <c r="AF5184" s="1"/>
      <c r="AG5184" s="1"/>
      <c r="AH5184" s="1"/>
      <c r="AI5184" s="1"/>
      <c r="AJ5184" s="1"/>
      <c r="AK5184" s="1"/>
      <c r="AL5184" s="1"/>
      <c r="AM5184" s="1"/>
    </row>
    <row r="5185" spans="16:39" x14ac:dyDescent="0.25">
      <c r="P5185" s="49"/>
      <c r="Q5185" s="1"/>
      <c r="S5185" s="1"/>
      <c r="T5185" s="1"/>
      <c r="U5185" s="1"/>
      <c r="V5185" s="1"/>
      <c r="W5185" s="1"/>
      <c r="X5185" s="1"/>
      <c r="Y5185" s="1"/>
      <c r="AB5185" s="1"/>
      <c r="AC5185" s="1"/>
      <c r="AD5185" s="1"/>
      <c r="AE5185" s="1"/>
      <c r="AF5185" s="1"/>
      <c r="AG5185" s="1"/>
      <c r="AH5185" s="1"/>
      <c r="AI5185" s="1"/>
      <c r="AJ5185" s="1"/>
      <c r="AK5185" s="1"/>
      <c r="AL5185" s="1"/>
      <c r="AM5185" s="1"/>
    </row>
    <row r="5186" spans="16:39" x14ac:dyDescent="0.25">
      <c r="P5186" s="49"/>
      <c r="Q5186" s="1"/>
      <c r="S5186" s="1"/>
      <c r="T5186" s="1"/>
      <c r="U5186" s="1"/>
      <c r="V5186" s="1"/>
      <c r="W5186" s="1"/>
      <c r="X5186" s="1"/>
      <c r="Y5186" s="1"/>
      <c r="AB5186" s="1"/>
      <c r="AC5186" s="1"/>
      <c r="AD5186" s="1"/>
      <c r="AE5186" s="1"/>
      <c r="AF5186" s="1"/>
      <c r="AG5186" s="1"/>
      <c r="AH5186" s="1"/>
      <c r="AI5186" s="1"/>
      <c r="AJ5186" s="1"/>
      <c r="AK5186" s="1"/>
      <c r="AL5186" s="1"/>
      <c r="AM5186" s="1"/>
    </row>
    <row r="5187" spans="16:39" x14ac:dyDescent="0.25">
      <c r="P5187" s="49"/>
      <c r="Q5187" s="1"/>
      <c r="S5187" s="1"/>
      <c r="T5187" s="1"/>
      <c r="U5187" s="1"/>
      <c r="V5187" s="1"/>
      <c r="W5187" s="1"/>
      <c r="X5187" s="1"/>
      <c r="Y5187" s="1"/>
      <c r="AB5187" s="1"/>
      <c r="AC5187" s="1"/>
      <c r="AD5187" s="1"/>
      <c r="AE5187" s="1"/>
      <c r="AF5187" s="1"/>
      <c r="AG5187" s="1"/>
      <c r="AH5187" s="1"/>
      <c r="AI5187" s="1"/>
      <c r="AJ5187" s="1"/>
      <c r="AK5187" s="1"/>
      <c r="AL5187" s="1"/>
      <c r="AM5187" s="1"/>
    </row>
    <row r="5188" spans="16:39" x14ac:dyDescent="0.25">
      <c r="P5188" s="49"/>
      <c r="Q5188" s="1"/>
      <c r="S5188" s="1"/>
      <c r="T5188" s="1"/>
      <c r="U5188" s="1"/>
      <c r="V5188" s="1"/>
      <c r="W5188" s="1"/>
      <c r="X5188" s="1"/>
      <c r="Y5188" s="1"/>
      <c r="AB5188" s="1"/>
      <c r="AC5188" s="1"/>
      <c r="AD5188" s="1"/>
      <c r="AE5188" s="1"/>
      <c r="AF5188" s="1"/>
      <c r="AG5188" s="1"/>
      <c r="AH5188" s="1"/>
      <c r="AI5188" s="1"/>
      <c r="AJ5188" s="1"/>
      <c r="AK5188" s="1"/>
      <c r="AL5188" s="1"/>
      <c r="AM5188" s="1"/>
    </row>
    <row r="5189" spans="16:39" x14ac:dyDescent="0.25">
      <c r="P5189" s="49"/>
      <c r="Q5189" s="1"/>
      <c r="S5189" s="1"/>
      <c r="T5189" s="1"/>
      <c r="U5189" s="1"/>
      <c r="V5189" s="1"/>
      <c r="W5189" s="1"/>
      <c r="X5189" s="1"/>
      <c r="Y5189" s="1"/>
      <c r="AB5189" s="1"/>
      <c r="AC5189" s="1"/>
      <c r="AD5189" s="1"/>
      <c r="AE5189" s="1"/>
      <c r="AF5189" s="1"/>
      <c r="AG5189" s="1"/>
      <c r="AH5189" s="1"/>
      <c r="AI5189" s="1"/>
      <c r="AJ5189" s="1"/>
      <c r="AK5189" s="1"/>
      <c r="AL5189" s="1"/>
      <c r="AM5189" s="1"/>
    </row>
    <row r="5190" spans="16:39" x14ac:dyDescent="0.25">
      <c r="P5190" s="49"/>
      <c r="Q5190" s="1"/>
      <c r="S5190" s="1"/>
      <c r="T5190" s="1"/>
      <c r="U5190" s="1"/>
      <c r="V5190" s="1"/>
      <c r="W5190" s="1"/>
      <c r="X5190" s="1"/>
      <c r="Y5190" s="1"/>
      <c r="AB5190" s="1"/>
      <c r="AC5190" s="1"/>
      <c r="AD5190" s="1"/>
      <c r="AE5190" s="1"/>
      <c r="AF5190" s="1"/>
      <c r="AG5190" s="1"/>
      <c r="AH5190" s="1"/>
      <c r="AI5190" s="1"/>
      <c r="AJ5190" s="1"/>
      <c r="AK5190" s="1"/>
      <c r="AL5190" s="1"/>
      <c r="AM5190" s="1"/>
    </row>
    <row r="5191" spans="16:39" x14ac:dyDescent="0.25">
      <c r="P5191" s="49"/>
      <c r="Q5191" s="1"/>
      <c r="S5191" s="1"/>
      <c r="T5191" s="1"/>
      <c r="U5191" s="1"/>
      <c r="V5191" s="1"/>
      <c r="W5191" s="1"/>
      <c r="X5191" s="1"/>
      <c r="Y5191" s="1"/>
      <c r="AB5191" s="1"/>
      <c r="AC5191" s="1"/>
      <c r="AD5191" s="1"/>
      <c r="AE5191" s="1"/>
      <c r="AF5191" s="1"/>
      <c r="AG5191" s="1"/>
      <c r="AH5191" s="1"/>
      <c r="AI5191" s="1"/>
      <c r="AJ5191" s="1"/>
      <c r="AK5191" s="1"/>
      <c r="AL5191" s="1"/>
      <c r="AM5191" s="1"/>
    </row>
    <row r="5192" spans="16:39" x14ac:dyDescent="0.25">
      <c r="P5192" s="49"/>
      <c r="Q5192" s="1"/>
      <c r="S5192" s="1"/>
      <c r="T5192" s="1"/>
      <c r="U5192" s="1"/>
      <c r="V5192" s="1"/>
      <c r="W5192" s="1"/>
      <c r="X5192" s="1"/>
      <c r="Y5192" s="1"/>
      <c r="AB5192" s="1"/>
      <c r="AC5192" s="1"/>
      <c r="AD5192" s="1"/>
      <c r="AE5192" s="1"/>
      <c r="AF5192" s="1"/>
      <c r="AG5192" s="1"/>
      <c r="AH5192" s="1"/>
      <c r="AI5192" s="1"/>
      <c r="AJ5192" s="1"/>
      <c r="AK5192" s="1"/>
      <c r="AL5192" s="1"/>
      <c r="AM5192" s="1"/>
    </row>
    <row r="5193" spans="16:39" x14ac:dyDescent="0.25">
      <c r="P5193" s="49"/>
      <c r="Q5193" s="1"/>
      <c r="S5193" s="1"/>
      <c r="T5193" s="1"/>
      <c r="U5193" s="1"/>
      <c r="V5193" s="1"/>
      <c r="W5193" s="1"/>
      <c r="X5193" s="1"/>
      <c r="Y5193" s="1"/>
      <c r="AB5193" s="1"/>
      <c r="AC5193" s="1"/>
      <c r="AD5193" s="1"/>
      <c r="AE5193" s="1"/>
      <c r="AF5193" s="1"/>
      <c r="AG5193" s="1"/>
      <c r="AH5193" s="1"/>
      <c r="AI5193" s="1"/>
      <c r="AJ5193" s="1"/>
      <c r="AK5193" s="1"/>
      <c r="AL5193" s="1"/>
      <c r="AM5193" s="1"/>
    </row>
    <row r="5194" spans="16:39" x14ac:dyDescent="0.25">
      <c r="P5194" s="49"/>
      <c r="Q5194" s="1"/>
      <c r="S5194" s="1"/>
      <c r="T5194" s="1"/>
      <c r="U5194" s="1"/>
      <c r="V5194" s="1"/>
      <c r="W5194" s="1"/>
      <c r="X5194" s="1"/>
      <c r="Y5194" s="1"/>
      <c r="AB5194" s="1"/>
      <c r="AC5194" s="1"/>
      <c r="AD5194" s="1"/>
      <c r="AE5194" s="1"/>
      <c r="AF5194" s="1"/>
      <c r="AG5194" s="1"/>
      <c r="AH5194" s="1"/>
      <c r="AI5194" s="1"/>
      <c r="AJ5194" s="1"/>
      <c r="AK5194" s="1"/>
      <c r="AL5194" s="1"/>
      <c r="AM5194" s="1"/>
    </row>
    <row r="5195" spans="16:39" x14ac:dyDescent="0.25">
      <c r="P5195" s="49"/>
      <c r="Q5195" s="1"/>
      <c r="S5195" s="1"/>
      <c r="T5195" s="1"/>
      <c r="U5195" s="1"/>
      <c r="V5195" s="1"/>
      <c r="W5195" s="1"/>
      <c r="X5195" s="1"/>
      <c r="Y5195" s="1"/>
      <c r="AB5195" s="1"/>
      <c r="AC5195" s="1"/>
      <c r="AD5195" s="1"/>
      <c r="AE5195" s="1"/>
      <c r="AF5195" s="1"/>
      <c r="AG5195" s="1"/>
      <c r="AH5195" s="1"/>
      <c r="AI5195" s="1"/>
      <c r="AJ5195" s="1"/>
      <c r="AK5195" s="1"/>
      <c r="AL5195" s="1"/>
      <c r="AM5195" s="1"/>
    </row>
    <row r="5196" spans="16:39" x14ac:dyDescent="0.25">
      <c r="P5196" s="49"/>
      <c r="Q5196" s="1"/>
      <c r="S5196" s="1"/>
      <c r="T5196" s="1"/>
      <c r="U5196" s="1"/>
      <c r="V5196" s="1"/>
      <c r="W5196" s="1"/>
      <c r="X5196" s="1"/>
      <c r="Y5196" s="1"/>
      <c r="AB5196" s="1"/>
      <c r="AC5196" s="1"/>
      <c r="AD5196" s="1"/>
      <c r="AE5196" s="1"/>
      <c r="AF5196" s="1"/>
      <c r="AG5196" s="1"/>
      <c r="AH5196" s="1"/>
      <c r="AI5196" s="1"/>
      <c r="AJ5196" s="1"/>
      <c r="AK5196" s="1"/>
      <c r="AL5196" s="1"/>
      <c r="AM5196" s="1"/>
    </row>
    <row r="5197" spans="16:39" x14ac:dyDescent="0.25">
      <c r="P5197" s="49"/>
      <c r="Q5197" s="1"/>
      <c r="S5197" s="1"/>
      <c r="T5197" s="1"/>
      <c r="U5197" s="1"/>
      <c r="V5197" s="1"/>
      <c r="W5197" s="1"/>
      <c r="X5197" s="1"/>
      <c r="Y5197" s="1"/>
      <c r="AB5197" s="1"/>
      <c r="AC5197" s="1"/>
      <c r="AD5197" s="1"/>
      <c r="AE5197" s="1"/>
      <c r="AF5197" s="1"/>
      <c r="AG5197" s="1"/>
      <c r="AH5197" s="1"/>
      <c r="AI5197" s="1"/>
      <c r="AJ5197" s="1"/>
      <c r="AK5197" s="1"/>
      <c r="AL5197" s="1"/>
      <c r="AM5197" s="1"/>
    </row>
    <row r="5198" spans="16:39" x14ac:dyDescent="0.25">
      <c r="P5198" s="49"/>
      <c r="Q5198" s="1"/>
      <c r="S5198" s="1"/>
      <c r="T5198" s="1"/>
      <c r="U5198" s="1"/>
      <c r="V5198" s="1"/>
      <c r="W5198" s="1"/>
      <c r="X5198" s="1"/>
      <c r="Y5198" s="1"/>
      <c r="AB5198" s="1"/>
      <c r="AC5198" s="1"/>
      <c r="AD5198" s="1"/>
      <c r="AE5198" s="1"/>
      <c r="AF5198" s="1"/>
      <c r="AG5198" s="1"/>
      <c r="AH5198" s="1"/>
      <c r="AI5198" s="1"/>
      <c r="AJ5198" s="1"/>
      <c r="AK5198" s="1"/>
      <c r="AL5198" s="1"/>
      <c r="AM5198" s="1"/>
    </row>
    <row r="5199" spans="16:39" x14ac:dyDescent="0.25">
      <c r="P5199" s="49"/>
      <c r="Q5199" s="1"/>
      <c r="S5199" s="1"/>
      <c r="T5199" s="1"/>
      <c r="U5199" s="1"/>
      <c r="V5199" s="1"/>
      <c r="W5199" s="1"/>
      <c r="X5199" s="1"/>
      <c r="Y5199" s="1"/>
      <c r="AB5199" s="1"/>
      <c r="AC5199" s="1"/>
      <c r="AD5199" s="1"/>
      <c r="AE5199" s="1"/>
      <c r="AF5199" s="1"/>
      <c r="AG5199" s="1"/>
      <c r="AH5199" s="1"/>
      <c r="AI5199" s="1"/>
      <c r="AJ5199" s="1"/>
      <c r="AK5199" s="1"/>
      <c r="AL5199" s="1"/>
      <c r="AM5199" s="1"/>
    </row>
    <row r="5200" spans="16:39" x14ac:dyDescent="0.25">
      <c r="P5200" s="49"/>
      <c r="Q5200" s="1"/>
      <c r="S5200" s="1"/>
      <c r="T5200" s="1"/>
      <c r="U5200" s="1"/>
      <c r="V5200" s="1"/>
      <c r="W5200" s="1"/>
      <c r="X5200" s="1"/>
      <c r="Y5200" s="1"/>
      <c r="AB5200" s="1"/>
      <c r="AC5200" s="1"/>
      <c r="AD5200" s="1"/>
      <c r="AE5200" s="1"/>
      <c r="AF5200" s="1"/>
      <c r="AG5200" s="1"/>
      <c r="AH5200" s="1"/>
      <c r="AI5200" s="1"/>
      <c r="AJ5200" s="1"/>
      <c r="AK5200" s="1"/>
      <c r="AL5200" s="1"/>
      <c r="AM5200" s="1"/>
    </row>
    <row r="5201" spans="16:39" x14ac:dyDescent="0.25">
      <c r="P5201" s="49"/>
      <c r="Q5201" s="1"/>
      <c r="S5201" s="1"/>
      <c r="T5201" s="1"/>
      <c r="U5201" s="1"/>
      <c r="V5201" s="1"/>
      <c r="W5201" s="1"/>
      <c r="X5201" s="1"/>
      <c r="Y5201" s="1"/>
      <c r="AB5201" s="1"/>
      <c r="AC5201" s="1"/>
      <c r="AD5201" s="1"/>
      <c r="AE5201" s="1"/>
      <c r="AF5201" s="1"/>
      <c r="AG5201" s="1"/>
      <c r="AH5201" s="1"/>
      <c r="AI5201" s="1"/>
      <c r="AJ5201" s="1"/>
      <c r="AK5201" s="1"/>
      <c r="AL5201" s="1"/>
      <c r="AM5201" s="1"/>
    </row>
    <row r="5202" spans="16:39" x14ac:dyDescent="0.25">
      <c r="P5202" s="49"/>
      <c r="Q5202" s="1"/>
      <c r="S5202" s="1"/>
      <c r="T5202" s="1"/>
      <c r="U5202" s="1"/>
      <c r="V5202" s="1"/>
      <c r="W5202" s="1"/>
      <c r="X5202" s="1"/>
      <c r="Y5202" s="1"/>
      <c r="AB5202" s="1"/>
      <c r="AC5202" s="1"/>
      <c r="AD5202" s="1"/>
      <c r="AE5202" s="1"/>
      <c r="AF5202" s="1"/>
      <c r="AG5202" s="1"/>
      <c r="AH5202" s="1"/>
      <c r="AI5202" s="1"/>
      <c r="AJ5202" s="1"/>
      <c r="AK5202" s="1"/>
      <c r="AL5202" s="1"/>
      <c r="AM5202" s="1"/>
    </row>
    <row r="5203" spans="16:39" x14ac:dyDescent="0.25">
      <c r="P5203" s="49"/>
      <c r="Q5203" s="1"/>
      <c r="S5203" s="1"/>
      <c r="T5203" s="1"/>
      <c r="U5203" s="1"/>
      <c r="V5203" s="1"/>
      <c r="W5203" s="1"/>
      <c r="X5203" s="1"/>
      <c r="Y5203" s="1"/>
      <c r="AB5203" s="1"/>
      <c r="AC5203" s="1"/>
      <c r="AD5203" s="1"/>
      <c r="AE5203" s="1"/>
      <c r="AF5203" s="1"/>
      <c r="AG5203" s="1"/>
      <c r="AH5203" s="1"/>
      <c r="AI5203" s="1"/>
      <c r="AJ5203" s="1"/>
      <c r="AK5203" s="1"/>
      <c r="AL5203" s="1"/>
      <c r="AM5203" s="1"/>
    </row>
    <row r="5204" spans="16:39" x14ac:dyDescent="0.25">
      <c r="P5204" s="49"/>
      <c r="Q5204" s="1"/>
      <c r="S5204" s="1"/>
      <c r="T5204" s="1"/>
      <c r="U5204" s="1"/>
      <c r="V5204" s="1"/>
      <c r="W5204" s="1"/>
      <c r="X5204" s="1"/>
      <c r="Y5204" s="1"/>
      <c r="AB5204" s="1"/>
      <c r="AC5204" s="1"/>
      <c r="AD5204" s="1"/>
      <c r="AE5204" s="1"/>
      <c r="AF5204" s="1"/>
      <c r="AG5204" s="1"/>
      <c r="AH5204" s="1"/>
      <c r="AI5204" s="1"/>
      <c r="AJ5204" s="1"/>
      <c r="AK5204" s="1"/>
      <c r="AL5204" s="1"/>
      <c r="AM5204" s="1"/>
    </row>
    <row r="5205" spans="16:39" x14ac:dyDescent="0.25">
      <c r="P5205" s="49"/>
      <c r="Q5205" s="1"/>
      <c r="S5205" s="1"/>
      <c r="T5205" s="1"/>
      <c r="U5205" s="1"/>
      <c r="V5205" s="1"/>
      <c r="W5205" s="1"/>
      <c r="X5205" s="1"/>
      <c r="Y5205" s="1"/>
      <c r="AB5205" s="1"/>
      <c r="AC5205" s="1"/>
      <c r="AD5205" s="1"/>
      <c r="AE5205" s="1"/>
      <c r="AF5205" s="1"/>
      <c r="AG5205" s="1"/>
      <c r="AH5205" s="1"/>
      <c r="AI5205" s="1"/>
      <c r="AJ5205" s="1"/>
      <c r="AK5205" s="1"/>
      <c r="AL5205" s="1"/>
      <c r="AM5205" s="1"/>
    </row>
    <row r="5206" spans="16:39" x14ac:dyDescent="0.25">
      <c r="P5206" s="49"/>
      <c r="Q5206" s="1"/>
      <c r="S5206" s="1"/>
      <c r="T5206" s="1"/>
      <c r="U5206" s="1"/>
      <c r="V5206" s="1"/>
      <c r="W5206" s="1"/>
      <c r="X5206" s="1"/>
      <c r="Y5206" s="1"/>
      <c r="AB5206" s="1"/>
      <c r="AC5206" s="1"/>
      <c r="AD5206" s="1"/>
      <c r="AE5206" s="1"/>
      <c r="AF5206" s="1"/>
      <c r="AG5206" s="1"/>
      <c r="AH5206" s="1"/>
      <c r="AI5206" s="1"/>
      <c r="AJ5206" s="1"/>
      <c r="AK5206" s="1"/>
      <c r="AL5206" s="1"/>
      <c r="AM5206" s="1"/>
    </row>
    <row r="5207" spans="16:39" x14ac:dyDescent="0.25">
      <c r="P5207" s="49"/>
      <c r="Q5207" s="1"/>
      <c r="S5207" s="1"/>
      <c r="T5207" s="1"/>
      <c r="U5207" s="1"/>
      <c r="V5207" s="1"/>
      <c r="W5207" s="1"/>
      <c r="X5207" s="1"/>
      <c r="Y5207" s="1"/>
      <c r="AB5207" s="1"/>
      <c r="AC5207" s="1"/>
      <c r="AD5207" s="1"/>
      <c r="AE5207" s="1"/>
      <c r="AF5207" s="1"/>
      <c r="AG5207" s="1"/>
      <c r="AH5207" s="1"/>
      <c r="AI5207" s="1"/>
      <c r="AJ5207" s="1"/>
      <c r="AK5207" s="1"/>
      <c r="AL5207" s="1"/>
      <c r="AM5207" s="1"/>
    </row>
    <row r="5208" spans="16:39" x14ac:dyDescent="0.25">
      <c r="P5208" s="49"/>
      <c r="Q5208" s="1"/>
      <c r="S5208" s="1"/>
      <c r="T5208" s="1"/>
      <c r="U5208" s="1"/>
      <c r="V5208" s="1"/>
      <c r="W5208" s="1"/>
      <c r="X5208" s="1"/>
      <c r="Y5208" s="1"/>
      <c r="AB5208" s="1"/>
      <c r="AC5208" s="1"/>
      <c r="AD5208" s="1"/>
      <c r="AE5208" s="1"/>
      <c r="AF5208" s="1"/>
      <c r="AG5208" s="1"/>
      <c r="AH5208" s="1"/>
      <c r="AI5208" s="1"/>
      <c r="AJ5208" s="1"/>
      <c r="AK5208" s="1"/>
      <c r="AL5208" s="1"/>
      <c r="AM5208" s="1"/>
    </row>
    <row r="5209" spans="16:39" x14ac:dyDescent="0.25">
      <c r="P5209" s="49"/>
      <c r="Q5209" s="1"/>
      <c r="S5209" s="1"/>
      <c r="T5209" s="1"/>
      <c r="U5209" s="1"/>
      <c r="V5209" s="1"/>
      <c r="W5209" s="1"/>
      <c r="X5209" s="1"/>
      <c r="Y5209" s="1"/>
      <c r="AB5209" s="1"/>
      <c r="AC5209" s="1"/>
      <c r="AD5209" s="1"/>
      <c r="AE5209" s="1"/>
      <c r="AF5209" s="1"/>
      <c r="AG5209" s="1"/>
      <c r="AH5209" s="1"/>
      <c r="AI5209" s="1"/>
      <c r="AJ5209" s="1"/>
      <c r="AK5209" s="1"/>
      <c r="AL5209" s="1"/>
      <c r="AM5209" s="1"/>
    </row>
    <row r="5210" spans="16:39" x14ac:dyDescent="0.25">
      <c r="P5210" s="49"/>
      <c r="Q5210" s="1"/>
      <c r="S5210" s="1"/>
      <c r="T5210" s="1"/>
      <c r="U5210" s="1"/>
      <c r="V5210" s="1"/>
      <c r="W5210" s="1"/>
      <c r="X5210" s="1"/>
      <c r="Y5210" s="1"/>
      <c r="AB5210" s="1"/>
      <c r="AC5210" s="1"/>
      <c r="AD5210" s="1"/>
      <c r="AE5210" s="1"/>
      <c r="AF5210" s="1"/>
      <c r="AG5210" s="1"/>
      <c r="AH5210" s="1"/>
      <c r="AI5210" s="1"/>
      <c r="AJ5210" s="1"/>
      <c r="AK5210" s="1"/>
      <c r="AL5210" s="1"/>
      <c r="AM5210" s="1"/>
    </row>
    <row r="5211" spans="16:39" x14ac:dyDescent="0.25">
      <c r="P5211" s="49"/>
      <c r="Q5211" s="1"/>
      <c r="S5211" s="1"/>
      <c r="T5211" s="1"/>
      <c r="U5211" s="1"/>
      <c r="V5211" s="1"/>
      <c r="W5211" s="1"/>
      <c r="X5211" s="1"/>
      <c r="Y5211" s="1"/>
      <c r="AB5211" s="1"/>
      <c r="AC5211" s="1"/>
      <c r="AD5211" s="1"/>
      <c r="AE5211" s="1"/>
      <c r="AF5211" s="1"/>
      <c r="AG5211" s="1"/>
      <c r="AH5211" s="1"/>
      <c r="AI5211" s="1"/>
      <c r="AJ5211" s="1"/>
      <c r="AK5211" s="1"/>
      <c r="AL5211" s="1"/>
      <c r="AM5211" s="1"/>
    </row>
    <row r="5212" spans="16:39" x14ac:dyDescent="0.25">
      <c r="P5212" s="49"/>
      <c r="Q5212" s="1"/>
      <c r="S5212" s="1"/>
      <c r="T5212" s="1"/>
      <c r="U5212" s="1"/>
      <c r="V5212" s="1"/>
      <c r="W5212" s="1"/>
      <c r="X5212" s="1"/>
      <c r="Y5212" s="1"/>
      <c r="AB5212" s="1"/>
      <c r="AC5212" s="1"/>
      <c r="AD5212" s="1"/>
      <c r="AE5212" s="1"/>
      <c r="AF5212" s="1"/>
      <c r="AG5212" s="1"/>
      <c r="AH5212" s="1"/>
      <c r="AI5212" s="1"/>
      <c r="AJ5212" s="1"/>
      <c r="AK5212" s="1"/>
      <c r="AL5212" s="1"/>
      <c r="AM5212" s="1"/>
    </row>
    <row r="5213" spans="16:39" x14ac:dyDescent="0.25">
      <c r="P5213" s="49"/>
      <c r="Q5213" s="1"/>
      <c r="S5213" s="1"/>
      <c r="T5213" s="1"/>
      <c r="U5213" s="1"/>
      <c r="V5213" s="1"/>
      <c r="W5213" s="1"/>
      <c r="X5213" s="1"/>
      <c r="Y5213" s="1"/>
      <c r="AB5213" s="1"/>
      <c r="AC5213" s="1"/>
      <c r="AD5213" s="1"/>
      <c r="AE5213" s="1"/>
      <c r="AF5213" s="1"/>
      <c r="AG5213" s="1"/>
      <c r="AH5213" s="1"/>
      <c r="AI5213" s="1"/>
      <c r="AJ5213" s="1"/>
      <c r="AK5213" s="1"/>
      <c r="AL5213" s="1"/>
      <c r="AM5213" s="1"/>
    </row>
    <row r="5214" spans="16:39" x14ac:dyDescent="0.25">
      <c r="P5214" s="49"/>
      <c r="Q5214" s="1"/>
      <c r="S5214" s="1"/>
      <c r="T5214" s="1"/>
      <c r="U5214" s="1"/>
      <c r="V5214" s="1"/>
      <c r="W5214" s="1"/>
      <c r="X5214" s="1"/>
      <c r="Y5214" s="1"/>
      <c r="AB5214" s="1"/>
      <c r="AC5214" s="1"/>
      <c r="AD5214" s="1"/>
      <c r="AE5214" s="1"/>
      <c r="AF5214" s="1"/>
      <c r="AG5214" s="1"/>
      <c r="AH5214" s="1"/>
      <c r="AI5214" s="1"/>
      <c r="AJ5214" s="1"/>
      <c r="AK5214" s="1"/>
      <c r="AL5214" s="1"/>
      <c r="AM5214" s="1"/>
    </row>
    <row r="5215" spans="16:39" x14ac:dyDescent="0.25">
      <c r="P5215" s="49"/>
      <c r="Q5215" s="1"/>
      <c r="S5215" s="1"/>
      <c r="T5215" s="1"/>
      <c r="U5215" s="1"/>
      <c r="V5215" s="1"/>
      <c r="W5215" s="1"/>
      <c r="X5215" s="1"/>
      <c r="Y5215" s="1"/>
      <c r="AB5215" s="1"/>
      <c r="AC5215" s="1"/>
      <c r="AD5215" s="1"/>
      <c r="AE5215" s="1"/>
      <c r="AF5215" s="1"/>
      <c r="AG5215" s="1"/>
      <c r="AH5215" s="1"/>
      <c r="AI5215" s="1"/>
      <c r="AJ5215" s="1"/>
      <c r="AK5215" s="1"/>
      <c r="AL5215" s="1"/>
      <c r="AM5215" s="1"/>
    </row>
    <row r="5216" spans="16:39" x14ac:dyDescent="0.25">
      <c r="P5216" s="49"/>
      <c r="Q5216" s="1"/>
      <c r="S5216" s="1"/>
      <c r="T5216" s="1"/>
      <c r="U5216" s="1"/>
      <c r="V5216" s="1"/>
      <c r="W5216" s="1"/>
      <c r="X5216" s="1"/>
      <c r="Y5216" s="1"/>
      <c r="AB5216" s="1"/>
      <c r="AC5216" s="1"/>
      <c r="AD5216" s="1"/>
      <c r="AE5216" s="1"/>
      <c r="AF5216" s="1"/>
      <c r="AG5216" s="1"/>
      <c r="AH5216" s="1"/>
      <c r="AI5216" s="1"/>
      <c r="AJ5216" s="1"/>
      <c r="AK5216" s="1"/>
      <c r="AL5216" s="1"/>
      <c r="AM5216" s="1"/>
    </row>
    <row r="5217" spans="16:39" x14ac:dyDescent="0.25">
      <c r="P5217" s="49"/>
      <c r="Q5217" s="1"/>
      <c r="S5217" s="1"/>
      <c r="T5217" s="1"/>
      <c r="U5217" s="1"/>
      <c r="V5217" s="1"/>
      <c r="W5217" s="1"/>
      <c r="X5217" s="1"/>
      <c r="Y5217" s="1"/>
      <c r="AB5217" s="1"/>
      <c r="AC5217" s="1"/>
      <c r="AD5217" s="1"/>
      <c r="AE5217" s="1"/>
      <c r="AF5217" s="1"/>
      <c r="AG5217" s="1"/>
      <c r="AH5217" s="1"/>
      <c r="AI5217" s="1"/>
      <c r="AJ5217" s="1"/>
      <c r="AK5217" s="1"/>
      <c r="AL5217" s="1"/>
      <c r="AM5217" s="1"/>
    </row>
    <row r="5218" spans="16:39" x14ac:dyDescent="0.25">
      <c r="P5218" s="49"/>
      <c r="Q5218" s="1"/>
      <c r="S5218" s="1"/>
      <c r="T5218" s="1"/>
      <c r="U5218" s="1"/>
      <c r="V5218" s="1"/>
      <c r="W5218" s="1"/>
      <c r="X5218" s="1"/>
      <c r="Y5218" s="1"/>
      <c r="AB5218" s="1"/>
      <c r="AC5218" s="1"/>
      <c r="AD5218" s="1"/>
      <c r="AE5218" s="1"/>
      <c r="AF5218" s="1"/>
      <c r="AG5218" s="1"/>
      <c r="AH5218" s="1"/>
      <c r="AI5218" s="1"/>
      <c r="AJ5218" s="1"/>
      <c r="AK5218" s="1"/>
      <c r="AL5218" s="1"/>
      <c r="AM5218" s="1"/>
    </row>
    <row r="5219" spans="16:39" x14ac:dyDescent="0.25">
      <c r="P5219" s="49"/>
      <c r="Q5219" s="1"/>
      <c r="S5219" s="1"/>
      <c r="T5219" s="1"/>
      <c r="U5219" s="1"/>
      <c r="V5219" s="1"/>
      <c r="W5219" s="1"/>
      <c r="X5219" s="1"/>
      <c r="Y5219" s="1"/>
      <c r="AB5219" s="1"/>
      <c r="AC5219" s="1"/>
      <c r="AD5219" s="1"/>
      <c r="AE5219" s="1"/>
      <c r="AF5219" s="1"/>
      <c r="AG5219" s="1"/>
      <c r="AH5219" s="1"/>
      <c r="AI5219" s="1"/>
      <c r="AJ5219" s="1"/>
      <c r="AK5219" s="1"/>
      <c r="AL5219" s="1"/>
      <c r="AM5219" s="1"/>
    </row>
    <row r="5220" spans="16:39" x14ac:dyDescent="0.25">
      <c r="P5220" s="49"/>
      <c r="Q5220" s="1"/>
      <c r="S5220" s="1"/>
      <c r="T5220" s="1"/>
      <c r="U5220" s="1"/>
      <c r="V5220" s="1"/>
      <c r="W5220" s="1"/>
      <c r="X5220" s="1"/>
      <c r="Y5220" s="1"/>
      <c r="AB5220" s="1"/>
      <c r="AC5220" s="1"/>
      <c r="AD5220" s="1"/>
      <c r="AE5220" s="1"/>
      <c r="AF5220" s="1"/>
      <c r="AG5220" s="1"/>
      <c r="AH5220" s="1"/>
      <c r="AI5220" s="1"/>
      <c r="AJ5220" s="1"/>
      <c r="AK5220" s="1"/>
      <c r="AL5220" s="1"/>
      <c r="AM5220" s="1"/>
    </row>
    <row r="5221" spans="16:39" x14ac:dyDescent="0.25">
      <c r="P5221" s="49"/>
      <c r="Q5221" s="1"/>
      <c r="S5221" s="1"/>
      <c r="T5221" s="1"/>
      <c r="U5221" s="1"/>
      <c r="V5221" s="1"/>
      <c r="W5221" s="1"/>
      <c r="X5221" s="1"/>
      <c r="Y5221" s="1"/>
      <c r="AB5221" s="1"/>
      <c r="AC5221" s="1"/>
      <c r="AD5221" s="1"/>
      <c r="AE5221" s="1"/>
      <c r="AF5221" s="1"/>
      <c r="AG5221" s="1"/>
      <c r="AH5221" s="1"/>
      <c r="AI5221" s="1"/>
      <c r="AJ5221" s="1"/>
      <c r="AK5221" s="1"/>
      <c r="AL5221" s="1"/>
      <c r="AM5221" s="1"/>
    </row>
    <row r="5222" spans="16:39" x14ac:dyDescent="0.25">
      <c r="P5222" s="49"/>
      <c r="Q5222" s="1"/>
      <c r="S5222" s="1"/>
      <c r="T5222" s="1"/>
      <c r="U5222" s="1"/>
      <c r="V5222" s="1"/>
      <c r="W5222" s="1"/>
      <c r="X5222" s="1"/>
      <c r="Y5222" s="1"/>
      <c r="AB5222" s="1"/>
      <c r="AC5222" s="1"/>
      <c r="AD5222" s="1"/>
      <c r="AE5222" s="1"/>
      <c r="AF5222" s="1"/>
      <c r="AG5222" s="1"/>
      <c r="AH5222" s="1"/>
      <c r="AI5222" s="1"/>
      <c r="AJ5222" s="1"/>
      <c r="AK5222" s="1"/>
      <c r="AL5222" s="1"/>
      <c r="AM5222" s="1"/>
    </row>
    <row r="5223" spans="16:39" x14ac:dyDescent="0.25">
      <c r="P5223" s="49"/>
      <c r="Q5223" s="1"/>
      <c r="S5223" s="1"/>
      <c r="T5223" s="1"/>
      <c r="U5223" s="1"/>
      <c r="V5223" s="1"/>
      <c r="W5223" s="1"/>
      <c r="X5223" s="1"/>
      <c r="Y5223" s="1"/>
      <c r="AB5223" s="1"/>
      <c r="AC5223" s="1"/>
      <c r="AD5223" s="1"/>
      <c r="AE5223" s="1"/>
      <c r="AF5223" s="1"/>
      <c r="AG5223" s="1"/>
      <c r="AH5223" s="1"/>
      <c r="AI5223" s="1"/>
      <c r="AJ5223" s="1"/>
      <c r="AK5223" s="1"/>
      <c r="AL5223" s="1"/>
      <c r="AM5223" s="1"/>
    </row>
    <row r="5224" spans="16:39" x14ac:dyDescent="0.25">
      <c r="P5224" s="49"/>
      <c r="Q5224" s="1"/>
      <c r="S5224" s="1"/>
      <c r="T5224" s="1"/>
      <c r="U5224" s="1"/>
      <c r="V5224" s="1"/>
      <c r="W5224" s="1"/>
      <c r="X5224" s="1"/>
      <c r="Y5224" s="1"/>
      <c r="AB5224" s="1"/>
      <c r="AC5224" s="1"/>
      <c r="AD5224" s="1"/>
      <c r="AE5224" s="1"/>
      <c r="AF5224" s="1"/>
      <c r="AG5224" s="1"/>
      <c r="AH5224" s="1"/>
      <c r="AI5224" s="1"/>
      <c r="AJ5224" s="1"/>
      <c r="AK5224" s="1"/>
      <c r="AL5224" s="1"/>
      <c r="AM5224" s="1"/>
    </row>
    <row r="5225" spans="16:39" x14ac:dyDescent="0.25">
      <c r="P5225" s="49"/>
      <c r="Q5225" s="1"/>
      <c r="S5225" s="1"/>
      <c r="T5225" s="1"/>
      <c r="U5225" s="1"/>
      <c r="V5225" s="1"/>
      <c r="W5225" s="1"/>
      <c r="X5225" s="1"/>
      <c r="Y5225" s="1"/>
      <c r="AB5225" s="1"/>
      <c r="AC5225" s="1"/>
      <c r="AD5225" s="1"/>
      <c r="AE5225" s="1"/>
      <c r="AF5225" s="1"/>
      <c r="AG5225" s="1"/>
      <c r="AH5225" s="1"/>
      <c r="AI5225" s="1"/>
      <c r="AJ5225" s="1"/>
      <c r="AK5225" s="1"/>
      <c r="AL5225" s="1"/>
      <c r="AM5225" s="1"/>
    </row>
    <row r="5226" spans="16:39" x14ac:dyDescent="0.25">
      <c r="P5226" s="49"/>
      <c r="Q5226" s="1"/>
      <c r="S5226" s="1"/>
      <c r="T5226" s="1"/>
      <c r="U5226" s="1"/>
      <c r="V5226" s="1"/>
      <c r="W5226" s="1"/>
      <c r="X5226" s="1"/>
      <c r="Y5226" s="1"/>
      <c r="AB5226" s="1"/>
      <c r="AC5226" s="1"/>
      <c r="AD5226" s="1"/>
      <c r="AE5226" s="1"/>
      <c r="AF5226" s="1"/>
      <c r="AG5226" s="1"/>
      <c r="AH5226" s="1"/>
      <c r="AI5226" s="1"/>
      <c r="AJ5226" s="1"/>
      <c r="AK5226" s="1"/>
      <c r="AL5226" s="1"/>
      <c r="AM5226" s="1"/>
    </row>
    <row r="5227" spans="16:39" x14ac:dyDescent="0.25">
      <c r="P5227" s="49"/>
      <c r="Q5227" s="1"/>
      <c r="S5227" s="1"/>
      <c r="T5227" s="1"/>
      <c r="U5227" s="1"/>
      <c r="V5227" s="1"/>
      <c r="W5227" s="1"/>
      <c r="X5227" s="1"/>
      <c r="Y5227" s="1"/>
      <c r="AB5227" s="1"/>
      <c r="AC5227" s="1"/>
      <c r="AD5227" s="1"/>
      <c r="AE5227" s="1"/>
      <c r="AF5227" s="1"/>
      <c r="AG5227" s="1"/>
      <c r="AH5227" s="1"/>
      <c r="AI5227" s="1"/>
      <c r="AJ5227" s="1"/>
      <c r="AK5227" s="1"/>
      <c r="AL5227" s="1"/>
      <c r="AM5227" s="1"/>
    </row>
    <row r="5228" spans="16:39" x14ac:dyDescent="0.25">
      <c r="P5228" s="49"/>
      <c r="Q5228" s="1"/>
      <c r="S5228" s="1"/>
      <c r="T5228" s="1"/>
      <c r="U5228" s="1"/>
      <c r="V5228" s="1"/>
      <c r="W5228" s="1"/>
      <c r="X5228" s="1"/>
      <c r="Y5228" s="1"/>
      <c r="AB5228" s="1"/>
      <c r="AC5228" s="1"/>
      <c r="AD5228" s="1"/>
      <c r="AE5228" s="1"/>
      <c r="AF5228" s="1"/>
      <c r="AG5228" s="1"/>
      <c r="AH5228" s="1"/>
      <c r="AI5228" s="1"/>
      <c r="AJ5228" s="1"/>
      <c r="AK5228" s="1"/>
      <c r="AL5228" s="1"/>
      <c r="AM5228" s="1"/>
    </row>
    <row r="5229" spans="16:39" x14ac:dyDescent="0.25">
      <c r="P5229" s="49"/>
      <c r="Q5229" s="1"/>
      <c r="S5229" s="1"/>
      <c r="T5229" s="1"/>
      <c r="U5229" s="1"/>
      <c r="V5229" s="1"/>
      <c r="W5229" s="1"/>
      <c r="X5229" s="1"/>
      <c r="Y5229" s="1"/>
      <c r="AB5229" s="1"/>
      <c r="AC5229" s="1"/>
      <c r="AD5229" s="1"/>
      <c r="AE5229" s="1"/>
      <c r="AF5229" s="1"/>
      <c r="AG5229" s="1"/>
      <c r="AH5229" s="1"/>
      <c r="AI5229" s="1"/>
      <c r="AJ5229" s="1"/>
      <c r="AK5229" s="1"/>
      <c r="AL5229" s="1"/>
      <c r="AM5229" s="1"/>
    </row>
    <row r="5230" spans="16:39" x14ac:dyDescent="0.25">
      <c r="P5230" s="49"/>
      <c r="Q5230" s="1"/>
      <c r="S5230" s="1"/>
      <c r="T5230" s="1"/>
      <c r="U5230" s="1"/>
      <c r="V5230" s="1"/>
      <c r="W5230" s="1"/>
      <c r="X5230" s="1"/>
      <c r="Y5230" s="1"/>
      <c r="AB5230" s="1"/>
      <c r="AC5230" s="1"/>
      <c r="AD5230" s="1"/>
      <c r="AE5230" s="1"/>
      <c r="AF5230" s="1"/>
      <c r="AG5230" s="1"/>
      <c r="AH5230" s="1"/>
      <c r="AI5230" s="1"/>
      <c r="AJ5230" s="1"/>
      <c r="AK5230" s="1"/>
      <c r="AL5230" s="1"/>
      <c r="AM5230" s="1"/>
    </row>
    <row r="5231" spans="16:39" x14ac:dyDescent="0.25">
      <c r="P5231" s="49"/>
      <c r="Q5231" s="1"/>
      <c r="S5231" s="1"/>
      <c r="T5231" s="1"/>
      <c r="U5231" s="1"/>
      <c r="V5231" s="1"/>
      <c r="W5231" s="1"/>
      <c r="X5231" s="1"/>
      <c r="Y5231" s="1"/>
      <c r="AB5231" s="1"/>
      <c r="AC5231" s="1"/>
      <c r="AD5231" s="1"/>
      <c r="AE5231" s="1"/>
      <c r="AF5231" s="1"/>
      <c r="AG5231" s="1"/>
      <c r="AH5231" s="1"/>
      <c r="AI5231" s="1"/>
      <c r="AJ5231" s="1"/>
      <c r="AK5231" s="1"/>
      <c r="AL5231" s="1"/>
      <c r="AM5231" s="1"/>
    </row>
    <row r="5232" spans="16:39" x14ac:dyDescent="0.25">
      <c r="P5232" s="49"/>
      <c r="Q5232" s="1"/>
      <c r="S5232" s="1"/>
      <c r="T5232" s="1"/>
      <c r="U5232" s="1"/>
      <c r="V5232" s="1"/>
      <c r="W5232" s="1"/>
      <c r="X5232" s="1"/>
      <c r="Y5232" s="1"/>
      <c r="AB5232" s="1"/>
      <c r="AC5232" s="1"/>
      <c r="AD5232" s="1"/>
      <c r="AE5232" s="1"/>
      <c r="AF5232" s="1"/>
      <c r="AG5232" s="1"/>
      <c r="AH5232" s="1"/>
      <c r="AI5232" s="1"/>
      <c r="AJ5232" s="1"/>
      <c r="AK5232" s="1"/>
      <c r="AL5232" s="1"/>
      <c r="AM5232" s="1"/>
    </row>
    <row r="5233" spans="16:39" x14ac:dyDescent="0.25">
      <c r="P5233" s="49"/>
      <c r="Q5233" s="1"/>
      <c r="S5233" s="1"/>
      <c r="T5233" s="1"/>
      <c r="U5233" s="1"/>
      <c r="V5233" s="1"/>
      <c r="W5233" s="1"/>
      <c r="X5233" s="1"/>
      <c r="Y5233" s="1"/>
      <c r="AB5233" s="1"/>
      <c r="AC5233" s="1"/>
      <c r="AD5233" s="1"/>
      <c r="AE5233" s="1"/>
      <c r="AF5233" s="1"/>
      <c r="AG5233" s="1"/>
      <c r="AH5233" s="1"/>
      <c r="AI5233" s="1"/>
      <c r="AJ5233" s="1"/>
      <c r="AK5233" s="1"/>
      <c r="AL5233" s="1"/>
      <c r="AM5233" s="1"/>
    </row>
    <row r="5234" spans="16:39" x14ac:dyDescent="0.25">
      <c r="P5234" s="49"/>
      <c r="Q5234" s="1"/>
      <c r="S5234" s="1"/>
      <c r="T5234" s="1"/>
      <c r="U5234" s="1"/>
      <c r="V5234" s="1"/>
      <c r="W5234" s="1"/>
      <c r="X5234" s="1"/>
      <c r="Y5234" s="1"/>
      <c r="AB5234" s="1"/>
      <c r="AC5234" s="1"/>
      <c r="AD5234" s="1"/>
      <c r="AE5234" s="1"/>
      <c r="AF5234" s="1"/>
      <c r="AG5234" s="1"/>
      <c r="AH5234" s="1"/>
      <c r="AI5234" s="1"/>
      <c r="AJ5234" s="1"/>
      <c r="AK5234" s="1"/>
      <c r="AL5234" s="1"/>
      <c r="AM5234" s="1"/>
    </row>
    <row r="5235" spans="16:39" x14ac:dyDescent="0.25">
      <c r="P5235" s="49"/>
      <c r="Q5235" s="1"/>
      <c r="S5235" s="1"/>
      <c r="T5235" s="1"/>
      <c r="U5235" s="1"/>
      <c r="V5235" s="1"/>
      <c r="W5235" s="1"/>
      <c r="X5235" s="1"/>
      <c r="Y5235" s="1"/>
      <c r="AB5235" s="1"/>
      <c r="AC5235" s="1"/>
      <c r="AD5235" s="1"/>
      <c r="AE5235" s="1"/>
      <c r="AF5235" s="1"/>
      <c r="AG5235" s="1"/>
      <c r="AH5235" s="1"/>
      <c r="AI5235" s="1"/>
      <c r="AJ5235" s="1"/>
      <c r="AK5235" s="1"/>
      <c r="AL5235" s="1"/>
      <c r="AM5235" s="1"/>
    </row>
    <row r="5236" spans="16:39" x14ac:dyDescent="0.25">
      <c r="P5236" s="49"/>
      <c r="Q5236" s="1"/>
      <c r="S5236" s="1"/>
      <c r="T5236" s="1"/>
      <c r="U5236" s="1"/>
      <c r="V5236" s="1"/>
      <c r="W5236" s="1"/>
      <c r="X5236" s="1"/>
      <c r="Y5236" s="1"/>
      <c r="AB5236" s="1"/>
      <c r="AC5236" s="1"/>
      <c r="AD5236" s="1"/>
      <c r="AE5236" s="1"/>
      <c r="AF5236" s="1"/>
      <c r="AG5236" s="1"/>
      <c r="AH5236" s="1"/>
      <c r="AI5236" s="1"/>
      <c r="AJ5236" s="1"/>
      <c r="AK5236" s="1"/>
      <c r="AL5236" s="1"/>
      <c r="AM5236" s="1"/>
    </row>
    <row r="5237" spans="16:39" x14ac:dyDescent="0.25">
      <c r="P5237" s="49"/>
      <c r="Q5237" s="1"/>
      <c r="S5237" s="1"/>
      <c r="T5237" s="1"/>
      <c r="U5237" s="1"/>
      <c r="V5237" s="1"/>
      <c r="W5237" s="1"/>
      <c r="X5237" s="1"/>
      <c r="Y5237" s="1"/>
      <c r="AB5237" s="1"/>
      <c r="AC5237" s="1"/>
      <c r="AD5237" s="1"/>
      <c r="AE5237" s="1"/>
      <c r="AF5237" s="1"/>
      <c r="AG5237" s="1"/>
      <c r="AH5237" s="1"/>
      <c r="AI5237" s="1"/>
      <c r="AJ5237" s="1"/>
      <c r="AK5237" s="1"/>
      <c r="AL5237" s="1"/>
      <c r="AM5237" s="1"/>
    </row>
    <row r="5238" spans="16:39" x14ac:dyDescent="0.25">
      <c r="P5238" s="49"/>
      <c r="Q5238" s="1"/>
      <c r="S5238" s="1"/>
      <c r="T5238" s="1"/>
      <c r="U5238" s="1"/>
      <c r="V5238" s="1"/>
      <c r="W5238" s="1"/>
      <c r="X5238" s="1"/>
      <c r="Y5238" s="1"/>
      <c r="AB5238" s="1"/>
      <c r="AC5238" s="1"/>
      <c r="AD5238" s="1"/>
      <c r="AE5238" s="1"/>
      <c r="AF5238" s="1"/>
      <c r="AG5238" s="1"/>
      <c r="AH5238" s="1"/>
      <c r="AI5238" s="1"/>
      <c r="AJ5238" s="1"/>
      <c r="AK5238" s="1"/>
      <c r="AL5238" s="1"/>
      <c r="AM5238" s="1"/>
    </row>
    <row r="5239" spans="16:39" x14ac:dyDescent="0.25">
      <c r="P5239" s="49"/>
      <c r="Q5239" s="1"/>
      <c r="S5239" s="1"/>
      <c r="T5239" s="1"/>
      <c r="U5239" s="1"/>
      <c r="V5239" s="1"/>
      <c r="W5239" s="1"/>
      <c r="X5239" s="1"/>
      <c r="Y5239" s="1"/>
      <c r="AB5239" s="1"/>
      <c r="AC5239" s="1"/>
      <c r="AD5239" s="1"/>
      <c r="AE5239" s="1"/>
      <c r="AF5239" s="1"/>
      <c r="AG5239" s="1"/>
      <c r="AH5239" s="1"/>
      <c r="AI5239" s="1"/>
      <c r="AJ5239" s="1"/>
      <c r="AK5239" s="1"/>
      <c r="AL5239" s="1"/>
      <c r="AM5239" s="1"/>
    </row>
    <row r="5240" spans="16:39" x14ac:dyDescent="0.25">
      <c r="P5240" s="49"/>
      <c r="Q5240" s="1"/>
      <c r="S5240" s="1"/>
      <c r="T5240" s="1"/>
      <c r="U5240" s="1"/>
      <c r="V5240" s="1"/>
      <c r="W5240" s="1"/>
      <c r="X5240" s="1"/>
      <c r="Y5240" s="1"/>
      <c r="AB5240" s="1"/>
      <c r="AC5240" s="1"/>
      <c r="AD5240" s="1"/>
      <c r="AE5240" s="1"/>
      <c r="AF5240" s="1"/>
      <c r="AG5240" s="1"/>
      <c r="AH5240" s="1"/>
      <c r="AI5240" s="1"/>
      <c r="AJ5240" s="1"/>
      <c r="AK5240" s="1"/>
      <c r="AL5240" s="1"/>
      <c r="AM5240" s="1"/>
    </row>
    <row r="5241" spans="16:39" x14ac:dyDescent="0.25">
      <c r="P5241" s="49"/>
      <c r="Q5241" s="1"/>
      <c r="S5241" s="1"/>
      <c r="T5241" s="1"/>
      <c r="U5241" s="1"/>
      <c r="V5241" s="1"/>
      <c r="W5241" s="1"/>
      <c r="X5241" s="1"/>
      <c r="Y5241" s="1"/>
      <c r="AB5241" s="1"/>
      <c r="AC5241" s="1"/>
      <c r="AD5241" s="1"/>
      <c r="AE5241" s="1"/>
      <c r="AF5241" s="1"/>
      <c r="AG5241" s="1"/>
      <c r="AH5241" s="1"/>
      <c r="AI5241" s="1"/>
      <c r="AJ5241" s="1"/>
      <c r="AK5241" s="1"/>
      <c r="AL5241" s="1"/>
      <c r="AM5241" s="1"/>
    </row>
    <row r="5242" spans="16:39" x14ac:dyDescent="0.25">
      <c r="P5242" s="49"/>
      <c r="Q5242" s="1"/>
      <c r="S5242" s="1"/>
      <c r="T5242" s="1"/>
      <c r="U5242" s="1"/>
      <c r="V5242" s="1"/>
      <c r="W5242" s="1"/>
      <c r="X5242" s="1"/>
      <c r="Y5242" s="1"/>
      <c r="AB5242" s="1"/>
      <c r="AC5242" s="1"/>
      <c r="AD5242" s="1"/>
      <c r="AE5242" s="1"/>
      <c r="AF5242" s="1"/>
      <c r="AG5242" s="1"/>
      <c r="AH5242" s="1"/>
      <c r="AI5242" s="1"/>
      <c r="AJ5242" s="1"/>
      <c r="AK5242" s="1"/>
      <c r="AL5242" s="1"/>
      <c r="AM5242" s="1"/>
    </row>
    <row r="5243" spans="16:39" x14ac:dyDescent="0.25">
      <c r="P5243" s="49"/>
      <c r="Q5243" s="1"/>
      <c r="S5243" s="1"/>
      <c r="T5243" s="1"/>
      <c r="U5243" s="1"/>
      <c r="V5243" s="1"/>
      <c r="W5243" s="1"/>
      <c r="X5243" s="1"/>
      <c r="Y5243" s="1"/>
      <c r="AB5243" s="1"/>
      <c r="AC5243" s="1"/>
      <c r="AD5243" s="1"/>
      <c r="AE5243" s="1"/>
      <c r="AF5243" s="1"/>
      <c r="AG5243" s="1"/>
      <c r="AH5243" s="1"/>
      <c r="AI5243" s="1"/>
      <c r="AJ5243" s="1"/>
      <c r="AK5243" s="1"/>
      <c r="AL5243" s="1"/>
      <c r="AM5243" s="1"/>
    </row>
    <row r="5244" spans="16:39" x14ac:dyDescent="0.25">
      <c r="P5244" s="49"/>
      <c r="Q5244" s="1"/>
      <c r="S5244" s="1"/>
      <c r="T5244" s="1"/>
      <c r="U5244" s="1"/>
      <c r="V5244" s="1"/>
      <c r="W5244" s="1"/>
      <c r="X5244" s="1"/>
      <c r="Y5244" s="1"/>
      <c r="AB5244" s="1"/>
      <c r="AC5244" s="1"/>
      <c r="AD5244" s="1"/>
      <c r="AE5244" s="1"/>
      <c r="AF5244" s="1"/>
      <c r="AG5244" s="1"/>
      <c r="AH5244" s="1"/>
      <c r="AI5244" s="1"/>
      <c r="AJ5244" s="1"/>
      <c r="AK5244" s="1"/>
      <c r="AL5244" s="1"/>
      <c r="AM5244" s="1"/>
    </row>
    <row r="5245" spans="16:39" x14ac:dyDescent="0.25">
      <c r="P5245" s="49"/>
      <c r="Q5245" s="1"/>
      <c r="S5245" s="1"/>
      <c r="T5245" s="1"/>
      <c r="U5245" s="1"/>
      <c r="V5245" s="1"/>
      <c r="W5245" s="1"/>
      <c r="X5245" s="1"/>
      <c r="Y5245" s="1"/>
      <c r="AB5245" s="1"/>
      <c r="AC5245" s="1"/>
      <c r="AD5245" s="1"/>
      <c r="AE5245" s="1"/>
      <c r="AF5245" s="1"/>
      <c r="AG5245" s="1"/>
      <c r="AH5245" s="1"/>
      <c r="AI5245" s="1"/>
      <c r="AJ5245" s="1"/>
      <c r="AK5245" s="1"/>
      <c r="AL5245" s="1"/>
      <c r="AM5245" s="1"/>
    </row>
    <row r="5246" spans="16:39" x14ac:dyDescent="0.25">
      <c r="P5246" s="49"/>
      <c r="Q5246" s="1"/>
      <c r="S5246" s="1"/>
      <c r="T5246" s="1"/>
      <c r="U5246" s="1"/>
      <c r="V5246" s="1"/>
      <c r="W5246" s="1"/>
      <c r="X5246" s="1"/>
      <c r="Y5246" s="1"/>
      <c r="AB5246" s="1"/>
      <c r="AC5246" s="1"/>
      <c r="AD5246" s="1"/>
      <c r="AE5246" s="1"/>
      <c r="AF5246" s="1"/>
      <c r="AG5246" s="1"/>
      <c r="AH5246" s="1"/>
      <c r="AI5246" s="1"/>
      <c r="AJ5246" s="1"/>
      <c r="AK5246" s="1"/>
      <c r="AL5246" s="1"/>
      <c r="AM5246" s="1"/>
    </row>
    <row r="5247" spans="16:39" x14ac:dyDescent="0.25">
      <c r="P5247" s="49"/>
      <c r="Q5247" s="1"/>
      <c r="S5247" s="1"/>
      <c r="T5247" s="1"/>
      <c r="U5247" s="1"/>
      <c r="V5247" s="1"/>
      <c r="W5247" s="1"/>
      <c r="X5247" s="1"/>
      <c r="Y5247" s="1"/>
      <c r="AB5247" s="1"/>
      <c r="AC5247" s="1"/>
      <c r="AD5247" s="1"/>
      <c r="AE5247" s="1"/>
      <c r="AF5247" s="1"/>
      <c r="AG5247" s="1"/>
      <c r="AH5247" s="1"/>
      <c r="AI5247" s="1"/>
      <c r="AJ5247" s="1"/>
      <c r="AK5247" s="1"/>
      <c r="AL5247" s="1"/>
      <c r="AM5247" s="1"/>
    </row>
    <row r="5248" spans="16:39" x14ac:dyDescent="0.25">
      <c r="P5248" s="49"/>
      <c r="Q5248" s="1"/>
      <c r="S5248" s="1"/>
      <c r="T5248" s="1"/>
      <c r="U5248" s="1"/>
      <c r="V5248" s="1"/>
      <c r="W5248" s="1"/>
      <c r="X5248" s="1"/>
      <c r="Y5248" s="1"/>
      <c r="AB5248" s="1"/>
      <c r="AC5248" s="1"/>
      <c r="AD5248" s="1"/>
      <c r="AE5248" s="1"/>
      <c r="AF5248" s="1"/>
      <c r="AG5248" s="1"/>
      <c r="AH5248" s="1"/>
      <c r="AI5248" s="1"/>
      <c r="AJ5248" s="1"/>
      <c r="AK5248" s="1"/>
      <c r="AL5248" s="1"/>
      <c r="AM5248" s="1"/>
    </row>
    <row r="5249" spans="16:39" x14ac:dyDescent="0.25">
      <c r="P5249" s="49"/>
      <c r="Q5249" s="1"/>
      <c r="S5249" s="1"/>
      <c r="T5249" s="1"/>
      <c r="U5249" s="1"/>
      <c r="V5249" s="1"/>
      <c r="W5249" s="1"/>
      <c r="X5249" s="1"/>
      <c r="Y5249" s="1"/>
      <c r="AB5249" s="1"/>
      <c r="AC5249" s="1"/>
      <c r="AD5249" s="1"/>
      <c r="AE5249" s="1"/>
      <c r="AF5249" s="1"/>
      <c r="AG5249" s="1"/>
      <c r="AH5249" s="1"/>
      <c r="AI5249" s="1"/>
      <c r="AJ5249" s="1"/>
      <c r="AK5249" s="1"/>
      <c r="AL5249" s="1"/>
      <c r="AM5249" s="1"/>
    </row>
    <row r="5250" spans="16:39" x14ac:dyDescent="0.25">
      <c r="P5250" s="49"/>
      <c r="Q5250" s="1"/>
      <c r="S5250" s="1"/>
      <c r="T5250" s="1"/>
      <c r="U5250" s="1"/>
      <c r="V5250" s="1"/>
      <c r="W5250" s="1"/>
      <c r="X5250" s="1"/>
      <c r="Y5250" s="1"/>
      <c r="AB5250" s="1"/>
      <c r="AC5250" s="1"/>
      <c r="AD5250" s="1"/>
      <c r="AE5250" s="1"/>
      <c r="AF5250" s="1"/>
      <c r="AG5250" s="1"/>
      <c r="AH5250" s="1"/>
      <c r="AI5250" s="1"/>
      <c r="AJ5250" s="1"/>
      <c r="AK5250" s="1"/>
      <c r="AL5250" s="1"/>
      <c r="AM5250" s="1"/>
    </row>
    <row r="5251" spans="16:39" x14ac:dyDescent="0.25">
      <c r="P5251" s="49"/>
      <c r="Q5251" s="1"/>
      <c r="S5251" s="1"/>
      <c r="T5251" s="1"/>
      <c r="U5251" s="1"/>
      <c r="V5251" s="1"/>
      <c r="W5251" s="1"/>
      <c r="X5251" s="1"/>
      <c r="Y5251" s="1"/>
      <c r="AB5251" s="1"/>
      <c r="AC5251" s="1"/>
      <c r="AD5251" s="1"/>
      <c r="AE5251" s="1"/>
      <c r="AF5251" s="1"/>
      <c r="AG5251" s="1"/>
      <c r="AH5251" s="1"/>
      <c r="AI5251" s="1"/>
      <c r="AJ5251" s="1"/>
      <c r="AK5251" s="1"/>
      <c r="AL5251" s="1"/>
      <c r="AM5251" s="1"/>
    </row>
    <row r="5252" spans="16:39" x14ac:dyDescent="0.25">
      <c r="P5252" s="49"/>
      <c r="Q5252" s="1"/>
      <c r="S5252" s="1"/>
      <c r="T5252" s="1"/>
      <c r="U5252" s="1"/>
      <c r="V5252" s="1"/>
      <c r="W5252" s="1"/>
      <c r="X5252" s="1"/>
      <c r="Y5252" s="1"/>
      <c r="AB5252" s="1"/>
      <c r="AC5252" s="1"/>
      <c r="AD5252" s="1"/>
      <c r="AE5252" s="1"/>
      <c r="AF5252" s="1"/>
      <c r="AG5252" s="1"/>
      <c r="AH5252" s="1"/>
      <c r="AI5252" s="1"/>
      <c r="AJ5252" s="1"/>
      <c r="AK5252" s="1"/>
      <c r="AL5252" s="1"/>
      <c r="AM5252" s="1"/>
    </row>
    <row r="5253" spans="16:39" x14ac:dyDescent="0.25">
      <c r="P5253" s="49"/>
      <c r="Q5253" s="1"/>
      <c r="S5253" s="1"/>
      <c r="T5253" s="1"/>
      <c r="U5253" s="1"/>
      <c r="V5253" s="1"/>
      <c r="W5253" s="1"/>
      <c r="X5253" s="1"/>
      <c r="Y5253" s="1"/>
      <c r="AB5253" s="1"/>
      <c r="AC5253" s="1"/>
      <c r="AD5253" s="1"/>
      <c r="AE5253" s="1"/>
      <c r="AF5253" s="1"/>
      <c r="AG5253" s="1"/>
      <c r="AH5253" s="1"/>
      <c r="AI5253" s="1"/>
      <c r="AJ5253" s="1"/>
      <c r="AK5253" s="1"/>
      <c r="AL5253" s="1"/>
      <c r="AM5253" s="1"/>
    </row>
    <row r="5254" spans="16:39" x14ac:dyDescent="0.25">
      <c r="P5254" s="49"/>
      <c r="Q5254" s="1"/>
      <c r="S5254" s="1"/>
      <c r="T5254" s="1"/>
      <c r="U5254" s="1"/>
      <c r="V5254" s="1"/>
      <c r="W5254" s="1"/>
      <c r="X5254" s="1"/>
      <c r="Y5254" s="1"/>
      <c r="AB5254" s="1"/>
      <c r="AC5254" s="1"/>
      <c r="AD5254" s="1"/>
      <c r="AE5254" s="1"/>
      <c r="AF5254" s="1"/>
      <c r="AG5254" s="1"/>
      <c r="AH5254" s="1"/>
      <c r="AI5254" s="1"/>
      <c r="AJ5254" s="1"/>
      <c r="AK5254" s="1"/>
      <c r="AL5254" s="1"/>
      <c r="AM5254" s="1"/>
    </row>
    <row r="5255" spans="16:39" x14ac:dyDescent="0.25">
      <c r="P5255" s="49"/>
      <c r="Q5255" s="1"/>
      <c r="S5255" s="1"/>
      <c r="T5255" s="1"/>
      <c r="U5255" s="1"/>
      <c r="V5255" s="1"/>
      <c r="W5255" s="1"/>
      <c r="X5255" s="1"/>
      <c r="Y5255" s="1"/>
      <c r="AB5255" s="1"/>
      <c r="AC5255" s="1"/>
      <c r="AD5255" s="1"/>
      <c r="AE5255" s="1"/>
      <c r="AF5255" s="1"/>
      <c r="AG5255" s="1"/>
      <c r="AH5255" s="1"/>
      <c r="AI5255" s="1"/>
      <c r="AJ5255" s="1"/>
      <c r="AK5255" s="1"/>
      <c r="AL5255" s="1"/>
      <c r="AM5255" s="1"/>
    </row>
    <row r="5256" spans="16:39" x14ac:dyDescent="0.25">
      <c r="P5256" s="49"/>
      <c r="Q5256" s="1"/>
      <c r="S5256" s="1"/>
      <c r="T5256" s="1"/>
      <c r="U5256" s="1"/>
      <c r="V5256" s="1"/>
      <c r="W5256" s="1"/>
      <c r="X5256" s="1"/>
      <c r="Y5256" s="1"/>
      <c r="AB5256" s="1"/>
      <c r="AC5256" s="1"/>
      <c r="AD5256" s="1"/>
      <c r="AE5256" s="1"/>
      <c r="AF5256" s="1"/>
      <c r="AG5256" s="1"/>
      <c r="AH5256" s="1"/>
      <c r="AI5256" s="1"/>
      <c r="AJ5256" s="1"/>
      <c r="AK5256" s="1"/>
      <c r="AL5256" s="1"/>
      <c r="AM5256" s="1"/>
    </row>
    <row r="5257" spans="16:39" x14ac:dyDescent="0.25">
      <c r="P5257" s="49"/>
      <c r="Q5257" s="1"/>
      <c r="S5257" s="1"/>
      <c r="T5257" s="1"/>
      <c r="U5257" s="1"/>
      <c r="V5257" s="1"/>
      <c r="W5257" s="1"/>
      <c r="X5257" s="1"/>
      <c r="Y5257" s="1"/>
      <c r="AB5257" s="1"/>
      <c r="AC5257" s="1"/>
      <c r="AD5257" s="1"/>
      <c r="AE5257" s="1"/>
      <c r="AF5257" s="1"/>
      <c r="AG5257" s="1"/>
      <c r="AH5257" s="1"/>
      <c r="AI5257" s="1"/>
      <c r="AJ5257" s="1"/>
      <c r="AK5257" s="1"/>
      <c r="AL5257" s="1"/>
      <c r="AM5257" s="1"/>
    </row>
    <row r="5258" spans="16:39" x14ac:dyDescent="0.25">
      <c r="P5258" s="49"/>
      <c r="Q5258" s="1"/>
      <c r="S5258" s="1"/>
      <c r="T5258" s="1"/>
      <c r="U5258" s="1"/>
      <c r="V5258" s="1"/>
      <c r="W5258" s="1"/>
      <c r="X5258" s="1"/>
      <c r="Y5258" s="1"/>
      <c r="AB5258" s="1"/>
      <c r="AC5258" s="1"/>
      <c r="AD5258" s="1"/>
      <c r="AE5258" s="1"/>
      <c r="AF5258" s="1"/>
      <c r="AG5258" s="1"/>
      <c r="AH5258" s="1"/>
      <c r="AI5258" s="1"/>
      <c r="AJ5258" s="1"/>
      <c r="AK5258" s="1"/>
      <c r="AL5258" s="1"/>
      <c r="AM5258" s="1"/>
    </row>
    <row r="5259" spans="16:39" x14ac:dyDescent="0.25">
      <c r="P5259" s="49"/>
      <c r="Q5259" s="1"/>
      <c r="S5259" s="1"/>
      <c r="T5259" s="1"/>
      <c r="U5259" s="1"/>
      <c r="V5259" s="1"/>
      <c r="W5259" s="1"/>
      <c r="X5259" s="1"/>
      <c r="Y5259" s="1"/>
      <c r="AB5259" s="1"/>
      <c r="AC5259" s="1"/>
      <c r="AD5259" s="1"/>
      <c r="AE5259" s="1"/>
      <c r="AF5259" s="1"/>
      <c r="AG5259" s="1"/>
      <c r="AH5259" s="1"/>
      <c r="AI5259" s="1"/>
      <c r="AJ5259" s="1"/>
      <c r="AK5259" s="1"/>
      <c r="AL5259" s="1"/>
      <c r="AM5259" s="1"/>
    </row>
    <row r="5260" spans="16:39" x14ac:dyDescent="0.25">
      <c r="P5260" s="49"/>
      <c r="Q5260" s="1"/>
      <c r="S5260" s="1"/>
      <c r="T5260" s="1"/>
      <c r="U5260" s="1"/>
      <c r="V5260" s="1"/>
      <c r="W5260" s="1"/>
      <c r="X5260" s="1"/>
      <c r="Y5260" s="1"/>
      <c r="AB5260" s="1"/>
      <c r="AC5260" s="1"/>
      <c r="AD5260" s="1"/>
      <c r="AE5260" s="1"/>
      <c r="AF5260" s="1"/>
      <c r="AG5260" s="1"/>
      <c r="AH5260" s="1"/>
      <c r="AI5260" s="1"/>
      <c r="AJ5260" s="1"/>
      <c r="AK5260" s="1"/>
      <c r="AL5260" s="1"/>
      <c r="AM5260" s="1"/>
    </row>
    <row r="5261" spans="16:39" x14ac:dyDescent="0.25">
      <c r="P5261" s="49"/>
      <c r="Q5261" s="1"/>
      <c r="S5261" s="1"/>
      <c r="T5261" s="1"/>
      <c r="U5261" s="1"/>
      <c r="V5261" s="1"/>
      <c r="W5261" s="1"/>
      <c r="X5261" s="1"/>
      <c r="Y5261" s="1"/>
      <c r="AB5261" s="1"/>
      <c r="AC5261" s="1"/>
      <c r="AD5261" s="1"/>
      <c r="AE5261" s="1"/>
      <c r="AF5261" s="1"/>
      <c r="AG5261" s="1"/>
      <c r="AH5261" s="1"/>
      <c r="AI5261" s="1"/>
      <c r="AJ5261" s="1"/>
      <c r="AK5261" s="1"/>
      <c r="AL5261" s="1"/>
      <c r="AM5261" s="1"/>
    </row>
    <row r="5262" spans="16:39" x14ac:dyDescent="0.25">
      <c r="P5262" s="49"/>
      <c r="Q5262" s="1"/>
      <c r="S5262" s="1"/>
      <c r="T5262" s="1"/>
      <c r="U5262" s="1"/>
      <c r="V5262" s="1"/>
      <c r="W5262" s="1"/>
      <c r="X5262" s="1"/>
      <c r="Y5262" s="1"/>
      <c r="AB5262" s="1"/>
      <c r="AC5262" s="1"/>
      <c r="AD5262" s="1"/>
      <c r="AE5262" s="1"/>
      <c r="AF5262" s="1"/>
      <c r="AG5262" s="1"/>
      <c r="AH5262" s="1"/>
      <c r="AI5262" s="1"/>
      <c r="AJ5262" s="1"/>
      <c r="AK5262" s="1"/>
      <c r="AL5262" s="1"/>
      <c r="AM5262" s="1"/>
    </row>
    <row r="5263" spans="16:39" x14ac:dyDescent="0.25">
      <c r="P5263" s="49"/>
      <c r="Q5263" s="1"/>
      <c r="S5263" s="1"/>
      <c r="T5263" s="1"/>
      <c r="U5263" s="1"/>
      <c r="V5263" s="1"/>
      <c r="W5263" s="1"/>
      <c r="X5263" s="1"/>
      <c r="Y5263" s="1"/>
      <c r="AB5263" s="1"/>
      <c r="AC5263" s="1"/>
      <c r="AD5263" s="1"/>
      <c r="AE5263" s="1"/>
      <c r="AF5263" s="1"/>
      <c r="AG5263" s="1"/>
      <c r="AH5263" s="1"/>
      <c r="AI5263" s="1"/>
      <c r="AJ5263" s="1"/>
      <c r="AK5263" s="1"/>
      <c r="AL5263" s="1"/>
      <c r="AM5263" s="1"/>
    </row>
    <row r="5264" spans="16:39" x14ac:dyDescent="0.25">
      <c r="P5264" s="49"/>
      <c r="Q5264" s="1"/>
      <c r="S5264" s="1"/>
      <c r="T5264" s="1"/>
      <c r="U5264" s="1"/>
      <c r="V5264" s="1"/>
      <c r="W5264" s="1"/>
      <c r="X5264" s="1"/>
      <c r="Y5264" s="1"/>
      <c r="AB5264" s="1"/>
      <c r="AC5264" s="1"/>
      <c r="AD5264" s="1"/>
      <c r="AE5264" s="1"/>
      <c r="AF5264" s="1"/>
      <c r="AG5264" s="1"/>
      <c r="AH5264" s="1"/>
      <c r="AI5264" s="1"/>
      <c r="AJ5264" s="1"/>
      <c r="AK5264" s="1"/>
      <c r="AL5264" s="1"/>
      <c r="AM5264" s="1"/>
    </row>
    <row r="5265" spans="16:39" x14ac:dyDescent="0.25">
      <c r="P5265" s="49"/>
      <c r="Q5265" s="1"/>
      <c r="S5265" s="1"/>
      <c r="T5265" s="1"/>
      <c r="U5265" s="1"/>
      <c r="V5265" s="1"/>
      <c r="W5265" s="1"/>
      <c r="X5265" s="1"/>
      <c r="Y5265" s="1"/>
      <c r="AB5265" s="1"/>
      <c r="AC5265" s="1"/>
      <c r="AD5265" s="1"/>
      <c r="AE5265" s="1"/>
      <c r="AF5265" s="1"/>
      <c r="AG5265" s="1"/>
      <c r="AH5265" s="1"/>
      <c r="AI5265" s="1"/>
      <c r="AJ5265" s="1"/>
      <c r="AK5265" s="1"/>
      <c r="AL5265" s="1"/>
      <c r="AM5265" s="1"/>
    </row>
    <row r="5266" spans="16:39" x14ac:dyDescent="0.25">
      <c r="P5266" s="49"/>
      <c r="Q5266" s="1"/>
      <c r="S5266" s="1"/>
      <c r="T5266" s="1"/>
      <c r="U5266" s="1"/>
      <c r="V5266" s="1"/>
      <c r="W5266" s="1"/>
      <c r="X5266" s="1"/>
      <c r="Y5266" s="1"/>
      <c r="AB5266" s="1"/>
      <c r="AC5266" s="1"/>
      <c r="AD5266" s="1"/>
      <c r="AE5266" s="1"/>
      <c r="AF5266" s="1"/>
      <c r="AG5266" s="1"/>
      <c r="AH5266" s="1"/>
      <c r="AI5266" s="1"/>
      <c r="AJ5266" s="1"/>
      <c r="AK5266" s="1"/>
      <c r="AL5266" s="1"/>
      <c r="AM5266" s="1"/>
    </row>
    <row r="5267" spans="16:39" x14ac:dyDescent="0.25">
      <c r="P5267" s="49"/>
      <c r="Q5267" s="1"/>
      <c r="S5267" s="1"/>
      <c r="T5267" s="1"/>
      <c r="U5267" s="1"/>
      <c r="V5267" s="1"/>
      <c r="W5267" s="1"/>
      <c r="X5267" s="1"/>
      <c r="Y5267" s="1"/>
      <c r="AB5267" s="1"/>
      <c r="AC5267" s="1"/>
      <c r="AD5267" s="1"/>
      <c r="AE5267" s="1"/>
      <c r="AF5267" s="1"/>
      <c r="AG5267" s="1"/>
      <c r="AH5267" s="1"/>
      <c r="AI5267" s="1"/>
      <c r="AJ5267" s="1"/>
      <c r="AK5267" s="1"/>
      <c r="AL5267" s="1"/>
      <c r="AM5267" s="1"/>
    </row>
    <row r="5268" spans="16:39" x14ac:dyDescent="0.25">
      <c r="P5268" s="49"/>
      <c r="Q5268" s="1"/>
      <c r="S5268" s="1"/>
      <c r="T5268" s="1"/>
      <c r="U5268" s="1"/>
      <c r="V5268" s="1"/>
      <c r="W5268" s="1"/>
      <c r="X5268" s="1"/>
      <c r="Y5268" s="1"/>
      <c r="AB5268" s="1"/>
      <c r="AC5268" s="1"/>
      <c r="AD5268" s="1"/>
      <c r="AE5268" s="1"/>
      <c r="AF5268" s="1"/>
      <c r="AG5268" s="1"/>
      <c r="AH5268" s="1"/>
      <c r="AI5268" s="1"/>
      <c r="AJ5268" s="1"/>
      <c r="AK5268" s="1"/>
      <c r="AL5268" s="1"/>
      <c r="AM5268" s="1"/>
    </row>
    <row r="5269" spans="16:39" x14ac:dyDescent="0.25">
      <c r="P5269" s="49"/>
      <c r="Q5269" s="1"/>
      <c r="S5269" s="1"/>
      <c r="T5269" s="1"/>
      <c r="U5269" s="1"/>
      <c r="V5269" s="1"/>
      <c r="W5269" s="1"/>
      <c r="X5269" s="1"/>
      <c r="Y5269" s="1"/>
      <c r="AB5269" s="1"/>
      <c r="AC5269" s="1"/>
      <c r="AD5269" s="1"/>
      <c r="AE5269" s="1"/>
      <c r="AF5269" s="1"/>
      <c r="AG5269" s="1"/>
      <c r="AH5269" s="1"/>
      <c r="AI5269" s="1"/>
      <c r="AJ5269" s="1"/>
      <c r="AK5269" s="1"/>
      <c r="AL5269" s="1"/>
      <c r="AM5269" s="1"/>
    </row>
    <row r="5270" spans="16:39" x14ac:dyDescent="0.25">
      <c r="P5270" s="49"/>
      <c r="Q5270" s="1"/>
      <c r="S5270" s="1"/>
      <c r="T5270" s="1"/>
      <c r="U5270" s="1"/>
      <c r="V5270" s="1"/>
      <c r="W5270" s="1"/>
      <c r="X5270" s="1"/>
      <c r="Y5270" s="1"/>
      <c r="AB5270" s="1"/>
      <c r="AC5270" s="1"/>
      <c r="AD5270" s="1"/>
      <c r="AE5270" s="1"/>
      <c r="AF5270" s="1"/>
      <c r="AG5270" s="1"/>
      <c r="AH5270" s="1"/>
      <c r="AI5270" s="1"/>
      <c r="AJ5270" s="1"/>
      <c r="AK5270" s="1"/>
      <c r="AL5270" s="1"/>
      <c r="AM5270" s="1"/>
    </row>
    <row r="5271" spans="16:39" x14ac:dyDescent="0.25">
      <c r="P5271" s="49"/>
      <c r="Q5271" s="1"/>
      <c r="S5271" s="1"/>
      <c r="T5271" s="1"/>
      <c r="U5271" s="1"/>
      <c r="V5271" s="1"/>
      <c r="W5271" s="1"/>
      <c r="X5271" s="1"/>
      <c r="Y5271" s="1"/>
      <c r="AB5271" s="1"/>
      <c r="AC5271" s="1"/>
      <c r="AD5271" s="1"/>
      <c r="AE5271" s="1"/>
      <c r="AF5271" s="1"/>
      <c r="AG5271" s="1"/>
      <c r="AH5271" s="1"/>
      <c r="AI5271" s="1"/>
      <c r="AJ5271" s="1"/>
      <c r="AK5271" s="1"/>
      <c r="AL5271" s="1"/>
      <c r="AM5271" s="1"/>
    </row>
    <row r="5272" spans="16:39" x14ac:dyDescent="0.25">
      <c r="P5272" s="49"/>
      <c r="Q5272" s="1"/>
      <c r="S5272" s="1"/>
      <c r="T5272" s="1"/>
      <c r="U5272" s="1"/>
      <c r="V5272" s="1"/>
      <c r="W5272" s="1"/>
      <c r="X5272" s="1"/>
      <c r="Y5272" s="1"/>
      <c r="AB5272" s="1"/>
      <c r="AC5272" s="1"/>
      <c r="AD5272" s="1"/>
      <c r="AE5272" s="1"/>
      <c r="AF5272" s="1"/>
      <c r="AG5272" s="1"/>
      <c r="AH5272" s="1"/>
      <c r="AI5272" s="1"/>
      <c r="AJ5272" s="1"/>
      <c r="AK5272" s="1"/>
      <c r="AL5272" s="1"/>
      <c r="AM5272" s="1"/>
    </row>
    <row r="5273" spans="16:39" x14ac:dyDescent="0.25">
      <c r="P5273" s="49"/>
      <c r="Q5273" s="1"/>
      <c r="S5273" s="1"/>
      <c r="T5273" s="1"/>
      <c r="U5273" s="1"/>
      <c r="V5273" s="1"/>
      <c r="W5273" s="1"/>
      <c r="X5273" s="1"/>
      <c r="Y5273" s="1"/>
      <c r="AB5273" s="1"/>
      <c r="AC5273" s="1"/>
      <c r="AD5273" s="1"/>
      <c r="AE5273" s="1"/>
      <c r="AF5273" s="1"/>
      <c r="AG5273" s="1"/>
      <c r="AH5273" s="1"/>
      <c r="AI5273" s="1"/>
      <c r="AJ5273" s="1"/>
      <c r="AK5273" s="1"/>
      <c r="AL5273" s="1"/>
      <c r="AM5273" s="1"/>
    </row>
    <row r="5274" spans="16:39" x14ac:dyDescent="0.25">
      <c r="P5274" s="49"/>
      <c r="Q5274" s="1"/>
      <c r="S5274" s="1"/>
      <c r="T5274" s="1"/>
      <c r="U5274" s="1"/>
      <c r="V5274" s="1"/>
      <c r="W5274" s="1"/>
      <c r="X5274" s="1"/>
      <c r="Y5274" s="1"/>
      <c r="AB5274" s="1"/>
      <c r="AC5274" s="1"/>
      <c r="AD5274" s="1"/>
      <c r="AE5274" s="1"/>
      <c r="AF5274" s="1"/>
      <c r="AG5274" s="1"/>
      <c r="AH5274" s="1"/>
      <c r="AI5274" s="1"/>
      <c r="AJ5274" s="1"/>
      <c r="AK5274" s="1"/>
      <c r="AL5274" s="1"/>
      <c r="AM5274" s="1"/>
    </row>
    <row r="5275" spans="16:39" x14ac:dyDescent="0.25">
      <c r="P5275" s="49"/>
      <c r="Q5275" s="1"/>
      <c r="S5275" s="1"/>
      <c r="T5275" s="1"/>
      <c r="U5275" s="1"/>
      <c r="V5275" s="1"/>
      <c r="W5275" s="1"/>
      <c r="X5275" s="1"/>
      <c r="Y5275" s="1"/>
      <c r="AB5275" s="1"/>
      <c r="AC5275" s="1"/>
      <c r="AD5275" s="1"/>
      <c r="AE5275" s="1"/>
      <c r="AF5275" s="1"/>
      <c r="AG5275" s="1"/>
      <c r="AH5275" s="1"/>
      <c r="AI5275" s="1"/>
      <c r="AJ5275" s="1"/>
      <c r="AK5275" s="1"/>
      <c r="AL5275" s="1"/>
      <c r="AM5275" s="1"/>
    </row>
    <row r="5276" spans="16:39" x14ac:dyDescent="0.25">
      <c r="P5276" s="49"/>
      <c r="Q5276" s="1"/>
      <c r="S5276" s="1"/>
      <c r="T5276" s="1"/>
      <c r="U5276" s="1"/>
      <c r="V5276" s="1"/>
      <c r="W5276" s="1"/>
      <c r="X5276" s="1"/>
      <c r="Y5276" s="1"/>
      <c r="AB5276" s="1"/>
      <c r="AC5276" s="1"/>
      <c r="AD5276" s="1"/>
      <c r="AE5276" s="1"/>
      <c r="AF5276" s="1"/>
      <c r="AG5276" s="1"/>
      <c r="AH5276" s="1"/>
      <c r="AI5276" s="1"/>
      <c r="AJ5276" s="1"/>
      <c r="AK5276" s="1"/>
      <c r="AL5276" s="1"/>
      <c r="AM5276" s="1"/>
    </row>
    <row r="5277" spans="16:39" x14ac:dyDescent="0.25">
      <c r="P5277" s="49"/>
      <c r="Q5277" s="1"/>
      <c r="S5277" s="1"/>
      <c r="T5277" s="1"/>
      <c r="U5277" s="1"/>
      <c r="V5277" s="1"/>
      <c r="W5277" s="1"/>
      <c r="X5277" s="1"/>
      <c r="Y5277" s="1"/>
      <c r="AB5277" s="1"/>
      <c r="AC5277" s="1"/>
      <c r="AD5277" s="1"/>
      <c r="AE5277" s="1"/>
      <c r="AF5277" s="1"/>
      <c r="AG5277" s="1"/>
      <c r="AH5277" s="1"/>
      <c r="AI5277" s="1"/>
      <c r="AJ5277" s="1"/>
      <c r="AK5277" s="1"/>
      <c r="AL5277" s="1"/>
      <c r="AM5277" s="1"/>
    </row>
    <row r="5278" spans="16:39" x14ac:dyDescent="0.25">
      <c r="P5278" s="49"/>
      <c r="Q5278" s="1"/>
      <c r="S5278" s="1"/>
      <c r="T5278" s="1"/>
      <c r="U5278" s="1"/>
      <c r="V5278" s="1"/>
      <c r="W5278" s="1"/>
      <c r="X5278" s="1"/>
      <c r="Y5278" s="1"/>
      <c r="AB5278" s="1"/>
      <c r="AC5278" s="1"/>
      <c r="AD5278" s="1"/>
      <c r="AE5278" s="1"/>
      <c r="AF5278" s="1"/>
      <c r="AG5278" s="1"/>
      <c r="AH5278" s="1"/>
      <c r="AI5278" s="1"/>
      <c r="AJ5278" s="1"/>
      <c r="AK5278" s="1"/>
      <c r="AL5278" s="1"/>
      <c r="AM5278" s="1"/>
    </row>
    <row r="5279" spans="16:39" x14ac:dyDescent="0.25">
      <c r="P5279" s="49"/>
      <c r="Q5279" s="1"/>
      <c r="S5279" s="1"/>
      <c r="T5279" s="1"/>
      <c r="U5279" s="1"/>
      <c r="V5279" s="1"/>
      <c r="W5279" s="1"/>
      <c r="X5279" s="1"/>
      <c r="Y5279" s="1"/>
      <c r="AB5279" s="1"/>
      <c r="AC5279" s="1"/>
      <c r="AD5279" s="1"/>
      <c r="AE5279" s="1"/>
      <c r="AF5279" s="1"/>
      <c r="AG5279" s="1"/>
      <c r="AH5279" s="1"/>
      <c r="AI5279" s="1"/>
      <c r="AJ5279" s="1"/>
      <c r="AK5279" s="1"/>
      <c r="AL5279" s="1"/>
      <c r="AM5279" s="1"/>
    </row>
    <row r="5280" spans="16:39" x14ac:dyDescent="0.25">
      <c r="P5280" s="49"/>
      <c r="Q5280" s="1"/>
      <c r="S5280" s="1"/>
      <c r="T5280" s="1"/>
      <c r="U5280" s="1"/>
      <c r="V5280" s="1"/>
      <c r="W5280" s="1"/>
      <c r="X5280" s="1"/>
      <c r="Y5280" s="1"/>
      <c r="AB5280" s="1"/>
      <c r="AC5280" s="1"/>
      <c r="AD5280" s="1"/>
      <c r="AE5280" s="1"/>
      <c r="AF5280" s="1"/>
      <c r="AG5280" s="1"/>
      <c r="AH5280" s="1"/>
      <c r="AI5280" s="1"/>
      <c r="AJ5280" s="1"/>
      <c r="AK5280" s="1"/>
      <c r="AL5280" s="1"/>
      <c r="AM5280" s="1"/>
    </row>
    <row r="5281" spans="16:39" x14ac:dyDescent="0.25">
      <c r="P5281" s="49"/>
      <c r="Q5281" s="1"/>
      <c r="S5281" s="1"/>
      <c r="T5281" s="1"/>
      <c r="U5281" s="1"/>
      <c r="V5281" s="1"/>
      <c r="W5281" s="1"/>
      <c r="X5281" s="1"/>
      <c r="Y5281" s="1"/>
      <c r="AB5281" s="1"/>
      <c r="AC5281" s="1"/>
      <c r="AD5281" s="1"/>
      <c r="AE5281" s="1"/>
      <c r="AF5281" s="1"/>
      <c r="AG5281" s="1"/>
      <c r="AH5281" s="1"/>
      <c r="AI5281" s="1"/>
      <c r="AJ5281" s="1"/>
      <c r="AK5281" s="1"/>
      <c r="AL5281" s="1"/>
      <c r="AM5281" s="1"/>
    </row>
    <row r="5282" spans="16:39" x14ac:dyDescent="0.25">
      <c r="P5282" s="49"/>
      <c r="Q5282" s="1"/>
      <c r="S5282" s="1"/>
      <c r="T5282" s="1"/>
      <c r="U5282" s="1"/>
      <c r="V5282" s="1"/>
      <c r="W5282" s="1"/>
      <c r="X5282" s="1"/>
      <c r="Y5282" s="1"/>
      <c r="AB5282" s="1"/>
      <c r="AC5282" s="1"/>
      <c r="AD5282" s="1"/>
      <c r="AE5282" s="1"/>
      <c r="AF5282" s="1"/>
      <c r="AG5282" s="1"/>
      <c r="AH5282" s="1"/>
      <c r="AI5282" s="1"/>
      <c r="AJ5282" s="1"/>
      <c r="AK5282" s="1"/>
      <c r="AL5282" s="1"/>
      <c r="AM5282" s="1"/>
    </row>
    <row r="5283" spans="16:39" x14ac:dyDescent="0.25">
      <c r="P5283" s="49"/>
      <c r="Q5283" s="1"/>
      <c r="S5283" s="1"/>
      <c r="T5283" s="1"/>
      <c r="U5283" s="1"/>
      <c r="V5283" s="1"/>
      <c r="W5283" s="1"/>
      <c r="X5283" s="1"/>
      <c r="Y5283" s="1"/>
      <c r="AB5283" s="1"/>
      <c r="AC5283" s="1"/>
      <c r="AD5283" s="1"/>
      <c r="AE5283" s="1"/>
      <c r="AF5283" s="1"/>
      <c r="AG5283" s="1"/>
      <c r="AH5283" s="1"/>
      <c r="AI5283" s="1"/>
      <c r="AJ5283" s="1"/>
      <c r="AK5283" s="1"/>
      <c r="AL5283" s="1"/>
      <c r="AM5283" s="1"/>
    </row>
    <row r="5284" spans="16:39" x14ac:dyDescent="0.25">
      <c r="P5284" s="49"/>
      <c r="Q5284" s="1"/>
      <c r="S5284" s="1"/>
      <c r="T5284" s="1"/>
      <c r="U5284" s="1"/>
      <c r="V5284" s="1"/>
      <c r="W5284" s="1"/>
      <c r="X5284" s="1"/>
      <c r="Y5284" s="1"/>
      <c r="AB5284" s="1"/>
      <c r="AC5284" s="1"/>
      <c r="AD5284" s="1"/>
      <c r="AE5284" s="1"/>
      <c r="AF5284" s="1"/>
      <c r="AG5284" s="1"/>
      <c r="AH5284" s="1"/>
      <c r="AI5284" s="1"/>
      <c r="AJ5284" s="1"/>
      <c r="AK5284" s="1"/>
      <c r="AL5284" s="1"/>
      <c r="AM5284" s="1"/>
    </row>
    <row r="5285" spans="16:39" x14ac:dyDescent="0.25">
      <c r="P5285" s="49"/>
      <c r="Q5285" s="1"/>
      <c r="S5285" s="1"/>
      <c r="T5285" s="1"/>
      <c r="U5285" s="1"/>
      <c r="V5285" s="1"/>
      <c r="W5285" s="1"/>
      <c r="X5285" s="1"/>
      <c r="Y5285" s="1"/>
      <c r="AB5285" s="1"/>
      <c r="AC5285" s="1"/>
      <c r="AD5285" s="1"/>
      <c r="AE5285" s="1"/>
      <c r="AF5285" s="1"/>
      <c r="AG5285" s="1"/>
      <c r="AH5285" s="1"/>
      <c r="AI5285" s="1"/>
      <c r="AJ5285" s="1"/>
      <c r="AK5285" s="1"/>
      <c r="AL5285" s="1"/>
      <c r="AM5285" s="1"/>
    </row>
    <row r="5286" spans="16:39" x14ac:dyDescent="0.25">
      <c r="P5286" s="49"/>
      <c r="Q5286" s="1"/>
      <c r="S5286" s="1"/>
      <c r="T5286" s="1"/>
      <c r="U5286" s="1"/>
      <c r="V5286" s="1"/>
      <c r="W5286" s="1"/>
      <c r="X5286" s="1"/>
      <c r="Y5286" s="1"/>
      <c r="AB5286" s="1"/>
      <c r="AC5286" s="1"/>
      <c r="AD5286" s="1"/>
      <c r="AE5286" s="1"/>
      <c r="AF5286" s="1"/>
      <c r="AG5286" s="1"/>
      <c r="AH5286" s="1"/>
      <c r="AI5286" s="1"/>
      <c r="AJ5286" s="1"/>
      <c r="AK5286" s="1"/>
      <c r="AL5286" s="1"/>
      <c r="AM5286" s="1"/>
    </row>
    <row r="5287" spans="16:39" x14ac:dyDescent="0.25">
      <c r="P5287" s="49"/>
      <c r="Q5287" s="1"/>
      <c r="S5287" s="1"/>
      <c r="T5287" s="1"/>
      <c r="U5287" s="1"/>
      <c r="V5287" s="1"/>
      <c r="W5287" s="1"/>
      <c r="X5287" s="1"/>
      <c r="Y5287" s="1"/>
      <c r="AB5287" s="1"/>
      <c r="AC5287" s="1"/>
      <c r="AD5287" s="1"/>
      <c r="AE5287" s="1"/>
      <c r="AF5287" s="1"/>
      <c r="AG5287" s="1"/>
      <c r="AH5287" s="1"/>
      <c r="AI5287" s="1"/>
      <c r="AJ5287" s="1"/>
      <c r="AK5287" s="1"/>
      <c r="AL5287" s="1"/>
      <c r="AM5287" s="1"/>
    </row>
    <row r="5288" spans="16:39" x14ac:dyDescent="0.25">
      <c r="P5288" s="49"/>
      <c r="Q5288" s="1"/>
      <c r="S5288" s="1"/>
      <c r="T5288" s="1"/>
      <c r="U5288" s="1"/>
      <c r="V5288" s="1"/>
      <c r="W5288" s="1"/>
      <c r="X5288" s="1"/>
      <c r="Y5288" s="1"/>
      <c r="AB5288" s="1"/>
      <c r="AC5288" s="1"/>
      <c r="AD5288" s="1"/>
      <c r="AE5288" s="1"/>
      <c r="AF5288" s="1"/>
      <c r="AG5288" s="1"/>
      <c r="AH5288" s="1"/>
      <c r="AI5288" s="1"/>
      <c r="AJ5288" s="1"/>
      <c r="AK5288" s="1"/>
      <c r="AL5288" s="1"/>
      <c r="AM5288" s="1"/>
    </row>
    <row r="5289" spans="16:39" x14ac:dyDescent="0.25">
      <c r="P5289" s="49"/>
      <c r="Q5289" s="1"/>
      <c r="S5289" s="1"/>
      <c r="T5289" s="1"/>
      <c r="U5289" s="1"/>
      <c r="V5289" s="1"/>
      <c r="W5289" s="1"/>
      <c r="X5289" s="1"/>
      <c r="Y5289" s="1"/>
      <c r="AB5289" s="1"/>
      <c r="AC5289" s="1"/>
      <c r="AD5289" s="1"/>
      <c r="AE5289" s="1"/>
      <c r="AF5289" s="1"/>
      <c r="AG5289" s="1"/>
      <c r="AH5289" s="1"/>
      <c r="AI5289" s="1"/>
      <c r="AJ5289" s="1"/>
      <c r="AK5289" s="1"/>
      <c r="AL5289" s="1"/>
      <c r="AM5289" s="1"/>
    </row>
    <row r="5290" spans="16:39" x14ac:dyDescent="0.25">
      <c r="P5290" s="49"/>
      <c r="Q5290" s="1"/>
      <c r="S5290" s="1"/>
      <c r="T5290" s="1"/>
      <c r="U5290" s="1"/>
      <c r="V5290" s="1"/>
      <c r="W5290" s="1"/>
      <c r="X5290" s="1"/>
      <c r="Y5290" s="1"/>
      <c r="AB5290" s="1"/>
      <c r="AC5290" s="1"/>
      <c r="AD5290" s="1"/>
      <c r="AE5290" s="1"/>
      <c r="AF5290" s="1"/>
      <c r="AG5290" s="1"/>
      <c r="AH5290" s="1"/>
      <c r="AI5290" s="1"/>
      <c r="AJ5290" s="1"/>
      <c r="AK5290" s="1"/>
      <c r="AL5290" s="1"/>
      <c r="AM5290" s="1"/>
    </row>
    <row r="5291" spans="16:39" x14ac:dyDescent="0.25">
      <c r="P5291" s="49"/>
      <c r="Q5291" s="1"/>
      <c r="S5291" s="1"/>
      <c r="T5291" s="1"/>
      <c r="U5291" s="1"/>
      <c r="V5291" s="1"/>
      <c r="W5291" s="1"/>
      <c r="X5291" s="1"/>
      <c r="Y5291" s="1"/>
      <c r="AB5291" s="1"/>
      <c r="AC5291" s="1"/>
      <c r="AD5291" s="1"/>
      <c r="AE5291" s="1"/>
      <c r="AF5291" s="1"/>
      <c r="AG5291" s="1"/>
      <c r="AH5291" s="1"/>
      <c r="AI5291" s="1"/>
      <c r="AJ5291" s="1"/>
      <c r="AK5291" s="1"/>
      <c r="AL5291" s="1"/>
      <c r="AM5291" s="1"/>
    </row>
    <row r="5292" spans="16:39" x14ac:dyDescent="0.25">
      <c r="P5292" s="49"/>
      <c r="Q5292" s="1"/>
      <c r="S5292" s="1"/>
      <c r="T5292" s="1"/>
      <c r="U5292" s="1"/>
      <c r="V5292" s="1"/>
      <c r="W5292" s="1"/>
      <c r="X5292" s="1"/>
      <c r="Y5292" s="1"/>
      <c r="AB5292" s="1"/>
      <c r="AC5292" s="1"/>
      <c r="AD5292" s="1"/>
      <c r="AE5292" s="1"/>
      <c r="AF5292" s="1"/>
      <c r="AG5292" s="1"/>
      <c r="AH5292" s="1"/>
      <c r="AI5292" s="1"/>
      <c r="AJ5292" s="1"/>
      <c r="AK5292" s="1"/>
      <c r="AL5292" s="1"/>
      <c r="AM5292" s="1"/>
    </row>
    <row r="5293" spans="16:39" x14ac:dyDescent="0.25">
      <c r="P5293" s="49"/>
      <c r="Q5293" s="1"/>
      <c r="S5293" s="1"/>
      <c r="T5293" s="1"/>
      <c r="U5293" s="1"/>
      <c r="V5293" s="1"/>
      <c r="W5293" s="1"/>
      <c r="X5293" s="1"/>
      <c r="Y5293" s="1"/>
      <c r="AB5293" s="1"/>
      <c r="AC5293" s="1"/>
      <c r="AD5293" s="1"/>
      <c r="AE5293" s="1"/>
      <c r="AF5293" s="1"/>
      <c r="AG5293" s="1"/>
      <c r="AH5293" s="1"/>
      <c r="AI5293" s="1"/>
      <c r="AJ5293" s="1"/>
      <c r="AK5293" s="1"/>
      <c r="AL5293" s="1"/>
      <c r="AM5293" s="1"/>
    </row>
    <row r="5294" spans="16:39" x14ac:dyDescent="0.25">
      <c r="P5294" s="49"/>
      <c r="Q5294" s="1"/>
      <c r="S5294" s="1"/>
      <c r="T5294" s="1"/>
      <c r="U5294" s="1"/>
      <c r="V5294" s="1"/>
      <c r="W5294" s="1"/>
      <c r="X5294" s="1"/>
      <c r="Y5294" s="1"/>
      <c r="AB5294" s="1"/>
      <c r="AC5294" s="1"/>
      <c r="AD5294" s="1"/>
      <c r="AE5294" s="1"/>
      <c r="AF5294" s="1"/>
      <c r="AG5294" s="1"/>
      <c r="AH5294" s="1"/>
      <c r="AI5294" s="1"/>
      <c r="AJ5294" s="1"/>
      <c r="AK5294" s="1"/>
      <c r="AL5294" s="1"/>
      <c r="AM5294" s="1"/>
    </row>
    <row r="5295" spans="16:39" x14ac:dyDescent="0.25">
      <c r="P5295" s="49"/>
      <c r="Q5295" s="1"/>
      <c r="S5295" s="1"/>
      <c r="T5295" s="1"/>
      <c r="U5295" s="1"/>
      <c r="V5295" s="1"/>
      <c r="W5295" s="1"/>
      <c r="X5295" s="1"/>
      <c r="Y5295" s="1"/>
      <c r="AB5295" s="1"/>
      <c r="AC5295" s="1"/>
      <c r="AD5295" s="1"/>
      <c r="AE5295" s="1"/>
      <c r="AF5295" s="1"/>
      <c r="AG5295" s="1"/>
      <c r="AH5295" s="1"/>
      <c r="AI5295" s="1"/>
      <c r="AJ5295" s="1"/>
      <c r="AK5295" s="1"/>
      <c r="AL5295" s="1"/>
      <c r="AM5295" s="1"/>
    </row>
    <row r="5296" spans="16:39" x14ac:dyDescent="0.25">
      <c r="P5296" s="49"/>
      <c r="Q5296" s="1"/>
      <c r="S5296" s="1"/>
      <c r="T5296" s="1"/>
      <c r="U5296" s="1"/>
      <c r="V5296" s="1"/>
      <c r="W5296" s="1"/>
      <c r="X5296" s="1"/>
      <c r="Y5296" s="1"/>
      <c r="AB5296" s="1"/>
      <c r="AC5296" s="1"/>
      <c r="AD5296" s="1"/>
      <c r="AE5296" s="1"/>
      <c r="AF5296" s="1"/>
      <c r="AG5296" s="1"/>
      <c r="AH5296" s="1"/>
      <c r="AI5296" s="1"/>
      <c r="AJ5296" s="1"/>
      <c r="AK5296" s="1"/>
      <c r="AL5296" s="1"/>
      <c r="AM5296" s="1"/>
    </row>
    <row r="5297" spans="16:39" x14ac:dyDescent="0.25">
      <c r="P5297" s="49"/>
      <c r="Q5297" s="1"/>
      <c r="S5297" s="1"/>
      <c r="T5297" s="1"/>
      <c r="U5297" s="1"/>
      <c r="V5297" s="1"/>
      <c r="W5297" s="1"/>
      <c r="X5297" s="1"/>
      <c r="Y5297" s="1"/>
      <c r="AB5297" s="1"/>
      <c r="AC5297" s="1"/>
      <c r="AD5297" s="1"/>
      <c r="AE5297" s="1"/>
      <c r="AF5297" s="1"/>
      <c r="AG5297" s="1"/>
      <c r="AH5297" s="1"/>
      <c r="AI5297" s="1"/>
      <c r="AJ5297" s="1"/>
      <c r="AK5297" s="1"/>
      <c r="AL5297" s="1"/>
      <c r="AM5297" s="1"/>
    </row>
    <row r="5298" spans="16:39" x14ac:dyDescent="0.25">
      <c r="P5298" s="49"/>
      <c r="Q5298" s="1"/>
      <c r="S5298" s="1"/>
      <c r="T5298" s="1"/>
      <c r="U5298" s="1"/>
      <c r="V5298" s="1"/>
      <c r="W5298" s="1"/>
      <c r="X5298" s="1"/>
      <c r="Y5298" s="1"/>
      <c r="AB5298" s="1"/>
      <c r="AC5298" s="1"/>
      <c r="AD5298" s="1"/>
      <c r="AE5298" s="1"/>
      <c r="AF5298" s="1"/>
      <c r="AG5298" s="1"/>
      <c r="AH5298" s="1"/>
      <c r="AI5298" s="1"/>
      <c r="AJ5298" s="1"/>
      <c r="AK5298" s="1"/>
      <c r="AL5298" s="1"/>
      <c r="AM5298" s="1"/>
    </row>
    <row r="5299" spans="16:39" x14ac:dyDescent="0.25">
      <c r="P5299" s="49"/>
      <c r="Q5299" s="1"/>
      <c r="S5299" s="1"/>
      <c r="T5299" s="1"/>
      <c r="U5299" s="1"/>
      <c r="V5299" s="1"/>
      <c r="W5299" s="1"/>
      <c r="X5299" s="1"/>
      <c r="Y5299" s="1"/>
      <c r="AB5299" s="1"/>
      <c r="AC5299" s="1"/>
      <c r="AD5299" s="1"/>
      <c r="AE5299" s="1"/>
      <c r="AF5299" s="1"/>
      <c r="AG5299" s="1"/>
      <c r="AH5299" s="1"/>
      <c r="AI5299" s="1"/>
      <c r="AJ5299" s="1"/>
      <c r="AK5299" s="1"/>
      <c r="AL5299" s="1"/>
      <c r="AM5299" s="1"/>
    </row>
    <row r="5300" spans="16:39" x14ac:dyDescent="0.25">
      <c r="P5300" s="49"/>
      <c r="Q5300" s="1"/>
      <c r="S5300" s="1"/>
      <c r="T5300" s="1"/>
      <c r="U5300" s="1"/>
      <c r="V5300" s="1"/>
      <c r="W5300" s="1"/>
      <c r="X5300" s="1"/>
      <c r="Y5300" s="1"/>
      <c r="AB5300" s="1"/>
      <c r="AC5300" s="1"/>
      <c r="AD5300" s="1"/>
      <c r="AE5300" s="1"/>
      <c r="AF5300" s="1"/>
      <c r="AG5300" s="1"/>
      <c r="AH5300" s="1"/>
      <c r="AI5300" s="1"/>
      <c r="AJ5300" s="1"/>
      <c r="AK5300" s="1"/>
      <c r="AL5300" s="1"/>
      <c r="AM5300" s="1"/>
    </row>
    <row r="5301" spans="16:39" x14ac:dyDescent="0.25">
      <c r="P5301" s="49"/>
      <c r="Q5301" s="1"/>
      <c r="S5301" s="1"/>
      <c r="T5301" s="1"/>
      <c r="U5301" s="1"/>
      <c r="V5301" s="1"/>
      <c r="W5301" s="1"/>
      <c r="X5301" s="1"/>
      <c r="Y5301" s="1"/>
      <c r="AB5301" s="1"/>
      <c r="AC5301" s="1"/>
      <c r="AD5301" s="1"/>
      <c r="AE5301" s="1"/>
      <c r="AF5301" s="1"/>
      <c r="AG5301" s="1"/>
      <c r="AH5301" s="1"/>
      <c r="AI5301" s="1"/>
      <c r="AJ5301" s="1"/>
      <c r="AK5301" s="1"/>
      <c r="AL5301" s="1"/>
      <c r="AM5301" s="1"/>
    </row>
    <row r="5302" spans="16:39" x14ac:dyDescent="0.25">
      <c r="P5302" s="49"/>
      <c r="Q5302" s="1"/>
      <c r="S5302" s="1"/>
      <c r="T5302" s="1"/>
      <c r="U5302" s="1"/>
      <c r="V5302" s="1"/>
      <c r="W5302" s="1"/>
      <c r="X5302" s="1"/>
      <c r="Y5302" s="1"/>
      <c r="AB5302" s="1"/>
      <c r="AC5302" s="1"/>
      <c r="AD5302" s="1"/>
      <c r="AE5302" s="1"/>
      <c r="AF5302" s="1"/>
      <c r="AG5302" s="1"/>
      <c r="AH5302" s="1"/>
      <c r="AI5302" s="1"/>
      <c r="AJ5302" s="1"/>
      <c r="AK5302" s="1"/>
      <c r="AL5302" s="1"/>
      <c r="AM5302" s="1"/>
    </row>
    <row r="5303" spans="16:39" x14ac:dyDescent="0.25">
      <c r="P5303" s="49"/>
      <c r="Q5303" s="1"/>
      <c r="S5303" s="1"/>
      <c r="T5303" s="1"/>
      <c r="U5303" s="1"/>
      <c r="V5303" s="1"/>
      <c r="W5303" s="1"/>
      <c r="X5303" s="1"/>
      <c r="Y5303" s="1"/>
      <c r="AB5303" s="1"/>
      <c r="AC5303" s="1"/>
      <c r="AD5303" s="1"/>
      <c r="AE5303" s="1"/>
      <c r="AF5303" s="1"/>
      <c r="AG5303" s="1"/>
      <c r="AH5303" s="1"/>
      <c r="AI5303" s="1"/>
      <c r="AJ5303" s="1"/>
      <c r="AK5303" s="1"/>
      <c r="AL5303" s="1"/>
      <c r="AM5303" s="1"/>
    </row>
    <row r="5304" spans="16:39" x14ac:dyDescent="0.25">
      <c r="P5304" s="49"/>
      <c r="Q5304" s="1"/>
      <c r="S5304" s="1"/>
      <c r="T5304" s="1"/>
      <c r="U5304" s="1"/>
      <c r="V5304" s="1"/>
      <c r="W5304" s="1"/>
      <c r="X5304" s="1"/>
      <c r="Y5304" s="1"/>
      <c r="AB5304" s="1"/>
      <c r="AC5304" s="1"/>
      <c r="AD5304" s="1"/>
      <c r="AE5304" s="1"/>
      <c r="AF5304" s="1"/>
      <c r="AG5304" s="1"/>
      <c r="AH5304" s="1"/>
      <c r="AI5304" s="1"/>
      <c r="AJ5304" s="1"/>
      <c r="AK5304" s="1"/>
      <c r="AL5304" s="1"/>
      <c r="AM5304" s="1"/>
    </row>
    <row r="5305" spans="16:39" x14ac:dyDescent="0.25">
      <c r="P5305" s="49"/>
      <c r="Q5305" s="1"/>
      <c r="S5305" s="1"/>
      <c r="T5305" s="1"/>
      <c r="U5305" s="1"/>
      <c r="V5305" s="1"/>
      <c r="W5305" s="1"/>
      <c r="X5305" s="1"/>
      <c r="Y5305" s="1"/>
      <c r="AB5305" s="1"/>
      <c r="AC5305" s="1"/>
      <c r="AD5305" s="1"/>
      <c r="AE5305" s="1"/>
      <c r="AF5305" s="1"/>
      <c r="AG5305" s="1"/>
      <c r="AH5305" s="1"/>
      <c r="AI5305" s="1"/>
      <c r="AJ5305" s="1"/>
      <c r="AK5305" s="1"/>
      <c r="AL5305" s="1"/>
      <c r="AM5305" s="1"/>
    </row>
    <row r="5306" spans="16:39" x14ac:dyDescent="0.25">
      <c r="P5306" s="49"/>
      <c r="Q5306" s="1"/>
      <c r="S5306" s="1"/>
      <c r="T5306" s="1"/>
      <c r="U5306" s="1"/>
      <c r="V5306" s="1"/>
      <c r="W5306" s="1"/>
      <c r="X5306" s="1"/>
      <c r="Y5306" s="1"/>
      <c r="AB5306" s="1"/>
      <c r="AC5306" s="1"/>
      <c r="AD5306" s="1"/>
      <c r="AE5306" s="1"/>
      <c r="AF5306" s="1"/>
      <c r="AG5306" s="1"/>
      <c r="AH5306" s="1"/>
      <c r="AI5306" s="1"/>
      <c r="AJ5306" s="1"/>
      <c r="AK5306" s="1"/>
      <c r="AL5306" s="1"/>
      <c r="AM5306" s="1"/>
    </row>
    <row r="5307" spans="16:39" x14ac:dyDescent="0.25">
      <c r="P5307" s="49"/>
      <c r="Q5307" s="1"/>
      <c r="S5307" s="1"/>
      <c r="T5307" s="1"/>
      <c r="U5307" s="1"/>
      <c r="V5307" s="1"/>
      <c r="W5307" s="1"/>
      <c r="X5307" s="1"/>
      <c r="Y5307" s="1"/>
      <c r="AB5307" s="1"/>
      <c r="AC5307" s="1"/>
      <c r="AD5307" s="1"/>
      <c r="AE5307" s="1"/>
      <c r="AF5307" s="1"/>
      <c r="AG5307" s="1"/>
      <c r="AH5307" s="1"/>
      <c r="AI5307" s="1"/>
      <c r="AJ5307" s="1"/>
      <c r="AK5307" s="1"/>
      <c r="AL5307" s="1"/>
      <c r="AM5307" s="1"/>
    </row>
    <row r="5308" spans="16:39" x14ac:dyDescent="0.25">
      <c r="P5308" s="49"/>
      <c r="Q5308" s="1"/>
      <c r="S5308" s="1"/>
      <c r="T5308" s="1"/>
      <c r="U5308" s="1"/>
      <c r="V5308" s="1"/>
      <c r="W5308" s="1"/>
      <c r="X5308" s="1"/>
      <c r="Y5308" s="1"/>
      <c r="AB5308" s="1"/>
      <c r="AC5308" s="1"/>
      <c r="AD5308" s="1"/>
      <c r="AE5308" s="1"/>
      <c r="AF5308" s="1"/>
      <c r="AG5308" s="1"/>
      <c r="AH5308" s="1"/>
      <c r="AI5308" s="1"/>
      <c r="AJ5308" s="1"/>
      <c r="AK5308" s="1"/>
      <c r="AL5308" s="1"/>
      <c r="AM5308" s="1"/>
    </row>
    <row r="5309" spans="16:39" x14ac:dyDescent="0.25">
      <c r="P5309" s="49"/>
      <c r="Q5309" s="1"/>
      <c r="S5309" s="1"/>
      <c r="T5309" s="1"/>
      <c r="U5309" s="1"/>
      <c r="V5309" s="1"/>
      <c r="W5309" s="1"/>
      <c r="X5309" s="1"/>
      <c r="Y5309" s="1"/>
      <c r="AB5309" s="1"/>
      <c r="AC5309" s="1"/>
      <c r="AD5309" s="1"/>
      <c r="AE5309" s="1"/>
      <c r="AF5309" s="1"/>
      <c r="AG5309" s="1"/>
      <c r="AH5309" s="1"/>
      <c r="AI5309" s="1"/>
      <c r="AJ5309" s="1"/>
      <c r="AK5309" s="1"/>
      <c r="AL5309" s="1"/>
      <c r="AM5309" s="1"/>
    </row>
    <row r="5310" spans="16:39" x14ac:dyDescent="0.25">
      <c r="P5310" s="49"/>
      <c r="Q5310" s="1"/>
      <c r="S5310" s="1"/>
      <c r="T5310" s="1"/>
      <c r="U5310" s="1"/>
      <c r="V5310" s="1"/>
      <c r="W5310" s="1"/>
      <c r="X5310" s="1"/>
      <c r="Y5310" s="1"/>
      <c r="AB5310" s="1"/>
      <c r="AC5310" s="1"/>
      <c r="AD5310" s="1"/>
      <c r="AE5310" s="1"/>
      <c r="AF5310" s="1"/>
      <c r="AG5310" s="1"/>
      <c r="AH5310" s="1"/>
      <c r="AI5310" s="1"/>
      <c r="AJ5310" s="1"/>
      <c r="AK5310" s="1"/>
      <c r="AL5310" s="1"/>
      <c r="AM5310" s="1"/>
    </row>
    <row r="5311" spans="16:39" x14ac:dyDescent="0.25">
      <c r="P5311" s="49"/>
      <c r="Q5311" s="1"/>
      <c r="S5311" s="1"/>
      <c r="T5311" s="1"/>
      <c r="U5311" s="1"/>
      <c r="V5311" s="1"/>
      <c r="W5311" s="1"/>
      <c r="X5311" s="1"/>
      <c r="Y5311" s="1"/>
      <c r="AB5311" s="1"/>
      <c r="AC5311" s="1"/>
      <c r="AD5311" s="1"/>
      <c r="AE5311" s="1"/>
      <c r="AF5311" s="1"/>
      <c r="AG5311" s="1"/>
      <c r="AH5311" s="1"/>
      <c r="AI5311" s="1"/>
      <c r="AJ5311" s="1"/>
      <c r="AK5311" s="1"/>
      <c r="AL5311" s="1"/>
      <c r="AM5311" s="1"/>
    </row>
    <row r="5312" spans="16:39" x14ac:dyDescent="0.25">
      <c r="P5312" s="49"/>
      <c r="Q5312" s="1"/>
      <c r="S5312" s="1"/>
      <c r="T5312" s="1"/>
      <c r="U5312" s="1"/>
      <c r="V5312" s="1"/>
      <c r="W5312" s="1"/>
      <c r="X5312" s="1"/>
      <c r="Y5312" s="1"/>
      <c r="AB5312" s="1"/>
      <c r="AC5312" s="1"/>
      <c r="AD5312" s="1"/>
      <c r="AE5312" s="1"/>
      <c r="AF5312" s="1"/>
      <c r="AG5312" s="1"/>
      <c r="AH5312" s="1"/>
      <c r="AI5312" s="1"/>
      <c r="AJ5312" s="1"/>
      <c r="AK5312" s="1"/>
      <c r="AL5312" s="1"/>
      <c r="AM5312" s="1"/>
    </row>
    <row r="5313" spans="16:39" x14ac:dyDescent="0.25">
      <c r="P5313" s="49"/>
      <c r="Q5313" s="1"/>
      <c r="S5313" s="1"/>
      <c r="T5313" s="1"/>
      <c r="U5313" s="1"/>
      <c r="V5313" s="1"/>
      <c r="W5313" s="1"/>
      <c r="X5313" s="1"/>
      <c r="Y5313" s="1"/>
      <c r="AB5313" s="1"/>
      <c r="AC5313" s="1"/>
      <c r="AD5313" s="1"/>
      <c r="AE5313" s="1"/>
      <c r="AF5313" s="1"/>
      <c r="AG5313" s="1"/>
      <c r="AH5313" s="1"/>
      <c r="AI5313" s="1"/>
      <c r="AJ5313" s="1"/>
      <c r="AK5313" s="1"/>
      <c r="AL5313" s="1"/>
      <c r="AM5313" s="1"/>
    </row>
    <row r="5314" spans="16:39" x14ac:dyDescent="0.25">
      <c r="P5314" s="49"/>
      <c r="Q5314" s="1"/>
      <c r="S5314" s="1"/>
      <c r="T5314" s="1"/>
      <c r="U5314" s="1"/>
      <c r="V5314" s="1"/>
      <c r="W5314" s="1"/>
      <c r="X5314" s="1"/>
      <c r="Y5314" s="1"/>
      <c r="AB5314" s="1"/>
      <c r="AC5314" s="1"/>
      <c r="AD5314" s="1"/>
      <c r="AE5314" s="1"/>
      <c r="AF5314" s="1"/>
      <c r="AG5314" s="1"/>
      <c r="AH5314" s="1"/>
      <c r="AI5314" s="1"/>
      <c r="AJ5314" s="1"/>
      <c r="AK5314" s="1"/>
      <c r="AL5314" s="1"/>
      <c r="AM5314" s="1"/>
    </row>
    <row r="5315" spans="16:39" x14ac:dyDescent="0.25">
      <c r="P5315" s="49"/>
      <c r="Q5315" s="1"/>
      <c r="S5315" s="1"/>
      <c r="T5315" s="1"/>
      <c r="U5315" s="1"/>
      <c r="V5315" s="1"/>
      <c r="W5315" s="1"/>
      <c r="X5315" s="1"/>
      <c r="Y5315" s="1"/>
      <c r="AB5315" s="1"/>
      <c r="AC5315" s="1"/>
      <c r="AD5315" s="1"/>
      <c r="AE5315" s="1"/>
      <c r="AF5315" s="1"/>
      <c r="AG5315" s="1"/>
      <c r="AH5315" s="1"/>
      <c r="AI5315" s="1"/>
      <c r="AJ5315" s="1"/>
      <c r="AK5315" s="1"/>
      <c r="AL5315" s="1"/>
      <c r="AM5315" s="1"/>
    </row>
    <row r="5316" spans="16:39" x14ac:dyDescent="0.25">
      <c r="P5316" s="49"/>
      <c r="Q5316" s="1"/>
      <c r="S5316" s="1"/>
      <c r="T5316" s="1"/>
      <c r="U5316" s="1"/>
      <c r="V5316" s="1"/>
      <c r="W5316" s="1"/>
      <c r="X5316" s="1"/>
      <c r="Y5316" s="1"/>
      <c r="AB5316" s="1"/>
      <c r="AC5316" s="1"/>
      <c r="AD5316" s="1"/>
      <c r="AE5316" s="1"/>
      <c r="AF5316" s="1"/>
      <c r="AG5316" s="1"/>
      <c r="AH5316" s="1"/>
      <c r="AI5316" s="1"/>
      <c r="AJ5316" s="1"/>
      <c r="AK5316" s="1"/>
      <c r="AL5316" s="1"/>
      <c r="AM5316" s="1"/>
    </row>
    <row r="5317" spans="16:39" x14ac:dyDescent="0.25">
      <c r="P5317" s="49"/>
      <c r="Q5317" s="1"/>
      <c r="S5317" s="1"/>
      <c r="T5317" s="1"/>
      <c r="U5317" s="1"/>
      <c r="V5317" s="1"/>
      <c r="W5317" s="1"/>
      <c r="X5317" s="1"/>
      <c r="Y5317" s="1"/>
      <c r="AB5317" s="1"/>
      <c r="AC5317" s="1"/>
      <c r="AD5317" s="1"/>
      <c r="AE5317" s="1"/>
      <c r="AF5317" s="1"/>
      <c r="AG5317" s="1"/>
      <c r="AH5317" s="1"/>
      <c r="AI5317" s="1"/>
      <c r="AJ5317" s="1"/>
      <c r="AK5317" s="1"/>
      <c r="AL5317" s="1"/>
      <c r="AM5317" s="1"/>
    </row>
    <row r="5318" spans="16:39" x14ac:dyDescent="0.25">
      <c r="P5318" s="49"/>
      <c r="Q5318" s="1"/>
      <c r="S5318" s="1"/>
      <c r="T5318" s="1"/>
      <c r="U5318" s="1"/>
      <c r="V5318" s="1"/>
      <c r="W5318" s="1"/>
      <c r="X5318" s="1"/>
      <c r="Y5318" s="1"/>
      <c r="AB5318" s="1"/>
      <c r="AC5318" s="1"/>
      <c r="AD5318" s="1"/>
      <c r="AE5318" s="1"/>
      <c r="AF5318" s="1"/>
      <c r="AG5318" s="1"/>
      <c r="AH5318" s="1"/>
      <c r="AI5318" s="1"/>
      <c r="AJ5318" s="1"/>
      <c r="AK5318" s="1"/>
      <c r="AL5318" s="1"/>
      <c r="AM5318" s="1"/>
    </row>
    <row r="5319" spans="16:39" x14ac:dyDescent="0.25">
      <c r="P5319" s="49"/>
      <c r="Q5319" s="1"/>
      <c r="S5319" s="1"/>
      <c r="T5319" s="1"/>
      <c r="U5319" s="1"/>
      <c r="V5319" s="1"/>
      <c r="W5319" s="1"/>
      <c r="X5319" s="1"/>
      <c r="Y5319" s="1"/>
      <c r="AB5319" s="1"/>
      <c r="AC5319" s="1"/>
      <c r="AD5319" s="1"/>
      <c r="AE5319" s="1"/>
      <c r="AF5319" s="1"/>
      <c r="AG5319" s="1"/>
      <c r="AH5319" s="1"/>
      <c r="AI5319" s="1"/>
      <c r="AJ5319" s="1"/>
      <c r="AK5319" s="1"/>
      <c r="AL5319" s="1"/>
      <c r="AM5319" s="1"/>
    </row>
    <row r="5320" spans="16:39" x14ac:dyDescent="0.25">
      <c r="P5320" s="49"/>
      <c r="Q5320" s="1"/>
      <c r="S5320" s="1"/>
      <c r="T5320" s="1"/>
      <c r="U5320" s="1"/>
      <c r="V5320" s="1"/>
      <c r="W5320" s="1"/>
      <c r="X5320" s="1"/>
      <c r="Y5320" s="1"/>
      <c r="AB5320" s="1"/>
      <c r="AC5320" s="1"/>
      <c r="AD5320" s="1"/>
      <c r="AE5320" s="1"/>
      <c r="AF5320" s="1"/>
      <c r="AG5320" s="1"/>
      <c r="AH5320" s="1"/>
      <c r="AI5320" s="1"/>
      <c r="AJ5320" s="1"/>
      <c r="AK5320" s="1"/>
      <c r="AL5320" s="1"/>
      <c r="AM5320" s="1"/>
    </row>
    <row r="5321" spans="16:39" x14ac:dyDescent="0.25">
      <c r="P5321" s="49"/>
      <c r="Q5321" s="1"/>
      <c r="S5321" s="1"/>
      <c r="T5321" s="1"/>
      <c r="U5321" s="1"/>
      <c r="V5321" s="1"/>
      <c r="W5321" s="1"/>
      <c r="X5321" s="1"/>
      <c r="Y5321" s="1"/>
      <c r="AB5321" s="1"/>
      <c r="AC5321" s="1"/>
      <c r="AD5321" s="1"/>
      <c r="AE5321" s="1"/>
      <c r="AF5321" s="1"/>
      <c r="AG5321" s="1"/>
      <c r="AH5321" s="1"/>
      <c r="AI5321" s="1"/>
      <c r="AJ5321" s="1"/>
      <c r="AK5321" s="1"/>
      <c r="AL5321" s="1"/>
      <c r="AM5321" s="1"/>
    </row>
    <row r="5322" spans="16:39" x14ac:dyDescent="0.25">
      <c r="P5322" s="49"/>
      <c r="Q5322" s="1"/>
      <c r="S5322" s="1"/>
      <c r="T5322" s="1"/>
      <c r="U5322" s="1"/>
      <c r="V5322" s="1"/>
      <c r="W5322" s="1"/>
      <c r="X5322" s="1"/>
      <c r="Y5322" s="1"/>
      <c r="AB5322" s="1"/>
      <c r="AC5322" s="1"/>
      <c r="AD5322" s="1"/>
      <c r="AE5322" s="1"/>
      <c r="AF5322" s="1"/>
      <c r="AG5322" s="1"/>
      <c r="AH5322" s="1"/>
      <c r="AI5322" s="1"/>
      <c r="AJ5322" s="1"/>
      <c r="AK5322" s="1"/>
      <c r="AL5322" s="1"/>
      <c r="AM5322" s="1"/>
    </row>
    <row r="5323" spans="16:39" x14ac:dyDescent="0.25">
      <c r="P5323" s="49"/>
      <c r="Q5323" s="1"/>
      <c r="S5323" s="1"/>
      <c r="T5323" s="1"/>
      <c r="U5323" s="1"/>
      <c r="V5323" s="1"/>
      <c r="W5323" s="1"/>
      <c r="X5323" s="1"/>
      <c r="Y5323" s="1"/>
      <c r="AB5323" s="1"/>
      <c r="AC5323" s="1"/>
      <c r="AD5323" s="1"/>
      <c r="AE5323" s="1"/>
      <c r="AF5323" s="1"/>
      <c r="AG5323" s="1"/>
      <c r="AH5323" s="1"/>
      <c r="AI5323" s="1"/>
      <c r="AJ5323" s="1"/>
      <c r="AK5323" s="1"/>
      <c r="AL5323" s="1"/>
      <c r="AM5323" s="1"/>
    </row>
    <row r="5324" spans="16:39" x14ac:dyDescent="0.25">
      <c r="P5324" s="49"/>
      <c r="Q5324" s="1"/>
      <c r="S5324" s="1"/>
      <c r="T5324" s="1"/>
      <c r="U5324" s="1"/>
      <c r="V5324" s="1"/>
      <c r="W5324" s="1"/>
      <c r="X5324" s="1"/>
      <c r="Y5324" s="1"/>
      <c r="AB5324" s="1"/>
      <c r="AC5324" s="1"/>
      <c r="AD5324" s="1"/>
      <c r="AE5324" s="1"/>
      <c r="AF5324" s="1"/>
      <c r="AG5324" s="1"/>
      <c r="AH5324" s="1"/>
      <c r="AI5324" s="1"/>
      <c r="AJ5324" s="1"/>
      <c r="AK5324" s="1"/>
      <c r="AL5324" s="1"/>
      <c r="AM5324" s="1"/>
    </row>
    <row r="5325" spans="16:39" x14ac:dyDescent="0.25">
      <c r="P5325" s="49"/>
      <c r="Q5325" s="1"/>
      <c r="S5325" s="1"/>
      <c r="T5325" s="1"/>
      <c r="U5325" s="1"/>
      <c r="V5325" s="1"/>
      <c r="W5325" s="1"/>
      <c r="X5325" s="1"/>
      <c r="Y5325" s="1"/>
      <c r="AB5325" s="1"/>
      <c r="AC5325" s="1"/>
      <c r="AD5325" s="1"/>
      <c r="AE5325" s="1"/>
      <c r="AF5325" s="1"/>
      <c r="AG5325" s="1"/>
      <c r="AH5325" s="1"/>
      <c r="AI5325" s="1"/>
      <c r="AJ5325" s="1"/>
      <c r="AK5325" s="1"/>
      <c r="AL5325" s="1"/>
      <c r="AM5325" s="1"/>
    </row>
    <row r="5326" spans="16:39" x14ac:dyDescent="0.25">
      <c r="P5326" s="49"/>
      <c r="Q5326" s="1"/>
      <c r="S5326" s="1"/>
      <c r="T5326" s="1"/>
      <c r="U5326" s="1"/>
      <c r="V5326" s="1"/>
      <c r="W5326" s="1"/>
      <c r="X5326" s="1"/>
      <c r="Y5326" s="1"/>
      <c r="AB5326" s="1"/>
      <c r="AC5326" s="1"/>
      <c r="AD5326" s="1"/>
      <c r="AE5326" s="1"/>
      <c r="AF5326" s="1"/>
      <c r="AG5326" s="1"/>
      <c r="AH5326" s="1"/>
      <c r="AI5326" s="1"/>
      <c r="AJ5326" s="1"/>
      <c r="AK5326" s="1"/>
      <c r="AL5326" s="1"/>
      <c r="AM5326" s="1"/>
    </row>
    <row r="5327" spans="16:39" x14ac:dyDescent="0.25">
      <c r="P5327" s="49"/>
      <c r="Q5327" s="1"/>
      <c r="S5327" s="1"/>
      <c r="T5327" s="1"/>
      <c r="U5327" s="1"/>
      <c r="V5327" s="1"/>
      <c r="W5327" s="1"/>
      <c r="X5327" s="1"/>
      <c r="Y5327" s="1"/>
      <c r="AB5327" s="1"/>
      <c r="AC5327" s="1"/>
      <c r="AD5327" s="1"/>
      <c r="AE5327" s="1"/>
      <c r="AF5327" s="1"/>
      <c r="AG5327" s="1"/>
      <c r="AH5327" s="1"/>
      <c r="AI5327" s="1"/>
      <c r="AJ5327" s="1"/>
      <c r="AK5327" s="1"/>
      <c r="AL5327" s="1"/>
      <c r="AM5327" s="1"/>
    </row>
    <row r="5328" spans="16:39" x14ac:dyDescent="0.25">
      <c r="P5328" s="49"/>
      <c r="Q5328" s="1"/>
      <c r="S5328" s="1"/>
      <c r="T5328" s="1"/>
      <c r="U5328" s="1"/>
      <c r="V5328" s="1"/>
      <c r="W5328" s="1"/>
      <c r="X5328" s="1"/>
      <c r="Y5328" s="1"/>
      <c r="AB5328" s="1"/>
      <c r="AC5328" s="1"/>
      <c r="AD5328" s="1"/>
      <c r="AE5328" s="1"/>
      <c r="AF5328" s="1"/>
      <c r="AG5328" s="1"/>
      <c r="AH5328" s="1"/>
      <c r="AI5328" s="1"/>
      <c r="AJ5328" s="1"/>
      <c r="AK5328" s="1"/>
      <c r="AL5328" s="1"/>
      <c r="AM5328" s="1"/>
    </row>
    <row r="5329" spans="16:39" x14ac:dyDescent="0.25">
      <c r="P5329" s="49"/>
      <c r="Q5329" s="1"/>
      <c r="S5329" s="1"/>
      <c r="T5329" s="1"/>
      <c r="U5329" s="1"/>
      <c r="V5329" s="1"/>
      <c r="W5329" s="1"/>
      <c r="X5329" s="1"/>
      <c r="Y5329" s="1"/>
      <c r="AB5329" s="1"/>
      <c r="AC5329" s="1"/>
      <c r="AD5329" s="1"/>
      <c r="AE5329" s="1"/>
      <c r="AF5329" s="1"/>
      <c r="AG5329" s="1"/>
      <c r="AH5329" s="1"/>
      <c r="AI5329" s="1"/>
      <c r="AJ5329" s="1"/>
      <c r="AK5329" s="1"/>
      <c r="AL5329" s="1"/>
      <c r="AM5329" s="1"/>
    </row>
    <row r="5330" spans="16:39" x14ac:dyDescent="0.25">
      <c r="P5330" s="49"/>
      <c r="Q5330" s="1"/>
      <c r="S5330" s="1"/>
      <c r="T5330" s="1"/>
      <c r="U5330" s="1"/>
      <c r="V5330" s="1"/>
      <c r="W5330" s="1"/>
      <c r="X5330" s="1"/>
      <c r="Y5330" s="1"/>
      <c r="AB5330" s="1"/>
      <c r="AC5330" s="1"/>
      <c r="AD5330" s="1"/>
      <c r="AE5330" s="1"/>
      <c r="AF5330" s="1"/>
      <c r="AG5330" s="1"/>
      <c r="AH5330" s="1"/>
      <c r="AI5330" s="1"/>
      <c r="AJ5330" s="1"/>
      <c r="AK5330" s="1"/>
      <c r="AL5330" s="1"/>
      <c r="AM5330" s="1"/>
    </row>
    <row r="5331" spans="16:39" x14ac:dyDescent="0.25">
      <c r="P5331" s="49"/>
      <c r="Q5331" s="1"/>
      <c r="S5331" s="1"/>
      <c r="T5331" s="1"/>
      <c r="U5331" s="1"/>
      <c r="V5331" s="1"/>
      <c r="W5331" s="1"/>
      <c r="X5331" s="1"/>
      <c r="Y5331" s="1"/>
      <c r="AB5331" s="1"/>
      <c r="AC5331" s="1"/>
      <c r="AD5331" s="1"/>
      <c r="AE5331" s="1"/>
      <c r="AF5331" s="1"/>
      <c r="AG5331" s="1"/>
      <c r="AH5331" s="1"/>
      <c r="AI5331" s="1"/>
      <c r="AJ5331" s="1"/>
      <c r="AK5331" s="1"/>
      <c r="AL5331" s="1"/>
      <c r="AM5331" s="1"/>
    </row>
    <row r="5332" spans="16:39" x14ac:dyDescent="0.25">
      <c r="P5332" s="49"/>
      <c r="Q5332" s="1"/>
      <c r="S5332" s="1"/>
      <c r="T5332" s="1"/>
      <c r="U5332" s="1"/>
      <c r="V5332" s="1"/>
      <c r="W5332" s="1"/>
      <c r="X5332" s="1"/>
      <c r="Y5332" s="1"/>
      <c r="AB5332" s="1"/>
      <c r="AC5332" s="1"/>
      <c r="AD5332" s="1"/>
      <c r="AE5332" s="1"/>
      <c r="AF5332" s="1"/>
      <c r="AG5332" s="1"/>
      <c r="AH5332" s="1"/>
      <c r="AI5332" s="1"/>
      <c r="AJ5332" s="1"/>
      <c r="AK5332" s="1"/>
      <c r="AL5332" s="1"/>
      <c r="AM5332" s="1"/>
    </row>
    <row r="5333" spans="16:39" x14ac:dyDescent="0.25">
      <c r="P5333" s="49"/>
      <c r="Q5333" s="1"/>
      <c r="S5333" s="1"/>
      <c r="T5333" s="1"/>
      <c r="U5333" s="1"/>
      <c r="V5333" s="1"/>
      <c r="W5333" s="1"/>
      <c r="X5333" s="1"/>
      <c r="Y5333" s="1"/>
      <c r="AB5333" s="1"/>
      <c r="AC5333" s="1"/>
      <c r="AD5333" s="1"/>
      <c r="AE5333" s="1"/>
      <c r="AF5333" s="1"/>
      <c r="AG5333" s="1"/>
      <c r="AH5333" s="1"/>
      <c r="AI5333" s="1"/>
      <c r="AJ5333" s="1"/>
      <c r="AK5333" s="1"/>
      <c r="AL5333" s="1"/>
      <c r="AM5333" s="1"/>
    </row>
    <row r="5334" spans="16:39" x14ac:dyDescent="0.25">
      <c r="P5334" s="49"/>
      <c r="Q5334" s="1"/>
      <c r="S5334" s="1"/>
      <c r="T5334" s="1"/>
      <c r="U5334" s="1"/>
      <c r="V5334" s="1"/>
      <c r="W5334" s="1"/>
      <c r="X5334" s="1"/>
      <c r="Y5334" s="1"/>
      <c r="AB5334" s="1"/>
      <c r="AC5334" s="1"/>
      <c r="AD5334" s="1"/>
      <c r="AE5334" s="1"/>
      <c r="AF5334" s="1"/>
      <c r="AG5334" s="1"/>
      <c r="AH5334" s="1"/>
      <c r="AI5334" s="1"/>
      <c r="AJ5334" s="1"/>
      <c r="AK5334" s="1"/>
      <c r="AL5334" s="1"/>
      <c r="AM5334" s="1"/>
    </row>
    <row r="5335" spans="16:39" x14ac:dyDescent="0.25">
      <c r="P5335" s="49"/>
      <c r="Q5335" s="1"/>
      <c r="S5335" s="1"/>
      <c r="T5335" s="1"/>
      <c r="U5335" s="1"/>
      <c r="V5335" s="1"/>
      <c r="W5335" s="1"/>
      <c r="X5335" s="1"/>
      <c r="Y5335" s="1"/>
      <c r="AB5335" s="1"/>
      <c r="AC5335" s="1"/>
      <c r="AD5335" s="1"/>
      <c r="AE5335" s="1"/>
      <c r="AF5335" s="1"/>
      <c r="AG5335" s="1"/>
      <c r="AH5335" s="1"/>
      <c r="AI5335" s="1"/>
      <c r="AJ5335" s="1"/>
      <c r="AK5335" s="1"/>
      <c r="AL5335" s="1"/>
      <c r="AM5335" s="1"/>
    </row>
    <row r="5336" spans="16:39" x14ac:dyDescent="0.25">
      <c r="P5336" s="49"/>
      <c r="Q5336" s="1"/>
      <c r="S5336" s="1"/>
      <c r="T5336" s="1"/>
      <c r="U5336" s="1"/>
      <c r="V5336" s="1"/>
      <c r="W5336" s="1"/>
      <c r="X5336" s="1"/>
      <c r="Y5336" s="1"/>
      <c r="AB5336" s="1"/>
      <c r="AC5336" s="1"/>
      <c r="AD5336" s="1"/>
      <c r="AE5336" s="1"/>
      <c r="AF5336" s="1"/>
      <c r="AG5336" s="1"/>
      <c r="AH5336" s="1"/>
      <c r="AI5336" s="1"/>
      <c r="AJ5336" s="1"/>
      <c r="AK5336" s="1"/>
      <c r="AL5336" s="1"/>
      <c r="AM5336" s="1"/>
    </row>
    <row r="5337" spans="16:39" x14ac:dyDescent="0.25">
      <c r="P5337" s="49"/>
      <c r="Q5337" s="1"/>
      <c r="S5337" s="1"/>
      <c r="T5337" s="1"/>
      <c r="U5337" s="1"/>
      <c r="V5337" s="1"/>
      <c r="W5337" s="1"/>
      <c r="X5337" s="1"/>
      <c r="Y5337" s="1"/>
      <c r="AB5337" s="1"/>
      <c r="AC5337" s="1"/>
      <c r="AD5337" s="1"/>
      <c r="AE5337" s="1"/>
      <c r="AF5337" s="1"/>
      <c r="AG5337" s="1"/>
      <c r="AH5337" s="1"/>
      <c r="AI5337" s="1"/>
      <c r="AJ5337" s="1"/>
      <c r="AK5337" s="1"/>
      <c r="AL5337" s="1"/>
      <c r="AM5337" s="1"/>
    </row>
    <row r="5338" spans="16:39" x14ac:dyDescent="0.25">
      <c r="P5338" s="49"/>
      <c r="Q5338" s="1"/>
      <c r="S5338" s="1"/>
      <c r="T5338" s="1"/>
      <c r="U5338" s="1"/>
      <c r="V5338" s="1"/>
      <c r="W5338" s="1"/>
      <c r="X5338" s="1"/>
      <c r="Y5338" s="1"/>
      <c r="AB5338" s="1"/>
      <c r="AC5338" s="1"/>
      <c r="AD5338" s="1"/>
      <c r="AE5338" s="1"/>
      <c r="AF5338" s="1"/>
      <c r="AG5338" s="1"/>
      <c r="AH5338" s="1"/>
      <c r="AI5338" s="1"/>
      <c r="AJ5338" s="1"/>
      <c r="AK5338" s="1"/>
      <c r="AL5338" s="1"/>
      <c r="AM5338" s="1"/>
    </row>
    <row r="5339" spans="16:39" x14ac:dyDescent="0.25">
      <c r="P5339" s="49"/>
      <c r="Q5339" s="1"/>
      <c r="S5339" s="1"/>
      <c r="T5339" s="1"/>
      <c r="U5339" s="1"/>
      <c r="V5339" s="1"/>
      <c r="W5339" s="1"/>
      <c r="X5339" s="1"/>
      <c r="Y5339" s="1"/>
      <c r="AB5339" s="1"/>
      <c r="AC5339" s="1"/>
      <c r="AD5339" s="1"/>
      <c r="AE5339" s="1"/>
      <c r="AF5339" s="1"/>
      <c r="AG5339" s="1"/>
      <c r="AH5339" s="1"/>
      <c r="AI5339" s="1"/>
      <c r="AJ5339" s="1"/>
      <c r="AK5339" s="1"/>
      <c r="AL5339" s="1"/>
      <c r="AM5339" s="1"/>
    </row>
    <row r="5340" spans="16:39" x14ac:dyDescent="0.25">
      <c r="P5340" s="49"/>
      <c r="Q5340" s="1"/>
      <c r="S5340" s="1"/>
      <c r="T5340" s="1"/>
      <c r="U5340" s="1"/>
      <c r="V5340" s="1"/>
      <c r="W5340" s="1"/>
      <c r="X5340" s="1"/>
      <c r="Y5340" s="1"/>
      <c r="AB5340" s="1"/>
      <c r="AC5340" s="1"/>
      <c r="AD5340" s="1"/>
      <c r="AE5340" s="1"/>
      <c r="AF5340" s="1"/>
      <c r="AG5340" s="1"/>
      <c r="AH5340" s="1"/>
      <c r="AI5340" s="1"/>
      <c r="AJ5340" s="1"/>
      <c r="AK5340" s="1"/>
      <c r="AL5340" s="1"/>
      <c r="AM5340" s="1"/>
    </row>
    <row r="5341" spans="16:39" x14ac:dyDescent="0.25">
      <c r="P5341" s="49"/>
      <c r="Q5341" s="1"/>
      <c r="S5341" s="1"/>
      <c r="T5341" s="1"/>
      <c r="U5341" s="1"/>
      <c r="V5341" s="1"/>
      <c r="W5341" s="1"/>
      <c r="X5341" s="1"/>
      <c r="Y5341" s="1"/>
      <c r="AB5341" s="1"/>
      <c r="AC5341" s="1"/>
      <c r="AD5341" s="1"/>
      <c r="AE5341" s="1"/>
      <c r="AF5341" s="1"/>
      <c r="AG5341" s="1"/>
      <c r="AH5341" s="1"/>
      <c r="AI5341" s="1"/>
      <c r="AJ5341" s="1"/>
      <c r="AK5341" s="1"/>
      <c r="AL5341" s="1"/>
      <c r="AM5341" s="1"/>
    </row>
    <row r="5342" spans="16:39" x14ac:dyDescent="0.25">
      <c r="P5342" s="49"/>
      <c r="Q5342" s="1"/>
      <c r="S5342" s="1"/>
      <c r="T5342" s="1"/>
      <c r="U5342" s="1"/>
      <c r="V5342" s="1"/>
      <c r="W5342" s="1"/>
      <c r="X5342" s="1"/>
      <c r="Y5342" s="1"/>
      <c r="AB5342" s="1"/>
      <c r="AC5342" s="1"/>
      <c r="AD5342" s="1"/>
      <c r="AE5342" s="1"/>
      <c r="AF5342" s="1"/>
      <c r="AG5342" s="1"/>
      <c r="AH5342" s="1"/>
      <c r="AI5342" s="1"/>
      <c r="AJ5342" s="1"/>
      <c r="AK5342" s="1"/>
      <c r="AL5342" s="1"/>
      <c r="AM5342" s="1"/>
    </row>
    <row r="5343" spans="16:39" x14ac:dyDescent="0.25">
      <c r="P5343" s="49"/>
      <c r="Q5343" s="1"/>
      <c r="S5343" s="1"/>
      <c r="T5343" s="1"/>
      <c r="U5343" s="1"/>
      <c r="V5343" s="1"/>
      <c r="W5343" s="1"/>
      <c r="X5343" s="1"/>
      <c r="Y5343" s="1"/>
      <c r="AB5343" s="1"/>
      <c r="AC5343" s="1"/>
      <c r="AD5343" s="1"/>
      <c r="AE5343" s="1"/>
      <c r="AF5343" s="1"/>
      <c r="AG5343" s="1"/>
      <c r="AH5343" s="1"/>
      <c r="AI5343" s="1"/>
      <c r="AJ5343" s="1"/>
      <c r="AK5343" s="1"/>
      <c r="AL5343" s="1"/>
      <c r="AM5343" s="1"/>
    </row>
    <row r="5344" spans="16:39" x14ac:dyDescent="0.25">
      <c r="P5344" s="49"/>
      <c r="Q5344" s="1"/>
      <c r="S5344" s="1"/>
      <c r="T5344" s="1"/>
      <c r="U5344" s="1"/>
      <c r="V5344" s="1"/>
      <c r="W5344" s="1"/>
      <c r="X5344" s="1"/>
      <c r="Y5344" s="1"/>
      <c r="AB5344" s="1"/>
      <c r="AC5344" s="1"/>
      <c r="AD5344" s="1"/>
      <c r="AE5344" s="1"/>
      <c r="AF5344" s="1"/>
      <c r="AG5344" s="1"/>
      <c r="AH5344" s="1"/>
      <c r="AI5344" s="1"/>
      <c r="AJ5344" s="1"/>
      <c r="AK5344" s="1"/>
      <c r="AL5344" s="1"/>
      <c r="AM5344" s="1"/>
    </row>
    <row r="5345" spans="16:39" x14ac:dyDescent="0.25">
      <c r="P5345" s="49"/>
      <c r="Q5345" s="1"/>
      <c r="S5345" s="1"/>
      <c r="T5345" s="1"/>
      <c r="U5345" s="1"/>
      <c r="V5345" s="1"/>
      <c r="W5345" s="1"/>
      <c r="X5345" s="1"/>
      <c r="Y5345" s="1"/>
      <c r="AB5345" s="1"/>
      <c r="AC5345" s="1"/>
      <c r="AD5345" s="1"/>
      <c r="AE5345" s="1"/>
      <c r="AF5345" s="1"/>
      <c r="AG5345" s="1"/>
      <c r="AH5345" s="1"/>
      <c r="AI5345" s="1"/>
      <c r="AJ5345" s="1"/>
      <c r="AK5345" s="1"/>
      <c r="AL5345" s="1"/>
      <c r="AM5345" s="1"/>
    </row>
    <row r="5346" spans="16:39" x14ac:dyDescent="0.25">
      <c r="P5346" s="49"/>
      <c r="Q5346" s="1"/>
      <c r="S5346" s="1"/>
      <c r="T5346" s="1"/>
      <c r="U5346" s="1"/>
      <c r="V5346" s="1"/>
      <c r="W5346" s="1"/>
      <c r="X5346" s="1"/>
      <c r="Y5346" s="1"/>
      <c r="AB5346" s="1"/>
      <c r="AC5346" s="1"/>
      <c r="AD5346" s="1"/>
      <c r="AE5346" s="1"/>
      <c r="AF5346" s="1"/>
      <c r="AG5346" s="1"/>
      <c r="AH5346" s="1"/>
      <c r="AI5346" s="1"/>
      <c r="AJ5346" s="1"/>
      <c r="AK5346" s="1"/>
      <c r="AL5346" s="1"/>
      <c r="AM5346" s="1"/>
    </row>
    <row r="5347" spans="16:39" x14ac:dyDescent="0.25">
      <c r="P5347" s="49"/>
      <c r="Q5347" s="1"/>
      <c r="S5347" s="1"/>
      <c r="T5347" s="1"/>
      <c r="U5347" s="1"/>
      <c r="V5347" s="1"/>
      <c r="W5347" s="1"/>
      <c r="X5347" s="1"/>
      <c r="Y5347" s="1"/>
      <c r="AB5347" s="1"/>
      <c r="AC5347" s="1"/>
      <c r="AD5347" s="1"/>
      <c r="AE5347" s="1"/>
      <c r="AF5347" s="1"/>
      <c r="AG5347" s="1"/>
      <c r="AH5347" s="1"/>
      <c r="AI5347" s="1"/>
      <c r="AJ5347" s="1"/>
      <c r="AK5347" s="1"/>
      <c r="AL5347" s="1"/>
      <c r="AM5347" s="1"/>
    </row>
    <row r="5348" spans="16:39" x14ac:dyDescent="0.25">
      <c r="P5348" s="49"/>
      <c r="Q5348" s="1"/>
      <c r="S5348" s="1"/>
      <c r="T5348" s="1"/>
      <c r="U5348" s="1"/>
      <c r="V5348" s="1"/>
      <c r="W5348" s="1"/>
      <c r="X5348" s="1"/>
      <c r="Y5348" s="1"/>
      <c r="AB5348" s="1"/>
      <c r="AC5348" s="1"/>
      <c r="AD5348" s="1"/>
      <c r="AE5348" s="1"/>
      <c r="AF5348" s="1"/>
      <c r="AG5348" s="1"/>
      <c r="AH5348" s="1"/>
      <c r="AI5348" s="1"/>
      <c r="AJ5348" s="1"/>
      <c r="AK5348" s="1"/>
      <c r="AL5348" s="1"/>
      <c r="AM5348" s="1"/>
    </row>
    <row r="5349" spans="16:39" x14ac:dyDescent="0.25">
      <c r="P5349" s="49"/>
      <c r="Q5349" s="1"/>
      <c r="S5349" s="1"/>
      <c r="T5349" s="1"/>
      <c r="U5349" s="1"/>
      <c r="V5349" s="1"/>
      <c r="W5349" s="1"/>
      <c r="X5349" s="1"/>
      <c r="Y5349" s="1"/>
      <c r="AB5349" s="1"/>
      <c r="AC5349" s="1"/>
      <c r="AD5349" s="1"/>
      <c r="AE5349" s="1"/>
      <c r="AF5349" s="1"/>
      <c r="AG5349" s="1"/>
      <c r="AH5349" s="1"/>
      <c r="AI5349" s="1"/>
      <c r="AJ5349" s="1"/>
      <c r="AK5349" s="1"/>
      <c r="AL5349" s="1"/>
      <c r="AM5349" s="1"/>
    </row>
    <row r="5350" spans="16:39" x14ac:dyDescent="0.25">
      <c r="P5350" s="49"/>
      <c r="Q5350" s="1"/>
      <c r="S5350" s="1"/>
      <c r="T5350" s="1"/>
      <c r="U5350" s="1"/>
      <c r="V5350" s="1"/>
      <c r="W5350" s="1"/>
      <c r="X5350" s="1"/>
      <c r="Y5350" s="1"/>
      <c r="AB5350" s="1"/>
      <c r="AC5350" s="1"/>
      <c r="AD5350" s="1"/>
      <c r="AE5350" s="1"/>
      <c r="AF5350" s="1"/>
      <c r="AG5350" s="1"/>
      <c r="AH5350" s="1"/>
      <c r="AI5350" s="1"/>
      <c r="AJ5350" s="1"/>
      <c r="AK5350" s="1"/>
      <c r="AL5350" s="1"/>
      <c r="AM5350" s="1"/>
    </row>
    <row r="5351" spans="16:39" x14ac:dyDescent="0.25">
      <c r="P5351" s="49"/>
      <c r="Q5351" s="1"/>
      <c r="S5351" s="1"/>
      <c r="T5351" s="1"/>
      <c r="U5351" s="1"/>
      <c r="V5351" s="1"/>
      <c r="W5351" s="1"/>
      <c r="X5351" s="1"/>
      <c r="Y5351" s="1"/>
      <c r="AB5351" s="1"/>
      <c r="AC5351" s="1"/>
      <c r="AD5351" s="1"/>
      <c r="AE5351" s="1"/>
      <c r="AF5351" s="1"/>
      <c r="AG5351" s="1"/>
      <c r="AH5351" s="1"/>
      <c r="AI5351" s="1"/>
      <c r="AJ5351" s="1"/>
      <c r="AK5351" s="1"/>
      <c r="AL5351" s="1"/>
      <c r="AM5351" s="1"/>
    </row>
    <row r="5352" spans="16:39" x14ac:dyDescent="0.25">
      <c r="P5352" s="49"/>
      <c r="Q5352" s="1"/>
      <c r="S5352" s="1"/>
      <c r="T5352" s="1"/>
      <c r="U5352" s="1"/>
      <c r="V5352" s="1"/>
      <c r="W5352" s="1"/>
      <c r="X5352" s="1"/>
      <c r="Y5352" s="1"/>
      <c r="AB5352" s="1"/>
      <c r="AC5352" s="1"/>
      <c r="AD5352" s="1"/>
      <c r="AE5352" s="1"/>
      <c r="AF5352" s="1"/>
      <c r="AG5352" s="1"/>
      <c r="AH5352" s="1"/>
      <c r="AI5352" s="1"/>
      <c r="AJ5352" s="1"/>
      <c r="AK5352" s="1"/>
      <c r="AL5352" s="1"/>
      <c r="AM5352" s="1"/>
    </row>
    <row r="5353" spans="16:39" x14ac:dyDescent="0.25">
      <c r="P5353" s="49"/>
      <c r="Q5353" s="1"/>
      <c r="S5353" s="1"/>
      <c r="T5353" s="1"/>
      <c r="U5353" s="1"/>
      <c r="V5353" s="1"/>
      <c r="W5353" s="1"/>
      <c r="X5353" s="1"/>
      <c r="Y5353" s="1"/>
      <c r="AB5353" s="1"/>
      <c r="AC5353" s="1"/>
      <c r="AD5353" s="1"/>
      <c r="AE5353" s="1"/>
      <c r="AF5353" s="1"/>
      <c r="AG5353" s="1"/>
      <c r="AH5353" s="1"/>
      <c r="AI5353" s="1"/>
      <c r="AJ5353" s="1"/>
      <c r="AK5353" s="1"/>
      <c r="AL5353" s="1"/>
      <c r="AM5353" s="1"/>
    </row>
    <row r="5354" spans="16:39" x14ac:dyDescent="0.25">
      <c r="P5354" s="49"/>
      <c r="Q5354" s="1"/>
      <c r="S5354" s="1"/>
      <c r="T5354" s="1"/>
      <c r="U5354" s="1"/>
      <c r="V5354" s="1"/>
      <c r="W5354" s="1"/>
      <c r="X5354" s="1"/>
      <c r="Y5354" s="1"/>
      <c r="AB5354" s="1"/>
      <c r="AC5354" s="1"/>
      <c r="AD5354" s="1"/>
      <c r="AE5354" s="1"/>
      <c r="AF5354" s="1"/>
      <c r="AG5354" s="1"/>
      <c r="AH5354" s="1"/>
      <c r="AI5354" s="1"/>
      <c r="AJ5354" s="1"/>
      <c r="AK5354" s="1"/>
      <c r="AL5354" s="1"/>
      <c r="AM5354" s="1"/>
    </row>
    <row r="5355" spans="16:39" x14ac:dyDescent="0.25">
      <c r="P5355" s="49"/>
      <c r="Q5355" s="1"/>
      <c r="S5355" s="1"/>
      <c r="T5355" s="1"/>
      <c r="U5355" s="1"/>
      <c r="V5355" s="1"/>
      <c r="W5355" s="1"/>
      <c r="X5355" s="1"/>
      <c r="Y5355" s="1"/>
      <c r="AB5355" s="1"/>
      <c r="AC5355" s="1"/>
      <c r="AD5355" s="1"/>
      <c r="AE5355" s="1"/>
      <c r="AF5355" s="1"/>
      <c r="AG5355" s="1"/>
      <c r="AH5355" s="1"/>
      <c r="AI5355" s="1"/>
      <c r="AJ5355" s="1"/>
      <c r="AK5355" s="1"/>
      <c r="AL5355" s="1"/>
      <c r="AM5355" s="1"/>
    </row>
    <row r="5356" spans="16:39" x14ac:dyDescent="0.25">
      <c r="P5356" s="49"/>
      <c r="Q5356" s="1"/>
      <c r="S5356" s="1"/>
      <c r="T5356" s="1"/>
      <c r="U5356" s="1"/>
      <c r="V5356" s="1"/>
      <c r="W5356" s="1"/>
      <c r="X5356" s="1"/>
      <c r="Y5356" s="1"/>
      <c r="AB5356" s="1"/>
      <c r="AC5356" s="1"/>
      <c r="AD5356" s="1"/>
      <c r="AE5356" s="1"/>
      <c r="AF5356" s="1"/>
      <c r="AG5356" s="1"/>
      <c r="AH5356" s="1"/>
      <c r="AI5356" s="1"/>
      <c r="AJ5356" s="1"/>
      <c r="AK5356" s="1"/>
      <c r="AL5356" s="1"/>
      <c r="AM5356" s="1"/>
    </row>
    <row r="5357" spans="16:39" x14ac:dyDescent="0.25">
      <c r="P5357" s="49"/>
      <c r="Q5357" s="1"/>
      <c r="S5357" s="1"/>
      <c r="T5357" s="1"/>
      <c r="U5357" s="1"/>
      <c r="V5357" s="1"/>
      <c r="W5357" s="1"/>
      <c r="X5357" s="1"/>
      <c r="Y5357" s="1"/>
      <c r="AB5357" s="1"/>
      <c r="AC5357" s="1"/>
      <c r="AD5357" s="1"/>
      <c r="AE5357" s="1"/>
      <c r="AF5357" s="1"/>
      <c r="AG5357" s="1"/>
      <c r="AH5357" s="1"/>
      <c r="AI5357" s="1"/>
      <c r="AJ5357" s="1"/>
      <c r="AK5357" s="1"/>
      <c r="AL5357" s="1"/>
      <c r="AM5357" s="1"/>
    </row>
    <row r="5358" spans="16:39" x14ac:dyDescent="0.25">
      <c r="P5358" s="49"/>
      <c r="Q5358" s="1"/>
      <c r="S5358" s="1"/>
      <c r="T5358" s="1"/>
      <c r="U5358" s="1"/>
      <c r="V5358" s="1"/>
      <c r="W5358" s="1"/>
      <c r="X5358" s="1"/>
      <c r="Y5358" s="1"/>
      <c r="AB5358" s="1"/>
      <c r="AC5358" s="1"/>
      <c r="AD5358" s="1"/>
      <c r="AE5358" s="1"/>
      <c r="AF5358" s="1"/>
      <c r="AG5358" s="1"/>
      <c r="AH5358" s="1"/>
      <c r="AI5358" s="1"/>
      <c r="AJ5358" s="1"/>
      <c r="AK5358" s="1"/>
      <c r="AL5358" s="1"/>
      <c r="AM5358" s="1"/>
    </row>
    <row r="5359" spans="16:39" x14ac:dyDescent="0.25">
      <c r="P5359" s="49"/>
      <c r="Q5359" s="1"/>
      <c r="S5359" s="1"/>
      <c r="T5359" s="1"/>
      <c r="U5359" s="1"/>
      <c r="V5359" s="1"/>
      <c r="W5359" s="1"/>
      <c r="X5359" s="1"/>
      <c r="Y5359" s="1"/>
      <c r="AB5359" s="1"/>
      <c r="AC5359" s="1"/>
      <c r="AD5359" s="1"/>
      <c r="AE5359" s="1"/>
      <c r="AF5359" s="1"/>
      <c r="AG5359" s="1"/>
      <c r="AH5359" s="1"/>
      <c r="AI5359" s="1"/>
      <c r="AJ5359" s="1"/>
      <c r="AK5359" s="1"/>
      <c r="AL5359" s="1"/>
      <c r="AM5359" s="1"/>
    </row>
    <row r="5360" spans="16:39" x14ac:dyDescent="0.25">
      <c r="P5360" s="49"/>
      <c r="Q5360" s="1"/>
      <c r="S5360" s="1"/>
      <c r="T5360" s="1"/>
      <c r="U5360" s="1"/>
      <c r="V5360" s="1"/>
      <c r="W5360" s="1"/>
      <c r="X5360" s="1"/>
      <c r="Y5360" s="1"/>
      <c r="AB5360" s="1"/>
      <c r="AC5360" s="1"/>
      <c r="AD5360" s="1"/>
      <c r="AE5360" s="1"/>
      <c r="AF5360" s="1"/>
      <c r="AG5360" s="1"/>
      <c r="AH5360" s="1"/>
      <c r="AI5360" s="1"/>
      <c r="AJ5360" s="1"/>
      <c r="AK5360" s="1"/>
      <c r="AL5360" s="1"/>
      <c r="AM5360" s="1"/>
    </row>
    <row r="5361" spans="16:39" x14ac:dyDescent="0.25">
      <c r="P5361" s="49"/>
      <c r="Q5361" s="1"/>
      <c r="S5361" s="1"/>
      <c r="T5361" s="1"/>
      <c r="U5361" s="1"/>
      <c r="V5361" s="1"/>
      <c r="W5361" s="1"/>
      <c r="X5361" s="1"/>
      <c r="Y5361" s="1"/>
      <c r="AB5361" s="1"/>
      <c r="AC5361" s="1"/>
      <c r="AD5361" s="1"/>
      <c r="AE5361" s="1"/>
      <c r="AF5361" s="1"/>
      <c r="AG5361" s="1"/>
      <c r="AH5361" s="1"/>
      <c r="AI5361" s="1"/>
      <c r="AJ5361" s="1"/>
      <c r="AK5361" s="1"/>
      <c r="AL5361" s="1"/>
      <c r="AM5361" s="1"/>
    </row>
    <row r="5362" spans="16:39" x14ac:dyDescent="0.25">
      <c r="P5362" s="49"/>
      <c r="Q5362" s="1"/>
      <c r="S5362" s="1"/>
      <c r="T5362" s="1"/>
      <c r="U5362" s="1"/>
      <c r="V5362" s="1"/>
      <c r="W5362" s="1"/>
      <c r="X5362" s="1"/>
      <c r="Y5362" s="1"/>
      <c r="AB5362" s="1"/>
      <c r="AC5362" s="1"/>
      <c r="AD5362" s="1"/>
      <c r="AE5362" s="1"/>
      <c r="AF5362" s="1"/>
      <c r="AG5362" s="1"/>
      <c r="AH5362" s="1"/>
      <c r="AI5362" s="1"/>
      <c r="AJ5362" s="1"/>
      <c r="AK5362" s="1"/>
      <c r="AL5362" s="1"/>
      <c r="AM5362" s="1"/>
    </row>
    <row r="5363" spans="16:39" x14ac:dyDescent="0.25">
      <c r="P5363" s="49"/>
      <c r="Q5363" s="1"/>
      <c r="S5363" s="1"/>
      <c r="T5363" s="1"/>
      <c r="U5363" s="1"/>
      <c r="V5363" s="1"/>
      <c r="W5363" s="1"/>
      <c r="X5363" s="1"/>
      <c r="Y5363" s="1"/>
      <c r="AB5363" s="1"/>
      <c r="AC5363" s="1"/>
      <c r="AD5363" s="1"/>
      <c r="AE5363" s="1"/>
      <c r="AF5363" s="1"/>
      <c r="AG5363" s="1"/>
      <c r="AH5363" s="1"/>
      <c r="AI5363" s="1"/>
      <c r="AJ5363" s="1"/>
      <c r="AK5363" s="1"/>
      <c r="AL5363" s="1"/>
      <c r="AM5363" s="1"/>
    </row>
    <row r="5364" spans="16:39" x14ac:dyDescent="0.25">
      <c r="P5364" s="49"/>
      <c r="Q5364" s="1"/>
      <c r="S5364" s="1"/>
      <c r="T5364" s="1"/>
      <c r="U5364" s="1"/>
      <c r="V5364" s="1"/>
      <c r="W5364" s="1"/>
      <c r="X5364" s="1"/>
      <c r="Y5364" s="1"/>
      <c r="AB5364" s="1"/>
      <c r="AC5364" s="1"/>
      <c r="AD5364" s="1"/>
      <c r="AE5364" s="1"/>
      <c r="AF5364" s="1"/>
      <c r="AG5364" s="1"/>
      <c r="AH5364" s="1"/>
      <c r="AI5364" s="1"/>
      <c r="AJ5364" s="1"/>
      <c r="AK5364" s="1"/>
      <c r="AL5364" s="1"/>
      <c r="AM5364" s="1"/>
    </row>
    <row r="5365" spans="16:39" x14ac:dyDescent="0.25">
      <c r="P5365" s="49"/>
      <c r="Q5365" s="1"/>
      <c r="S5365" s="1"/>
      <c r="T5365" s="1"/>
      <c r="U5365" s="1"/>
      <c r="V5365" s="1"/>
      <c r="W5365" s="1"/>
      <c r="X5365" s="1"/>
      <c r="Y5365" s="1"/>
      <c r="AB5365" s="1"/>
      <c r="AC5365" s="1"/>
      <c r="AD5365" s="1"/>
      <c r="AE5365" s="1"/>
      <c r="AF5365" s="1"/>
      <c r="AG5365" s="1"/>
      <c r="AH5365" s="1"/>
      <c r="AI5365" s="1"/>
      <c r="AJ5365" s="1"/>
      <c r="AK5365" s="1"/>
      <c r="AL5365" s="1"/>
      <c r="AM5365" s="1"/>
    </row>
    <row r="5366" spans="16:39" x14ac:dyDescent="0.25">
      <c r="P5366" s="49"/>
      <c r="Q5366" s="1"/>
      <c r="S5366" s="1"/>
      <c r="T5366" s="1"/>
      <c r="U5366" s="1"/>
      <c r="V5366" s="1"/>
      <c r="W5366" s="1"/>
      <c r="X5366" s="1"/>
      <c r="Y5366" s="1"/>
      <c r="AB5366" s="1"/>
      <c r="AC5366" s="1"/>
      <c r="AD5366" s="1"/>
      <c r="AE5366" s="1"/>
      <c r="AF5366" s="1"/>
      <c r="AG5366" s="1"/>
      <c r="AH5366" s="1"/>
      <c r="AI5366" s="1"/>
      <c r="AJ5366" s="1"/>
      <c r="AK5366" s="1"/>
      <c r="AL5366" s="1"/>
      <c r="AM5366" s="1"/>
    </row>
    <row r="5367" spans="16:39" x14ac:dyDescent="0.25">
      <c r="P5367" s="49"/>
      <c r="Q5367" s="1"/>
      <c r="S5367" s="1"/>
      <c r="T5367" s="1"/>
      <c r="U5367" s="1"/>
      <c r="V5367" s="1"/>
      <c r="W5367" s="1"/>
      <c r="X5367" s="1"/>
      <c r="Y5367" s="1"/>
      <c r="AB5367" s="1"/>
      <c r="AC5367" s="1"/>
      <c r="AD5367" s="1"/>
      <c r="AE5367" s="1"/>
      <c r="AF5367" s="1"/>
      <c r="AG5367" s="1"/>
      <c r="AH5367" s="1"/>
      <c r="AI5367" s="1"/>
      <c r="AJ5367" s="1"/>
      <c r="AK5367" s="1"/>
      <c r="AL5367" s="1"/>
      <c r="AM5367" s="1"/>
    </row>
    <row r="5368" spans="16:39" x14ac:dyDescent="0.25">
      <c r="P5368" s="49"/>
      <c r="Q5368" s="1"/>
      <c r="S5368" s="1"/>
      <c r="T5368" s="1"/>
      <c r="U5368" s="1"/>
      <c r="V5368" s="1"/>
      <c r="W5368" s="1"/>
      <c r="X5368" s="1"/>
      <c r="Y5368" s="1"/>
      <c r="AB5368" s="1"/>
      <c r="AC5368" s="1"/>
      <c r="AD5368" s="1"/>
      <c r="AE5368" s="1"/>
      <c r="AF5368" s="1"/>
      <c r="AG5368" s="1"/>
      <c r="AH5368" s="1"/>
      <c r="AI5368" s="1"/>
      <c r="AJ5368" s="1"/>
      <c r="AK5368" s="1"/>
      <c r="AL5368" s="1"/>
      <c r="AM5368" s="1"/>
    </row>
    <row r="5369" spans="16:39" x14ac:dyDescent="0.25">
      <c r="P5369" s="49"/>
      <c r="Q5369" s="1"/>
      <c r="S5369" s="1"/>
      <c r="T5369" s="1"/>
      <c r="U5369" s="1"/>
      <c r="V5369" s="1"/>
      <c r="W5369" s="1"/>
      <c r="X5369" s="1"/>
      <c r="Y5369" s="1"/>
      <c r="AB5369" s="1"/>
      <c r="AC5369" s="1"/>
      <c r="AD5369" s="1"/>
      <c r="AE5369" s="1"/>
      <c r="AF5369" s="1"/>
      <c r="AG5369" s="1"/>
      <c r="AH5369" s="1"/>
      <c r="AI5369" s="1"/>
      <c r="AJ5369" s="1"/>
      <c r="AK5369" s="1"/>
      <c r="AL5369" s="1"/>
      <c r="AM5369" s="1"/>
    </row>
    <row r="5370" spans="16:39" x14ac:dyDescent="0.25">
      <c r="P5370" s="49"/>
      <c r="Q5370" s="1"/>
      <c r="S5370" s="1"/>
      <c r="T5370" s="1"/>
      <c r="U5370" s="1"/>
      <c r="V5370" s="1"/>
      <c r="W5370" s="1"/>
      <c r="X5370" s="1"/>
      <c r="Y5370" s="1"/>
      <c r="AB5370" s="1"/>
      <c r="AC5370" s="1"/>
      <c r="AD5370" s="1"/>
      <c r="AE5370" s="1"/>
      <c r="AF5370" s="1"/>
      <c r="AG5370" s="1"/>
      <c r="AH5370" s="1"/>
      <c r="AI5370" s="1"/>
      <c r="AJ5370" s="1"/>
      <c r="AK5370" s="1"/>
      <c r="AL5370" s="1"/>
      <c r="AM5370" s="1"/>
    </row>
    <row r="5371" spans="16:39" x14ac:dyDescent="0.25">
      <c r="P5371" s="49"/>
      <c r="Q5371" s="1"/>
      <c r="S5371" s="1"/>
      <c r="T5371" s="1"/>
      <c r="U5371" s="1"/>
      <c r="V5371" s="1"/>
      <c r="W5371" s="1"/>
      <c r="X5371" s="1"/>
      <c r="Y5371" s="1"/>
      <c r="AB5371" s="1"/>
      <c r="AC5371" s="1"/>
      <c r="AD5371" s="1"/>
      <c r="AE5371" s="1"/>
      <c r="AF5371" s="1"/>
      <c r="AG5371" s="1"/>
      <c r="AH5371" s="1"/>
      <c r="AI5371" s="1"/>
      <c r="AJ5371" s="1"/>
      <c r="AK5371" s="1"/>
      <c r="AL5371" s="1"/>
      <c r="AM5371" s="1"/>
    </row>
    <row r="5372" spans="16:39" x14ac:dyDescent="0.25">
      <c r="P5372" s="49"/>
      <c r="Q5372" s="1"/>
      <c r="S5372" s="1"/>
      <c r="T5372" s="1"/>
      <c r="U5372" s="1"/>
      <c r="V5372" s="1"/>
      <c r="W5372" s="1"/>
      <c r="X5372" s="1"/>
      <c r="Y5372" s="1"/>
      <c r="AB5372" s="1"/>
      <c r="AC5372" s="1"/>
      <c r="AD5372" s="1"/>
      <c r="AE5372" s="1"/>
      <c r="AF5372" s="1"/>
      <c r="AG5372" s="1"/>
      <c r="AH5372" s="1"/>
      <c r="AI5372" s="1"/>
      <c r="AJ5372" s="1"/>
      <c r="AK5372" s="1"/>
      <c r="AL5372" s="1"/>
      <c r="AM5372" s="1"/>
    </row>
    <row r="5373" spans="16:39" x14ac:dyDescent="0.25">
      <c r="P5373" s="49"/>
      <c r="Q5373" s="1"/>
      <c r="S5373" s="1"/>
      <c r="T5373" s="1"/>
      <c r="U5373" s="1"/>
      <c r="V5373" s="1"/>
      <c r="W5373" s="1"/>
      <c r="X5373" s="1"/>
      <c r="Y5373" s="1"/>
      <c r="AB5373" s="1"/>
      <c r="AC5373" s="1"/>
      <c r="AD5373" s="1"/>
      <c r="AE5373" s="1"/>
      <c r="AF5373" s="1"/>
      <c r="AG5373" s="1"/>
      <c r="AH5373" s="1"/>
      <c r="AI5373" s="1"/>
      <c r="AJ5373" s="1"/>
      <c r="AK5373" s="1"/>
      <c r="AL5373" s="1"/>
      <c r="AM5373" s="1"/>
    </row>
    <row r="5374" spans="16:39" x14ac:dyDescent="0.25">
      <c r="P5374" s="49"/>
      <c r="Q5374" s="1"/>
      <c r="S5374" s="1"/>
      <c r="T5374" s="1"/>
      <c r="U5374" s="1"/>
      <c r="V5374" s="1"/>
      <c r="W5374" s="1"/>
      <c r="X5374" s="1"/>
      <c r="Y5374" s="1"/>
      <c r="AB5374" s="1"/>
      <c r="AC5374" s="1"/>
      <c r="AD5374" s="1"/>
      <c r="AE5374" s="1"/>
      <c r="AF5374" s="1"/>
      <c r="AG5374" s="1"/>
      <c r="AH5374" s="1"/>
      <c r="AI5374" s="1"/>
      <c r="AJ5374" s="1"/>
      <c r="AK5374" s="1"/>
      <c r="AL5374" s="1"/>
      <c r="AM5374" s="1"/>
    </row>
    <row r="5375" spans="16:39" x14ac:dyDescent="0.25">
      <c r="P5375" s="49"/>
      <c r="Q5375" s="1"/>
      <c r="S5375" s="1"/>
      <c r="T5375" s="1"/>
      <c r="U5375" s="1"/>
      <c r="V5375" s="1"/>
      <c r="W5375" s="1"/>
      <c r="X5375" s="1"/>
      <c r="Y5375" s="1"/>
      <c r="AB5375" s="1"/>
      <c r="AC5375" s="1"/>
      <c r="AD5375" s="1"/>
      <c r="AE5375" s="1"/>
      <c r="AF5375" s="1"/>
      <c r="AG5375" s="1"/>
      <c r="AH5375" s="1"/>
      <c r="AI5375" s="1"/>
      <c r="AJ5375" s="1"/>
      <c r="AK5375" s="1"/>
      <c r="AL5375" s="1"/>
      <c r="AM5375" s="1"/>
    </row>
    <row r="5376" spans="16:39" x14ac:dyDescent="0.25">
      <c r="P5376" s="49"/>
      <c r="Q5376" s="1"/>
      <c r="S5376" s="1"/>
      <c r="T5376" s="1"/>
      <c r="U5376" s="1"/>
      <c r="V5376" s="1"/>
      <c r="W5376" s="1"/>
      <c r="X5376" s="1"/>
      <c r="Y5376" s="1"/>
      <c r="AB5376" s="1"/>
      <c r="AC5376" s="1"/>
      <c r="AD5376" s="1"/>
      <c r="AE5376" s="1"/>
      <c r="AF5376" s="1"/>
      <c r="AG5376" s="1"/>
      <c r="AH5376" s="1"/>
      <c r="AI5376" s="1"/>
      <c r="AJ5376" s="1"/>
      <c r="AK5376" s="1"/>
      <c r="AL5376" s="1"/>
      <c r="AM5376" s="1"/>
    </row>
    <row r="5377" spans="16:39" x14ac:dyDescent="0.25">
      <c r="P5377" s="49"/>
      <c r="Q5377" s="1"/>
      <c r="S5377" s="1"/>
      <c r="T5377" s="1"/>
      <c r="U5377" s="1"/>
      <c r="V5377" s="1"/>
      <c r="W5377" s="1"/>
      <c r="X5377" s="1"/>
      <c r="Y5377" s="1"/>
      <c r="AB5377" s="1"/>
      <c r="AC5377" s="1"/>
      <c r="AD5377" s="1"/>
      <c r="AE5377" s="1"/>
      <c r="AF5377" s="1"/>
      <c r="AG5377" s="1"/>
      <c r="AH5377" s="1"/>
      <c r="AI5377" s="1"/>
      <c r="AJ5377" s="1"/>
      <c r="AK5377" s="1"/>
      <c r="AL5377" s="1"/>
      <c r="AM5377" s="1"/>
    </row>
    <row r="5378" spans="16:39" x14ac:dyDescent="0.25">
      <c r="P5378" s="49"/>
      <c r="Q5378" s="1"/>
      <c r="S5378" s="1"/>
      <c r="T5378" s="1"/>
      <c r="U5378" s="1"/>
      <c r="V5378" s="1"/>
      <c r="W5378" s="1"/>
      <c r="X5378" s="1"/>
      <c r="Y5378" s="1"/>
      <c r="AB5378" s="1"/>
      <c r="AC5378" s="1"/>
      <c r="AD5378" s="1"/>
      <c r="AE5378" s="1"/>
      <c r="AF5378" s="1"/>
      <c r="AG5378" s="1"/>
      <c r="AH5378" s="1"/>
      <c r="AI5378" s="1"/>
      <c r="AJ5378" s="1"/>
      <c r="AK5378" s="1"/>
      <c r="AL5378" s="1"/>
      <c r="AM5378" s="1"/>
    </row>
    <row r="5379" spans="16:39" x14ac:dyDescent="0.25">
      <c r="P5379" s="49"/>
      <c r="Q5379" s="1"/>
      <c r="S5379" s="1"/>
      <c r="T5379" s="1"/>
      <c r="U5379" s="1"/>
      <c r="V5379" s="1"/>
      <c r="W5379" s="1"/>
      <c r="X5379" s="1"/>
      <c r="Y5379" s="1"/>
      <c r="AB5379" s="1"/>
      <c r="AC5379" s="1"/>
      <c r="AD5379" s="1"/>
      <c r="AE5379" s="1"/>
      <c r="AF5379" s="1"/>
      <c r="AG5379" s="1"/>
      <c r="AH5379" s="1"/>
      <c r="AI5379" s="1"/>
      <c r="AJ5379" s="1"/>
      <c r="AK5379" s="1"/>
      <c r="AL5379" s="1"/>
      <c r="AM5379" s="1"/>
    </row>
    <row r="5380" spans="16:39" x14ac:dyDescent="0.25">
      <c r="P5380" s="49"/>
      <c r="Q5380" s="1"/>
      <c r="S5380" s="1"/>
      <c r="T5380" s="1"/>
      <c r="U5380" s="1"/>
      <c r="V5380" s="1"/>
      <c r="W5380" s="1"/>
      <c r="X5380" s="1"/>
      <c r="Y5380" s="1"/>
      <c r="AB5380" s="1"/>
      <c r="AC5380" s="1"/>
      <c r="AD5380" s="1"/>
      <c r="AE5380" s="1"/>
      <c r="AF5380" s="1"/>
      <c r="AG5380" s="1"/>
      <c r="AH5380" s="1"/>
      <c r="AI5380" s="1"/>
      <c r="AJ5380" s="1"/>
      <c r="AK5380" s="1"/>
      <c r="AL5380" s="1"/>
      <c r="AM5380" s="1"/>
    </row>
    <row r="5381" spans="16:39" x14ac:dyDescent="0.25">
      <c r="P5381" s="49"/>
      <c r="Q5381" s="1"/>
      <c r="S5381" s="1"/>
      <c r="T5381" s="1"/>
      <c r="U5381" s="1"/>
      <c r="V5381" s="1"/>
      <c r="W5381" s="1"/>
      <c r="X5381" s="1"/>
      <c r="Y5381" s="1"/>
      <c r="AB5381" s="1"/>
      <c r="AC5381" s="1"/>
      <c r="AD5381" s="1"/>
      <c r="AE5381" s="1"/>
      <c r="AF5381" s="1"/>
      <c r="AG5381" s="1"/>
      <c r="AH5381" s="1"/>
      <c r="AI5381" s="1"/>
      <c r="AJ5381" s="1"/>
      <c r="AK5381" s="1"/>
      <c r="AL5381" s="1"/>
      <c r="AM5381" s="1"/>
    </row>
    <row r="5382" spans="16:39" x14ac:dyDescent="0.25">
      <c r="P5382" s="49"/>
      <c r="Q5382" s="1"/>
      <c r="S5382" s="1"/>
      <c r="T5382" s="1"/>
      <c r="U5382" s="1"/>
      <c r="V5382" s="1"/>
      <c r="W5382" s="1"/>
      <c r="X5382" s="1"/>
      <c r="Y5382" s="1"/>
      <c r="AB5382" s="1"/>
      <c r="AC5382" s="1"/>
      <c r="AD5382" s="1"/>
      <c r="AE5382" s="1"/>
      <c r="AF5382" s="1"/>
      <c r="AG5382" s="1"/>
      <c r="AH5382" s="1"/>
      <c r="AI5382" s="1"/>
      <c r="AJ5382" s="1"/>
      <c r="AK5382" s="1"/>
      <c r="AL5382" s="1"/>
      <c r="AM5382" s="1"/>
    </row>
    <row r="5383" spans="16:39" x14ac:dyDescent="0.25">
      <c r="P5383" s="49"/>
      <c r="Q5383" s="1"/>
      <c r="S5383" s="1"/>
      <c r="T5383" s="1"/>
      <c r="U5383" s="1"/>
      <c r="V5383" s="1"/>
      <c r="W5383" s="1"/>
      <c r="X5383" s="1"/>
      <c r="Y5383" s="1"/>
      <c r="AB5383" s="1"/>
      <c r="AC5383" s="1"/>
      <c r="AD5383" s="1"/>
      <c r="AE5383" s="1"/>
      <c r="AF5383" s="1"/>
      <c r="AG5383" s="1"/>
      <c r="AH5383" s="1"/>
      <c r="AI5383" s="1"/>
      <c r="AJ5383" s="1"/>
      <c r="AK5383" s="1"/>
      <c r="AL5383" s="1"/>
      <c r="AM5383" s="1"/>
    </row>
    <row r="5384" spans="16:39" x14ac:dyDescent="0.25">
      <c r="P5384" s="49"/>
      <c r="Q5384" s="1"/>
      <c r="S5384" s="1"/>
      <c r="T5384" s="1"/>
      <c r="U5384" s="1"/>
      <c r="V5384" s="1"/>
      <c r="W5384" s="1"/>
      <c r="X5384" s="1"/>
      <c r="Y5384" s="1"/>
      <c r="AB5384" s="1"/>
      <c r="AC5384" s="1"/>
      <c r="AD5384" s="1"/>
      <c r="AE5384" s="1"/>
      <c r="AF5384" s="1"/>
      <c r="AG5384" s="1"/>
      <c r="AH5384" s="1"/>
      <c r="AI5384" s="1"/>
      <c r="AJ5384" s="1"/>
      <c r="AK5384" s="1"/>
      <c r="AL5384" s="1"/>
      <c r="AM5384" s="1"/>
    </row>
    <row r="5385" spans="16:39" x14ac:dyDescent="0.25">
      <c r="P5385" s="49"/>
      <c r="Q5385" s="1"/>
      <c r="S5385" s="1"/>
      <c r="T5385" s="1"/>
      <c r="U5385" s="1"/>
      <c r="V5385" s="1"/>
      <c r="W5385" s="1"/>
      <c r="X5385" s="1"/>
      <c r="Y5385" s="1"/>
      <c r="AB5385" s="1"/>
      <c r="AC5385" s="1"/>
      <c r="AD5385" s="1"/>
      <c r="AE5385" s="1"/>
      <c r="AF5385" s="1"/>
      <c r="AG5385" s="1"/>
      <c r="AH5385" s="1"/>
      <c r="AI5385" s="1"/>
      <c r="AJ5385" s="1"/>
      <c r="AK5385" s="1"/>
      <c r="AL5385" s="1"/>
      <c r="AM5385" s="1"/>
    </row>
    <row r="5386" spans="16:39" x14ac:dyDescent="0.25">
      <c r="P5386" s="49"/>
      <c r="Q5386" s="1"/>
      <c r="S5386" s="1"/>
      <c r="T5386" s="1"/>
      <c r="U5386" s="1"/>
      <c r="V5386" s="1"/>
      <c r="W5386" s="1"/>
      <c r="X5386" s="1"/>
      <c r="Y5386" s="1"/>
      <c r="AB5386" s="1"/>
      <c r="AC5386" s="1"/>
      <c r="AD5386" s="1"/>
      <c r="AE5386" s="1"/>
      <c r="AF5386" s="1"/>
      <c r="AG5386" s="1"/>
      <c r="AH5386" s="1"/>
      <c r="AI5386" s="1"/>
      <c r="AJ5386" s="1"/>
      <c r="AK5386" s="1"/>
      <c r="AL5386" s="1"/>
      <c r="AM5386" s="1"/>
    </row>
    <row r="5387" spans="16:39" x14ac:dyDescent="0.25">
      <c r="P5387" s="49"/>
      <c r="Q5387" s="1"/>
      <c r="S5387" s="1"/>
      <c r="T5387" s="1"/>
      <c r="U5387" s="1"/>
      <c r="V5387" s="1"/>
      <c r="W5387" s="1"/>
      <c r="X5387" s="1"/>
      <c r="Y5387" s="1"/>
      <c r="AB5387" s="1"/>
      <c r="AC5387" s="1"/>
      <c r="AD5387" s="1"/>
      <c r="AE5387" s="1"/>
      <c r="AF5387" s="1"/>
      <c r="AG5387" s="1"/>
      <c r="AH5387" s="1"/>
      <c r="AI5387" s="1"/>
      <c r="AJ5387" s="1"/>
      <c r="AK5387" s="1"/>
      <c r="AL5387" s="1"/>
      <c r="AM5387" s="1"/>
    </row>
    <row r="5388" spans="16:39" x14ac:dyDescent="0.25">
      <c r="P5388" s="49"/>
      <c r="Q5388" s="1"/>
      <c r="S5388" s="1"/>
      <c r="T5388" s="1"/>
      <c r="U5388" s="1"/>
      <c r="V5388" s="1"/>
      <c r="W5388" s="1"/>
      <c r="X5388" s="1"/>
      <c r="Y5388" s="1"/>
      <c r="AB5388" s="1"/>
      <c r="AC5388" s="1"/>
      <c r="AD5388" s="1"/>
      <c r="AE5388" s="1"/>
      <c r="AF5388" s="1"/>
      <c r="AG5388" s="1"/>
      <c r="AH5388" s="1"/>
      <c r="AI5388" s="1"/>
      <c r="AJ5388" s="1"/>
      <c r="AK5388" s="1"/>
      <c r="AL5388" s="1"/>
      <c r="AM5388" s="1"/>
    </row>
    <row r="5389" spans="16:39" x14ac:dyDescent="0.25">
      <c r="P5389" s="49"/>
      <c r="Q5389" s="1"/>
      <c r="S5389" s="1"/>
      <c r="T5389" s="1"/>
      <c r="U5389" s="1"/>
      <c r="V5389" s="1"/>
      <c r="W5389" s="1"/>
      <c r="X5389" s="1"/>
      <c r="Y5389" s="1"/>
      <c r="AB5389" s="1"/>
      <c r="AC5389" s="1"/>
      <c r="AD5389" s="1"/>
      <c r="AE5389" s="1"/>
      <c r="AF5389" s="1"/>
      <c r="AG5389" s="1"/>
      <c r="AH5389" s="1"/>
      <c r="AI5389" s="1"/>
      <c r="AJ5389" s="1"/>
      <c r="AK5389" s="1"/>
      <c r="AL5389" s="1"/>
      <c r="AM5389" s="1"/>
    </row>
    <row r="5390" spans="16:39" x14ac:dyDescent="0.25">
      <c r="P5390" s="49"/>
      <c r="Q5390" s="1"/>
      <c r="S5390" s="1"/>
      <c r="T5390" s="1"/>
      <c r="U5390" s="1"/>
      <c r="V5390" s="1"/>
      <c r="W5390" s="1"/>
      <c r="X5390" s="1"/>
      <c r="Y5390" s="1"/>
      <c r="AB5390" s="1"/>
      <c r="AC5390" s="1"/>
      <c r="AD5390" s="1"/>
      <c r="AE5390" s="1"/>
      <c r="AF5390" s="1"/>
      <c r="AG5390" s="1"/>
      <c r="AH5390" s="1"/>
      <c r="AI5390" s="1"/>
      <c r="AJ5390" s="1"/>
      <c r="AK5390" s="1"/>
      <c r="AL5390" s="1"/>
      <c r="AM5390" s="1"/>
    </row>
    <row r="5391" spans="16:39" x14ac:dyDescent="0.25">
      <c r="P5391" s="49"/>
      <c r="Q5391" s="1"/>
      <c r="S5391" s="1"/>
      <c r="T5391" s="1"/>
      <c r="U5391" s="1"/>
      <c r="V5391" s="1"/>
      <c r="W5391" s="1"/>
      <c r="X5391" s="1"/>
      <c r="Y5391" s="1"/>
      <c r="AB5391" s="1"/>
      <c r="AC5391" s="1"/>
      <c r="AD5391" s="1"/>
      <c r="AE5391" s="1"/>
      <c r="AF5391" s="1"/>
      <c r="AG5391" s="1"/>
      <c r="AH5391" s="1"/>
      <c r="AI5391" s="1"/>
      <c r="AJ5391" s="1"/>
      <c r="AK5391" s="1"/>
      <c r="AL5391" s="1"/>
      <c r="AM5391" s="1"/>
    </row>
    <row r="5392" spans="16:39" x14ac:dyDescent="0.25">
      <c r="P5392" s="49"/>
      <c r="Q5392" s="1"/>
      <c r="S5392" s="1"/>
      <c r="T5392" s="1"/>
      <c r="U5392" s="1"/>
      <c r="V5392" s="1"/>
      <c r="W5392" s="1"/>
      <c r="X5392" s="1"/>
      <c r="Y5392" s="1"/>
      <c r="AB5392" s="1"/>
      <c r="AC5392" s="1"/>
      <c r="AD5392" s="1"/>
      <c r="AE5392" s="1"/>
      <c r="AF5392" s="1"/>
      <c r="AG5392" s="1"/>
      <c r="AH5392" s="1"/>
      <c r="AI5392" s="1"/>
      <c r="AJ5392" s="1"/>
      <c r="AK5392" s="1"/>
      <c r="AL5392" s="1"/>
      <c r="AM5392" s="1"/>
    </row>
    <row r="5393" spans="16:39" x14ac:dyDescent="0.25">
      <c r="P5393" s="49"/>
      <c r="Q5393" s="1"/>
      <c r="S5393" s="1"/>
      <c r="T5393" s="1"/>
      <c r="U5393" s="1"/>
      <c r="V5393" s="1"/>
      <c r="W5393" s="1"/>
      <c r="X5393" s="1"/>
      <c r="Y5393" s="1"/>
      <c r="AB5393" s="1"/>
      <c r="AC5393" s="1"/>
      <c r="AD5393" s="1"/>
      <c r="AE5393" s="1"/>
      <c r="AF5393" s="1"/>
      <c r="AG5393" s="1"/>
      <c r="AH5393" s="1"/>
      <c r="AI5393" s="1"/>
      <c r="AJ5393" s="1"/>
      <c r="AK5393" s="1"/>
      <c r="AL5393" s="1"/>
      <c r="AM5393" s="1"/>
    </row>
    <row r="5394" spans="16:39" x14ac:dyDescent="0.25">
      <c r="P5394" s="49"/>
      <c r="Q5394" s="1"/>
      <c r="S5394" s="1"/>
      <c r="T5394" s="1"/>
      <c r="U5394" s="1"/>
      <c r="V5394" s="1"/>
      <c r="W5394" s="1"/>
      <c r="X5394" s="1"/>
      <c r="Y5394" s="1"/>
      <c r="AB5394" s="1"/>
      <c r="AC5394" s="1"/>
      <c r="AD5394" s="1"/>
      <c r="AE5394" s="1"/>
      <c r="AF5394" s="1"/>
      <c r="AG5394" s="1"/>
      <c r="AH5394" s="1"/>
      <c r="AI5394" s="1"/>
      <c r="AJ5394" s="1"/>
      <c r="AK5394" s="1"/>
      <c r="AL5394" s="1"/>
      <c r="AM5394" s="1"/>
    </row>
    <row r="5395" spans="16:39" x14ac:dyDescent="0.25">
      <c r="P5395" s="49"/>
      <c r="Q5395" s="1"/>
      <c r="S5395" s="1"/>
      <c r="T5395" s="1"/>
      <c r="U5395" s="1"/>
      <c r="V5395" s="1"/>
      <c r="W5395" s="1"/>
      <c r="X5395" s="1"/>
      <c r="Y5395" s="1"/>
      <c r="AB5395" s="1"/>
      <c r="AC5395" s="1"/>
      <c r="AD5395" s="1"/>
      <c r="AE5395" s="1"/>
      <c r="AF5395" s="1"/>
      <c r="AG5395" s="1"/>
      <c r="AH5395" s="1"/>
      <c r="AI5395" s="1"/>
      <c r="AJ5395" s="1"/>
      <c r="AK5395" s="1"/>
      <c r="AL5395" s="1"/>
      <c r="AM5395" s="1"/>
    </row>
    <row r="5396" spans="16:39" x14ac:dyDescent="0.25">
      <c r="P5396" s="49"/>
      <c r="Q5396" s="1"/>
      <c r="S5396" s="1"/>
      <c r="T5396" s="1"/>
      <c r="U5396" s="1"/>
      <c r="V5396" s="1"/>
      <c r="W5396" s="1"/>
      <c r="X5396" s="1"/>
      <c r="Y5396" s="1"/>
      <c r="AB5396" s="1"/>
      <c r="AC5396" s="1"/>
      <c r="AD5396" s="1"/>
      <c r="AE5396" s="1"/>
      <c r="AF5396" s="1"/>
      <c r="AG5396" s="1"/>
      <c r="AH5396" s="1"/>
      <c r="AI5396" s="1"/>
      <c r="AJ5396" s="1"/>
      <c r="AK5396" s="1"/>
      <c r="AL5396" s="1"/>
      <c r="AM5396" s="1"/>
    </row>
    <row r="5397" spans="16:39" x14ac:dyDescent="0.25">
      <c r="P5397" s="49"/>
      <c r="Q5397" s="1"/>
      <c r="S5397" s="1"/>
      <c r="T5397" s="1"/>
      <c r="U5397" s="1"/>
      <c r="V5397" s="1"/>
      <c r="W5397" s="1"/>
      <c r="X5397" s="1"/>
      <c r="Y5397" s="1"/>
      <c r="AB5397" s="1"/>
      <c r="AC5397" s="1"/>
      <c r="AD5397" s="1"/>
      <c r="AE5397" s="1"/>
      <c r="AF5397" s="1"/>
      <c r="AG5397" s="1"/>
      <c r="AH5397" s="1"/>
      <c r="AI5397" s="1"/>
      <c r="AJ5397" s="1"/>
      <c r="AK5397" s="1"/>
      <c r="AL5397" s="1"/>
      <c r="AM5397" s="1"/>
    </row>
    <row r="5398" spans="16:39" x14ac:dyDescent="0.25">
      <c r="P5398" s="49"/>
      <c r="Q5398" s="1"/>
      <c r="S5398" s="1"/>
      <c r="T5398" s="1"/>
      <c r="U5398" s="1"/>
      <c r="V5398" s="1"/>
      <c r="W5398" s="1"/>
      <c r="X5398" s="1"/>
      <c r="Y5398" s="1"/>
      <c r="AB5398" s="1"/>
      <c r="AC5398" s="1"/>
      <c r="AD5398" s="1"/>
      <c r="AE5398" s="1"/>
      <c r="AF5398" s="1"/>
      <c r="AG5398" s="1"/>
      <c r="AH5398" s="1"/>
      <c r="AI5398" s="1"/>
      <c r="AJ5398" s="1"/>
      <c r="AK5398" s="1"/>
      <c r="AL5398" s="1"/>
      <c r="AM5398" s="1"/>
    </row>
    <row r="5399" spans="16:39" x14ac:dyDescent="0.25">
      <c r="P5399" s="49"/>
      <c r="Q5399" s="1"/>
      <c r="S5399" s="1"/>
      <c r="T5399" s="1"/>
      <c r="U5399" s="1"/>
      <c r="V5399" s="1"/>
      <c r="W5399" s="1"/>
      <c r="X5399" s="1"/>
      <c r="Y5399" s="1"/>
      <c r="AB5399" s="1"/>
      <c r="AC5399" s="1"/>
      <c r="AD5399" s="1"/>
      <c r="AE5399" s="1"/>
      <c r="AF5399" s="1"/>
      <c r="AG5399" s="1"/>
      <c r="AH5399" s="1"/>
      <c r="AI5399" s="1"/>
      <c r="AJ5399" s="1"/>
      <c r="AK5399" s="1"/>
      <c r="AL5399" s="1"/>
      <c r="AM5399" s="1"/>
    </row>
    <row r="5400" spans="16:39" x14ac:dyDescent="0.25">
      <c r="P5400" s="49"/>
      <c r="Q5400" s="1"/>
      <c r="S5400" s="1"/>
      <c r="T5400" s="1"/>
      <c r="U5400" s="1"/>
      <c r="V5400" s="1"/>
      <c r="W5400" s="1"/>
      <c r="X5400" s="1"/>
      <c r="Y5400" s="1"/>
      <c r="AB5400" s="1"/>
      <c r="AC5400" s="1"/>
      <c r="AD5400" s="1"/>
      <c r="AE5400" s="1"/>
      <c r="AF5400" s="1"/>
      <c r="AG5400" s="1"/>
      <c r="AH5400" s="1"/>
      <c r="AI5400" s="1"/>
      <c r="AJ5400" s="1"/>
      <c r="AK5400" s="1"/>
      <c r="AL5400" s="1"/>
      <c r="AM5400" s="1"/>
    </row>
    <row r="5401" spans="16:39" x14ac:dyDescent="0.25">
      <c r="P5401" s="49"/>
      <c r="Q5401" s="1"/>
      <c r="S5401" s="1"/>
      <c r="T5401" s="1"/>
      <c r="U5401" s="1"/>
      <c r="V5401" s="1"/>
      <c r="W5401" s="1"/>
      <c r="X5401" s="1"/>
      <c r="Y5401" s="1"/>
      <c r="AB5401" s="1"/>
      <c r="AC5401" s="1"/>
      <c r="AD5401" s="1"/>
      <c r="AE5401" s="1"/>
      <c r="AF5401" s="1"/>
      <c r="AG5401" s="1"/>
      <c r="AH5401" s="1"/>
      <c r="AI5401" s="1"/>
      <c r="AJ5401" s="1"/>
      <c r="AK5401" s="1"/>
      <c r="AL5401" s="1"/>
      <c r="AM5401" s="1"/>
    </row>
    <row r="5402" spans="16:39" x14ac:dyDescent="0.25">
      <c r="P5402" s="49"/>
      <c r="Q5402" s="1"/>
      <c r="S5402" s="1"/>
      <c r="T5402" s="1"/>
      <c r="U5402" s="1"/>
      <c r="V5402" s="1"/>
      <c r="W5402" s="1"/>
      <c r="X5402" s="1"/>
      <c r="Y5402" s="1"/>
      <c r="AB5402" s="1"/>
      <c r="AC5402" s="1"/>
      <c r="AD5402" s="1"/>
      <c r="AE5402" s="1"/>
      <c r="AF5402" s="1"/>
      <c r="AG5402" s="1"/>
      <c r="AH5402" s="1"/>
      <c r="AI5402" s="1"/>
      <c r="AJ5402" s="1"/>
      <c r="AK5402" s="1"/>
      <c r="AL5402" s="1"/>
      <c r="AM5402" s="1"/>
    </row>
    <row r="5403" spans="16:39" x14ac:dyDescent="0.25">
      <c r="P5403" s="49"/>
      <c r="Q5403" s="1"/>
      <c r="S5403" s="1"/>
      <c r="T5403" s="1"/>
      <c r="U5403" s="1"/>
      <c r="V5403" s="1"/>
      <c r="W5403" s="1"/>
      <c r="X5403" s="1"/>
      <c r="Y5403" s="1"/>
      <c r="AB5403" s="1"/>
      <c r="AC5403" s="1"/>
      <c r="AD5403" s="1"/>
      <c r="AE5403" s="1"/>
      <c r="AF5403" s="1"/>
      <c r="AG5403" s="1"/>
      <c r="AH5403" s="1"/>
      <c r="AI5403" s="1"/>
      <c r="AJ5403" s="1"/>
      <c r="AK5403" s="1"/>
      <c r="AL5403" s="1"/>
      <c r="AM5403" s="1"/>
    </row>
    <row r="5404" spans="16:39" x14ac:dyDescent="0.25">
      <c r="P5404" s="49"/>
      <c r="Q5404" s="1"/>
      <c r="S5404" s="1"/>
      <c r="T5404" s="1"/>
      <c r="U5404" s="1"/>
      <c r="V5404" s="1"/>
      <c r="W5404" s="1"/>
      <c r="X5404" s="1"/>
      <c r="Y5404" s="1"/>
      <c r="AB5404" s="1"/>
      <c r="AC5404" s="1"/>
      <c r="AD5404" s="1"/>
      <c r="AE5404" s="1"/>
      <c r="AF5404" s="1"/>
      <c r="AG5404" s="1"/>
      <c r="AH5404" s="1"/>
      <c r="AI5404" s="1"/>
      <c r="AJ5404" s="1"/>
      <c r="AK5404" s="1"/>
      <c r="AL5404" s="1"/>
      <c r="AM5404" s="1"/>
    </row>
    <row r="5405" spans="16:39" x14ac:dyDescent="0.25">
      <c r="P5405" s="49"/>
      <c r="Q5405" s="1"/>
      <c r="S5405" s="1"/>
      <c r="T5405" s="1"/>
      <c r="U5405" s="1"/>
      <c r="V5405" s="1"/>
      <c r="W5405" s="1"/>
      <c r="X5405" s="1"/>
      <c r="Y5405" s="1"/>
      <c r="AB5405" s="1"/>
      <c r="AC5405" s="1"/>
      <c r="AD5405" s="1"/>
      <c r="AE5405" s="1"/>
      <c r="AF5405" s="1"/>
      <c r="AG5405" s="1"/>
      <c r="AH5405" s="1"/>
      <c r="AI5405" s="1"/>
      <c r="AJ5405" s="1"/>
      <c r="AK5405" s="1"/>
      <c r="AL5405" s="1"/>
      <c r="AM5405" s="1"/>
    </row>
    <row r="5406" spans="16:39" x14ac:dyDescent="0.25">
      <c r="P5406" s="49"/>
      <c r="Q5406" s="1"/>
      <c r="S5406" s="1"/>
      <c r="T5406" s="1"/>
      <c r="U5406" s="1"/>
      <c r="V5406" s="1"/>
      <c r="W5406" s="1"/>
      <c r="X5406" s="1"/>
      <c r="Y5406" s="1"/>
      <c r="AB5406" s="1"/>
      <c r="AC5406" s="1"/>
      <c r="AD5406" s="1"/>
      <c r="AE5406" s="1"/>
      <c r="AF5406" s="1"/>
      <c r="AG5406" s="1"/>
      <c r="AH5406" s="1"/>
      <c r="AI5406" s="1"/>
      <c r="AJ5406" s="1"/>
      <c r="AK5406" s="1"/>
      <c r="AL5406" s="1"/>
      <c r="AM5406" s="1"/>
    </row>
    <row r="5407" spans="16:39" x14ac:dyDescent="0.25">
      <c r="P5407" s="49"/>
      <c r="Q5407" s="1"/>
      <c r="S5407" s="1"/>
      <c r="T5407" s="1"/>
      <c r="U5407" s="1"/>
      <c r="V5407" s="1"/>
      <c r="W5407" s="1"/>
      <c r="X5407" s="1"/>
      <c r="Y5407" s="1"/>
      <c r="AB5407" s="1"/>
      <c r="AC5407" s="1"/>
      <c r="AD5407" s="1"/>
      <c r="AE5407" s="1"/>
      <c r="AF5407" s="1"/>
      <c r="AG5407" s="1"/>
      <c r="AH5407" s="1"/>
      <c r="AI5407" s="1"/>
      <c r="AJ5407" s="1"/>
      <c r="AK5407" s="1"/>
      <c r="AL5407" s="1"/>
      <c r="AM5407" s="1"/>
    </row>
    <row r="5408" spans="16:39" x14ac:dyDescent="0.25">
      <c r="P5408" s="49"/>
      <c r="Q5408" s="1"/>
      <c r="S5408" s="1"/>
      <c r="T5408" s="1"/>
      <c r="U5408" s="1"/>
      <c r="V5408" s="1"/>
      <c r="W5408" s="1"/>
      <c r="X5408" s="1"/>
      <c r="Y5408" s="1"/>
      <c r="AB5408" s="1"/>
      <c r="AC5408" s="1"/>
      <c r="AD5408" s="1"/>
      <c r="AE5408" s="1"/>
      <c r="AF5408" s="1"/>
      <c r="AG5408" s="1"/>
      <c r="AH5408" s="1"/>
      <c r="AI5408" s="1"/>
      <c r="AJ5408" s="1"/>
      <c r="AK5408" s="1"/>
      <c r="AL5408" s="1"/>
      <c r="AM5408" s="1"/>
    </row>
    <row r="5409" spans="16:39" x14ac:dyDescent="0.25">
      <c r="P5409" s="49"/>
      <c r="Q5409" s="1"/>
      <c r="S5409" s="1"/>
      <c r="T5409" s="1"/>
      <c r="U5409" s="1"/>
      <c r="V5409" s="1"/>
      <c r="W5409" s="1"/>
      <c r="X5409" s="1"/>
      <c r="Y5409" s="1"/>
      <c r="AB5409" s="1"/>
      <c r="AC5409" s="1"/>
      <c r="AD5409" s="1"/>
      <c r="AE5409" s="1"/>
      <c r="AF5409" s="1"/>
      <c r="AG5409" s="1"/>
      <c r="AH5409" s="1"/>
      <c r="AI5409" s="1"/>
      <c r="AJ5409" s="1"/>
      <c r="AK5409" s="1"/>
      <c r="AL5409" s="1"/>
      <c r="AM5409" s="1"/>
    </row>
    <row r="5410" spans="16:39" x14ac:dyDescent="0.25">
      <c r="P5410" s="49"/>
      <c r="Q5410" s="1"/>
      <c r="S5410" s="1"/>
      <c r="T5410" s="1"/>
      <c r="U5410" s="1"/>
      <c r="V5410" s="1"/>
      <c r="W5410" s="1"/>
      <c r="X5410" s="1"/>
      <c r="Y5410" s="1"/>
      <c r="AB5410" s="1"/>
      <c r="AC5410" s="1"/>
      <c r="AD5410" s="1"/>
      <c r="AE5410" s="1"/>
      <c r="AF5410" s="1"/>
      <c r="AG5410" s="1"/>
      <c r="AH5410" s="1"/>
      <c r="AI5410" s="1"/>
      <c r="AJ5410" s="1"/>
      <c r="AK5410" s="1"/>
      <c r="AL5410" s="1"/>
      <c r="AM5410" s="1"/>
    </row>
    <row r="5411" spans="16:39" x14ac:dyDescent="0.25">
      <c r="P5411" s="49"/>
      <c r="Q5411" s="1"/>
      <c r="S5411" s="1"/>
      <c r="T5411" s="1"/>
      <c r="U5411" s="1"/>
      <c r="V5411" s="1"/>
      <c r="W5411" s="1"/>
      <c r="X5411" s="1"/>
      <c r="Y5411" s="1"/>
      <c r="AB5411" s="1"/>
      <c r="AC5411" s="1"/>
      <c r="AD5411" s="1"/>
      <c r="AE5411" s="1"/>
      <c r="AF5411" s="1"/>
      <c r="AG5411" s="1"/>
      <c r="AH5411" s="1"/>
      <c r="AI5411" s="1"/>
      <c r="AJ5411" s="1"/>
      <c r="AK5411" s="1"/>
      <c r="AL5411" s="1"/>
      <c r="AM5411" s="1"/>
    </row>
    <row r="5412" spans="16:39" x14ac:dyDescent="0.25">
      <c r="P5412" s="49"/>
      <c r="Q5412" s="1"/>
      <c r="S5412" s="1"/>
      <c r="T5412" s="1"/>
      <c r="U5412" s="1"/>
      <c r="V5412" s="1"/>
      <c r="W5412" s="1"/>
      <c r="X5412" s="1"/>
      <c r="Y5412" s="1"/>
      <c r="AB5412" s="1"/>
      <c r="AC5412" s="1"/>
      <c r="AD5412" s="1"/>
      <c r="AE5412" s="1"/>
      <c r="AF5412" s="1"/>
      <c r="AG5412" s="1"/>
      <c r="AH5412" s="1"/>
      <c r="AI5412" s="1"/>
      <c r="AJ5412" s="1"/>
      <c r="AK5412" s="1"/>
      <c r="AL5412" s="1"/>
      <c r="AM5412" s="1"/>
    </row>
    <row r="5413" spans="16:39" x14ac:dyDescent="0.25">
      <c r="P5413" s="49"/>
      <c r="Q5413" s="1"/>
      <c r="S5413" s="1"/>
      <c r="T5413" s="1"/>
      <c r="U5413" s="1"/>
      <c r="V5413" s="1"/>
      <c r="W5413" s="1"/>
      <c r="X5413" s="1"/>
      <c r="Y5413" s="1"/>
      <c r="AB5413" s="1"/>
      <c r="AC5413" s="1"/>
      <c r="AD5413" s="1"/>
      <c r="AE5413" s="1"/>
      <c r="AF5413" s="1"/>
      <c r="AG5413" s="1"/>
      <c r="AH5413" s="1"/>
      <c r="AI5413" s="1"/>
      <c r="AJ5413" s="1"/>
      <c r="AK5413" s="1"/>
      <c r="AL5413" s="1"/>
      <c r="AM5413" s="1"/>
    </row>
    <row r="5414" spans="16:39" x14ac:dyDescent="0.25">
      <c r="P5414" s="49"/>
      <c r="Q5414" s="1"/>
      <c r="S5414" s="1"/>
      <c r="T5414" s="1"/>
      <c r="U5414" s="1"/>
      <c r="V5414" s="1"/>
      <c r="W5414" s="1"/>
      <c r="X5414" s="1"/>
      <c r="Y5414" s="1"/>
      <c r="AB5414" s="1"/>
      <c r="AC5414" s="1"/>
      <c r="AD5414" s="1"/>
      <c r="AE5414" s="1"/>
      <c r="AF5414" s="1"/>
      <c r="AG5414" s="1"/>
      <c r="AH5414" s="1"/>
      <c r="AI5414" s="1"/>
      <c r="AJ5414" s="1"/>
      <c r="AK5414" s="1"/>
      <c r="AL5414" s="1"/>
      <c r="AM5414" s="1"/>
    </row>
    <row r="5415" spans="16:39" x14ac:dyDescent="0.25">
      <c r="P5415" s="49"/>
      <c r="Q5415" s="1"/>
      <c r="S5415" s="1"/>
      <c r="T5415" s="1"/>
      <c r="U5415" s="1"/>
      <c r="V5415" s="1"/>
      <c r="W5415" s="1"/>
      <c r="X5415" s="1"/>
      <c r="Y5415" s="1"/>
      <c r="AB5415" s="1"/>
      <c r="AC5415" s="1"/>
      <c r="AD5415" s="1"/>
      <c r="AE5415" s="1"/>
      <c r="AF5415" s="1"/>
      <c r="AG5415" s="1"/>
      <c r="AH5415" s="1"/>
      <c r="AI5415" s="1"/>
      <c r="AJ5415" s="1"/>
      <c r="AK5415" s="1"/>
      <c r="AL5415" s="1"/>
      <c r="AM5415" s="1"/>
    </row>
    <row r="5416" spans="16:39" x14ac:dyDescent="0.25">
      <c r="P5416" s="49"/>
      <c r="Q5416" s="1"/>
      <c r="S5416" s="1"/>
      <c r="T5416" s="1"/>
      <c r="U5416" s="1"/>
      <c r="V5416" s="1"/>
      <c r="W5416" s="1"/>
      <c r="X5416" s="1"/>
      <c r="Y5416" s="1"/>
      <c r="AB5416" s="1"/>
      <c r="AC5416" s="1"/>
      <c r="AD5416" s="1"/>
      <c r="AE5416" s="1"/>
      <c r="AF5416" s="1"/>
      <c r="AG5416" s="1"/>
      <c r="AH5416" s="1"/>
      <c r="AI5416" s="1"/>
      <c r="AJ5416" s="1"/>
      <c r="AK5416" s="1"/>
      <c r="AL5416" s="1"/>
      <c r="AM5416" s="1"/>
    </row>
    <row r="5417" spans="16:39" x14ac:dyDescent="0.25">
      <c r="P5417" s="49"/>
      <c r="Q5417" s="1"/>
      <c r="S5417" s="1"/>
      <c r="T5417" s="1"/>
      <c r="U5417" s="1"/>
      <c r="V5417" s="1"/>
      <c r="W5417" s="1"/>
      <c r="X5417" s="1"/>
      <c r="Y5417" s="1"/>
      <c r="AB5417" s="1"/>
      <c r="AC5417" s="1"/>
      <c r="AD5417" s="1"/>
      <c r="AE5417" s="1"/>
      <c r="AF5417" s="1"/>
      <c r="AG5417" s="1"/>
      <c r="AH5417" s="1"/>
      <c r="AI5417" s="1"/>
      <c r="AJ5417" s="1"/>
      <c r="AK5417" s="1"/>
      <c r="AL5417" s="1"/>
      <c r="AM5417" s="1"/>
    </row>
    <row r="5418" spans="16:39" x14ac:dyDescent="0.25">
      <c r="P5418" s="49"/>
      <c r="Q5418" s="1"/>
      <c r="S5418" s="1"/>
      <c r="T5418" s="1"/>
      <c r="U5418" s="1"/>
      <c r="V5418" s="1"/>
      <c r="W5418" s="1"/>
      <c r="X5418" s="1"/>
      <c r="Y5418" s="1"/>
      <c r="AB5418" s="1"/>
      <c r="AC5418" s="1"/>
      <c r="AD5418" s="1"/>
      <c r="AE5418" s="1"/>
      <c r="AF5418" s="1"/>
      <c r="AG5418" s="1"/>
      <c r="AH5418" s="1"/>
      <c r="AI5418" s="1"/>
      <c r="AJ5418" s="1"/>
      <c r="AK5418" s="1"/>
      <c r="AL5418" s="1"/>
      <c r="AM5418" s="1"/>
    </row>
    <row r="5419" spans="16:39" x14ac:dyDescent="0.25">
      <c r="P5419" s="49"/>
      <c r="Q5419" s="1"/>
      <c r="S5419" s="1"/>
      <c r="T5419" s="1"/>
      <c r="U5419" s="1"/>
      <c r="V5419" s="1"/>
      <c r="W5419" s="1"/>
      <c r="X5419" s="1"/>
      <c r="Y5419" s="1"/>
      <c r="AB5419" s="1"/>
      <c r="AC5419" s="1"/>
      <c r="AD5419" s="1"/>
      <c r="AE5419" s="1"/>
      <c r="AF5419" s="1"/>
      <c r="AG5419" s="1"/>
      <c r="AH5419" s="1"/>
      <c r="AI5419" s="1"/>
      <c r="AJ5419" s="1"/>
      <c r="AK5419" s="1"/>
      <c r="AL5419" s="1"/>
      <c r="AM5419" s="1"/>
    </row>
    <row r="5420" spans="16:39" x14ac:dyDescent="0.25">
      <c r="P5420" s="49"/>
      <c r="Q5420" s="1"/>
      <c r="S5420" s="1"/>
      <c r="T5420" s="1"/>
      <c r="U5420" s="1"/>
      <c r="V5420" s="1"/>
      <c r="W5420" s="1"/>
      <c r="X5420" s="1"/>
      <c r="Y5420" s="1"/>
      <c r="AB5420" s="1"/>
      <c r="AC5420" s="1"/>
      <c r="AD5420" s="1"/>
      <c r="AE5420" s="1"/>
      <c r="AF5420" s="1"/>
      <c r="AG5420" s="1"/>
      <c r="AH5420" s="1"/>
      <c r="AI5420" s="1"/>
      <c r="AJ5420" s="1"/>
      <c r="AK5420" s="1"/>
      <c r="AL5420" s="1"/>
      <c r="AM5420" s="1"/>
    </row>
    <row r="5421" spans="16:39" x14ac:dyDescent="0.25">
      <c r="P5421" s="49"/>
      <c r="Q5421" s="1"/>
      <c r="S5421" s="1"/>
      <c r="T5421" s="1"/>
      <c r="U5421" s="1"/>
      <c r="V5421" s="1"/>
      <c r="W5421" s="1"/>
      <c r="X5421" s="1"/>
      <c r="Y5421" s="1"/>
      <c r="AB5421" s="1"/>
      <c r="AC5421" s="1"/>
      <c r="AD5421" s="1"/>
      <c r="AE5421" s="1"/>
      <c r="AF5421" s="1"/>
      <c r="AG5421" s="1"/>
      <c r="AH5421" s="1"/>
      <c r="AI5421" s="1"/>
      <c r="AJ5421" s="1"/>
      <c r="AK5421" s="1"/>
      <c r="AL5421" s="1"/>
      <c r="AM5421" s="1"/>
    </row>
    <row r="5422" spans="16:39" x14ac:dyDescent="0.25">
      <c r="P5422" s="49"/>
      <c r="Q5422" s="1"/>
      <c r="S5422" s="1"/>
      <c r="T5422" s="1"/>
      <c r="U5422" s="1"/>
      <c r="V5422" s="1"/>
      <c r="W5422" s="1"/>
      <c r="X5422" s="1"/>
      <c r="Y5422" s="1"/>
      <c r="AB5422" s="1"/>
      <c r="AC5422" s="1"/>
      <c r="AD5422" s="1"/>
      <c r="AE5422" s="1"/>
      <c r="AF5422" s="1"/>
      <c r="AG5422" s="1"/>
      <c r="AH5422" s="1"/>
      <c r="AI5422" s="1"/>
      <c r="AJ5422" s="1"/>
      <c r="AK5422" s="1"/>
      <c r="AL5422" s="1"/>
      <c r="AM5422" s="1"/>
    </row>
    <row r="5423" spans="16:39" x14ac:dyDescent="0.25">
      <c r="P5423" s="49"/>
      <c r="Q5423" s="1"/>
      <c r="S5423" s="1"/>
      <c r="T5423" s="1"/>
      <c r="U5423" s="1"/>
      <c r="V5423" s="1"/>
      <c r="W5423" s="1"/>
      <c r="X5423" s="1"/>
      <c r="Y5423" s="1"/>
      <c r="AB5423" s="1"/>
      <c r="AC5423" s="1"/>
      <c r="AD5423" s="1"/>
      <c r="AE5423" s="1"/>
      <c r="AF5423" s="1"/>
      <c r="AG5423" s="1"/>
      <c r="AH5423" s="1"/>
      <c r="AI5423" s="1"/>
      <c r="AJ5423" s="1"/>
      <c r="AK5423" s="1"/>
      <c r="AL5423" s="1"/>
      <c r="AM5423" s="1"/>
    </row>
    <row r="5424" spans="16:39" x14ac:dyDescent="0.25">
      <c r="P5424" s="49"/>
      <c r="Q5424" s="1"/>
      <c r="S5424" s="1"/>
      <c r="T5424" s="1"/>
      <c r="U5424" s="1"/>
      <c r="V5424" s="1"/>
      <c r="W5424" s="1"/>
      <c r="X5424" s="1"/>
      <c r="Y5424" s="1"/>
      <c r="AB5424" s="1"/>
      <c r="AC5424" s="1"/>
      <c r="AD5424" s="1"/>
      <c r="AE5424" s="1"/>
      <c r="AF5424" s="1"/>
      <c r="AG5424" s="1"/>
      <c r="AH5424" s="1"/>
      <c r="AI5424" s="1"/>
      <c r="AJ5424" s="1"/>
      <c r="AK5424" s="1"/>
      <c r="AL5424" s="1"/>
      <c r="AM5424" s="1"/>
    </row>
    <row r="5425" spans="16:39" x14ac:dyDescent="0.25">
      <c r="P5425" s="49"/>
      <c r="Q5425" s="1"/>
      <c r="S5425" s="1"/>
      <c r="T5425" s="1"/>
      <c r="U5425" s="1"/>
      <c r="V5425" s="1"/>
      <c r="W5425" s="1"/>
      <c r="X5425" s="1"/>
      <c r="Y5425" s="1"/>
      <c r="AB5425" s="1"/>
      <c r="AC5425" s="1"/>
      <c r="AD5425" s="1"/>
      <c r="AE5425" s="1"/>
      <c r="AF5425" s="1"/>
      <c r="AG5425" s="1"/>
      <c r="AH5425" s="1"/>
      <c r="AI5425" s="1"/>
      <c r="AJ5425" s="1"/>
      <c r="AK5425" s="1"/>
      <c r="AL5425" s="1"/>
      <c r="AM5425" s="1"/>
    </row>
    <row r="5426" spans="16:39" x14ac:dyDescent="0.25">
      <c r="P5426" s="49"/>
      <c r="Q5426" s="1"/>
      <c r="S5426" s="1"/>
      <c r="T5426" s="1"/>
      <c r="U5426" s="1"/>
      <c r="V5426" s="1"/>
      <c r="W5426" s="1"/>
      <c r="X5426" s="1"/>
      <c r="Y5426" s="1"/>
      <c r="AB5426" s="1"/>
      <c r="AC5426" s="1"/>
      <c r="AD5426" s="1"/>
      <c r="AE5426" s="1"/>
      <c r="AF5426" s="1"/>
      <c r="AG5426" s="1"/>
      <c r="AH5426" s="1"/>
      <c r="AI5426" s="1"/>
      <c r="AJ5426" s="1"/>
      <c r="AK5426" s="1"/>
      <c r="AL5426" s="1"/>
      <c r="AM5426" s="1"/>
    </row>
    <row r="5427" spans="16:39" x14ac:dyDescent="0.25">
      <c r="P5427" s="49"/>
      <c r="Q5427" s="1"/>
      <c r="S5427" s="1"/>
      <c r="T5427" s="1"/>
      <c r="U5427" s="1"/>
      <c r="V5427" s="1"/>
      <c r="W5427" s="1"/>
      <c r="X5427" s="1"/>
      <c r="Y5427" s="1"/>
      <c r="AB5427" s="1"/>
      <c r="AC5427" s="1"/>
      <c r="AD5427" s="1"/>
      <c r="AE5427" s="1"/>
      <c r="AF5427" s="1"/>
      <c r="AG5427" s="1"/>
      <c r="AH5427" s="1"/>
      <c r="AI5427" s="1"/>
      <c r="AJ5427" s="1"/>
      <c r="AK5427" s="1"/>
      <c r="AL5427" s="1"/>
      <c r="AM5427" s="1"/>
    </row>
    <row r="5428" spans="16:39" x14ac:dyDescent="0.25">
      <c r="P5428" s="49"/>
      <c r="Q5428" s="1"/>
      <c r="S5428" s="1"/>
      <c r="T5428" s="1"/>
      <c r="U5428" s="1"/>
      <c r="V5428" s="1"/>
      <c r="W5428" s="1"/>
      <c r="X5428" s="1"/>
      <c r="Y5428" s="1"/>
      <c r="AB5428" s="1"/>
      <c r="AC5428" s="1"/>
      <c r="AD5428" s="1"/>
      <c r="AE5428" s="1"/>
      <c r="AF5428" s="1"/>
      <c r="AG5428" s="1"/>
      <c r="AH5428" s="1"/>
      <c r="AI5428" s="1"/>
      <c r="AJ5428" s="1"/>
      <c r="AK5428" s="1"/>
      <c r="AL5428" s="1"/>
      <c r="AM5428" s="1"/>
    </row>
    <row r="5429" spans="16:39" x14ac:dyDescent="0.25">
      <c r="P5429" s="49"/>
      <c r="Q5429" s="1"/>
      <c r="S5429" s="1"/>
      <c r="T5429" s="1"/>
      <c r="U5429" s="1"/>
      <c r="V5429" s="1"/>
      <c r="W5429" s="1"/>
      <c r="X5429" s="1"/>
      <c r="Y5429" s="1"/>
      <c r="AB5429" s="1"/>
      <c r="AC5429" s="1"/>
      <c r="AD5429" s="1"/>
      <c r="AE5429" s="1"/>
      <c r="AF5429" s="1"/>
      <c r="AG5429" s="1"/>
      <c r="AH5429" s="1"/>
      <c r="AI5429" s="1"/>
      <c r="AJ5429" s="1"/>
      <c r="AK5429" s="1"/>
      <c r="AL5429" s="1"/>
      <c r="AM5429" s="1"/>
    </row>
    <row r="5430" spans="16:39" x14ac:dyDescent="0.25">
      <c r="P5430" s="49"/>
      <c r="Q5430" s="1"/>
      <c r="S5430" s="1"/>
      <c r="T5430" s="1"/>
      <c r="U5430" s="1"/>
      <c r="V5430" s="1"/>
      <c r="W5430" s="1"/>
      <c r="X5430" s="1"/>
      <c r="Y5430" s="1"/>
      <c r="AB5430" s="1"/>
      <c r="AC5430" s="1"/>
      <c r="AD5430" s="1"/>
      <c r="AE5430" s="1"/>
      <c r="AF5430" s="1"/>
      <c r="AG5430" s="1"/>
      <c r="AH5430" s="1"/>
      <c r="AI5430" s="1"/>
      <c r="AJ5430" s="1"/>
      <c r="AK5430" s="1"/>
      <c r="AL5430" s="1"/>
      <c r="AM5430" s="1"/>
    </row>
    <row r="5431" spans="16:39" x14ac:dyDescent="0.25">
      <c r="P5431" s="49"/>
      <c r="Q5431" s="1"/>
      <c r="S5431" s="1"/>
      <c r="T5431" s="1"/>
      <c r="U5431" s="1"/>
      <c r="V5431" s="1"/>
      <c r="W5431" s="1"/>
      <c r="X5431" s="1"/>
      <c r="Y5431" s="1"/>
      <c r="AB5431" s="1"/>
      <c r="AC5431" s="1"/>
      <c r="AD5431" s="1"/>
      <c r="AE5431" s="1"/>
      <c r="AF5431" s="1"/>
      <c r="AG5431" s="1"/>
      <c r="AH5431" s="1"/>
      <c r="AI5431" s="1"/>
      <c r="AJ5431" s="1"/>
      <c r="AK5431" s="1"/>
      <c r="AL5431" s="1"/>
      <c r="AM5431" s="1"/>
    </row>
    <row r="5432" spans="16:39" x14ac:dyDescent="0.25">
      <c r="P5432" s="49"/>
      <c r="Q5432" s="1"/>
      <c r="S5432" s="1"/>
      <c r="T5432" s="1"/>
      <c r="U5432" s="1"/>
      <c r="V5432" s="1"/>
      <c r="W5432" s="1"/>
      <c r="X5432" s="1"/>
      <c r="Y5432" s="1"/>
      <c r="AB5432" s="1"/>
      <c r="AC5432" s="1"/>
      <c r="AD5432" s="1"/>
      <c r="AE5432" s="1"/>
      <c r="AF5432" s="1"/>
      <c r="AG5432" s="1"/>
      <c r="AH5432" s="1"/>
      <c r="AI5432" s="1"/>
      <c r="AJ5432" s="1"/>
      <c r="AK5432" s="1"/>
      <c r="AL5432" s="1"/>
      <c r="AM5432" s="1"/>
    </row>
    <row r="5433" spans="16:39" x14ac:dyDescent="0.25">
      <c r="P5433" s="49"/>
      <c r="Q5433" s="1"/>
      <c r="S5433" s="1"/>
      <c r="T5433" s="1"/>
      <c r="U5433" s="1"/>
      <c r="V5433" s="1"/>
      <c r="W5433" s="1"/>
      <c r="X5433" s="1"/>
      <c r="Y5433" s="1"/>
      <c r="AB5433" s="1"/>
      <c r="AC5433" s="1"/>
      <c r="AD5433" s="1"/>
      <c r="AE5433" s="1"/>
      <c r="AF5433" s="1"/>
      <c r="AG5433" s="1"/>
      <c r="AH5433" s="1"/>
      <c r="AI5433" s="1"/>
      <c r="AJ5433" s="1"/>
      <c r="AK5433" s="1"/>
      <c r="AL5433" s="1"/>
      <c r="AM5433" s="1"/>
    </row>
    <row r="5434" spans="16:39" x14ac:dyDescent="0.25">
      <c r="P5434" s="49"/>
      <c r="Q5434" s="1"/>
      <c r="S5434" s="1"/>
      <c r="T5434" s="1"/>
      <c r="U5434" s="1"/>
      <c r="V5434" s="1"/>
      <c r="W5434" s="1"/>
      <c r="X5434" s="1"/>
      <c r="Y5434" s="1"/>
      <c r="AB5434" s="1"/>
      <c r="AC5434" s="1"/>
      <c r="AD5434" s="1"/>
      <c r="AE5434" s="1"/>
      <c r="AF5434" s="1"/>
      <c r="AG5434" s="1"/>
      <c r="AH5434" s="1"/>
      <c r="AI5434" s="1"/>
      <c r="AJ5434" s="1"/>
      <c r="AK5434" s="1"/>
      <c r="AL5434" s="1"/>
      <c r="AM5434" s="1"/>
    </row>
    <row r="5435" spans="16:39" x14ac:dyDescent="0.25">
      <c r="P5435" s="49"/>
      <c r="Q5435" s="1"/>
      <c r="S5435" s="1"/>
      <c r="T5435" s="1"/>
      <c r="U5435" s="1"/>
      <c r="V5435" s="1"/>
      <c r="W5435" s="1"/>
      <c r="X5435" s="1"/>
      <c r="Y5435" s="1"/>
      <c r="AB5435" s="1"/>
      <c r="AC5435" s="1"/>
      <c r="AD5435" s="1"/>
      <c r="AE5435" s="1"/>
      <c r="AF5435" s="1"/>
      <c r="AG5435" s="1"/>
      <c r="AH5435" s="1"/>
      <c r="AI5435" s="1"/>
      <c r="AJ5435" s="1"/>
      <c r="AK5435" s="1"/>
      <c r="AL5435" s="1"/>
      <c r="AM5435" s="1"/>
    </row>
    <row r="5436" spans="16:39" x14ac:dyDescent="0.25">
      <c r="P5436" s="49"/>
      <c r="Q5436" s="1"/>
      <c r="S5436" s="1"/>
      <c r="T5436" s="1"/>
      <c r="U5436" s="1"/>
      <c r="V5436" s="1"/>
      <c r="W5436" s="1"/>
      <c r="X5436" s="1"/>
      <c r="Y5436" s="1"/>
      <c r="AB5436" s="1"/>
      <c r="AC5436" s="1"/>
      <c r="AD5436" s="1"/>
      <c r="AE5436" s="1"/>
      <c r="AF5436" s="1"/>
      <c r="AG5436" s="1"/>
      <c r="AH5436" s="1"/>
      <c r="AI5436" s="1"/>
      <c r="AJ5436" s="1"/>
      <c r="AK5436" s="1"/>
      <c r="AL5436" s="1"/>
      <c r="AM5436" s="1"/>
    </row>
    <row r="5437" spans="16:39" x14ac:dyDescent="0.25">
      <c r="P5437" s="49"/>
      <c r="Q5437" s="1"/>
      <c r="S5437" s="1"/>
      <c r="T5437" s="1"/>
      <c r="U5437" s="1"/>
      <c r="V5437" s="1"/>
      <c r="W5437" s="1"/>
      <c r="X5437" s="1"/>
      <c r="Y5437" s="1"/>
      <c r="AB5437" s="1"/>
      <c r="AC5437" s="1"/>
      <c r="AD5437" s="1"/>
      <c r="AE5437" s="1"/>
      <c r="AF5437" s="1"/>
      <c r="AG5437" s="1"/>
      <c r="AH5437" s="1"/>
      <c r="AI5437" s="1"/>
      <c r="AJ5437" s="1"/>
      <c r="AK5437" s="1"/>
      <c r="AL5437" s="1"/>
      <c r="AM5437" s="1"/>
    </row>
    <row r="5438" spans="16:39" x14ac:dyDescent="0.25">
      <c r="P5438" s="49"/>
      <c r="Q5438" s="1"/>
      <c r="S5438" s="1"/>
      <c r="T5438" s="1"/>
      <c r="U5438" s="1"/>
      <c r="V5438" s="1"/>
      <c r="W5438" s="1"/>
      <c r="X5438" s="1"/>
      <c r="Y5438" s="1"/>
      <c r="AB5438" s="1"/>
      <c r="AC5438" s="1"/>
      <c r="AD5438" s="1"/>
      <c r="AE5438" s="1"/>
      <c r="AF5438" s="1"/>
      <c r="AG5438" s="1"/>
      <c r="AH5438" s="1"/>
      <c r="AI5438" s="1"/>
      <c r="AJ5438" s="1"/>
      <c r="AK5438" s="1"/>
      <c r="AL5438" s="1"/>
      <c r="AM5438" s="1"/>
    </row>
    <row r="5439" spans="16:39" x14ac:dyDescent="0.25">
      <c r="P5439" s="49"/>
      <c r="Q5439" s="1"/>
      <c r="S5439" s="1"/>
      <c r="T5439" s="1"/>
      <c r="U5439" s="1"/>
      <c r="V5439" s="1"/>
      <c r="W5439" s="1"/>
      <c r="X5439" s="1"/>
      <c r="Y5439" s="1"/>
      <c r="AB5439" s="1"/>
      <c r="AC5439" s="1"/>
      <c r="AD5439" s="1"/>
      <c r="AE5439" s="1"/>
      <c r="AF5439" s="1"/>
      <c r="AG5439" s="1"/>
      <c r="AH5439" s="1"/>
      <c r="AI5439" s="1"/>
      <c r="AJ5439" s="1"/>
      <c r="AK5439" s="1"/>
      <c r="AL5439" s="1"/>
      <c r="AM5439" s="1"/>
    </row>
    <row r="5440" spans="16:39" x14ac:dyDescent="0.25">
      <c r="P5440" s="49"/>
      <c r="Q5440" s="1"/>
      <c r="S5440" s="1"/>
      <c r="T5440" s="1"/>
      <c r="U5440" s="1"/>
      <c r="V5440" s="1"/>
      <c r="W5440" s="1"/>
      <c r="X5440" s="1"/>
      <c r="Y5440" s="1"/>
      <c r="AB5440" s="1"/>
      <c r="AC5440" s="1"/>
      <c r="AD5440" s="1"/>
      <c r="AE5440" s="1"/>
      <c r="AF5440" s="1"/>
      <c r="AG5440" s="1"/>
      <c r="AH5440" s="1"/>
      <c r="AI5440" s="1"/>
      <c r="AJ5440" s="1"/>
      <c r="AK5440" s="1"/>
      <c r="AL5440" s="1"/>
      <c r="AM5440" s="1"/>
    </row>
    <row r="5441" spans="16:39" x14ac:dyDescent="0.25">
      <c r="P5441" s="49"/>
      <c r="Q5441" s="1"/>
      <c r="S5441" s="1"/>
      <c r="T5441" s="1"/>
      <c r="U5441" s="1"/>
      <c r="V5441" s="1"/>
      <c r="W5441" s="1"/>
      <c r="X5441" s="1"/>
      <c r="Y5441" s="1"/>
      <c r="AB5441" s="1"/>
      <c r="AC5441" s="1"/>
      <c r="AD5441" s="1"/>
      <c r="AE5441" s="1"/>
      <c r="AF5441" s="1"/>
      <c r="AG5441" s="1"/>
      <c r="AH5441" s="1"/>
      <c r="AI5441" s="1"/>
      <c r="AJ5441" s="1"/>
      <c r="AK5441" s="1"/>
      <c r="AL5441" s="1"/>
      <c r="AM5441" s="1"/>
    </row>
    <row r="5442" spans="16:39" x14ac:dyDescent="0.25">
      <c r="P5442" s="49"/>
      <c r="Q5442" s="1"/>
      <c r="S5442" s="1"/>
      <c r="T5442" s="1"/>
      <c r="U5442" s="1"/>
      <c r="V5442" s="1"/>
      <c r="W5442" s="1"/>
      <c r="X5442" s="1"/>
      <c r="Y5442" s="1"/>
      <c r="AB5442" s="1"/>
      <c r="AC5442" s="1"/>
      <c r="AD5442" s="1"/>
      <c r="AE5442" s="1"/>
      <c r="AF5442" s="1"/>
      <c r="AG5442" s="1"/>
      <c r="AH5442" s="1"/>
      <c r="AI5442" s="1"/>
      <c r="AJ5442" s="1"/>
      <c r="AK5442" s="1"/>
      <c r="AL5442" s="1"/>
      <c r="AM5442" s="1"/>
    </row>
    <row r="5443" spans="16:39" x14ac:dyDescent="0.25">
      <c r="P5443" s="49"/>
      <c r="Q5443" s="1"/>
      <c r="S5443" s="1"/>
      <c r="T5443" s="1"/>
      <c r="U5443" s="1"/>
      <c r="V5443" s="1"/>
      <c r="W5443" s="1"/>
      <c r="X5443" s="1"/>
      <c r="Y5443" s="1"/>
      <c r="AB5443" s="1"/>
      <c r="AC5443" s="1"/>
      <c r="AD5443" s="1"/>
      <c r="AE5443" s="1"/>
      <c r="AF5443" s="1"/>
      <c r="AG5443" s="1"/>
      <c r="AH5443" s="1"/>
      <c r="AI5443" s="1"/>
      <c r="AJ5443" s="1"/>
      <c r="AK5443" s="1"/>
      <c r="AL5443" s="1"/>
      <c r="AM5443" s="1"/>
    </row>
    <row r="5444" spans="16:39" x14ac:dyDescent="0.25">
      <c r="P5444" s="49"/>
      <c r="Q5444" s="1"/>
      <c r="S5444" s="1"/>
      <c r="T5444" s="1"/>
      <c r="U5444" s="1"/>
      <c r="V5444" s="1"/>
      <c r="W5444" s="1"/>
      <c r="X5444" s="1"/>
      <c r="Y5444" s="1"/>
      <c r="AB5444" s="1"/>
      <c r="AC5444" s="1"/>
      <c r="AD5444" s="1"/>
      <c r="AE5444" s="1"/>
      <c r="AF5444" s="1"/>
      <c r="AG5444" s="1"/>
      <c r="AH5444" s="1"/>
      <c r="AI5444" s="1"/>
      <c r="AJ5444" s="1"/>
      <c r="AK5444" s="1"/>
      <c r="AL5444" s="1"/>
      <c r="AM5444" s="1"/>
    </row>
    <row r="5445" spans="16:39" x14ac:dyDescent="0.25">
      <c r="P5445" s="49"/>
      <c r="Q5445" s="1"/>
      <c r="S5445" s="1"/>
      <c r="T5445" s="1"/>
      <c r="U5445" s="1"/>
      <c r="V5445" s="1"/>
      <c r="W5445" s="1"/>
      <c r="X5445" s="1"/>
      <c r="Y5445" s="1"/>
      <c r="AB5445" s="1"/>
      <c r="AC5445" s="1"/>
      <c r="AD5445" s="1"/>
      <c r="AE5445" s="1"/>
      <c r="AF5445" s="1"/>
      <c r="AG5445" s="1"/>
      <c r="AH5445" s="1"/>
      <c r="AI5445" s="1"/>
      <c r="AJ5445" s="1"/>
      <c r="AK5445" s="1"/>
      <c r="AL5445" s="1"/>
      <c r="AM5445" s="1"/>
    </row>
    <row r="5446" spans="16:39" x14ac:dyDescent="0.25">
      <c r="P5446" s="49"/>
      <c r="Q5446" s="1"/>
      <c r="S5446" s="1"/>
      <c r="T5446" s="1"/>
      <c r="U5446" s="1"/>
      <c r="V5446" s="1"/>
      <c r="W5446" s="1"/>
      <c r="X5446" s="1"/>
      <c r="Y5446" s="1"/>
      <c r="AB5446" s="1"/>
      <c r="AC5446" s="1"/>
      <c r="AD5446" s="1"/>
      <c r="AE5446" s="1"/>
      <c r="AF5446" s="1"/>
      <c r="AG5446" s="1"/>
      <c r="AH5446" s="1"/>
      <c r="AI5446" s="1"/>
      <c r="AJ5446" s="1"/>
      <c r="AK5446" s="1"/>
      <c r="AL5446" s="1"/>
      <c r="AM5446" s="1"/>
    </row>
    <row r="5447" spans="16:39" x14ac:dyDescent="0.25">
      <c r="P5447" s="49"/>
      <c r="Q5447" s="1"/>
      <c r="S5447" s="1"/>
      <c r="T5447" s="1"/>
      <c r="U5447" s="1"/>
      <c r="V5447" s="1"/>
      <c r="W5447" s="1"/>
      <c r="X5447" s="1"/>
      <c r="Y5447" s="1"/>
      <c r="AB5447" s="1"/>
      <c r="AC5447" s="1"/>
      <c r="AD5447" s="1"/>
      <c r="AE5447" s="1"/>
      <c r="AF5447" s="1"/>
      <c r="AG5447" s="1"/>
      <c r="AH5447" s="1"/>
      <c r="AI5447" s="1"/>
      <c r="AJ5447" s="1"/>
      <c r="AK5447" s="1"/>
      <c r="AL5447" s="1"/>
      <c r="AM5447" s="1"/>
    </row>
    <row r="5448" spans="16:39" x14ac:dyDescent="0.25">
      <c r="P5448" s="49"/>
      <c r="Q5448" s="1"/>
      <c r="S5448" s="1"/>
      <c r="T5448" s="1"/>
      <c r="U5448" s="1"/>
      <c r="V5448" s="1"/>
      <c r="W5448" s="1"/>
      <c r="X5448" s="1"/>
      <c r="Y5448" s="1"/>
      <c r="AB5448" s="1"/>
      <c r="AC5448" s="1"/>
      <c r="AD5448" s="1"/>
      <c r="AE5448" s="1"/>
      <c r="AF5448" s="1"/>
      <c r="AG5448" s="1"/>
      <c r="AH5448" s="1"/>
      <c r="AI5448" s="1"/>
      <c r="AJ5448" s="1"/>
      <c r="AK5448" s="1"/>
      <c r="AL5448" s="1"/>
      <c r="AM5448" s="1"/>
    </row>
    <row r="5449" spans="16:39" x14ac:dyDescent="0.25">
      <c r="P5449" s="49"/>
      <c r="Q5449" s="1"/>
      <c r="S5449" s="1"/>
      <c r="T5449" s="1"/>
      <c r="U5449" s="1"/>
      <c r="V5449" s="1"/>
      <c r="W5449" s="1"/>
      <c r="X5449" s="1"/>
      <c r="Y5449" s="1"/>
      <c r="AB5449" s="1"/>
      <c r="AC5449" s="1"/>
      <c r="AD5449" s="1"/>
      <c r="AE5449" s="1"/>
      <c r="AF5449" s="1"/>
      <c r="AG5449" s="1"/>
      <c r="AH5449" s="1"/>
      <c r="AI5449" s="1"/>
      <c r="AJ5449" s="1"/>
      <c r="AK5449" s="1"/>
      <c r="AL5449" s="1"/>
      <c r="AM5449" s="1"/>
    </row>
    <row r="5450" spans="16:39" x14ac:dyDescent="0.25">
      <c r="P5450" s="49"/>
      <c r="Q5450" s="1"/>
      <c r="S5450" s="1"/>
      <c r="T5450" s="1"/>
      <c r="U5450" s="1"/>
      <c r="V5450" s="1"/>
      <c r="W5450" s="1"/>
      <c r="X5450" s="1"/>
      <c r="Y5450" s="1"/>
      <c r="AB5450" s="1"/>
      <c r="AC5450" s="1"/>
      <c r="AD5450" s="1"/>
      <c r="AE5450" s="1"/>
      <c r="AF5450" s="1"/>
      <c r="AG5450" s="1"/>
      <c r="AH5450" s="1"/>
      <c r="AI5450" s="1"/>
      <c r="AJ5450" s="1"/>
      <c r="AK5450" s="1"/>
      <c r="AL5450" s="1"/>
      <c r="AM5450" s="1"/>
    </row>
    <row r="5451" spans="16:39" x14ac:dyDescent="0.25">
      <c r="P5451" s="49"/>
      <c r="Q5451" s="1"/>
      <c r="S5451" s="1"/>
      <c r="T5451" s="1"/>
      <c r="U5451" s="1"/>
      <c r="V5451" s="1"/>
      <c r="W5451" s="1"/>
      <c r="X5451" s="1"/>
      <c r="Y5451" s="1"/>
      <c r="AB5451" s="1"/>
      <c r="AC5451" s="1"/>
      <c r="AD5451" s="1"/>
      <c r="AE5451" s="1"/>
      <c r="AF5451" s="1"/>
      <c r="AG5451" s="1"/>
      <c r="AH5451" s="1"/>
      <c r="AI5451" s="1"/>
      <c r="AJ5451" s="1"/>
      <c r="AK5451" s="1"/>
      <c r="AL5451" s="1"/>
      <c r="AM5451" s="1"/>
    </row>
    <row r="5452" spans="16:39" x14ac:dyDescent="0.25">
      <c r="P5452" s="49"/>
      <c r="Q5452" s="1"/>
      <c r="S5452" s="1"/>
      <c r="T5452" s="1"/>
      <c r="U5452" s="1"/>
      <c r="V5452" s="1"/>
      <c r="W5452" s="1"/>
      <c r="X5452" s="1"/>
      <c r="Y5452" s="1"/>
      <c r="AB5452" s="1"/>
      <c r="AC5452" s="1"/>
      <c r="AD5452" s="1"/>
      <c r="AE5452" s="1"/>
      <c r="AF5452" s="1"/>
      <c r="AG5452" s="1"/>
      <c r="AH5452" s="1"/>
      <c r="AI5452" s="1"/>
      <c r="AJ5452" s="1"/>
      <c r="AK5452" s="1"/>
      <c r="AL5452" s="1"/>
      <c r="AM5452" s="1"/>
    </row>
    <row r="5453" spans="16:39" x14ac:dyDescent="0.25">
      <c r="P5453" s="49"/>
      <c r="Q5453" s="1"/>
      <c r="S5453" s="1"/>
      <c r="T5453" s="1"/>
      <c r="U5453" s="1"/>
      <c r="V5453" s="1"/>
      <c r="W5453" s="1"/>
      <c r="X5453" s="1"/>
      <c r="Y5453" s="1"/>
      <c r="AB5453" s="1"/>
      <c r="AC5453" s="1"/>
      <c r="AD5453" s="1"/>
      <c r="AE5453" s="1"/>
      <c r="AF5453" s="1"/>
      <c r="AG5453" s="1"/>
      <c r="AH5453" s="1"/>
      <c r="AI5453" s="1"/>
      <c r="AJ5453" s="1"/>
      <c r="AK5453" s="1"/>
      <c r="AL5453" s="1"/>
      <c r="AM5453" s="1"/>
    </row>
    <row r="5454" spans="16:39" x14ac:dyDescent="0.25">
      <c r="P5454" s="49"/>
      <c r="Q5454" s="1"/>
      <c r="S5454" s="1"/>
      <c r="T5454" s="1"/>
      <c r="U5454" s="1"/>
      <c r="V5454" s="1"/>
      <c r="W5454" s="1"/>
      <c r="X5454" s="1"/>
      <c r="Y5454" s="1"/>
      <c r="AB5454" s="1"/>
      <c r="AC5454" s="1"/>
      <c r="AD5454" s="1"/>
      <c r="AE5454" s="1"/>
      <c r="AF5454" s="1"/>
      <c r="AG5454" s="1"/>
      <c r="AH5454" s="1"/>
      <c r="AI5454" s="1"/>
      <c r="AJ5454" s="1"/>
      <c r="AK5454" s="1"/>
      <c r="AL5454" s="1"/>
      <c r="AM5454" s="1"/>
    </row>
    <row r="5455" spans="16:39" x14ac:dyDescent="0.25">
      <c r="P5455" s="49"/>
      <c r="Q5455" s="1"/>
      <c r="S5455" s="1"/>
      <c r="T5455" s="1"/>
      <c r="U5455" s="1"/>
      <c r="V5455" s="1"/>
      <c r="W5455" s="1"/>
      <c r="X5455" s="1"/>
      <c r="Y5455" s="1"/>
      <c r="AB5455" s="1"/>
      <c r="AC5455" s="1"/>
      <c r="AD5455" s="1"/>
      <c r="AE5455" s="1"/>
      <c r="AF5455" s="1"/>
      <c r="AG5455" s="1"/>
      <c r="AH5455" s="1"/>
      <c r="AI5455" s="1"/>
      <c r="AJ5455" s="1"/>
      <c r="AK5455" s="1"/>
      <c r="AL5455" s="1"/>
      <c r="AM5455" s="1"/>
    </row>
    <row r="5456" spans="16:39" x14ac:dyDescent="0.25">
      <c r="P5456" s="49"/>
      <c r="Q5456" s="1"/>
      <c r="S5456" s="1"/>
      <c r="T5456" s="1"/>
      <c r="U5456" s="1"/>
      <c r="V5456" s="1"/>
      <c r="W5456" s="1"/>
      <c r="X5456" s="1"/>
      <c r="Y5456" s="1"/>
      <c r="AB5456" s="1"/>
      <c r="AC5456" s="1"/>
      <c r="AD5456" s="1"/>
      <c r="AE5456" s="1"/>
      <c r="AF5456" s="1"/>
      <c r="AG5456" s="1"/>
      <c r="AH5456" s="1"/>
      <c r="AI5456" s="1"/>
      <c r="AJ5456" s="1"/>
      <c r="AK5456" s="1"/>
      <c r="AL5456" s="1"/>
      <c r="AM5456" s="1"/>
    </row>
    <row r="5457" spans="16:39" x14ac:dyDescent="0.25">
      <c r="P5457" s="49"/>
      <c r="Q5457" s="1"/>
      <c r="S5457" s="1"/>
      <c r="T5457" s="1"/>
      <c r="U5457" s="1"/>
      <c r="V5457" s="1"/>
      <c r="W5457" s="1"/>
      <c r="X5457" s="1"/>
      <c r="Y5457" s="1"/>
      <c r="AB5457" s="1"/>
      <c r="AC5457" s="1"/>
      <c r="AD5457" s="1"/>
      <c r="AE5457" s="1"/>
      <c r="AF5457" s="1"/>
      <c r="AG5457" s="1"/>
      <c r="AH5457" s="1"/>
      <c r="AI5457" s="1"/>
      <c r="AJ5457" s="1"/>
      <c r="AK5457" s="1"/>
      <c r="AL5457" s="1"/>
      <c r="AM5457" s="1"/>
    </row>
    <row r="5458" spans="16:39" x14ac:dyDescent="0.25">
      <c r="P5458" s="49"/>
      <c r="Q5458" s="1"/>
      <c r="S5458" s="1"/>
      <c r="T5458" s="1"/>
      <c r="U5458" s="1"/>
      <c r="V5458" s="1"/>
      <c r="W5458" s="1"/>
      <c r="X5458" s="1"/>
      <c r="Y5458" s="1"/>
      <c r="AB5458" s="1"/>
      <c r="AC5458" s="1"/>
      <c r="AD5458" s="1"/>
      <c r="AE5458" s="1"/>
      <c r="AF5458" s="1"/>
      <c r="AG5458" s="1"/>
      <c r="AH5458" s="1"/>
      <c r="AI5458" s="1"/>
      <c r="AJ5458" s="1"/>
      <c r="AK5458" s="1"/>
      <c r="AL5458" s="1"/>
      <c r="AM5458" s="1"/>
    </row>
    <row r="5459" spans="16:39" x14ac:dyDescent="0.25">
      <c r="P5459" s="49"/>
      <c r="Q5459" s="1"/>
      <c r="S5459" s="1"/>
      <c r="T5459" s="1"/>
      <c r="U5459" s="1"/>
      <c r="V5459" s="1"/>
      <c r="W5459" s="1"/>
      <c r="X5459" s="1"/>
      <c r="Y5459" s="1"/>
      <c r="AB5459" s="1"/>
      <c r="AC5459" s="1"/>
      <c r="AD5459" s="1"/>
      <c r="AE5459" s="1"/>
      <c r="AF5459" s="1"/>
      <c r="AG5459" s="1"/>
      <c r="AH5459" s="1"/>
      <c r="AI5459" s="1"/>
      <c r="AJ5459" s="1"/>
      <c r="AK5459" s="1"/>
      <c r="AL5459" s="1"/>
      <c r="AM5459" s="1"/>
    </row>
    <row r="5460" spans="16:39" x14ac:dyDescent="0.25">
      <c r="P5460" s="49"/>
      <c r="Q5460" s="1"/>
      <c r="S5460" s="1"/>
      <c r="T5460" s="1"/>
      <c r="U5460" s="1"/>
      <c r="V5460" s="1"/>
      <c r="W5460" s="1"/>
      <c r="X5460" s="1"/>
      <c r="Y5460" s="1"/>
      <c r="AB5460" s="1"/>
      <c r="AC5460" s="1"/>
      <c r="AD5460" s="1"/>
      <c r="AE5460" s="1"/>
      <c r="AF5460" s="1"/>
      <c r="AG5460" s="1"/>
      <c r="AH5460" s="1"/>
      <c r="AI5460" s="1"/>
      <c r="AJ5460" s="1"/>
      <c r="AK5460" s="1"/>
      <c r="AL5460" s="1"/>
      <c r="AM5460" s="1"/>
    </row>
    <row r="5461" spans="16:39" x14ac:dyDescent="0.25">
      <c r="P5461" s="49"/>
      <c r="Q5461" s="1"/>
      <c r="S5461" s="1"/>
      <c r="T5461" s="1"/>
      <c r="U5461" s="1"/>
      <c r="V5461" s="1"/>
      <c r="W5461" s="1"/>
      <c r="X5461" s="1"/>
      <c r="Y5461" s="1"/>
      <c r="AB5461" s="1"/>
      <c r="AC5461" s="1"/>
      <c r="AD5461" s="1"/>
      <c r="AE5461" s="1"/>
      <c r="AF5461" s="1"/>
      <c r="AG5461" s="1"/>
      <c r="AH5461" s="1"/>
      <c r="AI5461" s="1"/>
      <c r="AJ5461" s="1"/>
      <c r="AK5461" s="1"/>
      <c r="AL5461" s="1"/>
      <c r="AM5461" s="1"/>
    </row>
    <row r="5462" spans="16:39" x14ac:dyDescent="0.25">
      <c r="P5462" s="49"/>
      <c r="Q5462" s="1"/>
      <c r="S5462" s="1"/>
      <c r="T5462" s="1"/>
      <c r="U5462" s="1"/>
      <c r="V5462" s="1"/>
      <c r="W5462" s="1"/>
      <c r="X5462" s="1"/>
      <c r="Y5462" s="1"/>
      <c r="AB5462" s="1"/>
      <c r="AC5462" s="1"/>
      <c r="AD5462" s="1"/>
      <c r="AE5462" s="1"/>
      <c r="AF5462" s="1"/>
      <c r="AG5462" s="1"/>
      <c r="AH5462" s="1"/>
      <c r="AI5462" s="1"/>
      <c r="AJ5462" s="1"/>
      <c r="AK5462" s="1"/>
      <c r="AL5462" s="1"/>
      <c r="AM5462" s="1"/>
    </row>
    <row r="5463" spans="16:39" x14ac:dyDescent="0.25">
      <c r="P5463" s="49"/>
      <c r="Q5463" s="1"/>
      <c r="S5463" s="1"/>
      <c r="T5463" s="1"/>
      <c r="U5463" s="1"/>
      <c r="V5463" s="1"/>
      <c r="W5463" s="1"/>
      <c r="X5463" s="1"/>
      <c r="Y5463" s="1"/>
      <c r="AB5463" s="1"/>
      <c r="AC5463" s="1"/>
      <c r="AD5463" s="1"/>
      <c r="AE5463" s="1"/>
      <c r="AF5463" s="1"/>
      <c r="AG5463" s="1"/>
      <c r="AH5463" s="1"/>
      <c r="AI5463" s="1"/>
      <c r="AJ5463" s="1"/>
      <c r="AK5463" s="1"/>
      <c r="AL5463" s="1"/>
      <c r="AM5463" s="1"/>
    </row>
    <row r="5464" spans="16:39" x14ac:dyDescent="0.25">
      <c r="P5464" s="49"/>
      <c r="Q5464" s="1"/>
      <c r="S5464" s="1"/>
      <c r="T5464" s="1"/>
      <c r="U5464" s="1"/>
      <c r="V5464" s="1"/>
      <c r="W5464" s="1"/>
      <c r="X5464" s="1"/>
      <c r="Y5464" s="1"/>
      <c r="AB5464" s="1"/>
      <c r="AC5464" s="1"/>
      <c r="AD5464" s="1"/>
      <c r="AE5464" s="1"/>
      <c r="AF5464" s="1"/>
      <c r="AG5464" s="1"/>
      <c r="AH5464" s="1"/>
      <c r="AI5464" s="1"/>
      <c r="AJ5464" s="1"/>
      <c r="AK5464" s="1"/>
      <c r="AL5464" s="1"/>
      <c r="AM5464" s="1"/>
    </row>
    <row r="5465" spans="16:39" x14ac:dyDescent="0.25">
      <c r="P5465" s="49"/>
      <c r="Q5465" s="1"/>
      <c r="S5465" s="1"/>
      <c r="T5465" s="1"/>
      <c r="U5465" s="1"/>
      <c r="V5465" s="1"/>
      <c r="W5465" s="1"/>
      <c r="X5465" s="1"/>
      <c r="Y5465" s="1"/>
      <c r="AB5465" s="1"/>
      <c r="AC5465" s="1"/>
      <c r="AD5465" s="1"/>
      <c r="AE5465" s="1"/>
      <c r="AF5465" s="1"/>
      <c r="AG5465" s="1"/>
      <c r="AH5465" s="1"/>
      <c r="AI5465" s="1"/>
      <c r="AJ5465" s="1"/>
      <c r="AK5465" s="1"/>
      <c r="AL5465" s="1"/>
      <c r="AM5465" s="1"/>
    </row>
    <row r="5466" spans="16:39" x14ac:dyDescent="0.25">
      <c r="P5466" s="49"/>
      <c r="Q5466" s="1"/>
      <c r="S5466" s="1"/>
      <c r="T5466" s="1"/>
      <c r="U5466" s="1"/>
      <c r="V5466" s="1"/>
      <c r="W5466" s="1"/>
      <c r="X5466" s="1"/>
      <c r="Y5466" s="1"/>
      <c r="AB5466" s="1"/>
      <c r="AC5466" s="1"/>
      <c r="AD5466" s="1"/>
      <c r="AE5466" s="1"/>
      <c r="AF5466" s="1"/>
      <c r="AG5466" s="1"/>
      <c r="AH5466" s="1"/>
      <c r="AI5466" s="1"/>
      <c r="AJ5466" s="1"/>
      <c r="AK5466" s="1"/>
      <c r="AL5466" s="1"/>
      <c r="AM5466" s="1"/>
    </row>
    <row r="5467" spans="16:39" x14ac:dyDescent="0.25">
      <c r="P5467" s="49"/>
      <c r="Q5467" s="1"/>
      <c r="S5467" s="1"/>
      <c r="T5467" s="1"/>
      <c r="U5467" s="1"/>
      <c r="V5467" s="1"/>
      <c r="W5467" s="1"/>
      <c r="X5467" s="1"/>
      <c r="Y5467" s="1"/>
      <c r="AB5467" s="1"/>
      <c r="AC5467" s="1"/>
      <c r="AD5467" s="1"/>
      <c r="AE5467" s="1"/>
      <c r="AF5467" s="1"/>
      <c r="AG5467" s="1"/>
      <c r="AH5467" s="1"/>
      <c r="AI5467" s="1"/>
      <c r="AJ5467" s="1"/>
      <c r="AK5467" s="1"/>
      <c r="AL5467" s="1"/>
      <c r="AM5467" s="1"/>
    </row>
    <row r="5468" spans="16:39" x14ac:dyDescent="0.25">
      <c r="P5468" s="49"/>
      <c r="Q5468" s="1"/>
      <c r="S5468" s="1"/>
      <c r="T5468" s="1"/>
      <c r="U5468" s="1"/>
      <c r="V5468" s="1"/>
      <c r="W5468" s="1"/>
      <c r="X5468" s="1"/>
      <c r="Y5468" s="1"/>
      <c r="AB5468" s="1"/>
      <c r="AC5468" s="1"/>
      <c r="AD5468" s="1"/>
      <c r="AE5468" s="1"/>
      <c r="AF5468" s="1"/>
      <c r="AG5468" s="1"/>
      <c r="AH5468" s="1"/>
      <c r="AI5468" s="1"/>
      <c r="AJ5468" s="1"/>
      <c r="AK5468" s="1"/>
      <c r="AL5468" s="1"/>
      <c r="AM5468" s="1"/>
    </row>
    <row r="5469" spans="16:39" x14ac:dyDescent="0.25">
      <c r="P5469" s="49"/>
      <c r="Q5469" s="1"/>
      <c r="S5469" s="1"/>
      <c r="T5469" s="1"/>
      <c r="U5469" s="1"/>
      <c r="V5469" s="1"/>
      <c r="W5469" s="1"/>
      <c r="X5469" s="1"/>
      <c r="Y5469" s="1"/>
      <c r="AB5469" s="1"/>
      <c r="AC5469" s="1"/>
      <c r="AD5469" s="1"/>
      <c r="AE5469" s="1"/>
      <c r="AF5469" s="1"/>
      <c r="AG5469" s="1"/>
      <c r="AH5469" s="1"/>
      <c r="AI5469" s="1"/>
      <c r="AJ5469" s="1"/>
      <c r="AK5469" s="1"/>
      <c r="AL5469" s="1"/>
      <c r="AM5469" s="1"/>
    </row>
    <row r="5470" spans="16:39" x14ac:dyDescent="0.25">
      <c r="P5470" s="49"/>
      <c r="Q5470" s="1"/>
      <c r="S5470" s="1"/>
      <c r="T5470" s="1"/>
      <c r="U5470" s="1"/>
      <c r="V5470" s="1"/>
      <c r="W5470" s="1"/>
      <c r="X5470" s="1"/>
      <c r="Y5470" s="1"/>
      <c r="AB5470" s="1"/>
      <c r="AC5470" s="1"/>
      <c r="AD5470" s="1"/>
      <c r="AE5470" s="1"/>
      <c r="AF5470" s="1"/>
      <c r="AG5470" s="1"/>
      <c r="AH5470" s="1"/>
      <c r="AI5470" s="1"/>
      <c r="AJ5470" s="1"/>
      <c r="AK5470" s="1"/>
      <c r="AL5470" s="1"/>
      <c r="AM5470" s="1"/>
    </row>
    <row r="5471" spans="16:39" x14ac:dyDescent="0.25">
      <c r="P5471" s="49"/>
      <c r="Q5471" s="1"/>
      <c r="S5471" s="1"/>
      <c r="T5471" s="1"/>
      <c r="U5471" s="1"/>
      <c r="V5471" s="1"/>
      <c r="W5471" s="1"/>
      <c r="X5471" s="1"/>
      <c r="Y5471" s="1"/>
      <c r="AB5471" s="1"/>
      <c r="AC5471" s="1"/>
      <c r="AD5471" s="1"/>
      <c r="AE5471" s="1"/>
      <c r="AF5471" s="1"/>
      <c r="AG5471" s="1"/>
      <c r="AH5471" s="1"/>
      <c r="AI5471" s="1"/>
      <c r="AJ5471" s="1"/>
      <c r="AK5471" s="1"/>
      <c r="AL5471" s="1"/>
      <c r="AM5471" s="1"/>
    </row>
    <row r="5472" spans="16:39" x14ac:dyDescent="0.25">
      <c r="P5472" s="49"/>
      <c r="Q5472" s="1"/>
      <c r="S5472" s="1"/>
      <c r="T5472" s="1"/>
      <c r="U5472" s="1"/>
      <c r="V5472" s="1"/>
      <c r="W5472" s="1"/>
      <c r="X5472" s="1"/>
      <c r="Y5472" s="1"/>
      <c r="AB5472" s="1"/>
      <c r="AC5472" s="1"/>
      <c r="AD5472" s="1"/>
      <c r="AE5472" s="1"/>
      <c r="AF5472" s="1"/>
      <c r="AG5472" s="1"/>
      <c r="AH5472" s="1"/>
      <c r="AI5472" s="1"/>
      <c r="AJ5472" s="1"/>
      <c r="AK5472" s="1"/>
      <c r="AL5472" s="1"/>
      <c r="AM5472" s="1"/>
    </row>
    <row r="5473" spans="16:39" x14ac:dyDescent="0.25">
      <c r="P5473" s="49"/>
      <c r="Q5473" s="1"/>
      <c r="S5473" s="1"/>
      <c r="T5473" s="1"/>
      <c r="U5473" s="1"/>
      <c r="V5473" s="1"/>
      <c r="W5473" s="1"/>
      <c r="X5473" s="1"/>
      <c r="Y5473" s="1"/>
      <c r="AB5473" s="1"/>
      <c r="AC5473" s="1"/>
      <c r="AD5473" s="1"/>
      <c r="AE5473" s="1"/>
      <c r="AF5473" s="1"/>
      <c r="AG5473" s="1"/>
      <c r="AH5473" s="1"/>
      <c r="AI5473" s="1"/>
      <c r="AJ5473" s="1"/>
      <c r="AK5473" s="1"/>
      <c r="AL5473" s="1"/>
      <c r="AM5473" s="1"/>
    </row>
    <row r="5474" spans="16:39" x14ac:dyDescent="0.25">
      <c r="P5474" s="49"/>
      <c r="Q5474" s="1"/>
      <c r="S5474" s="1"/>
      <c r="T5474" s="1"/>
      <c r="U5474" s="1"/>
      <c r="V5474" s="1"/>
      <c r="W5474" s="1"/>
      <c r="X5474" s="1"/>
      <c r="Y5474" s="1"/>
      <c r="AB5474" s="1"/>
      <c r="AC5474" s="1"/>
      <c r="AD5474" s="1"/>
      <c r="AE5474" s="1"/>
      <c r="AF5474" s="1"/>
      <c r="AG5474" s="1"/>
      <c r="AH5474" s="1"/>
      <c r="AI5474" s="1"/>
      <c r="AJ5474" s="1"/>
      <c r="AK5474" s="1"/>
      <c r="AL5474" s="1"/>
      <c r="AM5474" s="1"/>
    </row>
    <row r="5475" spans="16:39" x14ac:dyDescent="0.25">
      <c r="P5475" s="49"/>
      <c r="Q5475" s="1"/>
      <c r="S5475" s="1"/>
      <c r="T5475" s="1"/>
      <c r="U5475" s="1"/>
      <c r="V5475" s="1"/>
      <c r="W5475" s="1"/>
      <c r="X5475" s="1"/>
      <c r="Y5475" s="1"/>
      <c r="AB5475" s="1"/>
      <c r="AC5475" s="1"/>
      <c r="AD5475" s="1"/>
      <c r="AE5475" s="1"/>
      <c r="AF5475" s="1"/>
      <c r="AG5475" s="1"/>
      <c r="AH5475" s="1"/>
      <c r="AI5475" s="1"/>
      <c r="AJ5475" s="1"/>
      <c r="AK5475" s="1"/>
      <c r="AL5475" s="1"/>
      <c r="AM5475" s="1"/>
    </row>
    <row r="5476" spans="16:39" x14ac:dyDescent="0.25">
      <c r="P5476" s="49"/>
      <c r="Q5476" s="1"/>
      <c r="S5476" s="1"/>
      <c r="T5476" s="1"/>
      <c r="U5476" s="1"/>
      <c r="V5476" s="1"/>
      <c r="W5476" s="1"/>
      <c r="X5476" s="1"/>
      <c r="Y5476" s="1"/>
      <c r="AB5476" s="1"/>
      <c r="AC5476" s="1"/>
      <c r="AD5476" s="1"/>
      <c r="AE5476" s="1"/>
      <c r="AF5476" s="1"/>
      <c r="AG5476" s="1"/>
      <c r="AH5476" s="1"/>
      <c r="AI5476" s="1"/>
      <c r="AJ5476" s="1"/>
      <c r="AK5476" s="1"/>
      <c r="AL5476" s="1"/>
      <c r="AM5476" s="1"/>
    </row>
    <row r="5477" spans="16:39" x14ac:dyDescent="0.25">
      <c r="P5477" s="49"/>
      <c r="Q5477" s="1"/>
      <c r="S5477" s="1"/>
      <c r="T5477" s="1"/>
      <c r="U5477" s="1"/>
      <c r="V5477" s="1"/>
      <c r="W5477" s="1"/>
      <c r="X5477" s="1"/>
      <c r="Y5477" s="1"/>
      <c r="AB5477" s="1"/>
      <c r="AC5477" s="1"/>
      <c r="AD5477" s="1"/>
      <c r="AE5477" s="1"/>
      <c r="AF5477" s="1"/>
      <c r="AG5477" s="1"/>
      <c r="AH5477" s="1"/>
      <c r="AI5477" s="1"/>
      <c r="AJ5477" s="1"/>
      <c r="AK5477" s="1"/>
      <c r="AL5477" s="1"/>
      <c r="AM5477" s="1"/>
    </row>
    <row r="5478" spans="16:39" x14ac:dyDescent="0.25">
      <c r="P5478" s="49"/>
      <c r="Q5478" s="1"/>
      <c r="S5478" s="1"/>
      <c r="T5478" s="1"/>
      <c r="U5478" s="1"/>
      <c r="V5478" s="1"/>
      <c r="W5478" s="1"/>
      <c r="X5478" s="1"/>
      <c r="Y5478" s="1"/>
      <c r="AB5478" s="1"/>
      <c r="AC5478" s="1"/>
      <c r="AD5478" s="1"/>
      <c r="AE5478" s="1"/>
      <c r="AF5478" s="1"/>
      <c r="AG5478" s="1"/>
      <c r="AH5478" s="1"/>
      <c r="AI5478" s="1"/>
      <c r="AJ5478" s="1"/>
      <c r="AK5478" s="1"/>
      <c r="AL5478" s="1"/>
      <c r="AM5478" s="1"/>
    </row>
    <row r="5479" spans="16:39" x14ac:dyDescent="0.25">
      <c r="P5479" s="49"/>
      <c r="Q5479" s="1"/>
      <c r="S5479" s="1"/>
      <c r="T5479" s="1"/>
      <c r="U5479" s="1"/>
      <c r="V5479" s="1"/>
      <c r="W5479" s="1"/>
      <c r="X5479" s="1"/>
      <c r="Y5479" s="1"/>
      <c r="AB5479" s="1"/>
      <c r="AC5479" s="1"/>
      <c r="AD5479" s="1"/>
      <c r="AE5479" s="1"/>
      <c r="AF5479" s="1"/>
      <c r="AG5479" s="1"/>
      <c r="AH5479" s="1"/>
      <c r="AI5479" s="1"/>
      <c r="AJ5479" s="1"/>
      <c r="AK5479" s="1"/>
      <c r="AL5479" s="1"/>
      <c r="AM5479" s="1"/>
    </row>
    <row r="5480" spans="16:39" x14ac:dyDescent="0.25">
      <c r="P5480" s="49"/>
      <c r="Q5480" s="1"/>
      <c r="S5480" s="1"/>
      <c r="T5480" s="1"/>
      <c r="U5480" s="1"/>
      <c r="V5480" s="1"/>
      <c r="W5480" s="1"/>
      <c r="X5480" s="1"/>
      <c r="Y5480" s="1"/>
      <c r="AB5480" s="1"/>
      <c r="AC5480" s="1"/>
      <c r="AD5480" s="1"/>
      <c r="AE5480" s="1"/>
      <c r="AF5480" s="1"/>
      <c r="AG5480" s="1"/>
      <c r="AH5480" s="1"/>
      <c r="AI5480" s="1"/>
      <c r="AJ5480" s="1"/>
      <c r="AK5480" s="1"/>
      <c r="AL5480" s="1"/>
      <c r="AM5480" s="1"/>
    </row>
    <row r="5481" spans="16:39" x14ac:dyDescent="0.25">
      <c r="P5481" s="49"/>
      <c r="Q5481" s="1"/>
      <c r="S5481" s="1"/>
      <c r="T5481" s="1"/>
      <c r="U5481" s="1"/>
      <c r="V5481" s="1"/>
      <c r="W5481" s="1"/>
      <c r="X5481" s="1"/>
      <c r="Y5481" s="1"/>
      <c r="AB5481" s="1"/>
      <c r="AC5481" s="1"/>
      <c r="AD5481" s="1"/>
      <c r="AE5481" s="1"/>
      <c r="AF5481" s="1"/>
      <c r="AG5481" s="1"/>
      <c r="AH5481" s="1"/>
      <c r="AI5481" s="1"/>
      <c r="AJ5481" s="1"/>
      <c r="AK5481" s="1"/>
      <c r="AL5481" s="1"/>
      <c r="AM5481" s="1"/>
    </row>
    <row r="5482" spans="16:39" x14ac:dyDescent="0.25">
      <c r="P5482" s="49"/>
      <c r="Q5482" s="1"/>
      <c r="S5482" s="1"/>
      <c r="T5482" s="1"/>
      <c r="U5482" s="1"/>
      <c r="V5482" s="1"/>
      <c r="W5482" s="1"/>
      <c r="X5482" s="1"/>
      <c r="Y5482" s="1"/>
      <c r="AB5482" s="1"/>
      <c r="AC5482" s="1"/>
      <c r="AD5482" s="1"/>
      <c r="AE5482" s="1"/>
      <c r="AF5482" s="1"/>
      <c r="AG5482" s="1"/>
      <c r="AH5482" s="1"/>
      <c r="AI5482" s="1"/>
      <c r="AJ5482" s="1"/>
      <c r="AK5482" s="1"/>
      <c r="AL5482" s="1"/>
      <c r="AM5482" s="1"/>
    </row>
    <row r="5483" spans="16:39" x14ac:dyDescent="0.25">
      <c r="P5483" s="49"/>
      <c r="Q5483" s="1"/>
      <c r="S5483" s="1"/>
      <c r="T5483" s="1"/>
      <c r="U5483" s="1"/>
      <c r="V5483" s="1"/>
      <c r="W5483" s="1"/>
      <c r="X5483" s="1"/>
      <c r="Y5483" s="1"/>
      <c r="AB5483" s="1"/>
      <c r="AC5483" s="1"/>
      <c r="AD5483" s="1"/>
      <c r="AE5483" s="1"/>
      <c r="AF5483" s="1"/>
      <c r="AG5483" s="1"/>
      <c r="AH5483" s="1"/>
      <c r="AI5483" s="1"/>
      <c r="AJ5483" s="1"/>
      <c r="AK5483" s="1"/>
      <c r="AL5483" s="1"/>
      <c r="AM5483" s="1"/>
    </row>
    <row r="5484" spans="16:39" x14ac:dyDescent="0.25">
      <c r="P5484" s="49"/>
      <c r="Q5484" s="1"/>
      <c r="S5484" s="1"/>
      <c r="T5484" s="1"/>
      <c r="U5484" s="1"/>
      <c r="V5484" s="1"/>
      <c r="W5484" s="1"/>
      <c r="X5484" s="1"/>
      <c r="Y5484" s="1"/>
      <c r="AB5484" s="1"/>
      <c r="AC5484" s="1"/>
      <c r="AD5484" s="1"/>
      <c r="AE5484" s="1"/>
      <c r="AF5484" s="1"/>
      <c r="AG5484" s="1"/>
      <c r="AH5484" s="1"/>
      <c r="AI5484" s="1"/>
      <c r="AJ5484" s="1"/>
      <c r="AK5484" s="1"/>
      <c r="AL5484" s="1"/>
      <c r="AM5484" s="1"/>
    </row>
    <row r="5485" spans="16:39" x14ac:dyDescent="0.25">
      <c r="P5485" s="49"/>
      <c r="Q5485" s="1"/>
      <c r="S5485" s="1"/>
      <c r="T5485" s="1"/>
      <c r="U5485" s="1"/>
      <c r="V5485" s="1"/>
      <c r="W5485" s="1"/>
      <c r="X5485" s="1"/>
      <c r="Y5485" s="1"/>
      <c r="AB5485" s="1"/>
      <c r="AC5485" s="1"/>
      <c r="AD5485" s="1"/>
      <c r="AE5485" s="1"/>
      <c r="AF5485" s="1"/>
      <c r="AG5485" s="1"/>
      <c r="AH5485" s="1"/>
      <c r="AI5485" s="1"/>
      <c r="AJ5485" s="1"/>
      <c r="AK5485" s="1"/>
      <c r="AL5485" s="1"/>
      <c r="AM5485" s="1"/>
    </row>
    <row r="5486" spans="16:39" x14ac:dyDescent="0.25">
      <c r="P5486" s="49"/>
      <c r="Q5486" s="1"/>
      <c r="S5486" s="1"/>
      <c r="T5486" s="1"/>
      <c r="U5486" s="1"/>
      <c r="V5486" s="1"/>
      <c r="W5486" s="1"/>
      <c r="X5486" s="1"/>
      <c r="Y5486" s="1"/>
      <c r="AB5486" s="1"/>
      <c r="AC5486" s="1"/>
      <c r="AD5486" s="1"/>
      <c r="AE5486" s="1"/>
      <c r="AF5486" s="1"/>
      <c r="AG5486" s="1"/>
      <c r="AH5486" s="1"/>
      <c r="AI5486" s="1"/>
      <c r="AJ5486" s="1"/>
      <c r="AK5486" s="1"/>
      <c r="AL5486" s="1"/>
      <c r="AM5486" s="1"/>
    </row>
    <row r="5487" spans="16:39" x14ac:dyDescent="0.25">
      <c r="P5487" s="49"/>
      <c r="Q5487" s="1"/>
      <c r="S5487" s="1"/>
      <c r="T5487" s="1"/>
      <c r="U5487" s="1"/>
      <c r="V5487" s="1"/>
      <c r="W5487" s="1"/>
      <c r="X5487" s="1"/>
      <c r="Y5487" s="1"/>
      <c r="AB5487" s="1"/>
      <c r="AC5487" s="1"/>
      <c r="AD5487" s="1"/>
      <c r="AE5487" s="1"/>
      <c r="AF5487" s="1"/>
      <c r="AG5487" s="1"/>
      <c r="AH5487" s="1"/>
      <c r="AI5487" s="1"/>
      <c r="AJ5487" s="1"/>
      <c r="AK5487" s="1"/>
      <c r="AL5487" s="1"/>
      <c r="AM5487" s="1"/>
    </row>
    <row r="5488" spans="16:39" x14ac:dyDescent="0.25">
      <c r="P5488" s="49"/>
      <c r="Q5488" s="1"/>
      <c r="S5488" s="1"/>
      <c r="T5488" s="1"/>
      <c r="U5488" s="1"/>
      <c r="V5488" s="1"/>
      <c r="W5488" s="1"/>
      <c r="X5488" s="1"/>
      <c r="Y5488" s="1"/>
      <c r="AB5488" s="1"/>
      <c r="AC5488" s="1"/>
      <c r="AD5488" s="1"/>
      <c r="AE5488" s="1"/>
      <c r="AF5488" s="1"/>
      <c r="AG5488" s="1"/>
      <c r="AH5488" s="1"/>
      <c r="AI5488" s="1"/>
      <c r="AJ5488" s="1"/>
      <c r="AK5488" s="1"/>
      <c r="AL5488" s="1"/>
      <c r="AM5488" s="1"/>
    </row>
    <row r="5489" spans="16:39" x14ac:dyDescent="0.25">
      <c r="P5489" s="49"/>
      <c r="Q5489" s="1"/>
      <c r="S5489" s="1"/>
      <c r="T5489" s="1"/>
      <c r="U5489" s="1"/>
      <c r="V5489" s="1"/>
      <c r="W5489" s="1"/>
      <c r="X5489" s="1"/>
      <c r="Y5489" s="1"/>
      <c r="AB5489" s="1"/>
      <c r="AC5489" s="1"/>
      <c r="AD5489" s="1"/>
      <c r="AE5489" s="1"/>
      <c r="AF5489" s="1"/>
      <c r="AG5489" s="1"/>
      <c r="AH5489" s="1"/>
      <c r="AI5489" s="1"/>
      <c r="AJ5489" s="1"/>
      <c r="AK5489" s="1"/>
      <c r="AL5489" s="1"/>
      <c r="AM5489" s="1"/>
    </row>
    <row r="5490" spans="16:39" x14ac:dyDescent="0.25">
      <c r="P5490" s="49"/>
      <c r="Q5490" s="1"/>
      <c r="S5490" s="1"/>
      <c r="T5490" s="1"/>
      <c r="U5490" s="1"/>
      <c r="V5490" s="1"/>
      <c r="W5490" s="1"/>
      <c r="X5490" s="1"/>
      <c r="Y5490" s="1"/>
      <c r="AB5490" s="1"/>
      <c r="AC5490" s="1"/>
      <c r="AD5490" s="1"/>
      <c r="AE5490" s="1"/>
      <c r="AF5490" s="1"/>
      <c r="AG5490" s="1"/>
      <c r="AH5490" s="1"/>
      <c r="AI5490" s="1"/>
      <c r="AJ5490" s="1"/>
      <c r="AK5490" s="1"/>
      <c r="AL5490" s="1"/>
      <c r="AM5490" s="1"/>
    </row>
    <row r="5491" spans="16:39" x14ac:dyDescent="0.25">
      <c r="P5491" s="49"/>
      <c r="Q5491" s="1"/>
      <c r="S5491" s="1"/>
      <c r="T5491" s="1"/>
      <c r="U5491" s="1"/>
      <c r="V5491" s="1"/>
      <c r="W5491" s="1"/>
      <c r="X5491" s="1"/>
      <c r="Y5491" s="1"/>
      <c r="AB5491" s="1"/>
      <c r="AC5491" s="1"/>
      <c r="AD5491" s="1"/>
      <c r="AE5491" s="1"/>
      <c r="AF5491" s="1"/>
      <c r="AG5491" s="1"/>
      <c r="AH5491" s="1"/>
      <c r="AI5491" s="1"/>
      <c r="AJ5491" s="1"/>
      <c r="AK5491" s="1"/>
      <c r="AL5491" s="1"/>
      <c r="AM5491" s="1"/>
    </row>
    <row r="5492" spans="16:39" x14ac:dyDescent="0.25">
      <c r="P5492" s="49"/>
      <c r="Q5492" s="1"/>
      <c r="S5492" s="1"/>
      <c r="T5492" s="1"/>
      <c r="U5492" s="1"/>
      <c r="V5492" s="1"/>
      <c r="W5492" s="1"/>
      <c r="X5492" s="1"/>
      <c r="Y5492" s="1"/>
      <c r="AB5492" s="1"/>
      <c r="AC5492" s="1"/>
      <c r="AD5492" s="1"/>
      <c r="AE5492" s="1"/>
      <c r="AF5492" s="1"/>
      <c r="AG5492" s="1"/>
      <c r="AH5492" s="1"/>
      <c r="AI5492" s="1"/>
      <c r="AJ5492" s="1"/>
      <c r="AK5492" s="1"/>
      <c r="AL5492" s="1"/>
      <c r="AM5492" s="1"/>
    </row>
    <row r="5493" spans="16:39" x14ac:dyDescent="0.25">
      <c r="P5493" s="49"/>
      <c r="Q5493" s="1"/>
      <c r="S5493" s="1"/>
      <c r="T5493" s="1"/>
      <c r="U5493" s="1"/>
      <c r="V5493" s="1"/>
      <c r="W5493" s="1"/>
      <c r="X5493" s="1"/>
      <c r="Y5493" s="1"/>
      <c r="AB5493" s="1"/>
      <c r="AC5493" s="1"/>
      <c r="AD5493" s="1"/>
      <c r="AE5493" s="1"/>
      <c r="AF5493" s="1"/>
      <c r="AG5493" s="1"/>
      <c r="AH5493" s="1"/>
      <c r="AI5493" s="1"/>
      <c r="AJ5493" s="1"/>
      <c r="AK5493" s="1"/>
      <c r="AL5493" s="1"/>
      <c r="AM5493" s="1"/>
    </row>
    <row r="5494" spans="16:39" x14ac:dyDescent="0.25">
      <c r="P5494" s="49"/>
      <c r="Q5494" s="1"/>
      <c r="S5494" s="1"/>
      <c r="T5494" s="1"/>
      <c r="U5494" s="1"/>
      <c r="V5494" s="1"/>
      <c r="W5494" s="1"/>
      <c r="X5494" s="1"/>
      <c r="Y5494" s="1"/>
      <c r="AB5494" s="1"/>
      <c r="AC5494" s="1"/>
      <c r="AD5494" s="1"/>
      <c r="AE5494" s="1"/>
      <c r="AF5494" s="1"/>
      <c r="AG5494" s="1"/>
      <c r="AH5494" s="1"/>
      <c r="AI5494" s="1"/>
      <c r="AJ5494" s="1"/>
      <c r="AK5494" s="1"/>
      <c r="AL5494" s="1"/>
      <c r="AM5494" s="1"/>
    </row>
    <row r="5495" spans="16:39" x14ac:dyDescent="0.25">
      <c r="P5495" s="49"/>
      <c r="Q5495" s="1"/>
      <c r="S5495" s="1"/>
      <c r="T5495" s="1"/>
      <c r="U5495" s="1"/>
      <c r="V5495" s="1"/>
      <c r="W5495" s="1"/>
      <c r="X5495" s="1"/>
      <c r="Y5495" s="1"/>
      <c r="AB5495" s="1"/>
      <c r="AC5495" s="1"/>
      <c r="AD5495" s="1"/>
      <c r="AE5495" s="1"/>
      <c r="AF5495" s="1"/>
      <c r="AG5495" s="1"/>
      <c r="AH5495" s="1"/>
      <c r="AI5495" s="1"/>
      <c r="AJ5495" s="1"/>
      <c r="AK5495" s="1"/>
      <c r="AL5495" s="1"/>
      <c r="AM5495" s="1"/>
    </row>
    <row r="5496" spans="16:39" x14ac:dyDescent="0.25">
      <c r="P5496" s="49"/>
      <c r="Q5496" s="1"/>
      <c r="S5496" s="1"/>
      <c r="T5496" s="1"/>
      <c r="U5496" s="1"/>
      <c r="V5496" s="1"/>
      <c r="W5496" s="1"/>
      <c r="X5496" s="1"/>
      <c r="Y5496" s="1"/>
      <c r="AB5496" s="1"/>
      <c r="AC5496" s="1"/>
      <c r="AD5496" s="1"/>
      <c r="AE5496" s="1"/>
      <c r="AF5496" s="1"/>
      <c r="AG5496" s="1"/>
      <c r="AH5496" s="1"/>
      <c r="AI5496" s="1"/>
      <c r="AJ5496" s="1"/>
      <c r="AK5496" s="1"/>
      <c r="AL5496" s="1"/>
      <c r="AM5496" s="1"/>
    </row>
    <row r="5497" spans="16:39" x14ac:dyDescent="0.25">
      <c r="P5497" s="49"/>
      <c r="Q5497" s="1"/>
      <c r="S5497" s="1"/>
      <c r="T5497" s="1"/>
      <c r="U5497" s="1"/>
      <c r="V5497" s="1"/>
      <c r="W5497" s="1"/>
      <c r="X5497" s="1"/>
      <c r="Y5497" s="1"/>
      <c r="AB5497" s="1"/>
      <c r="AC5497" s="1"/>
      <c r="AD5497" s="1"/>
      <c r="AE5497" s="1"/>
      <c r="AF5497" s="1"/>
      <c r="AG5497" s="1"/>
      <c r="AH5497" s="1"/>
      <c r="AI5497" s="1"/>
      <c r="AJ5497" s="1"/>
      <c r="AK5497" s="1"/>
      <c r="AL5497" s="1"/>
      <c r="AM5497" s="1"/>
    </row>
    <row r="5498" spans="16:39" x14ac:dyDescent="0.25">
      <c r="P5498" s="49"/>
      <c r="Q5498" s="1"/>
      <c r="S5498" s="1"/>
      <c r="T5498" s="1"/>
      <c r="U5498" s="1"/>
      <c r="V5498" s="1"/>
      <c r="W5498" s="1"/>
      <c r="X5498" s="1"/>
      <c r="Y5498" s="1"/>
      <c r="AB5498" s="1"/>
      <c r="AC5498" s="1"/>
      <c r="AD5498" s="1"/>
      <c r="AE5498" s="1"/>
      <c r="AF5498" s="1"/>
      <c r="AG5498" s="1"/>
      <c r="AH5498" s="1"/>
      <c r="AI5498" s="1"/>
      <c r="AJ5498" s="1"/>
      <c r="AK5498" s="1"/>
      <c r="AL5498" s="1"/>
      <c r="AM5498" s="1"/>
    </row>
    <row r="5499" spans="16:39" x14ac:dyDescent="0.25">
      <c r="P5499" s="49"/>
      <c r="Q5499" s="1"/>
      <c r="S5499" s="1"/>
      <c r="T5499" s="1"/>
      <c r="U5499" s="1"/>
      <c r="V5499" s="1"/>
      <c r="W5499" s="1"/>
      <c r="X5499" s="1"/>
      <c r="Y5499" s="1"/>
      <c r="AB5499" s="1"/>
      <c r="AC5499" s="1"/>
      <c r="AD5499" s="1"/>
      <c r="AE5499" s="1"/>
      <c r="AF5499" s="1"/>
      <c r="AG5499" s="1"/>
      <c r="AH5499" s="1"/>
      <c r="AI5499" s="1"/>
      <c r="AJ5499" s="1"/>
      <c r="AK5499" s="1"/>
      <c r="AL5499" s="1"/>
      <c r="AM5499" s="1"/>
    </row>
    <row r="5500" spans="16:39" x14ac:dyDescent="0.25">
      <c r="P5500" s="49"/>
      <c r="Q5500" s="1"/>
      <c r="S5500" s="1"/>
      <c r="T5500" s="1"/>
      <c r="U5500" s="1"/>
      <c r="V5500" s="1"/>
      <c r="W5500" s="1"/>
      <c r="X5500" s="1"/>
      <c r="Y5500" s="1"/>
      <c r="AB5500" s="1"/>
      <c r="AC5500" s="1"/>
      <c r="AD5500" s="1"/>
      <c r="AE5500" s="1"/>
      <c r="AF5500" s="1"/>
      <c r="AG5500" s="1"/>
      <c r="AH5500" s="1"/>
      <c r="AI5500" s="1"/>
      <c r="AJ5500" s="1"/>
      <c r="AK5500" s="1"/>
      <c r="AL5500" s="1"/>
      <c r="AM5500" s="1"/>
    </row>
    <row r="5501" spans="16:39" x14ac:dyDescent="0.25">
      <c r="P5501" s="49"/>
      <c r="Q5501" s="1"/>
      <c r="S5501" s="1"/>
      <c r="T5501" s="1"/>
      <c r="U5501" s="1"/>
      <c r="V5501" s="1"/>
      <c r="W5501" s="1"/>
      <c r="X5501" s="1"/>
      <c r="Y5501" s="1"/>
      <c r="AB5501" s="1"/>
      <c r="AC5501" s="1"/>
      <c r="AD5501" s="1"/>
      <c r="AE5501" s="1"/>
      <c r="AF5501" s="1"/>
      <c r="AG5501" s="1"/>
      <c r="AH5501" s="1"/>
      <c r="AI5501" s="1"/>
      <c r="AJ5501" s="1"/>
      <c r="AK5501" s="1"/>
      <c r="AL5501" s="1"/>
      <c r="AM5501" s="1"/>
    </row>
    <row r="5502" spans="16:39" x14ac:dyDescent="0.25">
      <c r="P5502" s="49"/>
      <c r="Q5502" s="1"/>
      <c r="S5502" s="1"/>
      <c r="T5502" s="1"/>
      <c r="U5502" s="1"/>
      <c r="V5502" s="1"/>
      <c r="W5502" s="1"/>
      <c r="X5502" s="1"/>
      <c r="Y5502" s="1"/>
      <c r="AB5502" s="1"/>
      <c r="AC5502" s="1"/>
      <c r="AD5502" s="1"/>
      <c r="AE5502" s="1"/>
      <c r="AF5502" s="1"/>
      <c r="AG5502" s="1"/>
      <c r="AH5502" s="1"/>
      <c r="AI5502" s="1"/>
      <c r="AJ5502" s="1"/>
      <c r="AK5502" s="1"/>
      <c r="AL5502" s="1"/>
      <c r="AM5502" s="1"/>
    </row>
    <row r="5503" spans="16:39" x14ac:dyDescent="0.25">
      <c r="P5503" s="49"/>
      <c r="Q5503" s="1"/>
      <c r="S5503" s="1"/>
      <c r="T5503" s="1"/>
      <c r="U5503" s="1"/>
      <c r="V5503" s="1"/>
      <c r="W5503" s="1"/>
      <c r="X5503" s="1"/>
      <c r="Y5503" s="1"/>
      <c r="AB5503" s="1"/>
      <c r="AC5503" s="1"/>
      <c r="AD5503" s="1"/>
      <c r="AE5503" s="1"/>
      <c r="AF5503" s="1"/>
      <c r="AG5503" s="1"/>
      <c r="AH5503" s="1"/>
      <c r="AI5503" s="1"/>
      <c r="AJ5503" s="1"/>
      <c r="AK5503" s="1"/>
      <c r="AL5503" s="1"/>
      <c r="AM5503" s="1"/>
    </row>
    <row r="5504" spans="16:39" x14ac:dyDescent="0.25">
      <c r="P5504" s="49"/>
      <c r="Q5504" s="1"/>
      <c r="S5504" s="1"/>
      <c r="T5504" s="1"/>
      <c r="U5504" s="1"/>
      <c r="V5504" s="1"/>
      <c r="W5504" s="1"/>
      <c r="X5504" s="1"/>
      <c r="Y5504" s="1"/>
      <c r="AB5504" s="1"/>
      <c r="AC5504" s="1"/>
      <c r="AD5504" s="1"/>
      <c r="AE5504" s="1"/>
      <c r="AF5504" s="1"/>
      <c r="AG5504" s="1"/>
      <c r="AH5504" s="1"/>
      <c r="AI5504" s="1"/>
      <c r="AJ5504" s="1"/>
      <c r="AK5504" s="1"/>
      <c r="AL5504" s="1"/>
      <c r="AM5504" s="1"/>
    </row>
    <row r="5505" spans="16:39" x14ac:dyDescent="0.25">
      <c r="P5505" s="49"/>
      <c r="Q5505" s="1"/>
      <c r="S5505" s="1"/>
      <c r="T5505" s="1"/>
      <c r="U5505" s="1"/>
      <c r="V5505" s="1"/>
      <c r="W5505" s="1"/>
      <c r="X5505" s="1"/>
      <c r="Y5505" s="1"/>
      <c r="AB5505" s="1"/>
      <c r="AC5505" s="1"/>
      <c r="AD5505" s="1"/>
      <c r="AE5505" s="1"/>
      <c r="AF5505" s="1"/>
      <c r="AG5505" s="1"/>
      <c r="AH5505" s="1"/>
      <c r="AI5505" s="1"/>
      <c r="AJ5505" s="1"/>
      <c r="AK5505" s="1"/>
      <c r="AL5505" s="1"/>
      <c r="AM5505" s="1"/>
    </row>
    <row r="5506" spans="16:39" x14ac:dyDescent="0.25">
      <c r="P5506" s="49"/>
      <c r="Q5506" s="1"/>
      <c r="S5506" s="1"/>
      <c r="T5506" s="1"/>
      <c r="U5506" s="1"/>
      <c r="V5506" s="1"/>
      <c r="W5506" s="1"/>
      <c r="X5506" s="1"/>
      <c r="Y5506" s="1"/>
      <c r="AB5506" s="1"/>
      <c r="AC5506" s="1"/>
      <c r="AD5506" s="1"/>
      <c r="AE5506" s="1"/>
      <c r="AF5506" s="1"/>
      <c r="AG5506" s="1"/>
      <c r="AH5506" s="1"/>
      <c r="AI5506" s="1"/>
      <c r="AJ5506" s="1"/>
      <c r="AK5506" s="1"/>
      <c r="AL5506" s="1"/>
      <c r="AM5506" s="1"/>
    </row>
    <row r="5507" spans="16:39" x14ac:dyDescent="0.25">
      <c r="P5507" s="49"/>
      <c r="Q5507" s="1"/>
      <c r="S5507" s="1"/>
      <c r="T5507" s="1"/>
      <c r="U5507" s="1"/>
      <c r="V5507" s="1"/>
      <c r="W5507" s="1"/>
      <c r="X5507" s="1"/>
      <c r="Y5507" s="1"/>
      <c r="AB5507" s="1"/>
      <c r="AC5507" s="1"/>
      <c r="AD5507" s="1"/>
      <c r="AE5507" s="1"/>
      <c r="AF5507" s="1"/>
      <c r="AG5507" s="1"/>
      <c r="AH5507" s="1"/>
      <c r="AI5507" s="1"/>
      <c r="AJ5507" s="1"/>
      <c r="AK5507" s="1"/>
      <c r="AL5507" s="1"/>
      <c r="AM5507" s="1"/>
    </row>
    <row r="5508" spans="16:39" x14ac:dyDescent="0.25">
      <c r="P5508" s="49"/>
      <c r="Q5508" s="1"/>
      <c r="S5508" s="1"/>
      <c r="T5508" s="1"/>
      <c r="U5508" s="1"/>
      <c r="V5508" s="1"/>
      <c r="W5508" s="1"/>
      <c r="X5508" s="1"/>
      <c r="Y5508" s="1"/>
      <c r="AB5508" s="1"/>
      <c r="AC5508" s="1"/>
      <c r="AD5508" s="1"/>
      <c r="AE5508" s="1"/>
      <c r="AF5508" s="1"/>
      <c r="AG5508" s="1"/>
      <c r="AH5508" s="1"/>
      <c r="AI5508" s="1"/>
      <c r="AJ5508" s="1"/>
      <c r="AK5508" s="1"/>
      <c r="AL5508" s="1"/>
      <c r="AM5508" s="1"/>
    </row>
    <row r="5509" spans="16:39" x14ac:dyDescent="0.25">
      <c r="P5509" s="49"/>
      <c r="Q5509" s="1"/>
      <c r="S5509" s="1"/>
      <c r="T5509" s="1"/>
      <c r="U5509" s="1"/>
      <c r="V5509" s="1"/>
      <c r="W5509" s="1"/>
      <c r="X5509" s="1"/>
      <c r="Y5509" s="1"/>
      <c r="AB5509" s="1"/>
      <c r="AC5509" s="1"/>
      <c r="AD5509" s="1"/>
      <c r="AE5509" s="1"/>
      <c r="AF5509" s="1"/>
      <c r="AG5509" s="1"/>
      <c r="AH5509" s="1"/>
      <c r="AI5509" s="1"/>
      <c r="AJ5509" s="1"/>
      <c r="AK5509" s="1"/>
      <c r="AL5509" s="1"/>
      <c r="AM5509" s="1"/>
    </row>
    <row r="5510" spans="16:39" x14ac:dyDescent="0.25">
      <c r="P5510" s="49"/>
      <c r="Q5510" s="1"/>
      <c r="S5510" s="1"/>
      <c r="T5510" s="1"/>
      <c r="U5510" s="1"/>
      <c r="V5510" s="1"/>
      <c r="W5510" s="1"/>
      <c r="X5510" s="1"/>
      <c r="Y5510" s="1"/>
      <c r="AB5510" s="1"/>
      <c r="AC5510" s="1"/>
      <c r="AD5510" s="1"/>
      <c r="AE5510" s="1"/>
      <c r="AF5510" s="1"/>
      <c r="AG5510" s="1"/>
      <c r="AH5510" s="1"/>
      <c r="AI5510" s="1"/>
      <c r="AJ5510" s="1"/>
      <c r="AK5510" s="1"/>
      <c r="AL5510" s="1"/>
      <c r="AM5510" s="1"/>
    </row>
    <row r="5511" spans="16:39" x14ac:dyDescent="0.25">
      <c r="P5511" s="49"/>
      <c r="Q5511" s="1"/>
      <c r="S5511" s="1"/>
      <c r="T5511" s="1"/>
      <c r="U5511" s="1"/>
      <c r="V5511" s="1"/>
      <c r="W5511" s="1"/>
      <c r="X5511" s="1"/>
      <c r="Y5511" s="1"/>
      <c r="AB5511" s="1"/>
      <c r="AC5511" s="1"/>
      <c r="AD5511" s="1"/>
      <c r="AE5511" s="1"/>
      <c r="AF5511" s="1"/>
      <c r="AG5511" s="1"/>
      <c r="AH5511" s="1"/>
      <c r="AI5511" s="1"/>
      <c r="AJ5511" s="1"/>
      <c r="AK5511" s="1"/>
      <c r="AL5511" s="1"/>
      <c r="AM5511" s="1"/>
    </row>
    <row r="5512" spans="16:39" x14ac:dyDescent="0.25">
      <c r="P5512" s="49"/>
      <c r="Q5512" s="1"/>
      <c r="S5512" s="1"/>
      <c r="T5512" s="1"/>
      <c r="U5512" s="1"/>
      <c r="V5512" s="1"/>
      <c r="W5512" s="1"/>
      <c r="X5512" s="1"/>
      <c r="Y5512" s="1"/>
      <c r="AB5512" s="1"/>
      <c r="AC5512" s="1"/>
      <c r="AD5512" s="1"/>
      <c r="AE5512" s="1"/>
      <c r="AF5512" s="1"/>
      <c r="AG5512" s="1"/>
      <c r="AH5512" s="1"/>
      <c r="AI5512" s="1"/>
      <c r="AJ5512" s="1"/>
      <c r="AK5512" s="1"/>
      <c r="AL5512" s="1"/>
      <c r="AM5512" s="1"/>
    </row>
    <row r="5513" spans="16:39" x14ac:dyDescent="0.25">
      <c r="P5513" s="49"/>
      <c r="Q5513" s="1"/>
      <c r="S5513" s="1"/>
      <c r="T5513" s="1"/>
      <c r="U5513" s="1"/>
      <c r="V5513" s="1"/>
      <c r="W5513" s="1"/>
      <c r="X5513" s="1"/>
      <c r="Y5513" s="1"/>
      <c r="AB5513" s="1"/>
      <c r="AC5513" s="1"/>
      <c r="AD5513" s="1"/>
      <c r="AE5513" s="1"/>
      <c r="AF5513" s="1"/>
      <c r="AG5513" s="1"/>
      <c r="AH5513" s="1"/>
      <c r="AI5513" s="1"/>
      <c r="AJ5513" s="1"/>
      <c r="AK5513" s="1"/>
      <c r="AL5513" s="1"/>
      <c r="AM5513" s="1"/>
    </row>
    <row r="5514" spans="16:39" x14ac:dyDescent="0.25">
      <c r="P5514" s="49"/>
      <c r="Q5514" s="1"/>
      <c r="S5514" s="1"/>
      <c r="T5514" s="1"/>
      <c r="U5514" s="1"/>
      <c r="V5514" s="1"/>
      <c r="W5514" s="1"/>
      <c r="X5514" s="1"/>
      <c r="Y5514" s="1"/>
      <c r="AB5514" s="1"/>
      <c r="AC5514" s="1"/>
      <c r="AD5514" s="1"/>
      <c r="AE5514" s="1"/>
      <c r="AF5514" s="1"/>
      <c r="AG5514" s="1"/>
      <c r="AH5514" s="1"/>
      <c r="AI5514" s="1"/>
      <c r="AJ5514" s="1"/>
      <c r="AK5514" s="1"/>
      <c r="AL5514" s="1"/>
      <c r="AM5514" s="1"/>
    </row>
    <row r="5515" spans="16:39" x14ac:dyDescent="0.25">
      <c r="P5515" s="49"/>
      <c r="Q5515" s="1"/>
      <c r="S5515" s="1"/>
      <c r="T5515" s="1"/>
      <c r="U5515" s="1"/>
      <c r="V5515" s="1"/>
      <c r="W5515" s="1"/>
      <c r="X5515" s="1"/>
      <c r="Y5515" s="1"/>
      <c r="AB5515" s="1"/>
      <c r="AC5515" s="1"/>
      <c r="AD5515" s="1"/>
      <c r="AE5515" s="1"/>
      <c r="AF5515" s="1"/>
      <c r="AG5515" s="1"/>
      <c r="AH5515" s="1"/>
      <c r="AI5515" s="1"/>
      <c r="AJ5515" s="1"/>
      <c r="AK5515" s="1"/>
      <c r="AL5515" s="1"/>
      <c r="AM5515" s="1"/>
    </row>
    <row r="5516" spans="16:39" x14ac:dyDescent="0.25">
      <c r="P5516" s="49"/>
      <c r="Q5516" s="1"/>
      <c r="S5516" s="1"/>
      <c r="T5516" s="1"/>
      <c r="U5516" s="1"/>
      <c r="V5516" s="1"/>
      <c r="W5516" s="1"/>
      <c r="X5516" s="1"/>
      <c r="Y5516" s="1"/>
      <c r="AB5516" s="1"/>
      <c r="AC5516" s="1"/>
      <c r="AD5516" s="1"/>
      <c r="AE5516" s="1"/>
      <c r="AF5516" s="1"/>
      <c r="AG5516" s="1"/>
      <c r="AH5516" s="1"/>
      <c r="AI5516" s="1"/>
      <c r="AJ5516" s="1"/>
      <c r="AK5516" s="1"/>
      <c r="AL5516" s="1"/>
      <c r="AM5516" s="1"/>
    </row>
    <row r="5517" spans="16:39" x14ac:dyDescent="0.25">
      <c r="P5517" s="49"/>
      <c r="Q5517" s="1"/>
      <c r="S5517" s="1"/>
      <c r="T5517" s="1"/>
      <c r="U5517" s="1"/>
      <c r="V5517" s="1"/>
      <c r="W5517" s="1"/>
      <c r="X5517" s="1"/>
      <c r="Y5517" s="1"/>
      <c r="AB5517" s="1"/>
      <c r="AC5517" s="1"/>
      <c r="AD5517" s="1"/>
      <c r="AE5517" s="1"/>
      <c r="AF5517" s="1"/>
      <c r="AG5517" s="1"/>
      <c r="AH5517" s="1"/>
      <c r="AI5517" s="1"/>
      <c r="AJ5517" s="1"/>
      <c r="AK5517" s="1"/>
      <c r="AL5517" s="1"/>
      <c r="AM5517" s="1"/>
    </row>
    <row r="5518" spans="16:39" x14ac:dyDescent="0.25">
      <c r="P5518" s="49"/>
      <c r="Q5518" s="1"/>
      <c r="S5518" s="1"/>
      <c r="T5518" s="1"/>
      <c r="U5518" s="1"/>
      <c r="V5518" s="1"/>
      <c r="W5518" s="1"/>
      <c r="X5518" s="1"/>
      <c r="Y5518" s="1"/>
      <c r="AB5518" s="1"/>
      <c r="AC5518" s="1"/>
      <c r="AD5518" s="1"/>
      <c r="AE5518" s="1"/>
      <c r="AF5518" s="1"/>
      <c r="AG5518" s="1"/>
      <c r="AH5518" s="1"/>
      <c r="AI5518" s="1"/>
      <c r="AJ5518" s="1"/>
      <c r="AK5518" s="1"/>
      <c r="AL5518" s="1"/>
      <c r="AM5518" s="1"/>
    </row>
    <row r="5519" spans="16:39" x14ac:dyDescent="0.25">
      <c r="P5519" s="49"/>
      <c r="Q5519" s="1"/>
      <c r="S5519" s="1"/>
      <c r="T5519" s="1"/>
      <c r="U5519" s="1"/>
      <c r="V5519" s="1"/>
      <c r="W5519" s="1"/>
      <c r="X5519" s="1"/>
      <c r="Y5519" s="1"/>
      <c r="AB5519" s="1"/>
      <c r="AC5519" s="1"/>
      <c r="AD5519" s="1"/>
      <c r="AE5519" s="1"/>
      <c r="AF5519" s="1"/>
      <c r="AG5519" s="1"/>
      <c r="AH5519" s="1"/>
      <c r="AI5519" s="1"/>
      <c r="AJ5519" s="1"/>
      <c r="AK5519" s="1"/>
      <c r="AL5519" s="1"/>
      <c r="AM5519" s="1"/>
    </row>
    <row r="5520" spans="16:39" x14ac:dyDescent="0.25">
      <c r="P5520" s="49"/>
      <c r="Q5520" s="1"/>
      <c r="S5520" s="1"/>
      <c r="T5520" s="1"/>
      <c r="U5520" s="1"/>
      <c r="V5520" s="1"/>
      <c r="W5520" s="1"/>
      <c r="X5520" s="1"/>
      <c r="Y5520" s="1"/>
      <c r="AB5520" s="1"/>
      <c r="AC5520" s="1"/>
      <c r="AD5520" s="1"/>
      <c r="AE5520" s="1"/>
      <c r="AF5520" s="1"/>
      <c r="AG5520" s="1"/>
      <c r="AH5520" s="1"/>
      <c r="AI5520" s="1"/>
      <c r="AJ5520" s="1"/>
      <c r="AK5520" s="1"/>
      <c r="AL5520" s="1"/>
      <c r="AM5520" s="1"/>
    </row>
    <row r="5521" spans="16:39" x14ac:dyDescent="0.25">
      <c r="P5521" s="49"/>
      <c r="Q5521" s="1"/>
      <c r="S5521" s="1"/>
      <c r="T5521" s="1"/>
      <c r="U5521" s="1"/>
      <c r="V5521" s="1"/>
      <c r="W5521" s="1"/>
      <c r="X5521" s="1"/>
      <c r="Y5521" s="1"/>
      <c r="AB5521" s="1"/>
      <c r="AC5521" s="1"/>
      <c r="AD5521" s="1"/>
      <c r="AE5521" s="1"/>
      <c r="AF5521" s="1"/>
      <c r="AG5521" s="1"/>
      <c r="AH5521" s="1"/>
      <c r="AI5521" s="1"/>
      <c r="AJ5521" s="1"/>
      <c r="AK5521" s="1"/>
      <c r="AL5521" s="1"/>
      <c r="AM5521" s="1"/>
    </row>
    <row r="5522" spans="16:39" x14ac:dyDescent="0.25">
      <c r="P5522" s="49"/>
      <c r="Q5522" s="1"/>
      <c r="S5522" s="1"/>
      <c r="T5522" s="1"/>
      <c r="U5522" s="1"/>
      <c r="V5522" s="1"/>
      <c r="W5522" s="1"/>
      <c r="X5522" s="1"/>
      <c r="Y5522" s="1"/>
      <c r="AB5522" s="1"/>
      <c r="AC5522" s="1"/>
      <c r="AD5522" s="1"/>
      <c r="AE5522" s="1"/>
      <c r="AF5522" s="1"/>
      <c r="AG5522" s="1"/>
      <c r="AH5522" s="1"/>
      <c r="AI5522" s="1"/>
      <c r="AJ5522" s="1"/>
      <c r="AK5522" s="1"/>
      <c r="AL5522" s="1"/>
      <c r="AM5522" s="1"/>
    </row>
    <row r="5523" spans="16:39" x14ac:dyDescent="0.25">
      <c r="P5523" s="49"/>
      <c r="Q5523" s="1"/>
      <c r="S5523" s="1"/>
      <c r="T5523" s="1"/>
      <c r="U5523" s="1"/>
      <c r="V5523" s="1"/>
      <c r="W5523" s="1"/>
      <c r="X5523" s="1"/>
      <c r="Y5523" s="1"/>
      <c r="AB5523" s="1"/>
      <c r="AC5523" s="1"/>
      <c r="AD5523" s="1"/>
      <c r="AE5523" s="1"/>
      <c r="AF5523" s="1"/>
      <c r="AG5523" s="1"/>
      <c r="AH5523" s="1"/>
      <c r="AI5523" s="1"/>
      <c r="AJ5523" s="1"/>
      <c r="AK5523" s="1"/>
      <c r="AL5523" s="1"/>
      <c r="AM5523" s="1"/>
    </row>
    <row r="5524" spans="16:39" x14ac:dyDescent="0.25">
      <c r="P5524" s="49"/>
      <c r="Q5524" s="1"/>
      <c r="S5524" s="1"/>
      <c r="T5524" s="1"/>
      <c r="U5524" s="1"/>
      <c r="V5524" s="1"/>
      <c r="W5524" s="1"/>
      <c r="X5524" s="1"/>
      <c r="Y5524" s="1"/>
      <c r="AB5524" s="1"/>
      <c r="AC5524" s="1"/>
      <c r="AD5524" s="1"/>
      <c r="AE5524" s="1"/>
      <c r="AF5524" s="1"/>
      <c r="AG5524" s="1"/>
      <c r="AH5524" s="1"/>
      <c r="AI5524" s="1"/>
      <c r="AJ5524" s="1"/>
      <c r="AK5524" s="1"/>
      <c r="AL5524" s="1"/>
      <c r="AM5524" s="1"/>
    </row>
    <row r="5525" spans="16:39" x14ac:dyDescent="0.25">
      <c r="P5525" s="49"/>
      <c r="Q5525" s="1"/>
      <c r="S5525" s="1"/>
      <c r="T5525" s="1"/>
      <c r="U5525" s="1"/>
      <c r="V5525" s="1"/>
      <c r="W5525" s="1"/>
      <c r="X5525" s="1"/>
      <c r="Y5525" s="1"/>
      <c r="AB5525" s="1"/>
      <c r="AC5525" s="1"/>
      <c r="AD5525" s="1"/>
      <c r="AE5525" s="1"/>
      <c r="AF5525" s="1"/>
      <c r="AG5525" s="1"/>
      <c r="AH5525" s="1"/>
      <c r="AI5525" s="1"/>
      <c r="AJ5525" s="1"/>
      <c r="AK5525" s="1"/>
      <c r="AL5525" s="1"/>
      <c r="AM5525" s="1"/>
    </row>
    <row r="5526" spans="16:39" x14ac:dyDescent="0.25">
      <c r="P5526" s="49"/>
      <c r="Q5526" s="1"/>
      <c r="S5526" s="1"/>
      <c r="T5526" s="1"/>
      <c r="U5526" s="1"/>
      <c r="V5526" s="1"/>
      <c r="W5526" s="1"/>
      <c r="X5526" s="1"/>
      <c r="Y5526" s="1"/>
      <c r="AB5526" s="1"/>
      <c r="AC5526" s="1"/>
      <c r="AD5526" s="1"/>
      <c r="AE5526" s="1"/>
      <c r="AF5526" s="1"/>
      <c r="AG5526" s="1"/>
      <c r="AH5526" s="1"/>
      <c r="AI5526" s="1"/>
      <c r="AJ5526" s="1"/>
      <c r="AK5526" s="1"/>
      <c r="AL5526" s="1"/>
      <c r="AM5526" s="1"/>
    </row>
    <row r="5527" spans="16:39" x14ac:dyDescent="0.25">
      <c r="P5527" s="49"/>
      <c r="Q5527" s="1"/>
      <c r="S5527" s="1"/>
      <c r="T5527" s="1"/>
      <c r="U5527" s="1"/>
      <c r="V5527" s="1"/>
      <c r="W5527" s="1"/>
      <c r="X5527" s="1"/>
      <c r="Y5527" s="1"/>
      <c r="AB5527" s="1"/>
      <c r="AC5527" s="1"/>
      <c r="AD5527" s="1"/>
      <c r="AE5527" s="1"/>
      <c r="AF5527" s="1"/>
      <c r="AG5527" s="1"/>
      <c r="AH5527" s="1"/>
      <c r="AI5527" s="1"/>
      <c r="AJ5527" s="1"/>
      <c r="AK5527" s="1"/>
      <c r="AL5527" s="1"/>
      <c r="AM5527" s="1"/>
    </row>
    <row r="5528" spans="16:39" x14ac:dyDescent="0.25">
      <c r="P5528" s="49"/>
      <c r="Q5528" s="1"/>
      <c r="S5528" s="1"/>
      <c r="T5528" s="1"/>
      <c r="U5528" s="1"/>
      <c r="V5528" s="1"/>
      <c r="W5528" s="1"/>
      <c r="X5528" s="1"/>
      <c r="Y5528" s="1"/>
      <c r="AB5528" s="1"/>
      <c r="AC5528" s="1"/>
      <c r="AD5528" s="1"/>
      <c r="AE5528" s="1"/>
      <c r="AF5528" s="1"/>
      <c r="AG5528" s="1"/>
      <c r="AH5528" s="1"/>
      <c r="AI5528" s="1"/>
      <c r="AJ5528" s="1"/>
      <c r="AK5528" s="1"/>
      <c r="AL5528" s="1"/>
      <c r="AM5528" s="1"/>
    </row>
    <row r="5529" spans="16:39" x14ac:dyDescent="0.25">
      <c r="P5529" s="49"/>
      <c r="Q5529" s="1"/>
      <c r="S5529" s="1"/>
      <c r="T5529" s="1"/>
      <c r="U5529" s="1"/>
      <c r="V5529" s="1"/>
      <c r="W5529" s="1"/>
      <c r="X5529" s="1"/>
      <c r="Y5529" s="1"/>
      <c r="AB5529" s="1"/>
      <c r="AC5529" s="1"/>
      <c r="AD5529" s="1"/>
      <c r="AE5529" s="1"/>
      <c r="AF5529" s="1"/>
      <c r="AG5529" s="1"/>
      <c r="AH5529" s="1"/>
      <c r="AI5529" s="1"/>
      <c r="AJ5529" s="1"/>
      <c r="AK5529" s="1"/>
      <c r="AL5529" s="1"/>
      <c r="AM5529" s="1"/>
    </row>
    <row r="5530" spans="16:39" x14ac:dyDescent="0.25">
      <c r="P5530" s="49"/>
      <c r="Q5530" s="1"/>
      <c r="S5530" s="1"/>
      <c r="T5530" s="1"/>
      <c r="U5530" s="1"/>
      <c r="V5530" s="1"/>
      <c r="W5530" s="1"/>
      <c r="X5530" s="1"/>
      <c r="Y5530" s="1"/>
      <c r="AB5530" s="1"/>
      <c r="AC5530" s="1"/>
      <c r="AD5530" s="1"/>
      <c r="AE5530" s="1"/>
      <c r="AF5530" s="1"/>
      <c r="AG5530" s="1"/>
      <c r="AH5530" s="1"/>
      <c r="AI5530" s="1"/>
      <c r="AJ5530" s="1"/>
      <c r="AK5530" s="1"/>
      <c r="AL5530" s="1"/>
      <c r="AM5530" s="1"/>
    </row>
    <row r="5531" spans="16:39" x14ac:dyDescent="0.25">
      <c r="P5531" s="49"/>
      <c r="Q5531" s="1"/>
      <c r="S5531" s="1"/>
      <c r="T5531" s="1"/>
      <c r="U5531" s="1"/>
      <c r="V5531" s="1"/>
      <c r="W5531" s="1"/>
      <c r="X5531" s="1"/>
      <c r="Y5531" s="1"/>
      <c r="AB5531" s="1"/>
      <c r="AC5531" s="1"/>
      <c r="AD5531" s="1"/>
      <c r="AE5531" s="1"/>
      <c r="AF5531" s="1"/>
      <c r="AG5531" s="1"/>
      <c r="AH5531" s="1"/>
      <c r="AI5531" s="1"/>
      <c r="AJ5531" s="1"/>
      <c r="AK5531" s="1"/>
      <c r="AL5531" s="1"/>
      <c r="AM5531" s="1"/>
    </row>
    <row r="5532" spans="16:39" x14ac:dyDescent="0.25">
      <c r="P5532" s="49"/>
      <c r="Q5532" s="1"/>
      <c r="S5532" s="1"/>
      <c r="T5532" s="1"/>
      <c r="U5532" s="1"/>
      <c r="V5532" s="1"/>
      <c r="W5532" s="1"/>
      <c r="X5532" s="1"/>
      <c r="Y5532" s="1"/>
      <c r="AB5532" s="1"/>
      <c r="AC5532" s="1"/>
      <c r="AD5532" s="1"/>
      <c r="AE5532" s="1"/>
      <c r="AF5532" s="1"/>
      <c r="AG5532" s="1"/>
      <c r="AH5532" s="1"/>
      <c r="AI5532" s="1"/>
      <c r="AJ5532" s="1"/>
      <c r="AK5532" s="1"/>
      <c r="AL5532" s="1"/>
      <c r="AM5532" s="1"/>
    </row>
    <row r="5533" spans="16:39" x14ac:dyDescent="0.25">
      <c r="P5533" s="49"/>
      <c r="Q5533" s="1"/>
      <c r="S5533" s="1"/>
      <c r="T5533" s="1"/>
      <c r="U5533" s="1"/>
      <c r="V5533" s="1"/>
      <c r="W5533" s="1"/>
      <c r="X5533" s="1"/>
      <c r="Y5533" s="1"/>
      <c r="AB5533" s="1"/>
      <c r="AC5533" s="1"/>
      <c r="AD5533" s="1"/>
      <c r="AE5533" s="1"/>
      <c r="AF5533" s="1"/>
      <c r="AG5533" s="1"/>
      <c r="AH5533" s="1"/>
      <c r="AI5533" s="1"/>
      <c r="AJ5533" s="1"/>
      <c r="AK5533" s="1"/>
      <c r="AL5533" s="1"/>
      <c r="AM5533" s="1"/>
    </row>
    <row r="5534" spans="16:39" x14ac:dyDescent="0.25">
      <c r="P5534" s="49"/>
      <c r="Q5534" s="1"/>
      <c r="S5534" s="1"/>
      <c r="T5534" s="1"/>
      <c r="U5534" s="1"/>
      <c r="V5534" s="1"/>
      <c r="W5534" s="1"/>
      <c r="X5534" s="1"/>
      <c r="Y5534" s="1"/>
      <c r="AB5534" s="1"/>
      <c r="AC5534" s="1"/>
      <c r="AD5534" s="1"/>
      <c r="AE5534" s="1"/>
      <c r="AF5534" s="1"/>
      <c r="AG5534" s="1"/>
      <c r="AH5534" s="1"/>
      <c r="AI5534" s="1"/>
      <c r="AJ5534" s="1"/>
      <c r="AK5534" s="1"/>
      <c r="AL5534" s="1"/>
      <c r="AM5534" s="1"/>
    </row>
    <row r="5535" spans="16:39" x14ac:dyDescent="0.25">
      <c r="P5535" s="49"/>
      <c r="Q5535" s="1"/>
      <c r="S5535" s="1"/>
      <c r="T5535" s="1"/>
      <c r="U5535" s="1"/>
      <c r="V5535" s="1"/>
      <c r="W5535" s="1"/>
      <c r="X5535" s="1"/>
      <c r="Y5535" s="1"/>
      <c r="AB5535" s="1"/>
      <c r="AC5535" s="1"/>
      <c r="AD5535" s="1"/>
      <c r="AE5535" s="1"/>
      <c r="AF5535" s="1"/>
      <c r="AG5535" s="1"/>
      <c r="AH5535" s="1"/>
      <c r="AI5535" s="1"/>
      <c r="AJ5535" s="1"/>
      <c r="AK5535" s="1"/>
      <c r="AL5535" s="1"/>
      <c r="AM5535" s="1"/>
    </row>
    <row r="5536" spans="16:39" x14ac:dyDescent="0.25">
      <c r="P5536" s="49"/>
      <c r="Q5536" s="1"/>
      <c r="S5536" s="1"/>
      <c r="T5536" s="1"/>
      <c r="U5536" s="1"/>
      <c r="V5536" s="1"/>
      <c r="W5536" s="1"/>
      <c r="X5536" s="1"/>
      <c r="Y5536" s="1"/>
      <c r="AB5536" s="1"/>
      <c r="AC5536" s="1"/>
      <c r="AD5536" s="1"/>
      <c r="AE5536" s="1"/>
      <c r="AF5536" s="1"/>
      <c r="AG5536" s="1"/>
      <c r="AH5536" s="1"/>
      <c r="AI5536" s="1"/>
      <c r="AJ5536" s="1"/>
      <c r="AK5536" s="1"/>
      <c r="AL5536" s="1"/>
      <c r="AM5536" s="1"/>
    </row>
    <row r="5537" spans="16:39" x14ac:dyDescent="0.25">
      <c r="P5537" s="49"/>
      <c r="Q5537" s="1"/>
      <c r="S5537" s="1"/>
      <c r="T5537" s="1"/>
      <c r="U5537" s="1"/>
      <c r="V5537" s="1"/>
      <c r="W5537" s="1"/>
      <c r="X5537" s="1"/>
      <c r="Y5537" s="1"/>
      <c r="AB5537" s="1"/>
      <c r="AC5537" s="1"/>
      <c r="AD5537" s="1"/>
      <c r="AE5537" s="1"/>
      <c r="AF5537" s="1"/>
      <c r="AG5537" s="1"/>
      <c r="AH5537" s="1"/>
      <c r="AI5537" s="1"/>
      <c r="AJ5537" s="1"/>
      <c r="AK5537" s="1"/>
      <c r="AL5537" s="1"/>
      <c r="AM5537" s="1"/>
    </row>
    <row r="5538" spans="16:39" x14ac:dyDescent="0.25">
      <c r="P5538" s="49"/>
      <c r="Q5538" s="1"/>
      <c r="S5538" s="1"/>
      <c r="T5538" s="1"/>
      <c r="U5538" s="1"/>
      <c r="V5538" s="1"/>
      <c r="W5538" s="1"/>
      <c r="X5538" s="1"/>
      <c r="Y5538" s="1"/>
      <c r="AB5538" s="1"/>
      <c r="AC5538" s="1"/>
      <c r="AD5538" s="1"/>
      <c r="AE5538" s="1"/>
      <c r="AF5538" s="1"/>
      <c r="AG5538" s="1"/>
      <c r="AH5538" s="1"/>
      <c r="AI5538" s="1"/>
      <c r="AJ5538" s="1"/>
      <c r="AK5538" s="1"/>
      <c r="AL5538" s="1"/>
      <c r="AM5538" s="1"/>
    </row>
    <row r="5539" spans="16:39" x14ac:dyDescent="0.25">
      <c r="P5539" s="49"/>
      <c r="Q5539" s="1"/>
      <c r="S5539" s="1"/>
      <c r="T5539" s="1"/>
      <c r="U5539" s="1"/>
      <c r="V5539" s="1"/>
      <c r="W5539" s="1"/>
      <c r="X5539" s="1"/>
      <c r="Y5539" s="1"/>
      <c r="AB5539" s="1"/>
      <c r="AC5539" s="1"/>
      <c r="AD5539" s="1"/>
      <c r="AE5539" s="1"/>
      <c r="AF5539" s="1"/>
      <c r="AG5539" s="1"/>
      <c r="AH5539" s="1"/>
      <c r="AI5539" s="1"/>
      <c r="AJ5539" s="1"/>
      <c r="AK5539" s="1"/>
      <c r="AL5539" s="1"/>
      <c r="AM5539" s="1"/>
    </row>
    <row r="5540" spans="16:39" x14ac:dyDescent="0.25">
      <c r="P5540" s="49"/>
      <c r="Q5540" s="1"/>
      <c r="S5540" s="1"/>
      <c r="T5540" s="1"/>
      <c r="U5540" s="1"/>
      <c r="V5540" s="1"/>
      <c r="W5540" s="1"/>
      <c r="X5540" s="1"/>
      <c r="Y5540" s="1"/>
      <c r="AB5540" s="1"/>
      <c r="AC5540" s="1"/>
      <c r="AD5540" s="1"/>
      <c r="AE5540" s="1"/>
      <c r="AF5540" s="1"/>
      <c r="AG5540" s="1"/>
      <c r="AH5540" s="1"/>
      <c r="AI5540" s="1"/>
      <c r="AJ5540" s="1"/>
      <c r="AK5540" s="1"/>
      <c r="AL5540" s="1"/>
      <c r="AM5540" s="1"/>
    </row>
    <row r="5541" spans="16:39" x14ac:dyDescent="0.25">
      <c r="P5541" s="49"/>
      <c r="Q5541" s="1"/>
      <c r="S5541" s="1"/>
      <c r="T5541" s="1"/>
      <c r="U5541" s="1"/>
      <c r="V5541" s="1"/>
      <c r="W5541" s="1"/>
      <c r="X5541" s="1"/>
      <c r="Y5541" s="1"/>
      <c r="AB5541" s="1"/>
      <c r="AC5541" s="1"/>
      <c r="AD5541" s="1"/>
      <c r="AE5541" s="1"/>
      <c r="AF5541" s="1"/>
      <c r="AG5541" s="1"/>
      <c r="AH5541" s="1"/>
      <c r="AI5541" s="1"/>
      <c r="AJ5541" s="1"/>
      <c r="AK5541" s="1"/>
      <c r="AL5541" s="1"/>
      <c r="AM5541" s="1"/>
    </row>
    <row r="5542" spans="16:39" x14ac:dyDescent="0.25">
      <c r="P5542" s="49"/>
      <c r="Q5542" s="1"/>
      <c r="S5542" s="1"/>
      <c r="T5542" s="1"/>
      <c r="U5542" s="1"/>
      <c r="V5542" s="1"/>
      <c r="W5542" s="1"/>
      <c r="X5542" s="1"/>
      <c r="Y5542" s="1"/>
      <c r="AB5542" s="1"/>
      <c r="AC5542" s="1"/>
      <c r="AD5542" s="1"/>
      <c r="AE5542" s="1"/>
      <c r="AF5542" s="1"/>
      <c r="AG5542" s="1"/>
      <c r="AH5542" s="1"/>
      <c r="AI5542" s="1"/>
      <c r="AJ5542" s="1"/>
      <c r="AK5542" s="1"/>
      <c r="AL5542" s="1"/>
      <c r="AM5542" s="1"/>
    </row>
    <row r="5543" spans="16:39" x14ac:dyDescent="0.25">
      <c r="P5543" s="49"/>
      <c r="Q5543" s="1"/>
      <c r="S5543" s="1"/>
      <c r="T5543" s="1"/>
      <c r="U5543" s="1"/>
      <c r="V5543" s="1"/>
      <c r="W5543" s="1"/>
      <c r="X5543" s="1"/>
      <c r="Y5543" s="1"/>
      <c r="AB5543" s="1"/>
      <c r="AC5543" s="1"/>
      <c r="AD5543" s="1"/>
      <c r="AE5543" s="1"/>
      <c r="AF5543" s="1"/>
      <c r="AG5543" s="1"/>
      <c r="AH5543" s="1"/>
      <c r="AI5543" s="1"/>
      <c r="AJ5543" s="1"/>
      <c r="AK5543" s="1"/>
      <c r="AL5543" s="1"/>
      <c r="AM5543" s="1"/>
    </row>
    <row r="5544" spans="16:39" x14ac:dyDescent="0.25">
      <c r="P5544" s="49"/>
      <c r="Q5544" s="1"/>
      <c r="S5544" s="1"/>
      <c r="T5544" s="1"/>
      <c r="U5544" s="1"/>
      <c r="V5544" s="1"/>
      <c r="W5544" s="1"/>
      <c r="X5544" s="1"/>
      <c r="Y5544" s="1"/>
      <c r="AB5544" s="1"/>
      <c r="AC5544" s="1"/>
      <c r="AD5544" s="1"/>
      <c r="AE5544" s="1"/>
      <c r="AF5544" s="1"/>
      <c r="AG5544" s="1"/>
      <c r="AH5544" s="1"/>
      <c r="AI5544" s="1"/>
      <c r="AJ5544" s="1"/>
      <c r="AK5544" s="1"/>
      <c r="AL5544" s="1"/>
      <c r="AM5544" s="1"/>
    </row>
    <row r="5545" spans="16:39" x14ac:dyDescent="0.25">
      <c r="P5545" s="49"/>
      <c r="Q5545" s="1"/>
      <c r="S5545" s="1"/>
      <c r="T5545" s="1"/>
      <c r="U5545" s="1"/>
      <c r="V5545" s="1"/>
      <c r="W5545" s="1"/>
      <c r="X5545" s="1"/>
      <c r="Y5545" s="1"/>
      <c r="AB5545" s="1"/>
      <c r="AC5545" s="1"/>
      <c r="AD5545" s="1"/>
      <c r="AE5545" s="1"/>
      <c r="AF5545" s="1"/>
      <c r="AG5545" s="1"/>
      <c r="AH5545" s="1"/>
      <c r="AI5545" s="1"/>
      <c r="AJ5545" s="1"/>
      <c r="AK5545" s="1"/>
      <c r="AL5545" s="1"/>
      <c r="AM5545" s="1"/>
    </row>
    <row r="5546" spans="16:39" x14ac:dyDescent="0.25">
      <c r="P5546" s="49"/>
      <c r="Q5546" s="1"/>
      <c r="S5546" s="1"/>
      <c r="T5546" s="1"/>
      <c r="U5546" s="1"/>
      <c r="V5546" s="1"/>
      <c r="W5546" s="1"/>
      <c r="X5546" s="1"/>
      <c r="Y5546" s="1"/>
      <c r="AB5546" s="1"/>
      <c r="AC5546" s="1"/>
      <c r="AD5546" s="1"/>
      <c r="AE5546" s="1"/>
      <c r="AF5546" s="1"/>
      <c r="AG5546" s="1"/>
      <c r="AH5546" s="1"/>
      <c r="AI5546" s="1"/>
      <c r="AJ5546" s="1"/>
      <c r="AK5546" s="1"/>
      <c r="AL5546" s="1"/>
      <c r="AM5546" s="1"/>
    </row>
    <row r="5547" spans="16:39" x14ac:dyDescent="0.25">
      <c r="P5547" s="49"/>
      <c r="Q5547" s="1"/>
      <c r="S5547" s="1"/>
      <c r="T5547" s="1"/>
      <c r="U5547" s="1"/>
      <c r="V5547" s="1"/>
      <c r="W5547" s="1"/>
      <c r="X5547" s="1"/>
      <c r="Y5547" s="1"/>
      <c r="AB5547" s="1"/>
      <c r="AC5547" s="1"/>
      <c r="AD5547" s="1"/>
      <c r="AE5547" s="1"/>
      <c r="AF5547" s="1"/>
      <c r="AG5547" s="1"/>
      <c r="AH5547" s="1"/>
      <c r="AI5547" s="1"/>
      <c r="AJ5547" s="1"/>
      <c r="AK5547" s="1"/>
      <c r="AL5547" s="1"/>
      <c r="AM5547" s="1"/>
    </row>
    <row r="5548" spans="16:39" x14ac:dyDescent="0.25">
      <c r="P5548" s="49"/>
      <c r="Q5548" s="1"/>
      <c r="S5548" s="1"/>
      <c r="T5548" s="1"/>
      <c r="U5548" s="1"/>
      <c r="V5548" s="1"/>
      <c r="W5548" s="1"/>
      <c r="X5548" s="1"/>
      <c r="Y5548" s="1"/>
      <c r="AB5548" s="1"/>
      <c r="AC5548" s="1"/>
      <c r="AD5548" s="1"/>
      <c r="AE5548" s="1"/>
      <c r="AF5548" s="1"/>
      <c r="AG5548" s="1"/>
      <c r="AH5548" s="1"/>
      <c r="AI5548" s="1"/>
      <c r="AJ5548" s="1"/>
      <c r="AK5548" s="1"/>
      <c r="AL5548" s="1"/>
      <c r="AM5548" s="1"/>
    </row>
    <row r="5549" spans="16:39" x14ac:dyDescent="0.25">
      <c r="P5549" s="49"/>
      <c r="Q5549" s="1"/>
      <c r="S5549" s="1"/>
      <c r="T5549" s="1"/>
      <c r="U5549" s="1"/>
      <c r="V5549" s="1"/>
      <c r="W5549" s="1"/>
      <c r="X5549" s="1"/>
      <c r="Y5549" s="1"/>
      <c r="AB5549" s="1"/>
      <c r="AC5549" s="1"/>
      <c r="AD5549" s="1"/>
      <c r="AE5549" s="1"/>
      <c r="AF5549" s="1"/>
      <c r="AG5549" s="1"/>
      <c r="AH5549" s="1"/>
      <c r="AI5549" s="1"/>
      <c r="AJ5549" s="1"/>
      <c r="AK5549" s="1"/>
      <c r="AL5549" s="1"/>
      <c r="AM5549" s="1"/>
    </row>
    <row r="5550" spans="16:39" x14ac:dyDescent="0.25">
      <c r="P5550" s="49"/>
      <c r="Q5550" s="1"/>
      <c r="S5550" s="1"/>
      <c r="T5550" s="1"/>
      <c r="U5550" s="1"/>
      <c r="V5550" s="1"/>
      <c r="W5550" s="1"/>
      <c r="X5550" s="1"/>
      <c r="Y5550" s="1"/>
      <c r="AB5550" s="1"/>
      <c r="AC5550" s="1"/>
      <c r="AD5550" s="1"/>
      <c r="AE5550" s="1"/>
      <c r="AF5550" s="1"/>
      <c r="AG5550" s="1"/>
      <c r="AH5550" s="1"/>
      <c r="AI5550" s="1"/>
      <c r="AJ5550" s="1"/>
      <c r="AK5550" s="1"/>
      <c r="AL5550" s="1"/>
      <c r="AM5550" s="1"/>
    </row>
    <row r="5551" spans="16:39" x14ac:dyDescent="0.25">
      <c r="P5551" s="49"/>
      <c r="Q5551" s="1"/>
      <c r="S5551" s="1"/>
      <c r="T5551" s="1"/>
      <c r="U5551" s="1"/>
      <c r="V5551" s="1"/>
      <c r="W5551" s="1"/>
      <c r="X5551" s="1"/>
      <c r="Y5551" s="1"/>
      <c r="AB5551" s="1"/>
      <c r="AC5551" s="1"/>
      <c r="AD5551" s="1"/>
      <c r="AE5551" s="1"/>
      <c r="AF5551" s="1"/>
      <c r="AG5551" s="1"/>
      <c r="AH5551" s="1"/>
      <c r="AI5551" s="1"/>
      <c r="AJ5551" s="1"/>
      <c r="AK5551" s="1"/>
      <c r="AL5551" s="1"/>
      <c r="AM5551" s="1"/>
    </row>
    <row r="5552" spans="16:39" x14ac:dyDescent="0.25">
      <c r="P5552" s="49"/>
      <c r="Q5552" s="1"/>
      <c r="S5552" s="1"/>
      <c r="T5552" s="1"/>
      <c r="U5552" s="1"/>
      <c r="V5552" s="1"/>
      <c r="W5552" s="1"/>
      <c r="X5552" s="1"/>
      <c r="Y5552" s="1"/>
      <c r="AB5552" s="1"/>
      <c r="AC5552" s="1"/>
      <c r="AD5552" s="1"/>
      <c r="AE5552" s="1"/>
      <c r="AF5552" s="1"/>
      <c r="AG5552" s="1"/>
      <c r="AH5552" s="1"/>
      <c r="AI5552" s="1"/>
      <c r="AJ5552" s="1"/>
      <c r="AK5552" s="1"/>
      <c r="AL5552" s="1"/>
      <c r="AM5552" s="1"/>
    </row>
    <row r="5553" spans="16:39" x14ac:dyDescent="0.25">
      <c r="P5553" s="49"/>
      <c r="Q5553" s="1"/>
      <c r="S5553" s="1"/>
      <c r="T5553" s="1"/>
      <c r="U5553" s="1"/>
      <c r="V5553" s="1"/>
      <c r="W5553" s="1"/>
      <c r="X5553" s="1"/>
      <c r="Y5553" s="1"/>
      <c r="AB5553" s="1"/>
      <c r="AC5553" s="1"/>
      <c r="AD5553" s="1"/>
      <c r="AE5553" s="1"/>
      <c r="AF5553" s="1"/>
      <c r="AG5553" s="1"/>
      <c r="AH5553" s="1"/>
      <c r="AI5553" s="1"/>
      <c r="AJ5553" s="1"/>
      <c r="AK5553" s="1"/>
      <c r="AL5553" s="1"/>
      <c r="AM5553" s="1"/>
    </row>
    <row r="5554" spans="16:39" x14ac:dyDescent="0.25">
      <c r="P5554" s="49"/>
      <c r="Q5554" s="1"/>
      <c r="S5554" s="1"/>
      <c r="T5554" s="1"/>
      <c r="U5554" s="1"/>
      <c r="V5554" s="1"/>
      <c r="W5554" s="1"/>
      <c r="X5554" s="1"/>
      <c r="Y5554" s="1"/>
      <c r="AB5554" s="1"/>
      <c r="AC5554" s="1"/>
      <c r="AD5554" s="1"/>
      <c r="AE5554" s="1"/>
      <c r="AF5554" s="1"/>
      <c r="AG5554" s="1"/>
      <c r="AH5554" s="1"/>
      <c r="AI5554" s="1"/>
      <c r="AJ5554" s="1"/>
      <c r="AK5554" s="1"/>
      <c r="AL5554" s="1"/>
      <c r="AM5554" s="1"/>
    </row>
    <row r="5555" spans="16:39" x14ac:dyDescent="0.25">
      <c r="P5555" s="49"/>
      <c r="Q5555" s="1"/>
      <c r="S5555" s="1"/>
      <c r="T5555" s="1"/>
      <c r="U5555" s="1"/>
      <c r="V5555" s="1"/>
      <c r="W5555" s="1"/>
      <c r="X5555" s="1"/>
      <c r="Y5555" s="1"/>
      <c r="AB5555" s="1"/>
      <c r="AC5555" s="1"/>
      <c r="AD5555" s="1"/>
      <c r="AE5555" s="1"/>
      <c r="AF5555" s="1"/>
      <c r="AG5555" s="1"/>
      <c r="AH5555" s="1"/>
      <c r="AI5555" s="1"/>
      <c r="AJ5555" s="1"/>
      <c r="AK5555" s="1"/>
      <c r="AL5555" s="1"/>
      <c r="AM5555" s="1"/>
    </row>
    <row r="5556" spans="16:39" x14ac:dyDescent="0.25">
      <c r="P5556" s="49"/>
      <c r="Q5556" s="1"/>
      <c r="S5556" s="1"/>
      <c r="T5556" s="1"/>
      <c r="U5556" s="1"/>
      <c r="V5556" s="1"/>
      <c r="W5556" s="1"/>
      <c r="X5556" s="1"/>
      <c r="Y5556" s="1"/>
      <c r="AB5556" s="1"/>
      <c r="AC5556" s="1"/>
      <c r="AD5556" s="1"/>
      <c r="AE5556" s="1"/>
      <c r="AF5556" s="1"/>
      <c r="AG5556" s="1"/>
      <c r="AH5556" s="1"/>
      <c r="AI5556" s="1"/>
      <c r="AJ5556" s="1"/>
      <c r="AK5556" s="1"/>
      <c r="AL5556" s="1"/>
      <c r="AM5556" s="1"/>
    </row>
    <row r="5557" spans="16:39" x14ac:dyDescent="0.25">
      <c r="P5557" s="49"/>
      <c r="Q5557" s="1"/>
      <c r="S5557" s="1"/>
      <c r="T5557" s="1"/>
      <c r="U5557" s="1"/>
      <c r="V5557" s="1"/>
      <c r="W5557" s="1"/>
      <c r="X5557" s="1"/>
      <c r="Y5557" s="1"/>
      <c r="AB5557" s="1"/>
      <c r="AC5557" s="1"/>
      <c r="AD5557" s="1"/>
      <c r="AE5557" s="1"/>
      <c r="AF5557" s="1"/>
      <c r="AG5557" s="1"/>
      <c r="AH5557" s="1"/>
      <c r="AI5557" s="1"/>
      <c r="AJ5557" s="1"/>
      <c r="AK5557" s="1"/>
      <c r="AL5557" s="1"/>
      <c r="AM5557" s="1"/>
    </row>
    <row r="5558" spans="16:39" x14ac:dyDescent="0.25">
      <c r="P5558" s="49"/>
      <c r="Q5558" s="1"/>
      <c r="S5558" s="1"/>
      <c r="T5558" s="1"/>
      <c r="U5558" s="1"/>
      <c r="V5558" s="1"/>
      <c r="W5558" s="1"/>
      <c r="X5558" s="1"/>
      <c r="Y5558" s="1"/>
      <c r="AB5558" s="1"/>
      <c r="AC5558" s="1"/>
      <c r="AD5558" s="1"/>
      <c r="AE5558" s="1"/>
      <c r="AF5558" s="1"/>
      <c r="AG5558" s="1"/>
      <c r="AH5558" s="1"/>
      <c r="AI5558" s="1"/>
      <c r="AJ5558" s="1"/>
      <c r="AK5558" s="1"/>
      <c r="AL5558" s="1"/>
      <c r="AM5558" s="1"/>
    </row>
    <row r="5559" spans="16:39" x14ac:dyDescent="0.25">
      <c r="P5559" s="49"/>
      <c r="Q5559" s="1"/>
      <c r="S5559" s="1"/>
      <c r="T5559" s="1"/>
      <c r="U5559" s="1"/>
      <c r="V5559" s="1"/>
      <c r="W5559" s="1"/>
      <c r="X5559" s="1"/>
      <c r="Y5559" s="1"/>
      <c r="AB5559" s="1"/>
      <c r="AC5559" s="1"/>
      <c r="AD5559" s="1"/>
      <c r="AE5559" s="1"/>
      <c r="AF5559" s="1"/>
      <c r="AG5559" s="1"/>
      <c r="AH5559" s="1"/>
      <c r="AI5559" s="1"/>
      <c r="AJ5559" s="1"/>
      <c r="AK5559" s="1"/>
      <c r="AL5559" s="1"/>
      <c r="AM5559" s="1"/>
    </row>
    <row r="5560" spans="16:39" x14ac:dyDescent="0.25">
      <c r="P5560" s="49"/>
      <c r="Q5560" s="1"/>
      <c r="S5560" s="1"/>
      <c r="T5560" s="1"/>
      <c r="U5560" s="1"/>
      <c r="V5560" s="1"/>
      <c r="W5560" s="1"/>
      <c r="X5560" s="1"/>
      <c r="Y5560" s="1"/>
      <c r="AB5560" s="1"/>
      <c r="AC5560" s="1"/>
      <c r="AD5560" s="1"/>
      <c r="AE5560" s="1"/>
      <c r="AF5560" s="1"/>
      <c r="AG5560" s="1"/>
      <c r="AH5560" s="1"/>
      <c r="AI5560" s="1"/>
      <c r="AJ5560" s="1"/>
      <c r="AK5560" s="1"/>
      <c r="AL5560" s="1"/>
      <c r="AM5560" s="1"/>
    </row>
    <row r="5561" spans="16:39" x14ac:dyDescent="0.25">
      <c r="P5561" s="49"/>
      <c r="Q5561" s="1"/>
      <c r="S5561" s="1"/>
      <c r="T5561" s="1"/>
      <c r="U5561" s="1"/>
      <c r="V5561" s="1"/>
      <c r="W5561" s="1"/>
      <c r="X5561" s="1"/>
      <c r="Y5561" s="1"/>
      <c r="AB5561" s="1"/>
      <c r="AC5561" s="1"/>
      <c r="AD5561" s="1"/>
      <c r="AE5561" s="1"/>
      <c r="AF5561" s="1"/>
      <c r="AG5561" s="1"/>
      <c r="AH5561" s="1"/>
      <c r="AI5561" s="1"/>
      <c r="AJ5561" s="1"/>
      <c r="AK5561" s="1"/>
      <c r="AL5561" s="1"/>
      <c r="AM5561" s="1"/>
    </row>
    <row r="5562" spans="16:39" x14ac:dyDescent="0.25">
      <c r="P5562" s="49"/>
      <c r="Q5562" s="1"/>
      <c r="S5562" s="1"/>
      <c r="T5562" s="1"/>
      <c r="U5562" s="1"/>
      <c r="V5562" s="1"/>
      <c r="W5562" s="1"/>
      <c r="X5562" s="1"/>
      <c r="Y5562" s="1"/>
      <c r="AB5562" s="1"/>
      <c r="AC5562" s="1"/>
      <c r="AD5562" s="1"/>
      <c r="AE5562" s="1"/>
      <c r="AF5562" s="1"/>
      <c r="AG5562" s="1"/>
      <c r="AH5562" s="1"/>
      <c r="AI5562" s="1"/>
      <c r="AJ5562" s="1"/>
      <c r="AK5562" s="1"/>
      <c r="AL5562" s="1"/>
      <c r="AM5562" s="1"/>
    </row>
    <row r="5563" spans="16:39" x14ac:dyDescent="0.25">
      <c r="P5563" s="49"/>
      <c r="Q5563" s="1"/>
      <c r="S5563" s="1"/>
      <c r="T5563" s="1"/>
      <c r="U5563" s="1"/>
      <c r="V5563" s="1"/>
      <c r="W5563" s="1"/>
      <c r="X5563" s="1"/>
      <c r="Y5563" s="1"/>
      <c r="AB5563" s="1"/>
      <c r="AC5563" s="1"/>
      <c r="AD5563" s="1"/>
      <c r="AE5563" s="1"/>
      <c r="AF5563" s="1"/>
      <c r="AG5563" s="1"/>
      <c r="AH5563" s="1"/>
      <c r="AI5563" s="1"/>
      <c r="AJ5563" s="1"/>
      <c r="AK5563" s="1"/>
      <c r="AL5563" s="1"/>
      <c r="AM5563" s="1"/>
    </row>
    <row r="5564" spans="16:39" x14ac:dyDescent="0.25">
      <c r="P5564" s="49"/>
      <c r="Q5564" s="1"/>
      <c r="S5564" s="1"/>
      <c r="T5564" s="1"/>
      <c r="U5564" s="1"/>
      <c r="V5564" s="1"/>
      <c r="W5564" s="1"/>
      <c r="X5564" s="1"/>
      <c r="Y5564" s="1"/>
      <c r="AB5564" s="1"/>
      <c r="AC5564" s="1"/>
      <c r="AD5564" s="1"/>
      <c r="AE5564" s="1"/>
      <c r="AF5564" s="1"/>
      <c r="AG5564" s="1"/>
      <c r="AH5564" s="1"/>
      <c r="AI5564" s="1"/>
      <c r="AJ5564" s="1"/>
      <c r="AK5564" s="1"/>
      <c r="AL5564" s="1"/>
      <c r="AM5564" s="1"/>
    </row>
    <row r="5565" spans="16:39" x14ac:dyDescent="0.25">
      <c r="P5565" s="49"/>
      <c r="Q5565" s="1"/>
      <c r="S5565" s="1"/>
      <c r="T5565" s="1"/>
      <c r="U5565" s="1"/>
      <c r="V5565" s="1"/>
      <c r="W5565" s="1"/>
      <c r="X5565" s="1"/>
      <c r="Y5565" s="1"/>
      <c r="AB5565" s="1"/>
      <c r="AC5565" s="1"/>
      <c r="AD5565" s="1"/>
      <c r="AE5565" s="1"/>
      <c r="AF5565" s="1"/>
      <c r="AG5565" s="1"/>
      <c r="AH5565" s="1"/>
      <c r="AI5565" s="1"/>
      <c r="AJ5565" s="1"/>
      <c r="AK5565" s="1"/>
      <c r="AL5565" s="1"/>
      <c r="AM5565" s="1"/>
    </row>
    <row r="5566" spans="16:39" x14ac:dyDescent="0.25">
      <c r="P5566" s="49"/>
      <c r="Q5566" s="1"/>
      <c r="S5566" s="1"/>
      <c r="T5566" s="1"/>
      <c r="U5566" s="1"/>
      <c r="V5566" s="1"/>
      <c r="W5566" s="1"/>
      <c r="X5566" s="1"/>
      <c r="Y5566" s="1"/>
      <c r="AB5566" s="1"/>
      <c r="AC5566" s="1"/>
      <c r="AD5566" s="1"/>
      <c r="AE5566" s="1"/>
      <c r="AF5566" s="1"/>
      <c r="AG5566" s="1"/>
      <c r="AH5566" s="1"/>
      <c r="AI5566" s="1"/>
      <c r="AJ5566" s="1"/>
      <c r="AK5566" s="1"/>
      <c r="AL5566" s="1"/>
      <c r="AM5566" s="1"/>
    </row>
    <row r="5567" spans="16:39" x14ac:dyDescent="0.25">
      <c r="P5567" s="49"/>
      <c r="Q5567" s="1"/>
      <c r="S5567" s="1"/>
      <c r="T5567" s="1"/>
      <c r="U5567" s="1"/>
      <c r="V5567" s="1"/>
      <c r="W5567" s="1"/>
      <c r="X5567" s="1"/>
      <c r="Y5567" s="1"/>
      <c r="AB5567" s="1"/>
      <c r="AC5567" s="1"/>
      <c r="AD5567" s="1"/>
      <c r="AE5567" s="1"/>
      <c r="AF5567" s="1"/>
      <c r="AG5567" s="1"/>
      <c r="AH5567" s="1"/>
      <c r="AI5567" s="1"/>
      <c r="AJ5567" s="1"/>
      <c r="AK5567" s="1"/>
      <c r="AL5567" s="1"/>
      <c r="AM5567" s="1"/>
    </row>
    <row r="5568" spans="16:39" x14ac:dyDescent="0.25">
      <c r="P5568" s="49"/>
      <c r="Q5568" s="1"/>
      <c r="S5568" s="1"/>
      <c r="T5568" s="1"/>
      <c r="U5568" s="1"/>
      <c r="V5568" s="1"/>
      <c r="W5568" s="1"/>
      <c r="X5568" s="1"/>
      <c r="Y5568" s="1"/>
      <c r="AB5568" s="1"/>
      <c r="AC5568" s="1"/>
      <c r="AD5568" s="1"/>
      <c r="AE5568" s="1"/>
      <c r="AF5568" s="1"/>
      <c r="AG5568" s="1"/>
      <c r="AH5568" s="1"/>
      <c r="AI5568" s="1"/>
      <c r="AJ5568" s="1"/>
      <c r="AK5568" s="1"/>
      <c r="AL5568" s="1"/>
      <c r="AM5568" s="1"/>
    </row>
    <row r="5569" spans="16:39" x14ac:dyDescent="0.25">
      <c r="P5569" s="49"/>
      <c r="Q5569" s="1"/>
      <c r="S5569" s="1"/>
      <c r="T5569" s="1"/>
      <c r="U5569" s="1"/>
      <c r="V5569" s="1"/>
      <c r="W5569" s="1"/>
      <c r="X5569" s="1"/>
      <c r="Y5569" s="1"/>
      <c r="AB5569" s="1"/>
      <c r="AC5569" s="1"/>
      <c r="AD5569" s="1"/>
      <c r="AE5569" s="1"/>
      <c r="AF5569" s="1"/>
      <c r="AG5569" s="1"/>
      <c r="AH5569" s="1"/>
      <c r="AI5569" s="1"/>
      <c r="AJ5569" s="1"/>
      <c r="AK5569" s="1"/>
      <c r="AL5569" s="1"/>
      <c r="AM5569" s="1"/>
    </row>
    <row r="5570" spans="16:39" x14ac:dyDescent="0.25">
      <c r="P5570" s="49"/>
      <c r="Q5570" s="1"/>
      <c r="S5570" s="1"/>
      <c r="T5570" s="1"/>
      <c r="U5570" s="1"/>
      <c r="V5570" s="1"/>
      <c r="W5570" s="1"/>
      <c r="X5570" s="1"/>
      <c r="Y5570" s="1"/>
      <c r="AB5570" s="1"/>
      <c r="AC5570" s="1"/>
      <c r="AD5570" s="1"/>
      <c r="AE5570" s="1"/>
      <c r="AF5570" s="1"/>
      <c r="AG5570" s="1"/>
      <c r="AH5570" s="1"/>
      <c r="AI5570" s="1"/>
      <c r="AJ5570" s="1"/>
      <c r="AK5570" s="1"/>
      <c r="AL5570" s="1"/>
      <c r="AM5570" s="1"/>
    </row>
    <row r="5571" spans="16:39" x14ac:dyDescent="0.25">
      <c r="P5571" s="49"/>
      <c r="Q5571" s="1"/>
      <c r="S5571" s="1"/>
      <c r="T5571" s="1"/>
      <c r="U5571" s="1"/>
      <c r="V5571" s="1"/>
      <c r="W5571" s="1"/>
      <c r="X5571" s="1"/>
      <c r="Y5571" s="1"/>
      <c r="AB5571" s="1"/>
      <c r="AC5571" s="1"/>
      <c r="AD5571" s="1"/>
      <c r="AE5571" s="1"/>
      <c r="AF5571" s="1"/>
      <c r="AG5571" s="1"/>
      <c r="AH5571" s="1"/>
      <c r="AI5571" s="1"/>
      <c r="AJ5571" s="1"/>
      <c r="AK5571" s="1"/>
      <c r="AL5571" s="1"/>
      <c r="AM5571" s="1"/>
    </row>
    <row r="5572" spans="16:39" x14ac:dyDescent="0.25">
      <c r="P5572" s="49"/>
      <c r="Q5572" s="1"/>
      <c r="S5572" s="1"/>
      <c r="T5572" s="1"/>
      <c r="U5572" s="1"/>
      <c r="V5572" s="1"/>
      <c r="W5572" s="1"/>
      <c r="X5572" s="1"/>
      <c r="Y5572" s="1"/>
      <c r="AB5572" s="1"/>
      <c r="AC5572" s="1"/>
      <c r="AD5572" s="1"/>
      <c r="AE5572" s="1"/>
      <c r="AF5572" s="1"/>
      <c r="AG5572" s="1"/>
      <c r="AH5572" s="1"/>
      <c r="AI5572" s="1"/>
      <c r="AJ5572" s="1"/>
      <c r="AK5572" s="1"/>
      <c r="AL5572" s="1"/>
      <c r="AM5572" s="1"/>
    </row>
    <row r="5573" spans="16:39" x14ac:dyDescent="0.25">
      <c r="P5573" s="49"/>
      <c r="Q5573" s="1"/>
      <c r="S5573" s="1"/>
      <c r="T5573" s="1"/>
      <c r="U5573" s="1"/>
      <c r="V5573" s="1"/>
      <c r="W5573" s="1"/>
      <c r="X5573" s="1"/>
      <c r="Y5573" s="1"/>
      <c r="AB5573" s="1"/>
      <c r="AC5573" s="1"/>
      <c r="AD5573" s="1"/>
      <c r="AE5573" s="1"/>
      <c r="AF5573" s="1"/>
      <c r="AG5573" s="1"/>
      <c r="AH5573" s="1"/>
      <c r="AI5573" s="1"/>
      <c r="AJ5573" s="1"/>
      <c r="AK5573" s="1"/>
      <c r="AL5573" s="1"/>
      <c r="AM5573" s="1"/>
    </row>
    <row r="5574" spans="16:39" x14ac:dyDescent="0.25">
      <c r="P5574" s="49"/>
      <c r="Q5574" s="1"/>
      <c r="S5574" s="1"/>
      <c r="T5574" s="1"/>
      <c r="U5574" s="1"/>
      <c r="V5574" s="1"/>
      <c r="W5574" s="1"/>
      <c r="X5574" s="1"/>
      <c r="Y5574" s="1"/>
      <c r="AB5574" s="1"/>
      <c r="AC5574" s="1"/>
      <c r="AD5574" s="1"/>
      <c r="AE5574" s="1"/>
      <c r="AF5574" s="1"/>
      <c r="AG5574" s="1"/>
      <c r="AH5574" s="1"/>
      <c r="AI5574" s="1"/>
      <c r="AJ5574" s="1"/>
      <c r="AK5574" s="1"/>
      <c r="AL5574" s="1"/>
      <c r="AM5574" s="1"/>
    </row>
    <row r="5575" spans="16:39" x14ac:dyDescent="0.25">
      <c r="P5575" s="49"/>
      <c r="Q5575" s="1"/>
      <c r="S5575" s="1"/>
      <c r="T5575" s="1"/>
      <c r="U5575" s="1"/>
      <c r="V5575" s="1"/>
      <c r="W5575" s="1"/>
      <c r="X5575" s="1"/>
      <c r="Y5575" s="1"/>
      <c r="AB5575" s="1"/>
      <c r="AC5575" s="1"/>
      <c r="AD5575" s="1"/>
      <c r="AE5575" s="1"/>
      <c r="AF5575" s="1"/>
      <c r="AG5575" s="1"/>
      <c r="AH5575" s="1"/>
      <c r="AI5575" s="1"/>
      <c r="AJ5575" s="1"/>
      <c r="AK5575" s="1"/>
      <c r="AL5575" s="1"/>
      <c r="AM5575" s="1"/>
    </row>
    <row r="5576" spans="16:39" x14ac:dyDescent="0.25">
      <c r="P5576" s="49"/>
      <c r="Q5576" s="1"/>
      <c r="S5576" s="1"/>
      <c r="T5576" s="1"/>
      <c r="U5576" s="1"/>
      <c r="V5576" s="1"/>
      <c r="W5576" s="1"/>
      <c r="X5576" s="1"/>
      <c r="Y5576" s="1"/>
      <c r="AB5576" s="1"/>
      <c r="AC5576" s="1"/>
      <c r="AD5576" s="1"/>
      <c r="AE5576" s="1"/>
      <c r="AF5576" s="1"/>
      <c r="AG5576" s="1"/>
      <c r="AH5576" s="1"/>
      <c r="AI5576" s="1"/>
      <c r="AJ5576" s="1"/>
      <c r="AK5576" s="1"/>
      <c r="AL5576" s="1"/>
      <c r="AM5576" s="1"/>
    </row>
    <row r="5577" spans="16:39" x14ac:dyDescent="0.25">
      <c r="P5577" s="49"/>
      <c r="Q5577" s="1"/>
      <c r="S5577" s="1"/>
      <c r="T5577" s="1"/>
      <c r="U5577" s="1"/>
      <c r="V5577" s="1"/>
      <c r="W5577" s="1"/>
      <c r="X5577" s="1"/>
      <c r="Y5577" s="1"/>
      <c r="AB5577" s="1"/>
      <c r="AC5577" s="1"/>
      <c r="AD5577" s="1"/>
      <c r="AE5577" s="1"/>
      <c r="AF5577" s="1"/>
      <c r="AG5577" s="1"/>
      <c r="AH5577" s="1"/>
      <c r="AI5577" s="1"/>
      <c r="AJ5577" s="1"/>
      <c r="AK5577" s="1"/>
      <c r="AL5577" s="1"/>
      <c r="AM5577" s="1"/>
    </row>
    <row r="5578" spans="16:39" x14ac:dyDescent="0.25">
      <c r="P5578" s="49"/>
      <c r="Q5578" s="1"/>
      <c r="S5578" s="1"/>
      <c r="T5578" s="1"/>
      <c r="U5578" s="1"/>
      <c r="V5578" s="1"/>
      <c r="W5578" s="1"/>
      <c r="X5578" s="1"/>
      <c r="Y5578" s="1"/>
      <c r="AB5578" s="1"/>
      <c r="AC5578" s="1"/>
      <c r="AD5578" s="1"/>
      <c r="AE5578" s="1"/>
      <c r="AF5578" s="1"/>
      <c r="AG5578" s="1"/>
      <c r="AH5578" s="1"/>
      <c r="AI5578" s="1"/>
      <c r="AJ5578" s="1"/>
      <c r="AK5578" s="1"/>
      <c r="AL5578" s="1"/>
      <c r="AM5578" s="1"/>
    </row>
    <row r="5579" spans="16:39" x14ac:dyDescent="0.25">
      <c r="P5579" s="49"/>
      <c r="Q5579" s="1"/>
      <c r="S5579" s="1"/>
      <c r="T5579" s="1"/>
      <c r="U5579" s="1"/>
      <c r="V5579" s="1"/>
      <c r="W5579" s="1"/>
      <c r="X5579" s="1"/>
      <c r="Y5579" s="1"/>
      <c r="AB5579" s="1"/>
      <c r="AC5579" s="1"/>
      <c r="AD5579" s="1"/>
      <c r="AE5579" s="1"/>
      <c r="AF5579" s="1"/>
      <c r="AG5579" s="1"/>
      <c r="AH5579" s="1"/>
      <c r="AI5579" s="1"/>
      <c r="AJ5579" s="1"/>
      <c r="AK5579" s="1"/>
      <c r="AL5579" s="1"/>
      <c r="AM5579" s="1"/>
    </row>
    <row r="5580" spans="16:39" x14ac:dyDescent="0.25">
      <c r="P5580" s="49"/>
      <c r="Q5580" s="1"/>
      <c r="S5580" s="1"/>
      <c r="T5580" s="1"/>
      <c r="U5580" s="1"/>
      <c r="V5580" s="1"/>
      <c r="W5580" s="1"/>
      <c r="X5580" s="1"/>
      <c r="Y5580" s="1"/>
      <c r="AB5580" s="1"/>
      <c r="AC5580" s="1"/>
      <c r="AD5580" s="1"/>
      <c r="AE5580" s="1"/>
      <c r="AF5580" s="1"/>
      <c r="AG5580" s="1"/>
      <c r="AH5580" s="1"/>
      <c r="AI5580" s="1"/>
      <c r="AJ5580" s="1"/>
      <c r="AK5580" s="1"/>
      <c r="AL5580" s="1"/>
      <c r="AM5580" s="1"/>
    </row>
    <row r="5581" spans="16:39" x14ac:dyDescent="0.25">
      <c r="P5581" s="49"/>
      <c r="Q5581" s="1"/>
      <c r="S5581" s="1"/>
      <c r="T5581" s="1"/>
      <c r="U5581" s="1"/>
      <c r="V5581" s="1"/>
      <c r="W5581" s="1"/>
      <c r="X5581" s="1"/>
      <c r="Y5581" s="1"/>
      <c r="AB5581" s="1"/>
      <c r="AC5581" s="1"/>
      <c r="AD5581" s="1"/>
      <c r="AE5581" s="1"/>
      <c r="AF5581" s="1"/>
      <c r="AG5581" s="1"/>
      <c r="AH5581" s="1"/>
      <c r="AI5581" s="1"/>
      <c r="AJ5581" s="1"/>
      <c r="AK5581" s="1"/>
      <c r="AL5581" s="1"/>
      <c r="AM5581" s="1"/>
    </row>
    <row r="5582" spans="16:39" x14ac:dyDescent="0.25">
      <c r="P5582" s="49"/>
      <c r="Q5582" s="1"/>
      <c r="S5582" s="1"/>
      <c r="T5582" s="1"/>
      <c r="U5582" s="1"/>
      <c r="V5582" s="1"/>
      <c r="W5582" s="1"/>
      <c r="X5582" s="1"/>
      <c r="Y5582" s="1"/>
      <c r="AB5582" s="1"/>
      <c r="AC5582" s="1"/>
      <c r="AD5582" s="1"/>
      <c r="AE5582" s="1"/>
      <c r="AF5582" s="1"/>
      <c r="AG5582" s="1"/>
      <c r="AH5582" s="1"/>
      <c r="AI5582" s="1"/>
      <c r="AJ5582" s="1"/>
      <c r="AK5582" s="1"/>
      <c r="AL5582" s="1"/>
      <c r="AM5582" s="1"/>
    </row>
    <row r="5583" spans="16:39" x14ac:dyDescent="0.25">
      <c r="P5583" s="49"/>
      <c r="Q5583" s="1"/>
      <c r="S5583" s="1"/>
      <c r="T5583" s="1"/>
      <c r="U5583" s="1"/>
      <c r="V5583" s="1"/>
      <c r="W5583" s="1"/>
      <c r="X5583" s="1"/>
      <c r="Y5583" s="1"/>
      <c r="AB5583" s="1"/>
      <c r="AC5583" s="1"/>
      <c r="AD5583" s="1"/>
      <c r="AE5583" s="1"/>
      <c r="AF5583" s="1"/>
      <c r="AG5583" s="1"/>
      <c r="AH5583" s="1"/>
      <c r="AI5583" s="1"/>
      <c r="AJ5583" s="1"/>
      <c r="AK5583" s="1"/>
      <c r="AL5583" s="1"/>
      <c r="AM5583" s="1"/>
    </row>
    <row r="5584" spans="16:39" x14ac:dyDescent="0.25">
      <c r="P5584" s="49"/>
      <c r="Q5584" s="1"/>
      <c r="S5584" s="1"/>
      <c r="T5584" s="1"/>
      <c r="U5584" s="1"/>
      <c r="V5584" s="1"/>
      <c r="W5584" s="1"/>
      <c r="X5584" s="1"/>
      <c r="Y5584" s="1"/>
      <c r="AB5584" s="1"/>
      <c r="AC5584" s="1"/>
      <c r="AD5584" s="1"/>
      <c r="AE5584" s="1"/>
      <c r="AF5584" s="1"/>
      <c r="AG5584" s="1"/>
      <c r="AH5584" s="1"/>
      <c r="AI5584" s="1"/>
      <c r="AJ5584" s="1"/>
      <c r="AK5584" s="1"/>
      <c r="AL5584" s="1"/>
      <c r="AM5584" s="1"/>
    </row>
    <row r="5585" spans="16:39" x14ac:dyDescent="0.25">
      <c r="P5585" s="49"/>
      <c r="Q5585" s="1"/>
      <c r="S5585" s="1"/>
      <c r="T5585" s="1"/>
      <c r="U5585" s="1"/>
      <c r="V5585" s="1"/>
      <c r="W5585" s="1"/>
      <c r="X5585" s="1"/>
      <c r="Y5585" s="1"/>
      <c r="AB5585" s="1"/>
      <c r="AC5585" s="1"/>
      <c r="AD5585" s="1"/>
      <c r="AE5585" s="1"/>
      <c r="AF5585" s="1"/>
      <c r="AG5585" s="1"/>
      <c r="AH5585" s="1"/>
      <c r="AI5585" s="1"/>
      <c r="AJ5585" s="1"/>
      <c r="AK5585" s="1"/>
      <c r="AL5585" s="1"/>
      <c r="AM5585" s="1"/>
    </row>
    <row r="5586" spans="16:39" x14ac:dyDescent="0.25">
      <c r="P5586" s="49"/>
      <c r="Q5586" s="1"/>
      <c r="S5586" s="1"/>
      <c r="T5586" s="1"/>
      <c r="U5586" s="1"/>
      <c r="V5586" s="1"/>
      <c r="W5586" s="1"/>
      <c r="X5586" s="1"/>
      <c r="Y5586" s="1"/>
      <c r="AB5586" s="1"/>
      <c r="AC5586" s="1"/>
      <c r="AD5586" s="1"/>
      <c r="AE5586" s="1"/>
      <c r="AF5586" s="1"/>
      <c r="AG5586" s="1"/>
      <c r="AH5586" s="1"/>
      <c r="AI5586" s="1"/>
      <c r="AJ5586" s="1"/>
      <c r="AK5586" s="1"/>
      <c r="AL5586" s="1"/>
      <c r="AM5586" s="1"/>
    </row>
    <row r="5587" spans="16:39" x14ac:dyDescent="0.25">
      <c r="P5587" s="49"/>
      <c r="Q5587" s="1"/>
      <c r="S5587" s="1"/>
      <c r="T5587" s="1"/>
      <c r="U5587" s="1"/>
      <c r="V5587" s="1"/>
      <c r="W5587" s="1"/>
      <c r="X5587" s="1"/>
      <c r="Y5587" s="1"/>
      <c r="AB5587" s="1"/>
      <c r="AC5587" s="1"/>
      <c r="AD5587" s="1"/>
      <c r="AE5587" s="1"/>
      <c r="AF5587" s="1"/>
      <c r="AG5587" s="1"/>
      <c r="AH5587" s="1"/>
      <c r="AI5587" s="1"/>
      <c r="AJ5587" s="1"/>
      <c r="AK5587" s="1"/>
      <c r="AL5587" s="1"/>
      <c r="AM5587" s="1"/>
    </row>
    <row r="5588" spans="16:39" x14ac:dyDescent="0.25">
      <c r="P5588" s="49"/>
      <c r="Q5588" s="1"/>
      <c r="S5588" s="1"/>
      <c r="T5588" s="1"/>
      <c r="U5588" s="1"/>
      <c r="V5588" s="1"/>
      <c r="W5588" s="1"/>
      <c r="X5588" s="1"/>
      <c r="Y5588" s="1"/>
      <c r="AB5588" s="1"/>
      <c r="AC5588" s="1"/>
      <c r="AD5588" s="1"/>
      <c r="AE5588" s="1"/>
      <c r="AF5588" s="1"/>
      <c r="AG5588" s="1"/>
      <c r="AH5588" s="1"/>
      <c r="AI5588" s="1"/>
      <c r="AJ5588" s="1"/>
      <c r="AK5588" s="1"/>
      <c r="AL5588" s="1"/>
      <c r="AM5588" s="1"/>
    </row>
    <row r="5589" spans="16:39" x14ac:dyDescent="0.25">
      <c r="P5589" s="49"/>
      <c r="Q5589" s="1"/>
      <c r="S5589" s="1"/>
      <c r="T5589" s="1"/>
      <c r="U5589" s="1"/>
      <c r="V5589" s="1"/>
      <c r="W5589" s="1"/>
      <c r="X5589" s="1"/>
      <c r="Y5589" s="1"/>
      <c r="AB5589" s="1"/>
      <c r="AC5589" s="1"/>
      <c r="AD5589" s="1"/>
      <c r="AE5589" s="1"/>
      <c r="AF5589" s="1"/>
      <c r="AG5589" s="1"/>
      <c r="AH5589" s="1"/>
      <c r="AI5589" s="1"/>
      <c r="AJ5589" s="1"/>
      <c r="AK5589" s="1"/>
      <c r="AL5589" s="1"/>
      <c r="AM5589" s="1"/>
    </row>
    <row r="5590" spans="16:39" x14ac:dyDescent="0.25">
      <c r="P5590" s="49"/>
      <c r="Q5590" s="1"/>
      <c r="S5590" s="1"/>
      <c r="T5590" s="1"/>
      <c r="U5590" s="1"/>
      <c r="V5590" s="1"/>
      <c r="W5590" s="1"/>
      <c r="X5590" s="1"/>
      <c r="Y5590" s="1"/>
      <c r="AB5590" s="1"/>
      <c r="AC5590" s="1"/>
      <c r="AD5590" s="1"/>
      <c r="AE5590" s="1"/>
      <c r="AF5590" s="1"/>
      <c r="AG5590" s="1"/>
      <c r="AH5590" s="1"/>
      <c r="AI5590" s="1"/>
      <c r="AJ5590" s="1"/>
      <c r="AK5590" s="1"/>
      <c r="AL5590" s="1"/>
      <c r="AM5590" s="1"/>
    </row>
    <row r="5591" spans="16:39" x14ac:dyDescent="0.25">
      <c r="P5591" s="49"/>
      <c r="Q5591" s="1"/>
      <c r="S5591" s="1"/>
      <c r="T5591" s="1"/>
      <c r="U5591" s="1"/>
      <c r="V5591" s="1"/>
      <c r="W5591" s="1"/>
      <c r="X5591" s="1"/>
      <c r="Y5591" s="1"/>
      <c r="AB5591" s="1"/>
      <c r="AC5591" s="1"/>
      <c r="AD5591" s="1"/>
      <c r="AE5591" s="1"/>
      <c r="AF5591" s="1"/>
      <c r="AG5591" s="1"/>
      <c r="AH5591" s="1"/>
      <c r="AI5591" s="1"/>
      <c r="AJ5591" s="1"/>
      <c r="AK5591" s="1"/>
      <c r="AL5591" s="1"/>
      <c r="AM5591" s="1"/>
    </row>
    <row r="5592" spans="16:39" x14ac:dyDescent="0.25">
      <c r="P5592" s="49"/>
      <c r="Q5592" s="1"/>
      <c r="S5592" s="1"/>
      <c r="T5592" s="1"/>
      <c r="U5592" s="1"/>
      <c r="V5592" s="1"/>
      <c r="W5592" s="1"/>
      <c r="X5592" s="1"/>
      <c r="Y5592" s="1"/>
      <c r="AB5592" s="1"/>
      <c r="AC5592" s="1"/>
      <c r="AD5592" s="1"/>
      <c r="AE5592" s="1"/>
      <c r="AF5592" s="1"/>
      <c r="AG5592" s="1"/>
      <c r="AH5592" s="1"/>
      <c r="AI5592" s="1"/>
      <c r="AJ5592" s="1"/>
      <c r="AK5592" s="1"/>
      <c r="AL5592" s="1"/>
      <c r="AM5592" s="1"/>
    </row>
    <row r="5593" spans="16:39" x14ac:dyDescent="0.25">
      <c r="P5593" s="49"/>
      <c r="Q5593" s="1"/>
      <c r="S5593" s="1"/>
      <c r="T5593" s="1"/>
      <c r="U5593" s="1"/>
      <c r="V5593" s="1"/>
      <c r="W5593" s="1"/>
      <c r="X5593" s="1"/>
      <c r="Y5593" s="1"/>
      <c r="AB5593" s="1"/>
      <c r="AC5593" s="1"/>
      <c r="AD5593" s="1"/>
      <c r="AE5593" s="1"/>
      <c r="AF5593" s="1"/>
      <c r="AG5593" s="1"/>
      <c r="AH5593" s="1"/>
      <c r="AI5593" s="1"/>
      <c r="AJ5593" s="1"/>
      <c r="AK5593" s="1"/>
      <c r="AL5593" s="1"/>
      <c r="AM5593" s="1"/>
    </row>
    <row r="5594" spans="16:39" x14ac:dyDescent="0.25">
      <c r="P5594" s="49"/>
      <c r="Q5594" s="1"/>
      <c r="S5594" s="1"/>
      <c r="T5594" s="1"/>
      <c r="U5594" s="1"/>
      <c r="V5594" s="1"/>
      <c r="W5594" s="1"/>
      <c r="X5594" s="1"/>
      <c r="Y5594" s="1"/>
      <c r="AB5594" s="1"/>
      <c r="AC5594" s="1"/>
      <c r="AD5594" s="1"/>
      <c r="AE5594" s="1"/>
      <c r="AF5594" s="1"/>
      <c r="AG5594" s="1"/>
      <c r="AH5594" s="1"/>
      <c r="AI5594" s="1"/>
      <c r="AJ5594" s="1"/>
      <c r="AK5594" s="1"/>
      <c r="AL5594" s="1"/>
      <c r="AM5594" s="1"/>
    </row>
    <row r="5595" spans="16:39" x14ac:dyDescent="0.25">
      <c r="P5595" s="49"/>
      <c r="Q5595" s="1"/>
      <c r="S5595" s="1"/>
      <c r="T5595" s="1"/>
      <c r="U5595" s="1"/>
      <c r="V5595" s="1"/>
      <c r="W5595" s="1"/>
      <c r="X5595" s="1"/>
      <c r="Y5595" s="1"/>
      <c r="AB5595" s="1"/>
      <c r="AC5595" s="1"/>
      <c r="AD5595" s="1"/>
      <c r="AE5595" s="1"/>
      <c r="AF5595" s="1"/>
      <c r="AG5595" s="1"/>
      <c r="AH5595" s="1"/>
      <c r="AI5595" s="1"/>
      <c r="AJ5595" s="1"/>
      <c r="AK5595" s="1"/>
      <c r="AL5595" s="1"/>
      <c r="AM5595" s="1"/>
    </row>
    <row r="5596" spans="16:39" x14ac:dyDescent="0.25">
      <c r="P5596" s="49"/>
      <c r="Q5596" s="1"/>
      <c r="S5596" s="1"/>
      <c r="T5596" s="1"/>
      <c r="U5596" s="1"/>
      <c r="V5596" s="1"/>
      <c r="W5596" s="1"/>
      <c r="X5596" s="1"/>
      <c r="Y5596" s="1"/>
      <c r="AB5596" s="1"/>
      <c r="AC5596" s="1"/>
      <c r="AD5596" s="1"/>
      <c r="AE5596" s="1"/>
      <c r="AF5596" s="1"/>
      <c r="AG5596" s="1"/>
      <c r="AH5596" s="1"/>
      <c r="AI5596" s="1"/>
      <c r="AJ5596" s="1"/>
      <c r="AK5596" s="1"/>
      <c r="AL5596" s="1"/>
      <c r="AM5596" s="1"/>
    </row>
    <row r="5597" spans="16:39" x14ac:dyDescent="0.25">
      <c r="P5597" s="49"/>
      <c r="Q5597" s="1"/>
      <c r="S5597" s="1"/>
      <c r="T5597" s="1"/>
      <c r="U5597" s="1"/>
      <c r="V5597" s="1"/>
      <c r="W5597" s="1"/>
      <c r="X5597" s="1"/>
      <c r="Y5597" s="1"/>
      <c r="AB5597" s="1"/>
      <c r="AC5597" s="1"/>
      <c r="AD5597" s="1"/>
      <c r="AE5597" s="1"/>
      <c r="AF5597" s="1"/>
      <c r="AG5597" s="1"/>
      <c r="AH5597" s="1"/>
      <c r="AI5597" s="1"/>
      <c r="AJ5597" s="1"/>
      <c r="AK5597" s="1"/>
      <c r="AL5597" s="1"/>
      <c r="AM5597" s="1"/>
    </row>
    <row r="5598" spans="16:39" x14ac:dyDescent="0.25">
      <c r="P5598" s="49"/>
      <c r="Q5598" s="1"/>
      <c r="S5598" s="1"/>
      <c r="T5598" s="1"/>
      <c r="U5598" s="1"/>
      <c r="V5598" s="1"/>
      <c r="W5598" s="1"/>
      <c r="X5598" s="1"/>
      <c r="Y5598" s="1"/>
      <c r="AB5598" s="1"/>
      <c r="AC5598" s="1"/>
      <c r="AD5598" s="1"/>
      <c r="AE5598" s="1"/>
      <c r="AF5598" s="1"/>
      <c r="AG5598" s="1"/>
      <c r="AH5598" s="1"/>
      <c r="AI5598" s="1"/>
      <c r="AJ5598" s="1"/>
      <c r="AK5598" s="1"/>
      <c r="AL5598" s="1"/>
      <c r="AM5598" s="1"/>
    </row>
    <row r="5599" spans="16:39" x14ac:dyDescent="0.25">
      <c r="P5599" s="49"/>
      <c r="Q5599" s="1"/>
      <c r="S5599" s="1"/>
      <c r="T5599" s="1"/>
      <c r="U5599" s="1"/>
      <c r="V5599" s="1"/>
      <c r="W5599" s="1"/>
      <c r="X5599" s="1"/>
      <c r="Y5599" s="1"/>
      <c r="AB5599" s="1"/>
      <c r="AC5599" s="1"/>
      <c r="AD5599" s="1"/>
      <c r="AE5599" s="1"/>
      <c r="AF5599" s="1"/>
      <c r="AG5599" s="1"/>
      <c r="AH5599" s="1"/>
      <c r="AI5599" s="1"/>
      <c r="AJ5599" s="1"/>
      <c r="AK5599" s="1"/>
      <c r="AL5599" s="1"/>
      <c r="AM5599" s="1"/>
    </row>
    <row r="5600" spans="16:39" x14ac:dyDescent="0.25">
      <c r="P5600" s="49"/>
      <c r="Q5600" s="1"/>
      <c r="S5600" s="1"/>
      <c r="T5600" s="1"/>
      <c r="U5600" s="1"/>
      <c r="V5600" s="1"/>
      <c r="W5600" s="1"/>
      <c r="X5600" s="1"/>
      <c r="Y5600" s="1"/>
      <c r="AB5600" s="1"/>
      <c r="AC5600" s="1"/>
      <c r="AD5600" s="1"/>
      <c r="AE5600" s="1"/>
      <c r="AF5600" s="1"/>
      <c r="AG5600" s="1"/>
      <c r="AH5600" s="1"/>
      <c r="AI5600" s="1"/>
      <c r="AJ5600" s="1"/>
      <c r="AK5600" s="1"/>
      <c r="AL5600" s="1"/>
      <c r="AM5600" s="1"/>
    </row>
    <row r="5601" spans="16:39" x14ac:dyDescent="0.25">
      <c r="P5601" s="49"/>
      <c r="Q5601" s="1"/>
      <c r="S5601" s="1"/>
      <c r="T5601" s="1"/>
      <c r="U5601" s="1"/>
      <c r="V5601" s="1"/>
      <c r="W5601" s="1"/>
      <c r="X5601" s="1"/>
      <c r="Y5601" s="1"/>
      <c r="AB5601" s="1"/>
      <c r="AC5601" s="1"/>
      <c r="AD5601" s="1"/>
      <c r="AE5601" s="1"/>
      <c r="AF5601" s="1"/>
      <c r="AG5601" s="1"/>
      <c r="AH5601" s="1"/>
      <c r="AI5601" s="1"/>
      <c r="AJ5601" s="1"/>
      <c r="AK5601" s="1"/>
      <c r="AL5601" s="1"/>
      <c r="AM5601" s="1"/>
    </row>
    <row r="5602" spans="16:39" x14ac:dyDescent="0.25">
      <c r="P5602" s="49"/>
      <c r="Q5602" s="1"/>
      <c r="S5602" s="1"/>
      <c r="T5602" s="1"/>
      <c r="U5602" s="1"/>
      <c r="V5602" s="1"/>
      <c r="W5602" s="1"/>
      <c r="X5602" s="1"/>
      <c r="Y5602" s="1"/>
      <c r="AB5602" s="1"/>
      <c r="AC5602" s="1"/>
      <c r="AD5602" s="1"/>
      <c r="AE5602" s="1"/>
      <c r="AF5602" s="1"/>
      <c r="AG5602" s="1"/>
      <c r="AH5602" s="1"/>
      <c r="AI5602" s="1"/>
      <c r="AJ5602" s="1"/>
      <c r="AK5602" s="1"/>
      <c r="AL5602" s="1"/>
      <c r="AM5602" s="1"/>
    </row>
    <row r="5603" spans="16:39" x14ac:dyDescent="0.25">
      <c r="P5603" s="49"/>
      <c r="Q5603" s="1"/>
      <c r="S5603" s="1"/>
      <c r="T5603" s="1"/>
      <c r="U5603" s="1"/>
      <c r="V5603" s="1"/>
      <c r="W5603" s="1"/>
      <c r="X5603" s="1"/>
      <c r="Y5603" s="1"/>
      <c r="AB5603" s="1"/>
      <c r="AC5603" s="1"/>
      <c r="AD5603" s="1"/>
      <c r="AE5603" s="1"/>
      <c r="AF5603" s="1"/>
      <c r="AG5603" s="1"/>
      <c r="AH5603" s="1"/>
      <c r="AI5603" s="1"/>
      <c r="AJ5603" s="1"/>
      <c r="AK5603" s="1"/>
      <c r="AL5603" s="1"/>
      <c r="AM5603" s="1"/>
    </row>
    <row r="5604" spans="16:39" x14ac:dyDescent="0.25">
      <c r="P5604" s="49"/>
      <c r="Q5604" s="1"/>
      <c r="S5604" s="1"/>
      <c r="T5604" s="1"/>
      <c r="U5604" s="1"/>
      <c r="V5604" s="1"/>
      <c r="W5604" s="1"/>
      <c r="X5604" s="1"/>
      <c r="Y5604" s="1"/>
      <c r="AB5604" s="1"/>
      <c r="AC5604" s="1"/>
      <c r="AD5604" s="1"/>
      <c r="AE5604" s="1"/>
      <c r="AF5604" s="1"/>
      <c r="AG5604" s="1"/>
      <c r="AH5604" s="1"/>
      <c r="AI5604" s="1"/>
      <c r="AJ5604" s="1"/>
      <c r="AK5604" s="1"/>
      <c r="AL5604" s="1"/>
      <c r="AM5604" s="1"/>
    </row>
    <row r="5605" spans="16:39" x14ac:dyDescent="0.25">
      <c r="P5605" s="49"/>
      <c r="Q5605" s="1"/>
      <c r="S5605" s="1"/>
      <c r="T5605" s="1"/>
      <c r="U5605" s="1"/>
      <c r="V5605" s="1"/>
      <c r="W5605" s="1"/>
      <c r="X5605" s="1"/>
      <c r="Y5605" s="1"/>
      <c r="AB5605" s="1"/>
      <c r="AC5605" s="1"/>
      <c r="AD5605" s="1"/>
      <c r="AE5605" s="1"/>
      <c r="AF5605" s="1"/>
      <c r="AG5605" s="1"/>
      <c r="AH5605" s="1"/>
      <c r="AI5605" s="1"/>
      <c r="AJ5605" s="1"/>
      <c r="AK5605" s="1"/>
      <c r="AL5605" s="1"/>
      <c r="AM5605" s="1"/>
    </row>
    <row r="5606" spans="16:39" x14ac:dyDescent="0.25">
      <c r="P5606" s="49"/>
      <c r="Q5606" s="1"/>
      <c r="S5606" s="1"/>
      <c r="T5606" s="1"/>
      <c r="U5606" s="1"/>
      <c r="V5606" s="1"/>
      <c r="W5606" s="1"/>
      <c r="X5606" s="1"/>
      <c r="Y5606" s="1"/>
      <c r="AB5606" s="1"/>
      <c r="AC5606" s="1"/>
      <c r="AD5606" s="1"/>
      <c r="AE5606" s="1"/>
      <c r="AF5606" s="1"/>
      <c r="AG5606" s="1"/>
      <c r="AH5606" s="1"/>
      <c r="AI5606" s="1"/>
      <c r="AJ5606" s="1"/>
      <c r="AK5606" s="1"/>
      <c r="AL5606" s="1"/>
      <c r="AM5606" s="1"/>
    </row>
    <row r="5607" spans="16:39" x14ac:dyDescent="0.25">
      <c r="P5607" s="49"/>
      <c r="Q5607" s="1"/>
      <c r="S5607" s="1"/>
      <c r="T5607" s="1"/>
      <c r="U5607" s="1"/>
      <c r="V5607" s="1"/>
      <c r="W5607" s="1"/>
      <c r="X5607" s="1"/>
      <c r="Y5607" s="1"/>
      <c r="AB5607" s="1"/>
      <c r="AC5607" s="1"/>
      <c r="AD5607" s="1"/>
      <c r="AE5607" s="1"/>
      <c r="AF5607" s="1"/>
      <c r="AG5607" s="1"/>
      <c r="AH5607" s="1"/>
      <c r="AI5607" s="1"/>
      <c r="AJ5607" s="1"/>
      <c r="AK5607" s="1"/>
      <c r="AL5607" s="1"/>
      <c r="AM5607" s="1"/>
    </row>
    <row r="5608" spans="16:39" x14ac:dyDescent="0.25">
      <c r="P5608" s="49"/>
      <c r="Q5608" s="1"/>
      <c r="S5608" s="1"/>
      <c r="T5608" s="1"/>
      <c r="U5608" s="1"/>
      <c r="V5608" s="1"/>
      <c r="W5608" s="1"/>
      <c r="X5608" s="1"/>
      <c r="Y5608" s="1"/>
      <c r="AB5608" s="1"/>
      <c r="AC5608" s="1"/>
      <c r="AD5608" s="1"/>
      <c r="AE5608" s="1"/>
      <c r="AF5608" s="1"/>
      <c r="AG5608" s="1"/>
      <c r="AH5608" s="1"/>
      <c r="AI5608" s="1"/>
      <c r="AJ5608" s="1"/>
      <c r="AK5608" s="1"/>
      <c r="AL5608" s="1"/>
      <c r="AM5608" s="1"/>
    </row>
    <row r="5609" spans="16:39" x14ac:dyDescent="0.25">
      <c r="P5609" s="49"/>
      <c r="Q5609" s="1"/>
      <c r="S5609" s="1"/>
      <c r="T5609" s="1"/>
      <c r="U5609" s="1"/>
      <c r="V5609" s="1"/>
      <c r="W5609" s="1"/>
      <c r="X5609" s="1"/>
      <c r="Y5609" s="1"/>
      <c r="AB5609" s="1"/>
      <c r="AC5609" s="1"/>
      <c r="AD5609" s="1"/>
      <c r="AE5609" s="1"/>
      <c r="AF5609" s="1"/>
      <c r="AG5609" s="1"/>
      <c r="AH5609" s="1"/>
      <c r="AI5609" s="1"/>
      <c r="AJ5609" s="1"/>
      <c r="AK5609" s="1"/>
      <c r="AL5609" s="1"/>
      <c r="AM5609" s="1"/>
    </row>
    <row r="5610" spans="16:39" x14ac:dyDescent="0.25">
      <c r="P5610" s="49"/>
      <c r="Q5610" s="1"/>
      <c r="S5610" s="1"/>
      <c r="T5610" s="1"/>
      <c r="U5610" s="1"/>
      <c r="V5610" s="1"/>
      <c r="W5610" s="1"/>
      <c r="X5610" s="1"/>
      <c r="Y5610" s="1"/>
      <c r="AB5610" s="1"/>
      <c r="AC5610" s="1"/>
      <c r="AD5610" s="1"/>
      <c r="AE5610" s="1"/>
      <c r="AF5610" s="1"/>
      <c r="AG5610" s="1"/>
      <c r="AH5610" s="1"/>
      <c r="AI5610" s="1"/>
      <c r="AJ5610" s="1"/>
      <c r="AK5610" s="1"/>
      <c r="AL5610" s="1"/>
      <c r="AM5610" s="1"/>
    </row>
    <row r="5611" spans="16:39" x14ac:dyDescent="0.25">
      <c r="P5611" s="49"/>
      <c r="Q5611" s="1"/>
      <c r="S5611" s="1"/>
      <c r="T5611" s="1"/>
      <c r="U5611" s="1"/>
      <c r="V5611" s="1"/>
      <c r="W5611" s="1"/>
      <c r="X5611" s="1"/>
      <c r="Y5611" s="1"/>
      <c r="AB5611" s="1"/>
      <c r="AC5611" s="1"/>
      <c r="AD5611" s="1"/>
      <c r="AE5611" s="1"/>
      <c r="AF5611" s="1"/>
      <c r="AG5611" s="1"/>
      <c r="AH5611" s="1"/>
      <c r="AI5611" s="1"/>
      <c r="AJ5611" s="1"/>
      <c r="AK5611" s="1"/>
      <c r="AL5611" s="1"/>
      <c r="AM5611" s="1"/>
    </row>
    <row r="5612" spans="16:39" x14ac:dyDescent="0.25">
      <c r="P5612" s="49"/>
      <c r="Q5612" s="1"/>
      <c r="S5612" s="1"/>
      <c r="T5612" s="1"/>
      <c r="U5612" s="1"/>
      <c r="V5612" s="1"/>
      <c r="W5612" s="1"/>
      <c r="X5612" s="1"/>
      <c r="Y5612" s="1"/>
      <c r="AB5612" s="1"/>
      <c r="AC5612" s="1"/>
      <c r="AD5612" s="1"/>
      <c r="AE5612" s="1"/>
      <c r="AF5612" s="1"/>
      <c r="AG5612" s="1"/>
      <c r="AH5612" s="1"/>
      <c r="AI5612" s="1"/>
      <c r="AJ5612" s="1"/>
      <c r="AK5612" s="1"/>
      <c r="AL5612" s="1"/>
      <c r="AM5612" s="1"/>
    </row>
    <row r="5613" spans="16:39" x14ac:dyDescent="0.25">
      <c r="P5613" s="49"/>
      <c r="Q5613" s="1"/>
      <c r="S5613" s="1"/>
      <c r="T5613" s="1"/>
      <c r="U5613" s="1"/>
      <c r="V5613" s="1"/>
      <c r="W5613" s="1"/>
      <c r="X5613" s="1"/>
      <c r="Y5613" s="1"/>
      <c r="AB5613" s="1"/>
      <c r="AC5613" s="1"/>
      <c r="AD5613" s="1"/>
      <c r="AE5613" s="1"/>
      <c r="AF5613" s="1"/>
      <c r="AG5613" s="1"/>
      <c r="AH5613" s="1"/>
      <c r="AI5613" s="1"/>
      <c r="AJ5613" s="1"/>
      <c r="AK5613" s="1"/>
      <c r="AL5613" s="1"/>
      <c r="AM5613" s="1"/>
    </row>
    <row r="5614" spans="16:39" x14ac:dyDescent="0.25">
      <c r="P5614" s="49"/>
      <c r="Q5614" s="1"/>
      <c r="S5614" s="1"/>
      <c r="T5614" s="1"/>
      <c r="U5614" s="1"/>
      <c r="V5614" s="1"/>
      <c r="W5614" s="1"/>
      <c r="X5614" s="1"/>
      <c r="Y5614" s="1"/>
      <c r="AB5614" s="1"/>
      <c r="AC5614" s="1"/>
      <c r="AD5614" s="1"/>
      <c r="AE5614" s="1"/>
      <c r="AF5614" s="1"/>
      <c r="AG5614" s="1"/>
      <c r="AH5614" s="1"/>
      <c r="AI5614" s="1"/>
      <c r="AJ5614" s="1"/>
      <c r="AK5614" s="1"/>
      <c r="AL5614" s="1"/>
      <c r="AM5614" s="1"/>
    </row>
    <row r="5615" spans="16:39" x14ac:dyDescent="0.25">
      <c r="P5615" s="49"/>
      <c r="Q5615" s="1"/>
      <c r="S5615" s="1"/>
      <c r="T5615" s="1"/>
      <c r="U5615" s="1"/>
      <c r="V5615" s="1"/>
      <c r="W5615" s="1"/>
      <c r="X5615" s="1"/>
      <c r="Y5615" s="1"/>
      <c r="AB5615" s="1"/>
      <c r="AC5615" s="1"/>
      <c r="AD5615" s="1"/>
      <c r="AE5615" s="1"/>
      <c r="AF5615" s="1"/>
      <c r="AG5615" s="1"/>
      <c r="AH5615" s="1"/>
      <c r="AI5615" s="1"/>
      <c r="AJ5615" s="1"/>
      <c r="AK5615" s="1"/>
      <c r="AL5615" s="1"/>
      <c r="AM5615" s="1"/>
    </row>
    <row r="5616" spans="16:39" x14ac:dyDescent="0.25">
      <c r="P5616" s="49"/>
      <c r="Q5616" s="1"/>
      <c r="S5616" s="1"/>
      <c r="T5616" s="1"/>
      <c r="U5616" s="1"/>
      <c r="V5616" s="1"/>
      <c r="W5616" s="1"/>
      <c r="X5616" s="1"/>
      <c r="Y5616" s="1"/>
      <c r="AB5616" s="1"/>
      <c r="AC5616" s="1"/>
      <c r="AD5616" s="1"/>
      <c r="AE5616" s="1"/>
      <c r="AF5616" s="1"/>
      <c r="AG5616" s="1"/>
      <c r="AH5616" s="1"/>
      <c r="AI5616" s="1"/>
      <c r="AJ5616" s="1"/>
      <c r="AK5616" s="1"/>
      <c r="AL5616" s="1"/>
      <c r="AM5616" s="1"/>
    </row>
    <row r="5617" spans="16:39" x14ac:dyDescent="0.25">
      <c r="P5617" s="49"/>
      <c r="Q5617" s="1"/>
      <c r="S5617" s="1"/>
      <c r="T5617" s="1"/>
      <c r="U5617" s="1"/>
      <c r="V5617" s="1"/>
      <c r="W5617" s="1"/>
      <c r="X5617" s="1"/>
      <c r="Y5617" s="1"/>
      <c r="AB5617" s="1"/>
      <c r="AC5617" s="1"/>
      <c r="AD5617" s="1"/>
      <c r="AE5617" s="1"/>
      <c r="AF5617" s="1"/>
      <c r="AG5617" s="1"/>
      <c r="AH5617" s="1"/>
      <c r="AI5617" s="1"/>
      <c r="AJ5617" s="1"/>
      <c r="AK5617" s="1"/>
      <c r="AL5617" s="1"/>
      <c r="AM5617" s="1"/>
    </row>
    <row r="5618" spans="16:39" x14ac:dyDescent="0.25">
      <c r="P5618" s="49"/>
      <c r="Q5618" s="1"/>
      <c r="S5618" s="1"/>
      <c r="T5618" s="1"/>
      <c r="U5618" s="1"/>
      <c r="V5618" s="1"/>
      <c r="W5618" s="1"/>
      <c r="X5618" s="1"/>
      <c r="Y5618" s="1"/>
      <c r="AB5618" s="1"/>
      <c r="AC5618" s="1"/>
      <c r="AD5618" s="1"/>
      <c r="AE5618" s="1"/>
      <c r="AF5618" s="1"/>
      <c r="AG5618" s="1"/>
      <c r="AH5618" s="1"/>
      <c r="AI5618" s="1"/>
      <c r="AJ5618" s="1"/>
      <c r="AK5618" s="1"/>
      <c r="AL5618" s="1"/>
      <c r="AM5618" s="1"/>
    </row>
    <row r="5619" spans="16:39" x14ac:dyDescent="0.25">
      <c r="P5619" s="49"/>
      <c r="Q5619" s="1"/>
      <c r="S5619" s="1"/>
      <c r="T5619" s="1"/>
      <c r="U5619" s="1"/>
      <c r="V5619" s="1"/>
      <c r="W5619" s="1"/>
      <c r="X5619" s="1"/>
      <c r="Y5619" s="1"/>
      <c r="AB5619" s="1"/>
      <c r="AC5619" s="1"/>
      <c r="AD5619" s="1"/>
      <c r="AE5619" s="1"/>
      <c r="AF5619" s="1"/>
      <c r="AG5619" s="1"/>
      <c r="AH5619" s="1"/>
      <c r="AI5619" s="1"/>
      <c r="AJ5619" s="1"/>
      <c r="AK5619" s="1"/>
      <c r="AL5619" s="1"/>
      <c r="AM5619" s="1"/>
    </row>
    <row r="5620" spans="16:39" x14ac:dyDescent="0.25">
      <c r="P5620" s="49"/>
      <c r="Q5620" s="1"/>
      <c r="S5620" s="1"/>
      <c r="T5620" s="1"/>
      <c r="U5620" s="1"/>
      <c r="V5620" s="1"/>
      <c r="W5620" s="1"/>
      <c r="X5620" s="1"/>
      <c r="Y5620" s="1"/>
      <c r="AB5620" s="1"/>
      <c r="AC5620" s="1"/>
      <c r="AD5620" s="1"/>
      <c r="AE5620" s="1"/>
      <c r="AF5620" s="1"/>
      <c r="AG5620" s="1"/>
      <c r="AH5620" s="1"/>
      <c r="AI5620" s="1"/>
      <c r="AJ5620" s="1"/>
      <c r="AK5620" s="1"/>
      <c r="AL5620" s="1"/>
      <c r="AM5620" s="1"/>
    </row>
    <row r="5621" spans="16:39" x14ac:dyDescent="0.25">
      <c r="P5621" s="49"/>
      <c r="Q5621" s="1"/>
      <c r="S5621" s="1"/>
      <c r="T5621" s="1"/>
      <c r="U5621" s="1"/>
      <c r="V5621" s="1"/>
      <c r="W5621" s="1"/>
      <c r="X5621" s="1"/>
      <c r="Y5621" s="1"/>
      <c r="AB5621" s="1"/>
      <c r="AC5621" s="1"/>
      <c r="AD5621" s="1"/>
      <c r="AE5621" s="1"/>
      <c r="AF5621" s="1"/>
      <c r="AG5621" s="1"/>
      <c r="AH5621" s="1"/>
      <c r="AI5621" s="1"/>
      <c r="AJ5621" s="1"/>
      <c r="AK5621" s="1"/>
      <c r="AL5621" s="1"/>
      <c r="AM5621" s="1"/>
    </row>
    <row r="5622" spans="16:39" x14ac:dyDescent="0.25">
      <c r="P5622" s="49"/>
      <c r="Q5622" s="1"/>
      <c r="S5622" s="1"/>
      <c r="T5622" s="1"/>
      <c r="U5622" s="1"/>
      <c r="V5622" s="1"/>
      <c r="W5622" s="1"/>
      <c r="X5622" s="1"/>
      <c r="Y5622" s="1"/>
      <c r="AB5622" s="1"/>
      <c r="AC5622" s="1"/>
      <c r="AD5622" s="1"/>
      <c r="AE5622" s="1"/>
      <c r="AF5622" s="1"/>
      <c r="AG5622" s="1"/>
      <c r="AH5622" s="1"/>
      <c r="AI5622" s="1"/>
      <c r="AJ5622" s="1"/>
      <c r="AK5622" s="1"/>
      <c r="AL5622" s="1"/>
      <c r="AM5622" s="1"/>
    </row>
    <row r="5623" spans="16:39" x14ac:dyDescent="0.25">
      <c r="P5623" s="49"/>
      <c r="Q5623" s="1"/>
      <c r="S5623" s="1"/>
      <c r="T5623" s="1"/>
      <c r="U5623" s="1"/>
      <c r="V5623" s="1"/>
      <c r="W5623" s="1"/>
      <c r="X5623" s="1"/>
      <c r="Y5623" s="1"/>
      <c r="AB5623" s="1"/>
      <c r="AC5623" s="1"/>
      <c r="AD5623" s="1"/>
      <c r="AE5623" s="1"/>
      <c r="AF5623" s="1"/>
      <c r="AG5623" s="1"/>
      <c r="AH5623" s="1"/>
      <c r="AI5623" s="1"/>
      <c r="AJ5623" s="1"/>
      <c r="AK5623" s="1"/>
      <c r="AL5623" s="1"/>
      <c r="AM5623" s="1"/>
    </row>
    <row r="5624" spans="16:39" x14ac:dyDescent="0.25">
      <c r="P5624" s="49"/>
      <c r="Q5624" s="1"/>
      <c r="S5624" s="1"/>
      <c r="T5624" s="1"/>
      <c r="U5624" s="1"/>
      <c r="V5624" s="1"/>
      <c r="W5624" s="1"/>
      <c r="X5624" s="1"/>
      <c r="Y5624" s="1"/>
      <c r="AB5624" s="1"/>
      <c r="AC5624" s="1"/>
      <c r="AD5624" s="1"/>
      <c r="AE5624" s="1"/>
      <c r="AF5624" s="1"/>
      <c r="AG5624" s="1"/>
      <c r="AH5624" s="1"/>
      <c r="AI5624" s="1"/>
      <c r="AJ5624" s="1"/>
      <c r="AK5624" s="1"/>
      <c r="AL5624" s="1"/>
      <c r="AM5624" s="1"/>
    </row>
    <row r="5625" spans="16:39" x14ac:dyDescent="0.25">
      <c r="P5625" s="49"/>
      <c r="Q5625" s="1"/>
      <c r="S5625" s="1"/>
      <c r="T5625" s="1"/>
      <c r="U5625" s="1"/>
      <c r="V5625" s="1"/>
      <c r="W5625" s="1"/>
      <c r="X5625" s="1"/>
      <c r="Y5625" s="1"/>
      <c r="AB5625" s="1"/>
      <c r="AC5625" s="1"/>
      <c r="AD5625" s="1"/>
      <c r="AE5625" s="1"/>
      <c r="AF5625" s="1"/>
      <c r="AG5625" s="1"/>
      <c r="AH5625" s="1"/>
      <c r="AI5625" s="1"/>
      <c r="AJ5625" s="1"/>
      <c r="AK5625" s="1"/>
      <c r="AL5625" s="1"/>
      <c r="AM5625" s="1"/>
    </row>
    <row r="5626" spans="16:39" x14ac:dyDescent="0.25">
      <c r="P5626" s="49"/>
      <c r="Q5626" s="1"/>
      <c r="S5626" s="1"/>
      <c r="T5626" s="1"/>
      <c r="U5626" s="1"/>
      <c r="V5626" s="1"/>
      <c r="W5626" s="1"/>
      <c r="X5626" s="1"/>
      <c r="Y5626" s="1"/>
      <c r="AB5626" s="1"/>
      <c r="AC5626" s="1"/>
      <c r="AD5626" s="1"/>
      <c r="AE5626" s="1"/>
      <c r="AF5626" s="1"/>
      <c r="AG5626" s="1"/>
      <c r="AH5626" s="1"/>
      <c r="AI5626" s="1"/>
      <c r="AJ5626" s="1"/>
      <c r="AK5626" s="1"/>
      <c r="AL5626" s="1"/>
      <c r="AM5626" s="1"/>
    </row>
    <row r="5627" spans="16:39" x14ac:dyDescent="0.25">
      <c r="P5627" s="49"/>
      <c r="Q5627" s="1"/>
      <c r="S5627" s="1"/>
      <c r="T5627" s="1"/>
      <c r="U5627" s="1"/>
      <c r="V5627" s="1"/>
      <c r="W5627" s="1"/>
      <c r="X5627" s="1"/>
      <c r="Y5627" s="1"/>
      <c r="AB5627" s="1"/>
      <c r="AC5627" s="1"/>
      <c r="AD5627" s="1"/>
      <c r="AE5627" s="1"/>
      <c r="AF5627" s="1"/>
      <c r="AG5627" s="1"/>
      <c r="AH5627" s="1"/>
      <c r="AI5627" s="1"/>
      <c r="AJ5627" s="1"/>
      <c r="AK5627" s="1"/>
      <c r="AL5627" s="1"/>
      <c r="AM5627" s="1"/>
    </row>
    <row r="5628" spans="16:39" x14ac:dyDescent="0.25">
      <c r="P5628" s="49"/>
      <c r="Q5628" s="1"/>
      <c r="S5628" s="1"/>
      <c r="T5628" s="1"/>
      <c r="U5628" s="1"/>
      <c r="V5628" s="1"/>
      <c r="W5628" s="1"/>
      <c r="X5628" s="1"/>
      <c r="Y5628" s="1"/>
      <c r="AB5628" s="1"/>
      <c r="AC5628" s="1"/>
      <c r="AD5628" s="1"/>
      <c r="AE5628" s="1"/>
      <c r="AF5628" s="1"/>
      <c r="AG5628" s="1"/>
      <c r="AH5628" s="1"/>
      <c r="AI5628" s="1"/>
      <c r="AJ5628" s="1"/>
      <c r="AK5628" s="1"/>
      <c r="AL5628" s="1"/>
      <c r="AM5628" s="1"/>
    </row>
    <row r="5629" spans="16:39" x14ac:dyDescent="0.25">
      <c r="P5629" s="49"/>
      <c r="Q5629" s="1"/>
      <c r="S5629" s="1"/>
      <c r="T5629" s="1"/>
      <c r="U5629" s="1"/>
      <c r="V5629" s="1"/>
      <c r="W5629" s="1"/>
      <c r="X5629" s="1"/>
      <c r="Y5629" s="1"/>
      <c r="AB5629" s="1"/>
      <c r="AC5629" s="1"/>
      <c r="AD5629" s="1"/>
      <c r="AE5629" s="1"/>
      <c r="AF5629" s="1"/>
      <c r="AG5629" s="1"/>
      <c r="AH5629" s="1"/>
      <c r="AI5629" s="1"/>
      <c r="AJ5629" s="1"/>
      <c r="AK5629" s="1"/>
      <c r="AL5629" s="1"/>
      <c r="AM5629" s="1"/>
    </row>
    <row r="5630" spans="16:39" x14ac:dyDescent="0.25">
      <c r="P5630" s="49"/>
      <c r="Q5630" s="1"/>
      <c r="S5630" s="1"/>
      <c r="T5630" s="1"/>
      <c r="U5630" s="1"/>
      <c r="V5630" s="1"/>
      <c r="W5630" s="1"/>
      <c r="X5630" s="1"/>
      <c r="Y5630" s="1"/>
      <c r="AB5630" s="1"/>
      <c r="AC5630" s="1"/>
      <c r="AD5630" s="1"/>
      <c r="AE5630" s="1"/>
      <c r="AF5630" s="1"/>
      <c r="AG5630" s="1"/>
      <c r="AH5630" s="1"/>
      <c r="AI5630" s="1"/>
      <c r="AJ5630" s="1"/>
      <c r="AK5630" s="1"/>
      <c r="AL5630" s="1"/>
      <c r="AM5630" s="1"/>
    </row>
    <row r="5631" spans="16:39" x14ac:dyDescent="0.25">
      <c r="P5631" s="49"/>
      <c r="Q5631" s="1"/>
      <c r="S5631" s="1"/>
      <c r="T5631" s="1"/>
      <c r="U5631" s="1"/>
      <c r="V5631" s="1"/>
      <c r="W5631" s="1"/>
      <c r="X5631" s="1"/>
      <c r="Y5631" s="1"/>
      <c r="AB5631" s="1"/>
      <c r="AC5631" s="1"/>
      <c r="AD5631" s="1"/>
      <c r="AE5631" s="1"/>
      <c r="AF5631" s="1"/>
      <c r="AG5631" s="1"/>
      <c r="AH5631" s="1"/>
      <c r="AI5631" s="1"/>
      <c r="AJ5631" s="1"/>
      <c r="AK5631" s="1"/>
      <c r="AL5631" s="1"/>
      <c r="AM5631" s="1"/>
    </row>
    <row r="5632" spans="16:39" x14ac:dyDescent="0.25">
      <c r="P5632" s="49"/>
      <c r="Q5632" s="1"/>
      <c r="S5632" s="1"/>
      <c r="T5632" s="1"/>
      <c r="U5632" s="1"/>
      <c r="V5632" s="1"/>
      <c r="W5632" s="1"/>
      <c r="X5632" s="1"/>
      <c r="Y5632" s="1"/>
      <c r="AB5632" s="1"/>
      <c r="AC5632" s="1"/>
      <c r="AD5632" s="1"/>
      <c r="AE5632" s="1"/>
      <c r="AF5632" s="1"/>
      <c r="AG5632" s="1"/>
      <c r="AH5632" s="1"/>
      <c r="AI5632" s="1"/>
      <c r="AJ5632" s="1"/>
      <c r="AK5632" s="1"/>
      <c r="AL5632" s="1"/>
      <c r="AM5632" s="1"/>
    </row>
    <row r="5633" spans="16:39" x14ac:dyDescent="0.25">
      <c r="P5633" s="49"/>
      <c r="Q5633" s="1"/>
      <c r="S5633" s="1"/>
      <c r="T5633" s="1"/>
      <c r="U5633" s="1"/>
      <c r="V5633" s="1"/>
      <c r="W5633" s="1"/>
      <c r="X5633" s="1"/>
      <c r="Y5633" s="1"/>
      <c r="AB5633" s="1"/>
      <c r="AC5633" s="1"/>
      <c r="AD5633" s="1"/>
      <c r="AE5633" s="1"/>
      <c r="AF5633" s="1"/>
      <c r="AG5633" s="1"/>
      <c r="AH5633" s="1"/>
      <c r="AI5633" s="1"/>
      <c r="AJ5633" s="1"/>
      <c r="AK5633" s="1"/>
      <c r="AL5633" s="1"/>
      <c r="AM5633" s="1"/>
    </row>
    <row r="5634" spans="16:39" x14ac:dyDescent="0.25">
      <c r="P5634" s="49"/>
      <c r="Q5634" s="1"/>
      <c r="S5634" s="1"/>
      <c r="T5634" s="1"/>
      <c r="U5634" s="1"/>
      <c r="V5634" s="1"/>
      <c r="W5634" s="1"/>
      <c r="X5634" s="1"/>
      <c r="Y5634" s="1"/>
      <c r="AB5634" s="1"/>
      <c r="AC5634" s="1"/>
      <c r="AD5634" s="1"/>
      <c r="AE5634" s="1"/>
      <c r="AF5634" s="1"/>
      <c r="AG5634" s="1"/>
      <c r="AH5634" s="1"/>
      <c r="AI5634" s="1"/>
      <c r="AJ5634" s="1"/>
      <c r="AK5634" s="1"/>
      <c r="AL5634" s="1"/>
      <c r="AM5634" s="1"/>
    </row>
    <row r="5635" spans="16:39" x14ac:dyDescent="0.25">
      <c r="P5635" s="49"/>
      <c r="Q5635" s="1"/>
      <c r="S5635" s="1"/>
      <c r="T5635" s="1"/>
      <c r="U5635" s="1"/>
      <c r="V5635" s="1"/>
      <c r="W5635" s="1"/>
      <c r="X5635" s="1"/>
      <c r="Y5635" s="1"/>
      <c r="AB5635" s="1"/>
      <c r="AC5635" s="1"/>
      <c r="AD5635" s="1"/>
      <c r="AE5635" s="1"/>
      <c r="AF5635" s="1"/>
      <c r="AG5635" s="1"/>
      <c r="AH5635" s="1"/>
      <c r="AI5635" s="1"/>
      <c r="AJ5635" s="1"/>
      <c r="AK5635" s="1"/>
      <c r="AL5635" s="1"/>
      <c r="AM5635" s="1"/>
    </row>
    <row r="5636" spans="16:39" x14ac:dyDescent="0.25">
      <c r="P5636" s="49"/>
      <c r="Q5636" s="1"/>
      <c r="S5636" s="1"/>
      <c r="T5636" s="1"/>
      <c r="U5636" s="1"/>
      <c r="V5636" s="1"/>
      <c r="W5636" s="1"/>
      <c r="X5636" s="1"/>
      <c r="Y5636" s="1"/>
      <c r="AB5636" s="1"/>
      <c r="AC5636" s="1"/>
      <c r="AD5636" s="1"/>
      <c r="AE5636" s="1"/>
      <c r="AF5636" s="1"/>
      <c r="AG5636" s="1"/>
      <c r="AH5636" s="1"/>
      <c r="AI5636" s="1"/>
      <c r="AJ5636" s="1"/>
      <c r="AK5636" s="1"/>
      <c r="AL5636" s="1"/>
      <c r="AM5636" s="1"/>
    </row>
    <row r="5637" spans="16:39" x14ac:dyDescent="0.25">
      <c r="P5637" s="49"/>
      <c r="Q5637" s="1"/>
      <c r="S5637" s="1"/>
      <c r="T5637" s="1"/>
      <c r="U5637" s="1"/>
      <c r="V5637" s="1"/>
      <c r="W5637" s="1"/>
      <c r="X5637" s="1"/>
      <c r="Y5637" s="1"/>
      <c r="AB5637" s="1"/>
      <c r="AC5637" s="1"/>
      <c r="AD5637" s="1"/>
      <c r="AE5637" s="1"/>
      <c r="AF5637" s="1"/>
      <c r="AG5637" s="1"/>
      <c r="AH5637" s="1"/>
      <c r="AI5637" s="1"/>
      <c r="AJ5637" s="1"/>
      <c r="AK5637" s="1"/>
      <c r="AL5637" s="1"/>
      <c r="AM5637" s="1"/>
    </row>
    <row r="5638" spans="16:39" x14ac:dyDescent="0.25">
      <c r="P5638" s="49"/>
      <c r="Q5638" s="1"/>
      <c r="S5638" s="1"/>
      <c r="T5638" s="1"/>
      <c r="U5638" s="1"/>
      <c r="V5638" s="1"/>
      <c r="W5638" s="1"/>
      <c r="X5638" s="1"/>
      <c r="Y5638" s="1"/>
      <c r="AB5638" s="1"/>
      <c r="AC5638" s="1"/>
      <c r="AD5638" s="1"/>
      <c r="AE5638" s="1"/>
      <c r="AF5638" s="1"/>
      <c r="AG5638" s="1"/>
      <c r="AH5638" s="1"/>
      <c r="AI5638" s="1"/>
      <c r="AJ5638" s="1"/>
      <c r="AK5638" s="1"/>
      <c r="AL5638" s="1"/>
      <c r="AM5638" s="1"/>
    </row>
    <row r="5639" spans="16:39" x14ac:dyDescent="0.25">
      <c r="P5639" s="49"/>
      <c r="Q5639" s="1"/>
      <c r="S5639" s="1"/>
      <c r="T5639" s="1"/>
      <c r="U5639" s="1"/>
      <c r="V5639" s="1"/>
      <c r="W5639" s="1"/>
      <c r="X5639" s="1"/>
      <c r="Y5639" s="1"/>
      <c r="AB5639" s="1"/>
      <c r="AC5639" s="1"/>
      <c r="AD5639" s="1"/>
      <c r="AE5639" s="1"/>
      <c r="AF5639" s="1"/>
      <c r="AG5639" s="1"/>
      <c r="AH5639" s="1"/>
      <c r="AI5639" s="1"/>
      <c r="AJ5639" s="1"/>
      <c r="AK5639" s="1"/>
      <c r="AL5639" s="1"/>
      <c r="AM5639" s="1"/>
    </row>
    <row r="5640" spans="16:39" x14ac:dyDescent="0.25">
      <c r="P5640" s="49"/>
      <c r="Q5640" s="1"/>
      <c r="S5640" s="1"/>
      <c r="T5640" s="1"/>
      <c r="U5640" s="1"/>
      <c r="V5640" s="1"/>
      <c r="W5640" s="1"/>
      <c r="X5640" s="1"/>
      <c r="Y5640" s="1"/>
      <c r="AB5640" s="1"/>
      <c r="AC5640" s="1"/>
      <c r="AD5640" s="1"/>
      <c r="AE5640" s="1"/>
      <c r="AF5640" s="1"/>
      <c r="AG5640" s="1"/>
      <c r="AH5640" s="1"/>
      <c r="AI5640" s="1"/>
      <c r="AJ5640" s="1"/>
      <c r="AK5640" s="1"/>
      <c r="AL5640" s="1"/>
      <c r="AM5640" s="1"/>
    </row>
    <row r="5641" spans="16:39" x14ac:dyDescent="0.25">
      <c r="P5641" s="49"/>
      <c r="Q5641" s="1"/>
      <c r="S5641" s="1"/>
      <c r="T5641" s="1"/>
      <c r="U5641" s="1"/>
      <c r="V5641" s="1"/>
      <c r="W5641" s="1"/>
      <c r="X5641" s="1"/>
      <c r="Y5641" s="1"/>
      <c r="AB5641" s="1"/>
      <c r="AC5641" s="1"/>
      <c r="AD5641" s="1"/>
      <c r="AE5641" s="1"/>
      <c r="AF5641" s="1"/>
      <c r="AG5641" s="1"/>
      <c r="AH5641" s="1"/>
      <c r="AI5641" s="1"/>
      <c r="AJ5641" s="1"/>
      <c r="AK5641" s="1"/>
      <c r="AL5641" s="1"/>
      <c r="AM5641" s="1"/>
    </row>
    <row r="5642" spans="16:39" x14ac:dyDescent="0.25">
      <c r="P5642" s="49"/>
      <c r="Q5642" s="1"/>
      <c r="S5642" s="1"/>
      <c r="T5642" s="1"/>
      <c r="U5642" s="1"/>
      <c r="V5642" s="1"/>
      <c r="W5642" s="1"/>
      <c r="X5642" s="1"/>
      <c r="Y5642" s="1"/>
      <c r="AB5642" s="1"/>
      <c r="AC5642" s="1"/>
      <c r="AD5642" s="1"/>
      <c r="AE5642" s="1"/>
      <c r="AF5642" s="1"/>
      <c r="AG5642" s="1"/>
      <c r="AH5642" s="1"/>
      <c r="AI5642" s="1"/>
      <c r="AJ5642" s="1"/>
      <c r="AK5642" s="1"/>
      <c r="AL5642" s="1"/>
      <c r="AM5642" s="1"/>
    </row>
    <row r="5643" spans="16:39" x14ac:dyDescent="0.25">
      <c r="P5643" s="49"/>
      <c r="Q5643" s="1"/>
      <c r="S5643" s="1"/>
      <c r="T5643" s="1"/>
      <c r="U5643" s="1"/>
      <c r="V5643" s="1"/>
      <c r="W5643" s="1"/>
      <c r="X5643" s="1"/>
      <c r="Y5643" s="1"/>
      <c r="AB5643" s="1"/>
      <c r="AC5643" s="1"/>
      <c r="AD5643" s="1"/>
      <c r="AE5643" s="1"/>
      <c r="AF5643" s="1"/>
      <c r="AG5643" s="1"/>
      <c r="AH5643" s="1"/>
      <c r="AI5643" s="1"/>
      <c r="AJ5643" s="1"/>
      <c r="AK5643" s="1"/>
      <c r="AL5643" s="1"/>
      <c r="AM5643" s="1"/>
    </row>
    <row r="5644" spans="16:39" x14ac:dyDescent="0.25">
      <c r="P5644" s="49"/>
      <c r="Q5644" s="1"/>
      <c r="S5644" s="1"/>
      <c r="T5644" s="1"/>
      <c r="U5644" s="1"/>
      <c r="V5644" s="1"/>
      <c r="W5644" s="1"/>
      <c r="X5644" s="1"/>
      <c r="Y5644" s="1"/>
      <c r="AB5644" s="1"/>
      <c r="AC5644" s="1"/>
      <c r="AD5644" s="1"/>
      <c r="AE5644" s="1"/>
      <c r="AF5644" s="1"/>
      <c r="AG5644" s="1"/>
      <c r="AH5644" s="1"/>
      <c r="AI5644" s="1"/>
      <c r="AJ5644" s="1"/>
      <c r="AK5644" s="1"/>
      <c r="AL5644" s="1"/>
      <c r="AM5644" s="1"/>
    </row>
    <row r="5645" spans="16:39" x14ac:dyDescent="0.25">
      <c r="P5645" s="49"/>
      <c r="Q5645" s="1"/>
      <c r="S5645" s="1"/>
      <c r="T5645" s="1"/>
      <c r="U5645" s="1"/>
      <c r="V5645" s="1"/>
      <c r="W5645" s="1"/>
      <c r="X5645" s="1"/>
      <c r="Y5645" s="1"/>
      <c r="AB5645" s="1"/>
      <c r="AC5645" s="1"/>
      <c r="AD5645" s="1"/>
      <c r="AE5645" s="1"/>
      <c r="AF5645" s="1"/>
      <c r="AG5645" s="1"/>
      <c r="AH5645" s="1"/>
      <c r="AI5645" s="1"/>
      <c r="AJ5645" s="1"/>
      <c r="AK5645" s="1"/>
      <c r="AL5645" s="1"/>
      <c r="AM5645" s="1"/>
    </row>
    <row r="5646" spans="16:39" x14ac:dyDescent="0.25">
      <c r="P5646" s="49"/>
      <c r="Q5646" s="1"/>
      <c r="S5646" s="1"/>
      <c r="T5646" s="1"/>
      <c r="U5646" s="1"/>
      <c r="V5646" s="1"/>
      <c r="W5646" s="1"/>
      <c r="X5646" s="1"/>
      <c r="Y5646" s="1"/>
      <c r="AB5646" s="1"/>
      <c r="AC5646" s="1"/>
      <c r="AD5646" s="1"/>
      <c r="AE5646" s="1"/>
      <c r="AF5646" s="1"/>
      <c r="AG5646" s="1"/>
      <c r="AH5646" s="1"/>
      <c r="AI5646" s="1"/>
      <c r="AJ5646" s="1"/>
      <c r="AK5646" s="1"/>
      <c r="AL5646" s="1"/>
      <c r="AM5646" s="1"/>
    </row>
    <row r="5647" spans="16:39" x14ac:dyDescent="0.25">
      <c r="P5647" s="49"/>
      <c r="Q5647" s="1"/>
      <c r="S5647" s="1"/>
      <c r="T5647" s="1"/>
      <c r="U5647" s="1"/>
      <c r="V5647" s="1"/>
      <c r="W5647" s="1"/>
      <c r="X5647" s="1"/>
      <c r="Y5647" s="1"/>
      <c r="AB5647" s="1"/>
      <c r="AC5647" s="1"/>
      <c r="AD5647" s="1"/>
      <c r="AE5647" s="1"/>
      <c r="AF5647" s="1"/>
      <c r="AG5647" s="1"/>
      <c r="AH5647" s="1"/>
      <c r="AI5647" s="1"/>
      <c r="AJ5647" s="1"/>
      <c r="AK5647" s="1"/>
      <c r="AL5647" s="1"/>
      <c r="AM5647" s="1"/>
    </row>
    <row r="5648" spans="16:39" x14ac:dyDescent="0.25">
      <c r="P5648" s="49"/>
      <c r="Q5648" s="1"/>
      <c r="S5648" s="1"/>
      <c r="T5648" s="1"/>
      <c r="U5648" s="1"/>
      <c r="V5648" s="1"/>
      <c r="W5648" s="1"/>
      <c r="X5648" s="1"/>
      <c r="Y5648" s="1"/>
      <c r="AB5648" s="1"/>
      <c r="AC5648" s="1"/>
      <c r="AD5648" s="1"/>
      <c r="AE5648" s="1"/>
      <c r="AF5648" s="1"/>
      <c r="AG5648" s="1"/>
      <c r="AH5648" s="1"/>
      <c r="AI5648" s="1"/>
      <c r="AJ5648" s="1"/>
      <c r="AK5648" s="1"/>
      <c r="AL5648" s="1"/>
      <c r="AM5648" s="1"/>
    </row>
    <row r="5649" spans="16:39" x14ac:dyDescent="0.25">
      <c r="P5649" s="49"/>
      <c r="Q5649" s="1"/>
      <c r="S5649" s="1"/>
      <c r="T5649" s="1"/>
      <c r="U5649" s="1"/>
      <c r="V5649" s="1"/>
      <c r="W5649" s="1"/>
      <c r="X5649" s="1"/>
      <c r="Y5649" s="1"/>
      <c r="AB5649" s="1"/>
      <c r="AC5649" s="1"/>
      <c r="AD5649" s="1"/>
      <c r="AE5649" s="1"/>
      <c r="AF5649" s="1"/>
      <c r="AG5649" s="1"/>
      <c r="AH5649" s="1"/>
      <c r="AI5649" s="1"/>
      <c r="AJ5649" s="1"/>
      <c r="AK5649" s="1"/>
      <c r="AL5649" s="1"/>
      <c r="AM5649" s="1"/>
    </row>
    <row r="5650" spans="16:39" x14ac:dyDescent="0.25">
      <c r="P5650" s="49"/>
      <c r="Q5650" s="1"/>
      <c r="S5650" s="1"/>
      <c r="T5650" s="1"/>
      <c r="U5650" s="1"/>
      <c r="V5650" s="1"/>
      <c r="W5650" s="1"/>
      <c r="X5650" s="1"/>
      <c r="Y5650" s="1"/>
      <c r="AB5650" s="1"/>
      <c r="AC5650" s="1"/>
      <c r="AD5650" s="1"/>
      <c r="AE5650" s="1"/>
      <c r="AF5650" s="1"/>
      <c r="AG5650" s="1"/>
      <c r="AH5650" s="1"/>
      <c r="AI5650" s="1"/>
      <c r="AJ5650" s="1"/>
      <c r="AK5650" s="1"/>
      <c r="AL5650" s="1"/>
      <c r="AM5650" s="1"/>
    </row>
    <row r="5651" spans="16:39" x14ac:dyDescent="0.25">
      <c r="P5651" s="49"/>
      <c r="Q5651" s="1"/>
      <c r="S5651" s="1"/>
      <c r="T5651" s="1"/>
      <c r="U5651" s="1"/>
      <c r="V5651" s="1"/>
      <c r="W5651" s="1"/>
      <c r="X5651" s="1"/>
      <c r="Y5651" s="1"/>
      <c r="AB5651" s="1"/>
      <c r="AC5651" s="1"/>
      <c r="AD5651" s="1"/>
      <c r="AE5651" s="1"/>
      <c r="AF5651" s="1"/>
      <c r="AG5651" s="1"/>
      <c r="AH5651" s="1"/>
      <c r="AI5651" s="1"/>
      <c r="AJ5651" s="1"/>
      <c r="AK5651" s="1"/>
      <c r="AL5651" s="1"/>
      <c r="AM5651" s="1"/>
    </row>
    <row r="5652" spans="16:39" x14ac:dyDescent="0.25">
      <c r="P5652" s="49"/>
      <c r="Q5652" s="1"/>
      <c r="S5652" s="1"/>
      <c r="T5652" s="1"/>
      <c r="U5652" s="1"/>
      <c r="V5652" s="1"/>
      <c r="W5652" s="1"/>
      <c r="X5652" s="1"/>
      <c r="Y5652" s="1"/>
      <c r="AB5652" s="1"/>
      <c r="AC5652" s="1"/>
      <c r="AD5652" s="1"/>
      <c r="AE5652" s="1"/>
      <c r="AF5652" s="1"/>
      <c r="AG5652" s="1"/>
      <c r="AH5652" s="1"/>
      <c r="AI5652" s="1"/>
      <c r="AJ5652" s="1"/>
      <c r="AK5652" s="1"/>
      <c r="AL5652" s="1"/>
      <c r="AM5652" s="1"/>
    </row>
    <row r="5653" spans="16:39" x14ac:dyDescent="0.25">
      <c r="P5653" s="49"/>
      <c r="Q5653" s="1"/>
      <c r="S5653" s="1"/>
      <c r="T5653" s="1"/>
      <c r="U5653" s="1"/>
      <c r="V5653" s="1"/>
      <c r="W5653" s="1"/>
      <c r="X5653" s="1"/>
      <c r="Y5653" s="1"/>
      <c r="AB5653" s="1"/>
      <c r="AC5653" s="1"/>
      <c r="AD5653" s="1"/>
      <c r="AE5653" s="1"/>
      <c r="AF5653" s="1"/>
      <c r="AG5653" s="1"/>
      <c r="AH5653" s="1"/>
      <c r="AI5653" s="1"/>
      <c r="AJ5653" s="1"/>
      <c r="AK5653" s="1"/>
      <c r="AL5653" s="1"/>
      <c r="AM5653" s="1"/>
    </row>
    <row r="5654" spans="16:39" x14ac:dyDescent="0.25">
      <c r="P5654" s="49"/>
      <c r="Q5654" s="1"/>
      <c r="S5654" s="1"/>
      <c r="T5654" s="1"/>
      <c r="U5654" s="1"/>
      <c r="V5654" s="1"/>
      <c r="W5654" s="1"/>
      <c r="X5654" s="1"/>
      <c r="Y5654" s="1"/>
      <c r="AB5654" s="1"/>
      <c r="AC5654" s="1"/>
      <c r="AD5654" s="1"/>
      <c r="AE5654" s="1"/>
      <c r="AF5654" s="1"/>
      <c r="AG5654" s="1"/>
      <c r="AH5654" s="1"/>
      <c r="AI5654" s="1"/>
      <c r="AJ5654" s="1"/>
      <c r="AK5654" s="1"/>
      <c r="AL5654" s="1"/>
      <c r="AM5654" s="1"/>
    </row>
    <row r="5655" spans="16:39" x14ac:dyDescent="0.25">
      <c r="P5655" s="49"/>
      <c r="Q5655" s="1"/>
      <c r="S5655" s="1"/>
      <c r="T5655" s="1"/>
      <c r="U5655" s="1"/>
      <c r="V5655" s="1"/>
      <c r="W5655" s="1"/>
      <c r="X5655" s="1"/>
      <c r="Y5655" s="1"/>
      <c r="AB5655" s="1"/>
      <c r="AC5655" s="1"/>
      <c r="AD5655" s="1"/>
      <c r="AE5655" s="1"/>
      <c r="AF5655" s="1"/>
      <c r="AG5655" s="1"/>
      <c r="AH5655" s="1"/>
      <c r="AI5655" s="1"/>
      <c r="AJ5655" s="1"/>
      <c r="AK5655" s="1"/>
      <c r="AL5655" s="1"/>
      <c r="AM5655" s="1"/>
    </row>
    <row r="5656" spans="16:39" x14ac:dyDescent="0.25">
      <c r="P5656" s="49"/>
      <c r="Q5656" s="1"/>
      <c r="S5656" s="1"/>
      <c r="T5656" s="1"/>
      <c r="U5656" s="1"/>
      <c r="V5656" s="1"/>
      <c r="W5656" s="1"/>
      <c r="X5656" s="1"/>
      <c r="Y5656" s="1"/>
      <c r="AB5656" s="1"/>
      <c r="AC5656" s="1"/>
      <c r="AD5656" s="1"/>
      <c r="AE5656" s="1"/>
      <c r="AF5656" s="1"/>
      <c r="AG5656" s="1"/>
      <c r="AH5656" s="1"/>
      <c r="AI5656" s="1"/>
      <c r="AJ5656" s="1"/>
      <c r="AK5656" s="1"/>
      <c r="AL5656" s="1"/>
      <c r="AM5656" s="1"/>
    </row>
    <row r="5657" spans="16:39" x14ac:dyDescent="0.25">
      <c r="P5657" s="49"/>
      <c r="Q5657" s="1"/>
      <c r="S5657" s="1"/>
      <c r="T5657" s="1"/>
      <c r="U5657" s="1"/>
      <c r="V5657" s="1"/>
      <c r="W5657" s="1"/>
      <c r="X5657" s="1"/>
      <c r="Y5657" s="1"/>
      <c r="AB5657" s="1"/>
      <c r="AC5657" s="1"/>
      <c r="AD5657" s="1"/>
      <c r="AE5657" s="1"/>
      <c r="AF5657" s="1"/>
      <c r="AG5657" s="1"/>
      <c r="AH5657" s="1"/>
      <c r="AI5657" s="1"/>
      <c r="AJ5657" s="1"/>
      <c r="AK5657" s="1"/>
      <c r="AL5657" s="1"/>
      <c r="AM5657" s="1"/>
    </row>
    <row r="5658" spans="16:39" x14ac:dyDescent="0.25">
      <c r="P5658" s="49"/>
      <c r="Q5658" s="1"/>
      <c r="S5658" s="1"/>
      <c r="T5658" s="1"/>
      <c r="U5658" s="1"/>
      <c r="V5658" s="1"/>
      <c r="W5658" s="1"/>
      <c r="X5658" s="1"/>
      <c r="Y5658" s="1"/>
      <c r="AB5658" s="1"/>
      <c r="AC5658" s="1"/>
      <c r="AD5658" s="1"/>
      <c r="AE5658" s="1"/>
      <c r="AF5658" s="1"/>
      <c r="AG5658" s="1"/>
      <c r="AH5658" s="1"/>
      <c r="AI5658" s="1"/>
      <c r="AJ5658" s="1"/>
      <c r="AK5658" s="1"/>
      <c r="AL5658" s="1"/>
      <c r="AM5658" s="1"/>
    </row>
    <row r="5659" spans="16:39" x14ac:dyDescent="0.25">
      <c r="P5659" s="49"/>
      <c r="Q5659" s="1"/>
      <c r="S5659" s="1"/>
      <c r="T5659" s="1"/>
      <c r="U5659" s="1"/>
      <c r="V5659" s="1"/>
      <c r="W5659" s="1"/>
      <c r="X5659" s="1"/>
      <c r="Y5659" s="1"/>
      <c r="AB5659" s="1"/>
      <c r="AC5659" s="1"/>
      <c r="AD5659" s="1"/>
      <c r="AE5659" s="1"/>
      <c r="AF5659" s="1"/>
      <c r="AG5659" s="1"/>
      <c r="AH5659" s="1"/>
      <c r="AI5659" s="1"/>
      <c r="AJ5659" s="1"/>
      <c r="AK5659" s="1"/>
      <c r="AL5659" s="1"/>
      <c r="AM5659" s="1"/>
    </row>
    <row r="5660" spans="16:39" x14ac:dyDescent="0.25">
      <c r="P5660" s="49"/>
      <c r="Q5660" s="1"/>
      <c r="S5660" s="1"/>
      <c r="T5660" s="1"/>
      <c r="U5660" s="1"/>
      <c r="V5660" s="1"/>
      <c r="W5660" s="1"/>
      <c r="X5660" s="1"/>
      <c r="Y5660" s="1"/>
      <c r="AB5660" s="1"/>
      <c r="AC5660" s="1"/>
      <c r="AD5660" s="1"/>
      <c r="AE5660" s="1"/>
      <c r="AF5660" s="1"/>
      <c r="AG5660" s="1"/>
      <c r="AH5660" s="1"/>
      <c r="AI5660" s="1"/>
      <c r="AJ5660" s="1"/>
      <c r="AK5660" s="1"/>
      <c r="AL5660" s="1"/>
      <c r="AM5660" s="1"/>
    </row>
    <row r="5661" spans="16:39" x14ac:dyDescent="0.25">
      <c r="P5661" s="49"/>
      <c r="Q5661" s="1"/>
      <c r="S5661" s="1"/>
      <c r="T5661" s="1"/>
      <c r="U5661" s="1"/>
      <c r="V5661" s="1"/>
      <c r="W5661" s="1"/>
      <c r="X5661" s="1"/>
      <c r="Y5661" s="1"/>
      <c r="AB5661" s="1"/>
      <c r="AC5661" s="1"/>
      <c r="AD5661" s="1"/>
      <c r="AE5661" s="1"/>
      <c r="AF5661" s="1"/>
      <c r="AG5661" s="1"/>
      <c r="AH5661" s="1"/>
      <c r="AI5661" s="1"/>
      <c r="AJ5661" s="1"/>
      <c r="AK5661" s="1"/>
      <c r="AL5661" s="1"/>
      <c r="AM5661" s="1"/>
    </row>
    <row r="5662" spans="16:39" x14ac:dyDescent="0.25">
      <c r="P5662" s="49"/>
      <c r="Q5662" s="1"/>
      <c r="S5662" s="1"/>
      <c r="T5662" s="1"/>
      <c r="U5662" s="1"/>
      <c r="V5662" s="1"/>
      <c r="W5662" s="1"/>
      <c r="X5662" s="1"/>
      <c r="Y5662" s="1"/>
      <c r="AB5662" s="1"/>
      <c r="AC5662" s="1"/>
      <c r="AD5662" s="1"/>
      <c r="AE5662" s="1"/>
      <c r="AF5662" s="1"/>
      <c r="AG5662" s="1"/>
      <c r="AH5662" s="1"/>
      <c r="AI5662" s="1"/>
      <c r="AJ5662" s="1"/>
      <c r="AK5662" s="1"/>
      <c r="AL5662" s="1"/>
      <c r="AM5662" s="1"/>
    </row>
    <row r="5663" spans="16:39" x14ac:dyDescent="0.25">
      <c r="P5663" s="49"/>
      <c r="Q5663" s="1"/>
      <c r="S5663" s="1"/>
      <c r="T5663" s="1"/>
      <c r="U5663" s="1"/>
      <c r="V5663" s="1"/>
      <c r="W5663" s="1"/>
      <c r="X5663" s="1"/>
      <c r="Y5663" s="1"/>
      <c r="AB5663" s="1"/>
      <c r="AC5663" s="1"/>
      <c r="AD5663" s="1"/>
      <c r="AE5663" s="1"/>
      <c r="AF5663" s="1"/>
      <c r="AG5663" s="1"/>
      <c r="AH5663" s="1"/>
      <c r="AI5663" s="1"/>
      <c r="AJ5663" s="1"/>
      <c r="AK5663" s="1"/>
      <c r="AL5663" s="1"/>
      <c r="AM5663" s="1"/>
    </row>
    <row r="5664" spans="16:39" x14ac:dyDescent="0.25">
      <c r="P5664" s="49"/>
      <c r="Q5664" s="1"/>
      <c r="S5664" s="1"/>
      <c r="T5664" s="1"/>
      <c r="U5664" s="1"/>
      <c r="V5664" s="1"/>
      <c r="W5664" s="1"/>
      <c r="X5664" s="1"/>
      <c r="Y5664" s="1"/>
      <c r="AB5664" s="1"/>
      <c r="AC5664" s="1"/>
      <c r="AD5664" s="1"/>
      <c r="AE5664" s="1"/>
      <c r="AF5664" s="1"/>
      <c r="AG5664" s="1"/>
      <c r="AH5664" s="1"/>
      <c r="AI5664" s="1"/>
      <c r="AJ5664" s="1"/>
      <c r="AK5664" s="1"/>
      <c r="AL5664" s="1"/>
      <c r="AM5664" s="1"/>
    </row>
    <row r="5665" spans="16:39" x14ac:dyDescent="0.25">
      <c r="P5665" s="49"/>
      <c r="Q5665" s="1"/>
      <c r="S5665" s="1"/>
      <c r="T5665" s="1"/>
      <c r="U5665" s="1"/>
      <c r="V5665" s="1"/>
      <c r="W5665" s="1"/>
      <c r="X5665" s="1"/>
      <c r="Y5665" s="1"/>
      <c r="AB5665" s="1"/>
      <c r="AC5665" s="1"/>
      <c r="AD5665" s="1"/>
      <c r="AE5665" s="1"/>
      <c r="AF5665" s="1"/>
      <c r="AG5665" s="1"/>
      <c r="AH5665" s="1"/>
      <c r="AI5665" s="1"/>
      <c r="AJ5665" s="1"/>
      <c r="AK5665" s="1"/>
      <c r="AL5665" s="1"/>
      <c r="AM5665" s="1"/>
    </row>
    <row r="5666" spans="16:39" x14ac:dyDescent="0.25">
      <c r="P5666" s="49"/>
      <c r="Q5666" s="1"/>
      <c r="S5666" s="1"/>
      <c r="T5666" s="1"/>
      <c r="U5666" s="1"/>
      <c r="V5666" s="1"/>
      <c r="W5666" s="1"/>
      <c r="X5666" s="1"/>
      <c r="Y5666" s="1"/>
      <c r="AB5666" s="1"/>
      <c r="AC5666" s="1"/>
      <c r="AD5666" s="1"/>
      <c r="AE5666" s="1"/>
      <c r="AF5666" s="1"/>
      <c r="AG5666" s="1"/>
      <c r="AH5666" s="1"/>
      <c r="AI5666" s="1"/>
      <c r="AJ5666" s="1"/>
      <c r="AK5666" s="1"/>
      <c r="AL5666" s="1"/>
      <c r="AM5666" s="1"/>
    </row>
    <row r="5667" spans="16:39" x14ac:dyDescent="0.25">
      <c r="P5667" s="49"/>
      <c r="Q5667" s="1"/>
      <c r="S5667" s="1"/>
      <c r="T5667" s="1"/>
      <c r="U5667" s="1"/>
      <c r="V5667" s="1"/>
      <c r="W5667" s="1"/>
      <c r="X5667" s="1"/>
      <c r="Y5667" s="1"/>
      <c r="AB5667" s="1"/>
      <c r="AC5667" s="1"/>
      <c r="AD5667" s="1"/>
      <c r="AE5667" s="1"/>
      <c r="AF5667" s="1"/>
      <c r="AG5667" s="1"/>
      <c r="AH5667" s="1"/>
      <c r="AI5667" s="1"/>
      <c r="AJ5667" s="1"/>
      <c r="AK5667" s="1"/>
      <c r="AL5667" s="1"/>
      <c r="AM5667" s="1"/>
    </row>
    <row r="5668" spans="16:39" x14ac:dyDescent="0.25">
      <c r="P5668" s="49"/>
      <c r="Q5668" s="1"/>
      <c r="S5668" s="1"/>
      <c r="T5668" s="1"/>
      <c r="U5668" s="1"/>
      <c r="V5668" s="1"/>
      <c r="W5668" s="1"/>
      <c r="X5668" s="1"/>
      <c r="Y5668" s="1"/>
      <c r="AB5668" s="1"/>
      <c r="AC5668" s="1"/>
      <c r="AD5668" s="1"/>
      <c r="AE5668" s="1"/>
      <c r="AF5668" s="1"/>
      <c r="AG5668" s="1"/>
      <c r="AH5668" s="1"/>
      <c r="AI5668" s="1"/>
      <c r="AJ5668" s="1"/>
      <c r="AK5668" s="1"/>
      <c r="AL5668" s="1"/>
      <c r="AM5668" s="1"/>
    </row>
    <row r="5669" spans="16:39" x14ac:dyDescent="0.25">
      <c r="P5669" s="49"/>
      <c r="Q5669" s="1"/>
      <c r="S5669" s="1"/>
      <c r="T5669" s="1"/>
      <c r="U5669" s="1"/>
      <c r="V5669" s="1"/>
      <c r="W5669" s="1"/>
      <c r="X5669" s="1"/>
      <c r="Y5669" s="1"/>
      <c r="AB5669" s="1"/>
      <c r="AC5669" s="1"/>
      <c r="AD5669" s="1"/>
      <c r="AE5669" s="1"/>
      <c r="AF5669" s="1"/>
      <c r="AG5669" s="1"/>
      <c r="AH5669" s="1"/>
      <c r="AI5669" s="1"/>
      <c r="AJ5669" s="1"/>
      <c r="AK5669" s="1"/>
      <c r="AL5669" s="1"/>
      <c r="AM5669" s="1"/>
    </row>
    <row r="5670" spans="16:39" x14ac:dyDescent="0.25">
      <c r="P5670" s="49"/>
      <c r="Q5670" s="1"/>
      <c r="S5670" s="1"/>
      <c r="T5670" s="1"/>
      <c r="U5670" s="1"/>
      <c r="V5670" s="1"/>
      <c r="W5670" s="1"/>
      <c r="X5670" s="1"/>
      <c r="Y5670" s="1"/>
      <c r="AB5670" s="1"/>
      <c r="AC5670" s="1"/>
      <c r="AD5670" s="1"/>
      <c r="AE5670" s="1"/>
      <c r="AF5670" s="1"/>
      <c r="AG5670" s="1"/>
      <c r="AH5670" s="1"/>
      <c r="AI5670" s="1"/>
      <c r="AJ5670" s="1"/>
      <c r="AK5670" s="1"/>
      <c r="AL5670" s="1"/>
      <c r="AM5670" s="1"/>
    </row>
    <row r="5671" spans="16:39" x14ac:dyDescent="0.25">
      <c r="P5671" s="49"/>
      <c r="Q5671" s="1"/>
      <c r="S5671" s="1"/>
      <c r="T5671" s="1"/>
      <c r="U5671" s="1"/>
      <c r="V5671" s="1"/>
      <c r="W5671" s="1"/>
      <c r="X5671" s="1"/>
      <c r="Y5671" s="1"/>
      <c r="AB5671" s="1"/>
      <c r="AC5671" s="1"/>
      <c r="AD5671" s="1"/>
      <c r="AE5671" s="1"/>
      <c r="AF5671" s="1"/>
      <c r="AG5671" s="1"/>
      <c r="AH5671" s="1"/>
      <c r="AI5671" s="1"/>
      <c r="AJ5671" s="1"/>
      <c r="AK5671" s="1"/>
      <c r="AL5671" s="1"/>
      <c r="AM5671" s="1"/>
    </row>
    <row r="5672" spans="16:39" x14ac:dyDescent="0.25">
      <c r="P5672" s="49"/>
      <c r="Q5672" s="1"/>
      <c r="S5672" s="1"/>
      <c r="T5672" s="1"/>
      <c r="U5672" s="1"/>
      <c r="V5672" s="1"/>
      <c r="W5672" s="1"/>
      <c r="X5672" s="1"/>
      <c r="Y5672" s="1"/>
      <c r="AB5672" s="1"/>
      <c r="AC5672" s="1"/>
      <c r="AD5672" s="1"/>
      <c r="AE5672" s="1"/>
      <c r="AF5672" s="1"/>
      <c r="AG5672" s="1"/>
      <c r="AH5672" s="1"/>
      <c r="AI5672" s="1"/>
      <c r="AJ5672" s="1"/>
      <c r="AK5672" s="1"/>
      <c r="AL5672" s="1"/>
      <c r="AM5672" s="1"/>
    </row>
    <row r="5673" spans="16:39" x14ac:dyDescent="0.25">
      <c r="P5673" s="49"/>
      <c r="Q5673" s="1"/>
      <c r="S5673" s="1"/>
      <c r="T5673" s="1"/>
      <c r="U5673" s="1"/>
      <c r="V5673" s="1"/>
      <c r="W5673" s="1"/>
      <c r="X5673" s="1"/>
      <c r="Y5673" s="1"/>
      <c r="AB5673" s="1"/>
      <c r="AC5673" s="1"/>
      <c r="AD5673" s="1"/>
      <c r="AE5673" s="1"/>
      <c r="AF5673" s="1"/>
      <c r="AG5673" s="1"/>
      <c r="AH5673" s="1"/>
      <c r="AI5673" s="1"/>
      <c r="AJ5673" s="1"/>
      <c r="AK5673" s="1"/>
      <c r="AL5673" s="1"/>
      <c r="AM5673" s="1"/>
    </row>
    <row r="5674" spans="16:39" x14ac:dyDescent="0.25">
      <c r="P5674" s="49"/>
      <c r="Q5674" s="1"/>
      <c r="S5674" s="1"/>
      <c r="T5674" s="1"/>
      <c r="U5674" s="1"/>
      <c r="V5674" s="1"/>
      <c r="W5674" s="1"/>
      <c r="X5674" s="1"/>
      <c r="Y5674" s="1"/>
      <c r="AB5674" s="1"/>
      <c r="AC5674" s="1"/>
      <c r="AD5674" s="1"/>
      <c r="AE5674" s="1"/>
      <c r="AF5674" s="1"/>
      <c r="AG5674" s="1"/>
      <c r="AH5674" s="1"/>
      <c r="AI5674" s="1"/>
      <c r="AJ5674" s="1"/>
      <c r="AK5674" s="1"/>
      <c r="AL5674" s="1"/>
      <c r="AM5674" s="1"/>
    </row>
    <row r="5675" spans="16:39" x14ac:dyDescent="0.25">
      <c r="P5675" s="49"/>
      <c r="Q5675" s="1"/>
      <c r="S5675" s="1"/>
      <c r="T5675" s="1"/>
      <c r="U5675" s="1"/>
      <c r="V5675" s="1"/>
      <c r="W5675" s="1"/>
      <c r="X5675" s="1"/>
      <c r="Y5675" s="1"/>
      <c r="AB5675" s="1"/>
      <c r="AC5675" s="1"/>
      <c r="AD5675" s="1"/>
      <c r="AE5675" s="1"/>
      <c r="AF5675" s="1"/>
      <c r="AG5675" s="1"/>
      <c r="AH5675" s="1"/>
      <c r="AI5675" s="1"/>
      <c r="AJ5675" s="1"/>
      <c r="AK5675" s="1"/>
      <c r="AL5675" s="1"/>
      <c r="AM5675" s="1"/>
    </row>
    <row r="5676" spans="16:39" x14ac:dyDescent="0.25">
      <c r="P5676" s="49"/>
      <c r="Q5676" s="1"/>
      <c r="S5676" s="1"/>
      <c r="T5676" s="1"/>
      <c r="U5676" s="1"/>
      <c r="V5676" s="1"/>
      <c r="W5676" s="1"/>
      <c r="X5676" s="1"/>
      <c r="Y5676" s="1"/>
      <c r="AB5676" s="1"/>
      <c r="AC5676" s="1"/>
      <c r="AD5676" s="1"/>
      <c r="AE5676" s="1"/>
      <c r="AF5676" s="1"/>
      <c r="AG5676" s="1"/>
      <c r="AH5676" s="1"/>
      <c r="AI5676" s="1"/>
      <c r="AJ5676" s="1"/>
      <c r="AK5676" s="1"/>
      <c r="AL5676" s="1"/>
      <c r="AM5676" s="1"/>
    </row>
    <row r="5677" spans="16:39" x14ac:dyDescent="0.25">
      <c r="P5677" s="49"/>
      <c r="Q5677" s="1"/>
      <c r="S5677" s="1"/>
      <c r="T5677" s="1"/>
      <c r="U5677" s="1"/>
      <c r="V5677" s="1"/>
      <c r="W5677" s="1"/>
      <c r="X5677" s="1"/>
      <c r="Y5677" s="1"/>
      <c r="AB5677" s="1"/>
      <c r="AC5677" s="1"/>
      <c r="AD5677" s="1"/>
      <c r="AE5677" s="1"/>
      <c r="AF5677" s="1"/>
      <c r="AG5677" s="1"/>
      <c r="AH5677" s="1"/>
      <c r="AI5677" s="1"/>
      <c r="AJ5677" s="1"/>
      <c r="AK5677" s="1"/>
      <c r="AL5677" s="1"/>
      <c r="AM5677" s="1"/>
    </row>
    <row r="5678" spans="16:39" x14ac:dyDescent="0.25">
      <c r="P5678" s="49"/>
      <c r="Q5678" s="1"/>
      <c r="S5678" s="1"/>
      <c r="T5678" s="1"/>
      <c r="U5678" s="1"/>
      <c r="V5678" s="1"/>
      <c r="W5678" s="1"/>
      <c r="X5678" s="1"/>
      <c r="Y5678" s="1"/>
      <c r="AB5678" s="1"/>
      <c r="AC5678" s="1"/>
      <c r="AD5678" s="1"/>
      <c r="AE5678" s="1"/>
      <c r="AF5678" s="1"/>
      <c r="AG5678" s="1"/>
      <c r="AH5678" s="1"/>
      <c r="AI5678" s="1"/>
      <c r="AJ5678" s="1"/>
      <c r="AK5678" s="1"/>
      <c r="AL5678" s="1"/>
      <c r="AM5678" s="1"/>
    </row>
    <row r="5679" spans="16:39" x14ac:dyDescent="0.25">
      <c r="P5679" s="49"/>
      <c r="Q5679" s="1"/>
      <c r="S5679" s="1"/>
      <c r="T5679" s="1"/>
      <c r="U5679" s="1"/>
      <c r="V5679" s="1"/>
      <c r="W5679" s="1"/>
      <c r="X5679" s="1"/>
      <c r="Y5679" s="1"/>
      <c r="AB5679" s="1"/>
      <c r="AC5679" s="1"/>
      <c r="AD5679" s="1"/>
      <c r="AE5679" s="1"/>
      <c r="AF5679" s="1"/>
      <c r="AG5679" s="1"/>
      <c r="AH5679" s="1"/>
      <c r="AI5679" s="1"/>
      <c r="AJ5679" s="1"/>
      <c r="AK5679" s="1"/>
      <c r="AL5679" s="1"/>
      <c r="AM5679" s="1"/>
    </row>
    <row r="5680" spans="16:39" x14ac:dyDescent="0.25">
      <c r="P5680" s="49"/>
      <c r="Q5680" s="1"/>
      <c r="S5680" s="1"/>
      <c r="T5680" s="1"/>
      <c r="U5680" s="1"/>
      <c r="V5680" s="1"/>
      <c r="W5680" s="1"/>
      <c r="X5680" s="1"/>
      <c r="Y5680" s="1"/>
      <c r="AB5680" s="1"/>
      <c r="AC5680" s="1"/>
      <c r="AD5680" s="1"/>
      <c r="AE5680" s="1"/>
      <c r="AF5680" s="1"/>
      <c r="AG5680" s="1"/>
      <c r="AH5680" s="1"/>
      <c r="AI5680" s="1"/>
      <c r="AJ5680" s="1"/>
      <c r="AK5680" s="1"/>
      <c r="AL5680" s="1"/>
      <c r="AM5680" s="1"/>
    </row>
    <row r="5681" spans="16:39" x14ac:dyDescent="0.25">
      <c r="P5681" s="49"/>
      <c r="Q5681" s="1"/>
      <c r="S5681" s="1"/>
      <c r="T5681" s="1"/>
      <c r="U5681" s="1"/>
      <c r="V5681" s="1"/>
      <c r="W5681" s="1"/>
      <c r="X5681" s="1"/>
      <c r="Y5681" s="1"/>
      <c r="AB5681" s="1"/>
      <c r="AC5681" s="1"/>
      <c r="AD5681" s="1"/>
      <c r="AE5681" s="1"/>
      <c r="AF5681" s="1"/>
      <c r="AG5681" s="1"/>
      <c r="AH5681" s="1"/>
      <c r="AI5681" s="1"/>
      <c r="AJ5681" s="1"/>
      <c r="AK5681" s="1"/>
      <c r="AL5681" s="1"/>
      <c r="AM5681" s="1"/>
    </row>
    <row r="5682" spans="16:39" x14ac:dyDescent="0.25">
      <c r="P5682" s="49"/>
      <c r="Q5682" s="1"/>
      <c r="S5682" s="1"/>
      <c r="T5682" s="1"/>
      <c r="U5682" s="1"/>
      <c r="V5682" s="1"/>
      <c r="W5682" s="1"/>
      <c r="X5682" s="1"/>
      <c r="Y5682" s="1"/>
      <c r="AB5682" s="1"/>
      <c r="AC5682" s="1"/>
      <c r="AD5682" s="1"/>
      <c r="AE5682" s="1"/>
      <c r="AF5682" s="1"/>
      <c r="AG5682" s="1"/>
      <c r="AH5682" s="1"/>
      <c r="AI5682" s="1"/>
      <c r="AJ5682" s="1"/>
      <c r="AK5682" s="1"/>
      <c r="AL5682" s="1"/>
      <c r="AM5682" s="1"/>
    </row>
    <row r="5683" spans="16:39" x14ac:dyDescent="0.25">
      <c r="P5683" s="49"/>
      <c r="Q5683" s="1"/>
      <c r="S5683" s="1"/>
      <c r="T5683" s="1"/>
      <c r="U5683" s="1"/>
      <c r="V5683" s="1"/>
      <c r="W5683" s="1"/>
      <c r="X5683" s="1"/>
      <c r="Y5683" s="1"/>
      <c r="AB5683" s="1"/>
      <c r="AC5683" s="1"/>
      <c r="AD5683" s="1"/>
      <c r="AE5683" s="1"/>
      <c r="AF5683" s="1"/>
      <c r="AG5683" s="1"/>
      <c r="AH5683" s="1"/>
      <c r="AI5683" s="1"/>
      <c r="AJ5683" s="1"/>
      <c r="AK5683" s="1"/>
      <c r="AL5683" s="1"/>
      <c r="AM5683" s="1"/>
    </row>
    <row r="5684" spans="16:39" x14ac:dyDescent="0.25">
      <c r="P5684" s="49"/>
      <c r="Q5684" s="1"/>
      <c r="S5684" s="1"/>
      <c r="T5684" s="1"/>
      <c r="U5684" s="1"/>
      <c r="V5684" s="1"/>
      <c r="W5684" s="1"/>
      <c r="X5684" s="1"/>
      <c r="Y5684" s="1"/>
      <c r="AB5684" s="1"/>
      <c r="AC5684" s="1"/>
      <c r="AD5684" s="1"/>
      <c r="AE5684" s="1"/>
      <c r="AF5684" s="1"/>
      <c r="AG5684" s="1"/>
      <c r="AH5684" s="1"/>
      <c r="AI5684" s="1"/>
      <c r="AJ5684" s="1"/>
      <c r="AK5684" s="1"/>
      <c r="AL5684" s="1"/>
      <c r="AM5684" s="1"/>
    </row>
    <row r="5685" spans="16:39" x14ac:dyDescent="0.25">
      <c r="P5685" s="49"/>
      <c r="Q5685" s="1"/>
      <c r="S5685" s="1"/>
      <c r="T5685" s="1"/>
      <c r="U5685" s="1"/>
      <c r="V5685" s="1"/>
      <c r="W5685" s="1"/>
      <c r="X5685" s="1"/>
      <c r="Y5685" s="1"/>
      <c r="AB5685" s="1"/>
      <c r="AC5685" s="1"/>
      <c r="AD5685" s="1"/>
      <c r="AE5685" s="1"/>
      <c r="AF5685" s="1"/>
      <c r="AG5685" s="1"/>
      <c r="AH5685" s="1"/>
      <c r="AI5685" s="1"/>
      <c r="AJ5685" s="1"/>
      <c r="AK5685" s="1"/>
      <c r="AL5685" s="1"/>
      <c r="AM5685" s="1"/>
    </row>
    <row r="5686" spans="16:39" x14ac:dyDescent="0.25">
      <c r="P5686" s="49"/>
      <c r="Q5686" s="1"/>
      <c r="S5686" s="1"/>
      <c r="T5686" s="1"/>
      <c r="U5686" s="1"/>
      <c r="V5686" s="1"/>
      <c r="W5686" s="1"/>
      <c r="X5686" s="1"/>
      <c r="Y5686" s="1"/>
      <c r="AB5686" s="1"/>
      <c r="AC5686" s="1"/>
      <c r="AD5686" s="1"/>
      <c r="AE5686" s="1"/>
      <c r="AF5686" s="1"/>
      <c r="AG5686" s="1"/>
      <c r="AH5686" s="1"/>
      <c r="AI5686" s="1"/>
      <c r="AJ5686" s="1"/>
      <c r="AK5686" s="1"/>
      <c r="AL5686" s="1"/>
      <c r="AM5686" s="1"/>
    </row>
    <row r="5687" spans="16:39" x14ac:dyDescent="0.25">
      <c r="P5687" s="49"/>
      <c r="Q5687" s="1"/>
      <c r="S5687" s="1"/>
      <c r="T5687" s="1"/>
      <c r="U5687" s="1"/>
      <c r="V5687" s="1"/>
      <c r="W5687" s="1"/>
      <c r="X5687" s="1"/>
      <c r="Y5687" s="1"/>
      <c r="AB5687" s="1"/>
      <c r="AC5687" s="1"/>
      <c r="AD5687" s="1"/>
      <c r="AE5687" s="1"/>
      <c r="AF5687" s="1"/>
      <c r="AG5687" s="1"/>
      <c r="AH5687" s="1"/>
      <c r="AI5687" s="1"/>
      <c r="AJ5687" s="1"/>
      <c r="AK5687" s="1"/>
      <c r="AL5687" s="1"/>
      <c r="AM5687" s="1"/>
    </row>
    <row r="5688" spans="16:39" x14ac:dyDescent="0.25">
      <c r="P5688" s="49"/>
      <c r="Q5688" s="1"/>
      <c r="S5688" s="1"/>
      <c r="T5688" s="1"/>
      <c r="U5688" s="1"/>
      <c r="V5688" s="1"/>
      <c r="W5688" s="1"/>
      <c r="X5688" s="1"/>
      <c r="Y5688" s="1"/>
      <c r="AB5688" s="1"/>
      <c r="AC5688" s="1"/>
      <c r="AD5688" s="1"/>
      <c r="AE5688" s="1"/>
      <c r="AF5688" s="1"/>
      <c r="AG5688" s="1"/>
      <c r="AH5688" s="1"/>
      <c r="AI5688" s="1"/>
      <c r="AJ5688" s="1"/>
      <c r="AK5688" s="1"/>
      <c r="AL5688" s="1"/>
      <c r="AM5688" s="1"/>
    </row>
    <row r="5689" spans="16:39" x14ac:dyDescent="0.25">
      <c r="P5689" s="49"/>
      <c r="Q5689" s="1"/>
      <c r="S5689" s="1"/>
      <c r="T5689" s="1"/>
      <c r="U5689" s="1"/>
      <c r="V5689" s="1"/>
      <c r="W5689" s="1"/>
      <c r="X5689" s="1"/>
      <c r="Y5689" s="1"/>
      <c r="AB5689" s="1"/>
      <c r="AC5689" s="1"/>
      <c r="AD5689" s="1"/>
      <c r="AE5689" s="1"/>
      <c r="AF5689" s="1"/>
      <c r="AG5689" s="1"/>
      <c r="AH5689" s="1"/>
      <c r="AI5689" s="1"/>
      <c r="AJ5689" s="1"/>
      <c r="AK5689" s="1"/>
      <c r="AL5689" s="1"/>
      <c r="AM5689" s="1"/>
    </row>
    <row r="5690" spans="16:39" x14ac:dyDescent="0.25">
      <c r="P5690" s="49"/>
      <c r="Q5690" s="1"/>
      <c r="S5690" s="1"/>
      <c r="T5690" s="1"/>
      <c r="U5690" s="1"/>
      <c r="V5690" s="1"/>
      <c r="W5690" s="1"/>
      <c r="X5690" s="1"/>
      <c r="Y5690" s="1"/>
      <c r="AB5690" s="1"/>
      <c r="AC5690" s="1"/>
      <c r="AD5690" s="1"/>
      <c r="AE5690" s="1"/>
      <c r="AF5690" s="1"/>
      <c r="AG5690" s="1"/>
      <c r="AH5690" s="1"/>
      <c r="AI5690" s="1"/>
      <c r="AJ5690" s="1"/>
      <c r="AK5690" s="1"/>
      <c r="AL5690" s="1"/>
      <c r="AM5690" s="1"/>
    </row>
    <row r="5691" spans="16:39" x14ac:dyDescent="0.25">
      <c r="P5691" s="49"/>
      <c r="Q5691" s="1"/>
      <c r="S5691" s="1"/>
      <c r="T5691" s="1"/>
      <c r="U5691" s="1"/>
      <c r="V5691" s="1"/>
      <c r="W5691" s="1"/>
      <c r="X5691" s="1"/>
      <c r="Y5691" s="1"/>
      <c r="AB5691" s="1"/>
      <c r="AC5691" s="1"/>
      <c r="AD5691" s="1"/>
      <c r="AE5691" s="1"/>
      <c r="AF5691" s="1"/>
      <c r="AG5691" s="1"/>
      <c r="AH5691" s="1"/>
      <c r="AI5691" s="1"/>
      <c r="AJ5691" s="1"/>
      <c r="AK5691" s="1"/>
      <c r="AL5691" s="1"/>
      <c r="AM5691" s="1"/>
    </row>
    <row r="5692" spans="16:39" x14ac:dyDescent="0.25">
      <c r="P5692" s="49"/>
      <c r="Q5692" s="1"/>
      <c r="S5692" s="1"/>
      <c r="T5692" s="1"/>
      <c r="U5692" s="1"/>
      <c r="V5692" s="1"/>
      <c r="W5692" s="1"/>
      <c r="X5692" s="1"/>
      <c r="Y5692" s="1"/>
      <c r="AB5692" s="1"/>
      <c r="AC5692" s="1"/>
      <c r="AD5692" s="1"/>
      <c r="AE5692" s="1"/>
      <c r="AF5692" s="1"/>
      <c r="AG5692" s="1"/>
      <c r="AH5692" s="1"/>
      <c r="AI5692" s="1"/>
      <c r="AJ5692" s="1"/>
      <c r="AK5692" s="1"/>
      <c r="AL5692" s="1"/>
      <c r="AM5692" s="1"/>
    </row>
    <row r="5693" spans="16:39" x14ac:dyDescent="0.25">
      <c r="P5693" s="49"/>
      <c r="Q5693" s="1"/>
      <c r="S5693" s="1"/>
      <c r="T5693" s="1"/>
      <c r="U5693" s="1"/>
      <c r="V5693" s="1"/>
      <c r="W5693" s="1"/>
      <c r="X5693" s="1"/>
      <c r="Y5693" s="1"/>
      <c r="AB5693" s="1"/>
      <c r="AC5693" s="1"/>
      <c r="AD5693" s="1"/>
      <c r="AE5693" s="1"/>
      <c r="AF5693" s="1"/>
      <c r="AG5693" s="1"/>
      <c r="AH5693" s="1"/>
      <c r="AI5693" s="1"/>
      <c r="AJ5693" s="1"/>
      <c r="AK5693" s="1"/>
      <c r="AL5693" s="1"/>
      <c r="AM5693" s="1"/>
    </row>
    <row r="5694" spans="16:39" x14ac:dyDescent="0.25">
      <c r="P5694" s="49"/>
      <c r="Q5694" s="1"/>
      <c r="S5694" s="1"/>
      <c r="T5694" s="1"/>
      <c r="U5694" s="1"/>
      <c r="V5694" s="1"/>
      <c r="W5694" s="1"/>
      <c r="X5694" s="1"/>
      <c r="Y5694" s="1"/>
      <c r="AB5694" s="1"/>
      <c r="AC5694" s="1"/>
      <c r="AD5694" s="1"/>
      <c r="AE5694" s="1"/>
      <c r="AF5694" s="1"/>
      <c r="AG5694" s="1"/>
      <c r="AH5694" s="1"/>
      <c r="AI5694" s="1"/>
      <c r="AJ5694" s="1"/>
      <c r="AK5694" s="1"/>
      <c r="AL5694" s="1"/>
      <c r="AM5694" s="1"/>
    </row>
    <row r="5695" spans="16:39" x14ac:dyDescent="0.25">
      <c r="P5695" s="49"/>
      <c r="Q5695" s="1"/>
      <c r="S5695" s="1"/>
      <c r="T5695" s="1"/>
      <c r="U5695" s="1"/>
      <c r="V5695" s="1"/>
      <c r="W5695" s="1"/>
      <c r="X5695" s="1"/>
      <c r="Y5695" s="1"/>
      <c r="AB5695" s="1"/>
      <c r="AC5695" s="1"/>
      <c r="AD5695" s="1"/>
      <c r="AE5695" s="1"/>
      <c r="AF5695" s="1"/>
      <c r="AG5695" s="1"/>
      <c r="AH5695" s="1"/>
      <c r="AI5695" s="1"/>
      <c r="AJ5695" s="1"/>
      <c r="AK5695" s="1"/>
      <c r="AL5695" s="1"/>
      <c r="AM5695" s="1"/>
    </row>
    <row r="5696" spans="16:39" x14ac:dyDescent="0.25">
      <c r="P5696" s="49"/>
      <c r="Q5696" s="1"/>
      <c r="S5696" s="1"/>
      <c r="T5696" s="1"/>
      <c r="U5696" s="1"/>
      <c r="V5696" s="1"/>
      <c r="W5696" s="1"/>
      <c r="X5696" s="1"/>
      <c r="Y5696" s="1"/>
      <c r="AB5696" s="1"/>
      <c r="AC5696" s="1"/>
      <c r="AD5696" s="1"/>
      <c r="AE5696" s="1"/>
      <c r="AF5696" s="1"/>
      <c r="AG5696" s="1"/>
      <c r="AH5696" s="1"/>
      <c r="AI5696" s="1"/>
      <c r="AJ5696" s="1"/>
      <c r="AK5696" s="1"/>
      <c r="AL5696" s="1"/>
      <c r="AM5696" s="1"/>
    </row>
    <row r="5697" spans="16:39" x14ac:dyDescent="0.25">
      <c r="P5697" s="49"/>
      <c r="Q5697" s="1"/>
      <c r="S5697" s="1"/>
      <c r="T5697" s="1"/>
      <c r="U5697" s="1"/>
      <c r="V5697" s="1"/>
      <c r="W5697" s="1"/>
      <c r="X5697" s="1"/>
      <c r="Y5697" s="1"/>
      <c r="AB5697" s="1"/>
      <c r="AC5697" s="1"/>
      <c r="AD5697" s="1"/>
      <c r="AE5697" s="1"/>
      <c r="AF5697" s="1"/>
      <c r="AG5697" s="1"/>
      <c r="AH5697" s="1"/>
      <c r="AI5697" s="1"/>
      <c r="AJ5697" s="1"/>
      <c r="AK5697" s="1"/>
      <c r="AL5697" s="1"/>
      <c r="AM5697" s="1"/>
    </row>
    <row r="5698" spans="16:39" x14ac:dyDescent="0.25">
      <c r="P5698" s="49"/>
      <c r="Q5698" s="1"/>
      <c r="S5698" s="1"/>
      <c r="T5698" s="1"/>
      <c r="U5698" s="1"/>
      <c r="V5698" s="1"/>
      <c r="W5698" s="1"/>
      <c r="X5698" s="1"/>
      <c r="Y5698" s="1"/>
      <c r="AB5698" s="1"/>
      <c r="AC5698" s="1"/>
      <c r="AD5698" s="1"/>
      <c r="AE5698" s="1"/>
      <c r="AF5698" s="1"/>
      <c r="AG5698" s="1"/>
      <c r="AH5698" s="1"/>
      <c r="AI5698" s="1"/>
      <c r="AJ5698" s="1"/>
      <c r="AK5698" s="1"/>
      <c r="AL5698" s="1"/>
      <c r="AM5698" s="1"/>
    </row>
    <row r="5699" spans="16:39" x14ac:dyDescent="0.25">
      <c r="P5699" s="49"/>
      <c r="Q5699" s="1"/>
      <c r="S5699" s="1"/>
      <c r="T5699" s="1"/>
      <c r="U5699" s="1"/>
      <c r="V5699" s="1"/>
      <c r="W5699" s="1"/>
      <c r="X5699" s="1"/>
      <c r="Y5699" s="1"/>
      <c r="AB5699" s="1"/>
      <c r="AC5699" s="1"/>
      <c r="AD5699" s="1"/>
      <c r="AE5699" s="1"/>
      <c r="AF5699" s="1"/>
      <c r="AG5699" s="1"/>
      <c r="AH5699" s="1"/>
      <c r="AI5699" s="1"/>
      <c r="AJ5699" s="1"/>
      <c r="AK5699" s="1"/>
      <c r="AL5699" s="1"/>
      <c r="AM5699" s="1"/>
    </row>
    <row r="5700" spans="16:39" x14ac:dyDescent="0.25">
      <c r="P5700" s="49"/>
      <c r="Q5700" s="1"/>
      <c r="S5700" s="1"/>
      <c r="T5700" s="1"/>
      <c r="U5700" s="1"/>
      <c r="V5700" s="1"/>
      <c r="W5700" s="1"/>
      <c r="X5700" s="1"/>
      <c r="Y5700" s="1"/>
      <c r="AB5700" s="1"/>
      <c r="AC5700" s="1"/>
      <c r="AD5700" s="1"/>
      <c r="AE5700" s="1"/>
      <c r="AF5700" s="1"/>
      <c r="AG5700" s="1"/>
      <c r="AH5700" s="1"/>
      <c r="AI5700" s="1"/>
      <c r="AJ5700" s="1"/>
      <c r="AK5700" s="1"/>
      <c r="AL5700" s="1"/>
      <c r="AM5700" s="1"/>
    </row>
    <row r="5701" spans="16:39" x14ac:dyDescent="0.25">
      <c r="P5701" s="49"/>
      <c r="Q5701" s="1"/>
      <c r="S5701" s="1"/>
      <c r="T5701" s="1"/>
      <c r="U5701" s="1"/>
      <c r="V5701" s="1"/>
      <c r="W5701" s="1"/>
      <c r="X5701" s="1"/>
      <c r="Y5701" s="1"/>
      <c r="AB5701" s="1"/>
      <c r="AC5701" s="1"/>
      <c r="AD5701" s="1"/>
      <c r="AE5701" s="1"/>
      <c r="AF5701" s="1"/>
      <c r="AG5701" s="1"/>
      <c r="AH5701" s="1"/>
      <c r="AI5701" s="1"/>
      <c r="AJ5701" s="1"/>
      <c r="AK5701" s="1"/>
      <c r="AL5701" s="1"/>
      <c r="AM5701" s="1"/>
    </row>
    <row r="5702" spans="16:39" x14ac:dyDescent="0.25">
      <c r="P5702" s="49"/>
      <c r="Q5702" s="1"/>
      <c r="S5702" s="1"/>
      <c r="T5702" s="1"/>
      <c r="U5702" s="1"/>
      <c r="V5702" s="1"/>
      <c r="W5702" s="1"/>
      <c r="X5702" s="1"/>
      <c r="Y5702" s="1"/>
      <c r="AB5702" s="1"/>
      <c r="AC5702" s="1"/>
      <c r="AD5702" s="1"/>
      <c r="AE5702" s="1"/>
      <c r="AF5702" s="1"/>
      <c r="AG5702" s="1"/>
      <c r="AH5702" s="1"/>
      <c r="AI5702" s="1"/>
      <c r="AJ5702" s="1"/>
      <c r="AK5702" s="1"/>
      <c r="AL5702" s="1"/>
      <c r="AM5702" s="1"/>
    </row>
    <row r="5703" spans="16:39" x14ac:dyDescent="0.25">
      <c r="P5703" s="49"/>
      <c r="Q5703" s="1"/>
      <c r="S5703" s="1"/>
      <c r="T5703" s="1"/>
      <c r="U5703" s="1"/>
      <c r="V5703" s="1"/>
      <c r="W5703" s="1"/>
      <c r="X5703" s="1"/>
      <c r="Y5703" s="1"/>
      <c r="AB5703" s="1"/>
      <c r="AC5703" s="1"/>
      <c r="AD5703" s="1"/>
      <c r="AE5703" s="1"/>
      <c r="AF5703" s="1"/>
      <c r="AG5703" s="1"/>
      <c r="AH5703" s="1"/>
      <c r="AI5703" s="1"/>
      <c r="AJ5703" s="1"/>
      <c r="AK5703" s="1"/>
      <c r="AL5703" s="1"/>
      <c r="AM5703" s="1"/>
    </row>
    <row r="5704" spans="16:39" x14ac:dyDescent="0.25">
      <c r="P5704" s="49"/>
      <c r="Q5704" s="1"/>
      <c r="S5704" s="1"/>
      <c r="T5704" s="1"/>
      <c r="U5704" s="1"/>
      <c r="V5704" s="1"/>
      <c r="W5704" s="1"/>
      <c r="X5704" s="1"/>
      <c r="Y5704" s="1"/>
      <c r="AB5704" s="1"/>
      <c r="AC5704" s="1"/>
      <c r="AD5704" s="1"/>
      <c r="AE5704" s="1"/>
      <c r="AF5704" s="1"/>
      <c r="AG5704" s="1"/>
      <c r="AH5704" s="1"/>
      <c r="AI5704" s="1"/>
      <c r="AJ5704" s="1"/>
      <c r="AK5704" s="1"/>
      <c r="AL5704" s="1"/>
      <c r="AM5704" s="1"/>
    </row>
    <row r="5705" spans="16:39" x14ac:dyDescent="0.25">
      <c r="P5705" s="49"/>
      <c r="Q5705" s="1"/>
      <c r="S5705" s="1"/>
      <c r="T5705" s="1"/>
      <c r="U5705" s="1"/>
      <c r="V5705" s="1"/>
      <c r="W5705" s="1"/>
      <c r="X5705" s="1"/>
      <c r="Y5705" s="1"/>
      <c r="AB5705" s="1"/>
      <c r="AC5705" s="1"/>
      <c r="AD5705" s="1"/>
      <c r="AE5705" s="1"/>
      <c r="AF5705" s="1"/>
      <c r="AG5705" s="1"/>
      <c r="AH5705" s="1"/>
      <c r="AI5705" s="1"/>
      <c r="AJ5705" s="1"/>
      <c r="AK5705" s="1"/>
      <c r="AL5705" s="1"/>
      <c r="AM5705" s="1"/>
    </row>
    <row r="5706" spans="16:39" x14ac:dyDescent="0.25">
      <c r="P5706" s="49"/>
      <c r="Q5706" s="1"/>
      <c r="S5706" s="1"/>
      <c r="T5706" s="1"/>
      <c r="U5706" s="1"/>
      <c r="V5706" s="1"/>
      <c r="W5706" s="1"/>
      <c r="X5706" s="1"/>
      <c r="Y5706" s="1"/>
      <c r="AB5706" s="1"/>
      <c r="AC5706" s="1"/>
      <c r="AD5706" s="1"/>
      <c r="AE5706" s="1"/>
      <c r="AF5706" s="1"/>
      <c r="AG5706" s="1"/>
      <c r="AH5706" s="1"/>
      <c r="AI5706" s="1"/>
      <c r="AJ5706" s="1"/>
      <c r="AK5706" s="1"/>
      <c r="AL5706" s="1"/>
      <c r="AM5706" s="1"/>
    </row>
    <row r="5707" spans="16:39" x14ac:dyDescent="0.25">
      <c r="P5707" s="49"/>
      <c r="Q5707" s="1"/>
      <c r="S5707" s="1"/>
      <c r="T5707" s="1"/>
      <c r="U5707" s="1"/>
      <c r="V5707" s="1"/>
      <c r="W5707" s="1"/>
      <c r="X5707" s="1"/>
      <c r="Y5707" s="1"/>
      <c r="AB5707" s="1"/>
      <c r="AC5707" s="1"/>
      <c r="AD5707" s="1"/>
      <c r="AE5707" s="1"/>
      <c r="AF5707" s="1"/>
      <c r="AG5707" s="1"/>
      <c r="AH5707" s="1"/>
      <c r="AI5707" s="1"/>
      <c r="AJ5707" s="1"/>
      <c r="AK5707" s="1"/>
      <c r="AL5707" s="1"/>
      <c r="AM5707" s="1"/>
    </row>
    <row r="5708" spans="16:39" x14ac:dyDescent="0.25">
      <c r="P5708" s="49"/>
      <c r="Q5708" s="1"/>
      <c r="S5708" s="1"/>
      <c r="T5708" s="1"/>
      <c r="U5708" s="1"/>
      <c r="V5708" s="1"/>
      <c r="W5708" s="1"/>
      <c r="X5708" s="1"/>
      <c r="Y5708" s="1"/>
      <c r="AB5708" s="1"/>
      <c r="AC5708" s="1"/>
      <c r="AD5708" s="1"/>
      <c r="AE5708" s="1"/>
      <c r="AF5708" s="1"/>
      <c r="AG5708" s="1"/>
      <c r="AH5708" s="1"/>
      <c r="AI5708" s="1"/>
      <c r="AJ5708" s="1"/>
      <c r="AK5708" s="1"/>
      <c r="AL5708" s="1"/>
      <c r="AM5708" s="1"/>
    </row>
    <row r="5709" spans="16:39" x14ac:dyDescent="0.25">
      <c r="P5709" s="49"/>
      <c r="Q5709" s="1"/>
      <c r="S5709" s="1"/>
      <c r="T5709" s="1"/>
      <c r="U5709" s="1"/>
      <c r="V5709" s="1"/>
      <c r="W5709" s="1"/>
      <c r="X5709" s="1"/>
      <c r="Y5709" s="1"/>
      <c r="AB5709" s="1"/>
      <c r="AC5709" s="1"/>
      <c r="AD5709" s="1"/>
      <c r="AE5709" s="1"/>
      <c r="AF5709" s="1"/>
      <c r="AG5709" s="1"/>
      <c r="AH5709" s="1"/>
      <c r="AI5709" s="1"/>
      <c r="AJ5709" s="1"/>
      <c r="AK5709" s="1"/>
      <c r="AL5709" s="1"/>
      <c r="AM5709" s="1"/>
    </row>
    <row r="5710" spans="16:39" x14ac:dyDescent="0.25">
      <c r="P5710" s="49"/>
      <c r="Q5710" s="1"/>
      <c r="S5710" s="1"/>
      <c r="T5710" s="1"/>
      <c r="U5710" s="1"/>
      <c r="V5710" s="1"/>
      <c r="W5710" s="1"/>
      <c r="X5710" s="1"/>
      <c r="Y5710" s="1"/>
      <c r="AB5710" s="1"/>
      <c r="AC5710" s="1"/>
      <c r="AD5710" s="1"/>
      <c r="AE5710" s="1"/>
      <c r="AF5710" s="1"/>
      <c r="AG5710" s="1"/>
      <c r="AH5710" s="1"/>
      <c r="AI5710" s="1"/>
      <c r="AJ5710" s="1"/>
      <c r="AK5710" s="1"/>
      <c r="AL5710" s="1"/>
      <c r="AM5710" s="1"/>
    </row>
    <row r="5711" spans="16:39" x14ac:dyDescent="0.25">
      <c r="P5711" s="49"/>
      <c r="Q5711" s="1"/>
      <c r="S5711" s="1"/>
      <c r="T5711" s="1"/>
      <c r="U5711" s="1"/>
      <c r="V5711" s="1"/>
      <c r="W5711" s="1"/>
      <c r="X5711" s="1"/>
      <c r="Y5711" s="1"/>
      <c r="AB5711" s="1"/>
      <c r="AC5711" s="1"/>
      <c r="AD5711" s="1"/>
      <c r="AE5711" s="1"/>
      <c r="AF5711" s="1"/>
      <c r="AG5711" s="1"/>
      <c r="AH5711" s="1"/>
      <c r="AI5711" s="1"/>
      <c r="AJ5711" s="1"/>
      <c r="AK5711" s="1"/>
      <c r="AL5711" s="1"/>
      <c r="AM5711" s="1"/>
    </row>
    <row r="5712" spans="16:39" x14ac:dyDescent="0.25">
      <c r="P5712" s="49"/>
      <c r="Q5712" s="1"/>
      <c r="S5712" s="1"/>
      <c r="T5712" s="1"/>
      <c r="U5712" s="1"/>
      <c r="V5712" s="1"/>
      <c r="W5712" s="1"/>
      <c r="X5712" s="1"/>
      <c r="Y5712" s="1"/>
      <c r="AB5712" s="1"/>
      <c r="AC5712" s="1"/>
      <c r="AD5712" s="1"/>
      <c r="AE5712" s="1"/>
      <c r="AF5712" s="1"/>
      <c r="AG5712" s="1"/>
      <c r="AH5712" s="1"/>
      <c r="AI5712" s="1"/>
      <c r="AJ5712" s="1"/>
      <c r="AK5712" s="1"/>
      <c r="AL5712" s="1"/>
      <c r="AM5712" s="1"/>
    </row>
    <row r="5713" spans="16:39" x14ac:dyDescent="0.25">
      <c r="P5713" s="49"/>
      <c r="Q5713" s="1"/>
      <c r="S5713" s="1"/>
      <c r="T5713" s="1"/>
      <c r="U5713" s="1"/>
      <c r="V5713" s="1"/>
      <c r="W5713" s="1"/>
      <c r="X5713" s="1"/>
      <c r="Y5713" s="1"/>
      <c r="AB5713" s="1"/>
      <c r="AC5713" s="1"/>
      <c r="AD5713" s="1"/>
      <c r="AE5713" s="1"/>
      <c r="AF5713" s="1"/>
      <c r="AG5713" s="1"/>
      <c r="AH5713" s="1"/>
      <c r="AI5713" s="1"/>
      <c r="AJ5713" s="1"/>
      <c r="AK5713" s="1"/>
      <c r="AL5713" s="1"/>
      <c r="AM5713" s="1"/>
    </row>
    <row r="5714" spans="16:39" x14ac:dyDescent="0.25">
      <c r="P5714" s="49"/>
      <c r="Q5714" s="1"/>
      <c r="S5714" s="1"/>
      <c r="T5714" s="1"/>
      <c r="U5714" s="1"/>
      <c r="V5714" s="1"/>
      <c r="W5714" s="1"/>
      <c r="X5714" s="1"/>
      <c r="Y5714" s="1"/>
      <c r="AB5714" s="1"/>
      <c r="AC5714" s="1"/>
      <c r="AD5714" s="1"/>
      <c r="AE5714" s="1"/>
      <c r="AF5714" s="1"/>
      <c r="AG5714" s="1"/>
      <c r="AH5714" s="1"/>
      <c r="AI5714" s="1"/>
      <c r="AJ5714" s="1"/>
      <c r="AK5714" s="1"/>
      <c r="AL5714" s="1"/>
      <c r="AM5714" s="1"/>
    </row>
    <row r="5715" spans="16:39" x14ac:dyDescent="0.25">
      <c r="P5715" s="49"/>
      <c r="Q5715" s="1"/>
      <c r="S5715" s="1"/>
      <c r="T5715" s="1"/>
      <c r="U5715" s="1"/>
      <c r="V5715" s="1"/>
      <c r="W5715" s="1"/>
      <c r="X5715" s="1"/>
      <c r="Y5715" s="1"/>
      <c r="AB5715" s="1"/>
      <c r="AC5715" s="1"/>
      <c r="AD5715" s="1"/>
      <c r="AE5715" s="1"/>
      <c r="AF5715" s="1"/>
      <c r="AG5715" s="1"/>
      <c r="AH5715" s="1"/>
      <c r="AI5715" s="1"/>
      <c r="AJ5715" s="1"/>
      <c r="AK5715" s="1"/>
      <c r="AL5715" s="1"/>
      <c r="AM5715" s="1"/>
    </row>
    <row r="5716" spans="16:39" x14ac:dyDescent="0.25">
      <c r="P5716" s="49"/>
      <c r="Q5716" s="1"/>
      <c r="S5716" s="1"/>
      <c r="T5716" s="1"/>
      <c r="U5716" s="1"/>
      <c r="V5716" s="1"/>
      <c r="W5716" s="1"/>
      <c r="X5716" s="1"/>
      <c r="Y5716" s="1"/>
      <c r="AB5716" s="1"/>
      <c r="AC5716" s="1"/>
      <c r="AD5716" s="1"/>
      <c r="AE5716" s="1"/>
      <c r="AF5716" s="1"/>
      <c r="AG5716" s="1"/>
      <c r="AH5716" s="1"/>
      <c r="AI5716" s="1"/>
      <c r="AJ5716" s="1"/>
      <c r="AK5716" s="1"/>
      <c r="AL5716" s="1"/>
      <c r="AM5716" s="1"/>
    </row>
    <row r="5717" spans="16:39" x14ac:dyDescent="0.25">
      <c r="P5717" s="49"/>
      <c r="Q5717" s="1"/>
      <c r="S5717" s="1"/>
      <c r="T5717" s="1"/>
      <c r="U5717" s="1"/>
      <c r="V5717" s="1"/>
      <c r="W5717" s="1"/>
      <c r="X5717" s="1"/>
      <c r="Y5717" s="1"/>
      <c r="AB5717" s="1"/>
      <c r="AC5717" s="1"/>
      <c r="AD5717" s="1"/>
      <c r="AE5717" s="1"/>
      <c r="AF5717" s="1"/>
      <c r="AG5717" s="1"/>
      <c r="AH5717" s="1"/>
      <c r="AI5717" s="1"/>
      <c r="AJ5717" s="1"/>
      <c r="AK5717" s="1"/>
      <c r="AL5717" s="1"/>
      <c r="AM5717" s="1"/>
    </row>
    <row r="5718" spans="16:39" x14ac:dyDescent="0.25">
      <c r="P5718" s="49"/>
      <c r="Q5718" s="1"/>
      <c r="S5718" s="1"/>
      <c r="T5718" s="1"/>
      <c r="U5718" s="1"/>
      <c r="V5718" s="1"/>
      <c r="W5718" s="1"/>
      <c r="X5718" s="1"/>
      <c r="Y5718" s="1"/>
      <c r="AB5718" s="1"/>
      <c r="AC5718" s="1"/>
      <c r="AD5718" s="1"/>
      <c r="AE5718" s="1"/>
      <c r="AF5718" s="1"/>
      <c r="AG5718" s="1"/>
      <c r="AH5718" s="1"/>
      <c r="AI5718" s="1"/>
      <c r="AJ5718" s="1"/>
      <c r="AK5718" s="1"/>
      <c r="AL5718" s="1"/>
      <c r="AM5718" s="1"/>
    </row>
    <row r="5719" spans="16:39" x14ac:dyDescent="0.25">
      <c r="P5719" s="49"/>
      <c r="Q5719" s="1"/>
      <c r="S5719" s="1"/>
      <c r="T5719" s="1"/>
      <c r="U5719" s="1"/>
      <c r="V5719" s="1"/>
      <c r="W5719" s="1"/>
      <c r="X5719" s="1"/>
      <c r="Y5719" s="1"/>
      <c r="AB5719" s="1"/>
      <c r="AC5719" s="1"/>
      <c r="AD5719" s="1"/>
      <c r="AE5719" s="1"/>
      <c r="AF5719" s="1"/>
      <c r="AG5719" s="1"/>
      <c r="AH5719" s="1"/>
      <c r="AI5719" s="1"/>
      <c r="AJ5719" s="1"/>
      <c r="AK5719" s="1"/>
      <c r="AL5719" s="1"/>
      <c r="AM5719" s="1"/>
    </row>
    <row r="5720" spans="16:39" x14ac:dyDescent="0.25">
      <c r="P5720" s="49"/>
      <c r="Q5720" s="1"/>
      <c r="S5720" s="1"/>
      <c r="T5720" s="1"/>
      <c r="U5720" s="1"/>
      <c r="V5720" s="1"/>
      <c r="W5720" s="1"/>
      <c r="X5720" s="1"/>
      <c r="Y5720" s="1"/>
      <c r="AB5720" s="1"/>
      <c r="AC5720" s="1"/>
      <c r="AD5720" s="1"/>
      <c r="AE5720" s="1"/>
      <c r="AF5720" s="1"/>
      <c r="AG5720" s="1"/>
      <c r="AH5720" s="1"/>
      <c r="AI5720" s="1"/>
      <c r="AJ5720" s="1"/>
      <c r="AK5720" s="1"/>
      <c r="AL5720" s="1"/>
      <c r="AM5720" s="1"/>
    </row>
    <row r="5721" spans="16:39" x14ac:dyDescent="0.25">
      <c r="P5721" s="49"/>
      <c r="Q5721" s="1"/>
      <c r="S5721" s="1"/>
      <c r="T5721" s="1"/>
      <c r="U5721" s="1"/>
      <c r="V5721" s="1"/>
      <c r="W5721" s="1"/>
      <c r="X5721" s="1"/>
      <c r="Y5721" s="1"/>
      <c r="AB5721" s="1"/>
      <c r="AC5721" s="1"/>
      <c r="AD5721" s="1"/>
      <c r="AE5721" s="1"/>
      <c r="AF5721" s="1"/>
      <c r="AG5721" s="1"/>
      <c r="AH5721" s="1"/>
      <c r="AI5721" s="1"/>
      <c r="AJ5721" s="1"/>
      <c r="AK5721" s="1"/>
      <c r="AL5721" s="1"/>
      <c r="AM5721" s="1"/>
    </row>
    <row r="5722" spans="16:39" x14ac:dyDescent="0.25">
      <c r="P5722" s="49"/>
      <c r="Q5722" s="1"/>
      <c r="S5722" s="1"/>
      <c r="T5722" s="1"/>
      <c r="U5722" s="1"/>
      <c r="V5722" s="1"/>
      <c r="W5722" s="1"/>
      <c r="X5722" s="1"/>
      <c r="Y5722" s="1"/>
      <c r="AB5722" s="1"/>
      <c r="AC5722" s="1"/>
      <c r="AD5722" s="1"/>
      <c r="AE5722" s="1"/>
      <c r="AF5722" s="1"/>
      <c r="AG5722" s="1"/>
      <c r="AH5722" s="1"/>
      <c r="AI5722" s="1"/>
      <c r="AJ5722" s="1"/>
      <c r="AK5722" s="1"/>
      <c r="AL5722" s="1"/>
      <c r="AM5722" s="1"/>
    </row>
    <row r="5723" spans="16:39" x14ac:dyDescent="0.25">
      <c r="P5723" s="49"/>
      <c r="Q5723" s="1"/>
      <c r="S5723" s="1"/>
      <c r="T5723" s="1"/>
      <c r="U5723" s="1"/>
      <c r="V5723" s="1"/>
      <c r="W5723" s="1"/>
      <c r="X5723" s="1"/>
      <c r="Y5723" s="1"/>
      <c r="AB5723" s="1"/>
      <c r="AC5723" s="1"/>
      <c r="AD5723" s="1"/>
      <c r="AE5723" s="1"/>
      <c r="AF5723" s="1"/>
      <c r="AG5723" s="1"/>
      <c r="AH5723" s="1"/>
      <c r="AI5723" s="1"/>
      <c r="AJ5723" s="1"/>
      <c r="AK5723" s="1"/>
      <c r="AL5723" s="1"/>
      <c r="AM5723" s="1"/>
    </row>
    <row r="5724" spans="16:39" x14ac:dyDescent="0.25">
      <c r="P5724" s="49"/>
      <c r="Q5724" s="1"/>
      <c r="S5724" s="1"/>
      <c r="T5724" s="1"/>
      <c r="U5724" s="1"/>
      <c r="V5724" s="1"/>
      <c r="W5724" s="1"/>
      <c r="X5724" s="1"/>
      <c r="Y5724" s="1"/>
      <c r="AB5724" s="1"/>
      <c r="AC5724" s="1"/>
      <c r="AD5724" s="1"/>
      <c r="AE5724" s="1"/>
      <c r="AF5724" s="1"/>
      <c r="AG5724" s="1"/>
      <c r="AH5724" s="1"/>
      <c r="AI5724" s="1"/>
      <c r="AJ5724" s="1"/>
      <c r="AK5724" s="1"/>
      <c r="AL5724" s="1"/>
      <c r="AM5724" s="1"/>
    </row>
    <row r="5725" spans="16:39" x14ac:dyDescent="0.25">
      <c r="P5725" s="49"/>
      <c r="Q5725" s="1"/>
      <c r="S5725" s="1"/>
      <c r="T5725" s="1"/>
      <c r="U5725" s="1"/>
      <c r="V5725" s="1"/>
      <c r="W5725" s="1"/>
      <c r="X5725" s="1"/>
      <c r="Y5725" s="1"/>
      <c r="AB5725" s="1"/>
      <c r="AC5725" s="1"/>
      <c r="AD5725" s="1"/>
      <c r="AE5725" s="1"/>
      <c r="AF5725" s="1"/>
      <c r="AG5725" s="1"/>
      <c r="AH5725" s="1"/>
      <c r="AI5725" s="1"/>
      <c r="AJ5725" s="1"/>
      <c r="AK5725" s="1"/>
      <c r="AL5725" s="1"/>
      <c r="AM5725" s="1"/>
    </row>
    <row r="5726" spans="16:39" x14ac:dyDescent="0.25">
      <c r="P5726" s="49"/>
      <c r="Q5726" s="1"/>
      <c r="S5726" s="1"/>
      <c r="T5726" s="1"/>
      <c r="U5726" s="1"/>
      <c r="V5726" s="1"/>
      <c r="W5726" s="1"/>
      <c r="X5726" s="1"/>
      <c r="Y5726" s="1"/>
      <c r="AB5726" s="1"/>
      <c r="AC5726" s="1"/>
      <c r="AD5726" s="1"/>
      <c r="AE5726" s="1"/>
      <c r="AF5726" s="1"/>
      <c r="AG5726" s="1"/>
      <c r="AH5726" s="1"/>
      <c r="AI5726" s="1"/>
      <c r="AJ5726" s="1"/>
      <c r="AK5726" s="1"/>
      <c r="AL5726" s="1"/>
      <c r="AM5726" s="1"/>
    </row>
    <row r="5727" spans="16:39" x14ac:dyDescent="0.25">
      <c r="P5727" s="49"/>
      <c r="Q5727" s="1"/>
      <c r="S5727" s="1"/>
      <c r="T5727" s="1"/>
      <c r="U5727" s="1"/>
      <c r="V5727" s="1"/>
      <c r="W5727" s="1"/>
      <c r="X5727" s="1"/>
      <c r="Y5727" s="1"/>
      <c r="AB5727" s="1"/>
      <c r="AC5727" s="1"/>
      <c r="AD5727" s="1"/>
      <c r="AE5727" s="1"/>
      <c r="AF5727" s="1"/>
      <c r="AG5727" s="1"/>
      <c r="AH5727" s="1"/>
      <c r="AI5727" s="1"/>
      <c r="AJ5727" s="1"/>
      <c r="AK5727" s="1"/>
      <c r="AL5727" s="1"/>
      <c r="AM5727" s="1"/>
    </row>
    <row r="5728" spans="16:39" x14ac:dyDescent="0.25">
      <c r="P5728" s="49"/>
      <c r="Q5728" s="1"/>
      <c r="S5728" s="1"/>
      <c r="T5728" s="1"/>
      <c r="U5728" s="1"/>
      <c r="V5728" s="1"/>
      <c r="W5728" s="1"/>
      <c r="X5728" s="1"/>
      <c r="Y5728" s="1"/>
      <c r="AB5728" s="1"/>
      <c r="AC5728" s="1"/>
      <c r="AD5728" s="1"/>
      <c r="AE5728" s="1"/>
      <c r="AF5728" s="1"/>
      <c r="AG5728" s="1"/>
      <c r="AH5728" s="1"/>
      <c r="AI5728" s="1"/>
      <c r="AJ5728" s="1"/>
      <c r="AK5728" s="1"/>
      <c r="AL5728" s="1"/>
      <c r="AM5728" s="1"/>
    </row>
    <row r="5729" spans="16:39" x14ac:dyDescent="0.25">
      <c r="P5729" s="49"/>
      <c r="Q5729" s="1"/>
      <c r="S5729" s="1"/>
      <c r="T5729" s="1"/>
      <c r="U5729" s="1"/>
      <c r="V5729" s="1"/>
      <c r="W5729" s="1"/>
      <c r="X5729" s="1"/>
      <c r="Y5729" s="1"/>
      <c r="AB5729" s="1"/>
      <c r="AC5729" s="1"/>
      <c r="AD5729" s="1"/>
      <c r="AE5729" s="1"/>
      <c r="AF5729" s="1"/>
      <c r="AG5729" s="1"/>
      <c r="AH5729" s="1"/>
      <c r="AI5729" s="1"/>
      <c r="AJ5729" s="1"/>
      <c r="AK5729" s="1"/>
      <c r="AL5729" s="1"/>
      <c r="AM5729" s="1"/>
    </row>
    <row r="5730" spans="16:39" x14ac:dyDescent="0.25">
      <c r="P5730" s="49"/>
      <c r="Q5730" s="1"/>
      <c r="S5730" s="1"/>
      <c r="T5730" s="1"/>
      <c r="U5730" s="1"/>
      <c r="V5730" s="1"/>
      <c r="W5730" s="1"/>
      <c r="X5730" s="1"/>
      <c r="Y5730" s="1"/>
      <c r="AB5730" s="1"/>
      <c r="AC5730" s="1"/>
      <c r="AD5730" s="1"/>
      <c r="AE5730" s="1"/>
      <c r="AF5730" s="1"/>
      <c r="AG5730" s="1"/>
      <c r="AH5730" s="1"/>
      <c r="AI5730" s="1"/>
      <c r="AJ5730" s="1"/>
      <c r="AK5730" s="1"/>
      <c r="AL5730" s="1"/>
      <c r="AM5730" s="1"/>
    </row>
    <row r="5731" spans="16:39" x14ac:dyDescent="0.25">
      <c r="P5731" s="49"/>
      <c r="Q5731" s="1"/>
      <c r="S5731" s="1"/>
      <c r="T5731" s="1"/>
      <c r="U5731" s="1"/>
      <c r="V5731" s="1"/>
      <c r="W5731" s="1"/>
      <c r="X5731" s="1"/>
      <c r="Y5731" s="1"/>
      <c r="AB5731" s="1"/>
      <c r="AC5731" s="1"/>
      <c r="AD5731" s="1"/>
      <c r="AE5731" s="1"/>
      <c r="AF5731" s="1"/>
      <c r="AG5731" s="1"/>
      <c r="AH5731" s="1"/>
      <c r="AI5731" s="1"/>
      <c r="AJ5731" s="1"/>
      <c r="AK5731" s="1"/>
      <c r="AL5731" s="1"/>
      <c r="AM5731" s="1"/>
    </row>
    <row r="5732" spans="16:39" x14ac:dyDescent="0.25">
      <c r="P5732" s="49"/>
      <c r="Q5732" s="1"/>
      <c r="S5732" s="1"/>
      <c r="T5732" s="1"/>
      <c r="U5732" s="1"/>
      <c r="V5732" s="1"/>
      <c r="W5732" s="1"/>
      <c r="X5732" s="1"/>
      <c r="Y5732" s="1"/>
      <c r="AB5732" s="1"/>
      <c r="AC5732" s="1"/>
      <c r="AD5732" s="1"/>
      <c r="AE5732" s="1"/>
      <c r="AF5732" s="1"/>
      <c r="AG5732" s="1"/>
      <c r="AH5732" s="1"/>
      <c r="AI5732" s="1"/>
      <c r="AJ5732" s="1"/>
      <c r="AK5732" s="1"/>
      <c r="AL5732" s="1"/>
      <c r="AM5732" s="1"/>
    </row>
    <row r="5733" spans="16:39" x14ac:dyDescent="0.25">
      <c r="P5733" s="49"/>
      <c r="Q5733" s="1"/>
      <c r="S5733" s="1"/>
      <c r="T5733" s="1"/>
      <c r="U5733" s="1"/>
      <c r="V5733" s="1"/>
      <c r="W5733" s="1"/>
      <c r="X5733" s="1"/>
      <c r="Y5733" s="1"/>
      <c r="AB5733" s="1"/>
      <c r="AC5733" s="1"/>
      <c r="AD5733" s="1"/>
      <c r="AE5733" s="1"/>
      <c r="AF5733" s="1"/>
      <c r="AG5733" s="1"/>
      <c r="AH5733" s="1"/>
      <c r="AI5733" s="1"/>
      <c r="AJ5733" s="1"/>
      <c r="AK5733" s="1"/>
      <c r="AL5733" s="1"/>
      <c r="AM5733" s="1"/>
    </row>
    <row r="5734" spans="16:39" x14ac:dyDescent="0.25">
      <c r="P5734" s="49"/>
      <c r="Q5734" s="1"/>
      <c r="S5734" s="1"/>
      <c r="T5734" s="1"/>
      <c r="U5734" s="1"/>
      <c r="V5734" s="1"/>
      <c r="W5734" s="1"/>
      <c r="X5734" s="1"/>
      <c r="Y5734" s="1"/>
      <c r="AB5734" s="1"/>
      <c r="AC5734" s="1"/>
      <c r="AD5734" s="1"/>
      <c r="AE5734" s="1"/>
      <c r="AF5734" s="1"/>
      <c r="AG5734" s="1"/>
      <c r="AH5734" s="1"/>
      <c r="AI5734" s="1"/>
      <c r="AJ5734" s="1"/>
      <c r="AK5734" s="1"/>
      <c r="AL5734" s="1"/>
      <c r="AM5734" s="1"/>
    </row>
    <row r="5735" spans="16:39" x14ac:dyDescent="0.25">
      <c r="P5735" s="49"/>
      <c r="Q5735" s="1"/>
      <c r="S5735" s="1"/>
      <c r="T5735" s="1"/>
      <c r="U5735" s="1"/>
      <c r="V5735" s="1"/>
      <c r="W5735" s="1"/>
      <c r="X5735" s="1"/>
      <c r="Y5735" s="1"/>
      <c r="AB5735" s="1"/>
      <c r="AC5735" s="1"/>
      <c r="AD5735" s="1"/>
      <c r="AE5735" s="1"/>
      <c r="AF5735" s="1"/>
      <c r="AG5735" s="1"/>
      <c r="AH5735" s="1"/>
      <c r="AI5735" s="1"/>
      <c r="AJ5735" s="1"/>
      <c r="AK5735" s="1"/>
      <c r="AL5735" s="1"/>
      <c r="AM5735" s="1"/>
    </row>
    <row r="5736" spans="16:39" x14ac:dyDescent="0.25">
      <c r="P5736" s="49"/>
      <c r="Q5736" s="1"/>
      <c r="S5736" s="1"/>
      <c r="T5736" s="1"/>
      <c r="U5736" s="1"/>
      <c r="V5736" s="1"/>
      <c r="W5736" s="1"/>
      <c r="X5736" s="1"/>
      <c r="Y5736" s="1"/>
      <c r="AB5736" s="1"/>
      <c r="AC5736" s="1"/>
      <c r="AD5736" s="1"/>
      <c r="AE5736" s="1"/>
      <c r="AF5736" s="1"/>
      <c r="AG5736" s="1"/>
      <c r="AH5736" s="1"/>
      <c r="AI5736" s="1"/>
      <c r="AJ5736" s="1"/>
      <c r="AK5736" s="1"/>
      <c r="AL5736" s="1"/>
      <c r="AM5736" s="1"/>
    </row>
    <row r="5737" spans="16:39" x14ac:dyDescent="0.25">
      <c r="P5737" s="49"/>
      <c r="Q5737" s="1"/>
      <c r="S5737" s="1"/>
      <c r="T5737" s="1"/>
      <c r="U5737" s="1"/>
      <c r="V5737" s="1"/>
      <c r="W5737" s="1"/>
      <c r="X5737" s="1"/>
      <c r="Y5737" s="1"/>
      <c r="AB5737" s="1"/>
      <c r="AC5737" s="1"/>
      <c r="AD5737" s="1"/>
      <c r="AE5737" s="1"/>
      <c r="AF5737" s="1"/>
      <c r="AG5737" s="1"/>
      <c r="AH5737" s="1"/>
      <c r="AI5737" s="1"/>
      <c r="AJ5737" s="1"/>
      <c r="AK5737" s="1"/>
      <c r="AL5737" s="1"/>
      <c r="AM5737" s="1"/>
    </row>
    <row r="5738" spans="16:39" x14ac:dyDescent="0.25">
      <c r="P5738" s="49"/>
      <c r="Q5738" s="1"/>
      <c r="S5738" s="1"/>
      <c r="T5738" s="1"/>
      <c r="U5738" s="1"/>
      <c r="V5738" s="1"/>
      <c r="W5738" s="1"/>
      <c r="X5738" s="1"/>
      <c r="Y5738" s="1"/>
      <c r="AB5738" s="1"/>
      <c r="AC5738" s="1"/>
      <c r="AD5738" s="1"/>
      <c r="AE5738" s="1"/>
      <c r="AF5738" s="1"/>
      <c r="AG5738" s="1"/>
      <c r="AH5738" s="1"/>
      <c r="AI5738" s="1"/>
      <c r="AJ5738" s="1"/>
      <c r="AK5738" s="1"/>
      <c r="AL5738" s="1"/>
      <c r="AM5738" s="1"/>
    </row>
    <row r="5739" spans="16:39" x14ac:dyDescent="0.25">
      <c r="P5739" s="49"/>
      <c r="Q5739" s="1"/>
      <c r="S5739" s="1"/>
      <c r="T5739" s="1"/>
      <c r="U5739" s="1"/>
      <c r="V5739" s="1"/>
      <c r="W5739" s="1"/>
      <c r="X5739" s="1"/>
      <c r="Y5739" s="1"/>
      <c r="AB5739" s="1"/>
      <c r="AC5739" s="1"/>
      <c r="AD5739" s="1"/>
      <c r="AE5739" s="1"/>
      <c r="AF5739" s="1"/>
      <c r="AG5739" s="1"/>
      <c r="AH5739" s="1"/>
      <c r="AI5739" s="1"/>
      <c r="AJ5739" s="1"/>
      <c r="AK5739" s="1"/>
      <c r="AL5739" s="1"/>
      <c r="AM5739" s="1"/>
    </row>
    <row r="5740" spans="16:39" x14ac:dyDescent="0.25">
      <c r="P5740" s="49"/>
      <c r="Q5740" s="1"/>
      <c r="S5740" s="1"/>
      <c r="T5740" s="1"/>
      <c r="U5740" s="1"/>
      <c r="V5740" s="1"/>
      <c r="W5740" s="1"/>
      <c r="X5740" s="1"/>
      <c r="Y5740" s="1"/>
      <c r="AB5740" s="1"/>
      <c r="AC5740" s="1"/>
      <c r="AD5740" s="1"/>
      <c r="AE5740" s="1"/>
      <c r="AF5740" s="1"/>
      <c r="AG5740" s="1"/>
      <c r="AH5740" s="1"/>
      <c r="AI5740" s="1"/>
      <c r="AJ5740" s="1"/>
      <c r="AK5740" s="1"/>
      <c r="AL5740" s="1"/>
      <c r="AM5740" s="1"/>
    </row>
    <row r="5741" spans="16:39" x14ac:dyDescent="0.25">
      <c r="P5741" s="49"/>
      <c r="Q5741" s="1"/>
      <c r="S5741" s="1"/>
      <c r="T5741" s="1"/>
      <c r="U5741" s="1"/>
      <c r="V5741" s="1"/>
      <c r="W5741" s="1"/>
      <c r="X5741" s="1"/>
      <c r="Y5741" s="1"/>
      <c r="AB5741" s="1"/>
      <c r="AC5741" s="1"/>
      <c r="AD5741" s="1"/>
      <c r="AE5741" s="1"/>
      <c r="AF5741" s="1"/>
      <c r="AG5741" s="1"/>
      <c r="AH5741" s="1"/>
      <c r="AI5741" s="1"/>
      <c r="AJ5741" s="1"/>
      <c r="AK5741" s="1"/>
      <c r="AL5741" s="1"/>
      <c r="AM5741" s="1"/>
    </row>
    <row r="5742" spans="16:39" x14ac:dyDescent="0.25">
      <c r="P5742" s="49"/>
      <c r="Q5742" s="1"/>
      <c r="S5742" s="1"/>
      <c r="T5742" s="1"/>
      <c r="U5742" s="1"/>
      <c r="V5742" s="1"/>
      <c r="W5742" s="1"/>
      <c r="X5742" s="1"/>
      <c r="Y5742" s="1"/>
      <c r="AB5742" s="1"/>
      <c r="AC5742" s="1"/>
      <c r="AD5742" s="1"/>
      <c r="AE5742" s="1"/>
      <c r="AF5742" s="1"/>
      <c r="AG5742" s="1"/>
      <c r="AH5742" s="1"/>
      <c r="AI5742" s="1"/>
      <c r="AJ5742" s="1"/>
      <c r="AK5742" s="1"/>
      <c r="AL5742" s="1"/>
      <c r="AM5742" s="1"/>
    </row>
    <row r="5743" spans="16:39" x14ac:dyDescent="0.25">
      <c r="P5743" s="49"/>
      <c r="Q5743" s="1"/>
      <c r="S5743" s="1"/>
      <c r="T5743" s="1"/>
      <c r="U5743" s="1"/>
      <c r="V5743" s="1"/>
      <c r="W5743" s="1"/>
      <c r="X5743" s="1"/>
      <c r="Y5743" s="1"/>
      <c r="AB5743" s="1"/>
      <c r="AC5743" s="1"/>
      <c r="AD5743" s="1"/>
      <c r="AE5743" s="1"/>
      <c r="AF5743" s="1"/>
      <c r="AG5743" s="1"/>
      <c r="AH5743" s="1"/>
      <c r="AI5743" s="1"/>
      <c r="AJ5743" s="1"/>
      <c r="AK5743" s="1"/>
      <c r="AL5743" s="1"/>
      <c r="AM5743" s="1"/>
    </row>
    <row r="5744" spans="16:39" x14ac:dyDescent="0.25">
      <c r="P5744" s="49"/>
      <c r="Q5744" s="1"/>
      <c r="S5744" s="1"/>
      <c r="T5744" s="1"/>
      <c r="U5744" s="1"/>
      <c r="V5744" s="1"/>
      <c r="W5744" s="1"/>
      <c r="X5744" s="1"/>
      <c r="Y5744" s="1"/>
      <c r="AB5744" s="1"/>
      <c r="AC5744" s="1"/>
      <c r="AD5744" s="1"/>
      <c r="AE5744" s="1"/>
      <c r="AF5744" s="1"/>
      <c r="AG5744" s="1"/>
      <c r="AH5744" s="1"/>
      <c r="AI5744" s="1"/>
      <c r="AJ5744" s="1"/>
      <c r="AK5744" s="1"/>
      <c r="AL5744" s="1"/>
      <c r="AM5744" s="1"/>
    </row>
    <row r="5745" spans="16:39" x14ac:dyDescent="0.25">
      <c r="P5745" s="49"/>
      <c r="Q5745" s="1"/>
      <c r="S5745" s="1"/>
      <c r="T5745" s="1"/>
      <c r="U5745" s="1"/>
      <c r="V5745" s="1"/>
      <c r="W5745" s="1"/>
      <c r="X5745" s="1"/>
      <c r="Y5745" s="1"/>
      <c r="AB5745" s="1"/>
      <c r="AC5745" s="1"/>
      <c r="AD5745" s="1"/>
      <c r="AE5745" s="1"/>
      <c r="AF5745" s="1"/>
      <c r="AG5745" s="1"/>
      <c r="AH5745" s="1"/>
      <c r="AI5745" s="1"/>
      <c r="AJ5745" s="1"/>
      <c r="AK5745" s="1"/>
      <c r="AL5745" s="1"/>
      <c r="AM5745" s="1"/>
    </row>
    <row r="5746" spans="16:39" x14ac:dyDescent="0.25">
      <c r="P5746" s="49"/>
      <c r="Q5746" s="1"/>
      <c r="S5746" s="1"/>
      <c r="T5746" s="1"/>
      <c r="U5746" s="1"/>
      <c r="V5746" s="1"/>
      <c r="W5746" s="1"/>
      <c r="X5746" s="1"/>
      <c r="Y5746" s="1"/>
      <c r="AB5746" s="1"/>
      <c r="AC5746" s="1"/>
      <c r="AD5746" s="1"/>
      <c r="AE5746" s="1"/>
      <c r="AF5746" s="1"/>
      <c r="AG5746" s="1"/>
      <c r="AH5746" s="1"/>
      <c r="AI5746" s="1"/>
      <c r="AJ5746" s="1"/>
      <c r="AK5746" s="1"/>
      <c r="AL5746" s="1"/>
      <c r="AM5746" s="1"/>
    </row>
    <row r="5747" spans="16:39" x14ac:dyDescent="0.25">
      <c r="P5747" s="49"/>
      <c r="Q5747" s="1"/>
      <c r="S5747" s="1"/>
      <c r="T5747" s="1"/>
      <c r="U5747" s="1"/>
      <c r="V5747" s="1"/>
      <c r="W5747" s="1"/>
      <c r="X5747" s="1"/>
      <c r="Y5747" s="1"/>
      <c r="AB5747" s="1"/>
      <c r="AC5747" s="1"/>
      <c r="AD5747" s="1"/>
      <c r="AE5747" s="1"/>
      <c r="AF5747" s="1"/>
      <c r="AG5747" s="1"/>
      <c r="AH5747" s="1"/>
      <c r="AI5747" s="1"/>
      <c r="AJ5747" s="1"/>
      <c r="AK5747" s="1"/>
      <c r="AL5747" s="1"/>
      <c r="AM5747" s="1"/>
    </row>
    <row r="5748" spans="16:39" x14ac:dyDescent="0.25">
      <c r="P5748" s="49"/>
      <c r="Q5748" s="1"/>
      <c r="S5748" s="1"/>
      <c r="T5748" s="1"/>
      <c r="U5748" s="1"/>
      <c r="V5748" s="1"/>
      <c r="W5748" s="1"/>
      <c r="X5748" s="1"/>
      <c r="Y5748" s="1"/>
      <c r="AB5748" s="1"/>
      <c r="AC5748" s="1"/>
      <c r="AD5748" s="1"/>
      <c r="AE5748" s="1"/>
      <c r="AF5748" s="1"/>
      <c r="AG5748" s="1"/>
      <c r="AH5748" s="1"/>
      <c r="AI5748" s="1"/>
      <c r="AJ5748" s="1"/>
      <c r="AK5748" s="1"/>
      <c r="AL5748" s="1"/>
      <c r="AM5748" s="1"/>
    </row>
    <row r="5749" spans="16:39" x14ac:dyDescent="0.25">
      <c r="P5749" s="49"/>
      <c r="Q5749" s="1"/>
      <c r="S5749" s="1"/>
      <c r="T5749" s="1"/>
      <c r="U5749" s="1"/>
      <c r="V5749" s="1"/>
      <c r="W5749" s="1"/>
      <c r="X5749" s="1"/>
      <c r="Y5749" s="1"/>
      <c r="AB5749" s="1"/>
      <c r="AC5749" s="1"/>
      <c r="AD5749" s="1"/>
      <c r="AE5749" s="1"/>
      <c r="AF5749" s="1"/>
      <c r="AG5749" s="1"/>
      <c r="AH5749" s="1"/>
      <c r="AI5749" s="1"/>
      <c r="AJ5749" s="1"/>
      <c r="AK5749" s="1"/>
      <c r="AL5749" s="1"/>
      <c r="AM5749" s="1"/>
    </row>
    <row r="5750" spans="16:39" x14ac:dyDescent="0.25">
      <c r="P5750" s="49"/>
      <c r="Q5750" s="1"/>
      <c r="S5750" s="1"/>
      <c r="T5750" s="1"/>
      <c r="U5750" s="1"/>
      <c r="V5750" s="1"/>
      <c r="W5750" s="1"/>
      <c r="X5750" s="1"/>
      <c r="Y5750" s="1"/>
      <c r="AB5750" s="1"/>
      <c r="AC5750" s="1"/>
      <c r="AD5750" s="1"/>
      <c r="AE5750" s="1"/>
      <c r="AF5750" s="1"/>
      <c r="AG5750" s="1"/>
      <c r="AH5750" s="1"/>
      <c r="AI5750" s="1"/>
      <c r="AJ5750" s="1"/>
      <c r="AK5750" s="1"/>
      <c r="AL5750" s="1"/>
      <c r="AM5750" s="1"/>
    </row>
    <row r="5751" spans="16:39" x14ac:dyDescent="0.25">
      <c r="P5751" s="49"/>
      <c r="Q5751" s="1"/>
      <c r="S5751" s="1"/>
      <c r="T5751" s="1"/>
      <c r="U5751" s="1"/>
      <c r="V5751" s="1"/>
      <c r="W5751" s="1"/>
      <c r="X5751" s="1"/>
      <c r="Y5751" s="1"/>
      <c r="AB5751" s="1"/>
      <c r="AC5751" s="1"/>
      <c r="AD5751" s="1"/>
      <c r="AE5751" s="1"/>
      <c r="AF5751" s="1"/>
      <c r="AG5751" s="1"/>
      <c r="AH5751" s="1"/>
      <c r="AI5751" s="1"/>
      <c r="AJ5751" s="1"/>
      <c r="AK5751" s="1"/>
      <c r="AL5751" s="1"/>
      <c r="AM5751" s="1"/>
    </row>
    <row r="5752" spans="16:39" x14ac:dyDescent="0.25">
      <c r="P5752" s="49"/>
      <c r="Q5752" s="1"/>
      <c r="S5752" s="1"/>
      <c r="T5752" s="1"/>
      <c r="U5752" s="1"/>
      <c r="V5752" s="1"/>
      <c r="W5752" s="1"/>
      <c r="X5752" s="1"/>
      <c r="Y5752" s="1"/>
      <c r="AB5752" s="1"/>
      <c r="AC5752" s="1"/>
      <c r="AD5752" s="1"/>
      <c r="AE5752" s="1"/>
      <c r="AF5752" s="1"/>
      <c r="AG5752" s="1"/>
      <c r="AH5752" s="1"/>
      <c r="AI5752" s="1"/>
      <c r="AJ5752" s="1"/>
      <c r="AK5752" s="1"/>
      <c r="AL5752" s="1"/>
      <c r="AM5752" s="1"/>
    </row>
    <row r="5753" spans="16:39" x14ac:dyDescent="0.25">
      <c r="P5753" s="49"/>
      <c r="Q5753" s="1"/>
      <c r="S5753" s="1"/>
      <c r="T5753" s="1"/>
      <c r="U5753" s="1"/>
      <c r="V5753" s="1"/>
      <c r="W5753" s="1"/>
      <c r="X5753" s="1"/>
      <c r="Y5753" s="1"/>
      <c r="AB5753" s="1"/>
      <c r="AC5753" s="1"/>
      <c r="AD5753" s="1"/>
      <c r="AE5753" s="1"/>
      <c r="AF5753" s="1"/>
      <c r="AG5753" s="1"/>
      <c r="AH5753" s="1"/>
      <c r="AI5753" s="1"/>
      <c r="AJ5753" s="1"/>
      <c r="AK5753" s="1"/>
      <c r="AL5753" s="1"/>
      <c r="AM5753" s="1"/>
    </row>
    <row r="5754" spans="16:39" x14ac:dyDescent="0.25">
      <c r="P5754" s="49"/>
      <c r="Q5754" s="1"/>
      <c r="S5754" s="1"/>
      <c r="T5754" s="1"/>
      <c r="U5754" s="1"/>
      <c r="V5754" s="1"/>
      <c r="W5754" s="1"/>
      <c r="X5754" s="1"/>
      <c r="Y5754" s="1"/>
      <c r="AB5754" s="1"/>
      <c r="AC5754" s="1"/>
      <c r="AD5754" s="1"/>
      <c r="AE5754" s="1"/>
      <c r="AF5754" s="1"/>
      <c r="AG5754" s="1"/>
      <c r="AH5754" s="1"/>
      <c r="AI5754" s="1"/>
      <c r="AJ5754" s="1"/>
      <c r="AK5754" s="1"/>
      <c r="AL5754" s="1"/>
      <c r="AM5754" s="1"/>
    </row>
    <row r="5755" spans="16:39" x14ac:dyDescent="0.25">
      <c r="P5755" s="49"/>
      <c r="Q5755" s="1"/>
      <c r="S5755" s="1"/>
      <c r="T5755" s="1"/>
      <c r="U5755" s="1"/>
      <c r="V5755" s="1"/>
      <c r="W5755" s="1"/>
      <c r="X5755" s="1"/>
      <c r="Y5755" s="1"/>
      <c r="AB5755" s="1"/>
      <c r="AC5755" s="1"/>
      <c r="AD5755" s="1"/>
      <c r="AE5755" s="1"/>
      <c r="AF5755" s="1"/>
      <c r="AG5755" s="1"/>
      <c r="AH5755" s="1"/>
      <c r="AI5755" s="1"/>
      <c r="AJ5755" s="1"/>
      <c r="AK5755" s="1"/>
      <c r="AL5755" s="1"/>
      <c r="AM5755" s="1"/>
    </row>
    <row r="5756" spans="16:39" x14ac:dyDescent="0.25">
      <c r="P5756" s="49"/>
      <c r="Q5756" s="1"/>
      <c r="S5756" s="1"/>
      <c r="T5756" s="1"/>
      <c r="U5756" s="1"/>
      <c r="V5756" s="1"/>
      <c r="W5756" s="1"/>
      <c r="X5756" s="1"/>
      <c r="Y5756" s="1"/>
      <c r="AB5756" s="1"/>
      <c r="AC5756" s="1"/>
      <c r="AD5756" s="1"/>
      <c r="AE5756" s="1"/>
      <c r="AF5756" s="1"/>
      <c r="AG5756" s="1"/>
      <c r="AH5756" s="1"/>
      <c r="AI5756" s="1"/>
      <c r="AJ5756" s="1"/>
      <c r="AK5756" s="1"/>
      <c r="AL5756" s="1"/>
      <c r="AM5756" s="1"/>
    </row>
    <row r="5757" spans="16:39" x14ac:dyDescent="0.25">
      <c r="P5757" s="49"/>
      <c r="Q5757" s="1"/>
      <c r="S5757" s="1"/>
      <c r="T5757" s="1"/>
      <c r="U5757" s="1"/>
      <c r="V5757" s="1"/>
      <c r="W5757" s="1"/>
      <c r="X5757" s="1"/>
      <c r="Y5757" s="1"/>
      <c r="AB5757" s="1"/>
      <c r="AC5757" s="1"/>
      <c r="AD5757" s="1"/>
      <c r="AE5757" s="1"/>
      <c r="AF5757" s="1"/>
      <c r="AG5757" s="1"/>
      <c r="AH5757" s="1"/>
      <c r="AI5757" s="1"/>
      <c r="AJ5757" s="1"/>
      <c r="AK5757" s="1"/>
      <c r="AL5757" s="1"/>
      <c r="AM5757" s="1"/>
    </row>
    <row r="5758" spans="16:39" x14ac:dyDescent="0.25">
      <c r="P5758" s="49"/>
      <c r="Q5758" s="1"/>
      <c r="S5758" s="1"/>
      <c r="T5758" s="1"/>
      <c r="U5758" s="1"/>
      <c r="V5758" s="1"/>
      <c r="W5758" s="1"/>
      <c r="X5758" s="1"/>
      <c r="Y5758" s="1"/>
      <c r="AB5758" s="1"/>
      <c r="AC5758" s="1"/>
      <c r="AD5758" s="1"/>
      <c r="AE5758" s="1"/>
      <c r="AF5758" s="1"/>
      <c r="AG5758" s="1"/>
      <c r="AH5758" s="1"/>
      <c r="AI5758" s="1"/>
      <c r="AJ5758" s="1"/>
      <c r="AK5758" s="1"/>
      <c r="AL5758" s="1"/>
      <c r="AM5758" s="1"/>
    </row>
    <row r="5759" spans="16:39" x14ac:dyDescent="0.25">
      <c r="P5759" s="49"/>
      <c r="Q5759" s="1"/>
      <c r="S5759" s="1"/>
      <c r="T5759" s="1"/>
      <c r="U5759" s="1"/>
      <c r="V5759" s="1"/>
      <c r="W5759" s="1"/>
      <c r="X5759" s="1"/>
      <c r="Y5759" s="1"/>
      <c r="AB5759" s="1"/>
      <c r="AC5759" s="1"/>
      <c r="AD5759" s="1"/>
      <c r="AE5759" s="1"/>
      <c r="AF5759" s="1"/>
      <c r="AG5759" s="1"/>
      <c r="AH5759" s="1"/>
      <c r="AI5759" s="1"/>
      <c r="AJ5759" s="1"/>
      <c r="AK5759" s="1"/>
      <c r="AL5759" s="1"/>
      <c r="AM5759" s="1"/>
    </row>
    <row r="5760" spans="16:39" x14ac:dyDescent="0.25">
      <c r="P5760" s="49"/>
      <c r="Q5760" s="1"/>
      <c r="S5760" s="1"/>
      <c r="T5760" s="1"/>
      <c r="U5760" s="1"/>
      <c r="V5760" s="1"/>
      <c r="W5760" s="1"/>
      <c r="X5760" s="1"/>
      <c r="Y5760" s="1"/>
      <c r="AB5760" s="1"/>
      <c r="AC5760" s="1"/>
      <c r="AD5760" s="1"/>
      <c r="AE5760" s="1"/>
      <c r="AF5760" s="1"/>
      <c r="AG5760" s="1"/>
      <c r="AH5760" s="1"/>
      <c r="AI5760" s="1"/>
      <c r="AJ5760" s="1"/>
      <c r="AK5760" s="1"/>
      <c r="AL5760" s="1"/>
      <c r="AM5760" s="1"/>
    </row>
    <row r="5761" spans="16:39" x14ac:dyDescent="0.25">
      <c r="P5761" s="49"/>
      <c r="Q5761" s="1"/>
      <c r="S5761" s="1"/>
      <c r="T5761" s="1"/>
      <c r="U5761" s="1"/>
      <c r="V5761" s="1"/>
      <c r="W5761" s="1"/>
      <c r="X5761" s="1"/>
      <c r="Y5761" s="1"/>
      <c r="AB5761" s="1"/>
      <c r="AC5761" s="1"/>
      <c r="AD5761" s="1"/>
      <c r="AE5761" s="1"/>
      <c r="AF5761" s="1"/>
      <c r="AG5761" s="1"/>
      <c r="AH5761" s="1"/>
      <c r="AI5761" s="1"/>
      <c r="AJ5761" s="1"/>
      <c r="AK5761" s="1"/>
      <c r="AL5761" s="1"/>
      <c r="AM5761" s="1"/>
    </row>
    <row r="5762" spans="16:39" x14ac:dyDescent="0.25">
      <c r="P5762" s="49"/>
      <c r="Q5762" s="1"/>
      <c r="S5762" s="1"/>
      <c r="T5762" s="1"/>
      <c r="U5762" s="1"/>
      <c r="V5762" s="1"/>
      <c r="W5762" s="1"/>
      <c r="X5762" s="1"/>
      <c r="Y5762" s="1"/>
      <c r="AB5762" s="1"/>
      <c r="AC5762" s="1"/>
      <c r="AD5762" s="1"/>
      <c r="AE5762" s="1"/>
      <c r="AF5762" s="1"/>
      <c r="AG5762" s="1"/>
      <c r="AH5762" s="1"/>
      <c r="AI5762" s="1"/>
      <c r="AJ5762" s="1"/>
      <c r="AK5762" s="1"/>
      <c r="AL5762" s="1"/>
      <c r="AM5762" s="1"/>
    </row>
    <row r="5763" spans="16:39" x14ac:dyDescent="0.25">
      <c r="P5763" s="49"/>
      <c r="Q5763" s="1"/>
      <c r="S5763" s="1"/>
      <c r="T5763" s="1"/>
      <c r="U5763" s="1"/>
      <c r="V5763" s="1"/>
      <c r="W5763" s="1"/>
      <c r="X5763" s="1"/>
      <c r="Y5763" s="1"/>
      <c r="AB5763" s="1"/>
      <c r="AC5763" s="1"/>
      <c r="AD5763" s="1"/>
      <c r="AE5763" s="1"/>
      <c r="AF5763" s="1"/>
      <c r="AG5763" s="1"/>
      <c r="AH5763" s="1"/>
      <c r="AI5763" s="1"/>
      <c r="AJ5763" s="1"/>
      <c r="AK5763" s="1"/>
      <c r="AL5763" s="1"/>
      <c r="AM5763" s="1"/>
    </row>
    <row r="5764" spans="16:39" x14ac:dyDescent="0.25">
      <c r="P5764" s="49"/>
      <c r="Q5764" s="1"/>
      <c r="S5764" s="1"/>
      <c r="T5764" s="1"/>
      <c r="U5764" s="1"/>
      <c r="V5764" s="1"/>
      <c r="W5764" s="1"/>
      <c r="X5764" s="1"/>
      <c r="Y5764" s="1"/>
      <c r="AB5764" s="1"/>
      <c r="AC5764" s="1"/>
      <c r="AD5764" s="1"/>
      <c r="AE5764" s="1"/>
      <c r="AF5764" s="1"/>
      <c r="AG5764" s="1"/>
      <c r="AH5764" s="1"/>
      <c r="AI5764" s="1"/>
      <c r="AJ5764" s="1"/>
      <c r="AK5764" s="1"/>
      <c r="AL5764" s="1"/>
      <c r="AM5764" s="1"/>
    </row>
    <row r="5765" spans="16:39" x14ac:dyDescent="0.25">
      <c r="P5765" s="49"/>
      <c r="Q5765" s="1"/>
      <c r="S5765" s="1"/>
      <c r="T5765" s="1"/>
      <c r="U5765" s="1"/>
      <c r="V5765" s="1"/>
      <c r="W5765" s="1"/>
      <c r="X5765" s="1"/>
      <c r="Y5765" s="1"/>
      <c r="AB5765" s="1"/>
      <c r="AC5765" s="1"/>
      <c r="AD5765" s="1"/>
      <c r="AE5765" s="1"/>
      <c r="AF5765" s="1"/>
      <c r="AG5765" s="1"/>
      <c r="AH5765" s="1"/>
      <c r="AI5765" s="1"/>
      <c r="AJ5765" s="1"/>
      <c r="AK5765" s="1"/>
      <c r="AL5765" s="1"/>
      <c r="AM5765" s="1"/>
    </row>
    <row r="5766" spans="16:39" x14ac:dyDescent="0.25">
      <c r="P5766" s="49"/>
      <c r="Q5766" s="1"/>
      <c r="S5766" s="1"/>
      <c r="T5766" s="1"/>
      <c r="U5766" s="1"/>
      <c r="V5766" s="1"/>
      <c r="W5766" s="1"/>
      <c r="X5766" s="1"/>
      <c r="Y5766" s="1"/>
      <c r="AB5766" s="1"/>
      <c r="AC5766" s="1"/>
      <c r="AD5766" s="1"/>
      <c r="AE5766" s="1"/>
      <c r="AF5766" s="1"/>
      <c r="AG5766" s="1"/>
      <c r="AH5766" s="1"/>
      <c r="AI5766" s="1"/>
      <c r="AJ5766" s="1"/>
      <c r="AK5766" s="1"/>
      <c r="AL5766" s="1"/>
      <c r="AM5766" s="1"/>
    </row>
    <row r="5767" spans="16:39" x14ac:dyDescent="0.25">
      <c r="P5767" s="49"/>
      <c r="Q5767" s="1"/>
      <c r="S5767" s="1"/>
      <c r="T5767" s="1"/>
      <c r="U5767" s="1"/>
      <c r="V5767" s="1"/>
      <c r="W5767" s="1"/>
      <c r="X5767" s="1"/>
      <c r="Y5767" s="1"/>
      <c r="AB5767" s="1"/>
      <c r="AC5767" s="1"/>
      <c r="AD5767" s="1"/>
      <c r="AE5767" s="1"/>
      <c r="AF5767" s="1"/>
      <c r="AG5767" s="1"/>
      <c r="AH5767" s="1"/>
      <c r="AI5767" s="1"/>
      <c r="AJ5767" s="1"/>
      <c r="AK5767" s="1"/>
      <c r="AL5767" s="1"/>
      <c r="AM5767" s="1"/>
    </row>
    <row r="5768" spans="16:39" x14ac:dyDescent="0.25">
      <c r="P5768" s="49"/>
      <c r="Q5768" s="1"/>
      <c r="S5768" s="1"/>
      <c r="T5768" s="1"/>
      <c r="U5768" s="1"/>
      <c r="V5768" s="1"/>
      <c r="W5768" s="1"/>
      <c r="X5768" s="1"/>
      <c r="Y5768" s="1"/>
      <c r="AB5768" s="1"/>
      <c r="AC5768" s="1"/>
      <c r="AD5768" s="1"/>
      <c r="AE5768" s="1"/>
      <c r="AF5768" s="1"/>
      <c r="AG5768" s="1"/>
      <c r="AH5768" s="1"/>
      <c r="AI5768" s="1"/>
      <c r="AJ5768" s="1"/>
      <c r="AK5768" s="1"/>
      <c r="AL5768" s="1"/>
      <c r="AM5768" s="1"/>
    </row>
    <row r="5769" spans="16:39" x14ac:dyDescent="0.25">
      <c r="P5769" s="49"/>
      <c r="Q5769" s="1"/>
      <c r="S5769" s="1"/>
      <c r="T5769" s="1"/>
      <c r="U5769" s="1"/>
      <c r="V5769" s="1"/>
      <c r="W5769" s="1"/>
      <c r="X5769" s="1"/>
      <c r="Y5769" s="1"/>
      <c r="AB5769" s="1"/>
      <c r="AC5769" s="1"/>
      <c r="AD5769" s="1"/>
      <c r="AE5769" s="1"/>
      <c r="AF5769" s="1"/>
      <c r="AG5769" s="1"/>
      <c r="AH5769" s="1"/>
      <c r="AI5769" s="1"/>
      <c r="AJ5769" s="1"/>
      <c r="AK5769" s="1"/>
      <c r="AL5769" s="1"/>
      <c r="AM5769" s="1"/>
    </row>
    <row r="5770" spans="16:39" x14ac:dyDescent="0.25">
      <c r="P5770" s="49"/>
      <c r="Q5770" s="1"/>
      <c r="S5770" s="1"/>
      <c r="T5770" s="1"/>
      <c r="U5770" s="1"/>
      <c r="V5770" s="1"/>
      <c r="W5770" s="1"/>
      <c r="X5770" s="1"/>
      <c r="Y5770" s="1"/>
      <c r="AB5770" s="1"/>
      <c r="AC5770" s="1"/>
      <c r="AD5770" s="1"/>
      <c r="AE5770" s="1"/>
      <c r="AF5770" s="1"/>
      <c r="AG5770" s="1"/>
      <c r="AH5770" s="1"/>
      <c r="AI5770" s="1"/>
      <c r="AJ5770" s="1"/>
      <c r="AK5770" s="1"/>
      <c r="AL5770" s="1"/>
      <c r="AM5770" s="1"/>
    </row>
    <row r="5771" spans="16:39" x14ac:dyDescent="0.25">
      <c r="P5771" s="49"/>
      <c r="Q5771" s="1"/>
      <c r="S5771" s="1"/>
      <c r="T5771" s="1"/>
      <c r="U5771" s="1"/>
      <c r="V5771" s="1"/>
      <c r="W5771" s="1"/>
      <c r="X5771" s="1"/>
      <c r="Y5771" s="1"/>
      <c r="AB5771" s="1"/>
      <c r="AC5771" s="1"/>
      <c r="AD5771" s="1"/>
      <c r="AE5771" s="1"/>
      <c r="AF5771" s="1"/>
      <c r="AG5771" s="1"/>
      <c r="AH5771" s="1"/>
      <c r="AI5771" s="1"/>
      <c r="AJ5771" s="1"/>
      <c r="AK5771" s="1"/>
      <c r="AL5771" s="1"/>
      <c r="AM5771" s="1"/>
    </row>
    <row r="5772" spans="16:39" x14ac:dyDescent="0.25">
      <c r="P5772" s="49"/>
      <c r="Q5772" s="1"/>
      <c r="S5772" s="1"/>
      <c r="T5772" s="1"/>
      <c r="U5772" s="1"/>
      <c r="V5772" s="1"/>
      <c r="W5772" s="1"/>
      <c r="X5772" s="1"/>
      <c r="Y5772" s="1"/>
      <c r="AB5772" s="1"/>
      <c r="AC5772" s="1"/>
      <c r="AD5772" s="1"/>
      <c r="AE5772" s="1"/>
      <c r="AF5772" s="1"/>
      <c r="AG5772" s="1"/>
      <c r="AH5772" s="1"/>
      <c r="AI5772" s="1"/>
      <c r="AJ5772" s="1"/>
      <c r="AK5772" s="1"/>
      <c r="AL5772" s="1"/>
      <c r="AM5772" s="1"/>
    </row>
    <row r="5773" spans="16:39" x14ac:dyDescent="0.25">
      <c r="P5773" s="49"/>
      <c r="Q5773" s="1"/>
      <c r="S5773" s="1"/>
      <c r="T5773" s="1"/>
      <c r="U5773" s="1"/>
      <c r="V5773" s="1"/>
      <c r="W5773" s="1"/>
      <c r="X5773" s="1"/>
      <c r="Y5773" s="1"/>
      <c r="AB5773" s="1"/>
      <c r="AC5773" s="1"/>
      <c r="AD5773" s="1"/>
      <c r="AE5773" s="1"/>
      <c r="AF5773" s="1"/>
      <c r="AG5773" s="1"/>
      <c r="AH5773" s="1"/>
      <c r="AI5773" s="1"/>
      <c r="AJ5773" s="1"/>
      <c r="AK5773" s="1"/>
      <c r="AL5773" s="1"/>
      <c r="AM5773" s="1"/>
    </row>
    <row r="5774" spans="16:39" x14ac:dyDescent="0.25">
      <c r="P5774" s="49"/>
      <c r="Q5774" s="1"/>
      <c r="S5774" s="1"/>
      <c r="T5774" s="1"/>
      <c r="U5774" s="1"/>
      <c r="V5774" s="1"/>
      <c r="W5774" s="1"/>
      <c r="X5774" s="1"/>
      <c r="Y5774" s="1"/>
      <c r="AB5774" s="1"/>
      <c r="AC5774" s="1"/>
      <c r="AD5774" s="1"/>
      <c r="AE5774" s="1"/>
      <c r="AF5774" s="1"/>
      <c r="AG5774" s="1"/>
      <c r="AH5774" s="1"/>
      <c r="AI5774" s="1"/>
      <c r="AJ5774" s="1"/>
      <c r="AK5774" s="1"/>
      <c r="AL5774" s="1"/>
      <c r="AM5774" s="1"/>
    </row>
    <row r="5775" spans="16:39" x14ac:dyDescent="0.25">
      <c r="P5775" s="49"/>
      <c r="Q5775" s="1"/>
      <c r="S5775" s="1"/>
      <c r="T5775" s="1"/>
      <c r="U5775" s="1"/>
      <c r="V5775" s="1"/>
      <c r="W5775" s="1"/>
      <c r="X5775" s="1"/>
      <c r="Y5775" s="1"/>
      <c r="AB5775" s="1"/>
      <c r="AC5775" s="1"/>
      <c r="AD5775" s="1"/>
      <c r="AE5775" s="1"/>
      <c r="AF5775" s="1"/>
      <c r="AG5775" s="1"/>
      <c r="AH5775" s="1"/>
      <c r="AI5775" s="1"/>
      <c r="AJ5775" s="1"/>
      <c r="AK5775" s="1"/>
      <c r="AL5775" s="1"/>
      <c r="AM5775" s="1"/>
    </row>
    <row r="5776" spans="16:39" x14ac:dyDescent="0.25">
      <c r="P5776" s="49"/>
      <c r="Q5776" s="1"/>
      <c r="S5776" s="1"/>
      <c r="T5776" s="1"/>
      <c r="U5776" s="1"/>
      <c r="V5776" s="1"/>
      <c r="W5776" s="1"/>
      <c r="X5776" s="1"/>
      <c r="Y5776" s="1"/>
      <c r="AB5776" s="1"/>
      <c r="AC5776" s="1"/>
      <c r="AD5776" s="1"/>
      <c r="AE5776" s="1"/>
      <c r="AF5776" s="1"/>
      <c r="AG5776" s="1"/>
      <c r="AH5776" s="1"/>
      <c r="AI5776" s="1"/>
      <c r="AJ5776" s="1"/>
      <c r="AK5776" s="1"/>
      <c r="AL5776" s="1"/>
      <c r="AM5776" s="1"/>
    </row>
    <row r="5777" spans="16:39" x14ac:dyDescent="0.25">
      <c r="P5777" s="49"/>
      <c r="Q5777" s="1"/>
      <c r="S5777" s="1"/>
      <c r="T5777" s="1"/>
      <c r="U5777" s="1"/>
      <c r="V5777" s="1"/>
      <c r="W5777" s="1"/>
      <c r="X5777" s="1"/>
      <c r="Y5777" s="1"/>
      <c r="AB5777" s="1"/>
      <c r="AC5777" s="1"/>
      <c r="AD5777" s="1"/>
      <c r="AE5777" s="1"/>
      <c r="AF5777" s="1"/>
      <c r="AG5777" s="1"/>
      <c r="AH5777" s="1"/>
      <c r="AI5777" s="1"/>
      <c r="AJ5777" s="1"/>
      <c r="AK5777" s="1"/>
      <c r="AL5777" s="1"/>
      <c r="AM5777" s="1"/>
    </row>
    <row r="5778" spans="16:39" x14ac:dyDescent="0.25">
      <c r="P5778" s="49"/>
      <c r="Q5778" s="1"/>
      <c r="S5778" s="1"/>
      <c r="T5778" s="1"/>
      <c r="U5778" s="1"/>
      <c r="V5778" s="1"/>
      <c r="W5778" s="1"/>
      <c r="X5778" s="1"/>
      <c r="Y5778" s="1"/>
      <c r="AB5778" s="1"/>
      <c r="AC5778" s="1"/>
      <c r="AD5778" s="1"/>
      <c r="AE5778" s="1"/>
      <c r="AF5778" s="1"/>
      <c r="AG5778" s="1"/>
      <c r="AH5778" s="1"/>
      <c r="AI5778" s="1"/>
      <c r="AJ5778" s="1"/>
      <c r="AK5778" s="1"/>
      <c r="AL5778" s="1"/>
      <c r="AM5778" s="1"/>
    </row>
    <row r="5779" spans="16:39" x14ac:dyDescent="0.25">
      <c r="P5779" s="49"/>
      <c r="Q5779" s="1"/>
      <c r="S5779" s="1"/>
      <c r="T5779" s="1"/>
      <c r="U5779" s="1"/>
      <c r="V5779" s="1"/>
      <c r="W5779" s="1"/>
      <c r="X5779" s="1"/>
      <c r="Y5779" s="1"/>
      <c r="AB5779" s="1"/>
      <c r="AC5779" s="1"/>
      <c r="AD5779" s="1"/>
      <c r="AE5779" s="1"/>
      <c r="AF5779" s="1"/>
      <c r="AG5779" s="1"/>
      <c r="AH5779" s="1"/>
      <c r="AI5779" s="1"/>
      <c r="AJ5779" s="1"/>
      <c r="AK5779" s="1"/>
      <c r="AL5779" s="1"/>
      <c r="AM5779" s="1"/>
    </row>
    <row r="5780" spans="16:39" x14ac:dyDescent="0.25">
      <c r="P5780" s="49"/>
      <c r="Q5780" s="1"/>
      <c r="S5780" s="1"/>
      <c r="T5780" s="1"/>
      <c r="U5780" s="1"/>
      <c r="V5780" s="1"/>
      <c r="W5780" s="1"/>
      <c r="X5780" s="1"/>
      <c r="Y5780" s="1"/>
      <c r="AB5780" s="1"/>
      <c r="AC5780" s="1"/>
      <c r="AD5780" s="1"/>
      <c r="AE5780" s="1"/>
      <c r="AF5780" s="1"/>
      <c r="AG5780" s="1"/>
      <c r="AH5780" s="1"/>
      <c r="AI5780" s="1"/>
      <c r="AJ5780" s="1"/>
      <c r="AK5780" s="1"/>
      <c r="AL5780" s="1"/>
      <c r="AM5780" s="1"/>
    </row>
    <row r="5781" spans="16:39" x14ac:dyDescent="0.25">
      <c r="P5781" s="49"/>
      <c r="Q5781" s="1"/>
      <c r="S5781" s="1"/>
      <c r="T5781" s="1"/>
      <c r="U5781" s="1"/>
      <c r="V5781" s="1"/>
      <c r="W5781" s="1"/>
      <c r="X5781" s="1"/>
      <c r="Y5781" s="1"/>
      <c r="AB5781" s="1"/>
      <c r="AC5781" s="1"/>
      <c r="AD5781" s="1"/>
      <c r="AE5781" s="1"/>
      <c r="AF5781" s="1"/>
      <c r="AG5781" s="1"/>
      <c r="AH5781" s="1"/>
      <c r="AI5781" s="1"/>
      <c r="AJ5781" s="1"/>
      <c r="AK5781" s="1"/>
      <c r="AL5781" s="1"/>
      <c r="AM5781" s="1"/>
    </row>
    <row r="5782" spans="16:39" x14ac:dyDescent="0.25">
      <c r="P5782" s="49"/>
      <c r="Q5782" s="1"/>
      <c r="S5782" s="1"/>
      <c r="T5782" s="1"/>
      <c r="U5782" s="1"/>
      <c r="V5782" s="1"/>
      <c r="W5782" s="1"/>
      <c r="X5782" s="1"/>
      <c r="Y5782" s="1"/>
      <c r="AB5782" s="1"/>
      <c r="AC5782" s="1"/>
      <c r="AD5782" s="1"/>
      <c r="AE5782" s="1"/>
      <c r="AF5782" s="1"/>
      <c r="AG5782" s="1"/>
      <c r="AH5782" s="1"/>
      <c r="AI5782" s="1"/>
      <c r="AJ5782" s="1"/>
      <c r="AK5782" s="1"/>
      <c r="AL5782" s="1"/>
      <c r="AM5782" s="1"/>
    </row>
    <row r="5783" spans="16:39" x14ac:dyDescent="0.25">
      <c r="P5783" s="49"/>
      <c r="Q5783" s="1"/>
      <c r="S5783" s="1"/>
      <c r="T5783" s="1"/>
      <c r="U5783" s="1"/>
      <c r="V5783" s="1"/>
      <c r="W5783" s="1"/>
      <c r="X5783" s="1"/>
      <c r="Y5783" s="1"/>
      <c r="AB5783" s="1"/>
      <c r="AC5783" s="1"/>
      <c r="AD5783" s="1"/>
      <c r="AE5783" s="1"/>
      <c r="AF5783" s="1"/>
      <c r="AG5783" s="1"/>
      <c r="AH5783" s="1"/>
      <c r="AI5783" s="1"/>
      <c r="AJ5783" s="1"/>
      <c r="AK5783" s="1"/>
      <c r="AL5783" s="1"/>
      <c r="AM5783" s="1"/>
    </row>
    <row r="5784" spans="16:39" x14ac:dyDescent="0.25">
      <c r="P5784" s="49"/>
      <c r="Q5784" s="1"/>
      <c r="S5784" s="1"/>
      <c r="T5784" s="1"/>
      <c r="U5784" s="1"/>
      <c r="V5784" s="1"/>
      <c r="W5784" s="1"/>
      <c r="X5784" s="1"/>
      <c r="Y5784" s="1"/>
      <c r="AB5784" s="1"/>
      <c r="AC5784" s="1"/>
      <c r="AD5784" s="1"/>
      <c r="AE5784" s="1"/>
      <c r="AF5784" s="1"/>
      <c r="AG5784" s="1"/>
      <c r="AH5784" s="1"/>
      <c r="AI5784" s="1"/>
      <c r="AJ5784" s="1"/>
      <c r="AK5784" s="1"/>
      <c r="AL5784" s="1"/>
      <c r="AM5784" s="1"/>
    </row>
    <row r="5785" spans="16:39" x14ac:dyDescent="0.25">
      <c r="P5785" s="49"/>
      <c r="Q5785" s="1"/>
      <c r="S5785" s="1"/>
      <c r="T5785" s="1"/>
      <c r="U5785" s="1"/>
      <c r="V5785" s="1"/>
      <c r="W5785" s="1"/>
      <c r="X5785" s="1"/>
      <c r="Y5785" s="1"/>
      <c r="AB5785" s="1"/>
      <c r="AC5785" s="1"/>
      <c r="AD5785" s="1"/>
      <c r="AE5785" s="1"/>
      <c r="AF5785" s="1"/>
      <c r="AG5785" s="1"/>
      <c r="AH5785" s="1"/>
      <c r="AI5785" s="1"/>
      <c r="AJ5785" s="1"/>
      <c r="AK5785" s="1"/>
      <c r="AL5785" s="1"/>
      <c r="AM5785" s="1"/>
    </row>
    <row r="5786" spans="16:39" x14ac:dyDescent="0.25">
      <c r="P5786" s="49"/>
      <c r="Q5786" s="1"/>
      <c r="S5786" s="1"/>
      <c r="T5786" s="1"/>
      <c r="U5786" s="1"/>
      <c r="V5786" s="1"/>
      <c r="W5786" s="1"/>
      <c r="X5786" s="1"/>
      <c r="Y5786" s="1"/>
      <c r="AB5786" s="1"/>
      <c r="AC5786" s="1"/>
      <c r="AD5786" s="1"/>
      <c r="AE5786" s="1"/>
      <c r="AF5786" s="1"/>
      <c r="AG5786" s="1"/>
      <c r="AH5786" s="1"/>
      <c r="AI5786" s="1"/>
      <c r="AJ5786" s="1"/>
      <c r="AK5786" s="1"/>
      <c r="AL5786" s="1"/>
      <c r="AM5786" s="1"/>
    </row>
    <row r="5787" spans="16:39" x14ac:dyDescent="0.25">
      <c r="P5787" s="49"/>
      <c r="Q5787" s="1"/>
      <c r="S5787" s="1"/>
      <c r="T5787" s="1"/>
      <c r="U5787" s="1"/>
      <c r="V5787" s="1"/>
      <c r="W5787" s="1"/>
      <c r="X5787" s="1"/>
      <c r="Y5787" s="1"/>
      <c r="AB5787" s="1"/>
      <c r="AC5787" s="1"/>
      <c r="AD5787" s="1"/>
      <c r="AE5787" s="1"/>
      <c r="AF5787" s="1"/>
      <c r="AG5787" s="1"/>
      <c r="AH5787" s="1"/>
      <c r="AI5787" s="1"/>
      <c r="AJ5787" s="1"/>
      <c r="AK5787" s="1"/>
      <c r="AL5787" s="1"/>
      <c r="AM5787" s="1"/>
    </row>
    <row r="5788" spans="16:39" x14ac:dyDescent="0.25">
      <c r="P5788" s="49"/>
      <c r="Q5788" s="1"/>
      <c r="S5788" s="1"/>
      <c r="T5788" s="1"/>
      <c r="U5788" s="1"/>
      <c r="V5788" s="1"/>
      <c r="W5788" s="1"/>
      <c r="X5788" s="1"/>
      <c r="Y5788" s="1"/>
      <c r="AB5788" s="1"/>
      <c r="AC5788" s="1"/>
      <c r="AD5788" s="1"/>
      <c r="AE5788" s="1"/>
      <c r="AF5788" s="1"/>
      <c r="AG5788" s="1"/>
      <c r="AH5788" s="1"/>
      <c r="AI5788" s="1"/>
      <c r="AJ5788" s="1"/>
      <c r="AK5788" s="1"/>
      <c r="AL5788" s="1"/>
      <c r="AM5788" s="1"/>
    </row>
    <row r="5789" spans="16:39" x14ac:dyDescent="0.25">
      <c r="P5789" s="49"/>
      <c r="Q5789" s="1"/>
      <c r="S5789" s="1"/>
      <c r="T5789" s="1"/>
      <c r="U5789" s="1"/>
      <c r="V5789" s="1"/>
      <c r="W5789" s="1"/>
      <c r="X5789" s="1"/>
      <c r="Y5789" s="1"/>
      <c r="AB5789" s="1"/>
      <c r="AC5789" s="1"/>
      <c r="AD5789" s="1"/>
      <c r="AE5789" s="1"/>
      <c r="AF5789" s="1"/>
      <c r="AG5789" s="1"/>
      <c r="AH5789" s="1"/>
      <c r="AI5789" s="1"/>
      <c r="AJ5789" s="1"/>
      <c r="AK5789" s="1"/>
      <c r="AL5789" s="1"/>
      <c r="AM5789" s="1"/>
    </row>
    <row r="5790" spans="16:39" x14ac:dyDescent="0.25">
      <c r="P5790" s="49"/>
      <c r="Q5790" s="1"/>
      <c r="S5790" s="1"/>
      <c r="T5790" s="1"/>
      <c r="U5790" s="1"/>
      <c r="V5790" s="1"/>
      <c r="W5790" s="1"/>
      <c r="X5790" s="1"/>
      <c r="Y5790" s="1"/>
      <c r="AB5790" s="1"/>
      <c r="AC5790" s="1"/>
      <c r="AD5790" s="1"/>
      <c r="AE5790" s="1"/>
      <c r="AF5790" s="1"/>
      <c r="AG5790" s="1"/>
      <c r="AH5790" s="1"/>
      <c r="AI5790" s="1"/>
      <c r="AJ5790" s="1"/>
      <c r="AK5790" s="1"/>
      <c r="AL5790" s="1"/>
      <c r="AM5790" s="1"/>
    </row>
    <row r="5791" spans="16:39" x14ac:dyDescent="0.25">
      <c r="P5791" s="49"/>
      <c r="Q5791" s="1"/>
      <c r="S5791" s="1"/>
      <c r="T5791" s="1"/>
      <c r="U5791" s="1"/>
      <c r="V5791" s="1"/>
      <c r="W5791" s="1"/>
      <c r="X5791" s="1"/>
      <c r="Y5791" s="1"/>
      <c r="AB5791" s="1"/>
      <c r="AC5791" s="1"/>
      <c r="AD5791" s="1"/>
      <c r="AE5791" s="1"/>
      <c r="AF5791" s="1"/>
      <c r="AG5791" s="1"/>
      <c r="AH5791" s="1"/>
      <c r="AI5791" s="1"/>
      <c r="AJ5791" s="1"/>
      <c r="AK5791" s="1"/>
      <c r="AL5791" s="1"/>
      <c r="AM5791" s="1"/>
    </row>
    <row r="5792" spans="16:39" x14ac:dyDescent="0.25">
      <c r="P5792" s="49"/>
      <c r="Q5792" s="1"/>
      <c r="S5792" s="1"/>
      <c r="T5792" s="1"/>
      <c r="U5792" s="1"/>
      <c r="V5792" s="1"/>
      <c r="W5792" s="1"/>
      <c r="X5792" s="1"/>
      <c r="Y5792" s="1"/>
      <c r="AB5792" s="1"/>
      <c r="AC5792" s="1"/>
      <c r="AD5792" s="1"/>
      <c r="AE5792" s="1"/>
      <c r="AF5792" s="1"/>
      <c r="AG5792" s="1"/>
      <c r="AH5792" s="1"/>
      <c r="AI5792" s="1"/>
      <c r="AJ5792" s="1"/>
      <c r="AK5792" s="1"/>
      <c r="AL5792" s="1"/>
      <c r="AM5792" s="1"/>
    </row>
    <row r="5793" spans="16:39" x14ac:dyDescent="0.25">
      <c r="P5793" s="49"/>
      <c r="Q5793" s="1"/>
      <c r="S5793" s="1"/>
      <c r="T5793" s="1"/>
      <c r="U5793" s="1"/>
      <c r="V5793" s="1"/>
      <c r="W5793" s="1"/>
      <c r="X5793" s="1"/>
      <c r="Y5793" s="1"/>
      <c r="AB5793" s="1"/>
      <c r="AC5793" s="1"/>
      <c r="AD5793" s="1"/>
      <c r="AE5793" s="1"/>
      <c r="AF5793" s="1"/>
      <c r="AG5793" s="1"/>
      <c r="AH5793" s="1"/>
      <c r="AI5793" s="1"/>
      <c r="AJ5793" s="1"/>
      <c r="AK5793" s="1"/>
      <c r="AL5793" s="1"/>
      <c r="AM5793" s="1"/>
    </row>
    <row r="5794" spans="16:39" x14ac:dyDescent="0.25">
      <c r="P5794" s="49"/>
      <c r="Q5794" s="1"/>
      <c r="S5794" s="1"/>
      <c r="T5794" s="1"/>
      <c r="U5794" s="1"/>
      <c r="V5794" s="1"/>
      <c r="W5794" s="1"/>
      <c r="X5794" s="1"/>
      <c r="Y5794" s="1"/>
      <c r="AB5794" s="1"/>
      <c r="AC5794" s="1"/>
      <c r="AD5794" s="1"/>
      <c r="AE5794" s="1"/>
      <c r="AF5794" s="1"/>
      <c r="AG5794" s="1"/>
      <c r="AH5794" s="1"/>
      <c r="AI5794" s="1"/>
      <c r="AJ5794" s="1"/>
      <c r="AK5794" s="1"/>
      <c r="AL5794" s="1"/>
      <c r="AM5794" s="1"/>
    </row>
    <row r="5795" spans="16:39" x14ac:dyDescent="0.25">
      <c r="P5795" s="49"/>
      <c r="Q5795" s="1"/>
      <c r="S5795" s="1"/>
      <c r="T5795" s="1"/>
      <c r="U5795" s="1"/>
      <c r="V5795" s="1"/>
      <c r="W5795" s="1"/>
      <c r="X5795" s="1"/>
      <c r="Y5795" s="1"/>
      <c r="AB5795" s="1"/>
      <c r="AC5795" s="1"/>
      <c r="AD5795" s="1"/>
      <c r="AE5795" s="1"/>
      <c r="AF5795" s="1"/>
      <c r="AG5795" s="1"/>
      <c r="AH5795" s="1"/>
      <c r="AI5795" s="1"/>
      <c r="AJ5795" s="1"/>
      <c r="AK5795" s="1"/>
      <c r="AL5795" s="1"/>
      <c r="AM5795" s="1"/>
    </row>
    <row r="5796" spans="16:39" x14ac:dyDescent="0.25">
      <c r="P5796" s="49"/>
      <c r="Q5796" s="1"/>
      <c r="S5796" s="1"/>
      <c r="T5796" s="1"/>
      <c r="U5796" s="1"/>
      <c r="V5796" s="1"/>
      <c r="W5796" s="1"/>
      <c r="X5796" s="1"/>
      <c r="Y5796" s="1"/>
      <c r="AB5796" s="1"/>
      <c r="AC5796" s="1"/>
      <c r="AD5796" s="1"/>
      <c r="AE5796" s="1"/>
      <c r="AF5796" s="1"/>
      <c r="AG5796" s="1"/>
      <c r="AH5796" s="1"/>
      <c r="AI5796" s="1"/>
      <c r="AJ5796" s="1"/>
      <c r="AK5796" s="1"/>
      <c r="AL5796" s="1"/>
      <c r="AM5796" s="1"/>
    </row>
    <row r="5797" spans="16:39" x14ac:dyDescent="0.25">
      <c r="P5797" s="49"/>
      <c r="Q5797" s="1"/>
      <c r="S5797" s="1"/>
      <c r="T5797" s="1"/>
      <c r="U5797" s="1"/>
      <c r="V5797" s="1"/>
      <c r="W5797" s="1"/>
      <c r="X5797" s="1"/>
      <c r="Y5797" s="1"/>
      <c r="AB5797" s="1"/>
      <c r="AC5797" s="1"/>
      <c r="AD5797" s="1"/>
      <c r="AE5797" s="1"/>
      <c r="AF5797" s="1"/>
      <c r="AG5797" s="1"/>
      <c r="AH5797" s="1"/>
      <c r="AI5797" s="1"/>
      <c r="AJ5797" s="1"/>
      <c r="AK5797" s="1"/>
      <c r="AL5797" s="1"/>
      <c r="AM5797" s="1"/>
    </row>
    <row r="5798" spans="16:39" x14ac:dyDescent="0.25">
      <c r="P5798" s="49"/>
      <c r="Q5798" s="1"/>
      <c r="S5798" s="1"/>
      <c r="T5798" s="1"/>
      <c r="U5798" s="1"/>
      <c r="V5798" s="1"/>
      <c r="W5798" s="1"/>
      <c r="X5798" s="1"/>
      <c r="Y5798" s="1"/>
      <c r="AB5798" s="1"/>
      <c r="AC5798" s="1"/>
      <c r="AD5798" s="1"/>
      <c r="AE5798" s="1"/>
      <c r="AF5798" s="1"/>
      <c r="AG5798" s="1"/>
      <c r="AH5798" s="1"/>
      <c r="AI5798" s="1"/>
      <c r="AJ5798" s="1"/>
      <c r="AK5798" s="1"/>
      <c r="AL5798" s="1"/>
      <c r="AM5798" s="1"/>
    </row>
    <row r="5799" spans="16:39" x14ac:dyDescent="0.25">
      <c r="P5799" s="49"/>
      <c r="Q5799" s="1"/>
      <c r="S5799" s="1"/>
      <c r="T5799" s="1"/>
      <c r="U5799" s="1"/>
      <c r="V5799" s="1"/>
      <c r="W5799" s="1"/>
      <c r="X5799" s="1"/>
      <c r="Y5799" s="1"/>
      <c r="AB5799" s="1"/>
      <c r="AC5799" s="1"/>
      <c r="AD5799" s="1"/>
      <c r="AE5799" s="1"/>
      <c r="AF5799" s="1"/>
      <c r="AG5799" s="1"/>
      <c r="AH5799" s="1"/>
      <c r="AI5799" s="1"/>
      <c r="AJ5799" s="1"/>
      <c r="AK5799" s="1"/>
      <c r="AL5799" s="1"/>
      <c r="AM5799" s="1"/>
    </row>
    <row r="5800" spans="16:39" x14ac:dyDescent="0.25">
      <c r="P5800" s="49"/>
      <c r="Q5800" s="1"/>
      <c r="S5800" s="1"/>
      <c r="T5800" s="1"/>
      <c r="U5800" s="1"/>
      <c r="V5800" s="1"/>
      <c r="W5800" s="1"/>
      <c r="X5800" s="1"/>
      <c r="Y5800" s="1"/>
      <c r="AB5800" s="1"/>
      <c r="AC5800" s="1"/>
      <c r="AD5800" s="1"/>
      <c r="AE5800" s="1"/>
      <c r="AF5800" s="1"/>
      <c r="AG5800" s="1"/>
      <c r="AH5800" s="1"/>
      <c r="AI5800" s="1"/>
      <c r="AJ5800" s="1"/>
      <c r="AK5800" s="1"/>
      <c r="AL5800" s="1"/>
      <c r="AM5800" s="1"/>
    </row>
    <row r="5801" spans="16:39" x14ac:dyDescent="0.25">
      <c r="P5801" s="49"/>
      <c r="Q5801" s="1"/>
      <c r="S5801" s="1"/>
      <c r="T5801" s="1"/>
      <c r="U5801" s="1"/>
      <c r="V5801" s="1"/>
      <c r="W5801" s="1"/>
      <c r="X5801" s="1"/>
      <c r="Y5801" s="1"/>
      <c r="AB5801" s="1"/>
      <c r="AC5801" s="1"/>
      <c r="AD5801" s="1"/>
      <c r="AE5801" s="1"/>
      <c r="AF5801" s="1"/>
      <c r="AG5801" s="1"/>
      <c r="AH5801" s="1"/>
      <c r="AI5801" s="1"/>
      <c r="AJ5801" s="1"/>
      <c r="AK5801" s="1"/>
      <c r="AL5801" s="1"/>
      <c r="AM5801" s="1"/>
    </row>
    <row r="5802" spans="16:39" x14ac:dyDescent="0.25">
      <c r="P5802" s="49"/>
      <c r="Q5802" s="1"/>
      <c r="S5802" s="1"/>
      <c r="T5802" s="1"/>
      <c r="U5802" s="1"/>
      <c r="V5802" s="1"/>
      <c r="W5802" s="1"/>
      <c r="X5802" s="1"/>
      <c r="Y5802" s="1"/>
      <c r="AB5802" s="1"/>
      <c r="AC5802" s="1"/>
      <c r="AD5802" s="1"/>
      <c r="AE5802" s="1"/>
      <c r="AF5802" s="1"/>
      <c r="AG5802" s="1"/>
      <c r="AH5802" s="1"/>
      <c r="AI5802" s="1"/>
      <c r="AJ5802" s="1"/>
      <c r="AK5802" s="1"/>
      <c r="AL5802" s="1"/>
      <c r="AM5802" s="1"/>
    </row>
    <row r="5803" spans="16:39" x14ac:dyDescent="0.25">
      <c r="P5803" s="49"/>
      <c r="Q5803" s="1"/>
      <c r="S5803" s="1"/>
      <c r="T5803" s="1"/>
      <c r="U5803" s="1"/>
      <c r="V5803" s="1"/>
      <c r="W5803" s="1"/>
      <c r="X5803" s="1"/>
      <c r="Y5803" s="1"/>
      <c r="AB5803" s="1"/>
      <c r="AC5803" s="1"/>
      <c r="AD5803" s="1"/>
      <c r="AE5803" s="1"/>
      <c r="AF5803" s="1"/>
      <c r="AG5803" s="1"/>
      <c r="AH5803" s="1"/>
      <c r="AI5803" s="1"/>
      <c r="AJ5803" s="1"/>
      <c r="AK5803" s="1"/>
      <c r="AL5803" s="1"/>
      <c r="AM5803" s="1"/>
    </row>
    <row r="5804" spans="16:39" x14ac:dyDescent="0.25">
      <c r="P5804" s="49"/>
      <c r="Q5804" s="1"/>
      <c r="S5804" s="1"/>
      <c r="T5804" s="1"/>
      <c r="U5804" s="1"/>
      <c r="V5804" s="1"/>
      <c r="W5804" s="1"/>
      <c r="X5804" s="1"/>
      <c r="Y5804" s="1"/>
      <c r="AB5804" s="1"/>
      <c r="AC5804" s="1"/>
      <c r="AD5804" s="1"/>
      <c r="AE5804" s="1"/>
      <c r="AF5804" s="1"/>
      <c r="AG5804" s="1"/>
      <c r="AH5804" s="1"/>
      <c r="AI5804" s="1"/>
      <c r="AJ5804" s="1"/>
      <c r="AK5804" s="1"/>
      <c r="AL5804" s="1"/>
      <c r="AM5804" s="1"/>
    </row>
    <row r="5805" spans="16:39" x14ac:dyDescent="0.25">
      <c r="P5805" s="49"/>
      <c r="Q5805" s="1"/>
      <c r="S5805" s="1"/>
      <c r="T5805" s="1"/>
      <c r="U5805" s="1"/>
      <c r="V5805" s="1"/>
      <c r="W5805" s="1"/>
      <c r="X5805" s="1"/>
      <c r="Y5805" s="1"/>
      <c r="AB5805" s="1"/>
      <c r="AC5805" s="1"/>
      <c r="AD5805" s="1"/>
      <c r="AE5805" s="1"/>
      <c r="AF5805" s="1"/>
      <c r="AG5805" s="1"/>
      <c r="AH5805" s="1"/>
      <c r="AI5805" s="1"/>
      <c r="AJ5805" s="1"/>
      <c r="AK5805" s="1"/>
      <c r="AL5805" s="1"/>
      <c r="AM5805" s="1"/>
    </row>
    <row r="5806" spans="16:39" x14ac:dyDescent="0.25">
      <c r="P5806" s="49"/>
      <c r="Q5806" s="1"/>
      <c r="S5806" s="1"/>
      <c r="T5806" s="1"/>
      <c r="U5806" s="1"/>
      <c r="V5806" s="1"/>
      <c r="W5806" s="1"/>
      <c r="X5806" s="1"/>
      <c r="Y5806" s="1"/>
      <c r="AB5806" s="1"/>
      <c r="AC5806" s="1"/>
      <c r="AD5806" s="1"/>
      <c r="AE5806" s="1"/>
      <c r="AF5806" s="1"/>
      <c r="AG5806" s="1"/>
      <c r="AH5806" s="1"/>
      <c r="AI5806" s="1"/>
      <c r="AJ5806" s="1"/>
      <c r="AK5806" s="1"/>
      <c r="AL5806" s="1"/>
      <c r="AM5806" s="1"/>
    </row>
    <row r="5807" spans="16:39" x14ac:dyDescent="0.25">
      <c r="P5807" s="49"/>
      <c r="Q5807" s="1"/>
      <c r="S5807" s="1"/>
      <c r="T5807" s="1"/>
      <c r="U5807" s="1"/>
      <c r="V5807" s="1"/>
      <c r="W5807" s="1"/>
      <c r="X5807" s="1"/>
      <c r="Y5807" s="1"/>
      <c r="AB5807" s="1"/>
      <c r="AC5807" s="1"/>
      <c r="AD5807" s="1"/>
      <c r="AE5807" s="1"/>
      <c r="AF5807" s="1"/>
      <c r="AG5807" s="1"/>
      <c r="AH5807" s="1"/>
      <c r="AI5807" s="1"/>
      <c r="AJ5807" s="1"/>
      <c r="AK5807" s="1"/>
      <c r="AL5807" s="1"/>
      <c r="AM5807" s="1"/>
    </row>
    <row r="5808" spans="16:39" x14ac:dyDescent="0.25">
      <c r="P5808" s="49"/>
      <c r="Q5808" s="1"/>
      <c r="S5808" s="1"/>
      <c r="T5808" s="1"/>
      <c r="U5808" s="1"/>
      <c r="V5808" s="1"/>
      <c r="W5808" s="1"/>
      <c r="X5808" s="1"/>
      <c r="Y5808" s="1"/>
      <c r="AB5808" s="1"/>
      <c r="AC5808" s="1"/>
      <c r="AD5808" s="1"/>
      <c r="AE5808" s="1"/>
      <c r="AF5808" s="1"/>
      <c r="AG5808" s="1"/>
      <c r="AH5808" s="1"/>
      <c r="AI5808" s="1"/>
      <c r="AJ5808" s="1"/>
      <c r="AK5808" s="1"/>
      <c r="AL5808" s="1"/>
      <c r="AM5808" s="1"/>
    </row>
    <row r="5809" spans="16:39" x14ac:dyDescent="0.25">
      <c r="P5809" s="49"/>
      <c r="Q5809" s="1"/>
      <c r="S5809" s="1"/>
      <c r="T5809" s="1"/>
      <c r="U5809" s="1"/>
      <c r="V5809" s="1"/>
      <c r="W5809" s="1"/>
      <c r="X5809" s="1"/>
      <c r="Y5809" s="1"/>
      <c r="AB5809" s="1"/>
      <c r="AC5809" s="1"/>
      <c r="AD5809" s="1"/>
      <c r="AE5809" s="1"/>
      <c r="AF5809" s="1"/>
      <c r="AG5809" s="1"/>
      <c r="AH5809" s="1"/>
      <c r="AI5809" s="1"/>
      <c r="AJ5809" s="1"/>
      <c r="AK5809" s="1"/>
      <c r="AL5809" s="1"/>
      <c r="AM5809" s="1"/>
    </row>
    <row r="5810" spans="16:39" x14ac:dyDescent="0.25">
      <c r="P5810" s="49"/>
      <c r="Q5810" s="1"/>
      <c r="S5810" s="1"/>
      <c r="T5810" s="1"/>
      <c r="U5810" s="1"/>
      <c r="V5810" s="1"/>
      <c r="W5810" s="1"/>
      <c r="X5810" s="1"/>
      <c r="Y5810" s="1"/>
      <c r="AB5810" s="1"/>
      <c r="AC5810" s="1"/>
      <c r="AD5810" s="1"/>
      <c r="AE5810" s="1"/>
      <c r="AF5810" s="1"/>
      <c r="AG5810" s="1"/>
      <c r="AH5810" s="1"/>
      <c r="AI5810" s="1"/>
      <c r="AJ5810" s="1"/>
      <c r="AK5810" s="1"/>
      <c r="AL5810" s="1"/>
      <c r="AM5810" s="1"/>
    </row>
    <row r="5811" spans="16:39" x14ac:dyDescent="0.25">
      <c r="P5811" s="49"/>
      <c r="Q5811" s="1"/>
      <c r="S5811" s="1"/>
      <c r="T5811" s="1"/>
      <c r="U5811" s="1"/>
      <c r="V5811" s="1"/>
      <c r="W5811" s="1"/>
      <c r="X5811" s="1"/>
      <c r="Y5811" s="1"/>
      <c r="AB5811" s="1"/>
      <c r="AC5811" s="1"/>
      <c r="AD5811" s="1"/>
      <c r="AE5811" s="1"/>
      <c r="AF5811" s="1"/>
      <c r="AG5811" s="1"/>
      <c r="AH5811" s="1"/>
      <c r="AI5811" s="1"/>
      <c r="AJ5811" s="1"/>
      <c r="AK5811" s="1"/>
      <c r="AL5811" s="1"/>
      <c r="AM5811" s="1"/>
    </row>
    <row r="5812" spans="16:39" x14ac:dyDescent="0.25">
      <c r="P5812" s="49"/>
      <c r="Q5812" s="1"/>
      <c r="S5812" s="1"/>
      <c r="T5812" s="1"/>
      <c r="U5812" s="1"/>
      <c r="V5812" s="1"/>
      <c r="W5812" s="1"/>
      <c r="X5812" s="1"/>
      <c r="Y5812" s="1"/>
      <c r="AB5812" s="1"/>
      <c r="AC5812" s="1"/>
      <c r="AD5812" s="1"/>
      <c r="AE5812" s="1"/>
      <c r="AF5812" s="1"/>
      <c r="AG5812" s="1"/>
      <c r="AH5812" s="1"/>
      <c r="AI5812" s="1"/>
      <c r="AJ5812" s="1"/>
      <c r="AK5812" s="1"/>
      <c r="AL5812" s="1"/>
      <c r="AM5812" s="1"/>
    </row>
    <row r="5813" spans="16:39" x14ac:dyDescent="0.25">
      <c r="P5813" s="49"/>
      <c r="Q5813" s="1"/>
      <c r="S5813" s="1"/>
      <c r="T5813" s="1"/>
      <c r="U5813" s="1"/>
      <c r="V5813" s="1"/>
      <c r="W5813" s="1"/>
      <c r="X5813" s="1"/>
      <c r="Y5813" s="1"/>
      <c r="AB5813" s="1"/>
      <c r="AC5813" s="1"/>
      <c r="AD5813" s="1"/>
      <c r="AE5813" s="1"/>
      <c r="AF5813" s="1"/>
      <c r="AG5813" s="1"/>
      <c r="AH5813" s="1"/>
      <c r="AI5813" s="1"/>
      <c r="AJ5813" s="1"/>
      <c r="AK5813" s="1"/>
      <c r="AL5813" s="1"/>
      <c r="AM5813" s="1"/>
    </row>
    <row r="5814" spans="16:39" x14ac:dyDescent="0.25">
      <c r="P5814" s="49"/>
      <c r="Q5814" s="1"/>
      <c r="S5814" s="1"/>
      <c r="T5814" s="1"/>
      <c r="U5814" s="1"/>
      <c r="V5814" s="1"/>
      <c r="W5814" s="1"/>
      <c r="X5814" s="1"/>
      <c r="Y5814" s="1"/>
      <c r="AB5814" s="1"/>
      <c r="AC5814" s="1"/>
      <c r="AD5814" s="1"/>
      <c r="AE5814" s="1"/>
      <c r="AF5814" s="1"/>
      <c r="AG5814" s="1"/>
      <c r="AH5814" s="1"/>
      <c r="AI5814" s="1"/>
      <c r="AJ5814" s="1"/>
      <c r="AK5814" s="1"/>
      <c r="AL5814" s="1"/>
      <c r="AM5814" s="1"/>
    </row>
    <row r="5815" spans="16:39" x14ac:dyDescent="0.25">
      <c r="P5815" s="49"/>
      <c r="Q5815" s="1"/>
      <c r="S5815" s="1"/>
      <c r="T5815" s="1"/>
      <c r="U5815" s="1"/>
      <c r="V5815" s="1"/>
      <c r="W5815" s="1"/>
      <c r="X5815" s="1"/>
      <c r="Y5815" s="1"/>
      <c r="AB5815" s="1"/>
      <c r="AC5815" s="1"/>
      <c r="AD5815" s="1"/>
      <c r="AE5815" s="1"/>
      <c r="AF5815" s="1"/>
      <c r="AG5815" s="1"/>
      <c r="AH5815" s="1"/>
      <c r="AI5815" s="1"/>
      <c r="AJ5815" s="1"/>
      <c r="AK5815" s="1"/>
      <c r="AL5815" s="1"/>
      <c r="AM5815" s="1"/>
    </row>
    <row r="5816" spans="16:39" x14ac:dyDescent="0.25">
      <c r="P5816" s="49"/>
      <c r="Q5816" s="1"/>
      <c r="S5816" s="1"/>
      <c r="T5816" s="1"/>
      <c r="U5816" s="1"/>
      <c r="V5816" s="1"/>
      <c r="W5816" s="1"/>
      <c r="X5816" s="1"/>
      <c r="Y5816" s="1"/>
      <c r="AB5816" s="1"/>
      <c r="AC5816" s="1"/>
      <c r="AD5816" s="1"/>
      <c r="AE5816" s="1"/>
      <c r="AF5816" s="1"/>
      <c r="AG5816" s="1"/>
      <c r="AH5816" s="1"/>
      <c r="AI5816" s="1"/>
      <c r="AJ5816" s="1"/>
      <c r="AK5816" s="1"/>
      <c r="AL5816" s="1"/>
      <c r="AM5816" s="1"/>
    </row>
    <row r="5817" spans="16:39" x14ac:dyDescent="0.25">
      <c r="P5817" s="49"/>
      <c r="Q5817" s="1"/>
      <c r="S5817" s="1"/>
      <c r="T5817" s="1"/>
      <c r="U5817" s="1"/>
      <c r="V5817" s="1"/>
      <c r="W5817" s="1"/>
      <c r="X5817" s="1"/>
      <c r="Y5817" s="1"/>
      <c r="AB5817" s="1"/>
      <c r="AC5817" s="1"/>
      <c r="AD5817" s="1"/>
      <c r="AE5817" s="1"/>
      <c r="AF5817" s="1"/>
      <c r="AG5817" s="1"/>
      <c r="AH5817" s="1"/>
      <c r="AI5817" s="1"/>
      <c r="AJ5817" s="1"/>
      <c r="AK5817" s="1"/>
      <c r="AL5817" s="1"/>
      <c r="AM5817" s="1"/>
    </row>
    <row r="5818" spans="16:39" x14ac:dyDescent="0.25">
      <c r="P5818" s="49"/>
      <c r="Q5818" s="1"/>
      <c r="S5818" s="1"/>
      <c r="T5818" s="1"/>
      <c r="U5818" s="1"/>
      <c r="V5818" s="1"/>
      <c r="W5818" s="1"/>
      <c r="X5818" s="1"/>
      <c r="Y5818" s="1"/>
      <c r="AB5818" s="1"/>
      <c r="AC5818" s="1"/>
      <c r="AD5818" s="1"/>
      <c r="AE5818" s="1"/>
      <c r="AF5818" s="1"/>
      <c r="AG5818" s="1"/>
      <c r="AH5818" s="1"/>
      <c r="AI5818" s="1"/>
      <c r="AJ5818" s="1"/>
      <c r="AK5818" s="1"/>
      <c r="AL5818" s="1"/>
      <c r="AM5818" s="1"/>
    </row>
    <row r="5819" spans="16:39" x14ac:dyDescent="0.25">
      <c r="P5819" s="49"/>
      <c r="Q5819" s="1"/>
      <c r="S5819" s="1"/>
      <c r="T5819" s="1"/>
      <c r="U5819" s="1"/>
      <c r="V5819" s="1"/>
      <c r="W5819" s="1"/>
      <c r="X5819" s="1"/>
      <c r="Y5819" s="1"/>
      <c r="AB5819" s="1"/>
      <c r="AC5819" s="1"/>
      <c r="AD5819" s="1"/>
      <c r="AE5819" s="1"/>
      <c r="AF5819" s="1"/>
      <c r="AG5819" s="1"/>
      <c r="AH5819" s="1"/>
      <c r="AI5819" s="1"/>
      <c r="AJ5819" s="1"/>
      <c r="AK5819" s="1"/>
      <c r="AL5819" s="1"/>
      <c r="AM5819" s="1"/>
    </row>
    <row r="5820" spans="16:39" x14ac:dyDescent="0.25">
      <c r="P5820" s="49"/>
      <c r="Q5820" s="1"/>
      <c r="S5820" s="1"/>
      <c r="T5820" s="1"/>
      <c r="U5820" s="1"/>
      <c r="V5820" s="1"/>
      <c r="W5820" s="1"/>
      <c r="X5820" s="1"/>
      <c r="Y5820" s="1"/>
      <c r="AB5820" s="1"/>
      <c r="AC5820" s="1"/>
      <c r="AD5820" s="1"/>
      <c r="AE5820" s="1"/>
      <c r="AF5820" s="1"/>
      <c r="AG5820" s="1"/>
      <c r="AH5820" s="1"/>
      <c r="AI5820" s="1"/>
      <c r="AJ5820" s="1"/>
      <c r="AK5820" s="1"/>
      <c r="AL5820" s="1"/>
      <c r="AM5820" s="1"/>
    </row>
    <row r="5821" spans="16:39" x14ac:dyDescent="0.25">
      <c r="P5821" s="49"/>
      <c r="Q5821" s="1"/>
      <c r="S5821" s="1"/>
      <c r="T5821" s="1"/>
      <c r="U5821" s="1"/>
      <c r="V5821" s="1"/>
      <c r="W5821" s="1"/>
      <c r="X5821" s="1"/>
      <c r="Y5821" s="1"/>
      <c r="AB5821" s="1"/>
      <c r="AC5821" s="1"/>
      <c r="AD5821" s="1"/>
      <c r="AE5821" s="1"/>
      <c r="AF5821" s="1"/>
      <c r="AG5821" s="1"/>
      <c r="AH5821" s="1"/>
      <c r="AI5821" s="1"/>
      <c r="AJ5821" s="1"/>
      <c r="AK5821" s="1"/>
      <c r="AL5821" s="1"/>
      <c r="AM5821" s="1"/>
    </row>
    <row r="5822" spans="16:39" x14ac:dyDescent="0.25">
      <c r="P5822" s="49"/>
      <c r="Q5822" s="1"/>
      <c r="S5822" s="1"/>
      <c r="T5822" s="1"/>
      <c r="U5822" s="1"/>
      <c r="V5822" s="1"/>
      <c r="W5822" s="1"/>
      <c r="X5822" s="1"/>
      <c r="Y5822" s="1"/>
      <c r="AB5822" s="1"/>
      <c r="AC5822" s="1"/>
      <c r="AD5822" s="1"/>
      <c r="AE5822" s="1"/>
      <c r="AF5822" s="1"/>
      <c r="AG5822" s="1"/>
      <c r="AH5822" s="1"/>
      <c r="AI5822" s="1"/>
      <c r="AJ5822" s="1"/>
      <c r="AK5822" s="1"/>
      <c r="AL5822" s="1"/>
      <c r="AM5822" s="1"/>
    </row>
    <row r="5823" spans="16:39" x14ac:dyDescent="0.25">
      <c r="P5823" s="49"/>
      <c r="Q5823" s="1"/>
      <c r="S5823" s="1"/>
      <c r="T5823" s="1"/>
      <c r="U5823" s="1"/>
      <c r="V5823" s="1"/>
      <c r="W5823" s="1"/>
      <c r="X5823" s="1"/>
      <c r="Y5823" s="1"/>
      <c r="AB5823" s="1"/>
      <c r="AC5823" s="1"/>
      <c r="AD5823" s="1"/>
      <c r="AE5823" s="1"/>
      <c r="AF5823" s="1"/>
      <c r="AG5823" s="1"/>
      <c r="AH5823" s="1"/>
      <c r="AI5823" s="1"/>
      <c r="AJ5823" s="1"/>
      <c r="AK5823" s="1"/>
      <c r="AL5823" s="1"/>
      <c r="AM5823" s="1"/>
    </row>
    <row r="5824" spans="16:39" x14ac:dyDescent="0.25">
      <c r="P5824" s="49"/>
      <c r="Q5824" s="1"/>
      <c r="S5824" s="1"/>
      <c r="T5824" s="1"/>
      <c r="U5824" s="1"/>
      <c r="V5824" s="1"/>
      <c r="W5824" s="1"/>
      <c r="X5824" s="1"/>
      <c r="Y5824" s="1"/>
      <c r="AB5824" s="1"/>
      <c r="AC5824" s="1"/>
      <c r="AD5824" s="1"/>
      <c r="AE5824" s="1"/>
      <c r="AF5824" s="1"/>
      <c r="AG5824" s="1"/>
      <c r="AH5824" s="1"/>
      <c r="AI5824" s="1"/>
      <c r="AJ5824" s="1"/>
      <c r="AK5824" s="1"/>
      <c r="AL5824" s="1"/>
      <c r="AM5824" s="1"/>
    </row>
    <row r="5825" spans="16:39" x14ac:dyDescent="0.25">
      <c r="P5825" s="49"/>
      <c r="Q5825" s="1"/>
      <c r="S5825" s="1"/>
      <c r="T5825" s="1"/>
      <c r="U5825" s="1"/>
      <c r="V5825" s="1"/>
      <c r="W5825" s="1"/>
      <c r="X5825" s="1"/>
      <c r="Y5825" s="1"/>
      <c r="AB5825" s="1"/>
      <c r="AC5825" s="1"/>
      <c r="AD5825" s="1"/>
      <c r="AE5825" s="1"/>
      <c r="AF5825" s="1"/>
      <c r="AG5825" s="1"/>
      <c r="AH5825" s="1"/>
      <c r="AI5825" s="1"/>
      <c r="AJ5825" s="1"/>
      <c r="AK5825" s="1"/>
      <c r="AL5825" s="1"/>
      <c r="AM5825" s="1"/>
    </row>
    <row r="5826" spans="16:39" x14ac:dyDescent="0.25">
      <c r="P5826" s="49"/>
      <c r="Q5826" s="1"/>
      <c r="S5826" s="1"/>
      <c r="T5826" s="1"/>
      <c r="U5826" s="1"/>
      <c r="V5826" s="1"/>
      <c r="W5826" s="1"/>
      <c r="X5826" s="1"/>
      <c r="Y5826" s="1"/>
      <c r="AB5826" s="1"/>
      <c r="AC5826" s="1"/>
      <c r="AD5826" s="1"/>
      <c r="AE5826" s="1"/>
      <c r="AF5826" s="1"/>
      <c r="AG5826" s="1"/>
      <c r="AH5826" s="1"/>
      <c r="AI5826" s="1"/>
      <c r="AJ5826" s="1"/>
      <c r="AK5826" s="1"/>
      <c r="AL5826" s="1"/>
      <c r="AM5826" s="1"/>
    </row>
    <row r="5827" spans="16:39" x14ac:dyDescent="0.25">
      <c r="P5827" s="49"/>
      <c r="Q5827" s="1"/>
      <c r="S5827" s="1"/>
      <c r="T5827" s="1"/>
      <c r="U5827" s="1"/>
      <c r="V5827" s="1"/>
      <c r="W5827" s="1"/>
      <c r="X5827" s="1"/>
      <c r="Y5827" s="1"/>
      <c r="AB5827" s="1"/>
      <c r="AC5827" s="1"/>
      <c r="AD5827" s="1"/>
      <c r="AE5827" s="1"/>
      <c r="AF5827" s="1"/>
      <c r="AG5827" s="1"/>
      <c r="AH5827" s="1"/>
      <c r="AI5827" s="1"/>
      <c r="AJ5827" s="1"/>
      <c r="AK5827" s="1"/>
      <c r="AL5827" s="1"/>
      <c r="AM5827" s="1"/>
    </row>
    <row r="5828" spans="16:39" x14ac:dyDescent="0.25">
      <c r="P5828" s="49"/>
      <c r="Q5828" s="1"/>
      <c r="S5828" s="1"/>
      <c r="T5828" s="1"/>
      <c r="U5828" s="1"/>
      <c r="V5828" s="1"/>
      <c r="W5828" s="1"/>
      <c r="X5828" s="1"/>
      <c r="Y5828" s="1"/>
      <c r="AB5828" s="1"/>
      <c r="AC5828" s="1"/>
      <c r="AD5828" s="1"/>
      <c r="AE5828" s="1"/>
      <c r="AF5828" s="1"/>
      <c r="AG5828" s="1"/>
      <c r="AH5828" s="1"/>
      <c r="AI5828" s="1"/>
      <c r="AJ5828" s="1"/>
      <c r="AK5828" s="1"/>
      <c r="AL5828" s="1"/>
      <c r="AM5828" s="1"/>
    </row>
    <row r="5829" spans="16:39" x14ac:dyDescent="0.25">
      <c r="P5829" s="49"/>
      <c r="Q5829" s="1"/>
      <c r="S5829" s="1"/>
      <c r="T5829" s="1"/>
      <c r="U5829" s="1"/>
      <c r="V5829" s="1"/>
      <c r="W5829" s="1"/>
      <c r="X5829" s="1"/>
      <c r="Y5829" s="1"/>
      <c r="AB5829" s="1"/>
      <c r="AC5829" s="1"/>
      <c r="AD5829" s="1"/>
      <c r="AE5829" s="1"/>
      <c r="AF5829" s="1"/>
      <c r="AG5829" s="1"/>
      <c r="AH5829" s="1"/>
      <c r="AI5829" s="1"/>
      <c r="AJ5829" s="1"/>
      <c r="AK5829" s="1"/>
      <c r="AL5829" s="1"/>
      <c r="AM5829" s="1"/>
    </row>
    <row r="5830" spans="16:39" x14ac:dyDescent="0.25">
      <c r="P5830" s="49"/>
      <c r="Q5830" s="1"/>
      <c r="S5830" s="1"/>
      <c r="T5830" s="1"/>
      <c r="U5830" s="1"/>
      <c r="V5830" s="1"/>
      <c r="W5830" s="1"/>
      <c r="X5830" s="1"/>
      <c r="Y5830" s="1"/>
      <c r="AB5830" s="1"/>
      <c r="AC5830" s="1"/>
      <c r="AD5830" s="1"/>
      <c r="AE5830" s="1"/>
      <c r="AF5830" s="1"/>
      <c r="AG5830" s="1"/>
      <c r="AH5830" s="1"/>
      <c r="AI5830" s="1"/>
      <c r="AJ5830" s="1"/>
      <c r="AK5830" s="1"/>
      <c r="AL5830" s="1"/>
      <c r="AM5830" s="1"/>
    </row>
    <row r="5831" spans="16:39" x14ac:dyDescent="0.25">
      <c r="P5831" s="49"/>
      <c r="Q5831" s="1"/>
      <c r="S5831" s="1"/>
      <c r="T5831" s="1"/>
      <c r="U5831" s="1"/>
      <c r="V5831" s="1"/>
      <c r="W5831" s="1"/>
      <c r="X5831" s="1"/>
      <c r="Y5831" s="1"/>
      <c r="AB5831" s="1"/>
      <c r="AC5831" s="1"/>
      <c r="AD5831" s="1"/>
      <c r="AE5831" s="1"/>
      <c r="AF5831" s="1"/>
      <c r="AG5831" s="1"/>
      <c r="AH5831" s="1"/>
      <c r="AI5831" s="1"/>
      <c r="AJ5831" s="1"/>
      <c r="AK5831" s="1"/>
      <c r="AL5831" s="1"/>
      <c r="AM5831" s="1"/>
    </row>
    <row r="5832" spans="16:39" x14ac:dyDescent="0.25">
      <c r="P5832" s="49"/>
      <c r="Q5832" s="1"/>
      <c r="S5832" s="1"/>
      <c r="T5832" s="1"/>
      <c r="U5832" s="1"/>
      <c r="V5832" s="1"/>
      <c r="W5832" s="1"/>
      <c r="X5832" s="1"/>
      <c r="Y5832" s="1"/>
      <c r="AB5832" s="1"/>
      <c r="AC5832" s="1"/>
      <c r="AD5832" s="1"/>
      <c r="AE5832" s="1"/>
      <c r="AF5832" s="1"/>
      <c r="AG5832" s="1"/>
      <c r="AH5832" s="1"/>
      <c r="AI5832" s="1"/>
      <c r="AJ5832" s="1"/>
      <c r="AK5832" s="1"/>
      <c r="AL5832" s="1"/>
      <c r="AM5832" s="1"/>
    </row>
    <row r="5833" spans="16:39" x14ac:dyDescent="0.25">
      <c r="P5833" s="49"/>
      <c r="Q5833" s="1"/>
      <c r="S5833" s="1"/>
      <c r="T5833" s="1"/>
      <c r="U5833" s="1"/>
      <c r="V5833" s="1"/>
      <c r="W5833" s="1"/>
      <c r="X5833" s="1"/>
      <c r="Y5833" s="1"/>
      <c r="AB5833" s="1"/>
      <c r="AC5833" s="1"/>
      <c r="AD5833" s="1"/>
      <c r="AE5833" s="1"/>
      <c r="AF5833" s="1"/>
      <c r="AG5833" s="1"/>
      <c r="AH5833" s="1"/>
      <c r="AI5833" s="1"/>
      <c r="AJ5833" s="1"/>
      <c r="AK5833" s="1"/>
      <c r="AL5833" s="1"/>
      <c r="AM5833" s="1"/>
    </row>
    <row r="5834" spans="16:39" x14ac:dyDescent="0.25">
      <c r="P5834" s="49"/>
      <c r="Q5834" s="1"/>
      <c r="S5834" s="1"/>
      <c r="T5834" s="1"/>
      <c r="U5834" s="1"/>
      <c r="V5834" s="1"/>
      <c r="W5834" s="1"/>
      <c r="X5834" s="1"/>
      <c r="Y5834" s="1"/>
      <c r="AB5834" s="1"/>
      <c r="AC5834" s="1"/>
      <c r="AD5834" s="1"/>
      <c r="AE5834" s="1"/>
      <c r="AF5834" s="1"/>
      <c r="AG5834" s="1"/>
      <c r="AH5834" s="1"/>
      <c r="AI5834" s="1"/>
      <c r="AJ5834" s="1"/>
      <c r="AK5834" s="1"/>
      <c r="AL5834" s="1"/>
      <c r="AM5834" s="1"/>
    </row>
    <row r="5835" spans="16:39" x14ac:dyDescent="0.25">
      <c r="P5835" s="49"/>
      <c r="Q5835" s="1"/>
      <c r="S5835" s="1"/>
      <c r="T5835" s="1"/>
      <c r="U5835" s="1"/>
      <c r="V5835" s="1"/>
      <c r="W5835" s="1"/>
      <c r="X5835" s="1"/>
      <c r="Y5835" s="1"/>
      <c r="AB5835" s="1"/>
      <c r="AC5835" s="1"/>
      <c r="AD5835" s="1"/>
      <c r="AE5835" s="1"/>
      <c r="AF5835" s="1"/>
      <c r="AG5835" s="1"/>
      <c r="AH5835" s="1"/>
      <c r="AI5835" s="1"/>
      <c r="AJ5835" s="1"/>
      <c r="AK5835" s="1"/>
      <c r="AL5835" s="1"/>
      <c r="AM5835" s="1"/>
    </row>
    <row r="5836" spans="16:39" x14ac:dyDescent="0.25">
      <c r="P5836" s="49"/>
      <c r="Q5836" s="1"/>
      <c r="S5836" s="1"/>
      <c r="T5836" s="1"/>
      <c r="U5836" s="1"/>
      <c r="V5836" s="1"/>
      <c r="W5836" s="1"/>
      <c r="X5836" s="1"/>
      <c r="Y5836" s="1"/>
      <c r="AB5836" s="1"/>
      <c r="AC5836" s="1"/>
      <c r="AD5836" s="1"/>
      <c r="AE5836" s="1"/>
      <c r="AF5836" s="1"/>
      <c r="AG5836" s="1"/>
      <c r="AH5836" s="1"/>
      <c r="AI5836" s="1"/>
      <c r="AJ5836" s="1"/>
      <c r="AK5836" s="1"/>
      <c r="AL5836" s="1"/>
      <c r="AM5836" s="1"/>
    </row>
    <row r="5837" spans="16:39" x14ac:dyDescent="0.25">
      <c r="P5837" s="49"/>
      <c r="Q5837" s="1"/>
      <c r="S5837" s="1"/>
      <c r="T5837" s="1"/>
      <c r="U5837" s="1"/>
      <c r="V5837" s="1"/>
      <c r="W5837" s="1"/>
      <c r="X5837" s="1"/>
      <c r="Y5837" s="1"/>
      <c r="AB5837" s="1"/>
      <c r="AC5837" s="1"/>
      <c r="AD5837" s="1"/>
      <c r="AE5837" s="1"/>
      <c r="AF5837" s="1"/>
      <c r="AG5837" s="1"/>
      <c r="AH5837" s="1"/>
      <c r="AI5837" s="1"/>
      <c r="AJ5837" s="1"/>
      <c r="AK5837" s="1"/>
      <c r="AL5837" s="1"/>
      <c r="AM5837" s="1"/>
    </row>
    <row r="5838" spans="16:39" x14ac:dyDescent="0.25">
      <c r="P5838" s="49"/>
      <c r="Q5838" s="1"/>
      <c r="S5838" s="1"/>
      <c r="T5838" s="1"/>
      <c r="U5838" s="1"/>
      <c r="V5838" s="1"/>
      <c r="W5838" s="1"/>
      <c r="X5838" s="1"/>
      <c r="Y5838" s="1"/>
      <c r="AB5838" s="1"/>
      <c r="AC5838" s="1"/>
      <c r="AD5838" s="1"/>
      <c r="AE5838" s="1"/>
      <c r="AF5838" s="1"/>
      <c r="AG5838" s="1"/>
      <c r="AH5838" s="1"/>
      <c r="AI5838" s="1"/>
      <c r="AJ5838" s="1"/>
      <c r="AK5838" s="1"/>
      <c r="AL5838" s="1"/>
      <c r="AM5838" s="1"/>
    </row>
    <row r="5839" spans="16:39" x14ac:dyDescent="0.25">
      <c r="P5839" s="49"/>
      <c r="Q5839" s="1"/>
      <c r="S5839" s="1"/>
      <c r="T5839" s="1"/>
      <c r="U5839" s="1"/>
      <c r="V5839" s="1"/>
      <c r="W5839" s="1"/>
      <c r="X5839" s="1"/>
      <c r="Y5839" s="1"/>
      <c r="AB5839" s="1"/>
      <c r="AC5839" s="1"/>
      <c r="AD5839" s="1"/>
      <c r="AE5839" s="1"/>
      <c r="AF5839" s="1"/>
      <c r="AG5839" s="1"/>
      <c r="AH5839" s="1"/>
      <c r="AI5839" s="1"/>
      <c r="AJ5839" s="1"/>
      <c r="AK5839" s="1"/>
      <c r="AL5839" s="1"/>
      <c r="AM5839" s="1"/>
    </row>
    <row r="5840" spans="16:39" x14ac:dyDescent="0.25">
      <c r="P5840" s="49"/>
      <c r="Q5840" s="1"/>
      <c r="S5840" s="1"/>
      <c r="T5840" s="1"/>
      <c r="U5840" s="1"/>
      <c r="V5840" s="1"/>
      <c r="W5840" s="1"/>
      <c r="X5840" s="1"/>
      <c r="Y5840" s="1"/>
      <c r="AB5840" s="1"/>
      <c r="AC5840" s="1"/>
      <c r="AD5840" s="1"/>
      <c r="AE5840" s="1"/>
      <c r="AF5840" s="1"/>
      <c r="AG5840" s="1"/>
      <c r="AH5840" s="1"/>
      <c r="AI5840" s="1"/>
      <c r="AJ5840" s="1"/>
      <c r="AK5840" s="1"/>
      <c r="AL5840" s="1"/>
      <c r="AM5840" s="1"/>
    </row>
    <row r="5841" spans="16:39" x14ac:dyDescent="0.25">
      <c r="P5841" s="49"/>
      <c r="Q5841" s="1"/>
      <c r="S5841" s="1"/>
      <c r="T5841" s="1"/>
      <c r="U5841" s="1"/>
      <c r="V5841" s="1"/>
      <c r="W5841" s="1"/>
      <c r="X5841" s="1"/>
      <c r="Y5841" s="1"/>
      <c r="AB5841" s="1"/>
      <c r="AC5841" s="1"/>
      <c r="AD5841" s="1"/>
      <c r="AE5841" s="1"/>
      <c r="AF5841" s="1"/>
      <c r="AG5841" s="1"/>
      <c r="AH5841" s="1"/>
      <c r="AI5841" s="1"/>
      <c r="AJ5841" s="1"/>
      <c r="AK5841" s="1"/>
      <c r="AL5841" s="1"/>
      <c r="AM5841" s="1"/>
    </row>
    <row r="5842" spans="16:39" x14ac:dyDescent="0.25">
      <c r="P5842" s="49"/>
      <c r="Q5842" s="1"/>
      <c r="S5842" s="1"/>
      <c r="T5842" s="1"/>
      <c r="U5842" s="1"/>
      <c r="V5842" s="1"/>
      <c r="W5842" s="1"/>
      <c r="X5842" s="1"/>
      <c r="Y5842" s="1"/>
      <c r="AB5842" s="1"/>
      <c r="AC5842" s="1"/>
      <c r="AD5842" s="1"/>
      <c r="AE5842" s="1"/>
      <c r="AF5842" s="1"/>
      <c r="AG5842" s="1"/>
      <c r="AH5842" s="1"/>
      <c r="AI5842" s="1"/>
      <c r="AJ5842" s="1"/>
      <c r="AK5842" s="1"/>
      <c r="AL5842" s="1"/>
      <c r="AM5842" s="1"/>
    </row>
    <row r="5843" spans="16:39" x14ac:dyDescent="0.25">
      <c r="P5843" s="49"/>
      <c r="Q5843" s="1"/>
      <c r="S5843" s="1"/>
      <c r="T5843" s="1"/>
      <c r="U5843" s="1"/>
      <c r="V5843" s="1"/>
      <c r="W5843" s="1"/>
      <c r="X5843" s="1"/>
      <c r="Y5843" s="1"/>
      <c r="AB5843" s="1"/>
      <c r="AC5843" s="1"/>
      <c r="AD5843" s="1"/>
      <c r="AE5843" s="1"/>
      <c r="AF5843" s="1"/>
      <c r="AG5843" s="1"/>
      <c r="AH5843" s="1"/>
      <c r="AI5843" s="1"/>
      <c r="AJ5843" s="1"/>
      <c r="AK5843" s="1"/>
      <c r="AL5843" s="1"/>
      <c r="AM5843" s="1"/>
    </row>
    <row r="5844" spans="16:39" x14ac:dyDescent="0.25">
      <c r="P5844" s="49"/>
      <c r="Q5844" s="1"/>
      <c r="S5844" s="1"/>
      <c r="T5844" s="1"/>
      <c r="U5844" s="1"/>
      <c r="V5844" s="1"/>
      <c r="W5844" s="1"/>
      <c r="X5844" s="1"/>
      <c r="Y5844" s="1"/>
      <c r="AB5844" s="1"/>
      <c r="AC5844" s="1"/>
      <c r="AD5844" s="1"/>
      <c r="AE5844" s="1"/>
      <c r="AF5844" s="1"/>
      <c r="AG5844" s="1"/>
      <c r="AH5844" s="1"/>
      <c r="AI5844" s="1"/>
      <c r="AJ5844" s="1"/>
      <c r="AK5844" s="1"/>
      <c r="AL5844" s="1"/>
      <c r="AM5844" s="1"/>
    </row>
    <row r="5845" spans="16:39" x14ac:dyDescent="0.25">
      <c r="P5845" s="49"/>
      <c r="Q5845" s="1"/>
      <c r="S5845" s="1"/>
      <c r="T5845" s="1"/>
      <c r="U5845" s="1"/>
      <c r="V5845" s="1"/>
      <c r="W5845" s="1"/>
      <c r="X5845" s="1"/>
      <c r="Y5845" s="1"/>
      <c r="AB5845" s="1"/>
      <c r="AC5845" s="1"/>
      <c r="AD5845" s="1"/>
      <c r="AE5845" s="1"/>
      <c r="AF5845" s="1"/>
      <c r="AG5845" s="1"/>
      <c r="AH5845" s="1"/>
      <c r="AI5845" s="1"/>
      <c r="AJ5845" s="1"/>
      <c r="AK5845" s="1"/>
      <c r="AL5845" s="1"/>
      <c r="AM5845" s="1"/>
    </row>
    <row r="5846" spans="16:39" x14ac:dyDescent="0.25">
      <c r="P5846" s="49"/>
      <c r="Q5846" s="1"/>
      <c r="S5846" s="1"/>
      <c r="T5846" s="1"/>
      <c r="U5846" s="1"/>
      <c r="V5846" s="1"/>
      <c r="W5846" s="1"/>
      <c r="X5846" s="1"/>
      <c r="Y5846" s="1"/>
      <c r="AB5846" s="1"/>
      <c r="AC5846" s="1"/>
      <c r="AD5846" s="1"/>
      <c r="AE5846" s="1"/>
      <c r="AF5846" s="1"/>
      <c r="AG5846" s="1"/>
      <c r="AH5846" s="1"/>
      <c r="AI5846" s="1"/>
      <c r="AJ5846" s="1"/>
      <c r="AK5846" s="1"/>
      <c r="AL5846" s="1"/>
      <c r="AM5846" s="1"/>
    </row>
    <row r="5847" spans="16:39" x14ac:dyDescent="0.25">
      <c r="P5847" s="49"/>
      <c r="Q5847" s="1"/>
      <c r="S5847" s="1"/>
      <c r="T5847" s="1"/>
      <c r="U5847" s="1"/>
      <c r="V5847" s="1"/>
      <c r="W5847" s="1"/>
      <c r="X5847" s="1"/>
      <c r="Y5847" s="1"/>
      <c r="AB5847" s="1"/>
      <c r="AC5847" s="1"/>
      <c r="AD5847" s="1"/>
      <c r="AE5847" s="1"/>
      <c r="AF5847" s="1"/>
      <c r="AG5847" s="1"/>
      <c r="AH5847" s="1"/>
      <c r="AI5847" s="1"/>
      <c r="AJ5847" s="1"/>
      <c r="AK5847" s="1"/>
      <c r="AL5847" s="1"/>
      <c r="AM5847" s="1"/>
    </row>
    <row r="5848" spans="16:39" x14ac:dyDescent="0.25">
      <c r="P5848" s="49"/>
      <c r="Q5848" s="1"/>
      <c r="S5848" s="1"/>
      <c r="T5848" s="1"/>
      <c r="U5848" s="1"/>
      <c r="V5848" s="1"/>
      <c r="W5848" s="1"/>
      <c r="X5848" s="1"/>
      <c r="Y5848" s="1"/>
      <c r="AB5848" s="1"/>
      <c r="AC5848" s="1"/>
      <c r="AD5848" s="1"/>
      <c r="AE5848" s="1"/>
      <c r="AF5848" s="1"/>
      <c r="AG5848" s="1"/>
      <c r="AH5848" s="1"/>
      <c r="AI5848" s="1"/>
      <c r="AJ5848" s="1"/>
      <c r="AK5848" s="1"/>
      <c r="AL5848" s="1"/>
      <c r="AM5848" s="1"/>
    </row>
    <row r="5849" spans="16:39" x14ac:dyDescent="0.25">
      <c r="P5849" s="49"/>
      <c r="Q5849" s="1"/>
      <c r="S5849" s="1"/>
      <c r="T5849" s="1"/>
      <c r="U5849" s="1"/>
      <c r="V5849" s="1"/>
      <c r="W5849" s="1"/>
      <c r="X5849" s="1"/>
      <c r="Y5849" s="1"/>
      <c r="AB5849" s="1"/>
      <c r="AC5849" s="1"/>
      <c r="AD5849" s="1"/>
      <c r="AE5849" s="1"/>
      <c r="AF5849" s="1"/>
      <c r="AG5849" s="1"/>
      <c r="AH5849" s="1"/>
      <c r="AI5849" s="1"/>
      <c r="AJ5849" s="1"/>
      <c r="AK5849" s="1"/>
      <c r="AL5849" s="1"/>
      <c r="AM5849" s="1"/>
    </row>
    <row r="5850" spans="16:39" x14ac:dyDescent="0.25">
      <c r="P5850" s="49"/>
      <c r="Q5850" s="1"/>
      <c r="S5850" s="1"/>
      <c r="T5850" s="1"/>
      <c r="U5850" s="1"/>
      <c r="V5850" s="1"/>
      <c r="W5850" s="1"/>
      <c r="X5850" s="1"/>
      <c r="Y5850" s="1"/>
      <c r="AB5850" s="1"/>
      <c r="AC5850" s="1"/>
      <c r="AD5850" s="1"/>
      <c r="AE5850" s="1"/>
      <c r="AF5850" s="1"/>
      <c r="AG5850" s="1"/>
      <c r="AH5850" s="1"/>
      <c r="AI5850" s="1"/>
      <c r="AJ5850" s="1"/>
      <c r="AK5850" s="1"/>
      <c r="AL5850" s="1"/>
      <c r="AM5850" s="1"/>
    </row>
    <row r="5851" spans="16:39" x14ac:dyDescent="0.25">
      <c r="P5851" s="49"/>
      <c r="Q5851" s="1"/>
      <c r="S5851" s="1"/>
      <c r="T5851" s="1"/>
      <c r="U5851" s="1"/>
      <c r="V5851" s="1"/>
      <c r="W5851" s="1"/>
      <c r="X5851" s="1"/>
      <c r="Y5851" s="1"/>
      <c r="AB5851" s="1"/>
      <c r="AC5851" s="1"/>
      <c r="AD5851" s="1"/>
      <c r="AE5851" s="1"/>
      <c r="AF5851" s="1"/>
      <c r="AG5851" s="1"/>
      <c r="AH5851" s="1"/>
      <c r="AI5851" s="1"/>
      <c r="AJ5851" s="1"/>
      <c r="AK5851" s="1"/>
      <c r="AL5851" s="1"/>
      <c r="AM5851" s="1"/>
    </row>
    <row r="5852" spans="16:39" x14ac:dyDescent="0.25">
      <c r="P5852" s="49"/>
      <c r="Q5852" s="1"/>
      <c r="S5852" s="1"/>
      <c r="T5852" s="1"/>
      <c r="U5852" s="1"/>
      <c r="V5852" s="1"/>
      <c r="W5852" s="1"/>
      <c r="X5852" s="1"/>
      <c r="Y5852" s="1"/>
      <c r="AB5852" s="1"/>
      <c r="AC5852" s="1"/>
      <c r="AD5852" s="1"/>
      <c r="AE5852" s="1"/>
      <c r="AF5852" s="1"/>
      <c r="AG5852" s="1"/>
      <c r="AH5852" s="1"/>
      <c r="AI5852" s="1"/>
      <c r="AJ5852" s="1"/>
      <c r="AK5852" s="1"/>
      <c r="AL5852" s="1"/>
      <c r="AM5852" s="1"/>
    </row>
    <row r="5853" spans="16:39" x14ac:dyDescent="0.25">
      <c r="P5853" s="49"/>
      <c r="Q5853" s="1"/>
      <c r="S5853" s="1"/>
      <c r="T5853" s="1"/>
      <c r="U5853" s="1"/>
      <c r="V5853" s="1"/>
      <c r="W5853" s="1"/>
      <c r="X5853" s="1"/>
      <c r="Y5853" s="1"/>
      <c r="AB5853" s="1"/>
      <c r="AC5853" s="1"/>
      <c r="AD5853" s="1"/>
      <c r="AE5853" s="1"/>
      <c r="AF5853" s="1"/>
      <c r="AG5853" s="1"/>
      <c r="AH5853" s="1"/>
      <c r="AI5853" s="1"/>
      <c r="AJ5853" s="1"/>
      <c r="AK5853" s="1"/>
      <c r="AL5853" s="1"/>
      <c r="AM5853" s="1"/>
    </row>
    <row r="5854" spans="16:39" x14ac:dyDescent="0.25">
      <c r="P5854" s="49"/>
      <c r="Q5854" s="1"/>
      <c r="S5854" s="1"/>
      <c r="T5854" s="1"/>
      <c r="U5854" s="1"/>
      <c r="V5854" s="1"/>
      <c r="W5854" s="1"/>
      <c r="X5854" s="1"/>
      <c r="Y5854" s="1"/>
      <c r="AB5854" s="1"/>
      <c r="AC5854" s="1"/>
      <c r="AD5854" s="1"/>
      <c r="AE5854" s="1"/>
      <c r="AF5854" s="1"/>
      <c r="AG5854" s="1"/>
      <c r="AH5854" s="1"/>
      <c r="AI5854" s="1"/>
      <c r="AJ5854" s="1"/>
      <c r="AK5854" s="1"/>
      <c r="AL5854" s="1"/>
      <c r="AM5854" s="1"/>
    </row>
    <row r="5855" spans="16:39" x14ac:dyDescent="0.25">
      <c r="P5855" s="49"/>
      <c r="Q5855" s="1"/>
      <c r="S5855" s="1"/>
      <c r="T5855" s="1"/>
      <c r="U5855" s="1"/>
      <c r="V5855" s="1"/>
      <c r="W5855" s="1"/>
      <c r="X5855" s="1"/>
      <c r="Y5855" s="1"/>
      <c r="AB5855" s="1"/>
      <c r="AC5855" s="1"/>
      <c r="AD5855" s="1"/>
      <c r="AE5855" s="1"/>
      <c r="AF5855" s="1"/>
      <c r="AG5855" s="1"/>
      <c r="AH5855" s="1"/>
      <c r="AI5855" s="1"/>
      <c r="AJ5855" s="1"/>
      <c r="AK5855" s="1"/>
      <c r="AL5855" s="1"/>
      <c r="AM5855" s="1"/>
    </row>
    <row r="5856" spans="16:39" x14ac:dyDescent="0.25">
      <c r="P5856" s="49"/>
      <c r="Q5856" s="1"/>
      <c r="S5856" s="1"/>
      <c r="T5856" s="1"/>
      <c r="U5856" s="1"/>
      <c r="V5856" s="1"/>
      <c r="W5856" s="1"/>
      <c r="X5856" s="1"/>
      <c r="Y5856" s="1"/>
      <c r="AB5856" s="1"/>
      <c r="AC5856" s="1"/>
      <c r="AD5856" s="1"/>
      <c r="AE5856" s="1"/>
      <c r="AF5856" s="1"/>
      <c r="AG5856" s="1"/>
      <c r="AH5856" s="1"/>
      <c r="AI5856" s="1"/>
      <c r="AJ5856" s="1"/>
      <c r="AK5856" s="1"/>
      <c r="AL5856" s="1"/>
      <c r="AM5856" s="1"/>
    </row>
    <row r="5857" spans="16:39" x14ac:dyDescent="0.25">
      <c r="P5857" s="49"/>
      <c r="Q5857" s="1"/>
      <c r="S5857" s="1"/>
      <c r="T5857" s="1"/>
      <c r="U5857" s="1"/>
      <c r="V5857" s="1"/>
      <c r="W5857" s="1"/>
      <c r="X5857" s="1"/>
      <c r="Y5857" s="1"/>
      <c r="AB5857" s="1"/>
      <c r="AC5857" s="1"/>
      <c r="AD5857" s="1"/>
      <c r="AE5857" s="1"/>
      <c r="AF5857" s="1"/>
      <c r="AG5857" s="1"/>
      <c r="AH5857" s="1"/>
      <c r="AI5857" s="1"/>
      <c r="AJ5857" s="1"/>
      <c r="AK5857" s="1"/>
      <c r="AL5857" s="1"/>
      <c r="AM5857" s="1"/>
    </row>
    <row r="5858" spans="16:39" x14ac:dyDescent="0.25">
      <c r="P5858" s="49"/>
      <c r="Q5858" s="1"/>
      <c r="S5858" s="1"/>
      <c r="T5858" s="1"/>
      <c r="U5858" s="1"/>
      <c r="V5858" s="1"/>
      <c r="W5858" s="1"/>
      <c r="X5858" s="1"/>
      <c r="Y5858" s="1"/>
      <c r="AB5858" s="1"/>
      <c r="AC5858" s="1"/>
      <c r="AD5858" s="1"/>
      <c r="AE5858" s="1"/>
      <c r="AF5858" s="1"/>
      <c r="AG5858" s="1"/>
      <c r="AH5858" s="1"/>
      <c r="AI5858" s="1"/>
      <c r="AJ5858" s="1"/>
      <c r="AK5858" s="1"/>
      <c r="AL5858" s="1"/>
      <c r="AM5858" s="1"/>
    </row>
    <row r="5859" spans="16:39" x14ac:dyDescent="0.25">
      <c r="P5859" s="49"/>
      <c r="Q5859" s="1"/>
      <c r="S5859" s="1"/>
      <c r="T5859" s="1"/>
      <c r="U5859" s="1"/>
      <c r="V5859" s="1"/>
      <c r="W5859" s="1"/>
      <c r="X5859" s="1"/>
      <c r="Y5859" s="1"/>
      <c r="AB5859" s="1"/>
      <c r="AC5859" s="1"/>
      <c r="AD5859" s="1"/>
      <c r="AE5859" s="1"/>
      <c r="AF5859" s="1"/>
      <c r="AG5859" s="1"/>
      <c r="AH5859" s="1"/>
      <c r="AI5859" s="1"/>
      <c r="AJ5859" s="1"/>
      <c r="AK5859" s="1"/>
      <c r="AL5859" s="1"/>
      <c r="AM5859" s="1"/>
    </row>
    <row r="5860" spans="16:39" x14ac:dyDescent="0.25">
      <c r="P5860" s="49"/>
      <c r="Q5860" s="1"/>
      <c r="S5860" s="1"/>
      <c r="T5860" s="1"/>
      <c r="U5860" s="1"/>
      <c r="V5860" s="1"/>
      <c r="W5860" s="1"/>
      <c r="X5860" s="1"/>
      <c r="Y5860" s="1"/>
      <c r="AB5860" s="1"/>
      <c r="AC5860" s="1"/>
      <c r="AD5860" s="1"/>
      <c r="AE5860" s="1"/>
      <c r="AF5860" s="1"/>
      <c r="AG5860" s="1"/>
      <c r="AH5860" s="1"/>
      <c r="AI5860" s="1"/>
      <c r="AJ5860" s="1"/>
      <c r="AK5860" s="1"/>
      <c r="AL5860" s="1"/>
      <c r="AM5860" s="1"/>
    </row>
    <row r="5861" spans="16:39" x14ac:dyDescent="0.25">
      <c r="P5861" s="49"/>
      <c r="Q5861" s="1"/>
      <c r="S5861" s="1"/>
      <c r="T5861" s="1"/>
      <c r="U5861" s="1"/>
      <c r="V5861" s="1"/>
      <c r="W5861" s="1"/>
      <c r="X5861" s="1"/>
      <c r="Y5861" s="1"/>
      <c r="AB5861" s="1"/>
      <c r="AC5861" s="1"/>
      <c r="AD5861" s="1"/>
      <c r="AE5861" s="1"/>
      <c r="AF5861" s="1"/>
      <c r="AG5861" s="1"/>
      <c r="AH5861" s="1"/>
      <c r="AI5861" s="1"/>
      <c r="AJ5861" s="1"/>
      <c r="AK5861" s="1"/>
      <c r="AL5861" s="1"/>
      <c r="AM5861" s="1"/>
    </row>
    <row r="5862" spans="16:39" x14ac:dyDescent="0.25">
      <c r="P5862" s="49"/>
      <c r="Q5862" s="1"/>
      <c r="S5862" s="1"/>
      <c r="T5862" s="1"/>
      <c r="U5862" s="1"/>
      <c r="V5862" s="1"/>
      <c r="W5862" s="1"/>
      <c r="X5862" s="1"/>
      <c r="Y5862" s="1"/>
      <c r="AB5862" s="1"/>
      <c r="AC5862" s="1"/>
      <c r="AD5862" s="1"/>
      <c r="AE5862" s="1"/>
      <c r="AF5862" s="1"/>
      <c r="AG5862" s="1"/>
      <c r="AH5862" s="1"/>
      <c r="AI5862" s="1"/>
      <c r="AJ5862" s="1"/>
      <c r="AK5862" s="1"/>
      <c r="AL5862" s="1"/>
      <c r="AM5862" s="1"/>
    </row>
    <row r="5863" spans="16:39" x14ac:dyDescent="0.25">
      <c r="P5863" s="49"/>
      <c r="Q5863" s="1"/>
      <c r="S5863" s="1"/>
      <c r="T5863" s="1"/>
      <c r="U5863" s="1"/>
      <c r="V5863" s="1"/>
      <c r="W5863" s="1"/>
      <c r="X5863" s="1"/>
      <c r="Y5863" s="1"/>
      <c r="AB5863" s="1"/>
      <c r="AC5863" s="1"/>
      <c r="AD5863" s="1"/>
      <c r="AE5863" s="1"/>
      <c r="AF5863" s="1"/>
      <c r="AG5863" s="1"/>
      <c r="AH5863" s="1"/>
      <c r="AI5863" s="1"/>
      <c r="AJ5863" s="1"/>
      <c r="AK5863" s="1"/>
      <c r="AL5863" s="1"/>
      <c r="AM5863" s="1"/>
    </row>
    <row r="5864" spans="16:39" x14ac:dyDescent="0.25">
      <c r="P5864" s="49"/>
      <c r="Q5864" s="1"/>
      <c r="S5864" s="1"/>
      <c r="T5864" s="1"/>
      <c r="U5864" s="1"/>
      <c r="V5864" s="1"/>
      <c r="W5864" s="1"/>
      <c r="X5864" s="1"/>
      <c r="Y5864" s="1"/>
      <c r="AB5864" s="1"/>
      <c r="AC5864" s="1"/>
      <c r="AD5864" s="1"/>
      <c r="AE5864" s="1"/>
      <c r="AF5864" s="1"/>
      <c r="AG5864" s="1"/>
      <c r="AH5864" s="1"/>
      <c r="AI5864" s="1"/>
      <c r="AJ5864" s="1"/>
      <c r="AK5864" s="1"/>
      <c r="AL5864" s="1"/>
      <c r="AM5864" s="1"/>
    </row>
    <row r="5865" spans="16:39" x14ac:dyDescent="0.25">
      <c r="P5865" s="49"/>
      <c r="Q5865" s="1"/>
      <c r="S5865" s="1"/>
      <c r="T5865" s="1"/>
      <c r="U5865" s="1"/>
      <c r="V5865" s="1"/>
      <c r="W5865" s="1"/>
      <c r="X5865" s="1"/>
      <c r="Y5865" s="1"/>
      <c r="AB5865" s="1"/>
      <c r="AC5865" s="1"/>
      <c r="AD5865" s="1"/>
      <c r="AE5865" s="1"/>
      <c r="AF5865" s="1"/>
      <c r="AG5865" s="1"/>
      <c r="AH5865" s="1"/>
      <c r="AI5865" s="1"/>
      <c r="AJ5865" s="1"/>
      <c r="AK5865" s="1"/>
      <c r="AL5865" s="1"/>
      <c r="AM5865" s="1"/>
    </row>
    <row r="5866" spans="16:39" x14ac:dyDescent="0.25">
      <c r="P5866" s="49"/>
      <c r="Q5866" s="1"/>
      <c r="S5866" s="1"/>
      <c r="T5866" s="1"/>
      <c r="U5866" s="1"/>
      <c r="V5866" s="1"/>
      <c r="W5866" s="1"/>
      <c r="X5866" s="1"/>
      <c r="Y5866" s="1"/>
      <c r="AB5866" s="1"/>
      <c r="AC5866" s="1"/>
      <c r="AD5866" s="1"/>
      <c r="AE5866" s="1"/>
      <c r="AF5866" s="1"/>
      <c r="AG5866" s="1"/>
      <c r="AH5866" s="1"/>
      <c r="AI5866" s="1"/>
      <c r="AJ5866" s="1"/>
      <c r="AK5866" s="1"/>
      <c r="AL5866" s="1"/>
      <c r="AM5866" s="1"/>
    </row>
    <row r="5867" spans="16:39" x14ac:dyDescent="0.25">
      <c r="P5867" s="49"/>
      <c r="Q5867" s="1"/>
      <c r="S5867" s="1"/>
      <c r="T5867" s="1"/>
      <c r="U5867" s="1"/>
      <c r="V5867" s="1"/>
      <c r="W5867" s="1"/>
      <c r="X5867" s="1"/>
      <c r="Y5867" s="1"/>
      <c r="AB5867" s="1"/>
      <c r="AC5867" s="1"/>
      <c r="AD5867" s="1"/>
      <c r="AE5867" s="1"/>
      <c r="AF5867" s="1"/>
      <c r="AG5867" s="1"/>
      <c r="AH5867" s="1"/>
      <c r="AI5867" s="1"/>
      <c r="AJ5867" s="1"/>
      <c r="AK5867" s="1"/>
      <c r="AL5867" s="1"/>
      <c r="AM5867" s="1"/>
    </row>
    <row r="5868" spans="16:39" x14ac:dyDescent="0.25">
      <c r="P5868" s="49"/>
      <c r="Q5868" s="1"/>
      <c r="S5868" s="1"/>
      <c r="T5868" s="1"/>
      <c r="U5868" s="1"/>
      <c r="V5868" s="1"/>
      <c r="W5868" s="1"/>
      <c r="X5868" s="1"/>
      <c r="Y5868" s="1"/>
      <c r="AB5868" s="1"/>
      <c r="AC5868" s="1"/>
      <c r="AD5868" s="1"/>
      <c r="AE5868" s="1"/>
      <c r="AF5868" s="1"/>
      <c r="AG5868" s="1"/>
      <c r="AH5868" s="1"/>
      <c r="AI5868" s="1"/>
      <c r="AJ5868" s="1"/>
      <c r="AK5868" s="1"/>
      <c r="AL5868" s="1"/>
      <c r="AM5868" s="1"/>
    </row>
    <row r="5869" spans="16:39" x14ac:dyDescent="0.25">
      <c r="P5869" s="49"/>
      <c r="Q5869" s="1"/>
      <c r="S5869" s="1"/>
      <c r="T5869" s="1"/>
      <c r="U5869" s="1"/>
      <c r="V5869" s="1"/>
      <c r="W5869" s="1"/>
      <c r="X5869" s="1"/>
      <c r="Y5869" s="1"/>
      <c r="AB5869" s="1"/>
      <c r="AC5869" s="1"/>
      <c r="AD5869" s="1"/>
      <c r="AE5869" s="1"/>
      <c r="AF5869" s="1"/>
      <c r="AG5869" s="1"/>
      <c r="AH5869" s="1"/>
      <c r="AI5869" s="1"/>
      <c r="AJ5869" s="1"/>
      <c r="AK5869" s="1"/>
      <c r="AL5869" s="1"/>
      <c r="AM5869" s="1"/>
    </row>
    <row r="5870" spans="16:39" x14ac:dyDescent="0.25">
      <c r="P5870" s="49"/>
      <c r="Q5870" s="1"/>
      <c r="S5870" s="1"/>
      <c r="T5870" s="1"/>
      <c r="U5870" s="1"/>
      <c r="V5870" s="1"/>
      <c r="W5870" s="1"/>
      <c r="X5870" s="1"/>
      <c r="Y5870" s="1"/>
      <c r="AB5870" s="1"/>
      <c r="AC5870" s="1"/>
      <c r="AD5870" s="1"/>
      <c r="AE5870" s="1"/>
      <c r="AF5870" s="1"/>
      <c r="AG5870" s="1"/>
      <c r="AH5870" s="1"/>
      <c r="AI5870" s="1"/>
      <c r="AJ5870" s="1"/>
      <c r="AK5870" s="1"/>
      <c r="AL5870" s="1"/>
      <c r="AM5870" s="1"/>
    </row>
    <row r="5871" spans="16:39" x14ac:dyDescent="0.25">
      <c r="P5871" s="49"/>
      <c r="Q5871" s="1"/>
      <c r="S5871" s="1"/>
      <c r="T5871" s="1"/>
      <c r="U5871" s="1"/>
      <c r="V5871" s="1"/>
      <c r="W5871" s="1"/>
      <c r="X5871" s="1"/>
      <c r="Y5871" s="1"/>
      <c r="AB5871" s="1"/>
      <c r="AC5871" s="1"/>
      <c r="AD5871" s="1"/>
      <c r="AE5871" s="1"/>
      <c r="AF5871" s="1"/>
      <c r="AG5871" s="1"/>
      <c r="AH5871" s="1"/>
      <c r="AI5871" s="1"/>
      <c r="AJ5871" s="1"/>
      <c r="AK5871" s="1"/>
      <c r="AL5871" s="1"/>
      <c r="AM5871" s="1"/>
    </row>
    <row r="5872" spans="16:39" x14ac:dyDescent="0.25">
      <c r="P5872" s="49"/>
      <c r="Q5872" s="1"/>
      <c r="S5872" s="1"/>
      <c r="T5872" s="1"/>
      <c r="U5872" s="1"/>
      <c r="V5872" s="1"/>
      <c r="W5872" s="1"/>
      <c r="X5872" s="1"/>
      <c r="Y5872" s="1"/>
      <c r="AB5872" s="1"/>
      <c r="AC5872" s="1"/>
      <c r="AD5872" s="1"/>
      <c r="AE5872" s="1"/>
      <c r="AF5872" s="1"/>
      <c r="AG5872" s="1"/>
      <c r="AH5872" s="1"/>
      <c r="AI5872" s="1"/>
      <c r="AJ5872" s="1"/>
      <c r="AK5872" s="1"/>
      <c r="AL5872" s="1"/>
      <c r="AM5872" s="1"/>
    </row>
    <row r="5873" spans="16:39" x14ac:dyDescent="0.25">
      <c r="P5873" s="49"/>
      <c r="Q5873" s="1"/>
      <c r="S5873" s="1"/>
      <c r="T5873" s="1"/>
      <c r="U5873" s="1"/>
      <c r="V5873" s="1"/>
      <c r="W5873" s="1"/>
      <c r="X5873" s="1"/>
      <c r="Y5873" s="1"/>
      <c r="AB5873" s="1"/>
      <c r="AC5873" s="1"/>
      <c r="AD5873" s="1"/>
      <c r="AE5873" s="1"/>
      <c r="AF5873" s="1"/>
      <c r="AG5873" s="1"/>
      <c r="AH5873" s="1"/>
      <c r="AI5873" s="1"/>
      <c r="AJ5873" s="1"/>
      <c r="AK5873" s="1"/>
      <c r="AL5873" s="1"/>
      <c r="AM5873" s="1"/>
    </row>
    <row r="5874" spans="16:39" x14ac:dyDescent="0.25">
      <c r="P5874" s="49"/>
      <c r="Q5874" s="1"/>
      <c r="S5874" s="1"/>
      <c r="T5874" s="1"/>
      <c r="U5874" s="1"/>
      <c r="V5874" s="1"/>
      <c r="W5874" s="1"/>
      <c r="X5874" s="1"/>
      <c r="Y5874" s="1"/>
      <c r="AB5874" s="1"/>
      <c r="AC5874" s="1"/>
      <c r="AD5874" s="1"/>
      <c r="AE5874" s="1"/>
      <c r="AF5874" s="1"/>
      <c r="AG5874" s="1"/>
      <c r="AH5874" s="1"/>
      <c r="AI5874" s="1"/>
      <c r="AJ5874" s="1"/>
      <c r="AK5874" s="1"/>
      <c r="AL5874" s="1"/>
      <c r="AM5874" s="1"/>
    </row>
    <row r="5875" spans="16:39" x14ac:dyDescent="0.25">
      <c r="P5875" s="49"/>
      <c r="Q5875" s="1"/>
      <c r="S5875" s="1"/>
      <c r="T5875" s="1"/>
      <c r="U5875" s="1"/>
      <c r="V5875" s="1"/>
      <c r="W5875" s="1"/>
      <c r="X5875" s="1"/>
      <c r="Y5875" s="1"/>
      <c r="AB5875" s="1"/>
      <c r="AC5875" s="1"/>
      <c r="AD5875" s="1"/>
      <c r="AE5875" s="1"/>
      <c r="AF5875" s="1"/>
      <c r="AG5875" s="1"/>
      <c r="AH5875" s="1"/>
      <c r="AI5875" s="1"/>
      <c r="AJ5875" s="1"/>
      <c r="AK5875" s="1"/>
      <c r="AL5875" s="1"/>
      <c r="AM5875" s="1"/>
    </row>
    <row r="5876" spans="16:39" x14ac:dyDescent="0.25">
      <c r="P5876" s="49"/>
      <c r="Q5876" s="1"/>
      <c r="S5876" s="1"/>
      <c r="T5876" s="1"/>
      <c r="U5876" s="1"/>
      <c r="V5876" s="1"/>
      <c r="W5876" s="1"/>
      <c r="X5876" s="1"/>
      <c r="Y5876" s="1"/>
      <c r="AB5876" s="1"/>
      <c r="AC5876" s="1"/>
      <c r="AD5876" s="1"/>
      <c r="AE5876" s="1"/>
      <c r="AF5876" s="1"/>
      <c r="AG5876" s="1"/>
      <c r="AH5876" s="1"/>
      <c r="AI5876" s="1"/>
      <c r="AJ5876" s="1"/>
      <c r="AK5876" s="1"/>
      <c r="AL5876" s="1"/>
      <c r="AM5876" s="1"/>
    </row>
    <row r="5877" spans="16:39" x14ac:dyDescent="0.25">
      <c r="P5877" s="49"/>
      <c r="Q5877" s="1"/>
      <c r="S5877" s="1"/>
      <c r="T5877" s="1"/>
      <c r="U5877" s="1"/>
      <c r="V5877" s="1"/>
      <c r="W5877" s="1"/>
      <c r="X5877" s="1"/>
      <c r="Y5877" s="1"/>
      <c r="AB5877" s="1"/>
      <c r="AC5877" s="1"/>
      <c r="AD5877" s="1"/>
      <c r="AE5877" s="1"/>
      <c r="AF5877" s="1"/>
      <c r="AG5877" s="1"/>
      <c r="AH5877" s="1"/>
      <c r="AI5877" s="1"/>
      <c r="AJ5877" s="1"/>
      <c r="AK5877" s="1"/>
      <c r="AL5877" s="1"/>
      <c r="AM5877" s="1"/>
    </row>
    <row r="5878" spans="16:39" x14ac:dyDescent="0.25">
      <c r="P5878" s="49"/>
      <c r="Q5878" s="1"/>
      <c r="S5878" s="1"/>
      <c r="T5878" s="1"/>
      <c r="U5878" s="1"/>
      <c r="V5878" s="1"/>
      <c r="W5878" s="1"/>
      <c r="X5878" s="1"/>
      <c r="Y5878" s="1"/>
      <c r="AB5878" s="1"/>
      <c r="AC5878" s="1"/>
      <c r="AD5878" s="1"/>
      <c r="AE5878" s="1"/>
      <c r="AF5878" s="1"/>
      <c r="AG5878" s="1"/>
      <c r="AH5878" s="1"/>
      <c r="AI5878" s="1"/>
      <c r="AJ5878" s="1"/>
      <c r="AK5878" s="1"/>
      <c r="AL5878" s="1"/>
      <c r="AM5878" s="1"/>
    </row>
    <row r="5879" spans="16:39" x14ac:dyDescent="0.25">
      <c r="P5879" s="49"/>
      <c r="Q5879" s="1"/>
      <c r="S5879" s="1"/>
      <c r="T5879" s="1"/>
      <c r="U5879" s="1"/>
      <c r="V5879" s="1"/>
      <c r="W5879" s="1"/>
      <c r="X5879" s="1"/>
      <c r="Y5879" s="1"/>
      <c r="AB5879" s="1"/>
      <c r="AC5879" s="1"/>
      <c r="AD5879" s="1"/>
      <c r="AE5879" s="1"/>
      <c r="AF5879" s="1"/>
      <c r="AG5879" s="1"/>
      <c r="AH5879" s="1"/>
      <c r="AI5879" s="1"/>
      <c r="AJ5879" s="1"/>
      <c r="AK5879" s="1"/>
      <c r="AL5879" s="1"/>
      <c r="AM5879" s="1"/>
    </row>
    <row r="5880" spans="16:39" x14ac:dyDescent="0.25">
      <c r="P5880" s="49"/>
      <c r="Q5880" s="1"/>
      <c r="S5880" s="1"/>
      <c r="T5880" s="1"/>
      <c r="U5880" s="1"/>
      <c r="V5880" s="1"/>
      <c r="W5880" s="1"/>
      <c r="X5880" s="1"/>
      <c r="Y5880" s="1"/>
      <c r="AB5880" s="1"/>
      <c r="AC5880" s="1"/>
      <c r="AD5880" s="1"/>
      <c r="AE5880" s="1"/>
      <c r="AF5880" s="1"/>
      <c r="AG5880" s="1"/>
      <c r="AH5880" s="1"/>
      <c r="AI5880" s="1"/>
      <c r="AJ5880" s="1"/>
      <c r="AK5880" s="1"/>
      <c r="AL5880" s="1"/>
      <c r="AM5880" s="1"/>
    </row>
    <row r="5881" spans="16:39" x14ac:dyDescent="0.25">
      <c r="P5881" s="49"/>
      <c r="Q5881" s="1"/>
      <c r="S5881" s="1"/>
      <c r="T5881" s="1"/>
      <c r="U5881" s="1"/>
      <c r="V5881" s="1"/>
      <c r="W5881" s="1"/>
      <c r="X5881" s="1"/>
      <c r="Y5881" s="1"/>
      <c r="AB5881" s="1"/>
      <c r="AC5881" s="1"/>
      <c r="AD5881" s="1"/>
      <c r="AE5881" s="1"/>
      <c r="AF5881" s="1"/>
      <c r="AG5881" s="1"/>
      <c r="AH5881" s="1"/>
      <c r="AI5881" s="1"/>
      <c r="AJ5881" s="1"/>
      <c r="AK5881" s="1"/>
      <c r="AL5881" s="1"/>
      <c r="AM5881" s="1"/>
    </row>
    <row r="5882" spans="16:39" x14ac:dyDescent="0.25">
      <c r="P5882" s="49"/>
      <c r="Q5882" s="1"/>
      <c r="S5882" s="1"/>
      <c r="T5882" s="1"/>
      <c r="U5882" s="1"/>
      <c r="V5882" s="1"/>
      <c r="W5882" s="1"/>
      <c r="X5882" s="1"/>
      <c r="Y5882" s="1"/>
      <c r="AB5882" s="1"/>
      <c r="AC5882" s="1"/>
      <c r="AD5882" s="1"/>
      <c r="AE5882" s="1"/>
      <c r="AF5882" s="1"/>
      <c r="AG5882" s="1"/>
      <c r="AH5882" s="1"/>
      <c r="AI5882" s="1"/>
      <c r="AJ5882" s="1"/>
      <c r="AK5882" s="1"/>
      <c r="AL5882" s="1"/>
      <c r="AM5882" s="1"/>
    </row>
    <row r="5883" spans="16:39" x14ac:dyDescent="0.25">
      <c r="P5883" s="49"/>
      <c r="Q5883" s="1"/>
      <c r="S5883" s="1"/>
      <c r="T5883" s="1"/>
      <c r="U5883" s="1"/>
      <c r="V5883" s="1"/>
      <c r="W5883" s="1"/>
      <c r="X5883" s="1"/>
      <c r="Y5883" s="1"/>
      <c r="AB5883" s="1"/>
      <c r="AC5883" s="1"/>
      <c r="AD5883" s="1"/>
      <c r="AE5883" s="1"/>
      <c r="AF5883" s="1"/>
      <c r="AG5883" s="1"/>
      <c r="AH5883" s="1"/>
      <c r="AI5883" s="1"/>
      <c r="AJ5883" s="1"/>
      <c r="AK5883" s="1"/>
      <c r="AL5883" s="1"/>
      <c r="AM5883" s="1"/>
    </row>
    <row r="5884" spans="16:39" x14ac:dyDescent="0.25">
      <c r="P5884" s="49"/>
      <c r="Q5884" s="1"/>
      <c r="S5884" s="1"/>
      <c r="T5884" s="1"/>
      <c r="U5884" s="1"/>
      <c r="V5884" s="1"/>
      <c r="W5884" s="1"/>
      <c r="X5884" s="1"/>
      <c r="Y5884" s="1"/>
      <c r="AB5884" s="1"/>
      <c r="AC5884" s="1"/>
      <c r="AD5884" s="1"/>
      <c r="AE5884" s="1"/>
      <c r="AF5884" s="1"/>
      <c r="AG5884" s="1"/>
      <c r="AH5884" s="1"/>
      <c r="AI5884" s="1"/>
      <c r="AJ5884" s="1"/>
      <c r="AK5884" s="1"/>
      <c r="AL5884" s="1"/>
      <c r="AM5884" s="1"/>
    </row>
    <row r="5885" spans="16:39" x14ac:dyDescent="0.25">
      <c r="P5885" s="49"/>
      <c r="Q5885" s="1"/>
      <c r="S5885" s="1"/>
      <c r="T5885" s="1"/>
      <c r="U5885" s="1"/>
      <c r="V5885" s="1"/>
      <c r="W5885" s="1"/>
      <c r="X5885" s="1"/>
      <c r="Y5885" s="1"/>
      <c r="AB5885" s="1"/>
      <c r="AC5885" s="1"/>
      <c r="AD5885" s="1"/>
      <c r="AE5885" s="1"/>
      <c r="AF5885" s="1"/>
      <c r="AG5885" s="1"/>
      <c r="AH5885" s="1"/>
      <c r="AI5885" s="1"/>
      <c r="AJ5885" s="1"/>
      <c r="AK5885" s="1"/>
      <c r="AL5885" s="1"/>
      <c r="AM5885" s="1"/>
    </row>
    <row r="5886" spans="16:39" x14ac:dyDescent="0.25">
      <c r="P5886" s="49"/>
      <c r="Q5886" s="1"/>
      <c r="S5886" s="1"/>
      <c r="T5886" s="1"/>
      <c r="U5886" s="1"/>
      <c r="V5886" s="1"/>
      <c r="W5886" s="1"/>
      <c r="X5886" s="1"/>
      <c r="Y5886" s="1"/>
      <c r="AB5886" s="1"/>
      <c r="AC5886" s="1"/>
      <c r="AD5886" s="1"/>
      <c r="AE5886" s="1"/>
      <c r="AF5886" s="1"/>
      <c r="AG5886" s="1"/>
      <c r="AH5886" s="1"/>
      <c r="AI5886" s="1"/>
      <c r="AJ5886" s="1"/>
      <c r="AK5886" s="1"/>
      <c r="AL5886" s="1"/>
      <c r="AM5886" s="1"/>
    </row>
    <row r="5887" spans="16:39" x14ac:dyDescent="0.25">
      <c r="P5887" s="49"/>
      <c r="Q5887" s="1"/>
      <c r="S5887" s="1"/>
      <c r="T5887" s="1"/>
      <c r="U5887" s="1"/>
      <c r="V5887" s="1"/>
      <c r="W5887" s="1"/>
      <c r="X5887" s="1"/>
      <c r="Y5887" s="1"/>
      <c r="AB5887" s="1"/>
      <c r="AC5887" s="1"/>
      <c r="AD5887" s="1"/>
      <c r="AE5887" s="1"/>
      <c r="AF5887" s="1"/>
      <c r="AG5887" s="1"/>
      <c r="AH5887" s="1"/>
      <c r="AI5887" s="1"/>
      <c r="AJ5887" s="1"/>
      <c r="AK5887" s="1"/>
      <c r="AL5887" s="1"/>
      <c r="AM5887" s="1"/>
    </row>
    <row r="5888" spans="16:39" x14ac:dyDescent="0.25">
      <c r="P5888" s="49"/>
      <c r="Q5888" s="1"/>
      <c r="S5888" s="1"/>
      <c r="T5888" s="1"/>
      <c r="U5888" s="1"/>
      <c r="V5888" s="1"/>
      <c r="W5888" s="1"/>
      <c r="X5888" s="1"/>
      <c r="Y5888" s="1"/>
      <c r="AB5888" s="1"/>
      <c r="AC5888" s="1"/>
      <c r="AD5888" s="1"/>
      <c r="AE5888" s="1"/>
      <c r="AF5888" s="1"/>
      <c r="AG5888" s="1"/>
      <c r="AH5888" s="1"/>
      <c r="AI5888" s="1"/>
      <c r="AJ5888" s="1"/>
      <c r="AK5888" s="1"/>
      <c r="AL5888" s="1"/>
      <c r="AM5888" s="1"/>
    </row>
    <row r="5889" spans="16:39" x14ac:dyDescent="0.25">
      <c r="P5889" s="49"/>
      <c r="Q5889" s="1"/>
      <c r="S5889" s="1"/>
      <c r="T5889" s="1"/>
      <c r="U5889" s="1"/>
      <c r="V5889" s="1"/>
      <c r="W5889" s="1"/>
      <c r="X5889" s="1"/>
      <c r="Y5889" s="1"/>
      <c r="AB5889" s="1"/>
      <c r="AC5889" s="1"/>
      <c r="AD5889" s="1"/>
      <c r="AE5889" s="1"/>
      <c r="AF5889" s="1"/>
      <c r="AG5889" s="1"/>
      <c r="AH5889" s="1"/>
      <c r="AI5889" s="1"/>
      <c r="AJ5889" s="1"/>
      <c r="AK5889" s="1"/>
      <c r="AL5889" s="1"/>
      <c r="AM5889" s="1"/>
    </row>
    <row r="5890" spans="16:39" x14ac:dyDescent="0.25">
      <c r="P5890" s="49"/>
      <c r="Q5890" s="1"/>
      <c r="S5890" s="1"/>
      <c r="T5890" s="1"/>
      <c r="U5890" s="1"/>
      <c r="V5890" s="1"/>
      <c r="W5890" s="1"/>
      <c r="X5890" s="1"/>
      <c r="Y5890" s="1"/>
      <c r="AB5890" s="1"/>
      <c r="AC5890" s="1"/>
      <c r="AD5890" s="1"/>
      <c r="AE5890" s="1"/>
      <c r="AF5890" s="1"/>
      <c r="AG5890" s="1"/>
      <c r="AH5890" s="1"/>
      <c r="AI5890" s="1"/>
      <c r="AJ5890" s="1"/>
      <c r="AK5890" s="1"/>
      <c r="AL5890" s="1"/>
      <c r="AM5890" s="1"/>
    </row>
    <row r="5891" spans="16:39" x14ac:dyDescent="0.25">
      <c r="P5891" s="49"/>
      <c r="Q5891" s="1"/>
      <c r="S5891" s="1"/>
      <c r="T5891" s="1"/>
      <c r="U5891" s="1"/>
      <c r="V5891" s="1"/>
      <c r="W5891" s="1"/>
      <c r="X5891" s="1"/>
      <c r="Y5891" s="1"/>
      <c r="AB5891" s="1"/>
      <c r="AC5891" s="1"/>
      <c r="AD5891" s="1"/>
      <c r="AE5891" s="1"/>
      <c r="AF5891" s="1"/>
      <c r="AG5891" s="1"/>
      <c r="AH5891" s="1"/>
      <c r="AI5891" s="1"/>
      <c r="AJ5891" s="1"/>
      <c r="AK5891" s="1"/>
      <c r="AL5891" s="1"/>
      <c r="AM5891" s="1"/>
    </row>
    <row r="5892" spans="16:39" x14ac:dyDescent="0.25">
      <c r="P5892" s="49"/>
      <c r="Q5892" s="1"/>
      <c r="S5892" s="1"/>
      <c r="T5892" s="1"/>
      <c r="U5892" s="1"/>
      <c r="V5892" s="1"/>
      <c r="W5892" s="1"/>
      <c r="X5892" s="1"/>
      <c r="Y5892" s="1"/>
      <c r="AB5892" s="1"/>
      <c r="AC5892" s="1"/>
      <c r="AD5892" s="1"/>
      <c r="AE5892" s="1"/>
      <c r="AF5892" s="1"/>
      <c r="AG5892" s="1"/>
      <c r="AH5892" s="1"/>
      <c r="AI5892" s="1"/>
      <c r="AJ5892" s="1"/>
      <c r="AK5892" s="1"/>
      <c r="AL5892" s="1"/>
      <c r="AM5892" s="1"/>
    </row>
    <row r="5893" spans="16:39" x14ac:dyDescent="0.25">
      <c r="P5893" s="49"/>
      <c r="Q5893" s="1"/>
      <c r="S5893" s="1"/>
      <c r="T5893" s="1"/>
      <c r="U5893" s="1"/>
      <c r="V5893" s="1"/>
      <c r="W5893" s="1"/>
      <c r="X5893" s="1"/>
      <c r="Y5893" s="1"/>
      <c r="AB5893" s="1"/>
      <c r="AC5893" s="1"/>
      <c r="AD5893" s="1"/>
      <c r="AE5893" s="1"/>
      <c r="AF5893" s="1"/>
      <c r="AG5893" s="1"/>
      <c r="AH5893" s="1"/>
      <c r="AI5893" s="1"/>
      <c r="AJ5893" s="1"/>
      <c r="AK5893" s="1"/>
      <c r="AL5893" s="1"/>
      <c r="AM5893" s="1"/>
    </row>
    <row r="5894" spans="16:39" x14ac:dyDescent="0.25">
      <c r="P5894" s="49"/>
      <c r="Q5894" s="1"/>
      <c r="S5894" s="1"/>
      <c r="T5894" s="1"/>
      <c r="U5894" s="1"/>
      <c r="V5894" s="1"/>
      <c r="W5894" s="1"/>
      <c r="X5894" s="1"/>
      <c r="Y5894" s="1"/>
      <c r="AB5894" s="1"/>
      <c r="AC5894" s="1"/>
      <c r="AD5894" s="1"/>
      <c r="AE5894" s="1"/>
      <c r="AF5894" s="1"/>
      <c r="AG5894" s="1"/>
      <c r="AH5894" s="1"/>
      <c r="AI5894" s="1"/>
      <c r="AJ5894" s="1"/>
      <c r="AK5894" s="1"/>
      <c r="AL5894" s="1"/>
      <c r="AM5894" s="1"/>
    </row>
    <row r="5895" spans="16:39" x14ac:dyDescent="0.25">
      <c r="P5895" s="49"/>
      <c r="Q5895" s="1"/>
      <c r="S5895" s="1"/>
      <c r="T5895" s="1"/>
      <c r="U5895" s="1"/>
      <c r="V5895" s="1"/>
      <c r="W5895" s="1"/>
      <c r="X5895" s="1"/>
      <c r="Y5895" s="1"/>
      <c r="AB5895" s="1"/>
      <c r="AC5895" s="1"/>
      <c r="AD5895" s="1"/>
      <c r="AE5895" s="1"/>
      <c r="AF5895" s="1"/>
      <c r="AG5895" s="1"/>
      <c r="AH5895" s="1"/>
      <c r="AI5895" s="1"/>
      <c r="AJ5895" s="1"/>
      <c r="AK5895" s="1"/>
      <c r="AL5895" s="1"/>
      <c r="AM5895" s="1"/>
    </row>
    <row r="5896" spans="16:39" x14ac:dyDescent="0.25">
      <c r="P5896" s="49"/>
      <c r="Q5896" s="1"/>
      <c r="S5896" s="1"/>
      <c r="T5896" s="1"/>
      <c r="U5896" s="1"/>
      <c r="V5896" s="1"/>
      <c r="W5896" s="1"/>
      <c r="X5896" s="1"/>
      <c r="Y5896" s="1"/>
      <c r="AB5896" s="1"/>
      <c r="AC5896" s="1"/>
      <c r="AD5896" s="1"/>
      <c r="AE5896" s="1"/>
      <c r="AF5896" s="1"/>
      <c r="AG5896" s="1"/>
      <c r="AH5896" s="1"/>
      <c r="AI5896" s="1"/>
      <c r="AJ5896" s="1"/>
      <c r="AK5896" s="1"/>
      <c r="AL5896" s="1"/>
      <c r="AM5896" s="1"/>
    </row>
    <row r="5897" spans="16:39" x14ac:dyDescent="0.25">
      <c r="P5897" s="49"/>
      <c r="Q5897" s="1"/>
      <c r="S5897" s="1"/>
      <c r="T5897" s="1"/>
      <c r="U5897" s="1"/>
      <c r="V5897" s="1"/>
      <c r="W5897" s="1"/>
      <c r="X5897" s="1"/>
      <c r="Y5897" s="1"/>
      <c r="AB5897" s="1"/>
      <c r="AC5897" s="1"/>
      <c r="AD5897" s="1"/>
      <c r="AE5897" s="1"/>
      <c r="AF5897" s="1"/>
      <c r="AG5897" s="1"/>
      <c r="AH5897" s="1"/>
      <c r="AI5897" s="1"/>
      <c r="AJ5897" s="1"/>
      <c r="AK5897" s="1"/>
      <c r="AL5897" s="1"/>
      <c r="AM5897" s="1"/>
    </row>
    <row r="5898" spans="16:39" x14ac:dyDescent="0.25">
      <c r="P5898" s="49"/>
      <c r="Q5898" s="1"/>
      <c r="S5898" s="1"/>
      <c r="T5898" s="1"/>
      <c r="U5898" s="1"/>
      <c r="V5898" s="1"/>
      <c r="W5898" s="1"/>
      <c r="X5898" s="1"/>
      <c r="Y5898" s="1"/>
      <c r="AB5898" s="1"/>
      <c r="AC5898" s="1"/>
      <c r="AD5898" s="1"/>
      <c r="AE5898" s="1"/>
      <c r="AF5898" s="1"/>
      <c r="AG5898" s="1"/>
      <c r="AH5898" s="1"/>
      <c r="AI5898" s="1"/>
      <c r="AJ5898" s="1"/>
      <c r="AK5898" s="1"/>
      <c r="AL5898" s="1"/>
      <c r="AM5898" s="1"/>
    </row>
    <row r="5899" spans="16:39" x14ac:dyDescent="0.25">
      <c r="P5899" s="49"/>
      <c r="Q5899" s="1"/>
      <c r="S5899" s="1"/>
      <c r="T5899" s="1"/>
      <c r="U5899" s="1"/>
      <c r="V5899" s="1"/>
      <c r="W5899" s="1"/>
      <c r="X5899" s="1"/>
      <c r="Y5899" s="1"/>
      <c r="AB5899" s="1"/>
      <c r="AC5899" s="1"/>
      <c r="AD5899" s="1"/>
      <c r="AE5899" s="1"/>
      <c r="AF5899" s="1"/>
      <c r="AG5899" s="1"/>
      <c r="AH5899" s="1"/>
      <c r="AI5899" s="1"/>
      <c r="AJ5899" s="1"/>
      <c r="AK5899" s="1"/>
      <c r="AL5899" s="1"/>
      <c r="AM5899" s="1"/>
    </row>
    <row r="5900" spans="16:39" x14ac:dyDescent="0.25">
      <c r="P5900" s="49"/>
      <c r="Q5900" s="1"/>
      <c r="S5900" s="1"/>
      <c r="T5900" s="1"/>
      <c r="U5900" s="1"/>
      <c r="V5900" s="1"/>
      <c r="W5900" s="1"/>
      <c r="X5900" s="1"/>
      <c r="Y5900" s="1"/>
      <c r="AB5900" s="1"/>
      <c r="AC5900" s="1"/>
      <c r="AD5900" s="1"/>
      <c r="AE5900" s="1"/>
      <c r="AF5900" s="1"/>
      <c r="AG5900" s="1"/>
      <c r="AH5900" s="1"/>
      <c r="AI5900" s="1"/>
      <c r="AJ5900" s="1"/>
      <c r="AK5900" s="1"/>
      <c r="AL5900" s="1"/>
      <c r="AM5900" s="1"/>
    </row>
    <row r="5901" spans="16:39" x14ac:dyDescent="0.25">
      <c r="P5901" s="49"/>
      <c r="Q5901" s="1"/>
      <c r="S5901" s="1"/>
      <c r="T5901" s="1"/>
      <c r="U5901" s="1"/>
      <c r="V5901" s="1"/>
      <c r="W5901" s="1"/>
      <c r="X5901" s="1"/>
      <c r="Y5901" s="1"/>
      <c r="AB5901" s="1"/>
      <c r="AC5901" s="1"/>
      <c r="AD5901" s="1"/>
      <c r="AE5901" s="1"/>
      <c r="AF5901" s="1"/>
      <c r="AG5901" s="1"/>
      <c r="AH5901" s="1"/>
      <c r="AI5901" s="1"/>
      <c r="AJ5901" s="1"/>
      <c r="AK5901" s="1"/>
      <c r="AL5901" s="1"/>
      <c r="AM5901" s="1"/>
    </row>
    <row r="5902" spans="16:39" x14ac:dyDescent="0.25">
      <c r="P5902" s="49"/>
      <c r="Q5902" s="1"/>
      <c r="S5902" s="1"/>
      <c r="T5902" s="1"/>
      <c r="U5902" s="1"/>
      <c r="V5902" s="1"/>
      <c r="W5902" s="1"/>
      <c r="X5902" s="1"/>
      <c r="Y5902" s="1"/>
      <c r="AB5902" s="1"/>
      <c r="AC5902" s="1"/>
      <c r="AD5902" s="1"/>
      <c r="AE5902" s="1"/>
      <c r="AF5902" s="1"/>
      <c r="AG5902" s="1"/>
      <c r="AH5902" s="1"/>
      <c r="AI5902" s="1"/>
      <c r="AJ5902" s="1"/>
      <c r="AK5902" s="1"/>
      <c r="AL5902" s="1"/>
      <c r="AM5902" s="1"/>
    </row>
    <row r="5903" spans="16:39" x14ac:dyDescent="0.25">
      <c r="P5903" s="49"/>
      <c r="Q5903" s="1"/>
      <c r="S5903" s="1"/>
      <c r="T5903" s="1"/>
      <c r="U5903" s="1"/>
      <c r="V5903" s="1"/>
      <c r="W5903" s="1"/>
      <c r="X5903" s="1"/>
      <c r="Y5903" s="1"/>
      <c r="AB5903" s="1"/>
      <c r="AC5903" s="1"/>
      <c r="AD5903" s="1"/>
      <c r="AE5903" s="1"/>
      <c r="AF5903" s="1"/>
      <c r="AG5903" s="1"/>
      <c r="AH5903" s="1"/>
      <c r="AI5903" s="1"/>
      <c r="AJ5903" s="1"/>
      <c r="AK5903" s="1"/>
      <c r="AL5903" s="1"/>
      <c r="AM5903" s="1"/>
    </row>
    <row r="5904" spans="16:39" x14ac:dyDescent="0.25">
      <c r="P5904" s="49"/>
      <c r="Q5904" s="1"/>
      <c r="S5904" s="1"/>
      <c r="T5904" s="1"/>
      <c r="U5904" s="1"/>
      <c r="V5904" s="1"/>
      <c r="W5904" s="1"/>
      <c r="X5904" s="1"/>
      <c r="Y5904" s="1"/>
      <c r="AB5904" s="1"/>
      <c r="AC5904" s="1"/>
      <c r="AD5904" s="1"/>
      <c r="AE5904" s="1"/>
      <c r="AF5904" s="1"/>
      <c r="AG5904" s="1"/>
      <c r="AH5904" s="1"/>
      <c r="AI5904" s="1"/>
      <c r="AJ5904" s="1"/>
      <c r="AK5904" s="1"/>
      <c r="AL5904" s="1"/>
      <c r="AM5904" s="1"/>
    </row>
    <row r="5905" spans="16:39" x14ac:dyDescent="0.25">
      <c r="P5905" s="49"/>
      <c r="Q5905" s="1"/>
      <c r="S5905" s="1"/>
      <c r="T5905" s="1"/>
      <c r="U5905" s="1"/>
      <c r="V5905" s="1"/>
      <c r="W5905" s="1"/>
      <c r="X5905" s="1"/>
      <c r="Y5905" s="1"/>
      <c r="AB5905" s="1"/>
      <c r="AC5905" s="1"/>
      <c r="AD5905" s="1"/>
      <c r="AE5905" s="1"/>
      <c r="AF5905" s="1"/>
      <c r="AG5905" s="1"/>
      <c r="AH5905" s="1"/>
      <c r="AI5905" s="1"/>
      <c r="AJ5905" s="1"/>
      <c r="AK5905" s="1"/>
      <c r="AL5905" s="1"/>
      <c r="AM5905" s="1"/>
    </row>
    <row r="5906" spans="16:39" x14ac:dyDescent="0.25">
      <c r="P5906" s="49"/>
      <c r="Q5906" s="1"/>
      <c r="S5906" s="1"/>
      <c r="T5906" s="1"/>
      <c r="U5906" s="1"/>
      <c r="V5906" s="1"/>
      <c r="W5906" s="1"/>
      <c r="X5906" s="1"/>
      <c r="Y5906" s="1"/>
      <c r="AB5906" s="1"/>
      <c r="AC5906" s="1"/>
      <c r="AD5906" s="1"/>
      <c r="AE5906" s="1"/>
      <c r="AF5906" s="1"/>
      <c r="AG5906" s="1"/>
      <c r="AH5906" s="1"/>
      <c r="AI5906" s="1"/>
      <c r="AJ5906" s="1"/>
      <c r="AK5906" s="1"/>
      <c r="AL5906" s="1"/>
      <c r="AM5906" s="1"/>
    </row>
    <row r="5907" spans="16:39" x14ac:dyDescent="0.25">
      <c r="P5907" s="49"/>
      <c r="Q5907" s="1"/>
      <c r="S5907" s="1"/>
      <c r="T5907" s="1"/>
      <c r="U5907" s="1"/>
      <c r="V5907" s="1"/>
      <c r="W5907" s="1"/>
      <c r="X5907" s="1"/>
      <c r="Y5907" s="1"/>
      <c r="AB5907" s="1"/>
      <c r="AC5907" s="1"/>
      <c r="AD5907" s="1"/>
      <c r="AE5907" s="1"/>
      <c r="AF5907" s="1"/>
      <c r="AG5907" s="1"/>
      <c r="AH5907" s="1"/>
      <c r="AI5907" s="1"/>
      <c r="AJ5907" s="1"/>
      <c r="AK5907" s="1"/>
      <c r="AL5907" s="1"/>
      <c r="AM5907" s="1"/>
    </row>
    <row r="5908" spans="16:39" x14ac:dyDescent="0.25">
      <c r="P5908" s="49"/>
      <c r="Q5908" s="1"/>
      <c r="S5908" s="1"/>
      <c r="T5908" s="1"/>
      <c r="U5908" s="1"/>
      <c r="V5908" s="1"/>
      <c r="W5908" s="1"/>
      <c r="X5908" s="1"/>
      <c r="Y5908" s="1"/>
      <c r="AB5908" s="1"/>
      <c r="AC5908" s="1"/>
      <c r="AD5908" s="1"/>
      <c r="AE5908" s="1"/>
      <c r="AF5908" s="1"/>
      <c r="AG5908" s="1"/>
      <c r="AH5908" s="1"/>
      <c r="AI5908" s="1"/>
      <c r="AJ5908" s="1"/>
      <c r="AK5908" s="1"/>
      <c r="AL5908" s="1"/>
      <c r="AM5908" s="1"/>
    </row>
    <row r="5909" spans="16:39" x14ac:dyDescent="0.25">
      <c r="P5909" s="49"/>
      <c r="Q5909" s="1"/>
      <c r="S5909" s="1"/>
      <c r="T5909" s="1"/>
      <c r="U5909" s="1"/>
      <c r="V5909" s="1"/>
      <c r="W5909" s="1"/>
      <c r="X5909" s="1"/>
      <c r="Y5909" s="1"/>
      <c r="AB5909" s="1"/>
      <c r="AC5909" s="1"/>
      <c r="AD5909" s="1"/>
      <c r="AE5909" s="1"/>
      <c r="AF5909" s="1"/>
      <c r="AG5909" s="1"/>
      <c r="AH5909" s="1"/>
      <c r="AI5909" s="1"/>
      <c r="AJ5909" s="1"/>
      <c r="AK5909" s="1"/>
      <c r="AL5909" s="1"/>
      <c r="AM5909" s="1"/>
    </row>
    <row r="5910" spans="16:39" x14ac:dyDescent="0.25">
      <c r="P5910" s="49"/>
      <c r="Q5910" s="1"/>
      <c r="S5910" s="1"/>
      <c r="T5910" s="1"/>
      <c r="U5910" s="1"/>
      <c r="V5910" s="1"/>
      <c r="W5910" s="1"/>
      <c r="X5910" s="1"/>
      <c r="Y5910" s="1"/>
      <c r="AB5910" s="1"/>
      <c r="AC5910" s="1"/>
      <c r="AD5910" s="1"/>
      <c r="AE5910" s="1"/>
      <c r="AF5910" s="1"/>
      <c r="AG5910" s="1"/>
      <c r="AH5910" s="1"/>
      <c r="AI5910" s="1"/>
      <c r="AJ5910" s="1"/>
      <c r="AK5910" s="1"/>
      <c r="AL5910" s="1"/>
      <c r="AM5910" s="1"/>
    </row>
    <row r="5911" spans="16:39" x14ac:dyDescent="0.25">
      <c r="P5911" s="49"/>
      <c r="Q5911" s="1"/>
      <c r="S5911" s="1"/>
      <c r="T5911" s="1"/>
      <c r="U5911" s="1"/>
      <c r="V5911" s="1"/>
      <c r="W5911" s="1"/>
      <c r="X5911" s="1"/>
      <c r="Y5911" s="1"/>
      <c r="AB5911" s="1"/>
      <c r="AC5911" s="1"/>
      <c r="AD5911" s="1"/>
      <c r="AE5911" s="1"/>
      <c r="AF5911" s="1"/>
      <c r="AG5911" s="1"/>
      <c r="AH5911" s="1"/>
      <c r="AI5911" s="1"/>
      <c r="AJ5911" s="1"/>
      <c r="AK5911" s="1"/>
      <c r="AL5911" s="1"/>
      <c r="AM5911" s="1"/>
    </row>
    <row r="5912" spans="16:39" x14ac:dyDescent="0.25">
      <c r="P5912" s="49"/>
      <c r="Q5912" s="1"/>
      <c r="S5912" s="1"/>
      <c r="T5912" s="1"/>
      <c r="U5912" s="1"/>
      <c r="V5912" s="1"/>
      <c r="W5912" s="1"/>
      <c r="X5912" s="1"/>
      <c r="Y5912" s="1"/>
      <c r="AB5912" s="1"/>
      <c r="AC5912" s="1"/>
      <c r="AD5912" s="1"/>
      <c r="AE5912" s="1"/>
      <c r="AF5912" s="1"/>
      <c r="AG5912" s="1"/>
      <c r="AH5912" s="1"/>
      <c r="AI5912" s="1"/>
      <c r="AJ5912" s="1"/>
      <c r="AK5912" s="1"/>
      <c r="AL5912" s="1"/>
      <c r="AM5912" s="1"/>
    </row>
    <row r="5913" spans="16:39" x14ac:dyDescent="0.25">
      <c r="P5913" s="49"/>
      <c r="Q5913" s="1"/>
      <c r="S5913" s="1"/>
      <c r="T5913" s="1"/>
      <c r="U5913" s="1"/>
      <c r="V5913" s="1"/>
      <c r="W5913" s="1"/>
      <c r="X5913" s="1"/>
      <c r="Y5913" s="1"/>
      <c r="AB5913" s="1"/>
      <c r="AC5913" s="1"/>
      <c r="AD5913" s="1"/>
      <c r="AE5913" s="1"/>
      <c r="AF5913" s="1"/>
      <c r="AG5913" s="1"/>
      <c r="AH5913" s="1"/>
      <c r="AI5913" s="1"/>
      <c r="AJ5913" s="1"/>
      <c r="AK5913" s="1"/>
      <c r="AL5913" s="1"/>
      <c r="AM5913" s="1"/>
    </row>
    <row r="5914" spans="16:39" x14ac:dyDescent="0.25">
      <c r="P5914" s="49"/>
      <c r="Q5914" s="1"/>
      <c r="S5914" s="1"/>
      <c r="T5914" s="1"/>
      <c r="U5914" s="1"/>
      <c r="V5914" s="1"/>
      <c r="W5914" s="1"/>
      <c r="X5914" s="1"/>
      <c r="Y5914" s="1"/>
      <c r="AB5914" s="1"/>
      <c r="AC5914" s="1"/>
      <c r="AD5914" s="1"/>
      <c r="AE5914" s="1"/>
      <c r="AF5914" s="1"/>
      <c r="AG5914" s="1"/>
      <c r="AH5914" s="1"/>
      <c r="AI5914" s="1"/>
      <c r="AJ5914" s="1"/>
      <c r="AK5914" s="1"/>
      <c r="AL5914" s="1"/>
      <c r="AM5914" s="1"/>
    </row>
    <row r="5915" spans="16:39" x14ac:dyDescent="0.25">
      <c r="P5915" s="49"/>
      <c r="Q5915" s="1"/>
      <c r="S5915" s="1"/>
      <c r="T5915" s="1"/>
      <c r="U5915" s="1"/>
      <c r="V5915" s="1"/>
      <c r="W5915" s="1"/>
      <c r="X5915" s="1"/>
      <c r="Y5915" s="1"/>
      <c r="AB5915" s="1"/>
      <c r="AC5915" s="1"/>
      <c r="AD5915" s="1"/>
      <c r="AE5915" s="1"/>
      <c r="AF5915" s="1"/>
      <c r="AG5915" s="1"/>
      <c r="AH5915" s="1"/>
      <c r="AI5915" s="1"/>
      <c r="AJ5915" s="1"/>
      <c r="AK5915" s="1"/>
      <c r="AL5915" s="1"/>
      <c r="AM5915" s="1"/>
    </row>
    <row r="5916" spans="16:39" x14ac:dyDescent="0.25">
      <c r="P5916" s="49"/>
      <c r="Q5916" s="1"/>
      <c r="S5916" s="1"/>
      <c r="T5916" s="1"/>
      <c r="U5916" s="1"/>
      <c r="V5916" s="1"/>
      <c r="W5916" s="1"/>
      <c r="X5916" s="1"/>
      <c r="Y5916" s="1"/>
      <c r="AB5916" s="1"/>
      <c r="AC5916" s="1"/>
      <c r="AD5916" s="1"/>
      <c r="AE5916" s="1"/>
      <c r="AF5916" s="1"/>
      <c r="AG5916" s="1"/>
      <c r="AH5916" s="1"/>
      <c r="AI5916" s="1"/>
      <c r="AJ5916" s="1"/>
      <c r="AK5916" s="1"/>
      <c r="AL5916" s="1"/>
      <c r="AM5916" s="1"/>
    </row>
    <row r="5917" spans="16:39" x14ac:dyDescent="0.25">
      <c r="P5917" s="49"/>
      <c r="Q5917" s="1"/>
      <c r="S5917" s="1"/>
      <c r="T5917" s="1"/>
      <c r="U5917" s="1"/>
      <c r="V5917" s="1"/>
      <c r="W5917" s="1"/>
      <c r="X5917" s="1"/>
      <c r="Y5917" s="1"/>
      <c r="AB5917" s="1"/>
      <c r="AC5917" s="1"/>
      <c r="AD5917" s="1"/>
      <c r="AE5917" s="1"/>
      <c r="AF5917" s="1"/>
      <c r="AG5917" s="1"/>
      <c r="AH5917" s="1"/>
      <c r="AI5917" s="1"/>
      <c r="AJ5917" s="1"/>
      <c r="AK5917" s="1"/>
      <c r="AL5917" s="1"/>
      <c r="AM5917" s="1"/>
    </row>
    <row r="5918" spans="16:39" x14ac:dyDescent="0.25">
      <c r="P5918" s="49"/>
      <c r="Q5918" s="1"/>
      <c r="S5918" s="1"/>
      <c r="T5918" s="1"/>
      <c r="U5918" s="1"/>
      <c r="V5918" s="1"/>
      <c r="W5918" s="1"/>
      <c r="X5918" s="1"/>
      <c r="Y5918" s="1"/>
      <c r="AB5918" s="1"/>
      <c r="AC5918" s="1"/>
      <c r="AD5918" s="1"/>
      <c r="AE5918" s="1"/>
      <c r="AF5918" s="1"/>
      <c r="AG5918" s="1"/>
      <c r="AH5918" s="1"/>
      <c r="AI5918" s="1"/>
      <c r="AJ5918" s="1"/>
      <c r="AK5918" s="1"/>
      <c r="AL5918" s="1"/>
      <c r="AM5918" s="1"/>
    </row>
    <row r="5919" spans="16:39" x14ac:dyDescent="0.25">
      <c r="P5919" s="49"/>
      <c r="Q5919" s="1"/>
      <c r="S5919" s="1"/>
      <c r="T5919" s="1"/>
      <c r="U5919" s="1"/>
      <c r="V5919" s="1"/>
      <c r="W5919" s="1"/>
      <c r="X5919" s="1"/>
      <c r="Y5919" s="1"/>
      <c r="AB5919" s="1"/>
      <c r="AC5919" s="1"/>
      <c r="AD5919" s="1"/>
      <c r="AE5919" s="1"/>
      <c r="AF5919" s="1"/>
      <c r="AG5919" s="1"/>
      <c r="AH5919" s="1"/>
      <c r="AI5919" s="1"/>
      <c r="AJ5919" s="1"/>
      <c r="AK5919" s="1"/>
      <c r="AL5919" s="1"/>
      <c r="AM5919" s="1"/>
    </row>
    <row r="5920" spans="16:39" x14ac:dyDescent="0.25">
      <c r="P5920" s="49"/>
      <c r="Q5920" s="1"/>
      <c r="S5920" s="1"/>
      <c r="T5920" s="1"/>
      <c r="U5920" s="1"/>
      <c r="V5920" s="1"/>
      <c r="W5920" s="1"/>
      <c r="X5920" s="1"/>
      <c r="Y5920" s="1"/>
      <c r="AB5920" s="1"/>
      <c r="AC5920" s="1"/>
      <c r="AD5920" s="1"/>
      <c r="AE5920" s="1"/>
      <c r="AF5920" s="1"/>
      <c r="AG5920" s="1"/>
      <c r="AH5920" s="1"/>
      <c r="AI5920" s="1"/>
      <c r="AJ5920" s="1"/>
      <c r="AK5920" s="1"/>
      <c r="AL5920" s="1"/>
      <c r="AM5920" s="1"/>
    </row>
    <row r="5921" spans="16:39" x14ac:dyDescent="0.25">
      <c r="P5921" s="49"/>
      <c r="Q5921" s="1"/>
      <c r="S5921" s="1"/>
      <c r="T5921" s="1"/>
      <c r="U5921" s="1"/>
      <c r="V5921" s="1"/>
      <c r="W5921" s="1"/>
      <c r="X5921" s="1"/>
      <c r="Y5921" s="1"/>
      <c r="AB5921" s="1"/>
      <c r="AC5921" s="1"/>
      <c r="AD5921" s="1"/>
      <c r="AE5921" s="1"/>
      <c r="AF5921" s="1"/>
      <c r="AG5921" s="1"/>
      <c r="AH5921" s="1"/>
      <c r="AI5921" s="1"/>
      <c r="AJ5921" s="1"/>
      <c r="AK5921" s="1"/>
      <c r="AL5921" s="1"/>
      <c r="AM5921" s="1"/>
    </row>
    <row r="5922" spans="16:39" x14ac:dyDescent="0.25">
      <c r="P5922" s="49"/>
      <c r="Q5922" s="1"/>
      <c r="S5922" s="1"/>
      <c r="T5922" s="1"/>
      <c r="U5922" s="1"/>
      <c r="V5922" s="1"/>
      <c r="W5922" s="1"/>
      <c r="X5922" s="1"/>
      <c r="Y5922" s="1"/>
      <c r="AB5922" s="1"/>
      <c r="AC5922" s="1"/>
      <c r="AD5922" s="1"/>
      <c r="AE5922" s="1"/>
      <c r="AF5922" s="1"/>
      <c r="AG5922" s="1"/>
      <c r="AH5922" s="1"/>
      <c r="AI5922" s="1"/>
      <c r="AJ5922" s="1"/>
      <c r="AK5922" s="1"/>
      <c r="AL5922" s="1"/>
      <c r="AM5922" s="1"/>
    </row>
    <row r="5923" spans="16:39" x14ac:dyDescent="0.25">
      <c r="P5923" s="49"/>
      <c r="Q5923" s="1"/>
      <c r="S5923" s="1"/>
      <c r="T5923" s="1"/>
      <c r="U5923" s="1"/>
      <c r="V5923" s="1"/>
      <c r="W5923" s="1"/>
      <c r="X5923" s="1"/>
      <c r="Y5923" s="1"/>
      <c r="AB5923" s="1"/>
      <c r="AC5923" s="1"/>
      <c r="AD5923" s="1"/>
      <c r="AE5923" s="1"/>
      <c r="AF5923" s="1"/>
      <c r="AG5923" s="1"/>
      <c r="AH5923" s="1"/>
      <c r="AI5923" s="1"/>
      <c r="AJ5923" s="1"/>
      <c r="AK5923" s="1"/>
      <c r="AL5923" s="1"/>
      <c r="AM5923" s="1"/>
    </row>
    <row r="5924" spans="16:39" x14ac:dyDescent="0.25">
      <c r="P5924" s="49"/>
      <c r="Q5924" s="1"/>
      <c r="S5924" s="1"/>
      <c r="T5924" s="1"/>
      <c r="U5924" s="1"/>
      <c r="V5924" s="1"/>
      <c r="W5924" s="1"/>
      <c r="X5924" s="1"/>
      <c r="Y5924" s="1"/>
      <c r="AB5924" s="1"/>
      <c r="AC5924" s="1"/>
      <c r="AD5924" s="1"/>
      <c r="AE5924" s="1"/>
      <c r="AF5924" s="1"/>
      <c r="AG5924" s="1"/>
      <c r="AH5924" s="1"/>
      <c r="AI5924" s="1"/>
      <c r="AJ5924" s="1"/>
      <c r="AK5924" s="1"/>
      <c r="AL5924" s="1"/>
      <c r="AM5924" s="1"/>
    </row>
    <row r="5925" spans="16:39" x14ac:dyDescent="0.25">
      <c r="P5925" s="49"/>
      <c r="Q5925" s="1"/>
      <c r="S5925" s="1"/>
      <c r="T5925" s="1"/>
      <c r="U5925" s="1"/>
      <c r="V5925" s="1"/>
      <c r="W5925" s="1"/>
      <c r="X5925" s="1"/>
      <c r="Y5925" s="1"/>
      <c r="AB5925" s="1"/>
      <c r="AC5925" s="1"/>
      <c r="AD5925" s="1"/>
      <c r="AE5925" s="1"/>
      <c r="AF5925" s="1"/>
      <c r="AG5925" s="1"/>
      <c r="AH5925" s="1"/>
      <c r="AI5925" s="1"/>
      <c r="AJ5925" s="1"/>
      <c r="AK5925" s="1"/>
      <c r="AL5925" s="1"/>
      <c r="AM5925" s="1"/>
    </row>
    <row r="5926" spans="16:39" x14ac:dyDescent="0.25">
      <c r="P5926" s="49"/>
      <c r="Q5926" s="1"/>
      <c r="S5926" s="1"/>
      <c r="T5926" s="1"/>
      <c r="U5926" s="1"/>
      <c r="V5926" s="1"/>
      <c r="W5926" s="1"/>
      <c r="X5926" s="1"/>
      <c r="Y5926" s="1"/>
      <c r="AB5926" s="1"/>
      <c r="AC5926" s="1"/>
      <c r="AD5926" s="1"/>
      <c r="AE5926" s="1"/>
      <c r="AF5926" s="1"/>
      <c r="AG5926" s="1"/>
      <c r="AH5926" s="1"/>
      <c r="AI5926" s="1"/>
      <c r="AJ5926" s="1"/>
      <c r="AK5926" s="1"/>
      <c r="AL5926" s="1"/>
      <c r="AM5926" s="1"/>
    </row>
    <row r="5927" spans="16:39" x14ac:dyDescent="0.25">
      <c r="P5927" s="49"/>
      <c r="Q5927" s="1"/>
      <c r="S5927" s="1"/>
      <c r="T5927" s="1"/>
      <c r="U5927" s="1"/>
      <c r="V5927" s="1"/>
      <c r="W5927" s="1"/>
      <c r="X5927" s="1"/>
      <c r="Y5927" s="1"/>
      <c r="AB5927" s="1"/>
      <c r="AC5927" s="1"/>
      <c r="AD5927" s="1"/>
      <c r="AE5927" s="1"/>
      <c r="AF5927" s="1"/>
      <c r="AG5927" s="1"/>
      <c r="AH5927" s="1"/>
      <c r="AI5927" s="1"/>
      <c r="AJ5927" s="1"/>
      <c r="AK5927" s="1"/>
      <c r="AL5927" s="1"/>
      <c r="AM5927" s="1"/>
    </row>
    <row r="5928" spans="16:39" x14ac:dyDescent="0.25">
      <c r="P5928" s="49"/>
      <c r="Q5928" s="1"/>
      <c r="S5928" s="1"/>
      <c r="T5928" s="1"/>
      <c r="U5928" s="1"/>
      <c r="V5928" s="1"/>
      <c r="W5928" s="1"/>
      <c r="X5928" s="1"/>
      <c r="Y5928" s="1"/>
      <c r="AB5928" s="1"/>
      <c r="AC5928" s="1"/>
      <c r="AD5928" s="1"/>
      <c r="AE5928" s="1"/>
      <c r="AF5928" s="1"/>
      <c r="AG5928" s="1"/>
      <c r="AH5928" s="1"/>
      <c r="AI5928" s="1"/>
      <c r="AJ5928" s="1"/>
      <c r="AK5928" s="1"/>
      <c r="AL5928" s="1"/>
      <c r="AM5928" s="1"/>
    </row>
    <row r="5929" spans="16:39" x14ac:dyDescent="0.25">
      <c r="P5929" s="49"/>
      <c r="Q5929" s="1"/>
      <c r="S5929" s="1"/>
      <c r="T5929" s="1"/>
      <c r="U5929" s="1"/>
      <c r="V5929" s="1"/>
      <c r="W5929" s="1"/>
      <c r="X5929" s="1"/>
      <c r="Y5929" s="1"/>
      <c r="AB5929" s="1"/>
      <c r="AC5929" s="1"/>
      <c r="AD5929" s="1"/>
      <c r="AE5929" s="1"/>
      <c r="AF5929" s="1"/>
      <c r="AG5929" s="1"/>
      <c r="AH5929" s="1"/>
      <c r="AI5929" s="1"/>
      <c r="AJ5929" s="1"/>
      <c r="AK5929" s="1"/>
      <c r="AL5929" s="1"/>
      <c r="AM5929" s="1"/>
    </row>
    <row r="5930" spans="16:39" x14ac:dyDescent="0.25">
      <c r="P5930" s="49"/>
      <c r="Q5930" s="1"/>
      <c r="S5930" s="1"/>
      <c r="T5930" s="1"/>
      <c r="U5930" s="1"/>
      <c r="V5930" s="1"/>
      <c r="W5930" s="1"/>
      <c r="X5930" s="1"/>
      <c r="Y5930" s="1"/>
      <c r="AB5930" s="1"/>
      <c r="AC5930" s="1"/>
      <c r="AD5930" s="1"/>
      <c r="AE5930" s="1"/>
      <c r="AF5930" s="1"/>
      <c r="AG5930" s="1"/>
      <c r="AH5930" s="1"/>
      <c r="AI5930" s="1"/>
      <c r="AJ5930" s="1"/>
      <c r="AK5930" s="1"/>
      <c r="AL5930" s="1"/>
      <c r="AM5930" s="1"/>
    </row>
    <row r="5931" spans="16:39" x14ac:dyDescent="0.25">
      <c r="P5931" s="49"/>
      <c r="Q5931" s="1"/>
      <c r="S5931" s="1"/>
      <c r="T5931" s="1"/>
      <c r="U5931" s="1"/>
      <c r="V5931" s="1"/>
      <c r="W5931" s="1"/>
      <c r="X5931" s="1"/>
      <c r="Y5931" s="1"/>
      <c r="AB5931" s="1"/>
      <c r="AC5931" s="1"/>
      <c r="AD5931" s="1"/>
      <c r="AE5931" s="1"/>
      <c r="AF5931" s="1"/>
      <c r="AG5931" s="1"/>
      <c r="AH5931" s="1"/>
      <c r="AI5931" s="1"/>
      <c r="AJ5931" s="1"/>
      <c r="AK5931" s="1"/>
      <c r="AL5931" s="1"/>
      <c r="AM5931" s="1"/>
    </row>
    <row r="5932" spans="16:39" x14ac:dyDescent="0.25">
      <c r="P5932" s="49"/>
      <c r="Q5932" s="1"/>
      <c r="S5932" s="1"/>
      <c r="T5932" s="1"/>
      <c r="U5932" s="1"/>
      <c r="V5932" s="1"/>
      <c r="W5932" s="1"/>
      <c r="X5932" s="1"/>
      <c r="Y5932" s="1"/>
      <c r="AB5932" s="1"/>
      <c r="AC5932" s="1"/>
      <c r="AD5932" s="1"/>
      <c r="AE5932" s="1"/>
      <c r="AF5932" s="1"/>
      <c r="AG5932" s="1"/>
      <c r="AH5932" s="1"/>
      <c r="AI5932" s="1"/>
      <c r="AJ5932" s="1"/>
      <c r="AK5932" s="1"/>
      <c r="AL5932" s="1"/>
      <c r="AM5932" s="1"/>
    </row>
    <row r="5933" spans="16:39" x14ac:dyDescent="0.25">
      <c r="P5933" s="49"/>
      <c r="Q5933" s="1"/>
      <c r="S5933" s="1"/>
      <c r="T5933" s="1"/>
      <c r="U5933" s="1"/>
      <c r="V5933" s="1"/>
      <c r="W5933" s="1"/>
      <c r="X5933" s="1"/>
      <c r="Y5933" s="1"/>
      <c r="AB5933" s="1"/>
      <c r="AC5933" s="1"/>
      <c r="AD5933" s="1"/>
      <c r="AE5933" s="1"/>
      <c r="AF5933" s="1"/>
      <c r="AG5933" s="1"/>
      <c r="AH5933" s="1"/>
      <c r="AI5933" s="1"/>
      <c r="AJ5933" s="1"/>
      <c r="AK5933" s="1"/>
      <c r="AL5933" s="1"/>
      <c r="AM5933" s="1"/>
    </row>
    <row r="5934" spans="16:39" x14ac:dyDescent="0.25">
      <c r="P5934" s="49"/>
      <c r="Q5934" s="1"/>
      <c r="S5934" s="1"/>
      <c r="T5934" s="1"/>
      <c r="U5934" s="1"/>
      <c r="V5934" s="1"/>
      <c r="W5934" s="1"/>
      <c r="X5934" s="1"/>
      <c r="Y5934" s="1"/>
      <c r="AB5934" s="1"/>
      <c r="AC5934" s="1"/>
      <c r="AD5934" s="1"/>
      <c r="AE5934" s="1"/>
      <c r="AF5934" s="1"/>
      <c r="AG5934" s="1"/>
      <c r="AH5934" s="1"/>
      <c r="AI5934" s="1"/>
      <c r="AJ5934" s="1"/>
      <c r="AK5934" s="1"/>
      <c r="AL5934" s="1"/>
      <c r="AM5934" s="1"/>
    </row>
    <row r="5935" spans="16:39" x14ac:dyDescent="0.25">
      <c r="P5935" s="49"/>
      <c r="Q5935" s="1"/>
      <c r="S5935" s="1"/>
      <c r="T5935" s="1"/>
      <c r="U5935" s="1"/>
      <c r="V5935" s="1"/>
      <c r="W5935" s="1"/>
      <c r="X5935" s="1"/>
      <c r="Y5935" s="1"/>
      <c r="AB5935" s="1"/>
      <c r="AC5935" s="1"/>
      <c r="AD5935" s="1"/>
      <c r="AE5935" s="1"/>
      <c r="AF5935" s="1"/>
      <c r="AG5935" s="1"/>
      <c r="AH5935" s="1"/>
      <c r="AI5935" s="1"/>
      <c r="AJ5935" s="1"/>
      <c r="AK5935" s="1"/>
      <c r="AL5935" s="1"/>
      <c r="AM5935" s="1"/>
    </row>
    <row r="5936" spans="16:39" x14ac:dyDescent="0.25">
      <c r="P5936" s="49"/>
      <c r="Q5936" s="1"/>
      <c r="S5936" s="1"/>
      <c r="T5936" s="1"/>
      <c r="U5936" s="1"/>
      <c r="V5936" s="1"/>
      <c r="W5936" s="1"/>
      <c r="X5936" s="1"/>
      <c r="Y5936" s="1"/>
      <c r="AB5936" s="1"/>
      <c r="AC5936" s="1"/>
      <c r="AD5936" s="1"/>
      <c r="AE5936" s="1"/>
      <c r="AF5936" s="1"/>
      <c r="AG5936" s="1"/>
      <c r="AH5936" s="1"/>
      <c r="AI5936" s="1"/>
      <c r="AJ5936" s="1"/>
      <c r="AK5936" s="1"/>
      <c r="AL5936" s="1"/>
      <c r="AM5936" s="1"/>
    </row>
    <row r="5937" spans="16:39" x14ac:dyDescent="0.25">
      <c r="P5937" s="49"/>
      <c r="Q5937" s="1"/>
      <c r="S5937" s="1"/>
      <c r="T5937" s="1"/>
      <c r="U5937" s="1"/>
      <c r="V5937" s="1"/>
      <c r="W5937" s="1"/>
      <c r="X5937" s="1"/>
      <c r="Y5937" s="1"/>
      <c r="AB5937" s="1"/>
      <c r="AC5937" s="1"/>
      <c r="AD5937" s="1"/>
      <c r="AE5937" s="1"/>
      <c r="AF5937" s="1"/>
      <c r="AG5937" s="1"/>
      <c r="AH5937" s="1"/>
      <c r="AI5937" s="1"/>
      <c r="AJ5937" s="1"/>
      <c r="AK5937" s="1"/>
      <c r="AL5937" s="1"/>
      <c r="AM5937" s="1"/>
    </row>
    <row r="5938" spans="16:39" x14ac:dyDescent="0.25">
      <c r="P5938" s="49"/>
      <c r="Q5938" s="1"/>
      <c r="S5938" s="1"/>
      <c r="T5938" s="1"/>
      <c r="U5938" s="1"/>
      <c r="V5938" s="1"/>
      <c r="W5938" s="1"/>
      <c r="X5938" s="1"/>
      <c r="Y5938" s="1"/>
      <c r="AB5938" s="1"/>
      <c r="AC5938" s="1"/>
      <c r="AD5938" s="1"/>
      <c r="AE5938" s="1"/>
      <c r="AF5938" s="1"/>
      <c r="AG5938" s="1"/>
      <c r="AH5938" s="1"/>
      <c r="AI5938" s="1"/>
      <c r="AJ5938" s="1"/>
      <c r="AK5938" s="1"/>
      <c r="AL5938" s="1"/>
      <c r="AM5938" s="1"/>
    </row>
    <row r="5939" spans="16:39" x14ac:dyDescent="0.25">
      <c r="P5939" s="49"/>
      <c r="Q5939" s="1"/>
      <c r="S5939" s="1"/>
      <c r="T5939" s="1"/>
      <c r="U5939" s="1"/>
      <c r="V5939" s="1"/>
      <c r="W5939" s="1"/>
      <c r="X5939" s="1"/>
      <c r="Y5939" s="1"/>
      <c r="AB5939" s="1"/>
      <c r="AC5939" s="1"/>
      <c r="AD5939" s="1"/>
      <c r="AE5939" s="1"/>
      <c r="AF5939" s="1"/>
      <c r="AG5939" s="1"/>
      <c r="AH5939" s="1"/>
      <c r="AI5939" s="1"/>
      <c r="AJ5939" s="1"/>
      <c r="AK5939" s="1"/>
      <c r="AL5939" s="1"/>
      <c r="AM5939" s="1"/>
    </row>
    <row r="5940" spans="16:39" x14ac:dyDescent="0.25">
      <c r="P5940" s="49"/>
      <c r="Q5940" s="1"/>
      <c r="S5940" s="1"/>
      <c r="T5940" s="1"/>
      <c r="U5940" s="1"/>
      <c r="V5940" s="1"/>
      <c r="W5940" s="1"/>
      <c r="X5940" s="1"/>
      <c r="Y5940" s="1"/>
      <c r="AB5940" s="1"/>
      <c r="AC5940" s="1"/>
      <c r="AD5940" s="1"/>
      <c r="AE5940" s="1"/>
      <c r="AF5940" s="1"/>
      <c r="AG5940" s="1"/>
      <c r="AH5940" s="1"/>
      <c r="AI5940" s="1"/>
      <c r="AJ5940" s="1"/>
      <c r="AK5940" s="1"/>
      <c r="AL5940" s="1"/>
      <c r="AM5940" s="1"/>
    </row>
    <row r="5941" spans="16:39" x14ac:dyDescent="0.25">
      <c r="P5941" s="49"/>
      <c r="Q5941" s="1"/>
      <c r="S5941" s="1"/>
      <c r="T5941" s="1"/>
      <c r="U5941" s="1"/>
      <c r="V5941" s="1"/>
      <c r="W5941" s="1"/>
      <c r="X5941" s="1"/>
      <c r="Y5941" s="1"/>
      <c r="AB5941" s="1"/>
      <c r="AC5941" s="1"/>
      <c r="AD5941" s="1"/>
      <c r="AE5941" s="1"/>
      <c r="AF5941" s="1"/>
      <c r="AG5941" s="1"/>
      <c r="AH5941" s="1"/>
      <c r="AI5941" s="1"/>
      <c r="AJ5941" s="1"/>
      <c r="AK5941" s="1"/>
      <c r="AL5941" s="1"/>
      <c r="AM5941" s="1"/>
    </row>
    <row r="5942" spans="16:39" x14ac:dyDescent="0.25">
      <c r="P5942" s="49"/>
      <c r="Q5942" s="1"/>
      <c r="S5942" s="1"/>
      <c r="T5942" s="1"/>
      <c r="U5942" s="1"/>
      <c r="V5942" s="1"/>
      <c r="W5942" s="1"/>
      <c r="X5942" s="1"/>
      <c r="Y5942" s="1"/>
      <c r="AB5942" s="1"/>
      <c r="AC5942" s="1"/>
      <c r="AD5942" s="1"/>
      <c r="AE5942" s="1"/>
      <c r="AF5942" s="1"/>
      <c r="AG5942" s="1"/>
      <c r="AH5942" s="1"/>
      <c r="AI5942" s="1"/>
      <c r="AJ5942" s="1"/>
      <c r="AK5942" s="1"/>
      <c r="AL5942" s="1"/>
      <c r="AM5942" s="1"/>
    </row>
    <row r="5943" spans="16:39" x14ac:dyDescent="0.25">
      <c r="P5943" s="49"/>
      <c r="Q5943" s="1"/>
      <c r="S5943" s="1"/>
      <c r="T5943" s="1"/>
      <c r="U5943" s="1"/>
      <c r="V5943" s="1"/>
      <c r="W5943" s="1"/>
      <c r="X5943" s="1"/>
      <c r="Y5943" s="1"/>
      <c r="AB5943" s="1"/>
      <c r="AC5943" s="1"/>
      <c r="AD5943" s="1"/>
      <c r="AE5943" s="1"/>
      <c r="AF5943" s="1"/>
      <c r="AG5943" s="1"/>
      <c r="AH5943" s="1"/>
      <c r="AI5943" s="1"/>
      <c r="AJ5943" s="1"/>
      <c r="AK5943" s="1"/>
      <c r="AL5943" s="1"/>
      <c r="AM5943" s="1"/>
    </row>
    <row r="5944" spans="16:39" x14ac:dyDescent="0.25">
      <c r="P5944" s="49"/>
      <c r="Q5944" s="1"/>
      <c r="S5944" s="1"/>
      <c r="T5944" s="1"/>
      <c r="U5944" s="1"/>
      <c r="V5944" s="1"/>
      <c r="W5944" s="1"/>
      <c r="X5944" s="1"/>
      <c r="Y5944" s="1"/>
      <c r="AB5944" s="1"/>
      <c r="AC5944" s="1"/>
      <c r="AD5944" s="1"/>
      <c r="AE5944" s="1"/>
      <c r="AF5944" s="1"/>
      <c r="AG5944" s="1"/>
      <c r="AH5944" s="1"/>
      <c r="AI5944" s="1"/>
      <c r="AJ5944" s="1"/>
      <c r="AK5944" s="1"/>
      <c r="AL5944" s="1"/>
      <c r="AM5944" s="1"/>
    </row>
    <row r="5945" spans="16:39" x14ac:dyDescent="0.25">
      <c r="P5945" s="49"/>
      <c r="Q5945" s="1"/>
      <c r="S5945" s="1"/>
      <c r="T5945" s="1"/>
      <c r="U5945" s="1"/>
      <c r="V5945" s="1"/>
      <c r="W5945" s="1"/>
      <c r="X5945" s="1"/>
      <c r="Y5945" s="1"/>
      <c r="AB5945" s="1"/>
      <c r="AC5945" s="1"/>
      <c r="AD5945" s="1"/>
      <c r="AE5945" s="1"/>
      <c r="AF5945" s="1"/>
      <c r="AG5945" s="1"/>
      <c r="AH5945" s="1"/>
      <c r="AI5945" s="1"/>
      <c r="AJ5945" s="1"/>
      <c r="AK5945" s="1"/>
      <c r="AL5945" s="1"/>
      <c r="AM5945" s="1"/>
    </row>
    <row r="5946" spans="16:39" x14ac:dyDescent="0.25">
      <c r="P5946" s="49"/>
      <c r="Q5946" s="1"/>
      <c r="S5946" s="1"/>
      <c r="T5946" s="1"/>
      <c r="U5946" s="1"/>
      <c r="V5946" s="1"/>
      <c r="W5946" s="1"/>
      <c r="X5946" s="1"/>
      <c r="Y5946" s="1"/>
      <c r="AB5946" s="1"/>
      <c r="AC5946" s="1"/>
      <c r="AD5946" s="1"/>
      <c r="AE5946" s="1"/>
      <c r="AF5946" s="1"/>
      <c r="AG5946" s="1"/>
      <c r="AH5946" s="1"/>
      <c r="AI5946" s="1"/>
      <c r="AJ5946" s="1"/>
      <c r="AK5946" s="1"/>
      <c r="AL5946" s="1"/>
      <c r="AM5946" s="1"/>
    </row>
    <row r="5947" spans="16:39" x14ac:dyDescent="0.25">
      <c r="P5947" s="49"/>
      <c r="Q5947" s="1"/>
      <c r="S5947" s="1"/>
      <c r="T5947" s="1"/>
      <c r="U5947" s="1"/>
      <c r="V5947" s="1"/>
      <c r="W5947" s="1"/>
      <c r="X5947" s="1"/>
      <c r="Y5947" s="1"/>
      <c r="AB5947" s="1"/>
      <c r="AC5947" s="1"/>
      <c r="AD5947" s="1"/>
      <c r="AE5947" s="1"/>
      <c r="AF5947" s="1"/>
      <c r="AG5947" s="1"/>
      <c r="AH5947" s="1"/>
      <c r="AI5947" s="1"/>
      <c r="AJ5947" s="1"/>
      <c r="AK5947" s="1"/>
      <c r="AL5947" s="1"/>
      <c r="AM5947" s="1"/>
    </row>
    <row r="5948" spans="16:39" x14ac:dyDescent="0.25">
      <c r="P5948" s="49"/>
      <c r="Q5948" s="1"/>
      <c r="S5948" s="1"/>
      <c r="T5948" s="1"/>
      <c r="U5948" s="1"/>
      <c r="V5948" s="1"/>
      <c r="W5948" s="1"/>
      <c r="X5948" s="1"/>
      <c r="Y5948" s="1"/>
      <c r="AB5948" s="1"/>
      <c r="AC5948" s="1"/>
      <c r="AD5948" s="1"/>
      <c r="AE5948" s="1"/>
      <c r="AF5948" s="1"/>
      <c r="AG5948" s="1"/>
      <c r="AH5948" s="1"/>
      <c r="AI5948" s="1"/>
      <c r="AJ5948" s="1"/>
      <c r="AK5948" s="1"/>
      <c r="AL5948" s="1"/>
      <c r="AM5948" s="1"/>
    </row>
    <row r="5949" spans="16:39" x14ac:dyDescent="0.25">
      <c r="P5949" s="49"/>
      <c r="Q5949" s="1"/>
      <c r="S5949" s="1"/>
      <c r="T5949" s="1"/>
      <c r="U5949" s="1"/>
      <c r="V5949" s="1"/>
      <c r="W5949" s="1"/>
      <c r="X5949" s="1"/>
      <c r="Y5949" s="1"/>
      <c r="AB5949" s="1"/>
      <c r="AC5949" s="1"/>
      <c r="AD5949" s="1"/>
      <c r="AE5949" s="1"/>
      <c r="AF5949" s="1"/>
      <c r="AG5949" s="1"/>
      <c r="AH5949" s="1"/>
      <c r="AI5949" s="1"/>
      <c r="AJ5949" s="1"/>
      <c r="AK5949" s="1"/>
      <c r="AL5949" s="1"/>
      <c r="AM5949" s="1"/>
    </row>
    <row r="5950" spans="16:39" x14ac:dyDescent="0.25">
      <c r="P5950" s="49"/>
      <c r="Q5950" s="1"/>
      <c r="S5950" s="1"/>
      <c r="T5950" s="1"/>
      <c r="U5950" s="1"/>
      <c r="V5950" s="1"/>
      <c r="W5950" s="1"/>
      <c r="X5950" s="1"/>
      <c r="Y5950" s="1"/>
      <c r="AB5950" s="1"/>
      <c r="AC5950" s="1"/>
      <c r="AD5950" s="1"/>
      <c r="AE5950" s="1"/>
      <c r="AF5950" s="1"/>
      <c r="AG5950" s="1"/>
      <c r="AH5950" s="1"/>
      <c r="AI5950" s="1"/>
      <c r="AJ5950" s="1"/>
      <c r="AK5950" s="1"/>
      <c r="AL5950" s="1"/>
      <c r="AM5950" s="1"/>
    </row>
    <row r="5951" spans="16:39" x14ac:dyDescent="0.25">
      <c r="P5951" s="49"/>
      <c r="Q5951" s="1"/>
      <c r="S5951" s="1"/>
      <c r="T5951" s="1"/>
      <c r="U5951" s="1"/>
      <c r="V5951" s="1"/>
      <c r="W5951" s="1"/>
      <c r="X5951" s="1"/>
      <c r="Y5951" s="1"/>
      <c r="AB5951" s="1"/>
      <c r="AC5951" s="1"/>
      <c r="AD5951" s="1"/>
      <c r="AE5951" s="1"/>
      <c r="AF5951" s="1"/>
      <c r="AG5951" s="1"/>
      <c r="AH5951" s="1"/>
      <c r="AI5951" s="1"/>
      <c r="AJ5951" s="1"/>
      <c r="AK5951" s="1"/>
      <c r="AL5951" s="1"/>
      <c r="AM5951" s="1"/>
    </row>
    <row r="5952" spans="16:39" x14ac:dyDescent="0.25">
      <c r="P5952" s="49"/>
      <c r="Q5952" s="1"/>
      <c r="S5952" s="1"/>
      <c r="T5952" s="1"/>
      <c r="U5952" s="1"/>
      <c r="V5952" s="1"/>
      <c r="W5952" s="1"/>
      <c r="X5952" s="1"/>
      <c r="Y5952" s="1"/>
      <c r="AB5952" s="1"/>
      <c r="AC5952" s="1"/>
      <c r="AD5952" s="1"/>
      <c r="AE5952" s="1"/>
      <c r="AF5952" s="1"/>
      <c r="AG5952" s="1"/>
      <c r="AH5952" s="1"/>
      <c r="AI5952" s="1"/>
      <c r="AJ5952" s="1"/>
      <c r="AK5952" s="1"/>
      <c r="AL5952" s="1"/>
      <c r="AM5952" s="1"/>
    </row>
    <row r="5953" spans="16:39" x14ac:dyDescent="0.25">
      <c r="P5953" s="49"/>
      <c r="Q5953" s="1"/>
      <c r="S5953" s="1"/>
      <c r="T5953" s="1"/>
      <c r="U5953" s="1"/>
      <c r="V5953" s="1"/>
      <c r="W5953" s="1"/>
      <c r="X5953" s="1"/>
      <c r="Y5953" s="1"/>
      <c r="AB5953" s="1"/>
      <c r="AC5953" s="1"/>
      <c r="AD5953" s="1"/>
      <c r="AE5953" s="1"/>
      <c r="AF5953" s="1"/>
      <c r="AG5953" s="1"/>
      <c r="AH5953" s="1"/>
      <c r="AI5953" s="1"/>
      <c r="AJ5953" s="1"/>
      <c r="AK5953" s="1"/>
      <c r="AL5953" s="1"/>
      <c r="AM5953" s="1"/>
    </row>
    <row r="5954" spans="16:39" x14ac:dyDescent="0.25">
      <c r="P5954" s="49"/>
      <c r="Q5954" s="1"/>
      <c r="S5954" s="1"/>
      <c r="T5954" s="1"/>
      <c r="U5954" s="1"/>
      <c r="V5954" s="1"/>
      <c r="W5954" s="1"/>
      <c r="X5954" s="1"/>
      <c r="Y5954" s="1"/>
      <c r="AB5954" s="1"/>
      <c r="AC5954" s="1"/>
      <c r="AD5954" s="1"/>
      <c r="AE5954" s="1"/>
      <c r="AF5954" s="1"/>
      <c r="AG5954" s="1"/>
      <c r="AH5954" s="1"/>
      <c r="AI5954" s="1"/>
      <c r="AJ5954" s="1"/>
      <c r="AK5954" s="1"/>
      <c r="AL5954" s="1"/>
      <c r="AM5954" s="1"/>
    </row>
    <row r="5955" spans="16:39" x14ac:dyDescent="0.25">
      <c r="P5955" s="49"/>
      <c r="Q5955" s="1"/>
      <c r="S5955" s="1"/>
      <c r="T5955" s="1"/>
      <c r="U5955" s="1"/>
      <c r="V5955" s="1"/>
      <c r="W5955" s="1"/>
      <c r="X5955" s="1"/>
      <c r="Y5955" s="1"/>
      <c r="AB5955" s="1"/>
      <c r="AC5955" s="1"/>
      <c r="AD5955" s="1"/>
      <c r="AE5955" s="1"/>
      <c r="AF5955" s="1"/>
      <c r="AG5955" s="1"/>
      <c r="AH5955" s="1"/>
      <c r="AI5955" s="1"/>
      <c r="AJ5955" s="1"/>
      <c r="AK5955" s="1"/>
      <c r="AL5955" s="1"/>
      <c r="AM5955" s="1"/>
    </row>
    <row r="5956" spans="16:39" x14ac:dyDescent="0.25">
      <c r="P5956" s="49"/>
      <c r="Q5956" s="1"/>
      <c r="S5956" s="1"/>
      <c r="T5956" s="1"/>
      <c r="U5956" s="1"/>
      <c r="V5956" s="1"/>
      <c r="W5956" s="1"/>
      <c r="X5956" s="1"/>
      <c r="Y5956" s="1"/>
      <c r="AB5956" s="1"/>
      <c r="AC5956" s="1"/>
      <c r="AD5956" s="1"/>
      <c r="AE5956" s="1"/>
      <c r="AF5956" s="1"/>
      <c r="AG5956" s="1"/>
      <c r="AH5956" s="1"/>
      <c r="AI5956" s="1"/>
      <c r="AJ5956" s="1"/>
      <c r="AK5956" s="1"/>
      <c r="AL5956" s="1"/>
      <c r="AM5956" s="1"/>
    </row>
    <row r="5957" spans="16:39" x14ac:dyDescent="0.25">
      <c r="P5957" s="49"/>
      <c r="Q5957" s="1"/>
      <c r="S5957" s="1"/>
      <c r="T5957" s="1"/>
      <c r="U5957" s="1"/>
      <c r="V5957" s="1"/>
      <c r="W5957" s="1"/>
      <c r="X5957" s="1"/>
      <c r="Y5957" s="1"/>
      <c r="AB5957" s="1"/>
      <c r="AC5957" s="1"/>
      <c r="AD5957" s="1"/>
      <c r="AE5957" s="1"/>
      <c r="AF5957" s="1"/>
      <c r="AG5957" s="1"/>
      <c r="AH5957" s="1"/>
      <c r="AI5957" s="1"/>
      <c r="AJ5957" s="1"/>
      <c r="AK5957" s="1"/>
      <c r="AL5957" s="1"/>
      <c r="AM5957" s="1"/>
    </row>
    <row r="5958" spans="16:39" x14ac:dyDescent="0.25">
      <c r="P5958" s="49"/>
      <c r="Q5958" s="1"/>
      <c r="S5958" s="1"/>
      <c r="T5958" s="1"/>
      <c r="U5958" s="1"/>
      <c r="V5958" s="1"/>
      <c r="W5958" s="1"/>
      <c r="X5958" s="1"/>
      <c r="Y5958" s="1"/>
      <c r="AB5958" s="1"/>
      <c r="AC5958" s="1"/>
      <c r="AD5958" s="1"/>
      <c r="AE5958" s="1"/>
      <c r="AF5958" s="1"/>
      <c r="AG5958" s="1"/>
      <c r="AH5958" s="1"/>
      <c r="AI5958" s="1"/>
      <c r="AJ5958" s="1"/>
      <c r="AK5958" s="1"/>
      <c r="AL5958" s="1"/>
      <c r="AM5958" s="1"/>
    </row>
    <row r="5959" spans="16:39" x14ac:dyDescent="0.25">
      <c r="P5959" s="49"/>
      <c r="Q5959" s="1"/>
      <c r="S5959" s="1"/>
      <c r="T5959" s="1"/>
      <c r="U5959" s="1"/>
      <c r="V5959" s="1"/>
      <c r="W5959" s="1"/>
      <c r="X5959" s="1"/>
      <c r="Y5959" s="1"/>
      <c r="AB5959" s="1"/>
      <c r="AC5959" s="1"/>
      <c r="AD5959" s="1"/>
      <c r="AE5959" s="1"/>
      <c r="AF5959" s="1"/>
      <c r="AG5959" s="1"/>
      <c r="AH5959" s="1"/>
      <c r="AI5959" s="1"/>
      <c r="AJ5959" s="1"/>
      <c r="AK5959" s="1"/>
      <c r="AL5959" s="1"/>
      <c r="AM5959" s="1"/>
    </row>
    <row r="5960" spans="16:39" x14ac:dyDescent="0.25">
      <c r="P5960" s="49"/>
      <c r="Q5960" s="1"/>
      <c r="S5960" s="1"/>
      <c r="T5960" s="1"/>
      <c r="U5960" s="1"/>
      <c r="V5960" s="1"/>
      <c r="W5960" s="1"/>
      <c r="X5960" s="1"/>
      <c r="Y5960" s="1"/>
      <c r="AB5960" s="1"/>
      <c r="AC5960" s="1"/>
      <c r="AD5960" s="1"/>
      <c r="AE5960" s="1"/>
      <c r="AF5960" s="1"/>
      <c r="AG5960" s="1"/>
      <c r="AH5960" s="1"/>
      <c r="AI5960" s="1"/>
      <c r="AJ5960" s="1"/>
      <c r="AK5960" s="1"/>
      <c r="AL5960" s="1"/>
      <c r="AM5960" s="1"/>
    </row>
    <row r="5961" spans="16:39" x14ac:dyDescent="0.25">
      <c r="P5961" s="49"/>
      <c r="Q5961" s="1"/>
      <c r="S5961" s="1"/>
      <c r="T5961" s="1"/>
      <c r="U5961" s="1"/>
      <c r="V5961" s="1"/>
      <c r="W5961" s="1"/>
      <c r="X5961" s="1"/>
      <c r="Y5961" s="1"/>
      <c r="AB5961" s="1"/>
      <c r="AC5961" s="1"/>
      <c r="AD5961" s="1"/>
      <c r="AE5961" s="1"/>
      <c r="AF5961" s="1"/>
      <c r="AG5961" s="1"/>
      <c r="AH5961" s="1"/>
      <c r="AI5961" s="1"/>
      <c r="AJ5961" s="1"/>
      <c r="AK5961" s="1"/>
      <c r="AL5961" s="1"/>
      <c r="AM5961" s="1"/>
    </row>
    <row r="5962" spans="16:39" x14ac:dyDescent="0.25">
      <c r="P5962" s="49"/>
      <c r="Q5962" s="1"/>
      <c r="S5962" s="1"/>
      <c r="T5962" s="1"/>
      <c r="U5962" s="1"/>
      <c r="V5962" s="1"/>
      <c r="W5962" s="1"/>
      <c r="X5962" s="1"/>
      <c r="Y5962" s="1"/>
      <c r="AB5962" s="1"/>
      <c r="AC5962" s="1"/>
      <c r="AD5962" s="1"/>
      <c r="AE5962" s="1"/>
      <c r="AF5962" s="1"/>
      <c r="AG5962" s="1"/>
      <c r="AH5962" s="1"/>
      <c r="AI5962" s="1"/>
      <c r="AJ5962" s="1"/>
      <c r="AK5962" s="1"/>
      <c r="AL5962" s="1"/>
      <c r="AM5962" s="1"/>
    </row>
    <row r="5963" spans="16:39" x14ac:dyDescent="0.25">
      <c r="P5963" s="49"/>
      <c r="Q5963" s="1"/>
      <c r="S5963" s="1"/>
      <c r="T5963" s="1"/>
      <c r="U5963" s="1"/>
      <c r="V5963" s="1"/>
      <c r="W5963" s="1"/>
      <c r="X5963" s="1"/>
      <c r="Y5963" s="1"/>
      <c r="AB5963" s="1"/>
      <c r="AC5963" s="1"/>
      <c r="AD5963" s="1"/>
      <c r="AE5963" s="1"/>
      <c r="AF5963" s="1"/>
      <c r="AG5963" s="1"/>
      <c r="AH5963" s="1"/>
      <c r="AI5963" s="1"/>
      <c r="AJ5963" s="1"/>
      <c r="AK5963" s="1"/>
      <c r="AL5963" s="1"/>
      <c r="AM5963" s="1"/>
    </row>
    <row r="5964" spans="16:39" x14ac:dyDescent="0.25">
      <c r="P5964" s="49"/>
      <c r="Q5964" s="1"/>
      <c r="S5964" s="1"/>
      <c r="T5964" s="1"/>
      <c r="U5964" s="1"/>
      <c r="V5964" s="1"/>
      <c r="W5964" s="1"/>
      <c r="X5964" s="1"/>
      <c r="Y5964" s="1"/>
      <c r="AB5964" s="1"/>
      <c r="AC5964" s="1"/>
      <c r="AD5964" s="1"/>
      <c r="AE5964" s="1"/>
      <c r="AF5964" s="1"/>
      <c r="AG5964" s="1"/>
      <c r="AH5964" s="1"/>
      <c r="AI5964" s="1"/>
      <c r="AJ5964" s="1"/>
      <c r="AK5964" s="1"/>
      <c r="AL5964" s="1"/>
      <c r="AM5964" s="1"/>
    </row>
    <row r="5965" spans="16:39" x14ac:dyDescent="0.25">
      <c r="P5965" s="49"/>
      <c r="Q5965" s="1"/>
      <c r="S5965" s="1"/>
      <c r="T5965" s="1"/>
      <c r="U5965" s="1"/>
      <c r="V5965" s="1"/>
      <c r="W5965" s="1"/>
      <c r="X5965" s="1"/>
      <c r="Y5965" s="1"/>
      <c r="AB5965" s="1"/>
      <c r="AC5965" s="1"/>
      <c r="AD5965" s="1"/>
      <c r="AE5965" s="1"/>
      <c r="AF5965" s="1"/>
      <c r="AG5965" s="1"/>
      <c r="AH5965" s="1"/>
      <c r="AI5965" s="1"/>
      <c r="AJ5965" s="1"/>
      <c r="AK5965" s="1"/>
      <c r="AL5965" s="1"/>
      <c r="AM5965" s="1"/>
    </row>
    <row r="5966" spans="16:39" x14ac:dyDescent="0.25">
      <c r="P5966" s="49"/>
      <c r="Q5966" s="1"/>
      <c r="S5966" s="1"/>
      <c r="T5966" s="1"/>
      <c r="U5966" s="1"/>
      <c r="V5966" s="1"/>
      <c r="W5966" s="1"/>
      <c r="X5966" s="1"/>
      <c r="Y5966" s="1"/>
      <c r="AB5966" s="1"/>
      <c r="AC5966" s="1"/>
      <c r="AD5966" s="1"/>
      <c r="AE5966" s="1"/>
      <c r="AF5966" s="1"/>
      <c r="AG5966" s="1"/>
      <c r="AH5966" s="1"/>
      <c r="AI5966" s="1"/>
      <c r="AJ5966" s="1"/>
      <c r="AK5966" s="1"/>
      <c r="AL5966" s="1"/>
      <c r="AM5966" s="1"/>
    </row>
    <row r="5967" spans="16:39" x14ac:dyDescent="0.25">
      <c r="P5967" s="49"/>
      <c r="Q5967" s="1"/>
      <c r="S5967" s="1"/>
      <c r="T5967" s="1"/>
      <c r="U5967" s="1"/>
      <c r="V5967" s="1"/>
      <c r="W5967" s="1"/>
      <c r="X5967" s="1"/>
      <c r="Y5967" s="1"/>
      <c r="AB5967" s="1"/>
      <c r="AC5967" s="1"/>
      <c r="AD5967" s="1"/>
      <c r="AE5967" s="1"/>
      <c r="AF5967" s="1"/>
      <c r="AG5967" s="1"/>
      <c r="AH5967" s="1"/>
      <c r="AI5967" s="1"/>
      <c r="AJ5967" s="1"/>
      <c r="AK5967" s="1"/>
      <c r="AL5967" s="1"/>
      <c r="AM5967" s="1"/>
    </row>
    <row r="5968" spans="16:39" x14ac:dyDescent="0.25">
      <c r="P5968" s="49"/>
      <c r="Q5968" s="1"/>
      <c r="S5968" s="1"/>
      <c r="T5968" s="1"/>
      <c r="U5968" s="1"/>
      <c r="V5968" s="1"/>
      <c r="W5968" s="1"/>
      <c r="X5968" s="1"/>
      <c r="Y5968" s="1"/>
      <c r="AB5968" s="1"/>
      <c r="AC5968" s="1"/>
      <c r="AD5968" s="1"/>
      <c r="AE5968" s="1"/>
      <c r="AF5968" s="1"/>
      <c r="AG5968" s="1"/>
      <c r="AH5968" s="1"/>
      <c r="AI5968" s="1"/>
      <c r="AJ5968" s="1"/>
      <c r="AK5968" s="1"/>
      <c r="AL5968" s="1"/>
      <c r="AM5968" s="1"/>
    </row>
    <row r="5969" spans="16:39" x14ac:dyDescent="0.25">
      <c r="P5969" s="49"/>
      <c r="Q5969" s="1"/>
      <c r="S5969" s="1"/>
      <c r="T5969" s="1"/>
      <c r="U5969" s="1"/>
      <c r="V5969" s="1"/>
      <c r="W5969" s="1"/>
      <c r="X5969" s="1"/>
      <c r="Y5969" s="1"/>
      <c r="AB5969" s="1"/>
      <c r="AC5969" s="1"/>
      <c r="AD5969" s="1"/>
      <c r="AE5969" s="1"/>
      <c r="AF5969" s="1"/>
      <c r="AG5969" s="1"/>
      <c r="AH5969" s="1"/>
      <c r="AI5969" s="1"/>
      <c r="AJ5969" s="1"/>
      <c r="AK5969" s="1"/>
      <c r="AL5969" s="1"/>
      <c r="AM5969" s="1"/>
    </row>
    <row r="5970" spans="16:39" x14ac:dyDescent="0.25">
      <c r="P5970" s="49"/>
      <c r="Q5970" s="1"/>
      <c r="S5970" s="1"/>
      <c r="T5970" s="1"/>
      <c r="U5970" s="1"/>
      <c r="V5970" s="1"/>
      <c r="W5970" s="1"/>
      <c r="X5970" s="1"/>
      <c r="Y5970" s="1"/>
      <c r="AB5970" s="1"/>
      <c r="AC5970" s="1"/>
      <c r="AD5970" s="1"/>
      <c r="AE5970" s="1"/>
      <c r="AF5970" s="1"/>
      <c r="AG5970" s="1"/>
      <c r="AH5970" s="1"/>
      <c r="AI5970" s="1"/>
      <c r="AJ5970" s="1"/>
      <c r="AK5970" s="1"/>
      <c r="AL5970" s="1"/>
      <c r="AM5970" s="1"/>
    </row>
    <row r="5971" spans="16:39" x14ac:dyDescent="0.25">
      <c r="P5971" s="49"/>
      <c r="Q5971" s="1"/>
      <c r="S5971" s="1"/>
      <c r="T5971" s="1"/>
      <c r="U5971" s="1"/>
      <c r="V5971" s="1"/>
      <c r="W5971" s="1"/>
      <c r="X5971" s="1"/>
      <c r="Y5971" s="1"/>
      <c r="AB5971" s="1"/>
      <c r="AC5971" s="1"/>
      <c r="AD5971" s="1"/>
      <c r="AE5971" s="1"/>
      <c r="AF5971" s="1"/>
      <c r="AG5971" s="1"/>
      <c r="AH5971" s="1"/>
      <c r="AI5971" s="1"/>
      <c r="AJ5971" s="1"/>
      <c r="AK5971" s="1"/>
      <c r="AL5971" s="1"/>
      <c r="AM5971" s="1"/>
    </row>
    <row r="5972" spans="16:39" x14ac:dyDescent="0.25">
      <c r="P5972" s="49"/>
      <c r="Q5972" s="1"/>
      <c r="S5972" s="1"/>
      <c r="T5972" s="1"/>
      <c r="U5972" s="1"/>
      <c r="V5972" s="1"/>
      <c r="W5972" s="1"/>
      <c r="X5972" s="1"/>
      <c r="Y5972" s="1"/>
      <c r="AB5972" s="1"/>
      <c r="AC5972" s="1"/>
      <c r="AD5972" s="1"/>
      <c r="AE5972" s="1"/>
      <c r="AF5972" s="1"/>
      <c r="AG5972" s="1"/>
      <c r="AH5972" s="1"/>
      <c r="AI5972" s="1"/>
      <c r="AJ5972" s="1"/>
      <c r="AK5972" s="1"/>
      <c r="AL5972" s="1"/>
      <c r="AM5972" s="1"/>
    </row>
    <row r="5973" spans="16:39" x14ac:dyDescent="0.25">
      <c r="P5973" s="49"/>
      <c r="Q5973" s="1"/>
      <c r="S5973" s="1"/>
      <c r="T5973" s="1"/>
      <c r="U5973" s="1"/>
      <c r="V5973" s="1"/>
      <c r="W5973" s="1"/>
      <c r="X5973" s="1"/>
      <c r="Y5973" s="1"/>
      <c r="AB5973" s="1"/>
      <c r="AC5973" s="1"/>
      <c r="AD5973" s="1"/>
      <c r="AE5973" s="1"/>
      <c r="AF5973" s="1"/>
      <c r="AG5973" s="1"/>
      <c r="AH5973" s="1"/>
      <c r="AI5973" s="1"/>
      <c r="AJ5973" s="1"/>
      <c r="AK5973" s="1"/>
      <c r="AL5973" s="1"/>
      <c r="AM5973" s="1"/>
    </row>
    <row r="5974" spans="16:39" x14ac:dyDescent="0.25">
      <c r="P5974" s="49"/>
      <c r="Q5974" s="1"/>
      <c r="S5974" s="1"/>
      <c r="T5974" s="1"/>
      <c r="U5974" s="1"/>
      <c r="V5974" s="1"/>
      <c r="W5974" s="1"/>
      <c r="X5974" s="1"/>
      <c r="Y5974" s="1"/>
      <c r="AB5974" s="1"/>
      <c r="AC5974" s="1"/>
      <c r="AD5974" s="1"/>
      <c r="AE5974" s="1"/>
      <c r="AF5974" s="1"/>
      <c r="AG5974" s="1"/>
      <c r="AH5974" s="1"/>
      <c r="AI5974" s="1"/>
      <c r="AJ5974" s="1"/>
      <c r="AK5974" s="1"/>
      <c r="AL5974" s="1"/>
      <c r="AM5974" s="1"/>
    </row>
    <row r="5975" spans="16:39" x14ac:dyDescent="0.25">
      <c r="P5975" s="49"/>
      <c r="Q5975" s="1"/>
      <c r="S5975" s="1"/>
      <c r="T5975" s="1"/>
      <c r="U5975" s="1"/>
      <c r="V5975" s="1"/>
      <c r="W5975" s="1"/>
      <c r="X5975" s="1"/>
      <c r="Y5975" s="1"/>
      <c r="AB5975" s="1"/>
      <c r="AC5975" s="1"/>
      <c r="AD5975" s="1"/>
      <c r="AE5975" s="1"/>
      <c r="AF5975" s="1"/>
      <c r="AG5975" s="1"/>
      <c r="AH5975" s="1"/>
      <c r="AI5975" s="1"/>
      <c r="AJ5975" s="1"/>
      <c r="AK5975" s="1"/>
      <c r="AL5975" s="1"/>
      <c r="AM5975" s="1"/>
    </row>
    <row r="5976" spans="16:39" x14ac:dyDescent="0.25">
      <c r="P5976" s="49"/>
      <c r="Q5976" s="1"/>
      <c r="S5976" s="1"/>
      <c r="T5976" s="1"/>
      <c r="U5976" s="1"/>
      <c r="V5976" s="1"/>
      <c r="W5976" s="1"/>
      <c r="X5976" s="1"/>
      <c r="Y5976" s="1"/>
      <c r="AB5976" s="1"/>
      <c r="AC5976" s="1"/>
      <c r="AD5976" s="1"/>
      <c r="AE5976" s="1"/>
      <c r="AF5976" s="1"/>
      <c r="AG5976" s="1"/>
      <c r="AH5976" s="1"/>
      <c r="AI5976" s="1"/>
      <c r="AJ5976" s="1"/>
      <c r="AK5976" s="1"/>
      <c r="AL5976" s="1"/>
      <c r="AM5976" s="1"/>
    </row>
    <row r="5977" spans="16:39" x14ac:dyDescent="0.25">
      <c r="P5977" s="49"/>
      <c r="Q5977" s="1"/>
      <c r="S5977" s="1"/>
      <c r="T5977" s="1"/>
      <c r="U5977" s="1"/>
      <c r="V5977" s="1"/>
      <c r="W5977" s="1"/>
      <c r="X5977" s="1"/>
      <c r="Y5977" s="1"/>
      <c r="AB5977" s="1"/>
      <c r="AC5977" s="1"/>
      <c r="AD5977" s="1"/>
      <c r="AE5977" s="1"/>
      <c r="AF5977" s="1"/>
      <c r="AG5977" s="1"/>
      <c r="AH5977" s="1"/>
      <c r="AI5977" s="1"/>
      <c r="AJ5977" s="1"/>
      <c r="AK5977" s="1"/>
      <c r="AL5977" s="1"/>
      <c r="AM5977" s="1"/>
    </row>
    <row r="5978" spans="16:39" x14ac:dyDescent="0.25">
      <c r="P5978" s="49"/>
      <c r="Q5978" s="1"/>
      <c r="S5978" s="1"/>
      <c r="T5978" s="1"/>
      <c r="U5978" s="1"/>
      <c r="V5978" s="1"/>
      <c r="W5978" s="1"/>
      <c r="X5978" s="1"/>
      <c r="Y5978" s="1"/>
      <c r="AB5978" s="1"/>
      <c r="AC5978" s="1"/>
      <c r="AD5978" s="1"/>
      <c r="AE5978" s="1"/>
      <c r="AF5978" s="1"/>
      <c r="AG5978" s="1"/>
      <c r="AH5978" s="1"/>
      <c r="AI5978" s="1"/>
      <c r="AJ5978" s="1"/>
      <c r="AK5978" s="1"/>
      <c r="AL5978" s="1"/>
      <c r="AM5978" s="1"/>
    </row>
    <row r="5979" spans="16:39" x14ac:dyDescent="0.25">
      <c r="P5979" s="49"/>
      <c r="Q5979" s="1"/>
      <c r="S5979" s="1"/>
      <c r="T5979" s="1"/>
      <c r="U5979" s="1"/>
      <c r="V5979" s="1"/>
      <c r="W5979" s="1"/>
      <c r="X5979" s="1"/>
      <c r="Y5979" s="1"/>
      <c r="AB5979" s="1"/>
      <c r="AC5979" s="1"/>
      <c r="AD5979" s="1"/>
      <c r="AE5979" s="1"/>
      <c r="AF5979" s="1"/>
      <c r="AG5979" s="1"/>
      <c r="AH5979" s="1"/>
      <c r="AI5979" s="1"/>
      <c r="AJ5979" s="1"/>
      <c r="AK5979" s="1"/>
      <c r="AL5979" s="1"/>
      <c r="AM5979" s="1"/>
    </row>
    <row r="5980" spans="16:39" x14ac:dyDescent="0.25">
      <c r="P5980" s="49"/>
      <c r="Q5980" s="1"/>
      <c r="S5980" s="1"/>
      <c r="T5980" s="1"/>
      <c r="U5980" s="1"/>
      <c r="V5980" s="1"/>
      <c r="W5980" s="1"/>
      <c r="X5980" s="1"/>
      <c r="Y5980" s="1"/>
      <c r="AB5980" s="1"/>
      <c r="AC5980" s="1"/>
      <c r="AD5980" s="1"/>
      <c r="AE5980" s="1"/>
      <c r="AF5980" s="1"/>
      <c r="AG5980" s="1"/>
      <c r="AH5980" s="1"/>
      <c r="AI5980" s="1"/>
      <c r="AJ5980" s="1"/>
      <c r="AK5980" s="1"/>
      <c r="AL5980" s="1"/>
      <c r="AM5980" s="1"/>
    </row>
    <row r="5981" spans="16:39" x14ac:dyDescent="0.25">
      <c r="P5981" s="49"/>
      <c r="Q5981" s="1"/>
      <c r="S5981" s="1"/>
      <c r="T5981" s="1"/>
      <c r="U5981" s="1"/>
      <c r="V5981" s="1"/>
      <c r="W5981" s="1"/>
      <c r="X5981" s="1"/>
      <c r="Y5981" s="1"/>
      <c r="AB5981" s="1"/>
      <c r="AC5981" s="1"/>
      <c r="AD5981" s="1"/>
      <c r="AE5981" s="1"/>
      <c r="AF5981" s="1"/>
      <c r="AG5981" s="1"/>
      <c r="AH5981" s="1"/>
      <c r="AI5981" s="1"/>
      <c r="AJ5981" s="1"/>
      <c r="AK5981" s="1"/>
      <c r="AL5981" s="1"/>
      <c r="AM5981" s="1"/>
    </row>
    <row r="5982" spans="16:39" x14ac:dyDescent="0.25">
      <c r="P5982" s="49"/>
      <c r="Q5982" s="1"/>
      <c r="S5982" s="1"/>
      <c r="T5982" s="1"/>
      <c r="U5982" s="1"/>
      <c r="V5982" s="1"/>
      <c r="W5982" s="1"/>
      <c r="X5982" s="1"/>
      <c r="Y5982" s="1"/>
      <c r="AB5982" s="1"/>
      <c r="AC5982" s="1"/>
      <c r="AD5982" s="1"/>
      <c r="AE5982" s="1"/>
      <c r="AF5982" s="1"/>
      <c r="AG5982" s="1"/>
      <c r="AH5982" s="1"/>
      <c r="AI5982" s="1"/>
      <c r="AJ5982" s="1"/>
      <c r="AK5982" s="1"/>
      <c r="AL5982" s="1"/>
      <c r="AM5982" s="1"/>
    </row>
    <row r="5983" spans="16:39" x14ac:dyDescent="0.25">
      <c r="P5983" s="49"/>
      <c r="Q5983" s="1"/>
      <c r="S5983" s="1"/>
      <c r="T5983" s="1"/>
      <c r="U5983" s="1"/>
      <c r="V5983" s="1"/>
      <c r="W5983" s="1"/>
      <c r="X5983" s="1"/>
      <c r="Y5983" s="1"/>
      <c r="AB5983" s="1"/>
      <c r="AC5983" s="1"/>
      <c r="AD5983" s="1"/>
      <c r="AE5983" s="1"/>
      <c r="AF5983" s="1"/>
      <c r="AG5983" s="1"/>
      <c r="AH5983" s="1"/>
      <c r="AI5983" s="1"/>
      <c r="AJ5983" s="1"/>
      <c r="AK5983" s="1"/>
      <c r="AL5983" s="1"/>
      <c r="AM5983" s="1"/>
    </row>
    <row r="5984" spans="16:39" x14ac:dyDescent="0.25">
      <c r="P5984" s="49"/>
      <c r="Q5984" s="1"/>
      <c r="S5984" s="1"/>
      <c r="T5984" s="1"/>
      <c r="U5984" s="1"/>
      <c r="V5984" s="1"/>
      <c r="W5984" s="1"/>
      <c r="X5984" s="1"/>
      <c r="Y5984" s="1"/>
      <c r="AB5984" s="1"/>
      <c r="AC5984" s="1"/>
      <c r="AD5984" s="1"/>
      <c r="AE5984" s="1"/>
      <c r="AF5984" s="1"/>
      <c r="AG5984" s="1"/>
      <c r="AH5984" s="1"/>
      <c r="AI5984" s="1"/>
      <c r="AJ5984" s="1"/>
      <c r="AK5984" s="1"/>
      <c r="AL5984" s="1"/>
      <c r="AM5984" s="1"/>
    </row>
    <row r="5985" spans="16:39" x14ac:dyDescent="0.25">
      <c r="P5985" s="49"/>
      <c r="Q5985" s="1"/>
      <c r="S5985" s="1"/>
      <c r="T5985" s="1"/>
      <c r="U5985" s="1"/>
      <c r="V5985" s="1"/>
      <c r="W5985" s="1"/>
      <c r="X5985" s="1"/>
      <c r="Y5985" s="1"/>
      <c r="AB5985" s="1"/>
      <c r="AC5985" s="1"/>
      <c r="AD5985" s="1"/>
      <c r="AE5985" s="1"/>
      <c r="AF5985" s="1"/>
      <c r="AG5985" s="1"/>
      <c r="AH5985" s="1"/>
      <c r="AI5985" s="1"/>
      <c r="AJ5985" s="1"/>
      <c r="AK5985" s="1"/>
      <c r="AL5985" s="1"/>
      <c r="AM5985" s="1"/>
    </row>
    <row r="5986" spans="16:39" x14ac:dyDescent="0.25">
      <c r="P5986" s="49"/>
      <c r="Q5986" s="1"/>
      <c r="S5986" s="1"/>
      <c r="T5986" s="1"/>
      <c r="U5986" s="1"/>
      <c r="V5986" s="1"/>
      <c r="W5986" s="1"/>
      <c r="X5986" s="1"/>
      <c r="Y5986" s="1"/>
      <c r="AB5986" s="1"/>
      <c r="AC5986" s="1"/>
      <c r="AD5986" s="1"/>
      <c r="AE5986" s="1"/>
      <c r="AF5986" s="1"/>
      <c r="AG5986" s="1"/>
      <c r="AH5986" s="1"/>
      <c r="AI5986" s="1"/>
      <c r="AJ5986" s="1"/>
      <c r="AK5986" s="1"/>
      <c r="AL5986" s="1"/>
      <c r="AM5986" s="1"/>
    </row>
    <row r="5987" spans="16:39" x14ac:dyDescent="0.25">
      <c r="P5987" s="49"/>
      <c r="Q5987" s="1"/>
      <c r="S5987" s="1"/>
      <c r="T5987" s="1"/>
      <c r="U5987" s="1"/>
      <c r="V5987" s="1"/>
      <c r="W5987" s="1"/>
      <c r="X5987" s="1"/>
      <c r="Y5987" s="1"/>
      <c r="AB5987" s="1"/>
      <c r="AC5987" s="1"/>
      <c r="AD5987" s="1"/>
      <c r="AE5987" s="1"/>
      <c r="AF5987" s="1"/>
      <c r="AG5987" s="1"/>
      <c r="AH5987" s="1"/>
      <c r="AI5987" s="1"/>
      <c r="AJ5987" s="1"/>
      <c r="AK5987" s="1"/>
      <c r="AL5987" s="1"/>
      <c r="AM5987" s="1"/>
    </row>
    <row r="5988" spans="16:39" x14ac:dyDescent="0.25">
      <c r="P5988" s="49"/>
      <c r="Q5988" s="1"/>
      <c r="S5988" s="1"/>
      <c r="T5988" s="1"/>
      <c r="U5988" s="1"/>
      <c r="V5988" s="1"/>
      <c r="W5988" s="1"/>
      <c r="X5988" s="1"/>
      <c r="Y5988" s="1"/>
      <c r="AB5988" s="1"/>
      <c r="AC5988" s="1"/>
      <c r="AD5988" s="1"/>
      <c r="AE5988" s="1"/>
      <c r="AF5988" s="1"/>
      <c r="AG5988" s="1"/>
      <c r="AH5988" s="1"/>
      <c r="AI5988" s="1"/>
      <c r="AJ5988" s="1"/>
      <c r="AK5988" s="1"/>
      <c r="AL5988" s="1"/>
      <c r="AM5988" s="1"/>
    </row>
    <row r="5989" spans="16:39" x14ac:dyDescent="0.25">
      <c r="P5989" s="49"/>
      <c r="Q5989" s="1"/>
      <c r="S5989" s="1"/>
      <c r="T5989" s="1"/>
      <c r="U5989" s="1"/>
      <c r="V5989" s="1"/>
      <c r="W5989" s="1"/>
      <c r="X5989" s="1"/>
      <c r="Y5989" s="1"/>
      <c r="AB5989" s="1"/>
      <c r="AC5989" s="1"/>
      <c r="AD5989" s="1"/>
      <c r="AE5989" s="1"/>
      <c r="AF5989" s="1"/>
      <c r="AG5989" s="1"/>
      <c r="AH5989" s="1"/>
      <c r="AI5989" s="1"/>
      <c r="AJ5989" s="1"/>
      <c r="AK5989" s="1"/>
      <c r="AL5989" s="1"/>
      <c r="AM5989" s="1"/>
    </row>
    <row r="5990" spans="16:39" x14ac:dyDescent="0.25">
      <c r="P5990" s="49"/>
      <c r="Q5990" s="1"/>
      <c r="S5990" s="1"/>
      <c r="T5990" s="1"/>
      <c r="U5990" s="1"/>
      <c r="V5990" s="1"/>
      <c r="W5990" s="1"/>
      <c r="X5990" s="1"/>
      <c r="Y5990" s="1"/>
      <c r="AB5990" s="1"/>
      <c r="AC5990" s="1"/>
      <c r="AD5990" s="1"/>
      <c r="AE5990" s="1"/>
      <c r="AF5990" s="1"/>
      <c r="AG5990" s="1"/>
      <c r="AH5990" s="1"/>
      <c r="AI5990" s="1"/>
      <c r="AJ5990" s="1"/>
      <c r="AK5990" s="1"/>
      <c r="AL5990" s="1"/>
      <c r="AM5990" s="1"/>
    </row>
    <row r="5991" spans="16:39" x14ac:dyDescent="0.25">
      <c r="P5991" s="49"/>
      <c r="Q5991" s="1"/>
      <c r="S5991" s="1"/>
      <c r="T5991" s="1"/>
      <c r="U5991" s="1"/>
      <c r="V5991" s="1"/>
      <c r="W5991" s="1"/>
      <c r="X5991" s="1"/>
      <c r="Y5991" s="1"/>
      <c r="AB5991" s="1"/>
      <c r="AC5991" s="1"/>
      <c r="AD5991" s="1"/>
      <c r="AE5991" s="1"/>
      <c r="AF5991" s="1"/>
      <c r="AG5991" s="1"/>
      <c r="AH5991" s="1"/>
      <c r="AI5991" s="1"/>
      <c r="AJ5991" s="1"/>
      <c r="AK5991" s="1"/>
      <c r="AL5991" s="1"/>
      <c r="AM5991" s="1"/>
    </row>
    <row r="5992" spans="16:39" x14ac:dyDescent="0.25">
      <c r="P5992" s="49"/>
      <c r="Q5992" s="1"/>
      <c r="S5992" s="1"/>
      <c r="T5992" s="1"/>
      <c r="U5992" s="1"/>
      <c r="V5992" s="1"/>
      <c r="W5992" s="1"/>
      <c r="X5992" s="1"/>
      <c r="Y5992" s="1"/>
      <c r="AB5992" s="1"/>
      <c r="AC5992" s="1"/>
      <c r="AD5992" s="1"/>
      <c r="AE5992" s="1"/>
      <c r="AF5992" s="1"/>
      <c r="AG5992" s="1"/>
      <c r="AH5992" s="1"/>
      <c r="AI5992" s="1"/>
      <c r="AJ5992" s="1"/>
      <c r="AK5992" s="1"/>
      <c r="AL5992" s="1"/>
      <c r="AM5992" s="1"/>
    </row>
    <row r="5993" spans="16:39" x14ac:dyDescent="0.25">
      <c r="P5993" s="49"/>
      <c r="Q5993" s="1"/>
      <c r="S5993" s="1"/>
      <c r="T5993" s="1"/>
      <c r="U5993" s="1"/>
      <c r="V5993" s="1"/>
      <c r="W5993" s="1"/>
      <c r="X5993" s="1"/>
      <c r="Y5993" s="1"/>
      <c r="AB5993" s="1"/>
      <c r="AC5993" s="1"/>
      <c r="AD5993" s="1"/>
      <c r="AE5993" s="1"/>
      <c r="AF5993" s="1"/>
      <c r="AG5993" s="1"/>
      <c r="AH5993" s="1"/>
      <c r="AI5993" s="1"/>
      <c r="AJ5993" s="1"/>
      <c r="AK5993" s="1"/>
      <c r="AL5993" s="1"/>
      <c r="AM5993" s="1"/>
    </row>
    <row r="5994" spans="16:39" x14ac:dyDescent="0.25">
      <c r="P5994" s="49"/>
      <c r="Q5994" s="1"/>
      <c r="S5994" s="1"/>
      <c r="T5994" s="1"/>
      <c r="U5994" s="1"/>
      <c r="V5994" s="1"/>
      <c r="W5994" s="1"/>
      <c r="X5994" s="1"/>
      <c r="Y5994" s="1"/>
      <c r="AB5994" s="1"/>
      <c r="AC5994" s="1"/>
      <c r="AD5994" s="1"/>
      <c r="AE5994" s="1"/>
      <c r="AF5994" s="1"/>
      <c r="AG5994" s="1"/>
      <c r="AH5994" s="1"/>
      <c r="AI5994" s="1"/>
      <c r="AJ5994" s="1"/>
      <c r="AK5994" s="1"/>
      <c r="AL5994" s="1"/>
      <c r="AM5994" s="1"/>
    </row>
    <row r="5995" spans="16:39" x14ac:dyDescent="0.25">
      <c r="P5995" s="49"/>
      <c r="Q5995" s="1"/>
      <c r="S5995" s="1"/>
      <c r="T5995" s="1"/>
      <c r="U5995" s="1"/>
      <c r="V5995" s="1"/>
      <c r="W5995" s="1"/>
      <c r="X5995" s="1"/>
      <c r="Y5995" s="1"/>
      <c r="AB5995" s="1"/>
      <c r="AC5995" s="1"/>
      <c r="AD5995" s="1"/>
      <c r="AE5995" s="1"/>
      <c r="AF5995" s="1"/>
      <c r="AG5995" s="1"/>
      <c r="AH5995" s="1"/>
      <c r="AI5995" s="1"/>
      <c r="AJ5995" s="1"/>
      <c r="AK5995" s="1"/>
      <c r="AL5995" s="1"/>
      <c r="AM5995" s="1"/>
    </row>
    <row r="5996" spans="16:39" x14ac:dyDescent="0.25">
      <c r="P5996" s="49"/>
      <c r="Q5996" s="1"/>
      <c r="S5996" s="1"/>
      <c r="T5996" s="1"/>
      <c r="U5996" s="1"/>
      <c r="V5996" s="1"/>
      <c r="W5996" s="1"/>
      <c r="X5996" s="1"/>
      <c r="Y5996" s="1"/>
      <c r="AB5996" s="1"/>
      <c r="AC5996" s="1"/>
      <c r="AD5996" s="1"/>
      <c r="AE5996" s="1"/>
      <c r="AF5996" s="1"/>
      <c r="AG5996" s="1"/>
      <c r="AH5996" s="1"/>
      <c r="AI5996" s="1"/>
      <c r="AJ5996" s="1"/>
      <c r="AK5996" s="1"/>
      <c r="AL5996" s="1"/>
      <c r="AM5996" s="1"/>
    </row>
    <row r="5997" spans="16:39" x14ac:dyDescent="0.25">
      <c r="P5997" s="49"/>
      <c r="Q5997" s="1"/>
      <c r="S5997" s="1"/>
      <c r="T5997" s="1"/>
      <c r="U5997" s="1"/>
      <c r="V5997" s="1"/>
      <c r="W5997" s="1"/>
      <c r="X5997" s="1"/>
      <c r="Y5997" s="1"/>
      <c r="AB5997" s="1"/>
      <c r="AC5997" s="1"/>
      <c r="AD5997" s="1"/>
      <c r="AE5997" s="1"/>
      <c r="AF5997" s="1"/>
      <c r="AG5997" s="1"/>
      <c r="AH5997" s="1"/>
      <c r="AI5997" s="1"/>
      <c r="AJ5997" s="1"/>
      <c r="AK5997" s="1"/>
      <c r="AL5997" s="1"/>
      <c r="AM5997" s="1"/>
    </row>
    <row r="5998" spans="16:39" x14ac:dyDescent="0.25">
      <c r="P5998" s="49"/>
      <c r="Q5998" s="1"/>
      <c r="S5998" s="1"/>
      <c r="T5998" s="1"/>
      <c r="U5998" s="1"/>
      <c r="V5998" s="1"/>
      <c r="W5998" s="1"/>
      <c r="X5998" s="1"/>
      <c r="Y5998" s="1"/>
      <c r="AB5998" s="1"/>
      <c r="AC5998" s="1"/>
      <c r="AD5998" s="1"/>
      <c r="AE5998" s="1"/>
      <c r="AF5998" s="1"/>
      <c r="AG5998" s="1"/>
      <c r="AH5998" s="1"/>
      <c r="AI5998" s="1"/>
      <c r="AJ5998" s="1"/>
      <c r="AK5998" s="1"/>
      <c r="AL5998" s="1"/>
      <c r="AM5998" s="1"/>
    </row>
    <row r="5999" spans="16:39" x14ac:dyDescent="0.25">
      <c r="P5999" s="49"/>
      <c r="Q5999" s="1"/>
      <c r="S5999" s="1"/>
      <c r="T5999" s="1"/>
      <c r="U5999" s="1"/>
      <c r="V5999" s="1"/>
      <c r="W5999" s="1"/>
      <c r="X5999" s="1"/>
      <c r="Y5999" s="1"/>
      <c r="AB5999" s="1"/>
      <c r="AC5999" s="1"/>
      <c r="AD5999" s="1"/>
      <c r="AE5999" s="1"/>
      <c r="AF5999" s="1"/>
      <c r="AG5999" s="1"/>
      <c r="AH5999" s="1"/>
      <c r="AI5999" s="1"/>
      <c r="AJ5999" s="1"/>
      <c r="AK5999" s="1"/>
      <c r="AL5999" s="1"/>
      <c r="AM5999" s="1"/>
    </row>
    <row r="6000" spans="16:39" x14ac:dyDescent="0.25">
      <c r="P6000" s="49"/>
      <c r="Q6000" s="1"/>
      <c r="S6000" s="1"/>
      <c r="T6000" s="1"/>
      <c r="U6000" s="1"/>
      <c r="V6000" s="1"/>
      <c r="W6000" s="1"/>
      <c r="X6000" s="1"/>
      <c r="Y6000" s="1"/>
      <c r="AB6000" s="1"/>
      <c r="AC6000" s="1"/>
      <c r="AD6000" s="1"/>
      <c r="AE6000" s="1"/>
      <c r="AF6000" s="1"/>
      <c r="AG6000" s="1"/>
      <c r="AH6000" s="1"/>
      <c r="AI6000" s="1"/>
      <c r="AJ6000" s="1"/>
      <c r="AK6000" s="1"/>
      <c r="AL6000" s="1"/>
      <c r="AM6000" s="1"/>
    </row>
    <row r="6001" spans="16:39" x14ac:dyDescent="0.25">
      <c r="P6001" s="49"/>
      <c r="Q6001" s="1"/>
      <c r="S6001" s="1"/>
      <c r="T6001" s="1"/>
      <c r="U6001" s="1"/>
      <c r="V6001" s="1"/>
      <c r="W6001" s="1"/>
      <c r="X6001" s="1"/>
      <c r="Y6001" s="1"/>
      <c r="AB6001" s="1"/>
      <c r="AC6001" s="1"/>
      <c r="AD6001" s="1"/>
      <c r="AE6001" s="1"/>
      <c r="AF6001" s="1"/>
      <c r="AG6001" s="1"/>
      <c r="AH6001" s="1"/>
      <c r="AI6001" s="1"/>
      <c r="AJ6001" s="1"/>
      <c r="AK6001" s="1"/>
      <c r="AL6001" s="1"/>
      <c r="AM6001" s="1"/>
    </row>
    <row r="6002" spans="16:39" x14ac:dyDescent="0.25">
      <c r="P6002" s="49"/>
      <c r="Q6002" s="1"/>
      <c r="S6002" s="1"/>
      <c r="T6002" s="1"/>
      <c r="U6002" s="1"/>
      <c r="V6002" s="1"/>
      <c r="W6002" s="1"/>
      <c r="X6002" s="1"/>
      <c r="Y6002" s="1"/>
      <c r="AB6002" s="1"/>
      <c r="AC6002" s="1"/>
      <c r="AD6002" s="1"/>
      <c r="AE6002" s="1"/>
      <c r="AF6002" s="1"/>
      <c r="AG6002" s="1"/>
      <c r="AH6002" s="1"/>
      <c r="AI6002" s="1"/>
      <c r="AJ6002" s="1"/>
      <c r="AK6002" s="1"/>
      <c r="AL6002" s="1"/>
      <c r="AM6002" s="1"/>
    </row>
    <row r="6003" spans="16:39" x14ac:dyDescent="0.25">
      <c r="P6003" s="49"/>
      <c r="Q6003" s="1"/>
      <c r="S6003" s="1"/>
      <c r="T6003" s="1"/>
      <c r="U6003" s="1"/>
      <c r="V6003" s="1"/>
      <c r="W6003" s="1"/>
      <c r="X6003" s="1"/>
      <c r="Y6003" s="1"/>
      <c r="AB6003" s="1"/>
      <c r="AC6003" s="1"/>
      <c r="AD6003" s="1"/>
      <c r="AE6003" s="1"/>
      <c r="AF6003" s="1"/>
      <c r="AG6003" s="1"/>
      <c r="AH6003" s="1"/>
      <c r="AI6003" s="1"/>
      <c r="AJ6003" s="1"/>
      <c r="AK6003" s="1"/>
      <c r="AL6003" s="1"/>
      <c r="AM6003" s="1"/>
    </row>
    <row r="6004" spans="16:39" x14ac:dyDescent="0.25">
      <c r="P6004" s="49"/>
      <c r="Q6004" s="1"/>
      <c r="S6004" s="1"/>
      <c r="T6004" s="1"/>
      <c r="U6004" s="1"/>
      <c r="V6004" s="1"/>
      <c r="W6004" s="1"/>
      <c r="X6004" s="1"/>
      <c r="Y6004" s="1"/>
      <c r="AB6004" s="1"/>
      <c r="AC6004" s="1"/>
      <c r="AD6004" s="1"/>
      <c r="AE6004" s="1"/>
      <c r="AF6004" s="1"/>
      <c r="AG6004" s="1"/>
      <c r="AH6004" s="1"/>
      <c r="AI6004" s="1"/>
      <c r="AJ6004" s="1"/>
      <c r="AK6004" s="1"/>
      <c r="AL6004" s="1"/>
      <c r="AM6004" s="1"/>
    </row>
    <row r="6005" spans="16:39" x14ac:dyDescent="0.25">
      <c r="P6005" s="49"/>
      <c r="Q6005" s="1"/>
      <c r="S6005" s="1"/>
      <c r="T6005" s="1"/>
      <c r="U6005" s="1"/>
      <c r="V6005" s="1"/>
      <c r="W6005" s="1"/>
      <c r="X6005" s="1"/>
      <c r="Y6005" s="1"/>
      <c r="AB6005" s="1"/>
      <c r="AC6005" s="1"/>
      <c r="AD6005" s="1"/>
      <c r="AE6005" s="1"/>
      <c r="AF6005" s="1"/>
      <c r="AG6005" s="1"/>
      <c r="AH6005" s="1"/>
      <c r="AI6005" s="1"/>
      <c r="AJ6005" s="1"/>
      <c r="AK6005" s="1"/>
      <c r="AL6005" s="1"/>
      <c r="AM6005" s="1"/>
    </row>
    <row r="6006" spans="16:39" x14ac:dyDescent="0.25">
      <c r="P6006" s="49"/>
      <c r="Q6006" s="1"/>
      <c r="S6006" s="1"/>
      <c r="T6006" s="1"/>
      <c r="U6006" s="1"/>
      <c r="V6006" s="1"/>
      <c r="W6006" s="1"/>
      <c r="X6006" s="1"/>
      <c r="Y6006" s="1"/>
      <c r="AB6006" s="1"/>
      <c r="AC6006" s="1"/>
      <c r="AD6006" s="1"/>
      <c r="AE6006" s="1"/>
      <c r="AF6006" s="1"/>
      <c r="AG6006" s="1"/>
      <c r="AH6006" s="1"/>
      <c r="AI6006" s="1"/>
      <c r="AJ6006" s="1"/>
      <c r="AK6006" s="1"/>
      <c r="AL6006" s="1"/>
      <c r="AM6006" s="1"/>
    </row>
    <row r="6007" spans="16:39" x14ac:dyDescent="0.25">
      <c r="P6007" s="49"/>
      <c r="Q6007" s="1"/>
      <c r="S6007" s="1"/>
      <c r="T6007" s="1"/>
      <c r="U6007" s="1"/>
      <c r="V6007" s="1"/>
      <c r="W6007" s="1"/>
      <c r="X6007" s="1"/>
      <c r="Y6007" s="1"/>
      <c r="AB6007" s="1"/>
      <c r="AC6007" s="1"/>
      <c r="AD6007" s="1"/>
      <c r="AE6007" s="1"/>
      <c r="AF6007" s="1"/>
      <c r="AG6007" s="1"/>
      <c r="AH6007" s="1"/>
      <c r="AI6007" s="1"/>
      <c r="AJ6007" s="1"/>
      <c r="AK6007" s="1"/>
      <c r="AL6007" s="1"/>
      <c r="AM6007" s="1"/>
    </row>
    <row r="6008" spans="16:39" x14ac:dyDescent="0.25">
      <c r="P6008" s="49"/>
      <c r="Q6008" s="1"/>
      <c r="S6008" s="1"/>
      <c r="T6008" s="1"/>
      <c r="U6008" s="1"/>
      <c r="V6008" s="1"/>
      <c r="W6008" s="1"/>
      <c r="X6008" s="1"/>
      <c r="Y6008" s="1"/>
      <c r="AB6008" s="1"/>
      <c r="AC6008" s="1"/>
      <c r="AD6008" s="1"/>
      <c r="AE6008" s="1"/>
      <c r="AF6008" s="1"/>
      <c r="AG6008" s="1"/>
      <c r="AH6008" s="1"/>
      <c r="AI6008" s="1"/>
      <c r="AJ6008" s="1"/>
      <c r="AK6008" s="1"/>
      <c r="AL6008" s="1"/>
      <c r="AM6008" s="1"/>
    </row>
    <row r="6009" spans="16:39" x14ac:dyDescent="0.25">
      <c r="P6009" s="49"/>
      <c r="Q6009" s="1"/>
      <c r="S6009" s="1"/>
      <c r="T6009" s="1"/>
      <c r="U6009" s="1"/>
      <c r="V6009" s="1"/>
      <c r="W6009" s="1"/>
      <c r="X6009" s="1"/>
      <c r="Y6009" s="1"/>
      <c r="AB6009" s="1"/>
      <c r="AC6009" s="1"/>
      <c r="AD6009" s="1"/>
      <c r="AE6009" s="1"/>
      <c r="AF6009" s="1"/>
      <c r="AG6009" s="1"/>
      <c r="AH6009" s="1"/>
      <c r="AI6009" s="1"/>
      <c r="AJ6009" s="1"/>
      <c r="AK6009" s="1"/>
      <c r="AL6009" s="1"/>
      <c r="AM6009" s="1"/>
    </row>
    <row r="6010" spans="16:39" x14ac:dyDescent="0.25">
      <c r="P6010" s="49"/>
      <c r="Q6010" s="1"/>
      <c r="S6010" s="1"/>
      <c r="T6010" s="1"/>
      <c r="U6010" s="1"/>
      <c r="V6010" s="1"/>
      <c r="W6010" s="1"/>
      <c r="X6010" s="1"/>
      <c r="Y6010" s="1"/>
      <c r="AB6010" s="1"/>
      <c r="AC6010" s="1"/>
      <c r="AD6010" s="1"/>
      <c r="AE6010" s="1"/>
      <c r="AF6010" s="1"/>
      <c r="AG6010" s="1"/>
      <c r="AH6010" s="1"/>
      <c r="AI6010" s="1"/>
      <c r="AJ6010" s="1"/>
      <c r="AK6010" s="1"/>
      <c r="AL6010" s="1"/>
      <c r="AM6010" s="1"/>
    </row>
    <row r="6011" spans="16:39" x14ac:dyDescent="0.25">
      <c r="P6011" s="49"/>
      <c r="Q6011" s="1"/>
      <c r="S6011" s="1"/>
      <c r="T6011" s="1"/>
      <c r="U6011" s="1"/>
      <c r="V6011" s="1"/>
      <c r="W6011" s="1"/>
      <c r="X6011" s="1"/>
      <c r="Y6011" s="1"/>
      <c r="AB6011" s="1"/>
      <c r="AC6011" s="1"/>
      <c r="AD6011" s="1"/>
      <c r="AE6011" s="1"/>
      <c r="AF6011" s="1"/>
      <c r="AG6011" s="1"/>
      <c r="AH6011" s="1"/>
      <c r="AI6011" s="1"/>
      <c r="AJ6011" s="1"/>
      <c r="AK6011" s="1"/>
      <c r="AL6011" s="1"/>
      <c r="AM6011" s="1"/>
    </row>
    <row r="6012" spans="16:39" x14ac:dyDescent="0.25">
      <c r="P6012" s="49"/>
      <c r="Q6012" s="1"/>
      <c r="S6012" s="1"/>
      <c r="T6012" s="1"/>
      <c r="U6012" s="1"/>
      <c r="V6012" s="1"/>
      <c r="W6012" s="1"/>
      <c r="X6012" s="1"/>
      <c r="Y6012" s="1"/>
      <c r="AB6012" s="1"/>
      <c r="AC6012" s="1"/>
      <c r="AD6012" s="1"/>
      <c r="AE6012" s="1"/>
      <c r="AF6012" s="1"/>
      <c r="AG6012" s="1"/>
      <c r="AH6012" s="1"/>
      <c r="AI6012" s="1"/>
      <c r="AJ6012" s="1"/>
      <c r="AK6012" s="1"/>
      <c r="AL6012" s="1"/>
      <c r="AM6012" s="1"/>
    </row>
    <row r="6013" spans="16:39" x14ac:dyDescent="0.25">
      <c r="P6013" s="49"/>
      <c r="Q6013" s="1"/>
      <c r="S6013" s="1"/>
      <c r="T6013" s="1"/>
      <c r="U6013" s="1"/>
      <c r="V6013" s="1"/>
      <c r="W6013" s="1"/>
      <c r="X6013" s="1"/>
      <c r="Y6013" s="1"/>
      <c r="AB6013" s="1"/>
      <c r="AC6013" s="1"/>
      <c r="AD6013" s="1"/>
      <c r="AE6013" s="1"/>
      <c r="AF6013" s="1"/>
      <c r="AG6013" s="1"/>
      <c r="AH6013" s="1"/>
      <c r="AI6013" s="1"/>
      <c r="AJ6013" s="1"/>
      <c r="AK6013" s="1"/>
      <c r="AL6013" s="1"/>
      <c r="AM6013" s="1"/>
    </row>
    <row r="6014" spans="16:39" x14ac:dyDescent="0.25">
      <c r="P6014" s="49"/>
      <c r="Q6014" s="1"/>
      <c r="S6014" s="1"/>
      <c r="T6014" s="1"/>
      <c r="U6014" s="1"/>
      <c r="V6014" s="1"/>
      <c r="W6014" s="1"/>
      <c r="X6014" s="1"/>
      <c r="Y6014" s="1"/>
      <c r="AB6014" s="1"/>
      <c r="AC6014" s="1"/>
      <c r="AD6014" s="1"/>
      <c r="AE6014" s="1"/>
      <c r="AF6014" s="1"/>
      <c r="AG6014" s="1"/>
      <c r="AH6014" s="1"/>
      <c r="AI6014" s="1"/>
      <c r="AJ6014" s="1"/>
      <c r="AK6014" s="1"/>
      <c r="AL6014" s="1"/>
      <c r="AM6014" s="1"/>
    </row>
    <row r="6015" spans="16:39" x14ac:dyDescent="0.25">
      <c r="P6015" s="49"/>
      <c r="Q6015" s="1"/>
      <c r="S6015" s="1"/>
      <c r="T6015" s="1"/>
      <c r="U6015" s="1"/>
      <c r="V6015" s="1"/>
      <c r="W6015" s="1"/>
      <c r="X6015" s="1"/>
      <c r="Y6015" s="1"/>
      <c r="AB6015" s="1"/>
      <c r="AC6015" s="1"/>
      <c r="AD6015" s="1"/>
      <c r="AE6015" s="1"/>
      <c r="AF6015" s="1"/>
      <c r="AG6015" s="1"/>
      <c r="AH6015" s="1"/>
      <c r="AI6015" s="1"/>
      <c r="AJ6015" s="1"/>
      <c r="AK6015" s="1"/>
      <c r="AL6015" s="1"/>
      <c r="AM6015" s="1"/>
    </row>
    <row r="6016" spans="16:39" x14ac:dyDescent="0.25">
      <c r="P6016" s="49"/>
      <c r="Q6016" s="1"/>
      <c r="S6016" s="1"/>
      <c r="T6016" s="1"/>
      <c r="U6016" s="1"/>
      <c r="V6016" s="1"/>
      <c r="W6016" s="1"/>
      <c r="X6016" s="1"/>
      <c r="Y6016" s="1"/>
      <c r="AB6016" s="1"/>
      <c r="AC6016" s="1"/>
      <c r="AD6016" s="1"/>
      <c r="AE6016" s="1"/>
      <c r="AF6016" s="1"/>
      <c r="AG6016" s="1"/>
      <c r="AH6016" s="1"/>
      <c r="AI6016" s="1"/>
      <c r="AJ6016" s="1"/>
      <c r="AK6016" s="1"/>
      <c r="AL6016" s="1"/>
      <c r="AM6016" s="1"/>
    </row>
    <row r="6017" spans="16:39" x14ac:dyDescent="0.25">
      <c r="P6017" s="49"/>
      <c r="Q6017" s="1"/>
      <c r="S6017" s="1"/>
      <c r="T6017" s="1"/>
      <c r="U6017" s="1"/>
      <c r="V6017" s="1"/>
      <c r="W6017" s="1"/>
      <c r="X6017" s="1"/>
      <c r="Y6017" s="1"/>
      <c r="AB6017" s="1"/>
      <c r="AC6017" s="1"/>
      <c r="AD6017" s="1"/>
      <c r="AE6017" s="1"/>
      <c r="AF6017" s="1"/>
      <c r="AG6017" s="1"/>
      <c r="AH6017" s="1"/>
      <c r="AI6017" s="1"/>
      <c r="AJ6017" s="1"/>
      <c r="AK6017" s="1"/>
      <c r="AL6017" s="1"/>
      <c r="AM6017" s="1"/>
    </row>
    <row r="6018" spans="16:39" x14ac:dyDescent="0.25">
      <c r="P6018" s="49"/>
      <c r="Q6018" s="1"/>
      <c r="S6018" s="1"/>
      <c r="T6018" s="1"/>
      <c r="U6018" s="1"/>
      <c r="V6018" s="1"/>
      <c r="W6018" s="1"/>
      <c r="X6018" s="1"/>
      <c r="Y6018" s="1"/>
      <c r="AB6018" s="1"/>
      <c r="AC6018" s="1"/>
      <c r="AD6018" s="1"/>
      <c r="AE6018" s="1"/>
      <c r="AF6018" s="1"/>
      <c r="AG6018" s="1"/>
      <c r="AH6018" s="1"/>
      <c r="AI6018" s="1"/>
      <c r="AJ6018" s="1"/>
      <c r="AK6018" s="1"/>
      <c r="AL6018" s="1"/>
      <c r="AM6018" s="1"/>
    </row>
    <row r="6019" spans="16:39" x14ac:dyDescent="0.25">
      <c r="P6019" s="49"/>
      <c r="Q6019" s="1"/>
      <c r="S6019" s="1"/>
      <c r="T6019" s="1"/>
      <c r="U6019" s="1"/>
      <c r="V6019" s="1"/>
      <c r="W6019" s="1"/>
      <c r="X6019" s="1"/>
      <c r="Y6019" s="1"/>
      <c r="AB6019" s="1"/>
      <c r="AC6019" s="1"/>
      <c r="AD6019" s="1"/>
      <c r="AE6019" s="1"/>
      <c r="AF6019" s="1"/>
      <c r="AG6019" s="1"/>
      <c r="AH6019" s="1"/>
      <c r="AI6019" s="1"/>
      <c r="AJ6019" s="1"/>
      <c r="AK6019" s="1"/>
      <c r="AL6019" s="1"/>
      <c r="AM6019" s="1"/>
    </row>
    <row r="6020" spans="16:39" x14ac:dyDescent="0.25">
      <c r="P6020" s="49"/>
      <c r="Q6020" s="1"/>
      <c r="S6020" s="1"/>
      <c r="T6020" s="1"/>
      <c r="U6020" s="1"/>
      <c r="V6020" s="1"/>
      <c r="W6020" s="1"/>
      <c r="X6020" s="1"/>
      <c r="Y6020" s="1"/>
      <c r="AB6020" s="1"/>
      <c r="AC6020" s="1"/>
      <c r="AD6020" s="1"/>
      <c r="AE6020" s="1"/>
      <c r="AF6020" s="1"/>
      <c r="AG6020" s="1"/>
      <c r="AH6020" s="1"/>
      <c r="AI6020" s="1"/>
      <c r="AJ6020" s="1"/>
      <c r="AK6020" s="1"/>
      <c r="AL6020" s="1"/>
      <c r="AM6020" s="1"/>
    </row>
    <row r="6021" spans="16:39" x14ac:dyDescent="0.25">
      <c r="P6021" s="49"/>
      <c r="Q6021" s="1"/>
      <c r="S6021" s="1"/>
      <c r="T6021" s="1"/>
      <c r="U6021" s="1"/>
      <c r="V6021" s="1"/>
      <c r="W6021" s="1"/>
      <c r="X6021" s="1"/>
      <c r="Y6021" s="1"/>
      <c r="AB6021" s="1"/>
      <c r="AC6021" s="1"/>
      <c r="AD6021" s="1"/>
      <c r="AE6021" s="1"/>
      <c r="AF6021" s="1"/>
      <c r="AG6021" s="1"/>
      <c r="AH6021" s="1"/>
      <c r="AI6021" s="1"/>
      <c r="AJ6021" s="1"/>
      <c r="AK6021" s="1"/>
      <c r="AL6021" s="1"/>
      <c r="AM6021" s="1"/>
    </row>
    <row r="6022" spans="16:39" x14ac:dyDescent="0.25">
      <c r="P6022" s="49"/>
      <c r="Q6022" s="1"/>
      <c r="S6022" s="1"/>
      <c r="T6022" s="1"/>
      <c r="U6022" s="1"/>
      <c r="V6022" s="1"/>
      <c r="W6022" s="1"/>
      <c r="X6022" s="1"/>
      <c r="Y6022" s="1"/>
      <c r="AB6022" s="1"/>
      <c r="AC6022" s="1"/>
      <c r="AD6022" s="1"/>
      <c r="AE6022" s="1"/>
      <c r="AF6022" s="1"/>
      <c r="AG6022" s="1"/>
      <c r="AH6022" s="1"/>
      <c r="AI6022" s="1"/>
      <c r="AJ6022" s="1"/>
      <c r="AK6022" s="1"/>
      <c r="AL6022" s="1"/>
      <c r="AM6022" s="1"/>
    </row>
    <row r="6023" spans="16:39" x14ac:dyDescent="0.25">
      <c r="P6023" s="49"/>
      <c r="Q6023" s="1"/>
      <c r="S6023" s="1"/>
      <c r="T6023" s="1"/>
      <c r="U6023" s="1"/>
      <c r="V6023" s="1"/>
      <c r="W6023" s="1"/>
      <c r="X6023" s="1"/>
      <c r="Y6023" s="1"/>
      <c r="AB6023" s="1"/>
      <c r="AC6023" s="1"/>
      <c r="AD6023" s="1"/>
      <c r="AE6023" s="1"/>
      <c r="AF6023" s="1"/>
      <c r="AG6023" s="1"/>
      <c r="AH6023" s="1"/>
      <c r="AI6023" s="1"/>
      <c r="AJ6023" s="1"/>
      <c r="AK6023" s="1"/>
      <c r="AL6023" s="1"/>
      <c r="AM6023" s="1"/>
    </row>
    <row r="6024" spans="16:39" x14ac:dyDescent="0.25">
      <c r="P6024" s="49"/>
      <c r="Q6024" s="1"/>
      <c r="S6024" s="1"/>
      <c r="T6024" s="1"/>
      <c r="U6024" s="1"/>
      <c r="V6024" s="1"/>
      <c r="W6024" s="1"/>
      <c r="X6024" s="1"/>
      <c r="Y6024" s="1"/>
      <c r="AB6024" s="1"/>
      <c r="AC6024" s="1"/>
      <c r="AD6024" s="1"/>
      <c r="AE6024" s="1"/>
      <c r="AF6024" s="1"/>
      <c r="AG6024" s="1"/>
      <c r="AH6024" s="1"/>
      <c r="AI6024" s="1"/>
      <c r="AJ6024" s="1"/>
      <c r="AK6024" s="1"/>
      <c r="AL6024" s="1"/>
      <c r="AM6024" s="1"/>
    </row>
    <row r="6025" spans="16:39" x14ac:dyDescent="0.25">
      <c r="P6025" s="49"/>
      <c r="Q6025" s="1"/>
      <c r="S6025" s="1"/>
      <c r="T6025" s="1"/>
      <c r="U6025" s="1"/>
      <c r="V6025" s="1"/>
      <c r="W6025" s="1"/>
      <c r="X6025" s="1"/>
      <c r="Y6025" s="1"/>
      <c r="AB6025" s="1"/>
      <c r="AC6025" s="1"/>
      <c r="AD6025" s="1"/>
      <c r="AE6025" s="1"/>
      <c r="AF6025" s="1"/>
      <c r="AG6025" s="1"/>
      <c r="AH6025" s="1"/>
      <c r="AI6025" s="1"/>
      <c r="AJ6025" s="1"/>
      <c r="AK6025" s="1"/>
      <c r="AL6025" s="1"/>
      <c r="AM6025" s="1"/>
    </row>
    <row r="6026" spans="16:39" x14ac:dyDescent="0.25">
      <c r="P6026" s="49"/>
      <c r="Q6026" s="1"/>
      <c r="S6026" s="1"/>
      <c r="T6026" s="1"/>
      <c r="U6026" s="1"/>
      <c r="V6026" s="1"/>
      <c r="W6026" s="1"/>
      <c r="X6026" s="1"/>
      <c r="Y6026" s="1"/>
      <c r="AB6026" s="1"/>
      <c r="AC6026" s="1"/>
      <c r="AD6026" s="1"/>
      <c r="AE6026" s="1"/>
      <c r="AF6026" s="1"/>
      <c r="AG6026" s="1"/>
      <c r="AH6026" s="1"/>
      <c r="AI6026" s="1"/>
      <c r="AJ6026" s="1"/>
      <c r="AK6026" s="1"/>
      <c r="AL6026" s="1"/>
      <c r="AM6026" s="1"/>
    </row>
    <row r="6027" spans="16:39" x14ac:dyDescent="0.25">
      <c r="P6027" s="49"/>
      <c r="Q6027" s="1"/>
      <c r="S6027" s="1"/>
      <c r="T6027" s="1"/>
      <c r="U6027" s="1"/>
      <c r="V6027" s="1"/>
      <c r="W6027" s="1"/>
      <c r="X6027" s="1"/>
      <c r="Y6027" s="1"/>
      <c r="AB6027" s="1"/>
      <c r="AC6027" s="1"/>
      <c r="AD6027" s="1"/>
      <c r="AE6027" s="1"/>
      <c r="AF6027" s="1"/>
      <c r="AG6027" s="1"/>
      <c r="AH6027" s="1"/>
      <c r="AI6027" s="1"/>
      <c r="AJ6027" s="1"/>
      <c r="AK6027" s="1"/>
      <c r="AL6027" s="1"/>
      <c r="AM6027" s="1"/>
    </row>
    <row r="6028" spans="16:39" x14ac:dyDescent="0.25">
      <c r="P6028" s="49"/>
      <c r="Q6028" s="1"/>
      <c r="S6028" s="1"/>
      <c r="T6028" s="1"/>
      <c r="U6028" s="1"/>
      <c r="V6028" s="1"/>
      <c r="W6028" s="1"/>
      <c r="X6028" s="1"/>
      <c r="Y6028" s="1"/>
      <c r="AB6028" s="1"/>
      <c r="AC6028" s="1"/>
      <c r="AD6028" s="1"/>
      <c r="AE6028" s="1"/>
      <c r="AF6028" s="1"/>
      <c r="AG6028" s="1"/>
      <c r="AH6028" s="1"/>
      <c r="AI6028" s="1"/>
      <c r="AJ6028" s="1"/>
      <c r="AK6028" s="1"/>
      <c r="AL6028" s="1"/>
      <c r="AM6028" s="1"/>
    </row>
    <row r="6029" spans="16:39" x14ac:dyDescent="0.25">
      <c r="P6029" s="49"/>
      <c r="Q6029" s="1"/>
      <c r="S6029" s="1"/>
      <c r="T6029" s="1"/>
      <c r="U6029" s="1"/>
      <c r="V6029" s="1"/>
      <c r="W6029" s="1"/>
      <c r="X6029" s="1"/>
      <c r="Y6029" s="1"/>
      <c r="AB6029" s="1"/>
      <c r="AC6029" s="1"/>
      <c r="AD6029" s="1"/>
      <c r="AE6029" s="1"/>
      <c r="AF6029" s="1"/>
      <c r="AG6029" s="1"/>
      <c r="AH6029" s="1"/>
      <c r="AI6029" s="1"/>
      <c r="AJ6029" s="1"/>
      <c r="AK6029" s="1"/>
      <c r="AL6029" s="1"/>
      <c r="AM6029" s="1"/>
    </row>
    <row r="6030" spans="16:39" x14ac:dyDescent="0.25">
      <c r="P6030" s="49"/>
      <c r="Q6030" s="1"/>
      <c r="S6030" s="1"/>
      <c r="T6030" s="1"/>
      <c r="U6030" s="1"/>
      <c r="V6030" s="1"/>
      <c r="W6030" s="1"/>
      <c r="X6030" s="1"/>
      <c r="Y6030" s="1"/>
      <c r="AB6030" s="1"/>
      <c r="AC6030" s="1"/>
      <c r="AD6030" s="1"/>
      <c r="AE6030" s="1"/>
      <c r="AF6030" s="1"/>
      <c r="AG6030" s="1"/>
      <c r="AH6030" s="1"/>
      <c r="AI6030" s="1"/>
      <c r="AJ6030" s="1"/>
      <c r="AK6030" s="1"/>
      <c r="AL6030" s="1"/>
      <c r="AM6030" s="1"/>
    </row>
    <row r="6031" spans="16:39" x14ac:dyDescent="0.25">
      <c r="P6031" s="49"/>
      <c r="Q6031" s="1"/>
      <c r="S6031" s="1"/>
      <c r="T6031" s="1"/>
      <c r="U6031" s="1"/>
      <c r="V6031" s="1"/>
      <c r="W6031" s="1"/>
      <c r="X6031" s="1"/>
      <c r="Y6031" s="1"/>
      <c r="AB6031" s="1"/>
      <c r="AC6031" s="1"/>
      <c r="AD6031" s="1"/>
      <c r="AE6031" s="1"/>
      <c r="AF6031" s="1"/>
      <c r="AG6031" s="1"/>
      <c r="AH6031" s="1"/>
      <c r="AI6031" s="1"/>
      <c r="AJ6031" s="1"/>
      <c r="AK6031" s="1"/>
      <c r="AL6031" s="1"/>
      <c r="AM6031" s="1"/>
    </row>
    <row r="6032" spans="16:39" x14ac:dyDescent="0.25">
      <c r="P6032" s="49"/>
      <c r="Q6032" s="1"/>
      <c r="S6032" s="1"/>
      <c r="T6032" s="1"/>
      <c r="U6032" s="1"/>
      <c r="V6032" s="1"/>
      <c r="W6032" s="1"/>
      <c r="X6032" s="1"/>
      <c r="Y6032" s="1"/>
      <c r="AB6032" s="1"/>
      <c r="AC6032" s="1"/>
      <c r="AD6032" s="1"/>
      <c r="AE6032" s="1"/>
      <c r="AF6032" s="1"/>
      <c r="AG6032" s="1"/>
      <c r="AH6032" s="1"/>
      <c r="AI6032" s="1"/>
      <c r="AJ6032" s="1"/>
      <c r="AK6032" s="1"/>
      <c r="AL6032" s="1"/>
      <c r="AM6032" s="1"/>
    </row>
    <row r="6033" spans="16:39" x14ac:dyDescent="0.25">
      <c r="P6033" s="49"/>
      <c r="Q6033" s="1"/>
      <c r="S6033" s="1"/>
      <c r="T6033" s="1"/>
      <c r="U6033" s="1"/>
      <c r="V6033" s="1"/>
      <c r="W6033" s="1"/>
      <c r="X6033" s="1"/>
      <c r="Y6033" s="1"/>
      <c r="AB6033" s="1"/>
      <c r="AC6033" s="1"/>
      <c r="AD6033" s="1"/>
      <c r="AE6033" s="1"/>
      <c r="AF6033" s="1"/>
      <c r="AG6033" s="1"/>
      <c r="AH6033" s="1"/>
      <c r="AI6033" s="1"/>
      <c r="AJ6033" s="1"/>
      <c r="AK6033" s="1"/>
      <c r="AL6033" s="1"/>
      <c r="AM6033" s="1"/>
    </row>
    <row r="6034" spans="16:39" x14ac:dyDescent="0.25">
      <c r="P6034" s="49"/>
      <c r="Q6034" s="1"/>
      <c r="S6034" s="1"/>
      <c r="T6034" s="1"/>
      <c r="U6034" s="1"/>
      <c r="V6034" s="1"/>
      <c r="W6034" s="1"/>
      <c r="X6034" s="1"/>
      <c r="Y6034" s="1"/>
      <c r="AB6034" s="1"/>
      <c r="AC6034" s="1"/>
      <c r="AD6034" s="1"/>
      <c r="AE6034" s="1"/>
      <c r="AF6034" s="1"/>
      <c r="AG6034" s="1"/>
      <c r="AH6034" s="1"/>
      <c r="AI6034" s="1"/>
      <c r="AJ6034" s="1"/>
      <c r="AK6034" s="1"/>
      <c r="AL6034" s="1"/>
      <c r="AM6034" s="1"/>
    </row>
    <row r="6035" spans="16:39" x14ac:dyDescent="0.25">
      <c r="P6035" s="49"/>
      <c r="Q6035" s="1"/>
      <c r="S6035" s="1"/>
      <c r="T6035" s="1"/>
      <c r="U6035" s="1"/>
      <c r="V6035" s="1"/>
      <c r="W6035" s="1"/>
      <c r="X6035" s="1"/>
      <c r="Y6035" s="1"/>
      <c r="AB6035" s="1"/>
      <c r="AC6035" s="1"/>
      <c r="AD6035" s="1"/>
      <c r="AE6035" s="1"/>
      <c r="AF6035" s="1"/>
      <c r="AG6035" s="1"/>
      <c r="AH6035" s="1"/>
      <c r="AI6035" s="1"/>
      <c r="AJ6035" s="1"/>
      <c r="AK6035" s="1"/>
      <c r="AL6035" s="1"/>
      <c r="AM6035" s="1"/>
    </row>
    <row r="6036" spans="16:39" x14ac:dyDescent="0.25">
      <c r="P6036" s="49"/>
      <c r="Q6036" s="1"/>
      <c r="S6036" s="1"/>
      <c r="T6036" s="1"/>
      <c r="U6036" s="1"/>
      <c r="V6036" s="1"/>
      <c r="W6036" s="1"/>
      <c r="X6036" s="1"/>
      <c r="Y6036" s="1"/>
      <c r="AB6036" s="1"/>
      <c r="AC6036" s="1"/>
      <c r="AD6036" s="1"/>
      <c r="AE6036" s="1"/>
      <c r="AF6036" s="1"/>
      <c r="AG6036" s="1"/>
      <c r="AH6036" s="1"/>
      <c r="AI6036" s="1"/>
      <c r="AJ6036" s="1"/>
      <c r="AK6036" s="1"/>
      <c r="AL6036" s="1"/>
      <c r="AM6036" s="1"/>
    </row>
    <row r="6037" spans="16:39" x14ac:dyDescent="0.25">
      <c r="P6037" s="49"/>
      <c r="Q6037" s="1"/>
      <c r="S6037" s="1"/>
      <c r="T6037" s="1"/>
      <c r="U6037" s="1"/>
      <c r="V6037" s="1"/>
      <c r="W6037" s="1"/>
      <c r="X6037" s="1"/>
      <c r="Y6037" s="1"/>
      <c r="AB6037" s="1"/>
      <c r="AC6037" s="1"/>
      <c r="AD6037" s="1"/>
      <c r="AE6037" s="1"/>
      <c r="AF6037" s="1"/>
      <c r="AG6037" s="1"/>
      <c r="AH6037" s="1"/>
      <c r="AI6037" s="1"/>
      <c r="AJ6037" s="1"/>
      <c r="AK6037" s="1"/>
      <c r="AL6037" s="1"/>
      <c r="AM6037" s="1"/>
    </row>
    <row r="6038" spans="16:39" x14ac:dyDescent="0.25">
      <c r="P6038" s="49"/>
      <c r="Q6038" s="1"/>
      <c r="S6038" s="1"/>
      <c r="T6038" s="1"/>
      <c r="U6038" s="1"/>
      <c r="V6038" s="1"/>
      <c r="W6038" s="1"/>
      <c r="X6038" s="1"/>
      <c r="Y6038" s="1"/>
      <c r="AB6038" s="1"/>
      <c r="AC6038" s="1"/>
      <c r="AD6038" s="1"/>
      <c r="AE6038" s="1"/>
      <c r="AF6038" s="1"/>
      <c r="AG6038" s="1"/>
      <c r="AH6038" s="1"/>
      <c r="AI6038" s="1"/>
      <c r="AJ6038" s="1"/>
      <c r="AK6038" s="1"/>
      <c r="AL6038" s="1"/>
      <c r="AM6038" s="1"/>
    </row>
    <row r="6039" spans="16:39" x14ac:dyDescent="0.25">
      <c r="P6039" s="49"/>
      <c r="Q6039" s="1"/>
      <c r="S6039" s="1"/>
      <c r="T6039" s="1"/>
      <c r="U6039" s="1"/>
      <c r="V6039" s="1"/>
      <c r="W6039" s="1"/>
      <c r="X6039" s="1"/>
      <c r="Y6039" s="1"/>
      <c r="AB6039" s="1"/>
      <c r="AC6039" s="1"/>
      <c r="AD6039" s="1"/>
      <c r="AE6039" s="1"/>
      <c r="AF6039" s="1"/>
      <c r="AG6039" s="1"/>
      <c r="AH6039" s="1"/>
      <c r="AI6039" s="1"/>
      <c r="AJ6039" s="1"/>
      <c r="AK6039" s="1"/>
      <c r="AL6039" s="1"/>
      <c r="AM6039" s="1"/>
    </row>
    <row r="6040" spans="16:39" x14ac:dyDescent="0.25">
      <c r="P6040" s="49"/>
      <c r="Q6040" s="1"/>
      <c r="S6040" s="1"/>
      <c r="T6040" s="1"/>
      <c r="U6040" s="1"/>
      <c r="V6040" s="1"/>
      <c r="W6040" s="1"/>
      <c r="X6040" s="1"/>
      <c r="Y6040" s="1"/>
      <c r="AB6040" s="1"/>
      <c r="AC6040" s="1"/>
      <c r="AD6040" s="1"/>
      <c r="AE6040" s="1"/>
      <c r="AF6040" s="1"/>
      <c r="AG6040" s="1"/>
      <c r="AH6040" s="1"/>
      <c r="AI6040" s="1"/>
      <c r="AJ6040" s="1"/>
      <c r="AK6040" s="1"/>
      <c r="AL6040" s="1"/>
      <c r="AM6040" s="1"/>
    </row>
    <row r="6041" spans="16:39" x14ac:dyDescent="0.25">
      <c r="P6041" s="49"/>
      <c r="Q6041" s="1"/>
      <c r="S6041" s="1"/>
      <c r="T6041" s="1"/>
      <c r="U6041" s="1"/>
      <c r="V6041" s="1"/>
      <c r="W6041" s="1"/>
      <c r="X6041" s="1"/>
      <c r="Y6041" s="1"/>
      <c r="AB6041" s="1"/>
      <c r="AC6041" s="1"/>
      <c r="AD6041" s="1"/>
      <c r="AE6041" s="1"/>
      <c r="AF6041" s="1"/>
      <c r="AG6041" s="1"/>
      <c r="AH6041" s="1"/>
      <c r="AI6041" s="1"/>
      <c r="AJ6041" s="1"/>
      <c r="AK6041" s="1"/>
      <c r="AL6041" s="1"/>
      <c r="AM6041" s="1"/>
    </row>
    <row r="6042" spans="16:39" x14ac:dyDescent="0.25">
      <c r="P6042" s="49"/>
      <c r="Q6042" s="1"/>
      <c r="S6042" s="1"/>
      <c r="T6042" s="1"/>
      <c r="U6042" s="1"/>
      <c r="V6042" s="1"/>
      <c r="W6042" s="1"/>
      <c r="X6042" s="1"/>
      <c r="Y6042" s="1"/>
      <c r="AB6042" s="1"/>
      <c r="AC6042" s="1"/>
      <c r="AD6042" s="1"/>
      <c r="AE6042" s="1"/>
      <c r="AF6042" s="1"/>
      <c r="AG6042" s="1"/>
      <c r="AH6042" s="1"/>
      <c r="AI6042" s="1"/>
      <c r="AJ6042" s="1"/>
      <c r="AK6042" s="1"/>
      <c r="AL6042" s="1"/>
      <c r="AM6042" s="1"/>
    </row>
    <row r="6043" spans="16:39" x14ac:dyDescent="0.25">
      <c r="P6043" s="49"/>
      <c r="Q6043" s="1"/>
      <c r="S6043" s="1"/>
      <c r="T6043" s="1"/>
      <c r="U6043" s="1"/>
      <c r="V6043" s="1"/>
      <c r="W6043" s="1"/>
      <c r="X6043" s="1"/>
      <c r="Y6043" s="1"/>
      <c r="AB6043" s="1"/>
      <c r="AC6043" s="1"/>
      <c r="AD6043" s="1"/>
      <c r="AE6043" s="1"/>
      <c r="AF6043" s="1"/>
      <c r="AG6043" s="1"/>
      <c r="AH6043" s="1"/>
      <c r="AI6043" s="1"/>
      <c r="AJ6043" s="1"/>
      <c r="AK6043" s="1"/>
      <c r="AL6043" s="1"/>
      <c r="AM6043" s="1"/>
    </row>
    <row r="6044" spans="16:39" x14ac:dyDescent="0.25">
      <c r="P6044" s="49"/>
      <c r="Q6044" s="1"/>
      <c r="S6044" s="1"/>
      <c r="T6044" s="1"/>
      <c r="U6044" s="1"/>
      <c r="V6044" s="1"/>
      <c r="W6044" s="1"/>
      <c r="X6044" s="1"/>
      <c r="Y6044" s="1"/>
      <c r="AB6044" s="1"/>
      <c r="AC6044" s="1"/>
      <c r="AD6044" s="1"/>
      <c r="AE6044" s="1"/>
      <c r="AF6044" s="1"/>
      <c r="AG6044" s="1"/>
      <c r="AH6044" s="1"/>
      <c r="AI6044" s="1"/>
      <c r="AJ6044" s="1"/>
      <c r="AK6044" s="1"/>
      <c r="AL6044" s="1"/>
      <c r="AM6044" s="1"/>
    </row>
    <row r="6045" spans="16:39" x14ac:dyDescent="0.25">
      <c r="P6045" s="49"/>
      <c r="Q6045" s="1"/>
      <c r="S6045" s="1"/>
      <c r="T6045" s="1"/>
      <c r="U6045" s="1"/>
      <c r="V6045" s="1"/>
      <c r="W6045" s="1"/>
      <c r="X6045" s="1"/>
      <c r="Y6045" s="1"/>
      <c r="AB6045" s="1"/>
      <c r="AC6045" s="1"/>
      <c r="AD6045" s="1"/>
      <c r="AE6045" s="1"/>
      <c r="AF6045" s="1"/>
      <c r="AG6045" s="1"/>
      <c r="AH6045" s="1"/>
      <c r="AI6045" s="1"/>
      <c r="AJ6045" s="1"/>
      <c r="AK6045" s="1"/>
      <c r="AL6045" s="1"/>
      <c r="AM6045" s="1"/>
    </row>
    <row r="6046" spans="16:39" x14ac:dyDescent="0.25">
      <c r="P6046" s="49"/>
      <c r="Q6046" s="1"/>
      <c r="S6046" s="1"/>
      <c r="T6046" s="1"/>
      <c r="U6046" s="1"/>
      <c r="V6046" s="1"/>
      <c r="W6046" s="1"/>
      <c r="X6046" s="1"/>
      <c r="Y6046" s="1"/>
      <c r="AB6046" s="1"/>
      <c r="AC6046" s="1"/>
      <c r="AD6046" s="1"/>
      <c r="AE6046" s="1"/>
      <c r="AF6046" s="1"/>
      <c r="AG6046" s="1"/>
      <c r="AH6046" s="1"/>
      <c r="AI6046" s="1"/>
      <c r="AJ6046" s="1"/>
      <c r="AK6046" s="1"/>
      <c r="AL6046" s="1"/>
      <c r="AM6046" s="1"/>
    </row>
    <row r="6047" spans="16:39" x14ac:dyDescent="0.25">
      <c r="P6047" s="49"/>
      <c r="Q6047" s="1"/>
      <c r="S6047" s="1"/>
      <c r="T6047" s="1"/>
      <c r="U6047" s="1"/>
      <c r="V6047" s="1"/>
      <c r="W6047" s="1"/>
      <c r="X6047" s="1"/>
      <c r="Y6047" s="1"/>
      <c r="AB6047" s="1"/>
      <c r="AC6047" s="1"/>
      <c r="AD6047" s="1"/>
      <c r="AE6047" s="1"/>
      <c r="AF6047" s="1"/>
      <c r="AG6047" s="1"/>
      <c r="AH6047" s="1"/>
      <c r="AI6047" s="1"/>
      <c r="AJ6047" s="1"/>
      <c r="AK6047" s="1"/>
      <c r="AL6047" s="1"/>
      <c r="AM6047" s="1"/>
    </row>
    <row r="6048" spans="16:39" x14ac:dyDescent="0.25">
      <c r="P6048" s="49"/>
      <c r="Q6048" s="1"/>
      <c r="S6048" s="1"/>
      <c r="T6048" s="1"/>
      <c r="U6048" s="1"/>
      <c r="V6048" s="1"/>
      <c r="W6048" s="1"/>
      <c r="X6048" s="1"/>
      <c r="Y6048" s="1"/>
      <c r="AB6048" s="1"/>
      <c r="AC6048" s="1"/>
      <c r="AD6048" s="1"/>
      <c r="AE6048" s="1"/>
      <c r="AF6048" s="1"/>
      <c r="AG6048" s="1"/>
      <c r="AH6048" s="1"/>
      <c r="AI6048" s="1"/>
      <c r="AJ6048" s="1"/>
      <c r="AK6048" s="1"/>
      <c r="AL6048" s="1"/>
      <c r="AM6048" s="1"/>
    </row>
    <row r="6049" spans="16:39" x14ac:dyDescent="0.25">
      <c r="P6049" s="49"/>
      <c r="Q6049" s="1"/>
      <c r="S6049" s="1"/>
      <c r="T6049" s="1"/>
      <c r="U6049" s="1"/>
      <c r="V6049" s="1"/>
      <c r="W6049" s="1"/>
      <c r="X6049" s="1"/>
      <c r="Y6049" s="1"/>
      <c r="AB6049" s="1"/>
      <c r="AC6049" s="1"/>
      <c r="AD6049" s="1"/>
      <c r="AE6049" s="1"/>
      <c r="AF6049" s="1"/>
      <c r="AG6049" s="1"/>
      <c r="AH6049" s="1"/>
      <c r="AI6049" s="1"/>
      <c r="AJ6049" s="1"/>
      <c r="AK6049" s="1"/>
      <c r="AL6049" s="1"/>
      <c r="AM6049" s="1"/>
    </row>
    <row r="6050" spans="16:39" x14ac:dyDescent="0.25">
      <c r="P6050" s="49"/>
      <c r="Q6050" s="1"/>
      <c r="S6050" s="1"/>
      <c r="T6050" s="1"/>
      <c r="U6050" s="1"/>
      <c r="V6050" s="1"/>
      <c r="W6050" s="1"/>
      <c r="X6050" s="1"/>
      <c r="Y6050" s="1"/>
      <c r="AB6050" s="1"/>
      <c r="AC6050" s="1"/>
      <c r="AD6050" s="1"/>
      <c r="AE6050" s="1"/>
      <c r="AF6050" s="1"/>
      <c r="AG6050" s="1"/>
      <c r="AH6050" s="1"/>
      <c r="AI6050" s="1"/>
      <c r="AJ6050" s="1"/>
      <c r="AK6050" s="1"/>
      <c r="AL6050" s="1"/>
      <c r="AM6050" s="1"/>
    </row>
    <row r="6051" spans="16:39" x14ac:dyDescent="0.25">
      <c r="P6051" s="49"/>
      <c r="Q6051" s="1"/>
      <c r="S6051" s="1"/>
      <c r="T6051" s="1"/>
      <c r="U6051" s="1"/>
      <c r="V6051" s="1"/>
      <c r="W6051" s="1"/>
      <c r="X6051" s="1"/>
      <c r="Y6051" s="1"/>
      <c r="AB6051" s="1"/>
      <c r="AC6051" s="1"/>
      <c r="AD6051" s="1"/>
      <c r="AE6051" s="1"/>
      <c r="AF6051" s="1"/>
      <c r="AG6051" s="1"/>
      <c r="AH6051" s="1"/>
      <c r="AI6051" s="1"/>
      <c r="AJ6051" s="1"/>
      <c r="AK6051" s="1"/>
      <c r="AL6051" s="1"/>
      <c r="AM6051" s="1"/>
    </row>
    <row r="6052" spans="16:39" x14ac:dyDescent="0.25">
      <c r="P6052" s="49"/>
      <c r="Q6052" s="1"/>
      <c r="S6052" s="1"/>
      <c r="T6052" s="1"/>
      <c r="U6052" s="1"/>
      <c r="V6052" s="1"/>
      <c r="W6052" s="1"/>
      <c r="X6052" s="1"/>
      <c r="Y6052" s="1"/>
      <c r="AB6052" s="1"/>
      <c r="AC6052" s="1"/>
      <c r="AD6052" s="1"/>
      <c r="AE6052" s="1"/>
      <c r="AF6052" s="1"/>
      <c r="AG6052" s="1"/>
      <c r="AH6052" s="1"/>
      <c r="AI6052" s="1"/>
      <c r="AJ6052" s="1"/>
      <c r="AK6052" s="1"/>
      <c r="AL6052" s="1"/>
      <c r="AM6052" s="1"/>
    </row>
    <row r="6053" spans="16:39" x14ac:dyDescent="0.25">
      <c r="P6053" s="49"/>
      <c r="Q6053" s="1"/>
      <c r="S6053" s="1"/>
      <c r="T6053" s="1"/>
      <c r="U6053" s="1"/>
      <c r="V6053" s="1"/>
      <c r="W6053" s="1"/>
      <c r="X6053" s="1"/>
      <c r="Y6053" s="1"/>
      <c r="AB6053" s="1"/>
      <c r="AC6053" s="1"/>
      <c r="AD6053" s="1"/>
      <c r="AE6053" s="1"/>
      <c r="AF6053" s="1"/>
      <c r="AG6053" s="1"/>
      <c r="AH6053" s="1"/>
      <c r="AI6053" s="1"/>
      <c r="AJ6053" s="1"/>
      <c r="AK6053" s="1"/>
      <c r="AL6053" s="1"/>
      <c r="AM6053" s="1"/>
    </row>
    <row r="6054" spans="16:39" x14ac:dyDescent="0.25">
      <c r="P6054" s="49"/>
      <c r="Q6054" s="1"/>
      <c r="S6054" s="1"/>
      <c r="T6054" s="1"/>
      <c r="U6054" s="1"/>
      <c r="V6054" s="1"/>
      <c r="W6054" s="1"/>
      <c r="X6054" s="1"/>
      <c r="Y6054" s="1"/>
      <c r="AB6054" s="1"/>
      <c r="AC6054" s="1"/>
      <c r="AD6054" s="1"/>
      <c r="AE6054" s="1"/>
      <c r="AF6054" s="1"/>
      <c r="AG6054" s="1"/>
      <c r="AH6054" s="1"/>
      <c r="AI6054" s="1"/>
      <c r="AJ6054" s="1"/>
      <c r="AK6054" s="1"/>
      <c r="AL6054" s="1"/>
      <c r="AM6054" s="1"/>
    </row>
    <row r="6055" spans="16:39" x14ac:dyDescent="0.25">
      <c r="P6055" s="49"/>
      <c r="Q6055" s="1"/>
      <c r="S6055" s="1"/>
      <c r="T6055" s="1"/>
      <c r="U6055" s="1"/>
      <c r="V6055" s="1"/>
      <c r="W6055" s="1"/>
      <c r="X6055" s="1"/>
      <c r="Y6055" s="1"/>
      <c r="AB6055" s="1"/>
      <c r="AC6055" s="1"/>
      <c r="AD6055" s="1"/>
      <c r="AE6055" s="1"/>
      <c r="AF6055" s="1"/>
      <c r="AG6055" s="1"/>
      <c r="AH6055" s="1"/>
      <c r="AI6055" s="1"/>
      <c r="AJ6055" s="1"/>
      <c r="AK6055" s="1"/>
      <c r="AL6055" s="1"/>
      <c r="AM6055" s="1"/>
    </row>
    <row r="6056" spans="16:39" x14ac:dyDescent="0.25">
      <c r="P6056" s="49"/>
      <c r="Q6056" s="1"/>
      <c r="S6056" s="1"/>
      <c r="T6056" s="1"/>
      <c r="U6056" s="1"/>
      <c r="V6056" s="1"/>
      <c r="W6056" s="1"/>
      <c r="X6056" s="1"/>
      <c r="Y6056" s="1"/>
      <c r="AB6056" s="1"/>
      <c r="AC6056" s="1"/>
      <c r="AD6056" s="1"/>
      <c r="AE6056" s="1"/>
      <c r="AF6056" s="1"/>
      <c r="AG6056" s="1"/>
      <c r="AH6056" s="1"/>
      <c r="AI6056" s="1"/>
      <c r="AJ6056" s="1"/>
      <c r="AK6056" s="1"/>
      <c r="AL6056" s="1"/>
      <c r="AM6056" s="1"/>
    </row>
    <row r="6057" spans="16:39" x14ac:dyDescent="0.25">
      <c r="P6057" s="49"/>
      <c r="Q6057" s="1"/>
      <c r="S6057" s="1"/>
      <c r="T6057" s="1"/>
      <c r="U6057" s="1"/>
      <c r="V6057" s="1"/>
      <c r="W6057" s="1"/>
      <c r="X6057" s="1"/>
      <c r="Y6057" s="1"/>
      <c r="AB6057" s="1"/>
      <c r="AC6057" s="1"/>
      <c r="AD6057" s="1"/>
      <c r="AE6057" s="1"/>
      <c r="AF6057" s="1"/>
      <c r="AG6057" s="1"/>
      <c r="AH6057" s="1"/>
      <c r="AI6057" s="1"/>
      <c r="AJ6057" s="1"/>
      <c r="AK6057" s="1"/>
      <c r="AL6057" s="1"/>
      <c r="AM6057" s="1"/>
    </row>
    <row r="6058" spans="16:39" x14ac:dyDescent="0.25">
      <c r="P6058" s="49"/>
      <c r="Q6058" s="1"/>
      <c r="S6058" s="1"/>
      <c r="T6058" s="1"/>
      <c r="U6058" s="1"/>
      <c r="V6058" s="1"/>
      <c r="W6058" s="1"/>
      <c r="X6058" s="1"/>
      <c r="Y6058" s="1"/>
      <c r="AB6058" s="1"/>
      <c r="AC6058" s="1"/>
      <c r="AD6058" s="1"/>
      <c r="AE6058" s="1"/>
      <c r="AF6058" s="1"/>
      <c r="AG6058" s="1"/>
      <c r="AH6058" s="1"/>
      <c r="AI6058" s="1"/>
      <c r="AJ6058" s="1"/>
      <c r="AK6058" s="1"/>
      <c r="AL6058" s="1"/>
      <c r="AM6058" s="1"/>
    </row>
    <row r="6059" spans="16:39" x14ac:dyDescent="0.25">
      <c r="P6059" s="49"/>
      <c r="Q6059" s="1"/>
      <c r="S6059" s="1"/>
      <c r="T6059" s="1"/>
      <c r="U6059" s="1"/>
      <c r="V6059" s="1"/>
      <c r="W6059" s="1"/>
      <c r="X6059" s="1"/>
      <c r="Y6059" s="1"/>
      <c r="AB6059" s="1"/>
      <c r="AC6059" s="1"/>
      <c r="AD6059" s="1"/>
      <c r="AE6059" s="1"/>
      <c r="AF6059" s="1"/>
      <c r="AG6059" s="1"/>
      <c r="AH6059" s="1"/>
      <c r="AI6059" s="1"/>
      <c r="AJ6059" s="1"/>
      <c r="AK6059" s="1"/>
      <c r="AL6059" s="1"/>
      <c r="AM6059" s="1"/>
    </row>
    <row r="6060" spans="16:39" x14ac:dyDescent="0.25">
      <c r="P6060" s="49"/>
      <c r="Q6060" s="1"/>
      <c r="S6060" s="1"/>
      <c r="T6060" s="1"/>
      <c r="U6060" s="1"/>
      <c r="V6060" s="1"/>
      <c r="W6060" s="1"/>
      <c r="X6060" s="1"/>
      <c r="Y6060" s="1"/>
      <c r="AB6060" s="1"/>
      <c r="AC6060" s="1"/>
      <c r="AD6060" s="1"/>
      <c r="AE6060" s="1"/>
      <c r="AF6060" s="1"/>
      <c r="AG6060" s="1"/>
      <c r="AH6060" s="1"/>
      <c r="AI6060" s="1"/>
      <c r="AJ6060" s="1"/>
      <c r="AK6060" s="1"/>
      <c r="AL6060" s="1"/>
      <c r="AM6060" s="1"/>
    </row>
    <row r="6061" spans="16:39" x14ac:dyDescent="0.25">
      <c r="P6061" s="49"/>
      <c r="Q6061" s="1"/>
      <c r="S6061" s="1"/>
      <c r="T6061" s="1"/>
      <c r="U6061" s="1"/>
      <c r="V6061" s="1"/>
      <c r="W6061" s="1"/>
      <c r="X6061" s="1"/>
      <c r="Y6061" s="1"/>
      <c r="AB6061" s="1"/>
      <c r="AC6061" s="1"/>
      <c r="AD6061" s="1"/>
      <c r="AE6061" s="1"/>
      <c r="AF6061" s="1"/>
      <c r="AG6061" s="1"/>
      <c r="AH6061" s="1"/>
      <c r="AI6061" s="1"/>
      <c r="AJ6061" s="1"/>
      <c r="AK6061" s="1"/>
      <c r="AL6061" s="1"/>
      <c r="AM6061" s="1"/>
    </row>
    <row r="6062" spans="16:39" x14ac:dyDescent="0.25">
      <c r="P6062" s="49"/>
      <c r="Q6062" s="1"/>
      <c r="S6062" s="1"/>
      <c r="T6062" s="1"/>
      <c r="U6062" s="1"/>
      <c r="V6062" s="1"/>
      <c r="W6062" s="1"/>
      <c r="X6062" s="1"/>
      <c r="Y6062" s="1"/>
      <c r="AB6062" s="1"/>
      <c r="AC6062" s="1"/>
      <c r="AD6062" s="1"/>
      <c r="AE6062" s="1"/>
      <c r="AF6062" s="1"/>
      <c r="AG6062" s="1"/>
      <c r="AH6062" s="1"/>
      <c r="AI6062" s="1"/>
      <c r="AJ6062" s="1"/>
      <c r="AK6062" s="1"/>
      <c r="AL6062" s="1"/>
      <c r="AM6062" s="1"/>
    </row>
    <row r="6063" spans="16:39" x14ac:dyDescent="0.25">
      <c r="P6063" s="49"/>
      <c r="Q6063" s="1"/>
      <c r="S6063" s="1"/>
      <c r="T6063" s="1"/>
      <c r="U6063" s="1"/>
      <c r="V6063" s="1"/>
      <c r="W6063" s="1"/>
      <c r="X6063" s="1"/>
      <c r="Y6063" s="1"/>
      <c r="AB6063" s="1"/>
      <c r="AC6063" s="1"/>
      <c r="AD6063" s="1"/>
      <c r="AE6063" s="1"/>
      <c r="AF6063" s="1"/>
      <c r="AG6063" s="1"/>
      <c r="AH6063" s="1"/>
      <c r="AI6063" s="1"/>
      <c r="AJ6063" s="1"/>
      <c r="AK6063" s="1"/>
      <c r="AL6063" s="1"/>
      <c r="AM6063" s="1"/>
    </row>
    <row r="6064" spans="16:39" x14ac:dyDescent="0.25">
      <c r="P6064" s="49"/>
      <c r="Q6064" s="1"/>
      <c r="S6064" s="1"/>
      <c r="T6064" s="1"/>
      <c r="U6064" s="1"/>
      <c r="V6064" s="1"/>
      <c r="W6064" s="1"/>
      <c r="X6064" s="1"/>
      <c r="Y6064" s="1"/>
      <c r="AB6064" s="1"/>
      <c r="AC6064" s="1"/>
      <c r="AD6064" s="1"/>
      <c r="AE6064" s="1"/>
      <c r="AF6064" s="1"/>
      <c r="AG6064" s="1"/>
      <c r="AH6064" s="1"/>
      <c r="AI6064" s="1"/>
      <c r="AJ6064" s="1"/>
      <c r="AK6064" s="1"/>
      <c r="AL6064" s="1"/>
      <c r="AM6064" s="1"/>
    </row>
    <row r="6065" spans="16:39" x14ac:dyDescent="0.25">
      <c r="P6065" s="49"/>
      <c r="Q6065" s="1"/>
      <c r="S6065" s="1"/>
      <c r="T6065" s="1"/>
      <c r="U6065" s="1"/>
      <c r="V6065" s="1"/>
      <c r="W6065" s="1"/>
      <c r="X6065" s="1"/>
      <c r="Y6065" s="1"/>
      <c r="AB6065" s="1"/>
      <c r="AC6065" s="1"/>
      <c r="AD6065" s="1"/>
      <c r="AE6065" s="1"/>
      <c r="AF6065" s="1"/>
      <c r="AG6065" s="1"/>
      <c r="AH6065" s="1"/>
      <c r="AI6065" s="1"/>
      <c r="AJ6065" s="1"/>
      <c r="AK6065" s="1"/>
      <c r="AL6065" s="1"/>
      <c r="AM6065" s="1"/>
    </row>
    <row r="6066" spans="16:39" x14ac:dyDescent="0.25">
      <c r="P6066" s="49"/>
      <c r="Q6066" s="1"/>
      <c r="S6066" s="1"/>
      <c r="T6066" s="1"/>
      <c r="U6066" s="1"/>
      <c r="V6066" s="1"/>
      <c r="W6066" s="1"/>
      <c r="X6066" s="1"/>
      <c r="Y6066" s="1"/>
      <c r="AB6066" s="1"/>
      <c r="AC6066" s="1"/>
      <c r="AD6066" s="1"/>
      <c r="AE6066" s="1"/>
      <c r="AF6066" s="1"/>
      <c r="AG6066" s="1"/>
      <c r="AH6066" s="1"/>
      <c r="AI6066" s="1"/>
      <c r="AJ6066" s="1"/>
      <c r="AK6066" s="1"/>
      <c r="AL6066" s="1"/>
      <c r="AM6066" s="1"/>
    </row>
    <row r="6067" spans="16:39" x14ac:dyDescent="0.25">
      <c r="P6067" s="49"/>
      <c r="Q6067" s="1"/>
      <c r="S6067" s="1"/>
      <c r="T6067" s="1"/>
      <c r="U6067" s="1"/>
      <c r="V6067" s="1"/>
      <c r="W6067" s="1"/>
      <c r="X6067" s="1"/>
      <c r="Y6067" s="1"/>
      <c r="AB6067" s="1"/>
      <c r="AC6067" s="1"/>
      <c r="AD6067" s="1"/>
      <c r="AE6067" s="1"/>
      <c r="AF6067" s="1"/>
      <c r="AG6067" s="1"/>
      <c r="AH6067" s="1"/>
      <c r="AI6067" s="1"/>
      <c r="AJ6067" s="1"/>
      <c r="AK6067" s="1"/>
      <c r="AL6067" s="1"/>
      <c r="AM6067" s="1"/>
    </row>
    <row r="6068" spans="16:39" x14ac:dyDescent="0.25">
      <c r="P6068" s="49"/>
      <c r="Q6068" s="1"/>
      <c r="S6068" s="1"/>
      <c r="T6068" s="1"/>
      <c r="U6068" s="1"/>
      <c r="V6068" s="1"/>
      <c r="W6068" s="1"/>
      <c r="X6068" s="1"/>
      <c r="Y6068" s="1"/>
      <c r="AB6068" s="1"/>
      <c r="AC6068" s="1"/>
      <c r="AD6068" s="1"/>
      <c r="AE6068" s="1"/>
      <c r="AF6068" s="1"/>
      <c r="AG6068" s="1"/>
      <c r="AH6068" s="1"/>
      <c r="AI6068" s="1"/>
      <c r="AJ6068" s="1"/>
      <c r="AK6068" s="1"/>
      <c r="AL6068" s="1"/>
      <c r="AM6068" s="1"/>
    </row>
    <row r="6069" spans="16:39" x14ac:dyDescent="0.25">
      <c r="P6069" s="49"/>
      <c r="Q6069" s="1"/>
      <c r="S6069" s="1"/>
      <c r="T6069" s="1"/>
      <c r="U6069" s="1"/>
      <c r="V6069" s="1"/>
      <c r="W6069" s="1"/>
      <c r="X6069" s="1"/>
      <c r="Y6069" s="1"/>
      <c r="AB6069" s="1"/>
      <c r="AC6069" s="1"/>
      <c r="AD6069" s="1"/>
      <c r="AE6069" s="1"/>
      <c r="AF6069" s="1"/>
      <c r="AG6069" s="1"/>
      <c r="AH6069" s="1"/>
      <c r="AI6069" s="1"/>
      <c r="AJ6069" s="1"/>
      <c r="AK6069" s="1"/>
      <c r="AL6069" s="1"/>
      <c r="AM6069" s="1"/>
    </row>
    <row r="6070" spans="16:39" x14ac:dyDescent="0.25">
      <c r="P6070" s="49"/>
      <c r="Q6070" s="1"/>
      <c r="S6070" s="1"/>
      <c r="T6070" s="1"/>
      <c r="U6070" s="1"/>
      <c r="V6070" s="1"/>
      <c r="W6070" s="1"/>
      <c r="X6070" s="1"/>
      <c r="Y6070" s="1"/>
      <c r="AB6070" s="1"/>
      <c r="AC6070" s="1"/>
      <c r="AD6070" s="1"/>
      <c r="AE6070" s="1"/>
      <c r="AF6070" s="1"/>
      <c r="AG6070" s="1"/>
      <c r="AH6070" s="1"/>
      <c r="AI6070" s="1"/>
      <c r="AJ6070" s="1"/>
      <c r="AK6070" s="1"/>
      <c r="AL6070" s="1"/>
      <c r="AM6070" s="1"/>
    </row>
    <row r="6071" spans="16:39" x14ac:dyDescent="0.25">
      <c r="P6071" s="49"/>
      <c r="Q6071" s="1"/>
      <c r="S6071" s="1"/>
      <c r="T6071" s="1"/>
      <c r="U6071" s="1"/>
      <c r="V6071" s="1"/>
      <c r="W6071" s="1"/>
      <c r="X6071" s="1"/>
      <c r="Y6071" s="1"/>
      <c r="AB6071" s="1"/>
      <c r="AC6071" s="1"/>
      <c r="AD6071" s="1"/>
      <c r="AE6071" s="1"/>
      <c r="AF6071" s="1"/>
      <c r="AG6071" s="1"/>
      <c r="AH6071" s="1"/>
      <c r="AI6071" s="1"/>
      <c r="AJ6071" s="1"/>
      <c r="AK6071" s="1"/>
      <c r="AL6071" s="1"/>
      <c r="AM6071" s="1"/>
    </row>
    <row r="6072" spans="16:39" x14ac:dyDescent="0.25">
      <c r="P6072" s="49"/>
      <c r="Q6072" s="1"/>
      <c r="S6072" s="1"/>
      <c r="T6072" s="1"/>
      <c r="U6072" s="1"/>
      <c r="V6072" s="1"/>
      <c r="W6072" s="1"/>
      <c r="X6072" s="1"/>
      <c r="Y6072" s="1"/>
      <c r="AB6072" s="1"/>
      <c r="AC6072" s="1"/>
      <c r="AD6072" s="1"/>
      <c r="AE6072" s="1"/>
      <c r="AF6072" s="1"/>
      <c r="AG6072" s="1"/>
      <c r="AH6072" s="1"/>
      <c r="AI6072" s="1"/>
      <c r="AJ6072" s="1"/>
      <c r="AK6072" s="1"/>
      <c r="AL6072" s="1"/>
      <c r="AM6072" s="1"/>
    </row>
    <row r="6073" spans="16:39" x14ac:dyDescent="0.25">
      <c r="P6073" s="49"/>
      <c r="Q6073" s="1"/>
      <c r="S6073" s="1"/>
      <c r="T6073" s="1"/>
      <c r="U6073" s="1"/>
      <c r="V6073" s="1"/>
      <c r="W6073" s="1"/>
      <c r="X6073" s="1"/>
      <c r="Y6073" s="1"/>
      <c r="AB6073" s="1"/>
      <c r="AC6073" s="1"/>
      <c r="AD6073" s="1"/>
      <c r="AE6073" s="1"/>
      <c r="AF6073" s="1"/>
      <c r="AG6073" s="1"/>
      <c r="AH6073" s="1"/>
      <c r="AI6073" s="1"/>
      <c r="AJ6073" s="1"/>
      <c r="AK6073" s="1"/>
      <c r="AL6073" s="1"/>
      <c r="AM6073" s="1"/>
    </row>
    <row r="6074" spans="16:39" x14ac:dyDescent="0.25">
      <c r="P6074" s="49"/>
      <c r="Q6074" s="1"/>
      <c r="S6074" s="1"/>
      <c r="T6074" s="1"/>
      <c r="U6074" s="1"/>
      <c r="V6074" s="1"/>
      <c r="W6074" s="1"/>
      <c r="X6074" s="1"/>
      <c r="Y6074" s="1"/>
      <c r="AB6074" s="1"/>
      <c r="AC6074" s="1"/>
      <c r="AD6074" s="1"/>
      <c r="AE6074" s="1"/>
      <c r="AF6074" s="1"/>
      <c r="AG6074" s="1"/>
      <c r="AH6074" s="1"/>
      <c r="AI6074" s="1"/>
      <c r="AJ6074" s="1"/>
      <c r="AK6074" s="1"/>
      <c r="AL6074" s="1"/>
      <c r="AM6074" s="1"/>
    </row>
    <row r="6075" spans="16:39" x14ac:dyDescent="0.25">
      <c r="P6075" s="49"/>
      <c r="Q6075" s="1"/>
      <c r="S6075" s="1"/>
      <c r="T6075" s="1"/>
      <c r="U6075" s="1"/>
      <c r="V6075" s="1"/>
      <c r="W6075" s="1"/>
      <c r="X6075" s="1"/>
      <c r="Y6075" s="1"/>
      <c r="AB6075" s="1"/>
      <c r="AC6075" s="1"/>
      <c r="AD6075" s="1"/>
      <c r="AE6075" s="1"/>
      <c r="AF6075" s="1"/>
      <c r="AG6075" s="1"/>
      <c r="AH6075" s="1"/>
      <c r="AI6075" s="1"/>
      <c r="AJ6075" s="1"/>
      <c r="AK6075" s="1"/>
      <c r="AL6075" s="1"/>
      <c r="AM6075" s="1"/>
    </row>
    <row r="6076" spans="16:39" x14ac:dyDescent="0.25">
      <c r="P6076" s="49"/>
      <c r="Q6076" s="1"/>
      <c r="S6076" s="1"/>
      <c r="T6076" s="1"/>
      <c r="U6076" s="1"/>
      <c r="V6076" s="1"/>
      <c r="W6076" s="1"/>
      <c r="X6076" s="1"/>
      <c r="Y6076" s="1"/>
      <c r="AB6076" s="1"/>
      <c r="AC6076" s="1"/>
      <c r="AD6076" s="1"/>
      <c r="AE6076" s="1"/>
      <c r="AF6076" s="1"/>
      <c r="AG6076" s="1"/>
      <c r="AH6076" s="1"/>
      <c r="AI6076" s="1"/>
      <c r="AJ6076" s="1"/>
      <c r="AK6076" s="1"/>
      <c r="AL6076" s="1"/>
      <c r="AM6076" s="1"/>
    </row>
    <row r="6077" spans="16:39" x14ac:dyDescent="0.25">
      <c r="P6077" s="49"/>
      <c r="Q6077" s="1"/>
      <c r="S6077" s="1"/>
      <c r="T6077" s="1"/>
      <c r="U6077" s="1"/>
      <c r="V6077" s="1"/>
      <c r="W6077" s="1"/>
      <c r="X6077" s="1"/>
      <c r="Y6077" s="1"/>
      <c r="AB6077" s="1"/>
      <c r="AC6077" s="1"/>
      <c r="AD6077" s="1"/>
      <c r="AE6077" s="1"/>
      <c r="AF6077" s="1"/>
      <c r="AG6077" s="1"/>
      <c r="AH6077" s="1"/>
      <c r="AI6077" s="1"/>
      <c r="AJ6077" s="1"/>
      <c r="AK6077" s="1"/>
      <c r="AL6077" s="1"/>
      <c r="AM6077" s="1"/>
    </row>
    <row r="6078" spans="16:39" x14ac:dyDescent="0.25">
      <c r="P6078" s="49"/>
      <c r="Q6078" s="1"/>
      <c r="S6078" s="1"/>
      <c r="T6078" s="1"/>
      <c r="U6078" s="1"/>
      <c r="V6078" s="1"/>
      <c r="W6078" s="1"/>
      <c r="X6078" s="1"/>
      <c r="Y6078" s="1"/>
      <c r="AB6078" s="1"/>
      <c r="AC6078" s="1"/>
      <c r="AD6078" s="1"/>
      <c r="AE6078" s="1"/>
      <c r="AF6078" s="1"/>
      <c r="AG6078" s="1"/>
      <c r="AH6078" s="1"/>
      <c r="AI6078" s="1"/>
      <c r="AJ6078" s="1"/>
      <c r="AK6078" s="1"/>
      <c r="AL6078" s="1"/>
      <c r="AM6078" s="1"/>
    </row>
    <row r="6079" spans="16:39" x14ac:dyDescent="0.25">
      <c r="P6079" s="49"/>
      <c r="Q6079" s="1"/>
      <c r="S6079" s="1"/>
      <c r="T6079" s="1"/>
      <c r="U6079" s="1"/>
      <c r="V6079" s="1"/>
      <c r="W6079" s="1"/>
      <c r="X6079" s="1"/>
      <c r="Y6079" s="1"/>
      <c r="AB6079" s="1"/>
      <c r="AC6079" s="1"/>
      <c r="AD6079" s="1"/>
      <c r="AE6079" s="1"/>
      <c r="AF6079" s="1"/>
      <c r="AG6079" s="1"/>
      <c r="AH6079" s="1"/>
      <c r="AI6079" s="1"/>
      <c r="AJ6079" s="1"/>
      <c r="AK6079" s="1"/>
      <c r="AL6079" s="1"/>
      <c r="AM6079" s="1"/>
    </row>
    <row r="6080" spans="16:39" x14ac:dyDescent="0.25">
      <c r="P6080" s="49"/>
      <c r="Q6080" s="1"/>
      <c r="S6080" s="1"/>
      <c r="T6080" s="1"/>
      <c r="U6080" s="1"/>
      <c r="V6080" s="1"/>
      <c r="W6080" s="1"/>
      <c r="X6080" s="1"/>
      <c r="Y6080" s="1"/>
      <c r="AB6080" s="1"/>
      <c r="AC6080" s="1"/>
      <c r="AD6080" s="1"/>
      <c r="AE6080" s="1"/>
      <c r="AF6080" s="1"/>
      <c r="AG6080" s="1"/>
      <c r="AH6080" s="1"/>
      <c r="AI6080" s="1"/>
      <c r="AJ6080" s="1"/>
      <c r="AK6080" s="1"/>
      <c r="AL6080" s="1"/>
      <c r="AM6080" s="1"/>
    </row>
    <row r="6081" spans="16:39" x14ac:dyDescent="0.25">
      <c r="P6081" s="49"/>
      <c r="Q6081" s="1"/>
      <c r="S6081" s="1"/>
      <c r="T6081" s="1"/>
      <c r="U6081" s="1"/>
      <c r="V6081" s="1"/>
      <c r="W6081" s="1"/>
      <c r="X6081" s="1"/>
      <c r="Y6081" s="1"/>
      <c r="AB6081" s="1"/>
      <c r="AC6081" s="1"/>
      <c r="AD6081" s="1"/>
      <c r="AE6081" s="1"/>
      <c r="AF6081" s="1"/>
      <c r="AG6081" s="1"/>
      <c r="AH6081" s="1"/>
      <c r="AI6081" s="1"/>
      <c r="AJ6081" s="1"/>
      <c r="AK6081" s="1"/>
      <c r="AL6081" s="1"/>
      <c r="AM6081" s="1"/>
    </row>
    <row r="6082" spans="16:39" x14ac:dyDescent="0.25">
      <c r="P6082" s="49"/>
      <c r="Q6082" s="1"/>
      <c r="S6082" s="1"/>
      <c r="T6082" s="1"/>
      <c r="U6082" s="1"/>
      <c r="V6082" s="1"/>
      <c r="W6082" s="1"/>
      <c r="X6082" s="1"/>
      <c r="Y6082" s="1"/>
      <c r="AB6082" s="1"/>
      <c r="AC6082" s="1"/>
      <c r="AD6082" s="1"/>
      <c r="AE6082" s="1"/>
      <c r="AF6082" s="1"/>
      <c r="AG6082" s="1"/>
      <c r="AH6082" s="1"/>
      <c r="AI6082" s="1"/>
      <c r="AJ6082" s="1"/>
      <c r="AK6082" s="1"/>
      <c r="AL6082" s="1"/>
      <c r="AM6082" s="1"/>
    </row>
    <row r="6083" spans="16:39" x14ac:dyDescent="0.25">
      <c r="P6083" s="49"/>
      <c r="Q6083" s="1"/>
      <c r="S6083" s="1"/>
      <c r="T6083" s="1"/>
      <c r="U6083" s="1"/>
      <c r="V6083" s="1"/>
      <c r="W6083" s="1"/>
      <c r="X6083" s="1"/>
      <c r="Y6083" s="1"/>
      <c r="AB6083" s="1"/>
      <c r="AC6083" s="1"/>
      <c r="AD6083" s="1"/>
      <c r="AE6083" s="1"/>
      <c r="AF6083" s="1"/>
      <c r="AG6083" s="1"/>
      <c r="AH6083" s="1"/>
      <c r="AI6083" s="1"/>
      <c r="AJ6083" s="1"/>
      <c r="AK6083" s="1"/>
      <c r="AL6083" s="1"/>
      <c r="AM6083" s="1"/>
    </row>
    <row r="6084" spans="16:39" x14ac:dyDescent="0.25">
      <c r="P6084" s="49"/>
      <c r="Q6084" s="1"/>
      <c r="S6084" s="1"/>
      <c r="T6084" s="1"/>
      <c r="U6084" s="1"/>
      <c r="V6084" s="1"/>
      <c r="W6084" s="1"/>
      <c r="X6084" s="1"/>
      <c r="Y6084" s="1"/>
      <c r="AB6084" s="1"/>
      <c r="AC6084" s="1"/>
      <c r="AD6084" s="1"/>
      <c r="AE6084" s="1"/>
      <c r="AF6084" s="1"/>
      <c r="AG6084" s="1"/>
      <c r="AH6084" s="1"/>
      <c r="AI6084" s="1"/>
      <c r="AJ6084" s="1"/>
      <c r="AK6084" s="1"/>
      <c r="AL6084" s="1"/>
      <c r="AM6084" s="1"/>
    </row>
    <row r="6085" spans="16:39" x14ac:dyDescent="0.25">
      <c r="P6085" s="49"/>
      <c r="Q6085" s="1"/>
      <c r="S6085" s="1"/>
      <c r="T6085" s="1"/>
      <c r="U6085" s="1"/>
      <c r="V6085" s="1"/>
      <c r="W6085" s="1"/>
      <c r="X6085" s="1"/>
      <c r="Y6085" s="1"/>
      <c r="AB6085" s="1"/>
      <c r="AC6085" s="1"/>
      <c r="AD6085" s="1"/>
      <c r="AE6085" s="1"/>
      <c r="AF6085" s="1"/>
      <c r="AG6085" s="1"/>
      <c r="AH6085" s="1"/>
      <c r="AI6085" s="1"/>
      <c r="AJ6085" s="1"/>
      <c r="AK6085" s="1"/>
      <c r="AL6085" s="1"/>
      <c r="AM6085" s="1"/>
    </row>
    <row r="6086" spans="16:39" x14ac:dyDescent="0.25">
      <c r="P6086" s="49"/>
      <c r="Q6086" s="1"/>
      <c r="S6086" s="1"/>
      <c r="T6086" s="1"/>
      <c r="U6086" s="1"/>
      <c r="V6086" s="1"/>
      <c r="W6086" s="1"/>
      <c r="X6086" s="1"/>
      <c r="Y6086" s="1"/>
      <c r="AB6086" s="1"/>
      <c r="AC6086" s="1"/>
      <c r="AD6086" s="1"/>
      <c r="AE6086" s="1"/>
      <c r="AF6086" s="1"/>
      <c r="AG6086" s="1"/>
      <c r="AH6086" s="1"/>
      <c r="AI6086" s="1"/>
      <c r="AJ6086" s="1"/>
      <c r="AK6086" s="1"/>
      <c r="AL6086" s="1"/>
      <c r="AM6086" s="1"/>
    </row>
    <row r="6087" spans="16:39" x14ac:dyDescent="0.25">
      <c r="P6087" s="49"/>
      <c r="Q6087" s="1"/>
      <c r="S6087" s="1"/>
      <c r="T6087" s="1"/>
      <c r="U6087" s="1"/>
      <c r="V6087" s="1"/>
      <c r="W6087" s="1"/>
      <c r="X6087" s="1"/>
      <c r="Y6087" s="1"/>
      <c r="AB6087" s="1"/>
      <c r="AC6087" s="1"/>
      <c r="AD6087" s="1"/>
      <c r="AE6087" s="1"/>
      <c r="AF6087" s="1"/>
      <c r="AG6087" s="1"/>
      <c r="AH6087" s="1"/>
      <c r="AI6087" s="1"/>
      <c r="AJ6087" s="1"/>
      <c r="AK6087" s="1"/>
      <c r="AL6087" s="1"/>
      <c r="AM6087" s="1"/>
    </row>
    <row r="6088" spans="16:39" x14ac:dyDescent="0.25">
      <c r="P6088" s="49"/>
      <c r="Q6088" s="1"/>
      <c r="S6088" s="1"/>
      <c r="T6088" s="1"/>
      <c r="U6088" s="1"/>
      <c r="V6088" s="1"/>
      <c r="W6088" s="1"/>
      <c r="X6088" s="1"/>
      <c r="Y6088" s="1"/>
      <c r="AB6088" s="1"/>
      <c r="AC6088" s="1"/>
      <c r="AD6088" s="1"/>
      <c r="AE6088" s="1"/>
      <c r="AF6088" s="1"/>
      <c r="AG6088" s="1"/>
      <c r="AH6088" s="1"/>
      <c r="AI6088" s="1"/>
      <c r="AJ6088" s="1"/>
      <c r="AK6088" s="1"/>
      <c r="AL6088" s="1"/>
      <c r="AM6088" s="1"/>
    </row>
    <row r="6089" spans="16:39" x14ac:dyDescent="0.25">
      <c r="P6089" s="49"/>
      <c r="Q6089" s="1"/>
      <c r="S6089" s="1"/>
      <c r="T6089" s="1"/>
      <c r="U6089" s="1"/>
      <c r="V6089" s="1"/>
      <c r="W6089" s="1"/>
      <c r="X6089" s="1"/>
      <c r="Y6089" s="1"/>
      <c r="AB6089" s="1"/>
      <c r="AC6089" s="1"/>
      <c r="AD6089" s="1"/>
      <c r="AE6089" s="1"/>
      <c r="AF6089" s="1"/>
      <c r="AG6089" s="1"/>
      <c r="AH6089" s="1"/>
      <c r="AI6089" s="1"/>
      <c r="AJ6089" s="1"/>
      <c r="AK6089" s="1"/>
      <c r="AL6089" s="1"/>
      <c r="AM6089" s="1"/>
    </row>
    <row r="6090" spans="16:39" x14ac:dyDescent="0.25">
      <c r="P6090" s="49"/>
      <c r="Q6090" s="1"/>
      <c r="S6090" s="1"/>
      <c r="T6090" s="1"/>
      <c r="U6090" s="1"/>
      <c r="V6090" s="1"/>
      <c r="W6090" s="1"/>
      <c r="X6090" s="1"/>
      <c r="Y6090" s="1"/>
      <c r="AB6090" s="1"/>
      <c r="AC6090" s="1"/>
      <c r="AD6090" s="1"/>
      <c r="AE6090" s="1"/>
      <c r="AF6090" s="1"/>
      <c r="AG6090" s="1"/>
      <c r="AH6090" s="1"/>
      <c r="AI6090" s="1"/>
      <c r="AJ6090" s="1"/>
      <c r="AK6090" s="1"/>
      <c r="AL6090" s="1"/>
      <c r="AM6090" s="1"/>
    </row>
    <row r="6091" spans="16:39" x14ac:dyDescent="0.25">
      <c r="P6091" s="49"/>
      <c r="Q6091" s="1"/>
      <c r="S6091" s="1"/>
      <c r="T6091" s="1"/>
      <c r="U6091" s="1"/>
      <c r="V6091" s="1"/>
      <c r="W6091" s="1"/>
      <c r="X6091" s="1"/>
      <c r="Y6091" s="1"/>
      <c r="AB6091" s="1"/>
      <c r="AC6091" s="1"/>
      <c r="AD6091" s="1"/>
      <c r="AE6091" s="1"/>
      <c r="AF6091" s="1"/>
      <c r="AG6091" s="1"/>
      <c r="AH6091" s="1"/>
      <c r="AI6091" s="1"/>
      <c r="AJ6091" s="1"/>
      <c r="AK6091" s="1"/>
      <c r="AL6091" s="1"/>
      <c r="AM6091" s="1"/>
    </row>
    <row r="6092" spans="16:39" x14ac:dyDescent="0.25">
      <c r="P6092" s="49"/>
      <c r="Q6092" s="1"/>
      <c r="S6092" s="1"/>
      <c r="T6092" s="1"/>
      <c r="U6092" s="1"/>
      <c r="V6092" s="1"/>
      <c r="W6092" s="1"/>
      <c r="X6092" s="1"/>
      <c r="Y6092" s="1"/>
      <c r="AB6092" s="1"/>
      <c r="AC6092" s="1"/>
      <c r="AD6092" s="1"/>
      <c r="AE6092" s="1"/>
      <c r="AF6092" s="1"/>
      <c r="AG6092" s="1"/>
      <c r="AH6092" s="1"/>
      <c r="AI6092" s="1"/>
      <c r="AJ6092" s="1"/>
      <c r="AK6092" s="1"/>
      <c r="AL6092" s="1"/>
      <c r="AM6092" s="1"/>
    </row>
    <row r="6093" spans="16:39" x14ac:dyDescent="0.25">
      <c r="P6093" s="49"/>
      <c r="Q6093" s="1"/>
      <c r="S6093" s="1"/>
      <c r="T6093" s="1"/>
      <c r="U6093" s="1"/>
      <c r="V6093" s="1"/>
      <c r="W6093" s="1"/>
      <c r="X6093" s="1"/>
      <c r="Y6093" s="1"/>
      <c r="AB6093" s="1"/>
      <c r="AC6093" s="1"/>
      <c r="AD6093" s="1"/>
      <c r="AE6093" s="1"/>
      <c r="AF6093" s="1"/>
      <c r="AG6093" s="1"/>
      <c r="AH6093" s="1"/>
      <c r="AI6093" s="1"/>
      <c r="AJ6093" s="1"/>
      <c r="AK6093" s="1"/>
      <c r="AL6093" s="1"/>
      <c r="AM6093" s="1"/>
    </row>
    <row r="6094" spans="16:39" x14ac:dyDescent="0.25">
      <c r="P6094" s="49"/>
      <c r="Q6094" s="1"/>
      <c r="S6094" s="1"/>
      <c r="T6094" s="1"/>
      <c r="U6094" s="1"/>
      <c r="V6094" s="1"/>
      <c r="W6094" s="1"/>
      <c r="X6094" s="1"/>
      <c r="Y6094" s="1"/>
      <c r="AB6094" s="1"/>
      <c r="AC6094" s="1"/>
      <c r="AD6094" s="1"/>
      <c r="AE6094" s="1"/>
      <c r="AF6094" s="1"/>
      <c r="AG6094" s="1"/>
      <c r="AH6094" s="1"/>
      <c r="AI6094" s="1"/>
      <c r="AJ6094" s="1"/>
      <c r="AK6094" s="1"/>
      <c r="AL6094" s="1"/>
      <c r="AM6094" s="1"/>
    </row>
    <row r="6095" spans="16:39" x14ac:dyDescent="0.25">
      <c r="P6095" s="49"/>
      <c r="Q6095" s="1"/>
      <c r="S6095" s="1"/>
      <c r="T6095" s="1"/>
      <c r="U6095" s="1"/>
      <c r="V6095" s="1"/>
      <c r="W6095" s="1"/>
      <c r="X6095" s="1"/>
      <c r="Y6095" s="1"/>
      <c r="AB6095" s="1"/>
      <c r="AC6095" s="1"/>
      <c r="AD6095" s="1"/>
      <c r="AE6095" s="1"/>
      <c r="AF6095" s="1"/>
      <c r="AG6095" s="1"/>
      <c r="AH6095" s="1"/>
      <c r="AI6095" s="1"/>
      <c r="AJ6095" s="1"/>
      <c r="AK6095" s="1"/>
      <c r="AL6095" s="1"/>
      <c r="AM6095" s="1"/>
    </row>
    <row r="6096" spans="16:39" x14ac:dyDescent="0.25">
      <c r="P6096" s="49"/>
      <c r="Q6096" s="1"/>
      <c r="S6096" s="1"/>
      <c r="T6096" s="1"/>
      <c r="U6096" s="1"/>
      <c r="V6096" s="1"/>
      <c r="W6096" s="1"/>
      <c r="X6096" s="1"/>
      <c r="Y6096" s="1"/>
      <c r="AB6096" s="1"/>
      <c r="AC6096" s="1"/>
      <c r="AD6096" s="1"/>
      <c r="AE6096" s="1"/>
      <c r="AF6096" s="1"/>
      <c r="AG6096" s="1"/>
      <c r="AH6096" s="1"/>
      <c r="AI6096" s="1"/>
      <c r="AJ6096" s="1"/>
      <c r="AK6096" s="1"/>
      <c r="AL6096" s="1"/>
      <c r="AM6096" s="1"/>
    </row>
    <row r="6097" spans="16:39" x14ac:dyDescent="0.25">
      <c r="P6097" s="49"/>
      <c r="Q6097" s="1"/>
      <c r="S6097" s="1"/>
      <c r="T6097" s="1"/>
      <c r="U6097" s="1"/>
      <c r="V6097" s="1"/>
      <c r="W6097" s="1"/>
      <c r="X6097" s="1"/>
      <c r="Y6097" s="1"/>
      <c r="AB6097" s="1"/>
      <c r="AC6097" s="1"/>
      <c r="AD6097" s="1"/>
      <c r="AE6097" s="1"/>
      <c r="AF6097" s="1"/>
      <c r="AG6097" s="1"/>
      <c r="AH6097" s="1"/>
      <c r="AI6097" s="1"/>
      <c r="AJ6097" s="1"/>
      <c r="AK6097" s="1"/>
      <c r="AL6097" s="1"/>
      <c r="AM6097" s="1"/>
    </row>
    <row r="6098" spans="16:39" x14ac:dyDescent="0.25">
      <c r="P6098" s="49"/>
      <c r="Q6098" s="1"/>
      <c r="S6098" s="1"/>
      <c r="T6098" s="1"/>
      <c r="U6098" s="1"/>
      <c r="V6098" s="1"/>
      <c r="W6098" s="1"/>
      <c r="X6098" s="1"/>
      <c r="Y6098" s="1"/>
      <c r="AB6098" s="1"/>
      <c r="AC6098" s="1"/>
      <c r="AD6098" s="1"/>
      <c r="AE6098" s="1"/>
      <c r="AF6098" s="1"/>
      <c r="AG6098" s="1"/>
      <c r="AH6098" s="1"/>
      <c r="AI6098" s="1"/>
      <c r="AJ6098" s="1"/>
      <c r="AK6098" s="1"/>
      <c r="AL6098" s="1"/>
      <c r="AM6098" s="1"/>
    </row>
    <row r="6099" spans="16:39" x14ac:dyDescent="0.25">
      <c r="P6099" s="49"/>
      <c r="Q6099" s="1"/>
      <c r="S6099" s="1"/>
      <c r="T6099" s="1"/>
      <c r="U6099" s="1"/>
      <c r="V6099" s="1"/>
      <c r="W6099" s="1"/>
      <c r="X6099" s="1"/>
      <c r="Y6099" s="1"/>
      <c r="AB6099" s="1"/>
      <c r="AC6099" s="1"/>
      <c r="AD6099" s="1"/>
      <c r="AE6099" s="1"/>
      <c r="AF6099" s="1"/>
      <c r="AG6099" s="1"/>
      <c r="AH6099" s="1"/>
      <c r="AI6099" s="1"/>
      <c r="AJ6099" s="1"/>
      <c r="AK6099" s="1"/>
      <c r="AL6099" s="1"/>
      <c r="AM6099" s="1"/>
    </row>
    <row r="6100" spans="16:39" x14ac:dyDescent="0.25">
      <c r="P6100" s="49"/>
      <c r="Q6100" s="1"/>
      <c r="S6100" s="1"/>
      <c r="T6100" s="1"/>
      <c r="U6100" s="1"/>
      <c r="V6100" s="1"/>
      <c r="W6100" s="1"/>
      <c r="X6100" s="1"/>
      <c r="Y6100" s="1"/>
      <c r="AB6100" s="1"/>
      <c r="AC6100" s="1"/>
      <c r="AD6100" s="1"/>
      <c r="AE6100" s="1"/>
      <c r="AF6100" s="1"/>
      <c r="AG6100" s="1"/>
      <c r="AH6100" s="1"/>
      <c r="AI6100" s="1"/>
      <c r="AJ6100" s="1"/>
      <c r="AK6100" s="1"/>
      <c r="AL6100" s="1"/>
      <c r="AM6100" s="1"/>
    </row>
    <row r="6101" spans="16:39" x14ac:dyDescent="0.25">
      <c r="P6101" s="49"/>
      <c r="Q6101" s="1"/>
      <c r="S6101" s="1"/>
      <c r="T6101" s="1"/>
      <c r="U6101" s="1"/>
      <c r="V6101" s="1"/>
      <c r="W6101" s="1"/>
      <c r="X6101" s="1"/>
      <c r="Y6101" s="1"/>
      <c r="AB6101" s="1"/>
      <c r="AC6101" s="1"/>
      <c r="AD6101" s="1"/>
      <c r="AE6101" s="1"/>
      <c r="AF6101" s="1"/>
      <c r="AG6101" s="1"/>
      <c r="AH6101" s="1"/>
      <c r="AI6101" s="1"/>
      <c r="AJ6101" s="1"/>
      <c r="AK6101" s="1"/>
      <c r="AL6101" s="1"/>
      <c r="AM6101" s="1"/>
    </row>
    <row r="6102" spans="16:39" x14ac:dyDescent="0.25">
      <c r="P6102" s="49"/>
      <c r="Q6102" s="1"/>
      <c r="S6102" s="1"/>
      <c r="T6102" s="1"/>
      <c r="U6102" s="1"/>
      <c r="V6102" s="1"/>
      <c r="W6102" s="1"/>
      <c r="X6102" s="1"/>
      <c r="Y6102" s="1"/>
      <c r="AB6102" s="1"/>
      <c r="AC6102" s="1"/>
      <c r="AD6102" s="1"/>
      <c r="AE6102" s="1"/>
      <c r="AF6102" s="1"/>
      <c r="AG6102" s="1"/>
      <c r="AH6102" s="1"/>
      <c r="AI6102" s="1"/>
      <c r="AJ6102" s="1"/>
      <c r="AK6102" s="1"/>
      <c r="AL6102" s="1"/>
      <c r="AM6102" s="1"/>
    </row>
    <row r="6103" spans="16:39" x14ac:dyDescent="0.25">
      <c r="P6103" s="49"/>
      <c r="Q6103" s="1"/>
      <c r="S6103" s="1"/>
      <c r="T6103" s="1"/>
      <c r="U6103" s="1"/>
      <c r="V6103" s="1"/>
      <c r="W6103" s="1"/>
      <c r="X6103" s="1"/>
      <c r="Y6103" s="1"/>
      <c r="AB6103" s="1"/>
      <c r="AC6103" s="1"/>
      <c r="AD6103" s="1"/>
      <c r="AE6103" s="1"/>
      <c r="AF6103" s="1"/>
      <c r="AG6103" s="1"/>
      <c r="AH6103" s="1"/>
      <c r="AI6103" s="1"/>
      <c r="AJ6103" s="1"/>
      <c r="AK6103" s="1"/>
      <c r="AL6103" s="1"/>
      <c r="AM6103" s="1"/>
    </row>
    <row r="6104" spans="16:39" x14ac:dyDescent="0.25">
      <c r="P6104" s="49"/>
      <c r="Q6104" s="1"/>
      <c r="S6104" s="1"/>
      <c r="T6104" s="1"/>
      <c r="U6104" s="1"/>
      <c r="V6104" s="1"/>
      <c r="W6104" s="1"/>
      <c r="X6104" s="1"/>
      <c r="Y6104" s="1"/>
      <c r="AB6104" s="1"/>
      <c r="AC6104" s="1"/>
      <c r="AD6104" s="1"/>
      <c r="AE6104" s="1"/>
      <c r="AF6104" s="1"/>
      <c r="AG6104" s="1"/>
      <c r="AH6104" s="1"/>
      <c r="AI6104" s="1"/>
      <c r="AJ6104" s="1"/>
      <c r="AK6104" s="1"/>
      <c r="AL6104" s="1"/>
      <c r="AM6104" s="1"/>
    </row>
    <row r="6105" spans="16:39" x14ac:dyDescent="0.25">
      <c r="P6105" s="49"/>
      <c r="Q6105" s="1"/>
      <c r="S6105" s="1"/>
      <c r="T6105" s="1"/>
      <c r="U6105" s="1"/>
      <c r="V6105" s="1"/>
      <c r="W6105" s="1"/>
      <c r="X6105" s="1"/>
      <c r="Y6105" s="1"/>
      <c r="AB6105" s="1"/>
      <c r="AC6105" s="1"/>
      <c r="AD6105" s="1"/>
      <c r="AE6105" s="1"/>
      <c r="AF6105" s="1"/>
      <c r="AG6105" s="1"/>
      <c r="AH6105" s="1"/>
      <c r="AI6105" s="1"/>
      <c r="AJ6105" s="1"/>
      <c r="AK6105" s="1"/>
      <c r="AL6105" s="1"/>
      <c r="AM6105" s="1"/>
    </row>
    <row r="6106" spans="16:39" x14ac:dyDescent="0.25">
      <c r="P6106" s="49"/>
      <c r="Q6106" s="1"/>
      <c r="S6106" s="1"/>
      <c r="T6106" s="1"/>
      <c r="U6106" s="1"/>
      <c r="V6106" s="1"/>
      <c r="W6106" s="1"/>
      <c r="X6106" s="1"/>
      <c r="Y6106" s="1"/>
      <c r="AB6106" s="1"/>
      <c r="AC6106" s="1"/>
      <c r="AD6106" s="1"/>
      <c r="AE6106" s="1"/>
      <c r="AF6106" s="1"/>
      <c r="AG6106" s="1"/>
      <c r="AH6106" s="1"/>
      <c r="AI6106" s="1"/>
      <c r="AJ6106" s="1"/>
      <c r="AK6106" s="1"/>
      <c r="AL6106" s="1"/>
      <c r="AM6106" s="1"/>
    </row>
    <row r="6107" spans="16:39" x14ac:dyDescent="0.25">
      <c r="P6107" s="49"/>
      <c r="Q6107" s="1"/>
      <c r="S6107" s="1"/>
      <c r="T6107" s="1"/>
      <c r="U6107" s="1"/>
      <c r="V6107" s="1"/>
      <c r="W6107" s="1"/>
      <c r="X6107" s="1"/>
      <c r="Y6107" s="1"/>
      <c r="AB6107" s="1"/>
      <c r="AC6107" s="1"/>
      <c r="AD6107" s="1"/>
      <c r="AE6107" s="1"/>
      <c r="AF6107" s="1"/>
      <c r="AG6107" s="1"/>
      <c r="AH6107" s="1"/>
      <c r="AI6107" s="1"/>
      <c r="AJ6107" s="1"/>
      <c r="AK6107" s="1"/>
      <c r="AL6107" s="1"/>
      <c r="AM6107" s="1"/>
    </row>
    <row r="6108" spans="16:39" x14ac:dyDescent="0.25">
      <c r="P6108" s="49"/>
      <c r="Q6108" s="1"/>
      <c r="S6108" s="1"/>
      <c r="T6108" s="1"/>
      <c r="U6108" s="1"/>
      <c r="V6108" s="1"/>
      <c r="W6108" s="1"/>
      <c r="X6108" s="1"/>
      <c r="Y6108" s="1"/>
      <c r="AB6108" s="1"/>
      <c r="AC6108" s="1"/>
      <c r="AD6108" s="1"/>
      <c r="AE6108" s="1"/>
      <c r="AF6108" s="1"/>
      <c r="AG6108" s="1"/>
      <c r="AH6108" s="1"/>
      <c r="AI6108" s="1"/>
      <c r="AJ6108" s="1"/>
      <c r="AK6108" s="1"/>
      <c r="AL6108" s="1"/>
      <c r="AM6108" s="1"/>
    </row>
    <row r="6109" spans="16:39" x14ac:dyDescent="0.25">
      <c r="P6109" s="49"/>
      <c r="Q6109" s="1"/>
      <c r="S6109" s="1"/>
      <c r="T6109" s="1"/>
      <c r="U6109" s="1"/>
      <c r="V6109" s="1"/>
      <c r="W6109" s="1"/>
      <c r="X6109" s="1"/>
      <c r="Y6109" s="1"/>
      <c r="AB6109" s="1"/>
      <c r="AC6109" s="1"/>
      <c r="AD6109" s="1"/>
      <c r="AE6109" s="1"/>
      <c r="AF6109" s="1"/>
      <c r="AG6109" s="1"/>
      <c r="AH6109" s="1"/>
      <c r="AI6109" s="1"/>
      <c r="AJ6109" s="1"/>
      <c r="AK6109" s="1"/>
      <c r="AL6109" s="1"/>
      <c r="AM6109" s="1"/>
    </row>
    <row r="6110" spans="16:39" x14ac:dyDescent="0.25">
      <c r="P6110" s="49"/>
      <c r="Q6110" s="1"/>
      <c r="S6110" s="1"/>
      <c r="T6110" s="1"/>
      <c r="U6110" s="1"/>
      <c r="V6110" s="1"/>
      <c r="W6110" s="1"/>
      <c r="X6110" s="1"/>
      <c r="Y6110" s="1"/>
      <c r="AB6110" s="1"/>
      <c r="AC6110" s="1"/>
      <c r="AD6110" s="1"/>
      <c r="AE6110" s="1"/>
      <c r="AF6110" s="1"/>
      <c r="AG6110" s="1"/>
      <c r="AH6110" s="1"/>
      <c r="AI6110" s="1"/>
      <c r="AJ6110" s="1"/>
      <c r="AK6110" s="1"/>
      <c r="AL6110" s="1"/>
      <c r="AM6110" s="1"/>
    </row>
    <row r="6111" spans="16:39" x14ac:dyDescent="0.25">
      <c r="P6111" s="49"/>
      <c r="Q6111" s="1"/>
      <c r="S6111" s="1"/>
      <c r="T6111" s="1"/>
      <c r="U6111" s="1"/>
      <c r="V6111" s="1"/>
      <c r="W6111" s="1"/>
      <c r="X6111" s="1"/>
      <c r="Y6111" s="1"/>
      <c r="AB6111" s="1"/>
      <c r="AC6111" s="1"/>
      <c r="AD6111" s="1"/>
      <c r="AE6111" s="1"/>
      <c r="AF6111" s="1"/>
      <c r="AG6111" s="1"/>
      <c r="AH6111" s="1"/>
      <c r="AI6111" s="1"/>
      <c r="AJ6111" s="1"/>
      <c r="AK6111" s="1"/>
      <c r="AL6111" s="1"/>
      <c r="AM6111" s="1"/>
    </row>
    <row r="6112" spans="16:39" x14ac:dyDescent="0.25">
      <c r="P6112" s="49"/>
      <c r="Q6112" s="1"/>
      <c r="S6112" s="1"/>
      <c r="T6112" s="1"/>
      <c r="U6112" s="1"/>
      <c r="V6112" s="1"/>
      <c r="W6112" s="1"/>
      <c r="X6112" s="1"/>
      <c r="Y6112" s="1"/>
      <c r="AB6112" s="1"/>
      <c r="AC6112" s="1"/>
      <c r="AD6112" s="1"/>
      <c r="AE6112" s="1"/>
      <c r="AF6112" s="1"/>
      <c r="AG6112" s="1"/>
      <c r="AH6112" s="1"/>
      <c r="AI6112" s="1"/>
      <c r="AJ6112" s="1"/>
      <c r="AK6112" s="1"/>
      <c r="AL6112" s="1"/>
      <c r="AM6112" s="1"/>
    </row>
    <row r="6113" spans="16:39" x14ac:dyDescent="0.25">
      <c r="P6113" s="49"/>
      <c r="Q6113" s="1"/>
      <c r="S6113" s="1"/>
      <c r="T6113" s="1"/>
      <c r="U6113" s="1"/>
      <c r="V6113" s="1"/>
      <c r="W6113" s="1"/>
      <c r="X6113" s="1"/>
      <c r="Y6113" s="1"/>
      <c r="AB6113" s="1"/>
      <c r="AC6113" s="1"/>
      <c r="AD6113" s="1"/>
      <c r="AE6113" s="1"/>
      <c r="AF6113" s="1"/>
      <c r="AG6113" s="1"/>
      <c r="AH6113" s="1"/>
      <c r="AI6113" s="1"/>
      <c r="AJ6113" s="1"/>
      <c r="AK6113" s="1"/>
      <c r="AL6113" s="1"/>
      <c r="AM6113" s="1"/>
    </row>
    <row r="6114" spans="16:39" x14ac:dyDescent="0.25">
      <c r="P6114" s="49"/>
      <c r="Q6114" s="1"/>
      <c r="S6114" s="1"/>
      <c r="T6114" s="1"/>
      <c r="U6114" s="1"/>
      <c r="V6114" s="1"/>
      <c r="W6114" s="1"/>
      <c r="X6114" s="1"/>
      <c r="Y6114" s="1"/>
      <c r="AB6114" s="1"/>
      <c r="AC6114" s="1"/>
      <c r="AD6114" s="1"/>
      <c r="AE6114" s="1"/>
      <c r="AF6114" s="1"/>
      <c r="AG6114" s="1"/>
      <c r="AH6114" s="1"/>
      <c r="AI6114" s="1"/>
      <c r="AJ6114" s="1"/>
      <c r="AK6114" s="1"/>
      <c r="AL6114" s="1"/>
      <c r="AM6114" s="1"/>
    </row>
    <row r="6115" spans="16:39" x14ac:dyDescent="0.25">
      <c r="P6115" s="49"/>
      <c r="Q6115" s="1"/>
      <c r="S6115" s="1"/>
      <c r="T6115" s="1"/>
      <c r="U6115" s="1"/>
      <c r="V6115" s="1"/>
      <c r="W6115" s="1"/>
      <c r="X6115" s="1"/>
      <c r="Y6115" s="1"/>
      <c r="AB6115" s="1"/>
      <c r="AC6115" s="1"/>
      <c r="AD6115" s="1"/>
      <c r="AE6115" s="1"/>
      <c r="AF6115" s="1"/>
      <c r="AG6115" s="1"/>
      <c r="AH6115" s="1"/>
      <c r="AI6115" s="1"/>
      <c r="AJ6115" s="1"/>
      <c r="AK6115" s="1"/>
      <c r="AL6115" s="1"/>
      <c r="AM6115" s="1"/>
    </row>
    <row r="6116" spans="16:39" x14ac:dyDescent="0.25">
      <c r="P6116" s="49"/>
      <c r="Q6116" s="1"/>
      <c r="S6116" s="1"/>
      <c r="T6116" s="1"/>
      <c r="U6116" s="1"/>
      <c r="V6116" s="1"/>
      <c r="W6116" s="1"/>
      <c r="X6116" s="1"/>
      <c r="Y6116" s="1"/>
      <c r="AB6116" s="1"/>
      <c r="AC6116" s="1"/>
      <c r="AD6116" s="1"/>
      <c r="AE6116" s="1"/>
      <c r="AF6116" s="1"/>
      <c r="AG6116" s="1"/>
      <c r="AH6116" s="1"/>
      <c r="AI6116" s="1"/>
      <c r="AJ6116" s="1"/>
      <c r="AK6116" s="1"/>
      <c r="AL6116" s="1"/>
      <c r="AM6116" s="1"/>
    </row>
    <row r="6117" spans="16:39" x14ac:dyDescent="0.25">
      <c r="P6117" s="49"/>
      <c r="Q6117" s="1"/>
      <c r="S6117" s="1"/>
      <c r="T6117" s="1"/>
      <c r="U6117" s="1"/>
      <c r="V6117" s="1"/>
      <c r="W6117" s="1"/>
      <c r="X6117" s="1"/>
      <c r="Y6117" s="1"/>
      <c r="AB6117" s="1"/>
      <c r="AC6117" s="1"/>
      <c r="AD6117" s="1"/>
      <c r="AE6117" s="1"/>
      <c r="AF6117" s="1"/>
      <c r="AG6117" s="1"/>
      <c r="AH6117" s="1"/>
      <c r="AI6117" s="1"/>
      <c r="AJ6117" s="1"/>
      <c r="AK6117" s="1"/>
      <c r="AL6117" s="1"/>
      <c r="AM6117" s="1"/>
    </row>
    <row r="6118" spans="16:39" x14ac:dyDescent="0.25">
      <c r="P6118" s="49"/>
      <c r="Q6118" s="1"/>
      <c r="S6118" s="1"/>
      <c r="T6118" s="1"/>
      <c r="U6118" s="1"/>
      <c r="V6118" s="1"/>
      <c r="W6118" s="1"/>
      <c r="X6118" s="1"/>
      <c r="Y6118" s="1"/>
      <c r="AB6118" s="1"/>
      <c r="AC6118" s="1"/>
      <c r="AD6118" s="1"/>
      <c r="AE6118" s="1"/>
      <c r="AF6118" s="1"/>
      <c r="AG6118" s="1"/>
      <c r="AH6118" s="1"/>
      <c r="AI6118" s="1"/>
      <c r="AJ6118" s="1"/>
      <c r="AK6118" s="1"/>
      <c r="AL6118" s="1"/>
      <c r="AM6118" s="1"/>
    </row>
    <row r="6119" spans="16:39" x14ac:dyDescent="0.25">
      <c r="P6119" s="49"/>
      <c r="Q6119" s="1"/>
      <c r="S6119" s="1"/>
      <c r="T6119" s="1"/>
      <c r="U6119" s="1"/>
      <c r="V6119" s="1"/>
      <c r="W6119" s="1"/>
      <c r="X6119" s="1"/>
      <c r="Y6119" s="1"/>
      <c r="AB6119" s="1"/>
      <c r="AC6119" s="1"/>
      <c r="AD6119" s="1"/>
      <c r="AE6119" s="1"/>
      <c r="AF6119" s="1"/>
      <c r="AG6119" s="1"/>
      <c r="AH6119" s="1"/>
      <c r="AI6119" s="1"/>
      <c r="AJ6119" s="1"/>
      <c r="AK6119" s="1"/>
      <c r="AL6119" s="1"/>
      <c r="AM6119" s="1"/>
    </row>
    <row r="6120" spans="16:39" x14ac:dyDescent="0.25">
      <c r="P6120" s="49"/>
      <c r="Q6120" s="1"/>
      <c r="S6120" s="1"/>
      <c r="T6120" s="1"/>
      <c r="U6120" s="1"/>
      <c r="V6120" s="1"/>
      <c r="W6120" s="1"/>
      <c r="X6120" s="1"/>
      <c r="Y6120" s="1"/>
      <c r="AB6120" s="1"/>
      <c r="AC6120" s="1"/>
      <c r="AD6120" s="1"/>
      <c r="AE6120" s="1"/>
      <c r="AF6120" s="1"/>
      <c r="AG6120" s="1"/>
      <c r="AH6120" s="1"/>
      <c r="AI6120" s="1"/>
      <c r="AJ6120" s="1"/>
      <c r="AK6120" s="1"/>
      <c r="AL6120" s="1"/>
      <c r="AM6120" s="1"/>
    </row>
    <row r="6121" spans="16:39" x14ac:dyDescent="0.25">
      <c r="P6121" s="49"/>
      <c r="Q6121" s="1"/>
      <c r="S6121" s="1"/>
      <c r="T6121" s="1"/>
      <c r="U6121" s="1"/>
      <c r="V6121" s="1"/>
      <c r="W6121" s="1"/>
      <c r="X6121" s="1"/>
      <c r="Y6121" s="1"/>
      <c r="AB6121" s="1"/>
      <c r="AC6121" s="1"/>
      <c r="AD6121" s="1"/>
      <c r="AE6121" s="1"/>
      <c r="AF6121" s="1"/>
      <c r="AG6121" s="1"/>
      <c r="AH6121" s="1"/>
      <c r="AI6121" s="1"/>
      <c r="AJ6121" s="1"/>
      <c r="AK6121" s="1"/>
      <c r="AL6121" s="1"/>
      <c r="AM6121" s="1"/>
    </row>
    <row r="6122" spans="16:39" x14ac:dyDescent="0.25">
      <c r="P6122" s="49"/>
      <c r="Q6122" s="1"/>
      <c r="S6122" s="1"/>
      <c r="T6122" s="1"/>
      <c r="U6122" s="1"/>
      <c r="V6122" s="1"/>
      <c r="W6122" s="1"/>
      <c r="X6122" s="1"/>
      <c r="Y6122" s="1"/>
      <c r="AB6122" s="1"/>
      <c r="AC6122" s="1"/>
      <c r="AD6122" s="1"/>
      <c r="AE6122" s="1"/>
      <c r="AF6122" s="1"/>
      <c r="AG6122" s="1"/>
      <c r="AH6122" s="1"/>
      <c r="AI6122" s="1"/>
      <c r="AJ6122" s="1"/>
      <c r="AK6122" s="1"/>
      <c r="AL6122" s="1"/>
      <c r="AM6122" s="1"/>
    </row>
    <row r="6123" spans="16:39" x14ac:dyDescent="0.25">
      <c r="P6123" s="49"/>
      <c r="Q6123" s="1"/>
      <c r="S6123" s="1"/>
      <c r="T6123" s="1"/>
      <c r="U6123" s="1"/>
      <c r="V6123" s="1"/>
      <c r="W6123" s="1"/>
      <c r="X6123" s="1"/>
      <c r="Y6123" s="1"/>
      <c r="AB6123" s="1"/>
      <c r="AC6123" s="1"/>
      <c r="AD6123" s="1"/>
      <c r="AE6123" s="1"/>
      <c r="AF6123" s="1"/>
      <c r="AG6123" s="1"/>
      <c r="AH6123" s="1"/>
      <c r="AI6123" s="1"/>
      <c r="AJ6123" s="1"/>
      <c r="AK6123" s="1"/>
      <c r="AL6123" s="1"/>
      <c r="AM6123" s="1"/>
    </row>
    <row r="6124" spans="16:39" x14ac:dyDescent="0.25">
      <c r="P6124" s="49"/>
      <c r="Q6124" s="1"/>
      <c r="S6124" s="1"/>
      <c r="T6124" s="1"/>
      <c r="U6124" s="1"/>
      <c r="V6124" s="1"/>
      <c r="W6124" s="1"/>
      <c r="X6124" s="1"/>
      <c r="Y6124" s="1"/>
      <c r="AB6124" s="1"/>
      <c r="AC6124" s="1"/>
      <c r="AD6124" s="1"/>
      <c r="AE6124" s="1"/>
      <c r="AF6124" s="1"/>
      <c r="AG6124" s="1"/>
      <c r="AH6124" s="1"/>
      <c r="AI6124" s="1"/>
      <c r="AJ6124" s="1"/>
      <c r="AK6124" s="1"/>
      <c r="AL6124" s="1"/>
      <c r="AM6124" s="1"/>
    </row>
    <row r="6125" spans="16:39" x14ac:dyDescent="0.25">
      <c r="P6125" s="49"/>
      <c r="Q6125" s="1"/>
      <c r="S6125" s="1"/>
      <c r="T6125" s="1"/>
      <c r="U6125" s="1"/>
      <c r="V6125" s="1"/>
      <c r="W6125" s="1"/>
      <c r="X6125" s="1"/>
      <c r="Y6125" s="1"/>
      <c r="AB6125" s="1"/>
      <c r="AC6125" s="1"/>
      <c r="AD6125" s="1"/>
      <c r="AE6125" s="1"/>
      <c r="AF6125" s="1"/>
      <c r="AG6125" s="1"/>
      <c r="AH6125" s="1"/>
      <c r="AI6125" s="1"/>
      <c r="AJ6125" s="1"/>
      <c r="AK6125" s="1"/>
      <c r="AL6125" s="1"/>
      <c r="AM6125" s="1"/>
    </row>
    <row r="6126" spans="16:39" x14ac:dyDescent="0.25">
      <c r="P6126" s="49"/>
      <c r="Q6126" s="1"/>
      <c r="S6126" s="1"/>
      <c r="T6126" s="1"/>
      <c r="U6126" s="1"/>
      <c r="V6126" s="1"/>
      <c r="W6126" s="1"/>
      <c r="X6126" s="1"/>
      <c r="Y6126" s="1"/>
      <c r="AB6126" s="1"/>
      <c r="AC6126" s="1"/>
      <c r="AD6126" s="1"/>
      <c r="AE6126" s="1"/>
      <c r="AF6126" s="1"/>
      <c r="AG6126" s="1"/>
      <c r="AH6126" s="1"/>
      <c r="AI6126" s="1"/>
      <c r="AJ6126" s="1"/>
      <c r="AK6126" s="1"/>
      <c r="AL6126" s="1"/>
      <c r="AM6126" s="1"/>
    </row>
    <row r="6127" spans="16:39" x14ac:dyDescent="0.25">
      <c r="P6127" s="49"/>
      <c r="Q6127" s="1"/>
      <c r="S6127" s="1"/>
      <c r="T6127" s="1"/>
      <c r="U6127" s="1"/>
      <c r="V6127" s="1"/>
      <c r="W6127" s="1"/>
      <c r="X6127" s="1"/>
      <c r="Y6127" s="1"/>
      <c r="AB6127" s="1"/>
      <c r="AC6127" s="1"/>
      <c r="AD6127" s="1"/>
      <c r="AE6127" s="1"/>
      <c r="AF6127" s="1"/>
      <c r="AG6127" s="1"/>
      <c r="AH6127" s="1"/>
      <c r="AI6127" s="1"/>
      <c r="AJ6127" s="1"/>
      <c r="AK6127" s="1"/>
      <c r="AL6127" s="1"/>
      <c r="AM6127" s="1"/>
    </row>
    <row r="6128" spans="16:39" x14ac:dyDescent="0.25">
      <c r="P6128" s="49"/>
      <c r="Q6128" s="1"/>
      <c r="S6128" s="1"/>
      <c r="T6128" s="1"/>
      <c r="U6128" s="1"/>
      <c r="V6128" s="1"/>
      <c r="W6128" s="1"/>
      <c r="X6128" s="1"/>
      <c r="Y6128" s="1"/>
      <c r="AB6128" s="1"/>
      <c r="AC6128" s="1"/>
      <c r="AD6128" s="1"/>
      <c r="AE6128" s="1"/>
      <c r="AF6128" s="1"/>
      <c r="AG6128" s="1"/>
      <c r="AH6128" s="1"/>
      <c r="AI6128" s="1"/>
      <c r="AJ6128" s="1"/>
      <c r="AK6128" s="1"/>
      <c r="AL6128" s="1"/>
      <c r="AM6128" s="1"/>
    </row>
    <row r="6129" spans="16:39" x14ac:dyDescent="0.25">
      <c r="P6129" s="49"/>
      <c r="Q6129" s="1"/>
      <c r="S6129" s="1"/>
      <c r="T6129" s="1"/>
      <c r="U6129" s="1"/>
      <c r="V6129" s="1"/>
      <c r="W6129" s="1"/>
      <c r="X6129" s="1"/>
      <c r="Y6129" s="1"/>
      <c r="AB6129" s="1"/>
      <c r="AC6129" s="1"/>
      <c r="AD6129" s="1"/>
      <c r="AE6129" s="1"/>
      <c r="AF6129" s="1"/>
      <c r="AG6129" s="1"/>
      <c r="AH6129" s="1"/>
      <c r="AI6129" s="1"/>
      <c r="AJ6129" s="1"/>
      <c r="AK6129" s="1"/>
      <c r="AL6129" s="1"/>
      <c r="AM6129" s="1"/>
    </row>
    <row r="6130" spans="16:39" x14ac:dyDescent="0.25">
      <c r="P6130" s="49"/>
      <c r="Q6130" s="1"/>
      <c r="S6130" s="1"/>
      <c r="T6130" s="1"/>
      <c r="U6130" s="1"/>
      <c r="V6130" s="1"/>
      <c r="W6130" s="1"/>
      <c r="X6130" s="1"/>
      <c r="Y6130" s="1"/>
      <c r="AB6130" s="1"/>
      <c r="AC6130" s="1"/>
      <c r="AD6130" s="1"/>
      <c r="AE6130" s="1"/>
      <c r="AF6130" s="1"/>
      <c r="AG6130" s="1"/>
      <c r="AH6130" s="1"/>
      <c r="AI6130" s="1"/>
      <c r="AJ6130" s="1"/>
      <c r="AK6130" s="1"/>
      <c r="AL6130" s="1"/>
      <c r="AM6130" s="1"/>
    </row>
    <row r="6131" spans="16:39" x14ac:dyDescent="0.25">
      <c r="P6131" s="49"/>
      <c r="Q6131" s="1"/>
      <c r="S6131" s="1"/>
      <c r="T6131" s="1"/>
      <c r="U6131" s="1"/>
      <c r="V6131" s="1"/>
      <c r="W6131" s="1"/>
      <c r="X6131" s="1"/>
      <c r="Y6131" s="1"/>
      <c r="AB6131" s="1"/>
      <c r="AC6131" s="1"/>
      <c r="AD6131" s="1"/>
      <c r="AE6131" s="1"/>
      <c r="AF6131" s="1"/>
      <c r="AG6131" s="1"/>
      <c r="AH6131" s="1"/>
      <c r="AI6131" s="1"/>
      <c r="AJ6131" s="1"/>
      <c r="AK6131" s="1"/>
      <c r="AL6131" s="1"/>
      <c r="AM6131" s="1"/>
    </row>
    <row r="6132" spans="16:39" x14ac:dyDescent="0.25">
      <c r="P6132" s="49"/>
      <c r="Q6132" s="1"/>
      <c r="S6132" s="1"/>
      <c r="T6132" s="1"/>
      <c r="U6132" s="1"/>
      <c r="V6132" s="1"/>
      <c r="W6132" s="1"/>
      <c r="X6132" s="1"/>
      <c r="Y6132" s="1"/>
      <c r="AB6132" s="1"/>
      <c r="AC6132" s="1"/>
      <c r="AD6132" s="1"/>
      <c r="AE6132" s="1"/>
      <c r="AF6132" s="1"/>
      <c r="AG6132" s="1"/>
      <c r="AH6132" s="1"/>
      <c r="AI6132" s="1"/>
      <c r="AJ6132" s="1"/>
      <c r="AK6132" s="1"/>
      <c r="AL6132" s="1"/>
      <c r="AM6132" s="1"/>
    </row>
    <row r="6133" spans="16:39" x14ac:dyDescent="0.25">
      <c r="P6133" s="49"/>
      <c r="Q6133" s="1"/>
      <c r="S6133" s="1"/>
      <c r="T6133" s="1"/>
      <c r="U6133" s="1"/>
      <c r="V6133" s="1"/>
      <c r="W6133" s="1"/>
      <c r="X6133" s="1"/>
      <c r="Y6133" s="1"/>
      <c r="AB6133" s="1"/>
      <c r="AC6133" s="1"/>
      <c r="AD6133" s="1"/>
      <c r="AE6133" s="1"/>
      <c r="AF6133" s="1"/>
      <c r="AG6133" s="1"/>
      <c r="AH6133" s="1"/>
      <c r="AI6133" s="1"/>
      <c r="AJ6133" s="1"/>
      <c r="AK6133" s="1"/>
      <c r="AL6133" s="1"/>
      <c r="AM6133" s="1"/>
    </row>
    <row r="6134" spans="16:39" x14ac:dyDescent="0.25">
      <c r="P6134" s="49"/>
      <c r="Q6134" s="1"/>
      <c r="S6134" s="1"/>
      <c r="T6134" s="1"/>
      <c r="U6134" s="1"/>
      <c r="V6134" s="1"/>
      <c r="W6134" s="1"/>
      <c r="X6134" s="1"/>
      <c r="Y6134" s="1"/>
      <c r="AB6134" s="1"/>
      <c r="AC6134" s="1"/>
      <c r="AD6134" s="1"/>
      <c r="AE6134" s="1"/>
      <c r="AF6134" s="1"/>
      <c r="AG6134" s="1"/>
      <c r="AH6134" s="1"/>
      <c r="AI6134" s="1"/>
      <c r="AJ6134" s="1"/>
      <c r="AK6134" s="1"/>
      <c r="AL6134" s="1"/>
      <c r="AM6134" s="1"/>
    </row>
    <row r="6135" spans="16:39" x14ac:dyDescent="0.25">
      <c r="P6135" s="49"/>
      <c r="Q6135" s="1"/>
      <c r="S6135" s="1"/>
      <c r="T6135" s="1"/>
      <c r="U6135" s="1"/>
      <c r="V6135" s="1"/>
      <c r="W6135" s="1"/>
      <c r="X6135" s="1"/>
      <c r="Y6135" s="1"/>
      <c r="AB6135" s="1"/>
      <c r="AC6135" s="1"/>
      <c r="AD6135" s="1"/>
      <c r="AE6135" s="1"/>
      <c r="AF6135" s="1"/>
      <c r="AG6135" s="1"/>
      <c r="AH6135" s="1"/>
      <c r="AI6135" s="1"/>
      <c r="AJ6135" s="1"/>
      <c r="AK6135" s="1"/>
      <c r="AL6135" s="1"/>
      <c r="AM6135" s="1"/>
    </row>
    <row r="6136" spans="16:39" x14ac:dyDescent="0.25">
      <c r="P6136" s="49"/>
      <c r="Q6136" s="1"/>
      <c r="S6136" s="1"/>
      <c r="T6136" s="1"/>
      <c r="U6136" s="1"/>
      <c r="V6136" s="1"/>
      <c r="W6136" s="1"/>
      <c r="X6136" s="1"/>
      <c r="Y6136" s="1"/>
      <c r="AB6136" s="1"/>
      <c r="AC6136" s="1"/>
      <c r="AD6136" s="1"/>
      <c r="AE6136" s="1"/>
      <c r="AF6136" s="1"/>
      <c r="AG6136" s="1"/>
      <c r="AH6136" s="1"/>
      <c r="AI6136" s="1"/>
      <c r="AJ6136" s="1"/>
      <c r="AK6136" s="1"/>
      <c r="AL6136" s="1"/>
      <c r="AM6136" s="1"/>
    </row>
    <row r="6137" spans="16:39" x14ac:dyDescent="0.25">
      <c r="P6137" s="49"/>
      <c r="Q6137" s="1"/>
      <c r="S6137" s="1"/>
      <c r="T6137" s="1"/>
      <c r="U6137" s="1"/>
      <c r="V6137" s="1"/>
      <c r="W6137" s="1"/>
      <c r="X6137" s="1"/>
      <c r="Y6137" s="1"/>
      <c r="AB6137" s="1"/>
      <c r="AC6137" s="1"/>
      <c r="AD6137" s="1"/>
      <c r="AE6137" s="1"/>
      <c r="AF6137" s="1"/>
      <c r="AG6137" s="1"/>
      <c r="AH6137" s="1"/>
      <c r="AI6137" s="1"/>
      <c r="AJ6137" s="1"/>
      <c r="AK6137" s="1"/>
      <c r="AL6137" s="1"/>
      <c r="AM6137" s="1"/>
    </row>
    <row r="6138" spans="16:39" x14ac:dyDescent="0.25">
      <c r="P6138" s="49"/>
      <c r="Q6138" s="1"/>
      <c r="S6138" s="1"/>
      <c r="T6138" s="1"/>
      <c r="U6138" s="1"/>
      <c r="V6138" s="1"/>
      <c r="W6138" s="1"/>
      <c r="X6138" s="1"/>
      <c r="Y6138" s="1"/>
      <c r="AB6138" s="1"/>
      <c r="AC6138" s="1"/>
      <c r="AD6138" s="1"/>
      <c r="AE6138" s="1"/>
      <c r="AF6138" s="1"/>
      <c r="AG6138" s="1"/>
      <c r="AH6138" s="1"/>
      <c r="AI6138" s="1"/>
      <c r="AJ6138" s="1"/>
      <c r="AK6138" s="1"/>
      <c r="AL6138" s="1"/>
      <c r="AM6138" s="1"/>
    </row>
    <row r="6139" spans="16:39" x14ac:dyDescent="0.25">
      <c r="P6139" s="49"/>
      <c r="Q6139" s="1"/>
      <c r="S6139" s="1"/>
      <c r="T6139" s="1"/>
      <c r="U6139" s="1"/>
      <c r="V6139" s="1"/>
      <c r="W6139" s="1"/>
      <c r="X6139" s="1"/>
      <c r="Y6139" s="1"/>
      <c r="AB6139" s="1"/>
      <c r="AC6139" s="1"/>
      <c r="AD6139" s="1"/>
      <c r="AE6139" s="1"/>
      <c r="AF6139" s="1"/>
      <c r="AG6139" s="1"/>
      <c r="AH6139" s="1"/>
      <c r="AI6139" s="1"/>
      <c r="AJ6139" s="1"/>
      <c r="AK6139" s="1"/>
      <c r="AL6139" s="1"/>
      <c r="AM6139" s="1"/>
    </row>
    <row r="6140" spans="16:39" x14ac:dyDescent="0.25">
      <c r="P6140" s="49"/>
      <c r="Q6140" s="1"/>
      <c r="S6140" s="1"/>
      <c r="T6140" s="1"/>
      <c r="U6140" s="1"/>
      <c r="V6140" s="1"/>
      <c r="W6140" s="1"/>
      <c r="X6140" s="1"/>
      <c r="Y6140" s="1"/>
      <c r="AB6140" s="1"/>
      <c r="AC6140" s="1"/>
      <c r="AD6140" s="1"/>
      <c r="AE6140" s="1"/>
      <c r="AF6140" s="1"/>
      <c r="AG6140" s="1"/>
      <c r="AH6140" s="1"/>
      <c r="AI6140" s="1"/>
      <c r="AJ6140" s="1"/>
      <c r="AK6140" s="1"/>
      <c r="AL6140" s="1"/>
      <c r="AM6140" s="1"/>
    </row>
    <row r="6141" spans="16:39" x14ac:dyDescent="0.25">
      <c r="P6141" s="49"/>
      <c r="Q6141" s="1"/>
      <c r="S6141" s="1"/>
      <c r="T6141" s="1"/>
      <c r="U6141" s="1"/>
      <c r="V6141" s="1"/>
      <c r="W6141" s="1"/>
      <c r="X6141" s="1"/>
      <c r="Y6141" s="1"/>
      <c r="AB6141" s="1"/>
      <c r="AC6141" s="1"/>
      <c r="AD6141" s="1"/>
      <c r="AE6141" s="1"/>
      <c r="AF6141" s="1"/>
      <c r="AG6141" s="1"/>
      <c r="AH6141" s="1"/>
      <c r="AI6141" s="1"/>
      <c r="AJ6141" s="1"/>
      <c r="AK6141" s="1"/>
      <c r="AL6141" s="1"/>
      <c r="AM6141" s="1"/>
    </row>
    <row r="6142" spans="16:39" x14ac:dyDescent="0.25">
      <c r="P6142" s="49"/>
      <c r="Q6142" s="1"/>
      <c r="S6142" s="1"/>
      <c r="T6142" s="1"/>
      <c r="U6142" s="1"/>
      <c r="V6142" s="1"/>
      <c r="W6142" s="1"/>
      <c r="X6142" s="1"/>
      <c r="Y6142" s="1"/>
      <c r="AB6142" s="1"/>
      <c r="AC6142" s="1"/>
      <c r="AD6142" s="1"/>
      <c r="AE6142" s="1"/>
      <c r="AF6142" s="1"/>
      <c r="AG6142" s="1"/>
      <c r="AH6142" s="1"/>
      <c r="AI6142" s="1"/>
      <c r="AJ6142" s="1"/>
      <c r="AK6142" s="1"/>
      <c r="AL6142" s="1"/>
      <c r="AM6142" s="1"/>
    </row>
    <row r="6143" spans="16:39" x14ac:dyDescent="0.25">
      <c r="P6143" s="49"/>
      <c r="Q6143" s="1"/>
      <c r="S6143" s="1"/>
      <c r="T6143" s="1"/>
      <c r="U6143" s="1"/>
      <c r="V6143" s="1"/>
      <c r="W6143" s="1"/>
      <c r="X6143" s="1"/>
      <c r="Y6143" s="1"/>
      <c r="AB6143" s="1"/>
      <c r="AC6143" s="1"/>
      <c r="AD6143" s="1"/>
      <c r="AE6143" s="1"/>
      <c r="AF6143" s="1"/>
      <c r="AG6143" s="1"/>
      <c r="AH6143" s="1"/>
      <c r="AI6143" s="1"/>
      <c r="AJ6143" s="1"/>
      <c r="AK6143" s="1"/>
      <c r="AL6143" s="1"/>
      <c r="AM6143" s="1"/>
    </row>
    <row r="6144" spans="16:39" x14ac:dyDescent="0.25">
      <c r="P6144" s="49"/>
      <c r="Q6144" s="1"/>
      <c r="S6144" s="1"/>
      <c r="T6144" s="1"/>
      <c r="U6144" s="1"/>
      <c r="V6144" s="1"/>
      <c r="W6144" s="1"/>
      <c r="X6144" s="1"/>
      <c r="Y6144" s="1"/>
      <c r="AB6144" s="1"/>
      <c r="AC6144" s="1"/>
      <c r="AD6144" s="1"/>
      <c r="AE6144" s="1"/>
      <c r="AF6144" s="1"/>
      <c r="AG6144" s="1"/>
      <c r="AH6144" s="1"/>
      <c r="AI6144" s="1"/>
      <c r="AJ6144" s="1"/>
      <c r="AK6144" s="1"/>
      <c r="AL6144" s="1"/>
      <c r="AM6144" s="1"/>
    </row>
    <row r="6145" spans="16:39" x14ac:dyDescent="0.25">
      <c r="P6145" s="49"/>
      <c r="Q6145" s="1"/>
      <c r="S6145" s="1"/>
      <c r="T6145" s="1"/>
      <c r="U6145" s="1"/>
      <c r="V6145" s="1"/>
      <c r="W6145" s="1"/>
      <c r="X6145" s="1"/>
      <c r="Y6145" s="1"/>
      <c r="AB6145" s="1"/>
      <c r="AC6145" s="1"/>
      <c r="AD6145" s="1"/>
      <c r="AE6145" s="1"/>
      <c r="AF6145" s="1"/>
      <c r="AG6145" s="1"/>
      <c r="AH6145" s="1"/>
      <c r="AI6145" s="1"/>
      <c r="AJ6145" s="1"/>
      <c r="AK6145" s="1"/>
      <c r="AL6145" s="1"/>
      <c r="AM6145" s="1"/>
    </row>
    <row r="6146" spans="16:39" x14ac:dyDescent="0.25">
      <c r="P6146" s="49"/>
      <c r="Q6146" s="1"/>
      <c r="S6146" s="1"/>
      <c r="T6146" s="1"/>
      <c r="U6146" s="1"/>
      <c r="V6146" s="1"/>
      <c r="W6146" s="1"/>
      <c r="X6146" s="1"/>
      <c r="Y6146" s="1"/>
      <c r="AB6146" s="1"/>
      <c r="AC6146" s="1"/>
      <c r="AD6146" s="1"/>
      <c r="AE6146" s="1"/>
      <c r="AF6146" s="1"/>
      <c r="AG6146" s="1"/>
      <c r="AH6146" s="1"/>
      <c r="AI6146" s="1"/>
      <c r="AJ6146" s="1"/>
      <c r="AK6146" s="1"/>
      <c r="AL6146" s="1"/>
      <c r="AM6146" s="1"/>
    </row>
    <row r="6147" spans="16:39" x14ac:dyDescent="0.25">
      <c r="P6147" s="49"/>
      <c r="Q6147" s="1"/>
      <c r="S6147" s="1"/>
      <c r="T6147" s="1"/>
      <c r="U6147" s="1"/>
      <c r="V6147" s="1"/>
      <c r="W6147" s="1"/>
      <c r="X6147" s="1"/>
      <c r="Y6147" s="1"/>
      <c r="AB6147" s="1"/>
      <c r="AC6147" s="1"/>
      <c r="AD6147" s="1"/>
      <c r="AE6147" s="1"/>
      <c r="AF6147" s="1"/>
      <c r="AG6147" s="1"/>
      <c r="AH6147" s="1"/>
      <c r="AI6147" s="1"/>
      <c r="AJ6147" s="1"/>
      <c r="AK6147" s="1"/>
      <c r="AL6147" s="1"/>
      <c r="AM6147" s="1"/>
    </row>
    <row r="6148" spans="16:39" x14ac:dyDescent="0.25">
      <c r="P6148" s="49"/>
      <c r="Q6148" s="1"/>
      <c r="S6148" s="1"/>
      <c r="T6148" s="1"/>
      <c r="U6148" s="1"/>
      <c r="V6148" s="1"/>
      <c r="W6148" s="1"/>
      <c r="X6148" s="1"/>
      <c r="Y6148" s="1"/>
      <c r="AB6148" s="1"/>
      <c r="AC6148" s="1"/>
      <c r="AD6148" s="1"/>
      <c r="AE6148" s="1"/>
      <c r="AF6148" s="1"/>
      <c r="AG6148" s="1"/>
      <c r="AH6148" s="1"/>
      <c r="AI6148" s="1"/>
      <c r="AJ6148" s="1"/>
      <c r="AK6148" s="1"/>
      <c r="AL6148" s="1"/>
      <c r="AM6148" s="1"/>
    </row>
    <row r="6149" spans="16:39" x14ac:dyDescent="0.25">
      <c r="P6149" s="49"/>
      <c r="Q6149" s="1"/>
      <c r="S6149" s="1"/>
      <c r="T6149" s="1"/>
      <c r="U6149" s="1"/>
      <c r="V6149" s="1"/>
      <c r="W6149" s="1"/>
      <c r="X6149" s="1"/>
      <c r="Y6149" s="1"/>
      <c r="AB6149" s="1"/>
      <c r="AC6149" s="1"/>
      <c r="AD6149" s="1"/>
      <c r="AE6149" s="1"/>
      <c r="AF6149" s="1"/>
      <c r="AG6149" s="1"/>
      <c r="AH6149" s="1"/>
      <c r="AI6149" s="1"/>
      <c r="AJ6149" s="1"/>
      <c r="AK6149" s="1"/>
      <c r="AL6149" s="1"/>
      <c r="AM6149" s="1"/>
    </row>
    <row r="6150" spans="16:39" x14ac:dyDescent="0.25">
      <c r="P6150" s="49"/>
      <c r="Q6150" s="1"/>
      <c r="S6150" s="1"/>
      <c r="T6150" s="1"/>
      <c r="U6150" s="1"/>
      <c r="V6150" s="1"/>
      <c r="W6150" s="1"/>
      <c r="X6150" s="1"/>
      <c r="Y6150" s="1"/>
      <c r="AB6150" s="1"/>
      <c r="AC6150" s="1"/>
      <c r="AD6150" s="1"/>
      <c r="AE6150" s="1"/>
      <c r="AF6150" s="1"/>
      <c r="AG6150" s="1"/>
      <c r="AH6150" s="1"/>
      <c r="AI6150" s="1"/>
      <c r="AJ6150" s="1"/>
      <c r="AK6150" s="1"/>
      <c r="AL6150" s="1"/>
      <c r="AM6150" s="1"/>
    </row>
    <row r="6151" spans="16:39" x14ac:dyDescent="0.25">
      <c r="P6151" s="49"/>
      <c r="Q6151" s="1"/>
      <c r="S6151" s="1"/>
      <c r="T6151" s="1"/>
      <c r="U6151" s="1"/>
      <c r="V6151" s="1"/>
      <c r="W6151" s="1"/>
      <c r="X6151" s="1"/>
      <c r="Y6151" s="1"/>
      <c r="AB6151" s="1"/>
      <c r="AC6151" s="1"/>
      <c r="AD6151" s="1"/>
      <c r="AE6151" s="1"/>
      <c r="AF6151" s="1"/>
      <c r="AG6151" s="1"/>
      <c r="AH6151" s="1"/>
      <c r="AI6151" s="1"/>
      <c r="AJ6151" s="1"/>
      <c r="AK6151" s="1"/>
      <c r="AL6151" s="1"/>
      <c r="AM6151" s="1"/>
    </row>
    <row r="6152" spans="16:39" x14ac:dyDescent="0.25">
      <c r="P6152" s="49"/>
      <c r="Q6152" s="1"/>
      <c r="S6152" s="1"/>
      <c r="T6152" s="1"/>
      <c r="U6152" s="1"/>
      <c r="V6152" s="1"/>
      <c r="W6152" s="1"/>
      <c r="X6152" s="1"/>
      <c r="Y6152" s="1"/>
      <c r="AB6152" s="1"/>
      <c r="AC6152" s="1"/>
      <c r="AD6152" s="1"/>
      <c r="AE6152" s="1"/>
      <c r="AF6152" s="1"/>
      <c r="AG6152" s="1"/>
      <c r="AH6152" s="1"/>
      <c r="AI6152" s="1"/>
      <c r="AJ6152" s="1"/>
      <c r="AK6152" s="1"/>
      <c r="AL6152" s="1"/>
      <c r="AM6152" s="1"/>
    </row>
    <row r="6153" spans="16:39" x14ac:dyDescent="0.25">
      <c r="P6153" s="49"/>
      <c r="Q6153" s="1"/>
      <c r="S6153" s="1"/>
      <c r="T6153" s="1"/>
      <c r="U6153" s="1"/>
      <c r="V6153" s="1"/>
      <c r="W6153" s="1"/>
      <c r="X6153" s="1"/>
      <c r="Y6153" s="1"/>
      <c r="AB6153" s="1"/>
      <c r="AC6153" s="1"/>
      <c r="AD6153" s="1"/>
      <c r="AE6153" s="1"/>
      <c r="AF6153" s="1"/>
      <c r="AG6153" s="1"/>
      <c r="AH6153" s="1"/>
      <c r="AI6153" s="1"/>
      <c r="AJ6153" s="1"/>
      <c r="AK6153" s="1"/>
      <c r="AL6153" s="1"/>
      <c r="AM6153" s="1"/>
    </row>
    <row r="6154" spans="16:39" x14ac:dyDescent="0.25">
      <c r="P6154" s="49"/>
      <c r="Q6154" s="1"/>
      <c r="S6154" s="1"/>
      <c r="T6154" s="1"/>
      <c r="U6154" s="1"/>
      <c r="V6154" s="1"/>
      <c r="W6154" s="1"/>
      <c r="X6154" s="1"/>
      <c r="Y6154" s="1"/>
      <c r="AB6154" s="1"/>
      <c r="AC6154" s="1"/>
      <c r="AD6154" s="1"/>
      <c r="AE6154" s="1"/>
      <c r="AF6154" s="1"/>
      <c r="AG6154" s="1"/>
      <c r="AH6154" s="1"/>
      <c r="AI6154" s="1"/>
      <c r="AJ6154" s="1"/>
      <c r="AK6154" s="1"/>
      <c r="AL6154" s="1"/>
      <c r="AM6154" s="1"/>
    </row>
    <row r="6155" spans="16:39" x14ac:dyDescent="0.25">
      <c r="P6155" s="49"/>
      <c r="Q6155" s="1"/>
      <c r="S6155" s="1"/>
      <c r="T6155" s="1"/>
      <c r="U6155" s="1"/>
      <c r="V6155" s="1"/>
      <c r="W6155" s="1"/>
      <c r="X6155" s="1"/>
      <c r="Y6155" s="1"/>
      <c r="AB6155" s="1"/>
      <c r="AC6155" s="1"/>
      <c r="AD6155" s="1"/>
      <c r="AE6155" s="1"/>
      <c r="AF6155" s="1"/>
      <c r="AG6155" s="1"/>
      <c r="AH6155" s="1"/>
      <c r="AI6155" s="1"/>
      <c r="AJ6155" s="1"/>
      <c r="AK6155" s="1"/>
      <c r="AL6155" s="1"/>
      <c r="AM6155" s="1"/>
    </row>
    <row r="6156" spans="16:39" x14ac:dyDescent="0.25">
      <c r="P6156" s="49"/>
      <c r="Q6156" s="1"/>
      <c r="S6156" s="1"/>
      <c r="T6156" s="1"/>
      <c r="U6156" s="1"/>
      <c r="V6156" s="1"/>
      <c r="W6156" s="1"/>
      <c r="X6156" s="1"/>
      <c r="Y6156" s="1"/>
      <c r="AB6156" s="1"/>
      <c r="AC6156" s="1"/>
      <c r="AD6156" s="1"/>
      <c r="AE6156" s="1"/>
      <c r="AF6156" s="1"/>
      <c r="AG6156" s="1"/>
      <c r="AH6156" s="1"/>
      <c r="AI6156" s="1"/>
      <c r="AJ6156" s="1"/>
      <c r="AK6156" s="1"/>
      <c r="AL6156" s="1"/>
      <c r="AM6156" s="1"/>
    </row>
    <row r="6157" spans="16:39" x14ac:dyDescent="0.25">
      <c r="P6157" s="49"/>
      <c r="Q6157" s="1"/>
      <c r="S6157" s="1"/>
      <c r="T6157" s="1"/>
      <c r="U6157" s="1"/>
      <c r="V6157" s="1"/>
      <c r="W6157" s="1"/>
      <c r="X6157" s="1"/>
      <c r="Y6157" s="1"/>
      <c r="AB6157" s="1"/>
      <c r="AC6157" s="1"/>
      <c r="AD6157" s="1"/>
      <c r="AE6157" s="1"/>
      <c r="AF6157" s="1"/>
      <c r="AG6157" s="1"/>
      <c r="AH6157" s="1"/>
      <c r="AI6157" s="1"/>
      <c r="AJ6157" s="1"/>
      <c r="AK6157" s="1"/>
      <c r="AL6157" s="1"/>
      <c r="AM6157" s="1"/>
    </row>
    <row r="6158" spans="16:39" x14ac:dyDescent="0.25">
      <c r="P6158" s="49"/>
      <c r="Q6158" s="1"/>
      <c r="S6158" s="1"/>
      <c r="T6158" s="1"/>
      <c r="U6158" s="1"/>
      <c r="V6158" s="1"/>
      <c r="W6158" s="1"/>
      <c r="X6158" s="1"/>
      <c r="Y6158" s="1"/>
      <c r="AB6158" s="1"/>
      <c r="AC6158" s="1"/>
      <c r="AD6158" s="1"/>
      <c r="AE6158" s="1"/>
      <c r="AF6158" s="1"/>
      <c r="AG6158" s="1"/>
      <c r="AH6158" s="1"/>
      <c r="AI6158" s="1"/>
      <c r="AJ6158" s="1"/>
      <c r="AK6158" s="1"/>
      <c r="AL6158" s="1"/>
      <c r="AM6158" s="1"/>
    </row>
    <row r="6159" spans="16:39" x14ac:dyDescent="0.25">
      <c r="P6159" s="49"/>
      <c r="Q6159" s="1"/>
      <c r="S6159" s="1"/>
      <c r="T6159" s="1"/>
      <c r="U6159" s="1"/>
      <c r="V6159" s="1"/>
      <c r="W6159" s="1"/>
      <c r="X6159" s="1"/>
      <c r="Y6159" s="1"/>
      <c r="AB6159" s="1"/>
      <c r="AC6159" s="1"/>
      <c r="AD6159" s="1"/>
      <c r="AE6159" s="1"/>
      <c r="AF6159" s="1"/>
      <c r="AG6159" s="1"/>
      <c r="AH6159" s="1"/>
      <c r="AI6159" s="1"/>
      <c r="AJ6159" s="1"/>
      <c r="AK6159" s="1"/>
      <c r="AL6159" s="1"/>
      <c r="AM6159" s="1"/>
    </row>
    <row r="6160" spans="16:39" x14ac:dyDescent="0.25">
      <c r="P6160" s="49"/>
      <c r="Q6160" s="1"/>
      <c r="S6160" s="1"/>
      <c r="T6160" s="1"/>
      <c r="U6160" s="1"/>
      <c r="V6160" s="1"/>
      <c r="W6160" s="1"/>
      <c r="X6160" s="1"/>
      <c r="Y6160" s="1"/>
      <c r="AB6160" s="1"/>
      <c r="AC6160" s="1"/>
      <c r="AD6160" s="1"/>
      <c r="AE6160" s="1"/>
      <c r="AF6160" s="1"/>
      <c r="AG6160" s="1"/>
      <c r="AH6160" s="1"/>
      <c r="AI6160" s="1"/>
      <c r="AJ6160" s="1"/>
      <c r="AK6160" s="1"/>
      <c r="AL6160" s="1"/>
      <c r="AM6160" s="1"/>
    </row>
    <row r="6161" spans="16:39" x14ac:dyDescent="0.25">
      <c r="P6161" s="49"/>
      <c r="Q6161" s="1"/>
      <c r="S6161" s="1"/>
      <c r="T6161" s="1"/>
      <c r="U6161" s="1"/>
      <c r="V6161" s="1"/>
      <c r="W6161" s="1"/>
      <c r="X6161" s="1"/>
      <c r="Y6161" s="1"/>
      <c r="AB6161" s="1"/>
      <c r="AC6161" s="1"/>
      <c r="AD6161" s="1"/>
      <c r="AE6161" s="1"/>
      <c r="AF6161" s="1"/>
      <c r="AG6161" s="1"/>
      <c r="AH6161" s="1"/>
      <c r="AI6161" s="1"/>
      <c r="AJ6161" s="1"/>
      <c r="AK6161" s="1"/>
      <c r="AL6161" s="1"/>
      <c r="AM6161" s="1"/>
    </row>
    <row r="6162" spans="16:39" x14ac:dyDescent="0.25">
      <c r="P6162" s="49"/>
      <c r="Q6162" s="1"/>
      <c r="S6162" s="1"/>
      <c r="T6162" s="1"/>
      <c r="U6162" s="1"/>
      <c r="V6162" s="1"/>
      <c r="W6162" s="1"/>
      <c r="X6162" s="1"/>
      <c r="Y6162" s="1"/>
      <c r="AB6162" s="1"/>
      <c r="AC6162" s="1"/>
      <c r="AD6162" s="1"/>
      <c r="AE6162" s="1"/>
      <c r="AF6162" s="1"/>
      <c r="AG6162" s="1"/>
      <c r="AH6162" s="1"/>
      <c r="AI6162" s="1"/>
      <c r="AJ6162" s="1"/>
      <c r="AK6162" s="1"/>
      <c r="AL6162" s="1"/>
      <c r="AM6162" s="1"/>
    </row>
    <row r="6163" spans="16:39" x14ac:dyDescent="0.25">
      <c r="P6163" s="49"/>
      <c r="Q6163" s="1"/>
      <c r="S6163" s="1"/>
      <c r="T6163" s="1"/>
      <c r="U6163" s="1"/>
      <c r="V6163" s="1"/>
      <c r="W6163" s="1"/>
      <c r="X6163" s="1"/>
      <c r="Y6163" s="1"/>
      <c r="AB6163" s="1"/>
      <c r="AC6163" s="1"/>
      <c r="AD6163" s="1"/>
      <c r="AE6163" s="1"/>
      <c r="AF6163" s="1"/>
      <c r="AG6163" s="1"/>
      <c r="AH6163" s="1"/>
      <c r="AI6163" s="1"/>
      <c r="AJ6163" s="1"/>
      <c r="AK6163" s="1"/>
      <c r="AL6163" s="1"/>
      <c r="AM6163" s="1"/>
    </row>
    <row r="6164" spans="16:39" x14ac:dyDescent="0.25">
      <c r="P6164" s="49"/>
      <c r="Q6164" s="1"/>
      <c r="S6164" s="1"/>
      <c r="T6164" s="1"/>
      <c r="U6164" s="1"/>
      <c r="V6164" s="1"/>
      <c r="W6164" s="1"/>
      <c r="X6164" s="1"/>
      <c r="Y6164" s="1"/>
      <c r="AB6164" s="1"/>
      <c r="AC6164" s="1"/>
      <c r="AD6164" s="1"/>
      <c r="AE6164" s="1"/>
      <c r="AF6164" s="1"/>
      <c r="AG6164" s="1"/>
      <c r="AH6164" s="1"/>
      <c r="AI6164" s="1"/>
      <c r="AJ6164" s="1"/>
      <c r="AK6164" s="1"/>
      <c r="AL6164" s="1"/>
      <c r="AM6164" s="1"/>
    </row>
    <row r="6165" spans="16:39" x14ac:dyDescent="0.25">
      <c r="P6165" s="49"/>
      <c r="Q6165" s="1"/>
      <c r="S6165" s="1"/>
      <c r="T6165" s="1"/>
      <c r="U6165" s="1"/>
      <c r="V6165" s="1"/>
      <c r="W6165" s="1"/>
      <c r="X6165" s="1"/>
      <c r="Y6165" s="1"/>
      <c r="AB6165" s="1"/>
      <c r="AC6165" s="1"/>
      <c r="AD6165" s="1"/>
      <c r="AE6165" s="1"/>
      <c r="AF6165" s="1"/>
      <c r="AG6165" s="1"/>
      <c r="AH6165" s="1"/>
      <c r="AI6165" s="1"/>
      <c r="AJ6165" s="1"/>
      <c r="AK6165" s="1"/>
      <c r="AL6165" s="1"/>
      <c r="AM6165" s="1"/>
    </row>
    <row r="6166" spans="16:39" x14ac:dyDescent="0.25">
      <c r="P6166" s="49"/>
      <c r="Q6166" s="1"/>
      <c r="S6166" s="1"/>
      <c r="T6166" s="1"/>
      <c r="U6166" s="1"/>
      <c r="V6166" s="1"/>
      <c r="W6166" s="1"/>
      <c r="X6166" s="1"/>
      <c r="Y6166" s="1"/>
      <c r="AB6166" s="1"/>
      <c r="AC6166" s="1"/>
      <c r="AD6166" s="1"/>
      <c r="AE6166" s="1"/>
      <c r="AF6166" s="1"/>
      <c r="AG6166" s="1"/>
      <c r="AH6166" s="1"/>
      <c r="AI6166" s="1"/>
      <c r="AJ6166" s="1"/>
      <c r="AK6166" s="1"/>
      <c r="AL6166" s="1"/>
      <c r="AM6166" s="1"/>
    </row>
    <row r="6167" spans="16:39" x14ac:dyDescent="0.25">
      <c r="P6167" s="49"/>
      <c r="Q6167" s="1"/>
      <c r="S6167" s="1"/>
      <c r="T6167" s="1"/>
      <c r="U6167" s="1"/>
      <c r="V6167" s="1"/>
      <c r="W6167" s="1"/>
      <c r="X6167" s="1"/>
      <c r="Y6167" s="1"/>
      <c r="AB6167" s="1"/>
      <c r="AC6167" s="1"/>
      <c r="AD6167" s="1"/>
      <c r="AE6167" s="1"/>
      <c r="AF6167" s="1"/>
      <c r="AG6167" s="1"/>
      <c r="AH6167" s="1"/>
      <c r="AI6167" s="1"/>
      <c r="AJ6167" s="1"/>
      <c r="AK6167" s="1"/>
      <c r="AL6167" s="1"/>
      <c r="AM6167" s="1"/>
    </row>
    <row r="6168" spans="16:39" x14ac:dyDescent="0.25">
      <c r="P6168" s="49"/>
      <c r="Q6168" s="1"/>
      <c r="S6168" s="1"/>
      <c r="T6168" s="1"/>
      <c r="U6168" s="1"/>
      <c r="V6168" s="1"/>
      <c r="W6168" s="1"/>
      <c r="X6168" s="1"/>
      <c r="Y6168" s="1"/>
      <c r="AB6168" s="1"/>
      <c r="AC6168" s="1"/>
      <c r="AD6168" s="1"/>
      <c r="AE6168" s="1"/>
      <c r="AF6168" s="1"/>
      <c r="AG6168" s="1"/>
      <c r="AH6168" s="1"/>
      <c r="AI6168" s="1"/>
      <c r="AJ6168" s="1"/>
      <c r="AK6168" s="1"/>
      <c r="AL6168" s="1"/>
      <c r="AM6168" s="1"/>
    </row>
    <row r="6169" spans="16:39" x14ac:dyDescent="0.25">
      <c r="P6169" s="49"/>
      <c r="Q6169" s="1"/>
      <c r="S6169" s="1"/>
      <c r="T6169" s="1"/>
      <c r="U6169" s="1"/>
      <c r="V6169" s="1"/>
      <c r="W6169" s="1"/>
      <c r="X6169" s="1"/>
      <c r="Y6169" s="1"/>
      <c r="AB6169" s="1"/>
      <c r="AC6169" s="1"/>
      <c r="AD6169" s="1"/>
      <c r="AE6169" s="1"/>
      <c r="AF6169" s="1"/>
      <c r="AG6169" s="1"/>
      <c r="AH6169" s="1"/>
      <c r="AI6169" s="1"/>
      <c r="AJ6169" s="1"/>
      <c r="AK6169" s="1"/>
      <c r="AL6169" s="1"/>
      <c r="AM6169" s="1"/>
    </row>
    <row r="6170" spans="16:39" x14ac:dyDescent="0.25">
      <c r="P6170" s="49"/>
      <c r="Q6170" s="1"/>
      <c r="S6170" s="1"/>
      <c r="T6170" s="1"/>
      <c r="U6170" s="1"/>
      <c r="V6170" s="1"/>
      <c r="W6170" s="1"/>
      <c r="X6170" s="1"/>
      <c r="Y6170" s="1"/>
      <c r="AB6170" s="1"/>
      <c r="AC6170" s="1"/>
      <c r="AD6170" s="1"/>
      <c r="AE6170" s="1"/>
      <c r="AF6170" s="1"/>
      <c r="AG6170" s="1"/>
      <c r="AH6170" s="1"/>
      <c r="AI6170" s="1"/>
      <c r="AJ6170" s="1"/>
      <c r="AK6170" s="1"/>
      <c r="AL6170" s="1"/>
      <c r="AM6170" s="1"/>
    </row>
    <row r="6171" spans="16:39" x14ac:dyDescent="0.25">
      <c r="P6171" s="49"/>
      <c r="Q6171" s="1"/>
      <c r="S6171" s="1"/>
      <c r="T6171" s="1"/>
      <c r="U6171" s="1"/>
      <c r="V6171" s="1"/>
      <c r="W6171" s="1"/>
      <c r="X6171" s="1"/>
      <c r="Y6171" s="1"/>
      <c r="AB6171" s="1"/>
      <c r="AC6171" s="1"/>
      <c r="AD6171" s="1"/>
      <c r="AE6171" s="1"/>
      <c r="AF6171" s="1"/>
      <c r="AG6171" s="1"/>
      <c r="AH6171" s="1"/>
      <c r="AI6171" s="1"/>
      <c r="AJ6171" s="1"/>
      <c r="AK6171" s="1"/>
      <c r="AL6171" s="1"/>
      <c r="AM6171" s="1"/>
    </row>
    <row r="6172" spans="16:39" x14ac:dyDescent="0.25">
      <c r="P6172" s="49"/>
      <c r="Q6172" s="1"/>
      <c r="S6172" s="1"/>
      <c r="T6172" s="1"/>
      <c r="U6172" s="1"/>
      <c r="V6172" s="1"/>
      <c r="W6172" s="1"/>
      <c r="X6172" s="1"/>
      <c r="Y6172" s="1"/>
      <c r="AB6172" s="1"/>
      <c r="AC6172" s="1"/>
      <c r="AD6172" s="1"/>
      <c r="AE6172" s="1"/>
      <c r="AF6172" s="1"/>
      <c r="AG6172" s="1"/>
      <c r="AH6172" s="1"/>
      <c r="AI6172" s="1"/>
      <c r="AJ6172" s="1"/>
      <c r="AK6172" s="1"/>
      <c r="AL6172" s="1"/>
      <c r="AM6172" s="1"/>
    </row>
    <row r="6173" spans="16:39" x14ac:dyDescent="0.25">
      <c r="P6173" s="49"/>
      <c r="Q6173" s="1"/>
      <c r="S6173" s="1"/>
      <c r="T6173" s="1"/>
      <c r="U6173" s="1"/>
      <c r="V6173" s="1"/>
      <c r="W6173" s="1"/>
      <c r="X6173" s="1"/>
      <c r="Y6173" s="1"/>
      <c r="AB6173" s="1"/>
      <c r="AC6173" s="1"/>
      <c r="AD6173" s="1"/>
      <c r="AE6173" s="1"/>
      <c r="AF6173" s="1"/>
      <c r="AG6173" s="1"/>
      <c r="AH6173" s="1"/>
      <c r="AI6173" s="1"/>
      <c r="AJ6173" s="1"/>
      <c r="AK6173" s="1"/>
      <c r="AL6173" s="1"/>
      <c r="AM6173" s="1"/>
    </row>
    <row r="6174" spans="16:39" x14ac:dyDescent="0.25">
      <c r="P6174" s="49"/>
      <c r="Q6174" s="1"/>
      <c r="S6174" s="1"/>
      <c r="T6174" s="1"/>
      <c r="U6174" s="1"/>
      <c r="V6174" s="1"/>
      <c r="W6174" s="1"/>
      <c r="X6174" s="1"/>
      <c r="Y6174" s="1"/>
      <c r="AB6174" s="1"/>
      <c r="AC6174" s="1"/>
      <c r="AD6174" s="1"/>
      <c r="AE6174" s="1"/>
      <c r="AF6174" s="1"/>
      <c r="AG6174" s="1"/>
      <c r="AH6174" s="1"/>
      <c r="AI6174" s="1"/>
      <c r="AJ6174" s="1"/>
      <c r="AK6174" s="1"/>
      <c r="AL6174" s="1"/>
      <c r="AM6174" s="1"/>
    </row>
    <row r="6175" spans="16:39" x14ac:dyDescent="0.25">
      <c r="P6175" s="49"/>
      <c r="Q6175" s="1"/>
      <c r="S6175" s="1"/>
      <c r="T6175" s="1"/>
      <c r="U6175" s="1"/>
      <c r="V6175" s="1"/>
      <c r="W6175" s="1"/>
      <c r="X6175" s="1"/>
      <c r="Y6175" s="1"/>
      <c r="AB6175" s="1"/>
      <c r="AC6175" s="1"/>
      <c r="AD6175" s="1"/>
      <c r="AE6175" s="1"/>
      <c r="AF6175" s="1"/>
      <c r="AG6175" s="1"/>
      <c r="AH6175" s="1"/>
      <c r="AI6175" s="1"/>
      <c r="AJ6175" s="1"/>
      <c r="AK6175" s="1"/>
      <c r="AL6175" s="1"/>
      <c r="AM6175" s="1"/>
    </row>
    <row r="6176" spans="16:39" x14ac:dyDescent="0.25">
      <c r="P6176" s="49"/>
      <c r="Q6176" s="1"/>
      <c r="S6176" s="1"/>
      <c r="T6176" s="1"/>
      <c r="U6176" s="1"/>
      <c r="V6176" s="1"/>
      <c r="W6176" s="1"/>
      <c r="X6176" s="1"/>
      <c r="Y6176" s="1"/>
      <c r="AB6176" s="1"/>
      <c r="AC6176" s="1"/>
      <c r="AD6176" s="1"/>
      <c r="AE6176" s="1"/>
      <c r="AF6176" s="1"/>
      <c r="AG6176" s="1"/>
      <c r="AH6176" s="1"/>
      <c r="AI6176" s="1"/>
      <c r="AJ6176" s="1"/>
      <c r="AK6176" s="1"/>
      <c r="AL6176" s="1"/>
      <c r="AM6176" s="1"/>
    </row>
    <row r="6177" spans="16:39" x14ac:dyDescent="0.25">
      <c r="P6177" s="49"/>
      <c r="Q6177" s="1"/>
      <c r="S6177" s="1"/>
      <c r="T6177" s="1"/>
      <c r="U6177" s="1"/>
      <c r="V6177" s="1"/>
      <c r="W6177" s="1"/>
      <c r="X6177" s="1"/>
      <c r="Y6177" s="1"/>
      <c r="AB6177" s="1"/>
      <c r="AC6177" s="1"/>
      <c r="AD6177" s="1"/>
      <c r="AE6177" s="1"/>
      <c r="AF6177" s="1"/>
      <c r="AG6177" s="1"/>
      <c r="AH6177" s="1"/>
      <c r="AI6177" s="1"/>
      <c r="AJ6177" s="1"/>
      <c r="AK6177" s="1"/>
      <c r="AL6177" s="1"/>
      <c r="AM6177" s="1"/>
    </row>
    <row r="6178" spans="16:39" x14ac:dyDescent="0.25">
      <c r="P6178" s="49"/>
      <c r="Q6178" s="1"/>
      <c r="S6178" s="1"/>
      <c r="T6178" s="1"/>
      <c r="U6178" s="1"/>
      <c r="V6178" s="1"/>
      <c r="W6178" s="1"/>
      <c r="X6178" s="1"/>
      <c r="Y6178" s="1"/>
      <c r="AB6178" s="1"/>
      <c r="AC6178" s="1"/>
      <c r="AD6178" s="1"/>
      <c r="AE6178" s="1"/>
      <c r="AF6178" s="1"/>
      <c r="AG6178" s="1"/>
      <c r="AH6178" s="1"/>
      <c r="AI6178" s="1"/>
      <c r="AJ6178" s="1"/>
      <c r="AK6178" s="1"/>
      <c r="AL6178" s="1"/>
      <c r="AM6178" s="1"/>
    </row>
    <row r="6179" spans="16:39" x14ac:dyDescent="0.25">
      <c r="P6179" s="49"/>
      <c r="Q6179" s="1"/>
      <c r="S6179" s="1"/>
      <c r="T6179" s="1"/>
      <c r="U6179" s="1"/>
      <c r="V6179" s="1"/>
      <c r="W6179" s="1"/>
      <c r="X6179" s="1"/>
      <c r="Y6179" s="1"/>
      <c r="AB6179" s="1"/>
      <c r="AC6179" s="1"/>
      <c r="AD6179" s="1"/>
      <c r="AE6179" s="1"/>
      <c r="AF6179" s="1"/>
      <c r="AG6179" s="1"/>
      <c r="AH6179" s="1"/>
      <c r="AI6179" s="1"/>
      <c r="AJ6179" s="1"/>
      <c r="AK6179" s="1"/>
      <c r="AL6179" s="1"/>
      <c r="AM6179" s="1"/>
    </row>
    <row r="6180" spans="16:39" x14ac:dyDescent="0.25">
      <c r="P6180" s="49"/>
      <c r="Q6180" s="1"/>
      <c r="S6180" s="1"/>
      <c r="T6180" s="1"/>
      <c r="U6180" s="1"/>
      <c r="V6180" s="1"/>
      <c r="W6180" s="1"/>
      <c r="X6180" s="1"/>
      <c r="Y6180" s="1"/>
      <c r="AB6180" s="1"/>
      <c r="AC6180" s="1"/>
      <c r="AD6180" s="1"/>
      <c r="AE6180" s="1"/>
      <c r="AF6180" s="1"/>
      <c r="AG6180" s="1"/>
      <c r="AH6180" s="1"/>
      <c r="AI6180" s="1"/>
      <c r="AJ6180" s="1"/>
      <c r="AK6180" s="1"/>
      <c r="AL6180" s="1"/>
      <c r="AM6180" s="1"/>
    </row>
    <row r="6181" spans="16:39" x14ac:dyDescent="0.25">
      <c r="P6181" s="49"/>
      <c r="Q6181" s="1"/>
      <c r="S6181" s="1"/>
      <c r="T6181" s="1"/>
      <c r="U6181" s="1"/>
      <c r="V6181" s="1"/>
      <c r="W6181" s="1"/>
      <c r="X6181" s="1"/>
      <c r="Y6181" s="1"/>
      <c r="AB6181" s="1"/>
      <c r="AC6181" s="1"/>
      <c r="AD6181" s="1"/>
      <c r="AE6181" s="1"/>
      <c r="AF6181" s="1"/>
      <c r="AG6181" s="1"/>
      <c r="AH6181" s="1"/>
      <c r="AI6181" s="1"/>
      <c r="AJ6181" s="1"/>
      <c r="AK6181" s="1"/>
      <c r="AL6181" s="1"/>
      <c r="AM6181" s="1"/>
    </row>
    <row r="6182" spans="16:39" x14ac:dyDescent="0.25">
      <c r="P6182" s="49"/>
      <c r="Q6182" s="1"/>
      <c r="S6182" s="1"/>
      <c r="T6182" s="1"/>
      <c r="U6182" s="1"/>
      <c r="V6182" s="1"/>
      <c r="W6182" s="1"/>
      <c r="X6182" s="1"/>
      <c r="Y6182" s="1"/>
      <c r="AB6182" s="1"/>
      <c r="AC6182" s="1"/>
      <c r="AD6182" s="1"/>
      <c r="AE6182" s="1"/>
      <c r="AF6182" s="1"/>
      <c r="AG6182" s="1"/>
      <c r="AH6182" s="1"/>
      <c r="AI6182" s="1"/>
      <c r="AJ6182" s="1"/>
      <c r="AK6182" s="1"/>
      <c r="AL6182" s="1"/>
      <c r="AM6182" s="1"/>
    </row>
    <row r="6183" spans="16:39" x14ac:dyDescent="0.25">
      <c r="P6183" s="49"/>
      <c r="Q6183" s="1"/>
      <c r="S6183" s="1"/>
      <c r="T6183" s="1"/>
      <c r="U6183" s="1"/>
      <c r="V6183" s="1"/>
      <c r="W6183" s="1"/>
      <c r="X6183" s="1"/>
      <c r="Y6183" s="1"/>
      <c r="AB6183" s="1"/>
      <c r="AC6183" s="1"/>
      <c r="AD6183" s="1"/>
      <c r="AE6183" s="1"/>
      <c r="AF6183" s="1"/>
      <c r="AG6183" s="1"/>
      <c r="AH6183" s="1"/>
      <c r="AI6183" s="1"/>
      <c r="AJ6183" s="1"/>
      <c r="AK6183" s="1"/>
      <c r="AL6183" s="1"/>
      <c r="AM6183" s="1"/>
    </row>
    <row r="6184" spans="16:39" x14ac:dyDescent="0.25">
      <c r="P6184" s="49"/>
      <c r="Q6184" s="1"/>
      <c r="S6184" s="1"/>
      <c r="T6184" s="1"/>
      <c r="U6184" s="1"/>
      <c r="V6184" s="1"/>
      <c r="W6184" s="1"/>
      <c r="X6184" s="1"/>
      <c r="Y6184" s="1"/>
      <c r="AB6184" s="1"/>
      <c r="AC6184" s="1"/>
      <c r="AD6184" s="1"/>
      <c r="AE6184" s="1"/>
      <c r="AF6184" s="1"/>
      <c r="AG6184" s="1"/>
      <c r="AH6184" s="1"/>
      <c r="AI6184" s="1"/>
      <c r="AJ6184" s="1"/>
      <c r="AK6184" s="1"/>
      <c r="AL6184" s="1"/>
      <c r="AM6184" s="1"/>
    </row>
    <row r="6185" spans="16:39" x14ac:dyDescent="0.25">
      <c r="P6185" s="49"/>
      <c r="Q6185" s="1"/>
      <c r="S6185" s="1"/>
      <c r="T6185" s="1"/>
      <c r="U6185" s="1"/>
      <c r="V6185" s="1"/>
      <c r="W6185" s="1"/>
      <c r="X6185" s="1"/>
      <c r="Y6185" s="1"/>
      <c r="AB6185" s="1"/>
      <c r="AC6185" s="1"/>
      <c r="AD6185" s="1"/>
      <c r="AE6185" s="1"/>
      <c r="AF6185" s="1"/>
      <c r="AG6185" s="1"/>
      <c r="AH6185" s="1"/>
      <c r="AI6185" s="1"/>
      <c r="AJ6185" s="1"/>
      <c r="AK6185" s="1"/>
      <c r="AL6185" s="1"/>
      <c r="AM6185" s="1"/>
    </row>
    <row r="6186" spans="16:39" x14ac:dyDescent="0.25">
      <c r="P6186" s="49"/>
      <c r="Q6186" s="1"/>
      <c r="S6186" s="1"/>
      <c r="T6186" s="1"/>
      <c r="U6186" s="1"/>
      <c r="V6186" s="1"/>
      <c r="W6186" s="1"/>
      <c r="X6186" s="1"/>
      <c r="Y6186" s="1"/>
      <c r="AB6186" s="1"/>
      <c r="AC6186" s="1"/>
      <c r="AD6186" s="1"/>
      <c r="AE6186" s="1"/>
      <c r="AF6186" s="1"/>
      <c r="AG6186" s="1"/>
      <c r="AH6186" s="1"/>
      <c r="AI6186" s="1"/>
      <c r="AJ6186" s="1"/>
      <c r="AK6186" s="1"/>
      <c r="AL6186" s="1"/>
      <c r="AM6186" s="1"/>
    </row>
    <row r="6187" spans="16:39" x14ac:dyDescent="0.25">
      <c r="P6187" s="49"/>
      <c r="Q6187" s="1"/>
      <c r="S6187" s="1"/>
      <c r="T6187" s="1"/>
      <c r="U6187" s="1"/>
      <c r="V6187" s="1"/>
      <c r="W6187" s="1"/>
      <c r="X6187" s="1"/>
      <c r="Y6187" s="1"/>
      <c r="AB6187" s="1"/>
      <c r="AC6187" s="1"/>
      <c r="AD6187" s="1"/>
      <c r="AE6187" s="1"/>
      <c r="AF6187" s="1"/>
      <c r="AG6187" s="1"/>
      <c r="AH6187" s="1"/>
      <c r="AI6187" s="1"/>
      <c r="AJ6187" s="1"/>
      <c r="AK6187" s="1"/>
      <c r="AL6187" s="1"/>
      <c r="AM6187" s="1"/>
    </row>
    <row r="6188" spans="16:39" x14ac:dyDescent="0.25">
      <c r="P6188" s="49"/>
      <c r="Q6188" s="1"/>
      <c r="S6188" s="1"/>
      <c r="T6188" s="1"/>
      <c r="U6188" s="1"/>
      <c r="V6188" s="1"/>
      <c r="W6188" s="1"/>
      <c r="X6188" s="1"/>
      <c r="Y6188" s="1"/>
      <c r="AB6188" s="1"/>
      <c r="AC6188" s="1"/>
      <c r="AD6188" s="1"/>
      <c r="AE6188" s="1"/>
      <c r="AF6188" s="1"/>
      <c r="AG6188" s="1"/>
      <c r="AH6188" s="1"/>
      <c r="AI6188" s="1"/>
      <c r="AJ6188" s="1"/>
      <c r="AK6188" s="1"/>
      <c r="AL6188" s="1"/>
      <c r="AM6188" s="1"/>
    </row>
    <row r="6189" spans="16:39" x14ac:dyDescent="0.25">
      <c r="P6189" s="49"/>
      <c r="Q6189" s="1"/>
      <c r="S6189" s="1"/>
      <c r="T6189" s="1"/>
      <c r="U6189" s="1"/>
      <c r="V6189" s="1"/>
      <c r="W6189" s="1"/>
      <c r="X6189" s="1"/>
      <c r="Y6189" s="1"/>
      <c r="AB6189" s="1"/>
      <c r="AC6189" s="1"/>
      <c r="AD6189" s="1"/>
      <c r="AE6189" s="1"/>
      <c r="AF6189" s="1"/>
      <c r="AG6189" s="1"/>
      <c r="AH6189" s="1"/>
      <c r="AI6189" s="1"/>
      <c r="AJ6189" s="1"/>
      <c r="AK6189" s="1"/>
      <c r="AL6189" s="1"/>
      <c r="AM6189" s="1"/>
    </row>
    <row r="6190" spans="16:39" x14ac:dyDescent="0.25">
      <c r="P6190" s="49"/>
      <c r="Q6190" s="1"/>
      <c r="S6190" s="1"/>
      <c r="T6190" s="1"/>
      <c r="U6190" s="1"/>
      <c r="V6190" s="1"/>
      <c r="W6190" s="1"/>
      <c r="X6190" s="1"/>
      <c r="Y6190" s="1"/>
      <c r="AB6190" s="1"/>
      <c r="AC6190" s="1"/>
      <c r="AD6190" s="1"/>
      <c r="AE6190" s="1"/>
      <c r="AF6190" s="1"/>
      <c r="AG6190" s="1"/>
      <c r="AH6190" s="1"/>
      <c r="AI6190" s="1"/>
      <c r="AJ6190" s="1"/>
      <c r="AK6190" s="1"/>
      <c r="AL6190" s="1"/>
      <c r="AM6190" s="1"/>
    </row>
    <row r="6191" spans="16:39" x14ac:dyDescent="0.25">
      <c r="P6191" s="49"/>
      <c r="Q6191" s="1"/>
      <c r="S6191" s="1"/>
      <c r="T6191" s="1"/>
      <c r="U6191" s="1"/>
      <c r="V6191" s="1"/>
      <c r="W6191" s="1"/>
      <c r="X6191" s="1"/>
      <c r="Y6191" s="1"/>
      <c r="AB6191" s="1"/>
      <c r="AC6191" s="1"/>
      <c r="AD6191" s="1"/>
      <c r="AE6191" s="1"/>
      <c r="AF6191" s="1"/>
      <c r="AG6191" s="1"/>
      <c r="AH6191" s="1"/>
      <c r="AI6191" s="1"/>
      <c r="AJ6191" s="1"/>
      <c r="AK6191" s="1"/>
      <c r="AL6191" s="1"/>
      <c r="AM6191" s="1"/>
    </row>
    <row r="6192" spans="16:39" x14ac:dyDescent="0.25">
      <c r="P6192" s="49"/>
      <c r="Q6192" s="1"/>
      <c r="S6192" s="1"/>
      <c r="T6192" s="1"/>
      <c r="U6192" s="1"/>
      <c r="V6192" s="1"/>
      <c r="W6192" s="1"/>
      <c r="X6192" s="1"/>
      <c r="Y6192" s="1"/>
      <c r="AB6192" s="1"/>
      <c r="AC6192" s="1"/>
      <c r="AD6192" s="1"/>
      <c r="AE6192" s="1"/>
      <c r="AF6192" s="1"/>
      <c r="AG6192" s="1"/>
      <c r="AH6192" s="1"/>
      <c r="AI6192" s="1"/>
      <c r="AJ6192" s="1"/>
      <c r="AK6192" s="1"/>
      <c r="AL6192" s="1"/>
      <c r="AM6192" s="1"/>
    </row>
    <row r="6193" spans="16:39" x14ac:dyDescent="0.25">
      <c r="P6193" s="49"/>
      <c r="Q6193" s="1"/>
      <c r="S6193" s="1"/>
      <c r="T6193" s="1"/>
      <c r="U6193" s="1"/>
      <c r="V6193" s="1"/>
      <c r="W6193" s="1"/>
      <c r="X6193" s="1"/>
      <c r="Y6193" s="1"/>
      <c r="AB6193" s="1"/>
      <c r="AC6193" s="1"/>
      <c r="AD6193" s="1"/>
      <c r="AE6193" s="1"/>
      <c r="AF6193" s="1"/>
      <c r="AG6193" s="1"/>
      <c r="AH6193" s="1"/>
      <c r="AI6193" s="1"/>
      <c r="AJ6193" s="1"/>
      <c r="AK6193" s="1"/>
      <c r="AL6193" s="1"/>
      <c r="AM6193" s="1"/>
    </row>
    <row r="6194" spans="16:39" x14ac:dyDescent="0.25">
      <c r="P6194" s="49"/>
      <c r="Q6194" s="1"/>
      <c r="S6194" s="1"/>
      <c r="T6194" s="1"/>
      <c r="U6194" s="1"/>
      <c r="V6194" s="1"/>
      <c r="W6194" s="1"/>
      <c r="X6194" s="1"/>
      <c r="Y6194" s="1"/>
      <c r="AB6194" s="1"/>
      <c r="AC6194" s="1"/>
      <c r="AD6194" s="1"/>
      <c r="AE6194" s="1"/>
      <c r="AF6194" s="1"/>
      <c r="AG6194" s="1"/>
      <c r="AH6194" s="1"/>
      <c r="AI6194" s="1"/>
      <c r="AJ6194" s="1"/>
      <c r="AK6194" s="1"/>
      <c r="AL6194" s="1"/>
      <c r="AM6194" s="1"/>
    </row>
    <row r="6195" spans="16:39" x14ac:dyDescent="0.25">
      <c r="P6195" s="49"/>
      <c r="Q6195" s="1"/>
      <c r="S6195" s="1"/>
      <c r="T6195" s="1"/>
      <c r="U6195" s="1"/>
      <c r="V6195" s="1"/>
      <c r="W6195" s="1"/>
      <c r="X6195" s="1"/>
      <c r="Y6195" s="1"/>
      <c r="AB6195" s="1"/>
      <c r="AC6195" s="1"/>
      <c r="AD6195" s="1"/>
      <c r="AE6195" s="1"/>
      <c r="AF6195" s="1"/>
      <c r="AG6195" s="1"/>
      <c r="AH6195" s="1"/>
      <c r="AI6195" s="1"/>
      <c r="AJ6195" s="1"/>
      <c r="AK6195" s="1"/>
      <c r="AL6195" s="1"/>
      <c r="AM6195" s="1"/>
    </row>
    <row r="6196" spans="16:39" x14ac:dyDescent="0.25">
      <c r="P6196" s="49"/>
      <c r="Q6196" s="1"/>
      <c r="S6196" s="1"/>
      <c r="T6196" s="1"/>
      <c r="U6196" s="1"/>
      <c r="V6196" s="1"/>
      <c r="W6196" s="1"/>
      <c r="X6196" s="1"/>
      <c r="Y6196" s="1"/>
      <c r="AB6196" s="1"/>
      <c r="AC6196" s="1"/>
      <c r="AD6196" s="1"/>
      <c r="AE6196" s="1"/>
      <c r="AF6196" s="1"/>
      <c r="AG6196" s="1"/>
      <c r="AH6196" s="1"/>
      <c r="AI6196" s="1"/>
      <c r="AJ6196" s="1"/>
      <c r="AK6196" s="1"/>
      <c r="AL6196" s="1"/>
      <c r="AM6196" s="1"/>
    </row>
    <row r="6197" spans="16:39" x14ac:dyDescent="0.25">
      <c r="P6197" s="49"/>
      <c r="Q6197" s="1"/>
      <c r="S6197" s="1"/>
      <c r="T6197" s="1"/>
      <c r="U6197" s="1"/>
      <c r="V6197" s="1"/>
      <c r="W6197" s="1"/>
      <c r="X6197" s="1"/>
      <c r="Y6197" s="1"/>
      <c r="AB6197" s="1"/>
      <c r="AC6197" s="1"/>
      <c r="AD6197" s="1"/>
      <c r="AE6197" s="1"/>
      <c r="AF6197" s="1"/>
      <c r="AG6197" s="1"/>
      <c r="AH6197" s="1"/>
      <c r="AI6197" s="1"/>
      <c r="AJ6197" s="1"/>
      <c r="AK6197" s="1"/>
      <c r="AL6197" s="1"/>
      <c r="AM6197" s="1"/>
    </row>
    <row r="6198" spans="16:39" x14ac:dyDescent="0.25">
      <c r="P6198" s="49"/>
      <c r="Q6198" s="1"/>
      <c r="S6198" s="1"/>
      <c r="T6198" s="1"/>
      <c r="U6198" s="1"/>
      <c r="V6198" s="1"/>
      <c r="W6198" s="1"/>
      <c r="X6198" s="1"/>
      <c r="Y6198" s="1"/>
      <c r="AB6198" s="1"/>
      <c r="AC6198" s="1"/>
      <c r="AD6198" s="1"/>
      <c r="AE6198" s="1"/>
      <c r="AF6198" s="1"/>
      <c r="AG6198" s="1"/>
      <c r="AH6198" s="1"/>
      <c r="AI6198" s="1"/>
      <c r="AJ6198" s="1"/>
      <c r="AK6198" s="1"/>
      <c r="AL6198" s="1"/>
      <c r="AM6198" s="1"/>
    </row>
    <row r="6199" spans="16:39" x14ac:dyDescent="0.25">
      <c r="P6199" s="49"/>
      <c r="Q6199" s="1"/>
      <c r="S6199" s="1"/>
      <c r="T6199" s="1"/>
      <c r="U6199" s="1"/>
      <c r="V6199" s="1"/>
      <c r="W6199" s="1"/>
      <c r="X6199" s="1"/>
      <c r="Y6199" s="1"/>
      <c r="AB6199" s="1"/>
      <c r="AC6199" s="1"/>
      <c r="AD6199" s="1"/>
      <c r="AE6199" s="1"/>
      <c r="AF6199" s="1"/>
      <c r="AG6199" s="1"/>
      <c r="AH6199" s="1"/>
      <c r="AI6199" s="1"/>
      <c r="AJ6199" s="1"/>
      <c r="AK6199" s="1"/>
      <c r="AL6199" s="1"/>
      <c r="AM6199" s="1"/>
    </row>
    <row r="6200" spans="16:39" x14ac:dyDescent="0.25">
      <c r="P6200" s="49"/>
      <c r="Q6200" s="1"/>
      <c r="S6200" s="1"/>
      <c r="T6200" s="1"/>
      <c r="U6200" s="1"/>
      <c r="V6200" s="1"/>
      <c r="W6200" s="1"/>
      <c r="X6200" s="1"/>
      <c r="Y6200" s="1"/>
      <c r="AB6200" s="1"/>
      <c r="AC6200" s="1"/>
      <c r="AD6200" s="1"/>
      <c r="AE6200" s="1"/>
      <c r="AF6200" s="1"/>
      <c r="AG6200" s="1"/>
      <c r="AH6200" s="1"/>
      <c r="AI6200" s="1"/>
      <c r="AJ6200" s="1"/>
      <c r="AK6200" s="1"/>
      <c r="AL6200" s="1"/>
      <c r="AM6200" s="1"/>
    </row>
    <row r="6201" spans="16:39" x14ac:dyDescent="0.25">
      <c r="P6201" s="49"/>
      <c r="Q6201" s="1"/>
      <c r="S6201" s="1"/>
      <c r="T6201" s="1"/>
      <c r="U6201" s="1"/>
      <c r="V6201" s="1"/>
      <c r="W6201" s="1"/>
      <c r="X6201" s="1"/>
      <c r="Y6201" s="1"/>
      <c r="AB6201" s="1"/>
      <c r="AC6201" s="1"/>
      <c r="AD6201" s="1"/>
      <c r="AE6201" s="1"/>
      <c r="AF6201" s="1"/>
      <c r="AG6201" s="1"/>
      <c r="AH6201" s="1"/>
      <c r="AI6201" s="1"/>
      <c r="AJ6201" s="1"/>
      <c r="AK6201" s="1"/>
      <c r="AL6201" s="1"/>
      <c r="AM6201" s="1"/>
    </row>
    <row r="6202" spans="16:39" x14ac:dyDescent="0.25">
      <c r="P6202" s="49"/>
      <c r="Q6202" s="1"/>
      <c r="S6202" s="1"/>
      <c r="T6202" s="1"/>
      <c r="U6202" s="1"/>
      <c r="V6202" s="1"/>
      <c r="W6202" s="1"/>
      <c r="X6202" s="1"/>
      <c r="Y6202" s="1"/>
      <c r="AB6202" s="1"/>
      <c r="AC6202" s="1"/>
      <c r="AD6202" s="1"/>
      <c r="AE6202" s="1"/>
      <c r="AF6202" s="1"/>
      <c r="AG6202" s="1"/>
      <c r="AH6202" s="1"/>
      <c r="AI6202" s="1"/>
      <c r="AJ6202" s="1"/>
      <c r="AK6202" s="1"/>
      <c r="AL6202" s="1"/>
      <c r="AM6202" s="1"/>
    </row>
    <row r="6203" spans="16:39" x14ac:dyDescent="0.25">
      <c r="P6203" s="49"/>
      <c r="Q6203" s="1"/>
      <c r="S6203" s="1"/>
      <c r="T6203" s="1"/>
      <c r="U6203" s="1"/>
      <c r="V6203" s="1"/>
      <c r="W6203" s="1"/>
      <c r="X6203" s="1"/>
      <c r="Y6203" s="1"/>
      <c r="AB6203" s="1"/>
      <c r="AC6203" s="1"/>
      <c r="AD6203" s="1"/>
      <c r="AE6203" s="1"/>
      <c r="AF6203" s="1"/>
      <c r="AG6203" s="1"/>
      <c r="AH6203" s="1"/>
      <c r="AI6203" s="1"/>
      <c r="AJ6203" s="1"/>
      <c r="AK6203" s="1"/>
      <c r="AL6203" s="1"/>
      <c r="AM6203" s="1"/>
    </row>
    <row r="6204" spans="16:39" x14ac:dyDescent="0.25">
      <c r="P6204" s="49"/>
      <c r="Q6204" s="1"/>
      <c r="S6204" s="1"/>
      <c r="T6204" s="1"/>
      <c r="U6204" s="1"/>
      <c r="V6204" s="1"/>
      <c r="W6204" s="1"/>
      <c r="X6204" s="1"/>
      <c r="Y6204" s="1"/>
      <c r="AB6204" s="1"/>
      <c r="AC6204" s="1"/>
      <c r="AD6204" s="1"/>
      <c r="AE6204" s="1"/>
      <c r="AF6204" s="1"/>
      <c r="AG6204" s="1"/>
      <c r="AH6204" s="1"/>
      <c r="AI6204" s="1"/>
      <c r="AJ6204" s="1"/>
      <c r="AK6204" s="1"/>
      <c r="AL6204" s="1"/>
      <c r="AM6204" s="1"/>
    </row>
    <row r="6205" spans="16:39" x14ac:dyDescent="0.25">
      <c r="P6205" s="49"/>
      <c r="Q6205" s="1"/>
      <c r="S6205" s="1"/>
      <c r="T6205" s="1"/>
      <c r="U6205" s="1"/>
      <c r="V6205" s="1"/>
      <c r="W6205" s="1"/>
      <c r="X6205" s="1"/>
      <c r="Y6205" s="1"/>
      <c r="AB6205" s="1"/>
      <c r="AC6205" s="1"/>
      <c r="AD6205" s="1"/>
      <c r="AE6205" s="1"/>
      <c r="AF6205" s="1"/>
      <c r="AG6205" s="1"/>
      <c r="AH6205" s="1"/>
      <c r="AI6205" s="1"/>
      <c r="AJ6205" s="1"/>
      <c r="AK6205" s="1"/>
      <c r="AL6205" s="1"/>
      <c r="AM6205" s="1"/>
    </row>
    <row r="6206" spans="16:39" x14ac:dyDescent="0.25">
      <c r="P6206" s="49"/>
      <c r="Q6206" s="1"/>
      <c r="S6206" s="1"/>
      <c r="T6206" s="1"/>
      <c r="U6206" s="1"/>
      <c r="V6206" s="1"/>
      <c r="W6206" s="1"/>
      <c r="X6206" s="1"/>
      <c r="Y6206" s="1"/>
      <c r="AB6206" s="1"/>
      <c r="AC6206" s="1"/>
      <c r="AD6206" s="1"/>
      <c r="AE6206" s="1"/>
      <c r="AF6206" s="1"/>
      <c r="AG6206" s="1"/>
      <c r="AH6206" s="1"/>
      <c r="AI6206" s="1"/>
      <c r="AJ6206" s="1"/>
      <c r="AK6206" s="1"/>
      <c r="AL6206" s="1"/>
      <c r="AM6206" s="1"/>
    </row>
    <row r="6207" spans="16:39" x14ac:dyDescent="0.25">
      <c r="P6207" s="49"/>
      <c r="Q6207" s="1"/>
      <c r="S6207" s="1"/>
      <c r="T6207" s="1"/>
      <c r="U6207" s="1"/>
      <c r="V6207" s="1"/>
      <c r="W6207" s="1"/>
      <c r="X6207" s="1"/>
      <c r="Y6207" s="1"/>
      <c r="AB6207" s="1"/>
      <c r="AC6207" s="1"/>
      <c r="AD6207" s="1"/>
      <c r="AE6207" s="1"/>
      <c r="AF6207" s="1"/>
      <c r="AG6207" s="1"/>
      <c r="AH6207" s="1"/>
      <c r="AI6207" s="1"/>
      <c r="AJ6207" s="1"/>
      <c r="AK6207" s="1"/>
      <c r="AL6207" s="1"/>
      <c r="AM6207" s="1"/>
    </row>
    <row r="6208" spans="16:39" x14ac:dyDescent="0.25">
      <c r="P6208" s="49"/>
      <c r="Q6208" s="1"/>
      <c r="S6208" s="1"/>
      <c r="T6208" s="1"/>
      <c r="U6208" s="1"/>
      <c r="V6208" s="1"/>
      <c r="W6208" s="1"/>
      <c r="X6208" s="1"/>
      <c r="Y6208" s="1"/>
      <c r="AB6208" s="1"/>
      <c r="AC6208" s="1"/>
      <c r="AD6208" s="1"/>
      <c r="AE6208" s="1"/>
      <c r="AF6208" s="1"/>
      <c r="AG6208" s="1"/>
      <c r="AH6208" s="1"/>
      <c r="AI6208" s="1"/>
      <c r="AJ6208" s="1"/>
      <c r="AK6208" s="1"/>
      <c r="AL6208" s="1"/>
      <c r="AM6208" s="1"/>
    </row>
    <row r="6209" spans="16:39" x14ac:dyDescent="0.25">
      <c r="P6209" s="49"/>
      <c r="Q6209" s="1"/>
      <c r="S6209" s="1"/>
      <c r="T6209" s="1"/>
      <c r="U6209" s="1"/>
      <c r="V6209" s="1"/>
      <c r="W6209" s="1"/>
      <c r="X6209" s="1"/>
      <c r="Y6209" s="1"/>
      <c r="AB6209" s="1"/>
      <c r="AC6209" s="1"/>
      <c r="AD6209" s="1"/>
      <c r="AE6209" s="1"/>
      <c r="AF6209" s="1"/>
      <c r="AG6209" s="1"/>
      <c r="AH6209" s="1"/>
      <c r="AI6209" s="1"/>
      <c r="AJ6209" s="1"/>
      <c r="AK6209" s="1"/>
      <c r="AL6209" s="1"/>
      <c r="AM6209" s="1"/>
    </row>
    <row r="6210" spans="16:39" x14ac:dyDescent="0.25">
      <c r="P6210" s="49"/>
      <c r="Q6210" s="1"/>
      <c r="S6210" s="1"/>
      <c r="T6210" s="1"/>
      <c r="U6210" s="1"/>
      <c r="V6210" s="1"/>
      <c r="W6210" s="1"/>
      <c r="X6210" s="1"/>
      <c r="Y6210" s="1"/>
      <c r="AB6210" s="1"/>
      <c r="AC6210" s="1"/>
      <c r="AD6210" s="1"/>
      <c r="AE6210" s="1"/>
      <c r="AF6210" s="1"/>
      <c r="AG6210" s="1"/>
      <c r="AH6210" s="1"/>
      <c r="AI6210" s="1"/>
      <c r="AJ6210" s="1"/>
      <c r="AK6210" s="1"/>
      <c r="AL6210" s="1"/>
      <c r="AM6210" s="1"/>
    </row>
    <row r="6211" spans="16:39" x14ac:dyDescent="0.25">
      <c r="P6211" s="49"/>
      <c r="Q6211" s="1"/>
      <c r="S6211" s="1"/>
      <c r="T6211" s="1"/>
      <c r="U6211" s="1"/>
      <c r="V6211" s="1"/>
      <c r="W6211" s="1"/>
      <c r="X6211" s="1"/>
      <c r="Y6211" s="1"/>
      <c r="AB6211" s="1"/>
      <c r="AC6211" s="1"/>
      <c r="AD6211" s="1"/>
      <c r="AE6211" s="1"/>
      <c r="AF6211" s="1"/>
      <c r="AG6211" s="1"/>
      <c r="AH6211" s="1"/>
      <c r="AI6211" s="1"/>
      <c r="AJ6211" s="1"/>
      <c r="AK6211" s="1"/>
      <c r="AL6211" s="1"/>
      <c r="AM6211" s="1"/>
    </row>
    <row r="6212" spans="16:39" x14ac:dyDescent="0.25">
      <c r="P6212" s="49"/>
      <c r="Q6212" s="1"/>
      <c r="S6212" s="1"/>
      <c r="T6212" s="1"/>
      <c r="U6212" s="1"/>
      <c r="V6212" s="1"/>
      <c r="W6212" s="1"/>
      <c r="X6212" s="1"/>
      <c r="Y6212" s="1"/>
      <c r="AB6212" s="1"/>
      <c r="AC6212" s="1"/>
      <c r="AD6212" s="1"/>
      <c r="AE6212" s="1"/>
      <c r="AF6212" s="1"/>
      <c r="AG6212" s="1"/>
      <c r="AH6212" s="1"/>
      <c r="AI6212" s="1"/>
      <c r="AJ6212" s="1"/>
      <c r="AK6212" s="1"/>
      <c r="AL6212" s="1"/>
      <c r="AM6212" s="1"/>
    </row>
    <row r="6213" spans="16:39" x14ac:dyDescent="0.25">
      <c r="P6213" s="49"/>
      <c r="Q6213" s="1"/>
      <c r="S6213" s="1"/>
      <c r="T6213" s="1"/>
      <c r="U6213" s="1"/>
      <c r="V6213" s="1"/>
      <c r="W6213" s="1"/>
      <c r="X6213" s="1"/>
      <c r="Y6213" s="1"/>
      <c r="AB6213" s="1"/>
      <c r="AC6213" s="1"/>
      <c r="AD6213" s="1"/>
      <c r="AE6213" s="1"/>
      <c r="AF6213" s="1"/>
      <c r="AG6213" s="1"/>
      <c r="AH6213" s="1"/>
      <c r="AI6213" s="1"/>
      <c r="AJ6213" s="1"/>
      <c r="AK6213" s="1"/>
      <c r="AL6213" s="1"/>
      <c r="AM6213" s="1"/>
    </row>
    <row r="6214" spans="16:39" x14ac:dyDescent="0.25">
      <c r="P6214" s="49"/>
      <c r="Q6214" s="1"/>
      <c r="S6214" s="1"/>
      <c r="T6214" s="1"/>
      <c r="U6214" s="1"/>
      <c r="V6214" s="1"/>
      <c r="W6214" s="1"/>
      <c r="X6214" s="1"/>
      <c r="Y6214" s="1"/>
      <c r="AB6214" s="1"/>
      <c r="AC6214" s="1"/>
      <c r="AD6214" s="1"/>
      <c r="AE6214" s="1"/>
      <c r="AF6214" s="1"/>
      <c r="AG6214" s="1"/>
      <c r="AH6214" s="1"/>
      <c r="AI6214" s="1"/>
      <c r="AJ6214" s="1"/>
      <c r="AK6214" s="1"/>
      <c r="AL6214" s="1"/>
      <c r="AM6214" s="1"/>
    </row>
    <row r="6215" spans="16:39" x14ac:dyDescent="0.25">
      <c r="P6215" s="49"/>
      <c r="Q6215" s="1"/>
      <c r="S6215" s="1"/>
      <c r="T6215" s="1"/>
      <c r="U6215" s="1"/>
      <c r="V6215" s="1"/>
      <c r="W6215" s="1"/>
      <c r="X6215" s="1"/>
      <c r="Y6215" s="1"/>
      <c r="AB6215" s="1"/>
      <c r="AC6215" s="1"/>
      <c r="AD6215" s="1"/>
      <c r="AE6215" s="1"/>
      <c r="AF6215" s="1"/>
      <c r="AG6215" s="1"/>
      <c r="AH6215" s="1"/>
      <c r="AI6215" s="1"/>
      <c r="AJ6215" s="1"/>
      <c r="AK6215" s="1"/>
      <c r="AL6215" s="1"/>
      <c r="AM6215" s="1"/>
    </row>
    <row r="6216" spans="16:39" x14ac:dyDescent="0.25">
      <c r="P6216" s="49"/>
      <c r="Q6216" s="1"/>
      <c r="S6216" s="1"/>
      <c r="T6216" s="1"/>
      <c r="U6216" s="1"/>
      <c r="V6216" s="1"/>
      <c r="W6216" s="1"/>
      <c r="X6216" s="1"/>
      <c r="Y6216" s="1"/>
      <c r="AB6216" s="1"/>
      <c r="AC6216" s="1"/>
      <c r="AD6216" s="1"/>
      <c r="AE6216" s="1"/>
      <c r="AF6216" s="1"/>
      <c r="AG6216" s="1"/>
      <c r="AH6216" s="1"/>
      <c r="AI6216" s="1"/>
      <c r="AJ6216" s="1"/>
      <c r="AK6216" s="1"/>
      <c r="AL6216" s="1"/>
      <c r="AM6216" s="1"/>
    </row>
    <row r="6217" spans="16:39" x14ac:dyDescent="0.25">
      <c r="P6217" s="49"/>
      <c r="Q6217" s="1"/>
      <c r="S6217" s="1"/>
      <c r="T6217" s="1"/>
      <c r="U6217" s="1"/>
      <c r="V6217" s="1"/>
      <c r="W6217" s="1"/>
      <c r="X6217" s="1"/>
      <c r="Y6217" s="1"/>
      <c r="AB6217" s="1"/>
      <c r="AC6217" s="1"/>
      <c r="AD6217" s="1"/>
      <c r="AE6217" s="1"/>
      <c r="AF6217" s="1"/>
      <c r="AG6217" s="1"/>
      <c r="AH6217" s="1"/>
      <c r="AI6217" s="1"/>
      <c r="AJ6217" s="1"/>
      <c r="AK6217" s="1"/>
      <c r="AL6217" s="1"/>
      <c r="AM6217" s="1"/>
    </row>
    <row r="6218" spans="16:39" x14ac:dyDescent="0.25">
      <c r="P6218" s="49"/>
      <c r="Q6218" s="1"/>
      <c r="S6218" s="1"/>
      <c r="T6218" s="1"/>
      <c r="U6218" s="1"/>
      <c r="V6218" s="1"/>
      <c r="W6218" s="1"/>
      <c r="X6218" s="1"/>
      <c r="Y6218" s="1"/>
      <c r="AB6218" s="1"/>
      <c r="AC6218" s="1"/>
      <c r="AD6218" s="1"/>
      <c r="AE6218" s="1"/>
      <c r="AF6218" s="1"/>
      <c r="AG6218" s="1"/>
      <c r="AH6218" s="1"/>
      <c r="AI6218" s="1"/>
      <c r="AJ6218" s="1"/>
      <c r="AK6218" s="1"/>
      <c r="AL6218" s="1"/>
      <c r="AM6218" s="1"/>
    </row>
    <row r="6219" spans="16:39" x14ac:dyDescent="0.25">
      <c r="P6219" s="49"/>
      <c r="Q6219" s="1"/>
      <c r="S6219" s="1"/>
      <c r="T6219" s="1"/>
      <c r="U6219" s="1"/>
      <c r="V6219" s="1"/>
      <c r="W6219" s="1"/>
      <c r="X6219" s="1"/>
      <c r="Y6219" s="1"/>
      <c r="AB6219" s="1"/>
      <c r="AC6219" s="1"/>
      <c r="AD6219" s="1"/>
      <c r="AE6219" s="1"/>
      <c r="AF6219" s="1"/>
      <c r="AG6219" s="1"/>
      <c r="AH6219" s="1"/>
      <c r="AI6219" s="1"/>
      <c r="AJ6219" s="1"/>
      <c r="AK6219" s="1"/>
      <c r="AL6219" s="1"/>
      <c r="AM6219" s="1"/>
    </row>
    <row r="6220" spans="16:39" x14ac:dyDescent="0.25">
      <c r="P6220" s="49"/>
      <c r="Q6220" s="1"/>
      <c r="S6220" s="1"/>
      <c r="T6220" s="1"/>
      <c r="U6220" s="1"/>
      <c r="V6220" s="1"/>
      <c r="W6220" s="1"/>
      <c r="X6220" s="1"/>
      <c r="Y6220" s="1"/>
      <c r="AB6220" s="1"/>
      <c r="AC6220" s="1"/>
      <c r="AD6220" s="1"/>
      <c r="AE6220" s="1"/>
      <c r="AF6220" s="1"/>
      <c r="AG6220" s="1"/>
      <c r="AH6220" s="1"/>
      <c r="AI6220" s="1"/>
      <c r="AJ6220" s="1"/>
      <c r="AK6220" s="1"/>
      <c r="AL6220" s="1"/>
      <c r="AM6220" s="1"/>
    </row>
    <row r="6221" spans="16:39" x14ac:dyDescent="0.25">
      <c r="P6221" s="49"/>
      <c r="Q6221" s="1"/>
      <c r="S6221" s="1"/>
      <c r="T6221" s="1"/>
      <c r="U6221" s="1"/>
      <c r="V6221" s="1"/>
      <c r="W6221" s="1"/>
      <c r="X6221" s="1"/>
      <c r="Y6221" s="1"/>
      <c r="AB6221" s="1"/>
      <c r="AC6221" s="1"/>
      <c r="AD6221" s="1"/>
      <c r="AE6221" s="1"/>
      <c r="AF6221" s="1"/>
      <c r="AG6221" s="1"/>
      <c r="AH6221" s="1"/>
      <c r="AI6221" s="1"/>
      <c r="AJ6221" s="1"/>
      <c r="AK6221" s="1"/>
      <c r="AL6221" s="1"/>
      <c r="AM6221" s="1"/>
    </row>
    <row r="6222" spans="16:39" x14ac:dyDescent="0.25">
      <c r="P6222" s="49"/>
      <c r="Q6222" s="1"/>
      <c r="S6222" s="1"/>
      <c r="T6222" s="1"/>
      <c r="U6222" s="1"/>
      <c r="V6222" s="1"/>
      <c r="W6222" s="1"/>
      <c r="X6222" s="1"/>
      <c r="Y6222" s="1"/>
      <c r="AB6222" s="1"/>
      <c r="AC6222" s="1"/>
      <c r="AD6222" s="1"/>
      <c r="AE6222" s="1"/>
      <c r="AF6222" s="1"/>
      <c r="AG6222" s="1"/>
      <c r="AH6222" s="1"/>
      <c r="AI6222" s="1"/>
      <c r="AJ6222" s="1"/>
      <c r="AK6222" s="1"/>
      <c r="AL6222" s="1"/>
      <c r="AM6222" s="1"/>
    </row>
    <row r="6223" spans="16:39" x14ac:dyDescent="0.25">
      <c r="P6223" s="49"/>
      <c r="Q6223" s="1"/>
      <c r="S6223" s="1"/>
      <c r="T6223" s="1"/>
      <c r="U6223" s="1"/>
      <c r="V6223" s="1"/>
      <c r="W6223" s="1"/>
      <c r="X6223" s="1"/>
      <c r="Y6223" s="1"/>
      <c r="AB6223" s="1"/>
      <c r="AC6223" s="1"/>
      <c r="AD6223" s="1"/>
      <c r="AE6223" s="1"/>
      <c r="AF6223" s="1"/>
      <c r="AG6223" s="1"/>
      <c r="AH6223" s="1"/>
      <c r="AI6223" s="1"/>
      <c r="AJ6223" s="1"/>
      <c r="AK6223" s="1"/>
      <c r="AL6223" s="1"/>
      <c r="AM6223" s="1"/>
    </row>
    <row r="6224" spans="16:39" x14ac:dyDescent="0.25">
      <c r="P6224" s="49"/>
      <c r="Q6224" s="1"/>
      <c r="S6224" s="1"/>
      <c r="T6224" s="1"/>
      <c r="U6224" s="1"/>
      <c r="V6224" s="1"/>
      <c r="W6224" s="1"/>
      <c r="X6224" s="1"/>
      <c r="Y6224" s="1"/>
      <c r="AB6224" s="1"/>
      <c r="AC6224" s="1"/>
      <c r="AD6224" s="1"/>
      <c r="AE6224" s="1"/>
      <c r="AF6224" s="1"/>
      <c r="AG6224" s="1"/>
      <c r="AH6224" s="1"/>
      <c r="AI6224" s="1"/>
      <c r="AJ6224" s="1"/>
      <c r="AK6224" s="1"/>
      <c r="AL6224" s="1"/>
      <c r="AM6224" s="1"/>
    </row>
    <row r="6225" spans="16:39" x14ac:dyDescent="0.25">
      <c r="P6225" s="49"/>
      <c r="Q6225" s="1"/>
      <c r="S6225" s="1"/>
      <c r="T6225" s="1"/>
      <c r="U6225" s="1"/>
      <c r="V6225" s="1"/>
      <c r="W6225" s="1"/>
      <c r="X6225" s="1"/>
      <c r="Y6225" s="1"/>
      <c r="AB6225" s="1"/>
      <c r="AC6225" s="1"/>
      <c r="AD6225" s="1"/>
      <c r="AE6225" s="1"/>
      <c r="AF6225" s="1"/>
      <c r="AG6225" s="1"/>
      <c r="AH6225" s="1"/>
      <c r="AI6225" s="1"/>
      <c r="AJ6225" s="1"/>
      <c r="AK6225" s="1"/>
      <c r="AL6225" s="1"/>
      <c r="AM6225" s="1"/>
    </row>
    <row r="6226" spans="16:39" x14ac:dyDescent="0.25">
      <c r="P6226" s="49"/>
      <c r="Q6226" s="1"/>
      <c r="S6226" s="1"/>
      <c r="T6226" s="1"/>
      <c r="U6226" s="1"/>
      <c r="V6226" s="1"/>
      <c r="W6226" s="1"/>
      <c r="X6226" s="1"/>
      <c r="Y6226" s="1"/>
      <c r="AB6226" s="1"/>
      <c r="AC6226" s="1"/>
      <c r="AD6226" s="1"/>
      <c r="AE6226" s="1"/>
      <c r="AF6226" s="1"/>
      <c r="AG6226" s="1"/>
      <c r="AH6226" s="1"/>
      <c r="AI6226" s="1"/>
      <c r="AJ6226" s="1"/>
      <c r="AK6226" s="1"/>
      <c r="AL6226" s="1"/>
      <c r="AM6226" s="1"/>
    </row>
    <row r="6227" spans="16:39" x14ac:dyDescent="0.25">
      <c r="P6227" s="49"/>
      <c r="Q6227" s="1"/>
      <c r="S6227" s="1"/>
      <c r="T6227" s="1"/>
      <c r="U6227" s="1"/>
      <c r="V6227" s="1"/>
      <c r="W6227" s="1"/>
      <c r="X6227" s="1"/>
      <c r="Y6227" s="1"/>
      <c r="AB6227" s="1"/>
      <c r="AC6227" s="1"/>
      <c r="AD6227" s="1"/>
      <c r="AE6227" s="1"/>
      <c r="AF6227" s="1"/>
      <c r="AG6227" s="1"/>
      <c r="AH6227" s="1"/>
      <c r="AI6227" s="1"/>
      <c r="AJ6227" s="1"/>
      <c r="AK6227" s="1"/>
      <c r="AL6227" s="1"/>
      <c r="AM6227" s="1"/>
    </row>
    <row r="6228" spans="16:39" x14ac:dyDescent="0.25">
      <c r="P6228" s="49"/>
      <c r="Q6228" s="1"/>
      <c r="S6228" s="1"/>
      <c r="T6228" s="1"/>
      <c r="U6228" s="1"/>
      <c r="V6228" s="1"/>
      <c r="W6228" s="1"/>
      <c r="X6228" s="1"/>
      <c r="Y6228" s="1"/>
      <c r="AB6228" s="1"/>
      <c r="AC6228" s="1"/>
      <c r="AD6228" s="1"/>
      <c r="AE6228" s="1"/>
      <c r="AF6228" s="1"/>
      <c r="AG6228" s="1"/>
      <c r="AH6228" s="1"/>
      <c r="AI6228" s="1"/>
      <c r="AJ6228" s="1"/>
      <c r="AK6228" s="1"/>
      <c r="AL6228" s="1"/>
      <c r="AM6228" s="1"/>
    </row>
    <row r="6229" spans="16:39" x14ac:dyDescent="0.25">
      <c r="P6229" s="49"/>
      <c r="Q6229" s="1"/>
      <c r="S6229" s="1"/>
      <c r="T6229" s="1"/>
      <c r="U6229" s="1"/>
      <c r="V6229" s="1"/>
      <c r="W6229" s="1"/>
      <c r="X6229" s="1"/>
      <c r="Y6229" s="1"/>
      <c r="AB6229" s="1"/>
      <c r="AC6229" s="1"/>
      <c r="AD6229" s="1"/>
      <c r="AE6229" s="1"/>
      <c r="AF6229" s="1"/>
      <c r="AG6229" s="1"/>
      <c r="AH6229" s="1"/>
      <c r="AI6229" s="1"/>
      <c r="AJ6229" s="1"/>
      <c r="AK6229" s="1"/>
      <c r="AL6229" s="1"/>
      <c r="AM6229" s="1"/>
    </row>
    <row r="6230" spans="16:39" x14ac:dyDescent="0.25">
      <c r="P6230" s="49"/>
      <c r="Q6230" s="1"/>
      <c r="S6230" s="1"/>
      <c r="T6230" s="1"/>
      <c r="U6230" s="1"/>
      <c r="V6230" s="1"/>
      <c r="W6230" s="1"/>
      <c r="X6230" s="1"/>
      <c r="Y6230" s="1"/>
      <c r="AB6230" s="1"/>
      <c r="AC6230" s="1"/>
      <c r="AD6230" s="1"/>
      <c r="AE6230" s="1"/>
      <c r="AF6230" s="1"/>
      <c r="AG6230" s="1"/>
      <c r="AH6230" s="1"/>
      <c r="AI6230" s="1"/>
      <c r="AJ6230" s="1"/>
      <c r="AK6230" s="1"/>
      <c r="AL6230" s="1"/>
      <c r="AM6230" s="1"/>
    </row>
    <row r="6231" spans="16:39" x14ac:dyDescent="0.25">
      <c r="P6231" s="49"/>
      <c r="Q6231" s="1"/>
      <c r="S6231" s="1"/>
      <c r="T6231" s="1"/>
      <c r="U6231" s="1"/>
      <c r="V6231" s="1"/>
      <c r="W6231" s="1"/>
      <c r="X6231" s="1"/>
      <c r="Y6231" s="1"/>
      <c r="AB6231" s="1"/>
      <c r="AC6231" s="1"/>
      <c r="AD6231" s="1"/>
      <c r="AE6231" s="1"/>
      <c r="AF6231" s="1"/>
      <c r="AG6231" s="1"/>
      <c r="AH6231" s="1"/>
      <c r="AI6231" s="1"/>
      <c r="AJ6231" s="1"/>
      <c r="AK6231" s="1"/>
      <c r="AL6231" s="1"/>
      <c r="AM6231" s="1"/>
    </row>
    <row r="6232" spans="16:39" x14ac:dyDescent="0.25">
      <c r="P6232" s="49"/>
      <c r="Q6232" s="1"/>
      <c r="S6232" s="1"/>
      <c r="T6232" s="1"/>
      <c r="U6232" s="1"/>
      <c r="V6232" s="1"/>
      <c r="W6232" s="1"/>
      <c r="X6232" s="1"/>
      <c r="Y6232" s="1"/>
      <c r="AB6232" s="1"/>
      <c r="AC6232" s="1"/>
      <c r="AD6232" s="1"/>
      <c r="AE6232" s="1"/>
      <c r="AF6232" s="1"/>
      <c r="AG6232" s="1"/>
      <c r="AH6232" s="1"/>
      <c r="AI6232" s="1"/>
      <c r="AJ6232" s="1"/>
      <c r="AK6232" s="1"/>
      <c r="AL6232" s="1"/>
      <c r="AM6232" s="1"/>
    </row>
    <row r="6233" spans="16:39" x14ac:dyDescent="0.25">
      <c r="P6233" s="49"/>
      <c r="Q6233" s="1"/>
      <c r="S6233" s="1"/>
      <c r="T6233" s="1"/>
      <c r="U6233" s="1"/>
      <c r="V6233" s="1"/>
      <c r="W6233" s="1"/>
      <c r="X6233" s="1"/>
      <c r="Y6233" s="1"/>
      <c r="AB6233" s="1"/>
      <c r="AC6233" s="1"/>
      <c r="AD6233" s="1"/>
      <c r="AE6233" s="1"/>
      <c r="AF6233" s="1"/>
      <c r="AG6233" s="1"/>
      <c r="AH6233" s="1"/>
      <c r="AI6233" s="1"/>
      <c r="AJ6233" s="1"/>
      <c r="AK6233" s="1"/>
      <c r="AL6233" s="1"/>
      <c r="AM6233" s="1"/>
    </row>
    <row r="6234" spans="16:39" x14ac:dyDescent="0.25">
      <c r="P6234" s="49"/>
      <c r="Q6234" s="1"/>
      <c r="S6234" s="1"/>
      <c r="T6234" s="1"/>
      <c r="U6234" s="1"/>
      <c r="V6234" s="1"/>
      <c r="W6234" s="1"/>
      <c r="X6234" s="1"/>
      <c r="Y6234" s="1"/>
      <c r="AB6234" s="1"/>
      <c r="AC6234" s="1"/>
      <c r="AD6234" s="1"/>
      <c r="AE6234" s="1"/>
      <c r="AF6234" s="1"/>
      <c r="AG6234" s="1"/>
      <c r="AH6234" s="1"/>
      <c r="AI6234" s="1"/>
      <c r="AJ6234" s="1"/>
      <c r="AK6234" s="1"/>
      <c r="AL6234" s="1"/>
      <c r="AM6234" s="1"/>
    </row>
    <row r="6235" spans="16:39" x14ac:dyDescent="0.25">
      <c r="P6235" s="49"/>
      <c r="Q6235" s="1"/>
      <c r="S6235" s="1"/>
      <c r="T6235" s="1"/>
      <c r="U6235" s="1"/>
      <c r="V6235" s="1"/>
      <c r="W6235" s="1"/>
      <c r="X6235" s="1"/>
      <c r="Y6235" s="1"/>
      <c r="AB6235" s="1"/>
      <c r="AC6235" s="1"/>
      <c r="AD6235" s="1"/>
      <c r="AE6235" s="1"/>
      <c r="AF6235" s="1"/>
      <c r="AG6235" s="1"/>
      <c r="AH6235" s="1"/>
      <c r="AI6235" s="1"/>
      <c r="AJ6235" s="1"/>
      <c r="AK6235" s="1"/>
      <c r="AL6235" s="1"/>
      <c r="AM6235" s="1"/>
    </row>
    <row r="6236" spans="16:39" x14ac:dyDescent="0.25">
      <c r="P6236" s="49"/>
      <c r="Q6236" s="1"/>
      <c r="S6236" s="1"/>
      <c r="T6236" s="1"/>
      <c r="U6236" s="1"/>
      <c r="V6236" s="1"/>
      <c r="W6236" s="1"/>
      <c r="X6236" s="1"/>
      <c r="Y6236" s="1"/>
      <c r="AB6236" s="1"/>
      <c r="AC6236" s="1"/>
      <c r="AD6236" s="1"/>
      <c r="AE6236" s="1"/>
      <c r="AF6236" s="1"/>
      <c r="AG6236" s="1"/>
      <c r="AH6236" s="1"/>
      <c r="AI6236" s="1"/>
      <c r="AJ6236" s="1"/>
      <c r="AK6236" s="1"/>
      <c r="AL6236" s="1"/>
      <c r="AM6236" s="1"/>
    </row>
    <row r="6237" spans="16:39" x14ac:dyDescent="0.25">
      <c r="P6237" s="49"/>
      <c r="Q6237" s="1"/>
      <c r="S6237" s="1"/>
      <c r="T6237" s="1"/>
      <c r="U6237" s="1"/>
      <c r="V6237" s="1"/>
      <c r="W6237" s="1"/>
      <c r="X6237" s="1"/>
      <c r="Y6237" s="1"/>
      <c r="AB6237" s="1"/>
      <c r="AC6237" s="1"/>
      <c r="AD6237" s="1"/>
      <c r="AE6237" s="1"/>
      <c r="AF6237" s="1"/>
      <c r="AG6237" s="1"/>
      <c r="AH6237" s="1"/>
      <c r="AI6237" s="1"/>
      <c r="AJ6237" s="1"/>
      <c r="AK6237" s="1"/>
      <c r="AL6237" s="1"/>
      <c r="AM6237" s="1"/>
    </row>
    <row r="6238" spans="16:39" x14ac:dyDescent="0.25">
      <c r="P6238" s="49"/>
      <c r="Q6238" s="1"/>
      <c r="S6238" s="1"/>
      <c r="T6238" s="1"/>
      <c r="U6238" s="1"/>
      <c r="V6238" s="1"/>
      <c r="W6238" s="1"/>
      <c r="X6238" s="1"/>
      <c r="Y6238" s="1"/>
      <c r="AB6238" s="1"/>
      <c r="AC6238" s="1"/>
      <c r="AD6238" s="1"/>
      <c r="AE6238" s="1"/>
      <c r="AF6238" s="1"/>
      <c r="AG6238" s="1"/>
      <c r="AH6238" s="1"/>
      <c r="AI6238" s="1"/>
      <c r="AJ6238" s="1"/>
      <c r="AK6238" s="1"/>
      <c r="AL6238" s="1"/>
      <c r="AM6238" s="1"/>
    </row>
    <row r="6239" spans="16:39" x14ac:dyDescent="0.25">
      <c r="P6239" s="49"/>
      <c r="Q6239" s="1"/>
      <c r="S6239" s="1"/>
      <c r="T6239" s="1"/>
      <c r="U6239" s="1"/>
      <c r="V6239" s="1"/>
      <c r="W6239" s="1"/>
      <c r="X6239" s="1"/>
      <c r="Y6239" s="1"/>
      <c r="AB6239" s="1"/>
      <c r="AC6239" s="1"/>
      <c r="AD6239" s="1"/>
      <c r="AE6239" s="1"/>
      <c r="AF6239" s="1"/>
      <c r="AG6239" s="1"/>
      <c r="AH6239" s="1"/>
      <c r="AI6239" s="1"/>
      <c r="AJ6239" s="1"/>
      <c r="AK6239" s="1"/>
      <c r="AL6239" s="1"/>
      <c r="AM6239" s="1"/>
    </row>
    <row r="6240" spans="16:39" x14ac:dyDescent="0.25">
      <c r="P6240" s="49"/>
      <c r="Q6240" s="1"/>
      <c r="S6240" s="1"/>
      <c r="T6240" s="1"/>
      <c r="U6240" s="1"/>
      <c r="V6240" s="1"/>
      <c r="W6240" s="1"/>
      <c r="X6240" s="1"/>
      <c r="Y6240" s="1"/>
      <c r="AB6240" s="1"/>
      <c r="AC6240" s="1"/>
      <c r="AD6240" s="1"/>
      <c r="AE6240" s="1"/>
      <c r="AF6240" s="1"/>
      <c r="AG6240" s="1"/>
      <c r="AH6240" s="1"/>
      <c r="AI6240" s="1"/>
      <c r="AJ6240" s="1"/>
      <c r="AK6240" s="1"/>
      <c r="AL6240" s="1"/>
      <c r="AM6240" s="1"/>
    </row>
    <row r="6241" spans="16:39" x14ac:dyDescent="0.25">
      <c r="P6241" s="49"/>
      <c r="Q6241" s="1"/>
      <c r="S6241" s="1"/>
      <c r="T6241" s="1"/>
      <c r="U6241" s="1"/>
      <c r="V6241" s="1"/>
      <c r="W6241" s="1"/>
      <c r="X6241" s="1"/>
      <c r="Y6241" s="1"/>
      <c r="AB6241" s="1"/>
      <c r="AC6241" s="1"/>
      <c r="AD6241" s="1"/>
      <c r="AE6241" s="1"/>
      <c r="AF6241" s="1"/>
      <c r="AG6241" s="1"/>
      <c r="AH6241" s="1"/>
      <c r="AI6241" s="1"/>
      <c r="AJ6241" s="1"/>
      <c r="AK6241" s="1"/>
      <c r="AL6241" s="1"/>
      <c r="AM6241" s="1"/>
    </row>
    <row r="6242" spans="16:39" x14ac:dyDescent="0.25">
      <c r="P6242" s="49"/>
      <c r="Q6242" s="1"/>
      <c r="S6242" s="1"/>
      <c r="T6242" s="1"/>
      <c r="U6242" s="1"/>
      <c r="V6242" s="1"/>
      <c r="W6242" s="1"/>
      <c r="X6242" s="1"/>
      <c r="Y6242" s="1"/>
      <c r="AB6242" s="1"/>
      <c r="AC6242" s="1"/>
      <c r="AD6242" s="1"/>
      <c r="AE6242" s="1"/>
      <c r="AF6242" s="1"/>
      <c r="AG6242" s="1"/>
      <c r="AH6242" s="1"/>
      <c r="AI6242" s="1"/>
      <c r="AJ6242" s="1"/>
      <c r="AK6242" s="1"/>
      <c r="AL6242" s="1"/>
      <c r="AM6242" s="1"/>
    </row>
    <row r="6243" spans="16:39" x14ac:dyDescent="0.25">
      <c r="P6243" s="49"/>
      <c r="Q6243" s="1"/>
      <c r="S6243" s="1"/>
      <c r="T6243" s="1"/>
      <c r="U6243" s="1"/>
      <c r="V6243" s="1"/>
      <c r="W6243" s="1"/>
      <c r="X6243" s="1"/>
      <c r="Y6243" s="1"/>
      <c r="AB6243" s="1"/>
      <c r="AC6243" s="1"/>
      <c r="AD6243" s="1"/>
      <c r="AE6243" s="1"/>
      <c r="AF6243" s="1"/>
      <c r="AG6243" s="1"/>
      <c r="AH6243" s="1"/>
      <c r="AI6243" s="1"/>
      <c r="AJ6243" s="1"/>
      <c r="AK6243" s="1"/>
      <c r="AL6243" s="1"/>
      <c r="AM6243" s="1"/>
    </row>
    <row r="6244" spans="16:39" x14ac:dyDescent="0.25">
      <c r="P6244" s="49"/>
      <c r="Q6244" s="1"/>
      <c r="S6244" s="1"/>
      <c r="T6244" s="1"/>
      <c r="U6244" s="1"/>
      <c r="V6244" s="1"/>
      <c r="W6244" s="1"/>
      <c r="X6244" s="1"/>
      <c r="Y6244" s="1"/>
      <c r="AB6244" s="1"/>
      <c r="AC6244" s="1"/>
      <c r="AD6244" s="1"/>
      <c r="AE6244" s="1"/>
      <c r="AF6244" s="1"/>
      <c r="AG6244" s="1"/>
      <c r="AH6244" s="1"/>
      <c r="AI6244" s="1"/>
      <c r="AJ6244" s="1"/>
      <c r="AK6244" s="1"/>
      <c r="AL6244" s="1"/>
      <c r="AM6244" s="1"/>
    </row>
    <row r="6245" spans="16:39" x14ac:dyDescent="0.25">
      <c r="P6245" s="49"/>
      <c r="Q6245" s="1"/>
      <c r="S6245" s="1"/>
      <c r="T6245" s="1"/>
      <c r="U6245" s="1"/>
      <c r="V6245" s="1"/>
      <c r="W6245" s="1"/>
      <c r="X6245" s="1"/>
      <c r="Y6245" s="1"/>
      <c r="AB6245" s="1"/>
      <c r="AC6245" s="1"/>
      <c r="AD6245" s="1"/>
      <c r="AE6245" s="1"/>
      <c r="AF6245" s="1"/>
      <c r="AG6245" s="1"/>
      <c r="AH6245" s="1"/>
      <c r="AI6245" s="1"/>
      <c r="AJ6245" s="1"/>
      <c r="AK6245" s="1"/>
      <c r="AL6245" s="1"/>
      <c r="AM6245" s="1"/>
    </row>
    <row r="6246" spans="16:39" x14ac:dyDescent="0.25">
      <c r="P6246" s="49"/>
      <c r="Q6246" s="1"/>
      <c r="S6246" s="1"/>
      <c r="T6246" s="1"/>
      <c r="U6246" s="1"/>
      <c r="V6246" s="1"/>
      <c r="W6246" s="1"/>
      <c r="X6246" s="1"/>
      <c r="Y6246" s="1"/>
      <c r="AB6246" s="1"/>
      <c r="AC6246" s="1"/>
      <c r="AD6246" s="1"/>
      <c r="AE6246" s="1"/>
      <c r="AF6246" s="1"/>
      <c r="AG6246" s="1"/>
      <c r="AH6246" s="1"/>
      <c r="AI6246" s="1"/>
      <c r="AJ6246" s="1"/>
      <c r="AK6246" s="1"/>
      <c r="AL6246" s="1"/>
      <c r="AM6246" s="1"/>
    </row>
    <row r="6247" spans="16:39" x14ac:dyDescent="0.25">
      <c r="P6247" s="49"/>
      <c r="Q6247" s="1"/>
      <c r="S6247" s="1"/>
      <c r="T6247" s="1"/>
      <c r="U6247" s="1"/>
      <c r="V6247" s="1"/>
      <c r="W6247" s="1"/>
      <c r="X6247" s="1"/>
      <c r="Y6247" s="1"/>
      <c r="AB6247" s="1"/>
      <c r="AC6247" s="1"/>
      <c r="AD6247" s="1"/>
      <c r="AE6247" s="1"/>
      <c r="AF6247" s="1"/>
      <c r="AG6247" s="1"/>
      <c r="AH6247" s="1"/>
      <c r="AI6247" s="1"/>
      <c r="AJ6247" s="1"/>
      <c r="AK6247" s="1"/>
      <c r="AL6247" s="1"/>
      <c r="AM6247" s="1"/>
    </row>
    <row r="6248" spans="16:39" x14ac:dyDescent="0.25">
      <c r="P6248" s="49"/>
      <c r="Q6248" s="1"/>
      <c r="S6248" s="1"/>
      <c r="T6248" s="1"/>
      <c r="U6248" s="1"/>
      <c r="V6248" s="1"/>
      <c r="W6248" s="1"/>
      <c r="X6248" s="1"/>
      <c r="Y6248" s="1"/>
      <c r="AB6248" s="1"/>
      <c r="AC6248" s="1"/>
      <c r="AD6248" s="1"/>
      <c r="AE6248" s="1"/>
      <c r="AF6248" s="1"/>
      <c r="AG6248" s="1"/>
      <c r="AH6248" s="1"/>
      <c r="AI6248" s="1"/>
      <c r="AJ6248" s="1"/>
      <c r="AK6248" s="1"/>
      <c r="AL6248" s="1"/>
      <c r="AM6248" s="1"/>
    </row>
    <row r="6249" spans="16:39" x14ac:dyDescent="0.25">
      <c r="P6249" s="49"/>
      <c r="Q6249" s="1"/>
      <c r="S6249" s="1"/>
      <c r="T6249" s="1"/>
      <c r="U6249" s="1"/>
      <c r="V6249" s="1"/>
      <c r="W6249" s="1"/>
      <c r="X6249" s="1"/>
      <c r="Y6249" s="1"/>
      <c r="AB6249" s="1"/>
      <c r="AC6249" s="1"/>
      <c r="AD6249" s="1"/>
      <c r="AE6249" s="1"/>
      <c r="AF6249" s="1"/>
      <c r="AG6249" s="1"/>
      <c r="AH6249" s="1"/>
      <c r="AI6249" s="1"/>
      <c r="AJ6249" s="1"/>
      <c r="AK6249" s="1"/>
      <c r="AL6249" s="1"/>
      <c r="AM6249" s="1"/>
    </row>
    <row r="6250" spans="16:39" x14ac:dyDescent="0.25">
      <c r="P6250" s="49"/>
      <c r="Q6250" s="1"/>
      <c r="S6250" s="1"/>
      <c r="T6250" s="1"/>
      <c r="U6250" s="1"/>
      <c r="V6250" s="1"/>
      <c r="W6250" s="1"/>
      <c r="X6250" s="1"/>
      <c r="Y6250" s="1"/>
      <c r="AB6250" s="1"/>
      <c r="AC6250" s="1"/>
      <c r="AD6250" s="1"/>
      <c r="AE6250" s="1"/>
      <c r="AF6250" s="1"/>
      <c r="AG6250" s="1"/>
      <c r="AH6250" s="1"/>
      <c r="AI6250" s="1"/>
      <c r="AJ6250" s="1"/>
      <c r="AK6250" s="1"/>
      <c r="AL6250" s="1"/>
      <c r="AM6250" s="1"/>
    </row>
    <row r="6251" spans="16:39" x14ac:dyDescent="0.25">
      <c r="P6251" s="49"/>
      <c r="Q6251" s="1"/>
      <c r="S6251" s="1"/>
      <c r="T6251" s="1"/>
      <c r="U6251" s="1"/>
      <c r="V6251" s="1"/>
      <c r="W6251" s="1"/>
      <c r="X6251" s="1"/>
      <c r="Y6251" s="1"/>
      <c r="AB6251" s="1"/>
      <c r="AC6251" s="1"/>
      <c r="AD6251" s="1"/>
      <c r="AE6251" s="1"/>
      <c r="AF6251" s="1"/>
      <c r="AG6251" s="1"/>
      <c r="AH6251" s="1"/>
      <c r="AI6251" s="1"/>
      <c r="AJ6251" s="1"/>
      <c r="AK6251" s="1"/>
      <c r="AL6251" s="1"/>
      <c r="AM6251" s="1"/>
    </row>
    <row r="6252" spans="16:39" x14ac:dyDescent="0.25">
      <c r="P6252" s="49"/>
      <c r="Q6252" s="1"/>
      <c r="S6252" s="1"/>
      <c r="T6252" s="1"/>
      <c r="U6252" s="1"/>
      <c r="V6252" s="1"/>
      <c r="W6252" s="1"/>
      <c r="X6252" s="1"/>
      <c r="Y6252" s="1"/>
      <c r="AB6252" s="1"/>
      <c r="AC6252" s="1"/>
      <c r="AD6252" s="1"/>
      <c r="AE6252" s="1"/>
      <c r="AF6252" s="1"/>
      <c r="AG6252" s="1"/>
      <c r="AH6252" s="1"/>
      <c r="AI6252" s="1"/>
      <c r="AJ6252" s="1"/>
      <c r="AK6252" s="1"/>
      <c r="AL6252" s="1"/>
      <c r="AM6252" s="1"/>
    </row>
    <row r="6253" spans="16:39" x14ac:dyDescent="0.25">
      <c r="P6253" s="49"/>
      <c r="Q6253" s="1"/>
      <c r="S6253" s="1"/>
      <c r="T6253" s="1"/>
      <c r="U6253" s="1"/>
      <c r="V6253" s="1"/>
      <c r="W6253" s="1"/>
      <c r="X6253" s="1"/>
      <c r="Y6253" s="1"/>
      <c r="AB6253" s="1"/>
      <c r="AC6253" s="1"/>
      <c r="AD6253" s="1"/>
      <c r="AE6253" s="1"/>
      <c r="AF6253" s="1"/>
      <c r="AG6253" s="1"/>
      <c r="AH6253" s="1"/>
      <c r="AI6253" s="1"/>
      <c r="AJ6253" s="1"/>
      <c r="AK6253" s="1"/>
      <c r="AL6253" s="1"/>
      <c r="AM6253" s="1"/>
    </row>
    <row r="6254" spans="16:39" x14ac:dyDescent="0.25">
      <c r="P6254" s="49"/>
      <c r="Q6254" s="1"/>
      <c r="S6254" s="1"/>
      <c r="T6254" s="1"/>
      <c r="U6254" s="1"/>
      <c r="V6254" s="1"/>
      <c r="W6254" s="1"/>
      <c r="X6254" s="1"/>
      <c r="Y6254" s="1"/>
      <c r="AB6254" s="1"/>
      <c r="AC6254" s="1"/>
      <c r="AD6254" s="1"/>
      <c r="AE6254" s="1"/>
      <c r="AF6254" s="1"/>
      <c r="AG6254" s="1"/>
      <c r="AH6254" s="1"/>
      <c r="AI6254" s="1"/>
      <c r="AJ6254" s="1"/>
      <c r="AK6254" s="1"/>
      <c r="AL6254" s="1"/>
      <c r="AM6254" s="1"/>
    </row>
    <row r="6255" spans="16:39" x14ac:dyDescent="0.25">
      <c r="P6255" s="49"/>
      <c r="Q6255" s="1"/>
      <c r="S6255" s="1"/>
      <c r="T6255" s="1"/>
      <c r="U6255" s="1"/>
      <c r="V6255" s="1"/>
      <c r="W6255" s="1"/>
      <c r="X6255" s="1"/>
      <c r="Y6255" s="1"/>
      <c r="AB6255" s="1"/>
      <c r="AC6255" s="1"/>
      <c r="AD6255" s="1"/>
      <c r="AE6255" s="1"/>
      <c r="AF6255" s="1"/>
      <c r="AG6255" s="1"/>
      <c r="AH6255" s="1"/>
      <c r="AI6255" s="1"/>
      <c r="AJ6255" s="1"/>
      <c r="AK6255" s="1"/>
      <c r="AL6255" s="1"/>
      <c r="AM6255" s="1"/>
    </row>
    <row r="6256" spans="16:39" x14ac:dyDescent="0.25">
      <c r="P6256" s="49"/>
      <c r="Q6256" s="1"/>
      <c r="S6256" s="1"/>
      <c r="T6256" s="1"/>
      <c r="U6256" s="1"/>
      <c r="V6256" s="1"/>
      <c r="W6256" s="1"/>
      <c r="X6256" s="1"/>
      <c r="Y6256" s="1"/>
      <c r="AB6256" s="1"/>
      <c r="AC6256" s="1"/>
      <c r="AD6256" s="1"/>
      <c r="AE6256" s="1"/>
      <c r="AF6256" s="1"/>
      <c r="AG6256" s="1"/>
      <c r="AH6256" s="1"/>
      <c r="AI6256" s="1"/>
      <c r="AJ6256" s="1"/>
      <c r="AK6256" s="1"/>
      <c r="AL6256" s="1"/>
      <c r="AM6256" s="1"/>
    </row>
    <row r="6257" spans="16:39" x14ac:dyDescent="0.25">
      <c r="P6257" s="49"/>
      <c r="Q6257" s="1"/>
      <c r="S6257" s="1"/>
      <c r="T6257" s="1"/>
      <c r="U6257" s="1"/>
      <c r="V6257" s="1"/>
      <c r="W6257" s="1"/>
      <c r="X6257" s="1"/>
      <c r="Y6257" s="1"/>
      <c r="AB6257" s="1"/>
      <c r="AC6257" s="1"/>
      <c r="AD6257" s="1"/>
      <c r="AE6257" s="1"/>
      <c r="AF6257" s="1"/>
      <c r="AG6257" s="1"/>
      <c r="AH6257" s="1"/>
      <c r="AI6257" s="1"/>
      <c r="AJ6257" s="1"/>
      <c r="AK6257" s="1"/>
      <c r="AL6257" s="1"/>
      <c r="AM6257" s="1"/>
    </row>
    <row r="6258" spans="16:39" x14ac:dyDescent="0.25">
      <c r="P6258" s="49"/>
      <c r="Q6258" s="1"/>
      <c r="S6258" s="1"/>
      <c r="T6258" s="1"/>
      <c r="U6258" s="1"/>
      <c r="V6258" s="1"/>
      <c r="W6258" s="1"/>
      <c r="X6258" s="1"/>
      <c r="Y6258" s="1"/>
      <c r="AB6258" s="1"/>
      <c r="AC6258" s="1"/>
      <c r="AD6258" s="1"/>
      <c r="AE6258" s="1"/>
      <c r="AF6258" s="1"/>
      <c r="AG6258" s="1"/>
      <c r="AH6258" s="1"/>
      <c r="AI6258" s="1"/>
      <c r="AJ6258" s="1"/>
      <c r="AK6258" s="1"/>
      <c r="AL6258" s="1"/>
      <c r="AM6258" s="1"/>
    </row>
    <row r="6259" spans="16:39" x14ac:dyDescent="0.25">
      <c r="P6259" s="49"/>
      <c r="Q6259" s="1"/>
      <c r="S6259" s="1"/>
      <c r="T6259" s="1"/>
      <c r="U6259" s="1"/>
      <c r="V6259" s="1"/>
      <c r="W6259" s="1"/>
      <c r="X6259" s="1"/>
      <c r="Y6259" s="1"/>
      <c r="AB6259" s="1"/>
      <c r="AC6259" s="1"/>
      <c r="AD6259" s="1"/>
      <c r="AE6259" s="1"/>
      <c r="AF6259" s="1"/>
      <c r="AG6259" s="1"/>
      <c r="AH6259" s="1"/>
      <c r="AI6259" s="1"/>
      <c r="AJ6259" s="1"/>
      <c r="AK6259" s="1"/>
      <c r="AL6259" s="1"/>
      <c r="AM6259" s="1"/>
    </row>
    <row r="6260" spans="16:39" x14ac:dyDescent="0.25">
      <c r="P6260" s="49"/>
      <c r="Q6260" s="1"/>
      <c r="S6260" s="1"/>
      <c r="T6260" s="1"/>
      <c r="U6260" s="1"/>
      <c r="V6260" s="1"/>
      <c r="W6260" s="1"/>
      <c r="X6260" s="1"/>
      <c r="Y6260" s="1"/>
      <c r="AB6260" s="1"/>
      <c r="AC6260" s="1"/>
      <c r="AD6260" s="1"/>
      <c r="AE6260" s="1"/>
      <c r="AF6260" s="1"/>
      <c r="AG6260" s="1"/>
      <c r="AH6260" s="1"/>
      <c r="AI6260" s="1"/>
      <c r="AJ6260" s="1"/>
      <c r="AK6260" s="1"/>
      <c r="AL6260" s="1"/>
      <c r="AM6260" s="1"/>
    </row>
    <row r="6261" spans="16:39" x14ac:dyDescent="0.25">
      <c r="P6261" s="49"/>
      <c r="Q6261" s="1"/>
      <c r="S6261" s="1"/>
      <c r="T6261" s="1"/>
      <c r="U6261" s="1"/>
      <c r="V6261" s="1"/>
      <c r="W6261" s="1"/>
      <c r="X6261" s="1"/>
      <c r="Y6261" s="1"/>
      <c r="AB6261" s="1"/>
      <c r="AC6261" s="1"/>
      <c r="AD6261" s="1"/>
      <c r="AE6261" s="1"/>
      <c r="AF6261" s="1"/>
      <c r="AG6261" s="1"/>
      <c r="AH6261" s="1"/>
      <c r="AI6261" s="1"/>
      <c r="AJ6261" s="1"/>
      <c r="AK6261" s="1"/>
      <c r="AL6261" s="1"/>
      <c r="AM6261" s="1"/>
    </row>
    <row r="6262" spans="16:39" x14ac:dyDescent="0.25">
      <c r="P6262" s="49"/>
      <c r="Q6262" s="1"/>
      <c r="S6262" s="1"/>
      <c r="T6262" s="1"/>
      <c r="U6262" s="1"/>
      <c r="V6262" s="1"/>
      <c r="W6262" s="1"/>
      <c r="X6262" s="1"/>
      <c r="Y6262" s="1"/>
      <c r="AB6262" s="1"/>
      <c r="AC6262" s="1"/>
      <c r="AD6262" s="1"/>
      <c r="AE6262" s="1"/>
      <c r="AF6262" s="1"/>
      <c r="AG6262" s="1"/>
      <c r="AH6262" s="1"/>
      <c r="AI6262" s="1"/>
      <c r="AJ6262" s="1"/>
      <c r="AK6262" s="1"/>
      <c r="AL6262" s="1"/>
      <c r="AM6262" s="1"/>
    </row>
    <row r="6263" spans="16:39" x14ac:dyDescent="0.25">
      <c r="P6263" s="49"/>
      <c r="Q6263" s="1"/>
      <c r="S6263" s="1"/>
      <c r="T6263" s="1"/>
      <c r="U6263" s="1"/>
      <c r="V6263" s="1"/>
      <c r="W6263" s="1"/>
      <c r="X6263" s="1"/>
      <c r="Y6263" s="1"/>
      <c r="AB6263" s="1"/>
      <c r="AC6263" s="1"/>
      <c r="AD6263" s="1"/>
      <c r="AE6263" s="1"/>
      <c r="AF6263" s="1"/>
      <c r="AG6263" s="1"/>
      <c r="AH6263" s="1"/>
      <c r="AI6263" s="1"/>
      <c r="AJ6263" s="1"/>
      <c r="AK6263" s="1"/>
      <c r="AL6263" s="1"/>
      <c r="AM6263" s="1"/>
    </row>
    <row r="6264" spans="16:39" x14ac:dyDescent="0.25">
      <c r="P6264" s="49"/>
      <c r="Q6264" s="1"/>
      <c r="S6264" s="1"/>
      <c r="T6264" s="1"/>
      <c r="U6264" s="1"/>
      <c r="V6264" s="1"/>
      <c r="W6264" s="1"/>
      <c r="X6264" s="1"/>
      <c r="Y6264" s="1"/>
      <c r="AB6264" s="1"/>
      <c r="AC6264" s="1"/>
      <c r="AD6264" s="1"/>
      <c r="AE6264" s="1"/>
      <c r="AF6264" s="1"/>
      <c r="AG6264" s="1"/>
      <c r="AH6264" s="1"/>
      <c r="AI6264" s="1"/>
      <c r="AJ6264" s="1"/>
      <c r="AK6264" s="1"/>
      <c r="AL6264" s="1"/>
      <c r="AM6264" s="1"/>
    </row>
    <row r="6265" spans="16:39" x14ac:dyDescent="0.25">
      <c r="P6265" s="49"/>
      <c r="Q6265" s="1"/>
      <c r="S6265" s="1"/>
      <c r="T6265" s="1"/>
      <c r="U6265" s="1"/>
      <c r="V6265" s="1"/>
      <c r="W6265" s="1"/>
      <c r="X6265" s="1"/>
      <c r="Y6265" s="1"/>
      <c r="AB6265" s="1"/>
      <c r="AC6265" s="1"/>
      <c r="AD6265" s="1"/>
      <c r="AE6265" s="1"/>
      <c r="AF6265" s="1"/>
      <c r="AG6265" s="1"/>
      <c r="AH6265" s="1"/>
      <c r="AI6265" s="1"/>
      <c r="AJ6265" s="1"/>
      <c r="AK6265" s="1"/>
      <c r="AL6265" s="1"/>
      <c r="AM6265" s="1"/>
    </row>
    <row r="6266" spans="16:39" x14ac:dyDescent="0.25">
      <c r="P6266" s="49"/>
      <c r="Q6266" s="1"/>
      <c r="S6266" s="1"/>
      <c r="T6266" s="1"/>
      <c r="U6266" s="1"/>
      <c r="V6266" s="1"/>
      <c r="W6266" s="1"/>
      <c r="X6266" s="1"/>
      <c r="Y6266" s="1"/>
      <c r="AB6266" s="1"/>
      <c r="AC6266" s="1"/>
      <c r="AD6266" s="1"/>
      <c r="AE6266" s="1"/>
      <c r="AF6266" s="1"/>
      <c r="AG6266" s="1"/>
      <c r="AH6266" s="1"/>
      <c r="AI6266" s="1"/>
      <c r="AJ6266" s="1"/>
      <c r="AK6266" s="1"/>
      <c r="AL6266" s="1"/>
      <c r="AM6266" s="1"/>
    </row>
    <row r="6267" spans="16:39" x14ac:dyDescent="0.25">
      <c r="P6267" s="49"/>
      <c r="Q6267" s="1"/>
      <c r="S6267" s="1"/>
      <c r="T6267" s="1"/>
      <c r="U6267" s="1"/>
      <c r="V6267" s="1"/>
      <c r="W6267" s="1"/>
      <c r="X6267" s="1"/>
      <c r="Y6267" s="1"/>
      <c r="AB6267" s="1"/>
      <c r="AC6267" s="1"/>
      <c r="AD6267" s="1"/>
      <c r="AE6267" s="1"/>
      <c r="AF6267" s="1"/>
      <c r="AG6267" s="1"/>
      <c r="AH6267" s="1"/>
      <c r="AI6267" s="1"/>
      <c r="AJ6267" s="1"/>
      <c r="AK6267" s="1"/>
      <c r="AL6267" s="1"/>
      <c r="AM6267" s="1"/>
    </row>
    <row r="6268" spans="16:39" x14ac:dyDescent="0.25">
      <c r="P6268" s="49"/>
      <c r="Q6268" s="1"/>
      <c r="S6268" s="1"/>
      <c r="T6268" s="1"/>
      <c r="U6268" s="1"/>
      <c r="V6268" s="1"/>
      <c r="W6268" s="1"/>
      <c r="X6268" s="1"/>
      <c r="Y6268" s="1"/>
      <c r="AB6268" s="1"/>
      <c r="AC6268" s="1"/>
      <c r="AD6268" s="1"/>
      <c r="AE6268" s="1"/>
      <c r="AF6268" s="1"/>
      <c r="AG6268" s="1"/>
      <c r="AH6268" s="1"/>
      <c r="AI6268" s="1"/>
      <c r="AJ6268" s="1"/>
      <c r="AK6268" s="1"/>
      <c r="AL6268" s="1"/>
      <c r="AM6268" s="1"/>
    </row>
    <row r="6269" spans="16:39" x14ac:dyDescent="0.25">
      <c r="P6269" s="49"/>
      <c r="Q6269" s="1"/>
      <c r="S6269" s="1"/>
      <c r="T6269" s="1"/>
      <c r="U6269" s="1"/>
      <c r="V6269" s="1"/>
      <c r="W6269" s="1"/>
      <c r="X6269" s="1"/>
      <c r="Y6269" s="1"/>
      <c r="AB6269" s="1"/>
      <c r="AC6269" s="1"/>
      <c r="AD6269" s="1"/>
      <c r="AE6269" s="1"/>
      <c r="AF6269" s="1"/>
      <c r="AG6269" s="1"/>
      <c r="AH6269" s="1"/>
      <c r="AI6269" s="1"/>
      <c r="AJ6269" s="1"/>
      <c r="AK6269" s="1"/>
      <c r="AL6269" s="1"/>
      <c r="AM6269" s="1"/>
    </row>
    <row r="6270" spans="16:39" x14ac:dyDescent="0.25">
      <c r="P6270" s="49"/>
      <c r="Q6270" s="1"/>
      <c r="S6270" s="1"/>
      <c r="T6270" s="1"/>
      <c r="U6270" s="1"/>
      <c r="V6270" s="1"/>
      <c r="W6270" s="1"/>
      <c r="X6270" s="1"/>
      <c r="Y6270" s="1"/>
      <c r="AB6270" s="1"/>
      <c r="AC6270" s="1"/>
      <c r="AD6270" s="1"/>
      <c r="AE6270" s="1"/>
      <c r="AF6270" s="1"/>
      <c r="AG6270" s="1"/>
      <c r="AH6270" s="1"/>
      <c r="AI6270" s="1"/>
      <c r="AJ6270" s="1"/>
      <c r="AK6270" s="1"/>
      <c r="AL6270" s="1"/>
      <c r="AM6270" s="1"/>
    </row>
    <row r="6271" spans="16:39" x14ac:dyDescent="0.25">
      <c r="P6271" s="49"/>
      <c r="Q6271" s="1"/>
      <c r="S6271" s="1"/>
      <c r="T6271" s="1"/>
      <c r="U6271" s="1"/>
      <c r="V6271" s="1"/>
      <c r="W6271" s="1"/>
      <c r="X6271" s="1"/>
      <c r="Y6271" s="1"/>
      <c r="AB6271" s="1"/>
      <c r="AC6271" s="1"/>
      <c r="AD6271" s="1"/>
      <c r="AE6271" s="1"/>
      <c r="AF6271" s="1"/>
      <c r="AG6271" s="1"/>
      <c r="AH6271" s="1"/>
      <c r="AI6271" s="1"/>
      <c r="AJ6271" s="1"/>
      <c r="AK6271" s="1"/>
      <c r="AL6271" s="1"/>
      <c r="AM6271" s="1"/>
    </row>
    <row r="6272" spans="16:39" x14ac:dyDescent="0.25">
      <c r="P6272" s="49"/>
      <c r="Q6272" s="1"/>
      <c r="S6272" s="1"/>
      <c r="T6272" s="1"/>
      <c r="U6272" s="1"/>
      <c r="V6272" s="1"/>
      <c r="W6272" s="1"/>
      <c r="X6272" s="1"/>
      <c r="Y6272" s="1"/>
      <c r="AB6272" s="1"/>
      <c r="AC6272" s="1"/>
      <c r="AD6272" s="1"/>
      <c r="AE6272" s="1"/>
      <c r="AF6272" s="1"/>
      <c r="AG6272" s="1"/>
      <c r="AH6272" s="1"/>
      <c r="AI6272" s="1"/>
      <c r="AJ6272" s="1"/>
      <c r="AK6272" s="1"/>
      <c r="AL6272" s="1"/>
      <c r="AM6272" s="1"/>
    </row>
    <row r="6273" spans="16:39" x14ac:dyDescent="0.25">
      <c r="P6273" s="49"/>
      <c r="Q6273" s="1"/>
      <c r="S6273" s="1"/>
      <c r="T6273" s="1"/>
      <c r="U6273" s="1"/>
      <c r="V6273" s="1"/>
      <c r="W6273" s="1"/>
      <c r="X6273" s="1"/>
      <c r="Y6273" s="1"/>
      <c r="AB6273" s="1"/>
      <c r="AC6273" s="1"/>
      <c r="AD6273" s="1"/>
      <c r="AE6273" s="1"/>
      <c r="AF6273" s="1"/>
      <c r="AG6273" s="1"/>
      <c r="AH6273" s="1"/>
      <c r="AI6273" s="1"/>
      <c r="AJ6273" s="1"/>
      <c r="AK6273" s="1"/>
      <c r="AL6273" s="1"/>
      <c r="AM6273" s="1"/>
    </row>
    <row r="6274" spans="16:39" x14ac:dyDescent="0.25">
      <c r="P6274" s="49"/>
      <c r="Q6274" s="1"/>
      <c r="S6274" s="1"/>
      <c r="T6274" s="1"/>
      <c r="U6274" s="1"/>
      <c r="V6274" s="1"/>
      <c r="W6274" s="1"/>
      <c r="X6274" s="1"/>
      <c r="Y6274" s="1"/>
      <c r="AB6274" s="1"/>
      <c r="AC6274" s="1"/>
      <c r="AD6274" s="1"/>
      <c r="AE6274" s="1"/>
      <c r="AF6274" s="1"/>
      <c r="AG6274" s="1"/>
      <c r="AH6274" s="1"/>
      <c r="AI6274" s="1"/>
      <c r="AJ6274" s="1"/>
      <c r="AK6274" s="1"/>
      <c r="AL6274" s="1"/>
      <c r="AM6274" s="1"/>
    </row>
    <row r="6275" spans="16:39" x14ac:dyDescent="0.25">
      <c r="P6275" s="49"/>
      <c r="Q6275" s="1"/>
      <c r="S6275" s="1"/>
      <c r="T6275" s="1"/>
      <c r="U6275" s="1"/>
      <c r="V6275" s="1"/>
      <c r="W6275" s="1"/>
      <c r="X6275" s="1"/>
      <c r="Y6275" s="1"/>
      <c r="AB6275" s="1"/>
      <c r="AC6275" s="1"/>
      <c r="AD6275" s="1"/>
      <c r="AE6275" s="1"/>
      <c r="AF6275" s="1"/>
      <c r="AG6275" s="1"/>
      <c r="AH6275" s="1"/>
      <c r="AI6275" s="1"/>
      <c r="AJ6275" s="1"/>
      <c r="AK6275" s="1"/>
      <c r="AL6275" s="1"/>
      <c r="AM6275" s="1"/>
    </row>
    <row r="6276" spans="16:39" x14ac:dyDescent="0.25">
      <c r="P6276" s="49"/>
      <c r="Q6276" s="1"/>
      <c r="S6276" s="1"/>
      <c r="T6276" s="1"/>
      <c r="U6276" s="1"/>
      <c r="V6276" s="1"/>
      <c r="W6276" s="1"/>
      <c r="X6276" s="1"/>
      <c r="Y6276" s="1"/>
      <c r="AB6276" s="1"/>
      <c r="AC6276" s="1"/>
      <c r="AD6276" s="1"/>
      <c r="AE6276" s="1"/>
      <c r="AF6276" s="1"/>
      <c r="AG6276" s="1"/>
      <c r="AH6276" s="1"/>
      <c r="AI6276" s="1"/>
      <c r="AJ6276" s="1"/>
      <c r="AK6276" s="1"/>
      <c r="AL6276" s="1"/>
      <c r="AM6276" s="1"/>
    </row>
    <row r="6277" spans="16:39" x14ac:dyDescent="0.25">
      <c r="P6277" s="49"/>
      <c r="Q6277" s="1"/>
      <c r="S6277" s="1"/>
      <c r="T6277" s="1"/>
      <c r="U6277" s="1"/>
      <c r="V6277" s="1"/>
      <c r="W6277" s="1"/>
      <c r="X6277" s="1"/>
      <c r="Y6277" s="1"/>
      <c r="AB6277" s="1"/>
      <c r="AC6277" s="1"/>
      <c r="AD6277" s="1"/>
      <c r="AE6277" s="1"/>
      <c r="AF6277" s="1"/>
      <c r="AG6277" s="1"/>
      <c r="AH6277" s="1"/>
      <c r="AI6277" s="1"/>
      <c r="AJ6277" s="1"/>
      <c r="AK6277" s="1"/>
      <c r="AL6277" s="1"/>
      <c r="AM6277" s="1"/>
    </row>
    <row r="6278" spans="16:39" x14ac:dyDescent="0.25">
      <c r="P6278" s="49"/>
      <c r="Q6278" s="1"/>
      <c r="S6278" s="1"/>
      <c r="T6278" s="1"/>
      <c r="U6278" s="1"/>
      <c r="V6278" s="1"/>
      <c r="W6278" s="1"/>
      <c r="X6278" s="1"/>
      <c r="Y6278" s="1"/>
      <c r="AB6278" s="1"/>
      <c r="AC6278" s="1"/>
      <c r="AD6278" s="1"/>
      <c r="AE6278" s="1"/>
      <c r="AF6278" s="1"/>
      <c r="AG6278" s="1"/>
      <c r="AH6278" s="1"/>
      <c r="AI6278" s="1"/>
      <c r="AJ6278" s="1"/>
      <c r="AK6278" s="1"/>
      <c r="AL6278" s="1"/>
      <c r="AM6278" s="1"/>
    </row>
    <row r="6279" spans="16:39" x14ac:dyDescent="0.25">
      <c r="P6279" s="49"/>
      <c r="Q6279" s="1"/>
      <c r="S6279" s="1"/>
      <c r="T6279" s="1"/>
      <c r="U6279" s="1"/>
      <c r="V6279" s="1"/>
      <c r="W6279" s="1"/>
      <c r="X6279" s="1"/>
      <c r="Y6279" s="1"/>
      <c r="AB6279" s="1"/>
      <c r="AC6279" s="1"/>
      <c r="AD6279" s="1"/>
      <c r="AE6279" s="1"/>
      <c r="AF6279" s="1"/>
      <c r="AG6279" s="1"/>
      <c r="AH6279" s="1"/>
      <c r="AI6279" s="1"/>
      <c r="AJ6279" s="1"/>
      <c r="AK6279" s="1"/>
      <c r="AL6279" s="1"/>
      <c r="AM6279" s="1"/>
    </row>
    <row r="6280" spans="16:39" x14ac:dyDescent="0.25">
      <c r="P6280" s="49"/>
      <c r="Q6280" s="1"/>
      <c r="S6280" s="1"/>
      <c r="T6280" s="1"/>
      <c r="U6280" s="1"/>
      <c r="V6280" s="1"/>
      <c r="W6280" s="1"/>
      <c r="X6280" s="1"/>
      <c r="Y6280" s="1"/>
      <c r="AB6280" s="1"/>
      <c r="AC6280" s="1"/>
      <c r="AD6280" s="1"/>
      <c r="AE6280" s="1"/>
      <c r="AF6280" s="1"/>
      <c r="AG6280" s="1"/>
      <c r="AH6280" s="1"/>
      <c r="AI6280" s="1"/>
      <c r="AJ6280" s="1"/>
      <c r="AK6280" s="1"/>
      <c r="AL6280" s="1"/>
      <c r="AM6280" s="1"/>
    </row>
    <row r="6281" spans="16:39" x14ac:dyDescent="0.25">
      <c r="P6281" s="49"/>
      <c r="Q6281" s="1"/>
      <c r="S6281" s="1"/>
      <c r="T6281" s="1"/>
      <c r="U6281" s="1"/>
      <c r="V6281" s="1"/>
      <c r="W6281" s="1"/>
      <c r="X6281" s="1"/>
      <c r="Y6281" s="1"/>
      <c r="AB6281" s="1"/>
      <c r="AC6281" s="1"/>
      <c r="AD6281" s="1"/>
      <c r="AE6281" s="1"/>
      <c r="AF6281" s="1"/>
      <c r="AG6281" s="1"/>
      <c r="AH6281" s="1"/>
      <c r="AI6281" s="1"/>
      <c r="AJ6281" s="1"/>
      <c r="AK6281" s="1"/>
      <c r="AL6281" s="1"/>
      <c r="AM6281" s="1"/>
    </row>
    <row r="6282" spans="16:39" x14ac:dyDescent="0.25">
      <c r="P6282" s="49"/>
      <c r="Q6282" s="1"/>
      <c r="S6282" s="1"/>
      <c r="T6282" s="1"/>
      <c r="U6282" s="1"/>
      <c r="V6282" s="1"/>
      <c r="W6282" s="1"/>
      <c r="X6282" s="1"/>
      <c r="Y6282" s="1"/>
      <c r="AB6282" s="1"/>
      <c r="AC6282" s="1"/>
      <c r="AD6282" s="1"/>
      <c r="AE6282" s="1"/>
      <c r="AF6282" s="1"/>
      <c r="AG6282" s="1"/>
      <c r="AH6282" s="1"/>
      <c r="AI6282" s="1"/>
      <c r="AJ6282" s="1"/>
      <c r="AK6282" s="1"/>
      <c r="AL6282" s="1"/>
      <c r="AM6282" s="1"/>
    </row>
    <row r="6283" spans="16:39" x14ac:dyDescent="0.25">
      <c r="P6283" s="49"/>
      <c r="Q6283" s="1"/>
      <c r="S6283" s="1"/>
      <c r="T6283" s="1"/>
      <c r="U6283" s="1"/>
      <c r="V6283" s="1"/>
      <c r="W6283" s="1"/>
      <c r="X6283" s="1"/>
      <c r="Y6283" s="1"/>
      <c r="AB6283" s="1"/>
      <c r="AC6283" s="1"/>
      <c r="AD6283" s="1"/>
      <c r="AE6283" s="1"/>
      <c r="AF6283" s="1"/>
      <c r="AG6283" s="1"/>
      <c r="AH6283" s="1"/>
      <c r="AI6283" s="1"/>
      <c r="AJ6283" s="1"/>
      <c r="AK6283" s="1"/>
      <c r="AL6283" s="1"/>
      <c r="AM6283" s="1"/>
    </row>
    <row r="6284" spans="16:39" x14ac:dyDescent="0.25">
      <c r="P6284" s="49"/>
      <c r="Q6284" s="1"/>
      <c r="S6284" s="1"/>
      <c r="T6284" s="1"/>
      <c r="U6284" s="1"/>
      <c r="V6284" s="1"/>
      <c r="W6284" s="1"/>
      <c r="X6284" s="1"/>
      <c r="Y6284" s="1"/>
      <c r="AB6284" s="1"/>
      <c r="AC6284" s="1"/>
      <c r="AD6284" s="1"/>
      <c r="AE6284" s="1"/>
      <c r="AF6284" s="1"/>
      <c r="AG6284" s="1"/>
      <c r="AH6284" s="1"/>
      <c r="AI6284" s="1"/>
      <c r="AJ6284" s="1"/>
      <c r="AK6284" s="1"/>
      <c r="AL6284" s="1"/>
      <c r="AM6284" s="1"/>
    </row>
    <row r="6285" spans="16:39" x14ac:dyDescent="0.25">
      <c r="P6285" s="49"/>
      <c r="Q6285" s="1"/>
      <c r="S6285" s="1"/>
      <c r="T6285" s="1"/>
      <c r="U6285" s="1"/>
      <c r="V6285" s="1"/>
      <c r="W6285" s="1"/>
      <c r="X6285" s="1"/>
      <c r="Y6285" s="1"/>
      <c r="AB6285" s="1"/>
      <c r="AC6285" s="1"/>
      <c r="AD6285" s="1"/>
      <c r="AE6285" s="1"/>
      <c r="AF6285" s="1"/>
      <c r="AG6285" s="1"/>
      <c r="AH6285" s="1"/>
      <c r="AI6285" s="1"/>
      <c r="AJ6285" s="1"/>
      <c r="AK6285" s="1"/>
      <c r="AL6285" s="1"/>
      <c r="AM6285" s="1"/>
    </row>
    <row r="6286" spans="16:39" x14ac:dyDescent="0.25">
      <c r="P6286" s="49"/>
      <c r="Q6286" s="1"/>
      <c r="S6286" s="1"/>
      <c r="T6286" s="1"/>
      <c r="U6286" s="1"/>
      <c r="V6286" s="1"/>
      <c r="W6286" s="1"/>
      <c r="X6286" s="1"/>
      <c r="Y6286" s="1"/>
      <c r="AB6286" s="1"/>
      <c r="AC6286" s="1"/>
      <c r="AD6286" s="1"/>
      <c r="AE6286" s="1"/>
      <c r="AF6286" s="1"/>
      <c r="AG6286" s="1"/>
      <c r="AH6286" s="1"/>
      <c r="AI6286" s="1"/>
      <c r="AJ6286" s="1"/>
      <c r="AK6286" s="1"/>
      <c r="AL6286" s="1"/>
      <c r="AM6286" s="1"/>
    </row>
    <row r="6287" spans="16:39" x14ac:dyDescent="0.25">
      <c r="P6287" s="49"/>
      <c r="Q6287" s="1"/>
      <c r="S6287" s="1"/>
      <c r="T6287" s="1"/>
      <c r="U6287" s="1"/>
      <c r="V6287" s="1"/>
      <c r="W6287" s="1"/>
      <c r="X6287" s="1"/>
      <c r="Y6287" s="1"/>
      <c r="AB6287" s="1"/>
      <c r="AC6287" s="1"/>
      <c r="AD6287" s="1"/>
      <c r="AE6287" s="1"/>
      <c r="AF6287" s="1"/>
      <c r="AG6287" s="1"/>
      <c r="AH6287" s="1"/>
      <c r="AI6287" s="1"/>
      <c r="AJ6287" s="1"/>
      <c r="AK6287" s="1"/>
      <c r="AL6287" s="1"/>
      <c r="AM6287" s="1"/>
    </row>
    <row r="6288" spans="16:39" x14ac:dyDescent="0.25">
      <c r="P6288" s="49"/>
      <c r="Q6288" s="1"/>
      <c r="S6288" s="1"/>
      <c r="T6288" s="1"/>
      <c r="U6288" s="1"/>
      <c r="V6288" s="1"/>
      <c r="W6288" s="1"/>
      <c r="X6288" s="1"/>
      <c r="Y6288" s="1"/>
      <c r="AB6288" s="1"/>
      <c r="AC6288" s="1"/>
      <c r="AD6288" s="1"/>
      <c r="AE6288" s="1"/>
      <c r="AF6288" s="1"/>
      <c r="AG6288" s="1"/>
      <c r="AH6288" s="1"/>
      <c r="AI6288" s="1"/>
      <c r="AJ6288" s="1"/>
      <c r="AK6288" s="1"/>
      <c r="AL6288" s="1"/>
      <c r="AM6288" s="1"/>
    </row>
    <row r="6289" spans="16:39" x14ac:dyDescent="0.25">
      <c r="P6289" s="49"/>
      <c r="Q6289" s="1"/>
      <c r="S6289" s="1"/>
      <c r="T6289" s="1"/>
      <c r="U6289" s="1"/>
      <c r="V6289" s="1"/>
      <c r="W6289" s="1"/>
      <c r="X6289" s="1"/>
      <c r="Y6289" s="1"/>
      <c r="AB6289" s="1"/>
      <c r="AC6289" s="1"/>
      <c r="AD6289" s="1"/>
      <c r="AE6289" s="1"/>
      <c r="AF6289" s="1"/>
      <c r="AG6289" s="1"/>
      <c r="AH6289" s="1"/>
      <c r="AI6289" s="1"/>
      <c r="AJ6289" s="1"/>
      <c r="AK6289" s="1"/>
      <c r="AL6289" s="1"/>
      <c r="AM6289" s="1"/>
    </row>
    <row r="6290" spans="16:39" x14ac:dyDescent="0.25">
      <c r="P6290" s="49"/>
      <c r="Q6290" s="1"/>
      <c r="S6290" s="1"/>
      <c r="T6290" s="1"/>
      <c r="U6290" s="1"/>
      <c r="V6290" s="1"/>
      <c r="W6290" s="1"/>
      <c r="X6290" s="1"/>
      <c r="Y6290" s="1"/>
      <c r="AB6290" s="1"/>
      <c r="AC6290" s="1"/>
      <c r="AD6290" s="1"/>
      <c r="AE6290" s="1"/>
      <c r="AF6290" s="1"/>
      <c r="AG6290" s="1"/>
      <c r="AH6290" s="1"/>
      <c r="AI6290" s="1"/>
      <c r="AJ6290" s="1"/>
      <c r="AK6290" s="1"/>
      <c r="AL6290" s="1"/>
      <c r="AM6290" s="1"/>
    </row>
    <row r="6291" spans="16:39" x14ac:dyDescent="0.25">
      <c r="P6291" s="49"/>
      <c r="Q6291" s="1"/>
      <c r="S6291" s="1"/>
      <c r="T6291" s="1"/>
      <c r="U6291" s="1"/>
      <c r="V6291" s="1"/>
      <c r="W6291" s="1"/>
      <c r="X6291" s="1"/>
      <c r="Y6291" s="1"/>
      <c r="AB6291" s="1"/>
      <c r="AC6291" s="1"/>
      <c r="AD6291" s="1"/>
      <c r="AE6291" s="1"/>
      <c r="AF6291" s="1"/>
      <c r="AG6291" s="1"/>
      <c r="AH6291" s="1"/>
      <c r="AI6291" s="1"/>
      <c r="AJ6291" s="1"/>
      <c r="AK6291" s="1"/>
      <c r="AL6291" s="1"/>
      <c r="AM6291" s="1"/>
    </row>
    <row r="6292" spans="16:39" x14ac:dyDescent="0.25">
      <c r="P6292" s="49"/>
      <c r="Q6292" s="1"/>
      <c r="S6292" s="1"/>
      <c r="T6292" s="1"/>
      <c r="U6292" s="1"/>
      <c r="V6292" s="1"/>
      <c r="W6292" s="1"/>
      <c r="X6292" s="1"/>
      <c r="Y6292" s="1"/>
      <c r="AB6292" s="1"/>
      <c r="AC6292" s="1"/>
      <c r="AD6292" s="1"/>
      <c r="AE6292" s="1"/>
      <c r="AF6292" s="1"/>
      <c r="AG6292" s="1"/>
      <c r="AH6292" s="1"/>
      <c r="AI6292" s="1"/>
      <c r="AJ6292" s="1"/>
      <c r="AK6292" s="1"/>
      <c r="AL6292" s="1"/>
      <c r="AM6292" s="1"/>
    </row>
    <row r="6293" spans="16:39" x14ac:dyDescent="0.25">
      <c r="P6293" s="49"/>
      <c r="Q6293" s="1"/>
      <c r="S6293" s="1"/>
      <c r="T6293" s="1"/>
      <c r="U6293" s="1"/>
      <c r="V6293" s="1"/>
      <c r="W6293" s="1"/>
      <c r="X6293" s="1"/>
      <c r="Y6293" s="1"/>
      <c r="AB6293" s="1"/>
      <c r="AC6293" s="1"/>
      <c r="AD6293" s="1"/>
      <c r="AE6293" s="1"/>
      <c r="AF6293" s="1"/>
      <c r="AG6293" s="1"/>
      <c r="AH6293" s="1"/>
      <c r="AI6293" s="1"/>
      <c r="AJ6293" s="1"/>
      <c r="AK6293" s="1"/>
      <c r="AL6293" s="1"/>
      <c r="AM6293" s="1"/>
    </row>
    <row r="6294" spans="16:39" x14ac:dyDescent="0.25">
      <c r="P6294" s="49"/>
      <c r="Q6294" s="1"/>
      <c r="S6294" s="1"/>
      <c r="T6294" s="1"/>
      <c r="U6294" s="1"/>
      <c r="V6294" s="1"/>
      <c r="W6294" s="1"/>
      <c r="X6294" s="1"/>
      <c r="Y6294" s="1"/>
      <c r="AB6294" s="1"/>
      <c r="AC6294" s="1"/>
      <c r="AD6294" s="1"/>
      <c r="AE6294" s="1"/>
      <c r="AF6294" s="1"/>
      <c r="AG6294" s="1"/>
      <c r="AH6294" s="1"/>
      <c r="AI6294" s="1"/>
      <c r="AJ6294" s="1"/>
      <c r="AK6294" s="1"/>
      <c r="AL6294" s="1"/>
      <c r="AM6294" s="1"/>
    </row>
    <row r="6295" spans="16:39" x14ac:dyDescent="0.25">
      <c r="P6295" s="49"/>
      <c r="Q6295" s="1"/>
      <c r="S6295" s="1"/>
      <c r="T6295" s="1"/>
      <c r="U6295" s="1"/>
      <c r="V6295" s="1"/>
      <c r="W6295" s="1"/>
      <c r="X6295" s="1"/>
      <c r="Y6295" s="1"/>
      <c r="AB6295" s="1"/>
      <c r="AC6295" s="1"/>
      <c r="AD6295" s="1"/>
      <c r="AE6295" s="1"/>
      <c r="AF6295" s="1"/>
      <c r="AG6295" s="1"/>
      <c r="AH6295" s="1"/>
      <c r="AI6295" s="1"/>
      <c r="AJ6295" s="1"/>
      <c r="AK6295" s="1"/>
      <c r="AL6295" s="1"/>
      <c r="AM6295" s="1"/>
    </row>
    <row r="6296" spans="16:39" x14ac:dyDescent="0.25">
      <c r="P6296" s="49"/>
      <c r="Q6296" s="1"/>
      <c r="S6296" s="1"/>
      <c r="T6296" s="1"/>
      <c r="U6296" s="1"/>
      <c r="V6296" s="1"/>
      <c r="W6296" s="1"/>
      <c r="X6296" s="1"/>
      <c r="Y6296" s="1"/>
      <c r="AB6296" s="1"/>
      <c r="AC6296" s="1"/>
      <c r="AD6296" s="1"/>
      <c r="AE6296" s="1"/>
      <c r="AF6296" s="1"/>
      <c r="AG6296" s="1"/>
      <c r="AH6296" s="1"/>
      <c r="AI6296" s="1"/>
      <c r="AJ6296" s="1"/>
      <c r="AK6296" s="1"/>
      <c r="AL6296" s="1"/>
      <c r="AM6296" s="1"/>
    </row>
    <row r="6297" spans="16:39" x14ac:dyDescent="0.25">
      <c r="P6297" s="49"/>
      <c r="Q6297" s="1"/>
      <c r="S6297" s="1"/>
      <c r="T6297" s="1"/>
      <c r="U6297" s="1"/>
      <c r="V6297" s="1"/>
      <c r="W6297" s="1"/>
      <c r="X6297" s="1"/>
      <c r="Y6297" s="1"/>
      <c r="AB6297" s="1"/>
      <c r="AC6297" s="1"/>
      <c r="AD6297" s="1"/>
      <c r="AE6297" s="1"/>
      <c r="AF6297" s="1"/>
      <c r="AG6297" s="1"/>
      <c r="AH6297" s="1"/>
      <c r="AI6297" s="1"/>
      <c r="AJ6297" s="1"/>
      <c r="AK6297" s="1"/>
      <c r="AL6297" s="1"/>
      <c r="AM6297" s="1"/>
    </row>
    <row r="6298" spans="16:39" x14ac:dyDescent="0.25">
      <c r="P6298" s="49"/>
      <c r="Q6298" s="1"/>
      <c r="S6298" s="1"/>
      <c r="T6298" s="1"/>
      <c r="U6298" s="1"/>
      <c r="V6298" s="1"/>
      <c r="W6298" s="1"/>
      <c r="X6298" s="1"/>
      <c r="Y6298" s="1"/>
      <c r="AB6298" s="1"/>
      <c r="AC6298" s="1"/>
      <c r="AD6298" s="1"/>
      <c r="AE6298" s="1"/>
      <c r="AF6298" s="1"/>
      <c r="AG6298" s="1"/>
      <c r="AH6298" s="1"/>
      <c r="AI6298" s="1"/>
      <c r="AJ6298" s="1"/>
      <c r="AK6298" s="1"/>
      <c r="AL6298" s="1"/>
      <c r="AM6298" s="1"/>
    </row>
    <row r="6299" spans="16:39" x14ac:dyDescent="0.25">
      <c r="P6299" s="49"/>
      <c r="Q6299" s="1"/>
      <c r="S6299" s="1"/>
      <c r="T6299" s="1"/>
      <c r="U6299" s="1"/>
      <c r="V6299" s="1"/>
      <c r="W6299" s="1"/>
      <c r="X6299" s="1"/>
      <c r="Y6299" s="1"/>
      <c r="AB6299" s="1"/>
      <c r="AC6299" s="1"/>
      <c r="AD6299" s="1"/>
      <c r="AE6299" s="1"/>
      <c r="AF6299" s="1"/>
      <c r="AG6299" s="1"/>
      <c r="AH6299" s="1"/>
      <c r="AI6299" s="1"/>
      <c r="AJ6299" s="1"/>
      <c r="AK6299" s="1"/>
      <c r="AL6299" s="1"/>
      <c r="AM6299" s="1"/>
    </row>
    <row r="6300" spans="16:39" x14ac:dyDescent="0.25">
      <c r="P6300" s="49"/>
      <c r="Q6300" s="1"/>
      <c r="S6300" s="1"/>
      <c r="T6300" s="1"/>
      <c r="U6300" s="1"/>
      <c r="V6300" s="1"/>
      <c r="W6300" s="1"/>
      <c r="X6300" s="1"/>
      <c r="Y6300" s="1"/>
      <c r="AB6300" s="1"/>
      <c r="AC6300" s="1"/>
      <c r="AD6300" s="1"/>
      <c r="AE6300" s="1"/>
      <c r="AF6300" s="1"/>
      <c r="AG6300" s="1"/>
      <c r="AH6300" s="1"/>
      <c r="AI6300" s="1"/>
      <c r="AJ6300" s="1"/>
      <c r="AK6300" s="1"/>
      <c r="AL6300" s="1"/>
      <c r="AM6300" s="1"/>
    </row>
    <row r="6301" spans="16:39" x14ac:dyDescent="0.25">
      <c r="P6301" s="49"/>
      <c r="Q6301" s="1"/>
      <c r="S6301" s="1"/>
      <c r="T6301" s="1"/>
      <c r="U6301" s="1"/>
      <c r="V6301" s="1"/>
      <c r="W6301" s="1"/>
      <c r="X6301" s="1"/>
      <c r="Y6301" s="1"/>
      <c r="AB6301" s="1"/>
      <c r="AC6301" s="1"/>
      <c r="AD6301" s="1"/>
      <c r="AE6301" s="1"/>
      <c r="AF6301" s="1"/>
      <c r="AG6301" s="1"/>
      <c r="AH6301" s="1"/>
      <c r="AI6301" s="1"/>
      <c r="AJ6301" s="1"/>
      <c r="AK6301" s="1"/>
      <c r="AL6301" s="1"/>
      <c r="AM6301" s="1"/>
    </row>
    <row r="6302" spans="16:39" x14ac:dyDescent="0.25">
      <c r="P6302" s="49"/>
      <c r="Q6302" s="1"/>
      <c r="S6302" s="1"/>
      <c r="T6302" s="1"/>
      <c r="U6302" s="1"/>
      <c r="V6302" s="1"/>
      <c r="W6302" s="1"/>
      <c r="X6302" s="1"/>
      <c r="Y6302" s="1"/>
      <c r="AB6302" s="1"/>
      <c r="AC6302" s="1"/>
      <c r="AD6302" s="1"/>
      <c r="AE6302" s="1"/>
      <c r="AF6302" s="1"/>
      <c r="AG6302" s="1"/>
      <c r="AH6302" s="1"/>
      <c r="AI6302" s="1"/>
      <c r="AJ6302" s="1"/>
      <c r="AK6302" s="1"/>
      <c r="AL6302" s="1"/>
      <c r="AM6302" s="1"/>
    </row>
    <row r="6303" spans="16:39" x14ac:dyDescent="0.25">
      <c r="P6303" s="49"/>
      <c r="Q6303" s="1"/>
      <c r="S6303" s="1"/>
      <c r="T6303" s="1"/>
      <c r="U6303" s="1"/>
      <c r="V6303" s="1"/>
      <c r="W6303" s="1"/>
      <c r="X6303" s="1"/>
      <c r="Y6303" s="1"/>
      <c r="AB6303" s="1"/>
      <c r="AC6303" s="1"/>
      <c r="AD6303" s="1"/>
      <c r="AE6303" s="1"/>
      <c r="AF6303" s="1"/>
      <c r="AG6303" s="1"/>
      <c r="AH6303" s="1"/>
      <c r="AI6303" s="1"/>
      <c r="AJ6303" s="1"/>
      <c r="AK6303" s="1"/>
      <c r="AL6303" s="1"/>
      <c r="AM6303" s="1"/>
    </row>
    <row r="6304" spans="16:39" x14ac:dyDescent="0.25">
      <c r="P6304" s="49"/>
      <c r="Q6304" s="1"/>
      <c r="S6304" s="1"/>
      <c r="T6304" s="1"/>
      <c r="U6304" s="1"/>
      <c r="V6304" s="1"/>
      <c r="W6304" s="1"/>
      <c r="X6304" s="1"/>
      <c r="Y6304" s="1"/>
      <c r="AB6304" s="1"/>
      <c r="AC6304" s="1"/>
      <c r="AD6304" s="1"/>
      <c r="AE6304" s="1"/>
      <c r="AF6304" s="1"/>
      <c r="AG6304" s="1"/>
      <c r="AH6304" s="1"/>
      <c r="AI6304" s="1"/>
      <c r="AJ6304" s="1"/>
      <c r="AK6304" s="1"/>
      <c r="AL6304" s="1"/>
      <c r="AM6304" s="1"/>
    </row>
    <row r="6305" spans="16:39" x14ac:dyDescent="0.25">
      <c r="P6305" s="49"/>
      <c r="Q6305" s="1"/>
      <c r="S6305" s="1"/>
      <c r="T6305" s="1"/>
      <c r="U6305" s="1"/>
      <c r="V6305" s="1"/>
      <c r="W6305" s="1"/>
      <c r="X6305" s="1"/>
      <c r="Y6305" s="1"/>
      <c r="AB6305" s="1"/>
      <c r="AC6305" s="1"/>
      <c r="AD6305" s="1"/>
      <c r="AE6305" s="1"/>
      <c r="AF6305" s="1"/>
      <c r="AG6305" s="1"/>
      <c r="AH6305" s="1"/>
      <c r="AI6305" s="1"/>
      <c r="AJ6305" s="1"/>
      <c r="AK6305" s="1"/>
      <c r="AL6305" s="1"/>
      <c r="AM6305" s="1"/>
    </row>
    <row r="6306" spans="16:39" x14ac:dyDescent="0.25">
      <c r="P6306" s="49"/>
      <c r="Q6306" s="1"/>
      <c r="S6306" s="1"/>
      <c r="T6306" s="1"/>
      <c r="U6306" s="1"/>
      <c r="V6306" s="1"/>
      <c r="W6306" s="1"/>
      <c r="X6306" s="1"/>
      <c r="Y6306" s="1"/>
      <c r="AB6306" s="1"/>
      <c r="AC6306" s="1"/>
      <c r="AD6306" s="1"/>
      <c r="AE6306" s="1"/>
      <c r="AF6306" s="1"/>
      <c r="AG6306" s="1"/>
      <c r="AH6306" s="1"/>
      <c r="AI6306" s="1"/>
      <c r="AJ6306" s="1"/>
      <c r="AK6306" s="1"/>
      <c r="AL6306" s="1"/>
      <c r="AM6306" s="1"/>
    </row>
    <row r="6307" spans="16:39" x14ac:dyDescent="0.25">
      <c r="P6307" s="49"/>
      <c r="Q6307" s="1"/>
      <c r="S6307" s="1"/>
      <c r="T6307" s="1"/>
      <c r="U6307" s="1"/>
      <c r="V6307" s="1"/>
      <c r="W6307" s="1"/>
      <c r="X6307" s="1"/>
      <c r="Y6307" s="1"/>
      <c r="AB6307" s="1"/>
      <c r="AC6307" s="1"/>
      <c r="AD6307" s="1"/>
      <c r="AE6307" s="1"/>
      <c r="AF6307" s="1"/>
      <c r="AG6307" s="1"/>
      <c r="AH6307" s="1"/>
      <c r="AI6307" s="1"/>
      <c r="AJ6307" s="1"/>
      <c r="AK6307" s="1"/>
      <c r="AL6307" s="1"/>
      <c r="AM6307" s="1"/>
    </row>
    <row r="6308" spans="16:39" x14ac:dyDescent="0.25">
      <c r="P6308" s="49"/>
      <c r="Q6308" s="1"/>
      <c r="S6308" s="1"/>
      <c r="T6308" s="1"/>
      <c r="U6308" s="1"/>
      <c r="V6308" s="1"/>
      <c r="W6308" s="1"/>
      <c r="X6308" s="1"/>
      <c r="Y6308" s="1"/>
      <c r="AB6308" s="1"/>
      <c r="AC6308" s="1"/>
      <c r="AD6308" s="1"/>
      <c r="AE6308" s="1"/>
      <c r="AF6308" s="1"/>
      <c r="AG6308" s="1"/>
      <c r="AH6308" s="1"/>
      <c r="AI6308" s="1"/>
      <c r="AJ6308" s="1"/>
      <c r="AK6308" s="1"/>
      <c r="AL6308" s="1"/>
      <c r="AM6308" s="1"/>
    </row>
    <row r="6309" spans="16:39" x14ac:dyDescent="0.25">
      <c r="P6309" s="49"/>
      <c r="Q6309" s="1"/>
      <c r="S6309" s="1"/>
      <c r="T6309" s="1"/>
      <c r="U6309" s="1"/>
      <c r="V6309" s="1"/>
      <c r="W6309" s="1"/>
      <c r="X6309" s="1"/>
      <c r="Y6309" s="1"/>
      <c r="AB6309" s="1"/>
      <c r="AC6309" s="1"/>
      <c r="AD6309" s="1"/>
      <c r="AE6309" s="1"/>
      <c r="AF6309" s="1"/>
      <c r="AG6309" s="1"/>
      <c r="AH6309" s="1"/>
      <c r="AI6309" s="1"/>
      <c r="AJ6309" s="1"/>
      <c r="AK6309" s="1"/>
      <c r="AL6309" s="1"/>
      <c r="AM6309" s="1"/>
    </row>
    <row r="6310" spans="16:39" x14ac:dyDescent="0.25">
      <c r="P6310" s="49"/>
      <c r="Q6310" s="1"/>
      <c r="S6310" s="1"/>
      <c r="T6310" s="1"/>
      <c r="U6310" s="1"/>
      <c r="V6310" s="1"/>
      <c r="W6310" s="1"/>
      <c r="X6310" s="1"/>
      <c r="Y6310" s="1"/>
      <c r="AB6310" s="1"/>
      <c r="AC6310" s="1"/>
      <c r="AD6310" s="1"/>
      <c r="AE6310" s="1"/>
      <c r="AF6310" s="1"/>
      <c r="AG6310" s="1"/>
      <c r="AH6310" s="1"/>
      <c r="AI6310" s="1"/>
      <c r="AJ6310" s="1"/>
      <c r="AK6310" s="1"/>
      <c r="AL6310" s="1"/>
      <c r="AM6310" s="1"/>
    </row>
    <row r="6311" spans="16:39" x14ac:dyDescent="0.25">
      <c r="P6311" s="49"/>
      <c r="Q6311" s="1"/>
      <c r="S6311" s="1"/>
      <c r="T6311" s="1"/>
      <c r="U6311" s="1"/>
      <c r="V6311" s="1"/>
      <c r="W6311" s="1"/>
      <c r="X6311" s="1"/>
      <c r="Y6311" s="1"/>
      <c r="AB6311" s="1"/>
      <c r="AC6311" s="1"/>
      <c r="AD6311" s="1"/>
      <c r="AE6311" s="1"/>
      <c r="AF6311" s="1"/>
      <c r="AG6311" s="1"/>
      <c r="AH6311" s="1"/>
      <c r="AI6311" s="1"/>
      <c r="AJ6311" s="1"/>
      <c r="AK6311" s="1"/>
      <c r="AL6311" s="1"/>
      <c r="AM6311" s="1"/>
    </row>
    <row r="6312" spans="16:39" x14ac:dyDescent="0.25">
      <c r="P6312" s="49"/>
      <c r="Q6312" s="1"/>
      <c r="S6312" s="1"/>
      <c r="T6312" s="1"/>
      <c r="U6312" s="1"/>
      <c r="V6312" s="1"/>
      <c r="W6312" s="1"/>
      <c r="X6312" s="1"/>
      <c r="Y6312" s="1"/>
      <c r="AB6312" s="1"/>
      <c r="AC6312" s="1"/>
      <c r="AD6312" s="1"/>
      <c r="AE6312" s="1"/>
      <c r="AF6312" s="1"/>
      <c r="AG6312" s="1"/>
      <c r="AH6312" s="1"/>
      <c r="AI6312" s="1"/>
      <c r="AJ6312" s="1"/>
      <c r="AK6312" s="1"/>
      <c r="AL6312" s="1"/>
      <c r="AM6312" s="1"/>
    </row>
    <row r="6313" spans="16:39" x14ac:dyDescent="0.25">
      <c r="P6313" s="49"/>
      <c r="Q6313" s="1"/>
      <c r="S6313" s="1"/>
      <c r="T6313" s="1"/>
      <c r="U6313" s="1"/>
      <c r="V6313" s="1"/>
      <c r="W6313" s="1"/>
      <c r="X6313" s="1"/>
      <c r="Y6313" s="1"/>
      <c r="AB6313" s="1"/>
      <c r="AC6313" s="1"/>
      <c r="AD6313" s="1"/>
      <c r="AE6313" s="1"/>
      <c r="AF6313" s="1"/>
      <c r="AG6313" s="1"/>
      <c r="AH6313" s="1"/>
      <c r="AI6313" s="1"/>
      <c r="AJ6313" s="1"/>
      <c r="AK6313" s="1"/>
      <c r="AL6313" s="1"/>
      <c r="AM6313" s="1"/>
    </row>
    <row r="6314" spans="16:39" x14ac:dyDescent="0.25">
      <c r="P6314" s="49"/>
      <c r="Q6314" s="1"/>
      <c r="S6314" s="1"/>
      <c r="T6314" s="1"/>
      <c r="U6314" s="1"/>
      <c r="V6314" s="1"/>
      <c r="W6314" s="1"/>
      <c r="X6314" s="1"/>
      <c r="Y6314" s="1"/>
      <c r="AB6314" s="1"/>
      <c r="AC6314" s="1"/>
      <c r="AD6314" s="1"/>
      <c r="AE6314" s="1"/>
      <c r="AF6314" s="1"/>
      <c r="AG6314" s="1"/>
      <c r="AH6314" s="1"/>
      <c r="AI6314" s="1"/>
      <c r="AJ6314" s="1"/>
      <c r="AK6314" s="1"/>
      <c r="AL6314" s="1"/>
      <c r="AM6314" s="1"/>
    </row>
    <row r="6315" spans="16:39" x14ac:dyDescent="0.25">
      <c r="P6315" s="49"/>
      <c r="Q6315" s="1"/>
      <c r="S6315" s="1"/>
      <c r="T6315" s="1"/>
      <c r="U6315" s="1"/>
      <c r="V6315" s="1"/>
      <c r="W6315" s="1"/>
      <c r="X6315" s="1"/>
      <c r="Y6315" s="1"/>
      <c r="AB6315" s="1"/>
      <c r="AC6315" s="1"/>
      <c r="AD6315" s="1"/>
      <c r="AE6315" s="1"/>
      <c r="AF6315" s="1"/>
      <c r="AG6315" s="1"/>
      <c r="AH6315" s="1"/>
      <c r="AI6315" s="1"/>
      <c r="AJ6315" s="1"/>
      <c r="AK6315" s="1"/>
      <c r="AL6315" s="1"/>
      <c r="AM6315" s="1"/>
    </row>
    <row r="6316" spans="16:39" x14ac:dyDescent="0.25">
      <c r="P6316" s="49"/>
      <c r="Q6316" s="1"/>
      <c r="S6316" s="1"/>
      <c r="T6316" s="1"/>
      <c r="U6316" s="1"/>
      <c r="V6316" s="1"/>
      <c r="W6316" s="1"/>
      <c r="X6316" s="1"/>
      <c r="Y6316" s="1"/>
      <c r="AB6316" s="1"/>
      <c r="AC6316" s="1"/>
      <c r="AD6316" s="1"/>
      <c r="AE6316" s="1"/>
      <c r="AF6316" s="1"/>
      <c r="AG6316" s="1"/>
      <c r="AH6316" s="1"/>
      <c r="AI6316" s="1"/>
      <c r="AJ6316" s="1"/>
      <c r="AK6316" s="1"/>
      <c r="AL6316" s="1"/>
      <c r="AM6316" s="1"/>
    </row>
    <row r="6317" spans="16:39" x14ac:dyDescent="0.25">
      <c r="P6317" s="49"/>
      <c r="Q6317" s="1"/>
      <c r="S6317" s="1"/>
      <c r="T6317" s="1"/>
      <c r="U6317" s="1"/>
      <c r="V6317" s="1"/>
      <c r="W6317" s="1"/>
      <c r="X6317" s="1"/>
      <c r="Y6317" s="1"/>
      <c r="AB6317" s="1"/>
      <c r="AC6317" s="1"/>
      <c r="AD6317" s="1"/>
      <c r="AE6317" s="1"/>
      <c r="AF6317" s="1"/>
      <c r="AG6317" s="1"/>
      <c r="AH6317" s="1"/>
      <c r="AI6317" s="1"/>
      <c r="AJ6317" s="1"/>
      <c r="AK6317" s="1"/>
      <c r="AL6317" s="1"/>
      <c r="AM6317" s="1"/>
    </row>
    <row r="6318" spans="16:39" x14ac:dyDescent="0.25">
      <c r="P6318" s="49"/>
      <c r="Q6318" s="1"/>
      <c r="S6318" s="1"/>
      <c r="T6318" s="1"/>
      <c r="U6318" s="1"/>
      <c r="V6318" s="1"/>
      <c r="W6318" s="1"/>
      <c r="X6318" s="1"/>
      <c r="Y6318" s="1"/>
      <c r="AB6318" s="1"/>
      <c r="AC6318" s="1"/>
      <c r="AD6318" s="1"/>
      <c r="AE6318" s="1"/>
      <c r="AF6318" s="1"/>
      <c r="AG6318" s="1"/>
      <c r="AH6318" s="1"/>
      <c r="AI6318" s="1"/>
      <c r="AJ6318" s="1"/>
      <c r="AK6318" s="1"/>
      <c r="AL6318" s="1"/>
      <c r="AM6318" s="1"/>
    </row>
    <row r="6319" spans="16:39" x14ac:dyDescent="0.25">
      <c r="P6319" s="49"/>
      <c r="Q6319" s="1"/>
      <c r="S6319" s="1"/>
      <c r="T6319" s="1"/>
      <c r="U6319" s="1"/>
      <c r="V6319" s="1"/>
      <c r="W6319" s="1"/>
      <c r="X6319" s="1"/>
      <c r="Y6319" s="1"/>
      <c r="AB6319" s="1"/>
      <c r="AC6319" s="1"/>
      <c r="AD6319" s="1"/>
      <c r="AE6319" s="1"/>
      <c r="AF6319" s="1"/>
      <c r="AG6319" s="1"/>
      <c r="AH6319" s="1"/>
      <c r="AI6319" s="1"/>
      <c r="AJ6319" s="1"/>
      <c r="AK6319" s="1"/>
      <c r="AL6319" s="1"/>
      <c r="AM6319" s="1"/>
    </row>
    <row r="6320" spans="16:39" x14ac:dyDescent="0.25">
      <c r="P6320" s="49"/>
      <c r="Q6320" s="1"/>
      <c r="S6320" s="1"/>
      <c r="T6320" s="1"/>
      <c r="U6320" s="1"/>
      <c r="V6320" s="1"/>
      <c r="W6320" s="1"/>
      <c r="X6320" s="1"/>
      <c r="Y6320" s="1"/>
      <c r="AB6320" s="1"/>
      <c r="AC6320" s="1"/>
      <c r="AD6320" s="1"/>
      <c r="AE6320" s="1"/>
      <c r="AF6320" s="1"/>
      <c r="AG6320" s="1"/>
      <c r="AH6320" s="1"/>
      <c r="AI6320" s="1"/>
      <c r="AJ6320" s="1"/>
      <c r="AK6320" s="1"/>
      <c r="AL6320" s="1"/>
      <c r="AM6320" s="1"/>
    </row>
    <row r="6321" spans="16:39" x14ac:dyDescent="0.25">
      <c r="P6321" s="49"/>
      <c r="Q6321" s="1"/>
      <c r="S6321" s="1"/>
      <c r="T6321" s="1"/>
      <c r="U6321" s="1"/>
      <c r="V6321" s="1"/>
      <c r="W6321" s="1"/>
      <c r="X6321" s="1"/>
      <c r="Y6321" s="1"/>
      <c r="AB6321" s="1"/>
      <c r="AC6321" s="1"/>
      <c r="AD6321" s="1"/>
      <c r="AE6321" s="1"/>
      <c r="AF6321" s="1"/>
      <c r="AG6321" s="1"/>
      <c r="AH6321" s="1"/>
      <c r="AI6321" s="1"/>
      <c r="AJ6321" s="1"/>
      <c r="AK6321" s="1"/>
      <c r="AL6321" s="1"/>
      <c r="AM6321" s="1"/>
    </row>
    <row r="6322" spans="16:39" x14ac:dyDescent="0.25">
      <c r="P6322" s="49"/>
      <c r="Q6322" s="1"/>
      <c r="S6322" s="1"/>
      <c r="T6322" s="1"/>
      <c r="U6322" s="1"/>
      <c r="V6322" s="1"/>
      <c r="W6322" s="1"/>
      <c r="X6322" s="1"/>
      <c r="Y6322" s="1"/>
      <c r="AB6322" s="1"/>
      <c r="AC6322" s="1"/>
      <c r="AD6322" s="1"/>
      <c r="AE6322" s="1"/>
      <c r="AF6322" s="1"/>
      <c r="AG6322" s="1"/>
      <c r="AH6322" s="1"/>
      <c r="AI6322" s="1"/>
      <c r="AJ6322" s="1"/>
      <c r="AK6322" s="1"/>
      <c r="AL6322" s="1"/>
      <c r="AM6322" s="1"/>
    </row>
    <row r="6323" spans="16:39" x14ac:dyDescent="0.25">
      <c r="P6323" s="49"/>
      <c r="Q6323" s="1"/>
      <c r="S6323" s="1"/>
      <c r="T6323" s="1"/>
      <c r="U6323" s="1"/>
      <c r="V6323" s="1"/>
      <c r="W6323" s="1"/>
      <c r="X6323" s="1"/>
      <c r="Y6323" s="1"/>
      <c r="AB6323" s="1"/>
      <c r="AC6323" s="1"/>
      <c r="AD6323" s="1"/>
      <c r="AE6323" s="1"/>
      <c r="AF6323" s="1"/>
      <c r="AG6323" s="1"/>
      <c r="AH6323" s="1"/>
      <c r="AI6323" s="1"/>
      <c r="AJ6323" s="1"/>
      <c r="AK6323" s="1"/>
      <c r="AL6323" s="1"/>
      <c r="AM6323" s="1"/>
    </row>
    <row r="6324" spans="16:39" x14ac:dyDescent="0.25">
      <c r="P6324" s="49"/>
      <c r="Q6324" s="1"/>
      <c r="S6324" s="1"/>
      <c r="T6324" s="1"/>
      <c r="U6324" s="1"/>
      <c r="V6324" s="1"/>
      <c r="W6324" s="1"/>
      <c r="X6324" s="1"/>
      <c r="Y6324" s="1"/>
      <c r="AB6324" s="1"/>
      <c r="AC6324" s="1"/>
      <c r="AD6324" s="1"/>
      <c r="AE6324" s="1"/>
      <c r="AF6324" s="1"/>
      <c r="AG6324" s="1"/>
      <c r="AH6324" s="1"/>
      <c r="AI6324" s="1"/>
      <c r="AJ6324" s="1"/>
      <c r="AK6324" s="1"/>
      <c r="AL6324" s="1"/>
      <c r="AM6324" s="1"/>
    </row>
    <row r="6325" spans="16:39" x14ac:dyDescent="0.25">
      <c r="P6325" s="49"/>
      <c r="Q6325" s="1"/>
      <c r="S6325" s="1"/>
      <c r="T6325" s="1"/>
      <c r="U6325" s="1"/>
      <c r="V6325" s="1"/>
      <c r="W6325" s="1"/>
      <c r="X6325" s="1"/>
      <c r="Y6325" s="1"/>
      <c r="AB6325" s="1"/>
      <c r="AC6325" s="1"/>
      <c r="AD6325" s="1"/>
      <c r="AE6325" s="1"/>
      <c r="AF6325" s="1"/>
      <c r="AG6325" s="1"/>
      <c r="AH6325" s="1"/>
      <c r="AI6325" s="1"/>
      <c r="AJ6325" s="1"/>
      <c r="AK6325" s="1"/>
      <c r="AL6325" s="1"/>
      <c r="AM6325" s="1"/>
    </row>
    <row r="6326" spans="16:39" x14ac:dyDescent="0.25">
      <c r="P6326" s="49"/>
      <c r="Q6326" s="1"/>
      <c r="S6326" s="1"/>
      <c r="T6326" s="1"/>
      <c r="U6326" s="1"/>
      <c r="V6326" s="1"/>
      <c r="W6326" s="1"/>
      <c r="X6326" s="1"/>
      <c r="Y6326" s="1"/>
      <c r="AB6326" s="1"/>
      <c r="AC6326" s="1"/>
      <c r="AD6326" s="1"/>
      <c r="AE6326" s="1"/>
      <c r="AF6326" s="1"/>
      <c r="AG6326" s="1"/>
      <c r="AH6326" s="1"/>
      <c r="AI6326" s="1"/>
      <c r="AJ6326" s="1"/>
      <c r="AK6326" s="1"/>
      <c r="AL6326" s="1"/>
      <c r="AM6326" s="1"/>
    </row>
    <row r="6327" spans="16:39" x14ac:dyDescent="0.25">
      <c r="P6327" s="49"/>
      <c r="Q6327" s="1"/>
      <c r="S6327" s="1"/>
      <c r="T6327" s="1"/>
      <c r="U6327" s="1"/>
      <c r="V6327" s="1"/>
      <c r="W6327" s="1"/>
      <c r="X6327" s="1"/>
      <c r="Y6327" s="1"/>
      <c r="AB6327" s="1"/>
      <c r="AC6327" s="1"/>
      <c r="AD6327" s="1"/>
      <c r="AE6327" s="1"/>
      <c r="AF6327" s="1"/>
      <c r="AG6327" s="1"/>
      <c r="AH6327" s="1"/>
      <c r="AI6327" s="1"/>
      <c r="AJ6327" s="1"/>
      <c r="AK6327" s="1"/>
      <c r="AL6327" s="1"/>
      <c r="AM6327" s="1"/>
    </row>
    <row r="6328" spans="16:39" x14ac:dyDescent="0.25">
      <c r="P6328" s="49"/>
      <c r="Q6328" s="1"/>
      <c r="S6328" s="1"/>
      <c r="T6328" s="1"/>
      <c r="U6328" s="1"/>
      <c r="V6328" s="1"/>
      <c r="W6328" s="1"/>
      <c r="X6328" s="1"/>
      <c r="Y6328" s="1"/>
      <c r="AB6328" s="1"/>
      <c r="AC6328" s="1"/>
      <c r="AD6328" s="1"/>
      <c r="AE6328" s="1"/>
      <c r="AF6328" s="1"/>
      <c r="AG6328" s="1"/>
      <c r="AH6328" s="1"/>
      <c r="AI6328" s="1"/>
      <c r="AJ6328" s="1"/>
      <c r="AK6328" s="1"/>
      <c r="AL6328" s="1"/>
      <c r="AM6328" s="1"/>
    </row>
    <row r="6329" spans="16:39" x14ac:dyDescent="0.25">
      <c r="P6329" s="49"/>
      <c r="Q6329" s="1"/>
      <c r="S6329" s="1"/>
      <c r="T6329" s="1"/>
      <c r="U6329" s="1"/>
      <c r="V6329" s="1"/>
      <c r="W6329" s="1"/>
      <c r="X6329" s="1"/>
      <c r="Y6329" s="1"/>
      <c r="AB6329" s="1"/>
      <c r="AC6329" s="1"/>
      <c r="AD6329" s="1"/>
      <c r="AE6329" s="1"/>
      <c r="AF6329" s="1"/>
      <c r="AG6329" s="1"/>
      <c r="AH6329" s="1"/>
      <c r="AI6329" s="1"/>
      <c r="AJ6329" s="1"/>
      <c r="AK6329" s="1"/>
      <c r="AL6329" s="1"/>
      <c r="AM6329" s="1"/>
    </row>
    <row r="6330" spans="16:39" x14ac:dyDescent="0.25">
      <c r="P6330" s="49"/>
      <c r="Q6330" s="1"/>
      <c r="S6330" s="1"/>
      <c r="T6330" s="1"/>
      <c r="U6330" s="1"/>
      <c r="V6330" s="1"/>
      <c r="W6330" s="1"/>
      <c r="X6330" s="1"/>
      <c r="Y6330" s="1"/>
      <c r="AB6330" s="1"/>
      <c r="AC6330" s="1"/>
      <c r="AD6330" s="1"/>
      <c r="AE6330" s="1"/>
      <c r="AF6330" s="1"/>
      <c r="AG6330" s="1"/>
      <c r="AH6330" s="1"/>
      <c r="AI6330" s="1"/>
      <c r="AJ6330" s="1"/>
      <c r="AK6330" s="1"/>
      <c r="AL6330" s="1"/>
      <c r="AM6330" s="1"/>
    </row>
    <row r="6331" spans="16:39" x14ac:dyDescent="0.25">
      <c r="P6331" s="49"/>
      <c r="Q6331" s="1"/>
      <c r="S6331" s="1"/>
      <c r="T6331" s="1"/>
      <c r="U6331" s="1"/>
      <c r="V6331" s="1"/>
      <c r="W6331" s="1"/>
      <c r="X6331" s="1"/>
      <c r="Y6331" s="1"/>
      <c r="AB6331" s="1"/>
      <c r="AC6331" s="1"/>
      <c r="AD6331" s="1"/>
      <c r="AE6331" s="1"/>
      <c r="AF6331" s="1"/>
      <c r="AG6331" s="1"/>
      <c r="AH6331" s="1"/>
      <c r="AI6331" s="1"/>
      <c r="AJ6331" s="1"/>
      <c r="AK6331" s="1"/>
      <c r="AL6331" s="1"/>
      <c r="AM6331" s="1"/>
    </row>
    <row r="6332" spans="16:39" x14ac:dyDescent="0.25">
      <c r="P6332" s="49"/>
      <c r="Q6332" s="1"/>
      <c r="S6332" s="1"/>
      <c r="T6332" s="1"/>
      <c r="U6332" s="1"/>
      <c r="V6332" s="1"/>
      <c r="W6332" s="1"/>
      <c r="X6332" s="1"/>
      <c r="Y6332" s="1"/>
      <c r="AB6332" s="1"/>
      <c r="AC6332" s="1"/>
      <c r="AD6332" s="1"/>
      <c r="AE6332" s="1"/>
      <c r="AF6332" s="1"/>
      <c r="AG6332" s="1"/>
      <c r="AH6332" s="1"/>
      <c r="AI6332" s="1"/>
      <c r="AJ6332" s="1"/>
      <c r="AK6332" s="1"/>
      <c r="AL6332" s="1"/>
      <c r="AM6332" s="1"/>
    </row>
    <row r="6333" spans="16:39" x14ac:dyDescent="0.25">
      <c r="P6333" s="49"/>
      <c r="Q6333" s="1"/>
      <c r="S6333" s="1"/>
      <c r="T6333" s="1"/>
      <c r="U6333" s="1"/>
      <c r="V6333" s="1"/>
      <c r="W6333" s="1"/>
      <c r="X6333" s="1"/>
      <c r="Y6333" s="1"/>
      <c r="AB6333" s="1"/>
      <c r="AC6333" s="1"/>
      <c r="AD6333" s="1"/>
      <c r="AE6333" s="1"/>
      <c r="AF6333" s="1"/>
      <c r="AG6333" s="1"/>
      <c r="AH6333" s="1"/>
      <c r="AI6333" s="1"/>
      <c r="AJ6333" s="1"/>
      <c r="AK6333" s="1"/>
      <c r="AL6333" s="1"/>
      <c r="AM6333" s="1"/>
    </row>
    <row r="6334" spans="16:39" x14ac:dyDescent="0.25">
      <c r="P6334" s="49"/>
      <c r="Q6334" s="1"/>
      <c r="S6334" s="1"/>
      <c r="T6334" s="1"/>
      <c r="U6334" s="1"/>
      <c r="V6334" s="1"/>
      <c r="W6334" s="1"/>
      <c r="X6334" s="1"/>
      <c r="Y6334" s="1"/>
      <c r="AB6334" s="1"/>
      <c r="AC6334" s="1"/>
      <c r="AD6334" s="1"/>
      <c r="AE6334" s="1"/>
      <c r="AF6334" s="1"/>
      <c r="AG6334" s="1"/>
      <c r="AH6334" s="1"/>
      <c r="AI6334" s="1"/>
      <c r="AJ6334" s="1"/>
      <c r="AK6334" s="1"/>
      <c r="AL6334" s="1"/>
      <c r="AM6334" s="1"/>
    </row>
    <row r="6335" spans="16:39" x14ac:dyDescent="0.25">
      <c r="P6335" s="49"/>
      <c r="Q6335" s="1"/>
      <c r="S6335" s="1"/>
      <c r="T6335" s="1"/>
      <c r="U6335" s="1"/>
      <c r="V6335" s="1"/>
      <c r="W6335" s="1"/>
      <c r="X6335" s="1"/>
      <c r="Y6335" s="1"/>
      <c r="AB6335" s="1"/>
      <c r="AC6335" s="1"/>
      <c r="AD6335" s="1"/>
      <c r="AE6335" s="1"/>
      <c r="AF6335" s="1"/>
      <c r="AG6335" s="1"/>
      <c r="AH6335" s="1"/>
      <c r="AI6335" s="1"/>
      <c r="AJ6335" s="1"/>
      <c r="AK6335" s="1"/>
      <c r="AL6335" s="1"/>
      <c r="AM6335" s="1"/>
    </row>
    <row r="6336" spans="16:39" x14ac:dyDescent="0.25">
      <c r="P6336" s="49"/>
      <c r="Q6336" s="1"/>
      <c r="S6336" s="1"/>
      <c r="T6336" s="1"/>
      <c r="U6336" s="1"/>
      <c r="V6336" s="1"/>
      <c r="W6336" s="1"/>
      <c r="X6336" s="1"/>
      <c r="Y6336" s="1"/>
      <c r="AB6336" s="1"/>
      <c r="AC6336" s="1"/>
      <c r="AD6336" s="1"/>
      <c r="AE6336" s="1"/>
      <c r="AF6336" s="1"/>
      <c r="AG6336" s="1"/>
      <c r="AH6336" s="1"/>
      <c r="AI6336" s="1"/>
      <c r="AJ6336" s="1"/>
      <c r="AK6336" s="1"/>
      <c r="AL6336" s="1"/>
      <c r="AM6336" s="1"/>
    </row>
    <row r="6337" spans="16:39" x14ac:dyDescent="0.25">
      <c r="P6337" s="49"/>
      <c r="Q6337" s="1"/>
      <c r="S6337" s="1"/>
      <c r="T6337" s="1"/>
      <c r="U6337" s="1"/>
      <c r="V6337" s="1"/>
      <c r="W6337" s="1"/>
      <c r="X6337" s="1"/>
      <c r="Y6337" s="1"/>
      <c r="AB6337" s="1"/>
      <c r="AC6337" s="1"/>
      <c r="AD6337" s="1"/>
      <c r="AE6337" s="1"/>
      <c r="AF6337" s="1"/>
      <c r="AG6337" s="1"/>
      <c r="AH6337" s="1"/>
      <c r="AI6337" s="1"/>
      <c r="AJ6337" s="1"/>
      <c r="AK6337" s="1"/>
      <c r="AL6337" s="1"/>
      <c r="AM6337" s="1"/>
    </row>
    <row r="6338" spans="16:39" x14ac:dyDescent="0.25">
      <c r="P6338" s="49"/>
      <c r="Q6338" s="1"/>
      <c r="S6338" s="1"/>
      <c r="T6338" s="1"/>
      <c r="U6338" s="1"/>
      <c r="V6338" s="1"/>
      <c r="W6338" s="1"/>
      <c r="X6338" s="1"/>
      <c r="Y6338" s="1"/>
      <c r="AB6338" s="1"/>
      <c r="AC6338" s="1"/>
      <c r="AD6338" s="1"/>
      <c r="AE6338" s="1"/>
      <c r="AF6338" s="1"/>
      <c r="AG6338" s="1"/>
      <c r="AH6338" s="1"/>
      <c r="AI6338" s="1"/>
      <c r="AJ6338" s="1"/>
      <c r="AK6338" s="1"/>
      <c r="AL6338" s="1"/>
      <c r="AM6338" s="1"/>
    </row>
    <row r="6339" spans="16:39" x14ac:dyDescent="0.25">
      <c r="P6339" s="49"/>
      <c r="Q6339" s="1"/>
      <c r="S6339" s="1"/>
      <c r="T6339" s="1"/>
      <c r="U6339" s="1"/>
      <c r="V6339" s="1"/>
      <c r="W6339" s="1"/>
      <c r="X6339" s="1"/>
      <c r="Y6339" s="1"/>
      <c r="AB6339" s="1"/>
      <c r="AC6339" s="1"/>
      <c r="AD6339" s="1"/>
      <c r="AE6339" s="1"/>
      <c r="AF6339" s="1"/>
      <c r="AG6339" s="1"/>
      <c r="AH6339" s="1"/>
      <c r="AI6339" s="1"/>
      <c r="AJ6339" s="1"/>
      <c r="AK6339" s="1"/>
      <c r="AL6339" s="1"/>
      <c r="AM6339" s="1"/>
    </row>
    <row r="6340" spans="16:39" x14ac:dyDescent="0.25">
      <c r="P6340" s="49"/>
      <c r="Q6340" s="1"/>
      <c r="S6340" s="1"/>
      <c r="T6340" s="1"/>
      <c r="U6340" s="1"/>
      <c r="V6340" s="1"/>
      <c r="W6340" s="1"/>
      <c r="X6340" s="1"/>
      <c r="Y6340" s="1"/>
      <c r="AB6340" s="1"/>
      <c r="AC6340" s="1"/>
      <c r="AD6340" s="1"/>
      <c r="AE6340" s="1"/>
      <c r="AF6340" s="1"/>
      <c r="AG6340" s="1"/>
      <c r="AH6340" s="1"/>
      <c r="AI6340" s="1"/>
      <c r="AJ6340" s="1"/>
      <c r="AK6340" s="1"/>
      <c r="AL6340" s="1"/>
      <c r="AM6340" s="1"/>
    </row>
    <row r="6341" spans="16:39" x14ac:dyDescent="0.25">
      <c r="P6341" s="49"/>
      <c r="Q6341" s="1"/>
      <c r="S6341" s="1"/>
      <c r="T6341" s="1"/>
      <c r="U6341" s="1"/>
      <c r="V6341" s="1"/>
      <c r="W6341" s="1"/>
      <c r="X6341" s="1"/>
      <c r="Y6341" s="1"/>
      <c r="AB6341" s="1"/>
      <c r="AC6341" s="1"/>
      <c r="AD6341" s="1"/>
      <c r="AE6341" s="1"/>
      <c r="AF6341" s="1"/>
      <c r="AG6341" s="1"/>
      <c r="AH6341" s="1"/>
      <c r="AI6341" s="1"/>
      <c r="AJ6341" s="1"/>
      <c r="AK6341" s="1"/>
      <c r="AL6341" s="1"/>
      <c r="AM6341" s="1"/>
    </row>
    <row r="6342" spans="16:39" x14ac:dyDescent="0.25">
      <c r="P6342" s="49"/>
      <c r="Q6342" s="1"/>
      <c r="S6342" s="1"/>
      <c r="T6342" s="1"/>
      <c r="U6342" s="1"/>
      <c r="V6342" s="1"/>
      <c r="W6342" s="1"/>
      <c r="X6342" s="1"/>
      <c r="Y6342" s="1"/>
      <c r="AB6342" s="1"/>
      <c r="AC6342" s="1"/>
      <c r="AD6342" s="1"/>
      <c r="AE6342" s="1"/>
      <c r="AF6342" s="1"/>
      <c r="AG6342" s="1"/>
      <c r="AH6342" s="1"/>
      <c r="AI6342" s="1"/>
      <c r="AJ6342" s="1"/>
      <c r="AK6342" s="1"/>
      <c r="AL6342" s="1"/>
      <c r="AM6342" s="1"/>
    </row>
    <row r="6343" spans="16:39" x14ac:dyDescent="0.25">
      <c r="P6343" s="49"/>
      <c r="Q6343" s="1"/>
      <c r="S6343" s="1"/>
      <c r="T6343" s="1"/>
      <c r="U6343" s="1"/>
      <c r="V6343" s="1"/>
      <c r="W6343" s="1"/>
      <c r="X6343" s="1"/>
      <c r="Y6343" s="1"/>
      <c r="AB6343" s="1"/>
      <c r="AC6343" s="1"/>
      <c r="AD6343" s="1"/>
      <c r="AE6343" s="1"/>
      <c r="AF6343" s="1"/>
      <c r="AG6343" s="1"/>
      <c r="AH6343" s="1"/>
      <c r="AI6343" s="1"/>
      <c r="AJ6343" s="1"/>
      <c r="AK6343" s="1"/>
      <c r="AL6343" s="1"/>
      <c r="AM6343" s="1"/>
    </row>
    <row r="6344" spans="16:39" x14ac:dyDescent="0.25">
      <c r="P6344" s="49"/>
      <c r="Q6344" s="1"/>
      <c r="S6344" s="1"/>
      <c r="T6344" s="1"/>
      <c r="U6344" s="1"/>
      <c r="V6344" s="1"/>
      <c r="W6344" s="1"/>
      <c r="X6344" s="1"/>
      <c r="Y6344" s="1"/>
      <c r="AB6344" s="1"/>
      <c r="AC6344" s="1"/>
      <c r="AD6344" s="1"/>
      <c r="AE6344" s="1"/>
      <c r="AF6344" s="1"/>
      <c r="AG6344" s="1"/>
      <c r="AH6344" s="1"/>
      <c r="AI6344" s="1"/>
      <c r="AJ6344" s="1"/>
      <c r="AK6344" s="1"/>
      <c r="AL6344" s="1"/>
      <c r="AM6344" s="1"/>
    </row>
    <row r="6345" spans="16:39" x14ac:dyDescent="0.25">
      <c r="P6345" s="49"/>
      <c r="Q6345" s="1"/>
      <c r="S6345" s="1"/>
      <c r="T6345" s="1"/>
      <c r="U6345" s="1"/>
      <c r="V6345" s="1"/>
      <c r="W6345" s="1"/>
      <c r="X6345" s="1"/>
      <c r="Y6345" s="1"/>
      <c r="AB6345" s="1"/>
      <c r="AC6345" s="1"/>
      <c r="AD6345" s="1"/>
      <c r="AE6345" s="1"/>
      <c r="AF6345" s="1"/>
      <c r="AG6345" s="1"/>
      <c r="AH6345" s="1"/>
      <c r="AI6345" s="1"/>
      <c r="AJ6345" s="1"/>
      <c r="AK6345" s="1"/>
      <c r="AL6345" s="1"/>
      <c r="AM6345" s="1"/>
    </row>
    <row r="6346" spans="16:39" x14ac:dyDescent="0.25">
      <c r="P6346" s="49"/>
      <c r="Q6346" s="1"/>
      <c r="S6346" s="1"/>
      <c r="T6346" s="1"/>
      <c r="U6346" s="1"/>
      <c r="V6346" s="1"/>
      <c r="W6346" s="1"/>
      <c r="X6346" s="1"/>
      <c r="Y6346" s="1"/>
      <c r="AB6346" s="1"/>
      <c r="AC6346" s="1"/>
      <c r="AD6346" s="1"/>
      <c r="AE6346" s="1"/>
      <c r="AF6346" s="1"/>
      <c r="AG6346" s="1"/>
      <c r="AH6346" s="1"/>
      <c r="AI6346" s="1"/>
      <c r="AJ6346" s="1"/>
      <c r="AK6346" s="1"/>
      <c r="AL6346" s="1"/>
      <c r="AM6346" s="1"/>
    </row>
    <row r="6347" spans="16:39" x14ac:dyDescent="0.25">
      <c r="P6347" s="49"/>
      <c r="Q6347" s="1"/>
      <c r="S6347" s="1"/>
      <c r="T6347" s="1"/>
      <c r="U6347" s="1"/>
      <c r="V6347" s="1"/>
      <c r="W6347" s="1"/>
      <c r="X6347" s="1"/>
      <c r="Y6347" s="1"/>
      <c r="AB6347" s="1"/>
      <c r="AC6347" s="1"/>
      <c r="AD6347" s="1"/>
      <c r="AE6347" s="1"/>
      <c r="AF6347" s="1"/>
      <c r="AG6347" s="1"/>
      <c r="AH6347" s="1"/>
      <c r="AI6347" s="1"/>
      <c r="AJ6347" s="1"/>
      <c r="AK6347" s="1"/>
      <c r="AL6347" s="1"/>
      <c r="AM6347" s="1"/>
    </row>
    <row r="6348" spans="16:39" x14ac:dyDescent="0.25">
      <c r="P6348" s="49"/>
      <c r="Q6348" s="1"/>
      <c r="S6348" s="1"/>
      <c r="T6348" s="1"/>
      <c r="U6348" s="1"/>
      <c r="V6348" s="1"/>
      <c r="W6348" s="1"/>
      <c r="X6348" s="1"/>
      <c r="Y6348" s="1"/>
      <c r="AB6348" s="1"/>
      <c r="AC6348" s="1"/>
      <c r="AD6348" s="1"/>
      <c r="AE6348" s="1"/>
      <c r="AF6348" s="1"/>
      <c r="AG6348" s="1"/>
      <c r="AH6348" s="1"/>
      <c r="AI6348" s="1"/>
      <c r="AJ6348" s="1"/>
      <c r="AK6348" s="1"/>
      <c r="AL6348" s="1"/>
      <c r="AM6348" s="1"/>
    </row>
    <row r="6349" spans="16:39" x14ac:dyDescent="0.25">
      <c r="P6349" s="49"/>
      <c r="Q6349" s="1"/>
      <c r="S6349" s="1"/>
      <c r="T6349" s="1"/>
      <c r="U6349" s="1"/>
      <c r="V6349" s="1"/>
      <c r="W6349" s="1"/>
      <c r="X6349" s="1"/>
      <c r="Y6349" s="1"/>
      <c r="AB6349" s="1"/>
      <c r="AC6349" s="1"/>
      <c r="AD6349" s="1"/>
      <c r="AE6349" s="1"/>
      <c r="AF6349" s="1"/>
      <c r="AG6349" s="1"/>
      <c r="AH6349" s="1"/>
      <c r="AI6349" s="1"/>
      <c r="AJ6349" s="1"/>
      <c r="AK6349" s="1"/>
      <c r="AL6349" s="1"/>
      <c r="AM6349" s="1"/>
    </row>
    <row r="6350" spans="16:39" x14ac:dyDescent="0.25">
      <c r="P6350" s="49"/>
      <c r="Q6350" s="1"/>
      <c r="S6350" s="1"/>
      <c r="T6350" s="1"/>
      <c r="U6350" s="1"/>
      <c r="V6350" s="1"/>
      <c r="W6350" s="1"/>
      <c r="X6350" s="1"/>
      <c r="Y6350" s="1"/>
      <c r="AB6350" s="1"/>
      <c r="AC6350" s="1"/>
      <c r="AD6350" s="1"/>
      <c r="AE6350" s="1"/>
      <c r="AF6350" s="1"/>
      <c r="AG6350" s="1"/>
      <c r="AH6350" s="1"/>
      <c r="AI6350" s="1"/>
      <c r="AJ6350" s="1"/>
      <c r="AK6350" s="1"/>
      <c r="AL6350" s="1"/>
      <c r="AM6350" s="1"/>
    </row>
    <row r="6351" spans="16:39" x14ac:dyDescent="0.25">
      <c r="P6351" s="49"/>
      <c r="Q6351" s="1"/>
      <c r="S6351" s="1"/>
      <c r="T6351" s="1"/>
      <c r="U6351" s="1"/>
      <c r="V6351" s="1"/>
      <c r="W6351" s="1"/>
      <c r="X6351" s="1"/>
      <c r="Y6351" s="1"/>
      <c r="AB6351" s="1"/>
      <c r="AC6351" s="1"/>
      <c r="AD6351" s="1"/>
      <c r="AE6351" s="1"/>
      <c r="AF6351" s="1"/>
      <c r="AG6351" s="1"/>
      <c r="AH6351" s="1"/>
      <c r="AI6351" s="1"/>
      <c r="AJ6351" s="1"/>
      <c r="AK6351" s="1"/>
      <c r="AL6351" s="1"/>
      <c r="AM6351" s="1"/>
    </row>
    <row r="6352" spans="16:39" x14ac:dyDescent="0.25">
      <c r="P6352" s="49"/>
      <c r="Q6352" s="1"/>
      <c r="S6352" s="1"/>
      <c r="T6352" s="1"/>
      <c r="U6352" s="1"/>
      <c r="V6352" s="1"/>
      <c r="W6352" s="1"/>
      <c r="X6352" s="1"/>
      <c r="Y6352" s="1"/>
      <c r="AB6352" s="1"/>
      <c r="AC6352" s="1"/>
      <c r="AD6352" s="1"/>
      <c r="AE6352" s="1"/>
      <c r="AF6352" s="1"/>
      <c r="AG6352" s="1"/>
      <c r="AH6352" s="1"/>
      <c r="AI6352" s="1"/>
      <c r="AJ6352" s="1"/>
      <c r="AK6352" s="1"/>
      <c r="AL6352" s="1"/>
      <c r="AM6352" s="1"/>
    </row>
    <row r="6353" spans="16:39" x14ac:dyDescent="0.25">
      <c r="P6353" s="49"/>
      <c r="Q6353" s="1"/>
      <c r="S6353" s="1"/>
      <c r="T6353" s="1"/>
      <c r="U6353" s="1"/>
      <c r="V6353" s="1"/>
      <c r="W6353" s="1"/>
      <c r="X6353" s="1"/>
      <c r="Y6353" s="1"/>
      <c r="AB6353" s="1"/>
      <c r="AC6353" s="1"/>
      <c r="AD6353" s="1"/>
      <c r="AE6353" s="1"/>
      <c r="AF6353" s="1"/>
      <c r="AG6353" s="1"/>
      <c r="AH6353" s="1"/>
      <c r="AI6353" s="1"/>
      <c r="AJ6353" s="1"/>
      <c r="AK6353" s="1"/>
      <c r="AL6353" s="1"/>
      <c r="AM6353" s="1"/>
    </row>
    <row r="6354" spans="16:39" x14ac:dyDescent="0.25">
      <c r="P6354" s="49"/>
      <c r="Q6354" s="1"/>
      <c r="S6354" s="1"/>
      <c r="T6354" s="1"/>
      <c r="U6354" s="1"/>
      <c r="V6354" s="1"/>
      <c r="W6354" s="1"/>
      <c r="X6354" s="1"/>
      <c r="Y6354" s="1"/>
      <c r="AB6354" s="1"/>
      <c r="AC6354" s="1"/>
      <c r="AD6354" s="1"/>
      <c r="AE6354" s="1"/>
      <c r="AF6354" s="1"/>
      <c r="AG6354" s="1"/>
      <c r="AH6354" s="1"/>
      <c r="AI6354" s="1"/>
      <c r="AJ6354" s="1"/>
      <c r="AK6354" s="1"/>
      <c r="AL6354" s="1"/>
      <c r="AM6354" s="1"/>
    </row>
    <row r="6355" spans="16:39" x14ac:dyDescent="0.25">
      <c r="P6355" s="49"/>
      <c r="Q6355" s="1"/>
      <c r="S6355" s="1"/>
      <c r="T6355" s="1"/>
      <c r="U6355" s="1"/>
      <c r="V6355" s="1"/>
      <c r="W6355" s="1"/>
      <c r="X6355" s="1"/>
      <c r="Y6355" s="1"/>
      <c r="AB6355" s="1"/>
      <c r="AC6355" s="1"/>
      <c r="AD6355" s="1"/>
      <c r="AE6355" s="1"/>
      <c r="AF6355" s="1"/>
      <c r="AG6355" s="1"/>
      <c r="AH6355" s="1"/>
      <c r="AI6355" s="1"/>
      <c r="AJ6355" s="1"/>
      <c r="AK6355" s="1"/>
      <c r="AL6355" s="1"/>
      <c r="AM6355" s="1"/>
    </row>
    <row r="6356" spans="16:39" x14ac:dyDescent="0.25">
      <c r="P6356" s="49"/>
      <c r="Q6356" s="1"/>
      <c r="S6356" s="1"/>
      <c r="T6356" s="1"/>
      <c r="U6356" s="1"/>
      <c r="V6356" s="1"/>
      <c r="W6356" s="1"/>
      <c r="X6356" s="1"/>
      <c r="Y6356" s="1"/>
      <c r="AB6356" s="1"/>
      <c r="AC6356" s="1"/>
      <c r="AD6356" s="1"/>
      <c r="AE6356" s="1"/>
      <c r="AF6356" s="1"/>
      <c r="AG6356" s="1"/>
      <c r="AH6356" s="1"/>
      <c r="AI6356" s="1"/>
      <c r="AJ6356" s="1"/>
      <c r="AK6356" s="1"/>
      <c r="AL6356" s="1"/>
      <c r="AM6356" s="1"/>
    </row>
    <row r="6357" spans="16:39" x14ac:dyDescent="0.25">
      <c r="P6357" s="49"/>
      <c r="Q6357" s="1"/>
      <c r="S6357" s="1"/>
      <c r="T6357" s="1"/>
      <c r="U6357" s="1"/>
      <c r="V6357" s="1"/>
      <c r="W6357" s="1"/>
      <c r="X6357" s="1"/>
      <c r="Y6357" s="1"/>
      <c r="AB6357" s="1"/>
      <c r="AC6357" s="1"/>
      <c r="AD6357" s="1"/>
      <c r="AE6357" s="1"/>
      <c r="AF6357" s="1"/>
      <c r="AG6357" s="1"/>
      <c r="AH6357" s="1"/>
      <c r="AI6357" s="1"/>
      <c r="AJ6357" s="1"/>
      <c r="AK6357" s="1"/>
      <c r="AL6357" s="1"/>
      <c r="AM6357" s="1"/>
    </row>
    <row r="6358" spans="16:39" x14ac:dyDescent="0.25">
      <c r="P6358" s="49"/>
      <c r="Q6358" s="1"/>
      <c r="S6358" s="1"/>
      <c r="T6358" s="1"/>
      <c r="U6358" s="1"/>
      <c r="V6358" s="1"/>
      <c r="W6358" s="1"/>
      <c r="X6358" s="1"/>
      <c r="Y6358" s="1"/>
      <c r="AB6358" s="1"/>
      <c r="AC6358" s="1"/>
      <c r="AD6358" s="1"/>
      <c r="AE6358" s="1"/>
      <c r="AF6358" s="1"/>
      <c r="AG6358" s="1"/>
      <c r="AH6358" s="1"/>
      <c r="AI6358" s="1"/>
      <c r="AJ6358" s="1"/>
      <c r="AK6358" s="1"/>
      <c r="AL6358" s="1"/>
      <c r="AM6358" s="1"/>
    </row>
    <row r="6359" spans="16:39" x14ac:dyDescent="0.25">
      <c r="P6359" s="49"/>
      <c r="Q6359" s="1"/>
      <c r="S6359" s="1"/>
      <c r="T6359" s="1"/>
      <c r="U6359" s="1"/>
      <c r="V6359" s="1"/>
      <c r="W6359" s="1"/>
      <c r="X6359" s="1"/>
      <c r="Y6359" s="1"/>
      <c r="AB6359" s="1"/>
      <c r="AC6359" s="1"/>
      <c r="AD6359" s="1"/>
      <c r="AE6359" s="1"/>
      <c r="AF6359" s="1"/>
      <c r="AG6359" s="1"/>
      <c r="AH6359" s="1"/>
      <c r="AI6359" s="1"/>
      <c r="AJ6359" s="1"/>
      <c r="AK6359" s="1"/>
      <c r="AL6359" s="1"/>
      <c r="AM6359" s="1"/>
    </row>
    <row r="6360" spans="16:39" x14ac:dyDescent="0.25">
      <c r="P6360" s="49"/>
      <c r="Q6360" s="1"/>
      <c r="S6360" s="1"/>
      <c r="T6360" s="1"/>
      <c r="U6360" s="1"/>
      <c r="V6360" s="1"/>
      <c r="W6360" s="1"/>
      <c r="X6360" s="1"/>
      <c r="Y6360" s="1"/>
      <c r="AB6360" s="1"/>
      <c r="AC6360" s="1"/>
      <c r="AD6360" s="1"/>
      <c r="AE6360" s="1"/>
      <c r="AF6360" s="1"/>
      <c r="AG6360" s="1"/>
      <c r="AH6360" s="1"/>
      <c r="AI6360" s="1"/>
      <c r="AJ6360" s="1"/>
      <c r="AK6360" s="1"/>
      <c r="AL6360" s="1"/>
      <c r="AM6360" s="1"/>
    </row>
    <row r="6361" spans="16:39" x14ac:dyDescent="0.25">
      <c r="P6361" s="49"/>
      <c r="Q6361" s="1"/>
      <c r="S6361" s="1"/>
      <c r="T6361" s="1"/>
      <c r="U6361" s="1"/>
      <c r="V6361" s="1"/>
      <c r="W6361" s="1"/>
      <c r="X6361" s="1"/>
      <c r="Y6361" s="1"/>
      <c r="AB6361" s="1"/>
      <c r="AC6361" s="1"/>
      <c r="AD6361" s="1"/>
      <c r="AE6361" s="1"/>
      <c r="AF6361" s="1"/>
      <c r="AG6361" s="1"/>
      <c r="AH6361" s="1"/>
      <c r="AI6361" s="1"/>
      <c r="AJ6361" s="1"/>
      <c r="AK6361" s="1"/>
      <c r="AL6361" s="1"/>
      <c r="AM6361" s="1"/>
    </row>
    <row r="6362" spans="16:39" x14ac:dyDescent="0.25">
      <c r="P6362" s="49"/>
      <c r="Q6362" s="1"/>
      <c r="S6362" s="1"/>
      <c r="T6362" s="1"/>
      <c r="U6362" s="1"/>
      <c r="V6362" s="1"/>
      <c r="W6362" s="1"/>
      <c r="X6362" s="1"/>
      <c r="Y6362" s="1"/>
      <c r="AB6362" s="1"/>
      <c r="AC6362" s="1"/>
      <c r="AD6362" s="1"/>
      <c r="AE6362" s="1"/>
      <c r="AF6362" s="1"/>
      <c r="AG6362" s="1"/>
      <c r="AH6362" s="1"/>
      <c r="AI6362" s="1"/>
      <c r="AJ6362" s="1"/>
      <c r="AK6362" s="1"/>
      <c r="AL6362" s="1"/>
      <c r="AM6362" s="1"/>
    </row>
    <row r="6363" spans="16:39" x14ac:dyDescent="0.25">
      <c r="P6363" s="49"/>
      <c r="Q6363" s="1"/>
      <c r="S6363" s="1"/>
      <c r="T6363" s="1"/>
      <c r="U6363" s="1"/>
      <c r="V6363" s="1"/>
      <c r="W6363" s="1"/>
      <c r="X6363" s="1"/>
      <c r="Y6363" s="1"/>
      <c r="AB6363" s="1"/>
      <c r="AC6363" s="1"/>
      <c r="AD6363" s="1"/>
      <c r="AE6363" s="1"/>
      <c r="AF6363" s="1"/>
      <c r="AG6363" s="1"/>
      <c r="AH6363" s="1"/>
      <c r="AI6363" s="1"/>
      <c r="AJ6363" s="1"/>
      <c r="AK6363" s="1"/>
      <c r="AL6363" s="1"/>
      <c r="AM6363" s="1"/>
    </row>
    <row r="6364" spans="16:39" x14ac:dyDescent="0.25">
      <c r="P6364" s="49"/>
      <c r="Q6364" s="1"/>
      <c r="S6364" s="1"/>
      <c r="T6364" s="1"/>
      <c r="U6364" s="1"/>
      <c r="V6364" s="1"/>
      <c r="W6364" s="1"/>
      <c r="X6364" s="1"/>
      <c r="Y6364" s="1"/>
      <c r="AB6364" s="1"/>
      <c r="AC6364" s="1"/>
      <c r="AD6364" s="1"/>
      <c r="AE6364" s="1"/>
      <c r="AF6364" s="1"/>
      <c r="AG6364" s="1"/>
      <c r="AH6364" s="1"/>
      <c r="AI6364" s="1"/>
      <c r="AJ6364" s="1"/>
      <c r="AK6364" s="1"/>
      <c r="AL6364" s="1"/>
      <c r="AM6364" s="1"/>
    </row>
    <row r="6365" spans="16:39" x14ac:dyDescent="0.25">
      <c r="P6365" s="49"/>
      <c r="Q6365" s="1"/>
      <c r="S6365" s="1"/>
      <c r="T6365" s="1"/>
      <c r="U6365" s="1"/>
      <c r="V6365" s="1"/>
      <c r="W6365" s="1"/>
      <c r="X6365" s="1"/>
      <c r="Y6365" s="1"/>
      <c r="AB6365" s="1"/>
      <c r="AC6365" s="1"/>
      <c r="AD6365" s="1"/>
      <c r="AE6365" s="1"/>
      <c r="AF6365" s="1"/>
      <c r="AG6365" s="1"/>
      <c r="AH6365" s="1"/>
      <c r="AI6365" s="1"/>
      <c r="AJ6365" s="1"/>
      <c r="AK6365" s="1"/>
      <c r="AL6365" s="1"/>
      <c r="AM6365" s="1"/>
    </row>
    <row r="6366" spans="16:39" x14ac:dyDescent="0.25">
      <c r="P6366" s="49"/>
      <c r="Q6366" s="1"/>
      <c r="S6366" s="1"/>
      <c r="T6366" s="1"/>
      <c r="U6366" s="1"/>
      <c r="V6366" s="1"/>
      <c r="W6366" s="1"/>
      <c r="X6366" s="1"/>
      <c r="Y6366" s="1"/>
      <c r="AB6366" s="1"/>
      <c r="AC6366" s="1"/>
      <c r="AD6366" s="1"/>
      <c r="AE6366" s="1"/>
      <c r="AF6366" s="1"/>
      <c r="AG6366" s="1"/>
      <c r="AH6366" s="1"/>
      <c r="AI6366" s="1"/>
      <c r="AJ6366" s="1"/>
      <c r="AK6366" s="1"/>
      <c r="AL6366" s="1"/>
      <c r="AM6366" s="1"/>
    </row>
    <row r="6367" spans="16:39" x14ac:dyDescent="0.25">
      <c r="P6367" s="49"/>
      <c r="Q6367" s="1"/>
      <c r="S6367" s="1"/>
      <c r="T6367" s="1"/>
      <c r="U6367" s="1"/>
      <c r="V6367" s="1"/>
      <c r="W6367" s="1"/>
      <c r="X6367" s="1"/>
      <c r="Y6367" s="1"/>
      <c r="AB6367" s="1"/>
      <c r="AC6367" s="1"/>
      <c r="AD6367" s="1"/>
      <c r="AE6367" s="1"/>
      <c r="AF6367" s="1"/>
      <c r="AG6367" s="1"/>
      <c r="AH6367" s="1"/>
      <c r="AI6367" s="1"/>
      <c r="AJ6367" s="1"/>
      <c r="AK6367" s="1"/>
      <c r="AL6367" s="1"/>
      <c r="AM6367" s="1"/>
    </row>
    <row r="6368" spans="16:39" x14ac:dyDescent="0.25">
      <c r="P6368" s="49"/>
      <c r="Q6368" s="1"/>
      <c r="S6368" s="1"/>
      <c r="T6368" s="1"/>
      <c r="U6368" s="1"/>
      <c r="V6368" s="1"/>
      <c r="W6368" s="1"/>
      <c r="X6368" s="1"/>
      <c r="Y6368" s="1"/>
      <c r="AB6368" s="1"/>
      <c r="AC6368" s="1"/>
      <c r="AD6368" s="1"/>
      <c r="AE6368" s="1"/>
      <c r="AF6368" s="1"/>
      <c r="AG6368" s="1"/>
      <c r="AH6368" s="1"/>
      <c r="AI6368" s="1"/>
      <c r="AJ6368" s="1"/>
      <c r="AK6368" s="1"/>
      <c r="AL6368" s="1"/>
      <c r="AM6368" s="1"/>
    </row>
    <row r="6369" spans="16:39" x14ac:dyDescent="0.25">
      <c r="P6369" s="49"/>
      <c r="Q6369" s="1"/>
      <c r="S6369" s="1"/>
      <c r="T6369" s="1"/>
      <c r="U6369" s="1"/>
      <c r="V6369" s="1"/>
      <c r="W6369" s="1"/>
      <c r="X6369" s="1"/>
      <c r="Y6369" s="1"/>
      <c r="AB6369" s="1"/>
      <c r="AC6369" s="1"/>
      <c r="AD6369" s="1"/>
      <c r="AE6369" s="1"/>
      <c r="AF6369" s="1"/>
      <c r="AG6369" s="1"/>
      <c r="AH6369" s="1"/>
      <c r="AI6369" s="1"/>
      <c r="AJ6369" s="1"/>
      <c r="AK6369" s="1"/>
      <c r="AL6369" s="1"/>
      <c r="AM6369" s="1"/>
    </row>
    <row r="6370" spans="16:39" x14ac:dyDescent="0.25">
      <c r="P6370" s="49"/>
      <c r="Q6370" s="1"/>
      <c r="S6370" s="1"/>
      <c r="T6370" s="1"/>
      <c r="U6370" s="1"/>
      <c r="V6370" s="1"/>
      <c r="W6370" s="1"/>
      <c r="X6370" s="1"/>
      <c r="Y6370" s="1"/>
      <c r="AB6370" s="1"/>
      <c r="AC6370" s="1"/>
      <c r="AD6370" s="1"/>
      <c r="AE6370" s="1"/>
      <c r="AF6370" s="1"/>
      <c r="AG6370" s="1"/>
      <c r="AH6370" s="1"/>
      <c r="AI6370" s="1"/>
      <c r="AJ6370" s="1"/>
      <c r="AK6370" s="1"/>
      <c r="AL6370" s="1"/>
      <c r="AM6370" s="1"/>
    </row>
    <row r="6371" spans="16:39" x14ac:dyDescent="0.25">
      <c r="P6371" s="49"/>
      <c r="Q6371" s="1"/>
      <c r="S6371" s="1"/>
      <c r="T6371" s="1"/>
      <c r="U6371" s="1"/>
      <c r="V6371" s="1"/>
      <c r="W6371" s="1"/>
      <c r="X6371" s="1"/>
      <c r="Y6371" s="1"/>
      <c r="AB6371" s="1"/>
      <c r="AC6371" s="1"/>
      <c r="AD6371" s="1"/>
      <c r="AE6371" s="1"/>
      <c r="AF6371" s="1"/>
      <c r="AG6371" s="1"/>
      <c r="AH6371" s="1"/>
      <c r="AI6371" s="1"/>
      <c r="AJ6371" s="1"/>
      <c r="AK6371" s="1"/>
      <c r="AL6371" s="1"/>
      <c r="AM6371" s="1"/>
    </row>
    <row r="6372" spans="16:39" x14ac:dyDescent="0.25">
      <c r="P6372" s="49"/>
      <c r="Q6372" s="1"/>
      <c r="S6372" s="1"/>
      <c r="T6372" s="1"/>
      <c r="U6372" s="1"/>
      <c r="V6372" s="1"/>
      <c r="W6372" s="1"/>
      <c r="X6372" s="1"/>
      <c r="Y6372" s="1"/>
      <c r="AB6372" s="1"/>
      <c r="AC6372" s="1"/>
      <c r="AD6372" s="1"/>
      <c r="AE6372" s="1"/>
      <c r="AF6372" s="1"/>
      <c r="AG6372" s="1"/>
      <c r="AH6372" s="1"/>
      <c r="AI6372" s="1"/>
      <c r="AJ6372" s="1"/>
      <c r="AK6372" s="1"/>
      <c r="AL6372" s="1"/>
      <c r="AM6372" s="1"/>
    </row>
    <row r="6373" spans="16:39" x14ac:dyDescent="0.25">
      <c r="P6373" s="49"/>
      <c r="Q6373" s="1"/>
      <c r="S6373" s="1"/>
      <c r="T6373" s="1"/>
      <c r="U6373" s="1"/>
      <c r="V6373" s="1"/>
      <c r="W6373" s="1"/>
      <c r="X6373" s="1"/>
      <c r="Y6373" s="1"/>
      <c r="AB6373" s="1"/>
      <c r="AC6373" s="1"/>
      <c r="AD6373" s="1"/>
      <c r="AE6373" s="1"/>
      <c r="AF6373" s="1"/>
      <c r="AG6373" s="1"/>
      <c r="AH6373" s="1"/>
      <c r="AI6373" s="1"/>
      <c r="AJ6373" s="1"/>
      <c r="AK6373" s="1"/>
      <c r="AL6373" s="1"/>
      <c r="AM6373" s="1"/>
    </row>
    <row r="6374" spans="16:39" x14ac:dyDescent="0.25">
      <c r="P6374" s="49"/>
      <c r="Q6374" s="1"/>
      <c r="S6374" s="1"/>
      <c r="T6374" s="1"/>
      <c r="U6374" s="1"/>
      <c r="V6374" s="1"/>
      <c r="W6374" s="1"/>
      <c r="X6374" s="1"/>
      <c r="Y6374" s="1"/>
      <c r="AB6374" s="1"/>
      <c r="AC6374" s="1"/>
      <c r="AD6374" s="1"/>
      <c r="AE6374" s="1"/>
      <c r="AF6374" s="1"/>
      <c r="AG6374" s="1"/>
      <c r="AH6374" s="1"/>
      <c r="AI6374" s="1"/>
      <c r="AJ6374" s="1"/>
      <c r="AK6374" s="1"/>
      <c r="AL6374" s="1"/>
      <c r="AM6374" s="1"/>
    </row>
    <row r="6375" spans="16:39" x14ac:dyDescent="0.25">
      <c r="P6375" s="49"/>
      <c r="Q6375" s="1"/>
      <c r="S6375" s="1"/>
      <c r="T6375" s="1"/>
      <c r="U6375" s="1"/>
      <c r="V6375" s="1"/>
      <c r="W6375" s="1"/>
      <c r="X6375" s="1"/>
      <c r="Y6375" s="1"/>
      <c r="AB6375" s="1"/>
      <c r="AC6375" s="1"/>
      <c r="AD6375" s="1"/>
      <c r="AE6375" s="1"/>
      <c r="AF6375" s="1"/>
      <c r="AG6375" s="1"/>
      <c r="AH6375" s="1"/>
      <c r="AI6375" s="1"/>
      <c r="AJ6375" s="1"/>
      <c r="AK6375" s="1"/>
      <c r="AL6375" s="1"/>
      <c r="AM6375" s="1"/>
    </row>
    <row r="6376" spans="16:39" x14ac:dyDescent="0.25">
      <c r="P6376" s="49"/>
      <c r="Q6376" s="1"/>
      <c r="S6376" s="1"/>
      <c r="T6376" s="1"/>
      <c r="U6376" s="1"/>
      <c r="V6376" s="1"/>
      <c r="W6376" s="1"/>
      <c r="X6376" s="1"/>
      <c r="Y6376" s="1"/>
      <c r="AB6376" s="1"/>
      <c r="AC6376" s="1"/>
      <c r="AD6376" s="1"/>
      <c r="AE6376" s="1"/>
      <c r="AF6376" s="1"/>
      <c r="AG6376" s="1"/>
      <c r="AH6376" s="1"/>
      <c r="AI6376" s="1"/>
      <c r="AJ6376" s="1"/>
      <c r="AK6376" s="1"/>
      <c r="AL6376" s="1"/>
      <c r="AM6376" s="1"/>
    </row>
    <row r="6377" spans="16:39" x14ac:dyDescent="0.25">
      <c r="P6377" s="49"/>
      <c r="Q6377" s="1"/>
      <c r="S6377" s="1"/>
      <c r="T6377" s="1"/>
      <c r="U6377" s="1"/>
      <c r="V6377" s="1"/>
      <c r="W6377" s="1"/>
      <c r="X6377" s="1"/>
      <c r="Y6377" s="1"/>
      <c r="AB6377" s="1"/>
      <c r="AC6377" s="1"/>
      <c r="AD6377" s="1"/>
      <c r="AE6377" s="1"/>
      <c r="AF6377" s="1"/>
      <c r="AG6377" s="1"/>
      <c r="AH6377" s="1"/>
      <c r="AI6377" s="1"/>
      <c r="AJ6377" s="1"/>
      <c r="AK6377" s="1"/>
      <c r="AL6377" s="1"/>
      <c r="AM6377" s="1"/>
    </row>
    <row r="6378" spans="16:39" x14ac:dyDescent="0.25">
      <c r="P6378" s="49"/>
      <c r="Q6378" s="1"/>
      <c r="S6378" s="1"/>
      <c r="T6378" s="1"/>
      <c r="U6378" s="1"/>
      <c r="V6378" s="1"/>
      <c r="W6378" s="1"/>
      <c r="X6378" s="1"/>
      <c r="Y6378" s="1"/>
      <c r="AB6378" s="1"/>
      <c r="AC6378" s="1"/>
      <c r="AD6378" s="1"/>
      <c r="AE6378" s="1"/>
      <c r="AF6378" s="1"/>
      <c r="AG6378" s="1"/>
      <c r="AH6378" s="1"/>
      <c r="AI6378" s="1"/>
      <c r="AJ6378" s="1"/>
      <c r="AK6378" s="1"/>
      <c r="AL6378" s="1"/>
      <c r="AM6378" s="1"/>
    </row>
    <row r="6379" spans="16:39" x14ac:dyDescent="0.25">
      <c r="P6379" s="49"/>
      <c r="Q6379" s="1"/>
      <c r="S6379" s="1"/>
      <c r="T6379" s="1"/>
      <c r="U6379" s="1"/>
      <c r="V6379" s="1"/>
      <c r="W6379" s="1"/>
      <c r="X6379" s="1"/>
      <c r="Y6379" s="1"/>
      <c r="AB6379" s="1"/>
      <c r="AC6379" s="1"/>
      <c r="AD6379" s="1"/>
      <c r="AE6379" s="1"/>
      <c r="AF6379" s="1"/>
      <c r="AG6379" s="1"/>
      <c r="AH6379" s="1"/>
      <c r="AI6379" s="1"/>
      <c r="AJ6379" s="1"/>
      <c r="AK6379" s="1"/>
      <c r="AL6379" s="1"/>
      <c r="AM6379" s="1"/>
    </row>
    <row r="6380" spans="16:39" x14ac:dyDescent="0.25">
      <c r="P6380" s="49"/>
      <c r="Q6380" s="1"/>
      <c r="S6380" s="1"/>
      <c r="T6380" s="1"/>
      <c r="U6380" s="1"/>
      <c r="V6380" s="1"/>
      <c r="W6380" s="1"/>
      <c r="X6380" s="1"/>
      <c r="Y6380" s="1"/>
      <c r="AB6380" s="1"/>
      <c r="AC6380" s="1"/>
      <c r="AD6380" s="1"/>
      <c r="AE6380" s="1"/>
      <c r="AF6380" s="1"/>
      <c r="AG6380" s="1"/>
      <c r="AH6380" s="1"/>
      <c r="AI6380" s="1"/>
      <c r="AJ6380" s="1"/>
      <c r="AK6380" s="1"/>
      <c r="AL6380" s="1"/>
      <c r="AM6380" s="1"/>
    </row>
    <row r="6381" spans="16:39" x14ac:dyDescent="0.25">
      <c r="P6381" s="49"/>
      <c r="Q6381" s="1"/>
      <c r="S6381" s="1"/>
      <c r="T6381" s="1"/>
      <c r="U6381" s="1"/>
      <c r="V6381" s="1"/>
      <c r="W6381" s="1"/>
      <c r="X6381" s="1"/>
      <c r="Y6381" s="1"/>
      <c r="AB6381" s="1"/>
      <c r="AC6381" s="1"/>
      <c r="AD6381" s="1"/>
      <c r="AE6381" s="1"/>
      <c r="AF6381" s="1"/>
      <c r="AG6381" s="1"/>
      <c r="AH6381" s="1"/>
      <c r="AI6381" s="1"/>
      <c r="AJ6381" s="1"/>
      <c r="AK6381" s="1"/>
      <c r="AL6381" s="1"/>
      <c r="AM6381" s="1"/>
    </row>
    <row r="6382" spans="16:39" x14ac:dyDescent="0.25">
      <c r="P6382" s="49"/>
      <c r="Q6382" s="1"/>
      <c r="S6382" s="1"/>
      <c r="T6382" s="1"/>
      <c r="U6382" s="1"/>
      <c r="V6382" s="1"/>
      <c r="W6382" s="1"/>
      <c r="X6382" s="1"/>
      <c r="Y6382" s="1"/>
      <c r="AB6382" s="1"/>
      <c r="AC6382" s="1"/>
      <c r="AD6382" s="1"/>
      <c r="AE6382" s="1"/>
      <c r="AF6382" s="1"/>
      <c r="AG6382" s="1"/>
      <c r="AH6382" s="1"/>
      <c r="AI6382" s="1"/>
      <c r="AJ6382" s="1"/>
      <c r="AK6382" s="1"/>
      <c r="AL6382" s="1"/>
      <c r="AM6382" s="1"/>
    </row>
    <row r="6383" spans="16:39" x14ac:dyDescent="0.25">
      <c r="P6383" s="49"/>
      <c r="Q6383" s="1"/>
      <c r="S6383" s="1"/>
      <c r="T6383" s="1"/>
      <c r="U6383" s="1"/>
      <c r="V6383" s="1"/>
      <c r="W6383" s="1"/>
      <c r="X6383" s="1"/>
      <c r="Y6383" s="1"/>
      <c r="AB6383" s="1"/>
      <c r="AC6383" s="1"/>
      <c r="AD6383" s="1"/>
      <c r="AE6383" s="1"/>
      <c r="AF6383" s="1"/>
      <c r="AG6383" s="1"/>
      <c r="AH6383" s="1"/>
      <c r="AI6383" s="1"/>
      <c r="AJ6383" s="1"/>
      <c r="AK6383" s="1"/>
      <c r="AL6383" s="1"/>
      <c r="AM6383" s="1"/>
    </row>
    <row r="6384" spans="16:39" x14ac:dyDescent="0.25">
      <c r="P6384" s="49"/>
      <c r="Q6384" s="1"/>
      <c r="S6384" s="1"/>
      <c r="T6384" s="1"/>
      <c r="U6384" s="1"/>
      <c r="V6384" s="1"/>
      <c r="W6384" s="1"/>
      <c r="X6384" s="1"/>
      <c r="Y6384" s="1"/>
      <c r="AB6384" s="1"/>
      <c r="AC6384" s="1"/>
      <c r="AD6384" s="1"/>
      <c r="AE6384" s="1"/>
      <c r="AF6384" s="1"/>
      <c r="AG6384" s="1"/>
      <c r="AH6384" s="1"/>
      <c r="AI6384" s="1"/>
      <c r="AJ6384" s="1"/>
      <c r="AK6384" s="1"/>
      <c r="AL6384" s="1"/>
      <c r="AM6384" s="1"/>
    </row>
    <row r="6385" spans="16:39" x14ac:dyDescent="0.25">
      <c r="P6385" s="49"/>
      <c r="Q6385" s="1"/>
      <c r="S6385" s="1"/>
      <c r="T6385" s="1"/>
      <c r="U6385" s="1"/>
      <c r="V6385" s="1"/>
      <c r="W6385" s="1"/>
      <c r="X6385" s="1"/>
      <c r="Y6385" s="1"/>
      <c r="AB6385" s="1"/>
      <c r="AC6385" s="1"/>
      <c r="AD6385" s="1"/>
      <c r="AE6385" s="1"/>
      <c r="AF6385" s="1"/>
      <c r="AG6385" s="1"/>
      <c r="AH6385" s="1"/>
      <c r="AI6385" s="1"/>
      <c r="AJ6385" s="1"/>
      <c r="AK6385" s="1"/>
      <c r="AL6385" s="1"/>
      <c r="AM6385" s="1"/>
    </row>
    <row r="6386" spans="16:39" x14ac:dyDescent="0.25">
      <c r="P6386" s="49"/>
      <c r="Q6386" s="1"/>
      <c r="S6386" s="1"/>
      <c r="T6386" s="1"/>
      <c r="U6386" s="1"/>
      <c r="V6386" s="1"/>
      <c r="W6386" s="1"/>
      <c r="X6386" s="1"/>
      <c r="Y6386" s="1"/>
      <c r="AB6386" s="1"/>
      <c r="AC6386" s="1"/>
      <c r="AD6386" s="1"/>
      <c r="AE6386" s="1"/>
      <c r="AF6386" s="1"/>
      <c r="AG6386" s="1"/>
      <c r="AH6386" s="1"/>
      <c r="AI6386" s="1"/>
      <c r="AJ6386" s="1"/>
      <c r="AK6386" s="1"/>
      <c r="AL6386" s="1"/>
      <c r="AM6386" s="1"/>
    </row>
    <row r="6387" spans="16:39" x14ac:dyDescent="0.25">
      <c r="P6387" s="49"/>
      <c r="Q6387" s="1"/>
      <c r="S6387" s="1"/>
      <c r="T6387" s="1"/>
      <c r="U6387" s="1"/>
      <c r="V6387" s="1"/>
      <c r="W6387" s="1"/>
      <c r="X6387" s="1"/>
      <c r="Y6387" s="1"/>
      <c r="AB6387" s="1"/>
      <c r="AC6387" s="1"/>
      <c r="AD6387" s="1"/>
      <c r="AE6387" s="1"/>
      <c r="AF6387" s="1"/>
      <c r="AG6387" s="1"/>
      <c r="AH6387" s="1"/>
      <c r="AI6387" s="1"/>
      <c r="AJ6387" s="1"/>
      <c r="AK6387" s="1"/>
      <c r="AL6387" s="1"/>
      <c r="AM6387" s="1"/>
    </row>
    <row r="6388" spans="16:39" x14ac:dyDescent="0.25">
      <c r="P6388" s="49"/>
      <c r="Q6388" s="1"/>
      <c r="S6388" s="1"/>
      <c r="T6388" s="1"/>
      <c r="U6388" s="1"/>
      <c r="V6388" s="1"/>
      <c r="W6388" s="1"/>
      <c r="X6388" s="1"/>
      <c r="Y6388" s="1"/>
      <c r="AB6388" s="1"/>
      <c r="AC6388" s="1"/>
      <c r="AD6388" s="1"/>
      <c r="AE6388" s="1"/>
      <c r="AF6388" s="1"/>
      <c r="AG6388" s="1"/>
      <c r="AH6388" s="1"/>
      <c r="AI6388" s="1"/>
      <c r="AJ6388" s="1"/>
      <c r="AK6388" s="1"/>
      <c r="AL6388" s="1"/>
      <c r="AM6388" s="1"/>
    </row>
    <row r="6389" spans="16:39" x14ac:dyDescent="0.25">
      <c r="P6389" s="49"/>
      <c r="Q6389" s="1"/>
      <c r="S6389" s="1"/>
      <c r="T6389" s="1"/>
      <c r="U6389" s="1"/>
      <c r="V6389" s="1"/>
      <c r="W6389" s="1"/>
      <c r="X6389" s="1"/>
      <c r="Y6389" s="1"/>
      <c r="AB6389" s="1"/>
      <c r="AC6389" s="1"/>
      <c r="AD6389" s="1"/>
      <c r="AE6389" s="1"/>
      <c r="AF6389" s="1"/>
      <c r="AG6389" s="1"/>
      <c r="AH6389" s="1"/>
      <c r="AI6389" s="1"/>
      <c r="AJ6389" s="1"/>
      <c r="AK6389" s="1"/>
      <c r="AL6389" s="1"/>
      <c r="AM6389" s="1"/>
    </row>
    <row r="6390" spans="16:39" x14ac:dyDescent="0.25">
      <c r="P6390" s="49"/>
      <c r="Q6390" s="1"/>
      <c r="S6390" s="1"/>
      <c r="T6390" s="1"/>
      <c r="U6390" s="1"/>
      <c r="V6390" s="1"/>
      <c r="W6390" s="1"/>
      <c r="X6390" s="1"/>
      <c r="Y6390" s="1"/>
      <c r="AB6390" s="1"/>
      <c r="AC6390" s="1"/>
      <c r="AD6390" s="1"/>
      <c r="AE6390" s="1"/>
      <c r="AF6390" s="1"/>
      <c r="AG6390" s="1"/>
      <c r="AH6390" s="1"/>
      <c r="AI6390" s="1"/>
      <c r="AJ6390" s="1"/>
      <c r="AK6390" s="1"/>
      <c r="AL6390" s="1"/>
      <c r="AM6390" s="1"/>
    </row>
    <row r="6391" spans="16:39" x14ac:dyDescent="0.25">
      <c r="P6391" s="49"/>
      <c r="Q6391" s="1"/>
      <c r="S6391" s="1"/>
      <c r="T6391" s="1"/>
      <c r="U6391" s="1"/>
      <c r="V6391" s="1"/>
      <c r="W6391" s="1"/>
      <c r="X6391" s="1"/>
      <c r="Y6391" s="1"/>
      <c r="AB6391" s="1"/>
      <c r="AC6391" s="1"/>
      <c r="AD6391" s="1"/>
      <c r="AE6391" s="1"/>
      <c r="AF6391" s="1"/>
      <c r="AG6391" s="1"/>
      <c r="AH6391" s="1"/>
      <c r="AI6391" s="1"/>
      <c r="AJ6391" s="1"/>
      <c r="AK6391" s="1"/>
      <c r="AL6391" s="1"/>
      <c r="AM6391" s="1"/>
    </row>
    <row r="6392" spans="16:39" x14ac:dyDescent="0.25">
      <c r="P6392" s="49"/>
      <c r="Q6392" s="1"/>
      <c r="S6392" s="1"/>
      <c r="T6392" s="1"/>
      <c r="U6392" s="1"/>
      <c r="V6392" s="1"/>
      <c r="W6392" s="1"/>
      <c r="X6392" s="1"/>
      <c r="Y6392" s="1"/>
      <c r="AB6392" s="1"/>
      <c r="AC6392" s="1"/>
      <c r="AD6392" s="1"/>
      <c r="AE6392" s="1"/>
      <c r="AF6392" s="1"/>
      <c r="AG6392" s="1"/>
      <c r="AH6392" s="1"/>
      <c r="AI6392" s="1"/>
      <c r="AJ6392" s="1"/>
      <c r="AK6392" s="1"/>
      <c r="AL6392" s="1"/>
      <c r="AM6392" s="1"/>
    </row>
    <row r="6393" spans="16:39" x14ac:dyDescent="0.25">
      <c r="P6393" s="49"/>
      <c r="Q6393" s="1"/>
      <c r="S6393" s="1"/>
      <c r="T6393" s="1"/>
      <c r="U6393" s="1"/>
      <c r="V6393" s="1"/>
      <c r="W6393" s="1"/>
      <c r="X6393" s="1"/>
      <c r="Y6393" s="1"/>
      <c r="AB6393" s="1"/>
      <c r="AC6393" s="1"/>
      <c r="AD6393" s="1"/>
      <c r="AE6393" s="1"/>
      <c r="AF6393" s="1"/>
      <c r="AG6393" s="1"/>
      <c r="AH6393" s="1"/>
      <c r="AI6393" s="1"/>
      <c r="AJ6393" s="1"/>
      <c r="AK6393" s="1"/>
      <c r="AL6393" s="1"/>
      <c r="AM6393" s="1"/>
    </row>
    <row r="6394" spans="16:39" x14ac:dyDescent="0.25">
      <c r="P6394" s="49"/>
      <c r="Q6394" s="1"/>
      <c r="S6394" s="1"/>
      <c r="T6394" s="1"/>
      <c r="U6394" s="1"/>
      <c r="V6394" s="1"/>
      <c r="W6394" s="1"/>
      <c r="X6394" s="1"/>
      <c r="Y6394" s="1"/>
      <c r="AB6394" s="1"/>
      <c r="AC6394" s="1"/>
      <c r="AD6394" s="1"/>
      <c r="AE6394" s="1"/>
      <c r="AF6394" s="1"/>
      <c r="AG6394" s="1"/>
      <c r="AH6394" s="1"/>
      <c r="AI6394" s="1"/>
      <c r="AJ6394" s="1"/>
      <c r="AK6394" s="1"/>
      <c r="AL6394" s="1"/>
      <c r="AM6394" s="1"/>
    </row>
    <row r="6395" spans="16:39" x14ac:dyDescent="0.25">
      <c r="P6395" s="49"/>
      <c r="Q6395" s="1"/>
      <c r="S6395" s="1"/>
      <c r="T6395" s="1"/>
      <c r="U6395" s="1"/>
      <c r="V6395" s="1"/>
      <c r="W6395" s="1"/>
      <c r="X6395" s="1"/>
      <c r="Y6395" s="1"/>
      <c r="AB6395" s="1"/>
      <c r="AC6395" s="1"/>
      <c r="AD6395" s="1"/>
      <c r="AE6395" s="1"/>
      <c r="AF6395" s="1"/>
      <c r="AG6395" s="1"/>
      <c r="AH6395" s="1"/>
      <c r="AI6395" s="1"/>
      <c r="AJ6395" s="1"/>
      <c r="AK6395" s="1"/>
      <c r="AL6395" s="1"/>
      <c r="AM6395" s="1"/>
    </row>
    <row r="6396" spans="16:39" x14ac:dyDescent="0.25">
      <c r="P6396" s="49"/>
      <c r="Q6396" s="1"/>
      <c r="S6396" s="1"/>
      <c r="T6396" s="1"/>
      <c r="U6396" s="1"/>
      <c r="V6396" s="1"/>
      <c r="W6396" s="1"/>
      <c r="X6396" s="1"/>
      <c r="Y6396" s="1"/>
      <c r="AB6396" s="1"/>
      <c r="AC6396" s="1"/>
      <c r="AD6396" s="1"/>
      <c r="AE6396" s="1"/>
      <c r="AF6396" s="1"/>
      <c r="AG6396" s="1"/>
      <c r="AH6396" s="1"/>
      <c r="AI6396" s="1"/>
      <c r="AJ6396" s="1"/>
      <c r="AK6396" s="1"/>
      <c r="AL6396" s="1"/>
      <c r="AM6396" s="1"/>
    </row>
    <row r="6397" spans="16:39" x14ac:dyDescent="0.25">
      <c r="P6397" s="49"/>
      <c r="Q6397" s="1"/>
      <c r="S6397" s="1"/>
      <c r="T6397" s="1"/>
      <c r="U6397" s="1"/>
      <c r="V6397" s="1"/>
      <c r="W6397" s="1"/>
      <c r="X6397" s="1"/>
      <c r="Y6397" s="1"/>
      <c r="AB6397" s="1"/>
      <c r="AC6397" s="1"/>
      <c r="AD6397" s="1"/>
      <c r="AE6397" s="1"/>
      <c r="AF6397" s="1"/>
      <c r="AG6397" s="1"/>
      <c r="AH6397" s="1"/>
      <c r="AI6397" s="1"/>
      <c r="AJ6397" s="1"/>
      <c r="AK6397" s="1"/>
      <c r="AL6397" s="1"/>
      <c r="AM6397" s="1"/>
    </row>
    <row r="6398" spans="16:39" x14ac:dyDescent="0.25">
      <c r="P6398" s="49"/>
      <c r="Q6398" s="1"/>
      <c r="S6398" s="1"/>
      <c r="T6398" s="1"/>
      <c r="U6398" s="1"/>
      <c r="V6398" s="1"/>
      <c r="W6398" s="1"/>
      <c r="X6398" s="1"/>
      <c r="Y6398" s="1"/>
      <c r="AB6398" s="1"/>
      <c r="AC6398" s="1"/>
      <c r="AD6398" s="1"/>
      <c r="AE6398" s="1"/>
      <c r="AF6398" s="1"/>
      <c r="AG6398" s="1"/>
      <c r="AH6398" s="1"/>
      <c r="AI6398" s="1"/>
      <c r="AJ6398" s="1"/>
      <c r="AK6398" s="1"/>
      <c r="AL6398" s="1"/>
      <c r="AM6398" s="1"/>
    </row>
    <row r="6399" spans="16:39" x14ac:dyDescent="0.25">
      <c r="P6399" s="49"/>
      <c r="Q6399" s="1"/>
      <c r="S6399" s="1"/>
      <c r="T6399" s="1"/>
      <c r="U6399" s="1"/>
      <c r="V6399" s="1"/>
      <c r="W6399" s="1"/>
      <c r="X6399" s="1"/>
      <c r="Y6399" s="1"/>
      <c r="AB6399" s="1"/>
      <c r="AC6399" s="1"/>
      <c r="AD6399" s="1"/>
      <c r="AE6399" s="1"/>
      <c r="AF6399" s="1"/>
      <c r="AG6399" s="1"/>
      <c r="AH6399" s="1"/>
      <c r="AI6399" s="1"/>
      <c r="AJ6399" s="1"/>
      <c r="AK6399" s="1"/>
      <c r="AL6399" s="1"/>
      <c r="AM6399" s="1"/>
    </row>
    <row r="6400" spans="16:39" x14ac:dyDescent="0.25">
      <c r="P6400" s="49"/>
      <c r="Q6400" s="1"/>
      <c r="S6400" s="1"/>
      <c r="T6400" s="1"/>
      <c r="U6400" s="1"/>
      <c r="V6400" s="1"/>
      <c r="W6400" s="1"/>
      <c r="X6400" s="1"/>
      <c r="Y6400" s="1"/>
      <c r="AB6400" s="1"/>
      <c r="AC6400" s="1"/>
      <c r="AD6400" s="1"/>
      <c r="AE6400" s="1"/>
      <c r="AF6400" s="1"/>
      <c r="AG6400" s="1"/>
      <c r="AH6400" s="1"/>
      <c r="AI6400" s="1"/>
      <c r="AJ6400" s="1"/>
      <c r="AK6400" s="1"/>
      <c r="AL6400" s="1"/>
      <c r="AM6400" s="1"/>
    </row>
    <row r="6401" spans="16:39" x14ac:dyDescent="0.25">
      <c r="P6401" s="49"/>
      <c r="Q6401" s="1"/>
      <c r="S6401" s="1"/>
      <c r="T6401" s="1"/>
      <c r="U6401" s="1"/>
      <c r="V6401" s="1"/>
      <c r="W6401" s="1"/>
      <c r="X6401" s="1"/>
      <c r="Y6401" s="1"/>
      <c r="AB6401" s="1"/>
      <c r="AC6401" s="1"/>
      <c r="AD6401" s="1"/>
      <c r="AE6401" s="1"/>
      <c r="AF6401" s="1"/>
      <c r="AG6401" s="1"/>
      <c r="AH6401" s="1"/>
      <c r="AI6401" s="1"/>
      <c r="AJ6401" s="1"/>
      <c r="AK6401" s="1"/>
      <c r="AL6401" s="1"/>
      <c r="AM6401" s="1"/>
    </row>
    <row r="6402" spans="16:39" x14ac:dyDescent="0.25">
      <c r="P6402" s="49"/>
      <c r="Q6402" s="1"/>
      <c r="S6402" s="1"/>
      <c r="T6402" s="1"/>
      <c r="U6402" s="1"/>
      <c r="V6402" s="1"/>
      <c r="W6402" s="1"/>
      <c r="X6402" s="1"/>
      <c r="Y6402" s="1"/>
      <c r="AB6402" s="1"/>
      <c r="AC6402" s="1"/>
      <c r="AD6402" s="1"/>
      <c r="AE6402" s="1"/>
      <c r="AF6402" s="1"/>
      <c r="AG6402" s="1"/>
      <c r="AH6402" s="1"/>
      <c r="AI6402" s="1"/>
      <c r="AJ6402" s="1"/>
      <c r="AK6402" s="1"/>
      <c r="AL6402" s="1"/>
      <c r="AM6402" s="1"/>
    </row>
    <row r="6403" spans="16:39" x14ac:dyDescent="0.25">
      <c r="P6403" s="49"/>
      <c r="Q6403" s="1"/>
      <c r="S6403" s="1"/>
      <c r="T6403" s="1"/>
      <c r="U6403" s="1"/>
      <c r="V6403" s="1"/>
      <c r="W6403" s="1"/>
      <c r="X6403" s="1"/>
      <c r="Y6403" s="1"/>
      <c r="AB6403" s="1"/>
      <c r="AC6403" s="1"/>
      <c r="AD6403" s="1"/>
      <c r="AE6403" s="1"/>
      <c r="AF6403" s="1"/>
      <c r="AG6403" s="1"/>
      <c r="AH6403" s="1"/>
      <c r="AI6403" s="1"/>
      <c r="AJ6403" s="1"/>
      <c r="AK6403" s="1"/>
      <c r="AL6403" s="1"/>
      <c r="AM6403" s="1"/>
    </row>
    <row r="6404" spans="16:39" x14ac:dyDescent="0.25">
      <c r="P6404" s="49"/>
      <c r="Q6404" s="1"/>
      <c r="S6404" s="1"/>
      <c r="T6404" s="1"/>
      <c r="U6404" s="1"/>
      <c r="V6404" s="1"/>
      <c r="W6404" s="1"/>
      <c r="X6404" s="1"/>
      <c r="Y6404" s="1"/>
      <c r="AB6404" s="1"/>
      <c r="AC6404" s="1"/>
      <c r="AD6404" s="1"/>
      <c r="AE6404" s="1"/>
      <c r="AF6404" s="1"/>
      <c r="AG6404" s="1"/>
      <c r="AH6404" s="1"/>
      <c r="AI6404" s="1"/>
      <c r="AJ6404" s="1"/>
      <c r="AK6404" s="1"/>
      <c r="AL6404" s="1"/>
      <c r="AM6404" s="1"/>
    </row>
    <row r="6405" spans="16:39" x14ac:dyDescent="0.25">
      <c r="P6405" s="49"/>
      <c r="Q6405" s="1"/>
      <c r="S6405" s="1"/>
      <c r="T6405" s="1"/>
      <c r="U6405" s="1"/>
      <c r="V6405" s="1"/>
      <c r="W6405" s="1"/>
      <c r="X6405" s="1"/>
      <c r="Y6405" s="1"/>
      <c r="AB6405" s="1"/>
      <c r="AC6405" s="1"/>
      <c r="AD6405" s="1"/>
      <c r="AE6405" s="1"/>
      <c r="AF6405" s="1"/>
      <c r="AG6405" s="1"/>
      <c r="AH6405" s="1"/>
      <c r="AI6405" s="1"/>
      <c r="AJ6405" s="1"/>
      <c r="AK6405" s="1"/>
      <c r="AL6405" s="1"/>
      <c r="AM6405" s="1"/>
    </row>
    <row r="6406" spans="16:39" x14ac:dyDescent="0.25">
      <c r="P6406" s="49"/>
      <c r="Q6406" s="1"/>
      <c r="S6406" s="1"/>
      <c r="T6406" s="1"/>
      <c r="U6406" s="1"/>
      <c r="V6406" s="1"/>
      <c r="W6406" s="1"/>
      <c r="X6406" s="1"/>
      <c r="Y6406" s="1"/>
      <c r="AB6406" s="1"/>
      <c r="AC6406" s="1"/>
      <c r="AD6406" s="1"/>
      <c r="AE6406" s="1"/>
      <c r="AF6406" s="1"/>
      <c r="AG6406" s="1"/>
      <c r="AH6406" s="1"/>
      <c r="AI6406" s="1"/>
      <c r="AJ6406" s="1"/>
      <c r="AK6406" s="1"/>
      <c r="AL6406" s="1"/>
      <c r="AM6406" s="1"/>
    </row>
    <row r="6407" spans="16:39" x14ac:dyDescent="0.25">
      <c r="P6407" s="49"/>
      <c r="Q6407" s="1"/>
      <c r="S6407" s="1"/>
      <c r="T6407" s="1"/>
      <c r="U6407" s="1"/>
      <c r="V6407" s="1"/>
      <c r="W6407" s="1"/>
      <c r="X6407" s="1"/>
      <c r="Y6407" s="1"/>
      <c r="AB6407" s="1"/>
      <c r="AC6407" s="1"/>
      <c r="AD6407" s="1"/>
      <c r="AE6407" s="1"/>
      <c r="AF6407" s="1"/>
      <c r="AG6407" s="1"/>
      <c r="AH6407" s="1"/>
      <c r="AI6407" s="1"/>
      <c r="AJ6407" s="1"/>
      <c r="AK6407" s="1"/>
      <c r="AL6407" s="1"/>
      <c r="AM6407" s="1"/>
    </row>
    <row r="6408" spans="16:39" x14ac:dyDescent="0.25">
      <c r="P6408" s="49"/>
      <c r="Q6408" s="1"/>
      <c r="S6408" s="1"/>
      <c r="T6408" s="1"/>
      <c r="U6408" s="1"/>
      <c r="V6408" s="1"/>
      <c r="W6408" s="1"/>
      <c r="X6408" s="1"/>
      <c r="Y6408" s="1"/>
      <c r="AB6408" s="1"/>
      <c r="AC6408" s="1"/>
      <c r="AD6408" s="1"/>
      <c r="AE6408" s="1"/>
      <c r="AF6408" s="1"/>
      <c r="AG6408" s="1"/>
      <c r="AH6408" s="1"/>
      <c r="AI6408" s="1"/>
      <c r="AJ6408" s="1"/>
      <c r="AK6408" s="1"/>
      <c r="AL6408" s="1"/>
      <c r="AM6408" s="1"/>
    </row>
    <row r="6409" spans="16:39" x14ac:dyDescent="0.25">
      <c r="P6409" s="49"/>
      <c r="Q6409" s="1"/>
      <c r="S6409" s="1"/>
      <c r="T6409" s="1"/>
      <c r="U6409" s="1"/>
      <c r="V6409" s="1"/>
      <c r="W6409" s="1"/>
      <c r="X6409" s="1"/>
      <c r="Y6409" s="1"/>
      <c r="AB6409" s="1"/>
      <c r="AC6409" s="1"/>
      <c r="AD6409" s="1"/>
      <c r="AE6409" s="1"/>
      <c r="AF6409" s="1"/>
      <c r="AG6409" s="1"/>
      <c r="AH6409" s="1"/>
      <c r="AI6409" s="1"/>
      <c r="AJ6409" s="1"/>
      <c r="AK6409" s="1"/>
      <c r="AL6409" s="1"/>
      <c r="AM6409" s="1"/>
    </row>
    <row r="6410" spans="16:39" x14ac:dyDescent="0.25">
      <c r="P6410" s="49"/>
      <c r="Q6410" s="1"/>
      <c r="S6410" s="1"/>
      <c r="T6410" s="1"/>
      <c r="U6410" s="1"/>
      <c r="V6410" s="1"/>
      <c r="W6410" s="1"/>
      <c r="X6410" s="1"/>
      <c r="Y6410" s="1"/>
      <c r="AB6410" s="1"/>
      <c r="AC6410" s="1"/>
      <c r="AD6410" s="1"/>
      <c r="AE6410" s="1"/>
      <c r="AF6410" s="1"/>
      <c r="AG6410" s="1"/>
      <c r="AH6410" s="1"/>
      <c r="AI6410" s="1"/>
      <c r="AJ6410" s="1"/>
      <c r="AK6410" s="1"/>
      <c r="AL6410" s="1"/>
      <c r="AM6410" s="1"/>
    </row>
    <row r="6411" spans="16:39" x14ac:dyDescent="0.25">
      <c r="P6411" s="49"/>
      <c r="Q6411" s="1"/>
      <c r="S6411" s="1"/>
      <c r="T6411" s="1"/>
      <c r="U6411" s="1"/>
      <c r="V6411" s="1"/>
      <c r="W6411" s="1"/>
      <c r="X6411" s="1"/>
      <c r="Y6411" s="1"/>
      <c r="AB6411" s="1"/>
      <c r="AC6411" s="1"/>
      <c r="AD6411" s="1"/>
      <c r="AE6411" s="1"/>
      <c r="AF6411" s="1"/>
      <c r="AG6411" s="1"/>
      <c r="AH6411" s="1"/>
      <c r="AI6411" s="1"/>
      <c r="AJ6411" s="1"/>
      <c r="AK6411" s="1"/>
      <c r="AL6411" s="1"/>
      <c r="AM6411" s="1"/>
    </row>
    <row r="6412" spans="16:39" x14ac:dyDescent="0.25">
      <c r="P6412" s="49"/>
      <c r="Q6412" s="1"/>
      <c r="S6412" s="1"/>
      <c r="T6412" s="1"/>
      <c r="U6412" s="1"/>
      <c r="V6412" s="1"/>
      <c r="W6412" s="1"/>
      <c r="X6412" s="1"/>
      <c r="Y6412" s="1"/>
      <c r="AB6412" s="1"/>
      <c r="AC6412" s="1"/>
      <c r="AD6412" s="1"/>
      <c r="AE6412" s="1"/>
      <c r="AF6412" s="1"/>
      <c r="AG6412" s="1"/>
      <c r="AH6412" s="1"/>
      <c r="AI6412" s="1"/>
      <c r="AJ6412" s="1"/>
      <c r="AK6412" s="1"/>
      <c r="AL6412" s="1"/>
      <c r="AM6412" s="1"/>
    </row>
    <row r="6413" spans="16:39" x14ac:dyDescent="0.25">
      <c r="P6413" s="49"/>
      <c r="Q6413" s="1"/>
      <c r="S6413" s="1"/>
      <c r="T6413" s="1"/>
      <c r="U6413" s="1"/>
      <c r="V6413" s="1"/>
      <c r="W6413" s="1"/>
      <c r="X6413" s="1"/>
      <c r="Y6413" s="1"/>
      <c r="AB6413" s="1"/>
      <c r="AC6413" s="1"/>
      <c r="AD6413" s="1"/>
      <c r="AE6413" s="1"/>
      <c r="AF6413" s="1"/>
      <c r="AG6413" s="1"/>
      <c r="AH6413" s="1"/>
      <c r="AI6413" s="1"/>
      <c r="AJ6413" s="1"/>
      <c r="AK6413" s="1"/>
      <c r="AL6413" s="1"/>
      <c r="AM6413" s="1"/>
    </row>
    <row r="6414" spans="16:39" x14ac:dyDescent="0.25">
      <c r="P6414" s="49"/>
      <c r="Q6414" s="1"/>
      <c r="S6414" s="1"/>
      <c r="T6414" s="1"/>
      <c r="U6414" s="1"/>
      <c r="V6414" s="1"/>
      <c r="W6414" s="1"/>
      <c r="X6414" s="1"/>
      <c r="Y6414" s="1"/>
      <c r="AB6414" s="1"/>
      <c r="AC6414" s="1"/>
      <c r="AD6414" s="1"/>
      <c r="AE6414" s="1"/>
      <c r="AF6414" s="1"/>
      <c r="AG6414" s="1"/>
      <c r="AH6414" s="1"/>
      <c r="AI6414" s="1"/>
      <c r="AJ6414" s="1"/>
      <c r="AK6414" s="1"/>
      <c r="AL6414" s="1"/>
      <c r="AM6414" s="1"/>
    </row>
    <row r="6415" spans="16:39" x14ac:dyDescent="0.25">
      <c r="P6415" s="49"/>
      <c r="Q6415" s="1"/>
      <c r="S6415" s="1"/>
      <c r="T6415" s="1"/>
      <c r="U6415" s="1"/>
      <c r="V6415" s="1"/>
      <c r="W6415" s="1"/>
      <c r="X6415" s="1"/>
      <c r="Y6415" s="1"/>
      <c r="AB6415" s="1"/>
      <c r="AC6415" s="1"/>
      <c r="AD6415" s="1"/>
      <c r="AE6415" s="1"/>
      <c r="AF6415" s="1"/>
      <c r="AG6415" s="1"/>
      <c r="AH6415" s="1"/>
      <c r="AI6415" s="1"/>
      <c r="AJ6415" s="1"/>
      <c r="AK6415" s="1"/>
      <c r="AL6415" s="1"/>
      <c r="AM6415" s="1"/>
    </row>
    <row r="6416" spans="16:39" x14ac:dyDescent="0.25">
      <c r="P6416" s="49"/>
      <c r="Q6416" s="1"/>
      <c r="S6416" s="1"/>
      <c r="T6416" s="1"/>
      <c r="U6416" s="1"/>
      <c r="V6416" s="1"/>
      <c r="W6416" s="1"/>
      <c r="X6416" s="1"/>
      <c r="Y6416" s="1"/>
      <c r="AB6416" s="1"/>
      <c r="AC6416" s="1"/>
      <c r="AD6416" s="1"/>
      <c r="AE6416" s="1"/>
      <c r="AF6416" s="1"/>
      <c r="AG6416" s="1"/>
      <c r="AH6416" s="1"/>
      <c r="AI6416" s="1"/>
      <c r="AJ6416" s="1"/>
      <c r="AK6416" s="1"/>
      <c r="AL6416" s="1"/>
      <c r="AM6416" s="1"/>
    </row>
    <row r="6417" spans="16:39" x14ac:dyDescent="0.25">
      <c r="P6417" s="49"/>
      <c r="Q6417" s="1"/>
      <c r="S6417" s="1"/>
      <c r="T6417" s="1"/>
      <c r="U6417" s="1"/>
      <c r="V6417" s="1"/>
      <c r="W6417" s="1"/>
      <c r="X6417" s="1"/>
      <c r="Y6417" s="1"/>
      <c r="AB6417" s="1"/>
      <c r="AC6417" s="1"/>
      <c r="AD6417" s="1"/>
      <c r="AE6417" s="1"/>
      <c r="AF6417" s="1"/>
      <c r="AG6417" s="1"/>
      <c r="AH6417" s="1"/>
      <c r="AI6417" s="1"/>
      <c r="AJ6417" s="1"/>
      <c r="AK6417" s="1"/>
      <c r="AL6417" s="1"/>
      <c r="AM6417" s="1"/>
    </row>
    <row r="6418" spans="16:39" x14ac:dyDescent="0.25">
      <c r="P6418" s="49"/>
      <c r="Q6418" s="1"/>
      <c r="S6418" s="1"/>
      <c r="T6418" s="1"/>
      <c r="U6418" s="1"/>
      <c r="V6418" s="1"/>
      <c r="W6418" s="1"/>
      <c r="X6418" s="1"/>
      <c r="Y6418" s="1"/>
      <c r="AB6418" s="1"/>
      <c r="AC6418" s="1"/>
      <c r="AD6418" s="1"/>
      <c r="AE6418" s="1"/>
      <c r="AF6418" s="1"/>
      <c r="AG6418" s="1"/>
      <c r="AH6418" s="1"/>
      <c r="AI6418" s="1"/>
      <c r="AJ6418" s="1"/>
      <c r="AK6418" s="1"/>
      <c r="AL6418" s="1"/>
      <c r="AM6418" s="1"/>
    </row>
    <row r="6419" spans="16:39" x14ac:dyDescent="0.25">
      <c r="P6419" s="49"/>
      <c r="Q6419" s="1"/>
      <c r="S6419" s="1"/>
      <c r="T6419" s="1"/>
      <c r="U6419" s="1"/>
      <c r="V6419" s="1"/>
      <c r="W6419" s="1"/>
      <c r="X6419" s="1"/>
      <c r="Y6419" s="1"/>
      <c r="AB6419" s="1"/>
      <c r="AC6419" s="1"/>
      <c r="AD6419" s="1"/>
      <c r="AE6419" s="1"/>
      <c r="AF6419" s="1"/>
      <c r="AG6419" s="1"/>
      <c r="AH6419" s="1"/>
      <c r="AI6419" s="1"/>
      <c r="AJ6419" s="1"/>
      <c r="AK6419" s="1"/>
      <c r="AL6419" s="1"/>
      <c r="AM6419" s="1"/>
    </row>
    <row r="6420" spans="16:39" x14ac:dyDescent="0.25">
      <c r="P6420" s="49"/>
      <c r="Q6420" s="1"/>
      <c r="S6420" s="1"/>
      <c r="T6420" s="1"/>
      <c r="U6420" s="1"/>
      <c r="V6420" s="1"/>
      <c r="W6420" s="1"/>
      <c r="X6420" s="1"/>
      <c r="Y6420" s="1"/>
      <c r="AB6420" s="1"/>
      <c r="AC6420" s="1"/>
      <c r="AD6420" s="1"/>
      <c r="AE6420" s="1"/>
      <c r="AF6420" s="1"/>
      <c r="AG6420" s="1"/>
      <c r="AH6420" s="1"/>
      <c r="AI6420" s="1"/>
      <c r="AJ6420" s="1"/>
      <c r="AK6420" s="1"/>
      <c r="AL6420" s="1"/>
      <c r="AM6420" s="1"/>
    </row>
    <row r="6421" spans="16:39" x14ac:dyDescent="0.25">
      <c r="P6421" s="49"/>
      <c r="Q6421" s="1"/>
      <c r="S6421" s="1"/>
      <c r="T6421" s="1"/>
      <c r="U6421" s="1"/>
      <c r="V6421" s="1"/>
      <c r="W6421" s="1"/>
      <c r="X6421" s="1"/>
      <c r="Y6421" s="1"/>
      <c r="AB6421" s="1"/>
      <c r="AC6421" s="1"/>
      <c r="AD6421" s="1"/>
      <c r="AE6421" s="1"/>
      <c r="AF6421" s="1"/>
      <c r="AG6421" s="1"/>
      <c r="AH6421" s="1"/>
      <c r="AI6421" s="1"/>
      <c r="AJ6421" s="1"/>
      <c r="AK6421" s="1"/>
      <c r="AL6421" s="1"/>
      <c r="AM6421" s="1"/>
    </row>
    <row r="6422" spans="16:39" x14ac:dyDescent="0.25">
      <c r="P6422" s="49"/>
      <c r="Q6422" s="1"/>
      <c r="S6422" s="1"/>
      <c r="T6422" s="1"/>
      <c r="U6422" s="1"/>
      <c r="V6422" s="1"/>
      <c r="W6422" s="1"/>
      <c r="X6422" s="1"/>
      <c r="Y6422" s="1"/>
      <c r="AB6422" s="1"/>
      <c r="AC6422" s="1"/>
      <c r="AD6422" s="1"/>
      <c r="AE6422" s="1"/>
      <c r="AF6422" s="1"/>
      <c r="AG6422" s="1"/>
      <c r="AH6422" s="1"/>
      <c r="AI6422" s="1"/>
      <c r="AJ6422" s="1"/>
      <c r="AK6422" s="1"/>
      <c r="AL6422" s="1"/>
      <c r="AM6422" s="1"/>
    </row>
    <row r="6423" spans="16:39" x14ac:dyDescent="0.25">
      <c r="P6423" s="49"/>
      <c r="Q6423" s="1"/>
      <c r="S6423" s="1"/>
      <c r="T6423" s="1"/>
      <c r="U6423" s="1"/>
      <c r="V6423" s="1"/>
      <c r="W6423" s="1"/>
      <c r="X6423" s="1"/>
      <c r="Y6423" s="1"/>
      <c r="AB6423" s="1"/>
      <c r="AC6423" s="1"/>
      <c r="AD6423" s="1"/>
      <c r="AE6423" s="1"/>
      <c r="AF6423" s="1"/>
      <c r="AG6423" s="1"/>
      <c r="AH6423" s="1"/>
      <c r="AI6423" s="1"/>
      <c r="AJ6423" s="1"/>
      <c r="AK6423" s="1"/>
      <c r="AL6423" s="1"/>
      <c r="AM6423" s="1"/>
    </row>
    <row r="6424" spans="16:39" x14ac:dyDescent="0.25">
      <c r="P6424" s="49"/>
      <c r="Q6424" s="1"/>
      <c r="S6424" s="1"/>
      <c r="T6424" s="1"/>
      <c r="U6424" s="1"/>
      <c r="V6424" s="1"/>
      <c r="W6424" s="1"/>
      <c r="X6424" s="1"/>
      <c r="Y6424" s="1"/>
      <c r="AB6424" s="1"/>
      <c r="AC6424" s="1"/>
      <c r="AD6424" s="1"/>
      <c r="AE6424" s="1"/>
      <c r="AF6424" s="1"/>
      <c r="AG6424" s="1"/>
      <c r="AH6424" s="1"/>
      <c r="AI6424" s="1"/>
      <c r="AJ6424" s="1"/>
      <c r="AK6424" s="1"/>
      <c r="AL6424" s="1"/>
      <c r="AM6424" s="1"/>
    </row>
    <row r="6425" spans="16:39" x14ac:dyDescent="0.25">
      <c r="P6425" s="49"/>
      <c r="Q6425" s="1"/>
      <c r="S6425" s="1"/>
      <c r="T6425" s="1"/>
      <c r="U6425" s="1"/>
      <c r="V6425" s="1"/>
      <c r="W6425" s="1"/>
      <c r="X6425" s="1"/>
      <c r="Y6425" s="1"/>
      <c r="AB6425" s="1"/>
      <c r="AC6425" s="1"/>
      <c r="AD6425" s="1"/>
      <c r="AE6425" s="1"/>
      <c r="AF6425" s="1"/>
      <c r="AG6425" s="1"/>
      <c r="AH6425" s="1"/>
      <c r="AI6425" s="1"/>
      <c r="AJ6425" s="1"/>
      <c r="AK6425" s="1"/>
      <c r="AL6425" s="1"/>
      <c r="AM6425" s="1"/>
    </row>
    <row r="6426" spans="16:39" x14ac:dyDescent="0.25">
      <c r="P6426" s="49"/>
      <c r="Q6426" s="1"/>
      <c r="S6426" s="1"/>
      <c r="T6426" s="1"/>
      <c r="U6426" s="1"/>
      <c r="V6426" s="1"/>
      <c r="W6426" s="1"/>
      <c r="X6426" s="1"/>
      <c r="Y6426" s="1"/>
      <c r="AB6426" s="1"/>
      <c r="AC6426" s="1"/>
      <c r="AD6426" s="1"/>
      <c r="AE6426" s="1"/>
      <c r="AF6426" s="1"/>
      <c r="AG6426" s="1"/>
      <c r="AH6426" s="1"/>
      <c r="AI6426" s="1"/>
      <c r="AJ6426" s="1"/>
      <c r="AK6426" s="1"/>
      <c r="AL6426" s="1"/>
      <c r="AM6426" s="1"/>
    </row>
    <row r="6427" spans="16:39" x14ac:dyDescent="0.25">
      <c r="P6427" s="49"/>
      <c r="Q6427" s="1"/>
      <c r="S6427" s="1"/>
      <c r="T6427" s="1"/>
      <c r="U6427" s="1"/>
      <c r="V6427" s="1"/>
      <c r="W6427" s="1"/>
      <c r="X6427" s="1"/>
      <c r="Y6427" s="1"/>
      <c r="AB6427" s="1"/>
      <c r="AC6427" s="1"/>
      <c r="AD6427" s="1"/>
      <c r="AE6427" s="1"/>
      <c r="AF6427" s="1"/>
      <c r="AG6427" s="1"/>
      <c r="AH6427" s="1"/>
      <c r="AI6427" s="1"/>
      <c r="AJ6427" s="1"/>
      <c r="AK6427" s="1"/>
      <c r="AL6427" s="1"/>
      <c r="AM6427" s="1"/>
    </row>
    <row r="6428" spans="16:39" x14ac:dyDescent="0.25">
      <c r="P6428" s="49"/>
      <c r="Q6428" s="1"/>
      <c r="S6428" s="1"/>
      <c r="T6428" s="1"/>
      <c r="U6428" s="1"/>
      <c r="V6428" s="1"/>
      <c r="W6428" s="1"/>
      <c r="X6428" s="1"/>
      <c r="Y6428" s="1"/>
      <c r="AB6428" s="1"/>
      <c r="AC6428" s="1"/>
      <c r="AD6428" s="1"/>
      <c r="AE6428" s="1"/>
      <c r="AF6428" s="1"/>
      <c r="AG6428" s="1"/>
      <c r="AH6428" s="1"/>
      <c r="AI6428" s="1"/>
      <c r="AJ6428" s="1"/>
      <c r="AK6428" s="1"/>
      <c r="AL6428" s="1"/>
      <c r="AM6428" s="1"/>
    </row>
    <row r="6429" spans="16:39" x14ac:dyDescent="0.25">
      <c r="P6429" s="49"/>
      <c r="Q6429" s="1"/>
      <c r="S6429" s="1"/>
      <c r="T6429" s="1"/>
      <c r="U6429" s="1"/>
      <c r="V6429" s="1"/>
      <c r="W6429" s="1"/>
      <c r="X6429" s="1"/>
      <c r="Y6429" s="1"/>
      <c r="AB6429" s="1"/>
      <c r="AC6429" s="1"/>
      <c r="AD6429" s="1"/>
      <c r="AE6429" s="1"/>
      <c r="AF6429" s="1"/>
      <c r="AG6429" s="1"/>
      <c r="AH6429" s="1"/>
      <c r="AI6429" s="1"/>
      <c r="AJ6429" s="1"/>
      <c r="AK6429" s="1"/>
      <c r="AL6429" s="1"/>
      <c r="AM6429" s="1"/>
    </row>
    <row r="6430" spans="16:39" x14ac:dyDescent="0.25">
      <c r="P6430" s="49"/>
      <c r="Q6430" s="1"/>
      <c r="S6430" s="1"/>
      <c r="T6430" s="1"/>
      <c r="U6430" s="1"/>
      <c r="V6430" s="1"/>
      <c r="W6430" s="1"/>
      <c r="X6430" s="1"/>
      <c r="Y6430" s="1"/>
      <c r="AB6430" s="1"/>
      <c r="AC6430" s="1"/>
      <c r="AD6430" s="1"/>
      <c r="AE6430" s="1"/>
      <c r="AF6430" s="1"/>
      <c r="AG6430" s="1"/>
      <c r="AH6430" s="1"/>
      <c r="AI6430" s="1"/>
      <c r="AJ6430" s="1"/>
      <c r="AK6430" s="1"/>
      <c r="AL6430" s="1"/>
      <c r="AM6430" s="1"/>
    </row>
    <row r="6431" spans="16:39" x14ac:dyDescent="0.25">
      <c r="P6431" s="49"/>
      <c r="Q6431" s="1"/>
      <c r="S6431" s="1"/>
      <c r="T6431" s="1"/>
      <c r="U6431" s="1"/>
      <c r="V6431" s="1"/>
      <c r="W6431" s="1"/>
      <c r="X6431" s="1"/>
      <c r="Y6431" s="1"/>
      <c r="AB6431" s="1"/>
      <c r="AC6431" s="1"/>
      <c r="AD6431" s="1"/>
      <c r="AE6431" s="1"/>
      <c r="AF6431" s="1"/>
      <c r="AG6431" s="1"/>
      <c r="AH6431" s="1"/>
      <c r="AI6431" s="1"/>
      <c r="AJ6431" s="1"/>
      <c r="AK6431" s="1"/>
      <c r="AL6431" s="1"/>
      <c r="AM6431" s="1"/>
    </row>
    <row r="6432" spans="16:39" x14ac:dyDescent="0.25">
      <c r="P6432" s="49"/>
      <c r="Q6432" s="1"/>
      <c r="S6432" s="1"/>
      <c r="T6432" s="1"/>
      <c r="U6432" s="1"/>
      <c r="V6432" s="1"/>
      <c r="W6432" s="1"/>
      <c r="X6432" s="1"/>
      <c r="Y6432" s="1"/>
      <c r="AB6432" s="1"/>
      <c r="AC6432" s="1"/>
      <c r="AD6432" s="1"/>
      <c r="AE6432" s="1"/>
      <c r="AF6432" s="1"/>
      <c r="AG6432" s="1"/>
      <c r="AH6432" s="1"/>
      <c r="AI6432" s="1"/>
      <c r="AJ6432" s="1"/>
      <c r="AK6432" s="1"/>
      <c r="AL6432" s="1"/>
      <c r="AM6432" s="1"/>
    </row>
    <row r="6433" spans="16:39" x14ac:dyDescent="0.25">
      <c r="P6433" s="49"/>
      <c r="Q6433" s="1"/>
      <c r="S6433" s="1"/>
      <c r="T6433" s="1"/>
      <c r="U6433" s="1"/>
      <c r="V6433" s="1"/>
      <c r="W6433" s="1"/>
      <c r="X6433" s="1"/>
      <c r="Y6433" s="1"/>
      <c r="AB6433" s="1"/>
      <c r="AC6433" s="1"/>
      <c r="AD6433" s="1"/>
      <c r="AE6433" s="1"/>
      <c r="AF6433" s="1"/>
      <c r="AG6433" s="1"/>
      <c r="AH6433" s="1"/>
      <c r="AI6433" s="1"/>
      <c r="AJ6433" s="1"/>
      <c r="AK6433" s="1"/>
      <c r="AL6433" s="1"/>
      <c r="AM6433" s="1"/>
    </row>
    <row r="6434" spans="16:39" x14ac:dyDescent="0.25">
      <c r="P6434" s="49"/>
      <c r="Q6434" s="1"/>
      <c r="S6434" s="1"/>
      <c r="T6434" s="1"/>
      <c r="U6434" s="1"/>
      <c r="V6434" s="1"/>
      <c r="W6434" s="1"/>
      <c r="X6434" s="1"/>
      <c r="Y6434" s="1"/>
      <c r="AB6434" s="1"/>
      <c r="AC6434" s="1"/>
      <c r="AD6434" s="1"/>
      <c r="AE6434" s="1"/>
      <c r="AF6434" s="1"/>
      <c r="AG6434" s="1"/>
      <c r="AH6434" s="1"/>
      <c r="AI6434" s="1"/>
      <c r="AJ6434" s="1"/>
      <c r="AK6434" s="1"/>
      <c r="AL6434" s="1"/>
      <c r="AM6434" s="1"/>
    </row>
    <row r="6435" spans="16:39" x14ac:dyDescent="0.25">
      <c r="P6435" s="49"/>
      <c r="Q6435" s="1"/>
      <c r="S6435" s="1"/>
      <c r="T6435" s="1"/>
      <c r="U6435" s="1"/>
      <c r="V6435" s="1"/>
      <c r="W6435" s="1"/>
      <c r="X6435" s="1"/>
      <c r="Y6435" s="1"/>
      <c r="AB6435" s="1"/>
      <c r="AC6435" s="1"/>
      <c r="AD6435" s="1"/>
      <c r="AE6435" s="1"/>
      <c r="AF6435" s="1"/>
      <c r="AG6435" s="1"/>
      <c r="AH6435" s="1"/>
      <c r="AI6435" s="1"/>
      <c r="AJ6435" s="1"/>
      <c r="AK6435" s="1"/>
      <c r="AL6435" s="1"/>
      <c r="AM6435" s="1"/>
    </row>
    <row r="6436" spans="16:39" x14ac:dyDescent="0.25">
      <c r="P6436" s="49"/>
      <c r="Q6436" s="1"/>
      <c r="S6436" s="1"/>
      <c r="T6436" s="1"/>
      <c r="U6436" s="1"/>
      <c r="V6436" s="1"/>
      <c r="W6436" s="1"/>
      <c r="X6436" s="1"/>
      <c r="Y6436" s="1"/>
      <c r="AB6436" s="1"/>
      <c r="AC6436" s="1"/>
      <c r="AD6436" s="1"/>
      <c r="AE6436" s="1"/>
      <c r="AF6436" s="1"/>
      <c r="AG6436" s="1"/>
      <c r="AH6436" s="1"/>
      <c r="AI6436" s="1"/>
      <c r="AJ6436" s="1"/>
      <c r="AK6436" s="1"/>
      <c r="AL6436" s="1"/>
      <c r="AM6436" s="1"/>
    </row>
    <row r="6437" spans="16:39" x14ac:dyDescent="0.25">
      <c r="P6437" s="49"/>
      <c r="Q6437" s="1"/>
      <c r="S6437" s="1"/>
      <c r="T6437" s="1"/>
      <c r="U6437" s="1"/>
      <c r="V6437" s="1"/>
      <c r="W6437" s="1"/>
      <c r="X6437" s="1"/>
      <c r="Y6437" s="1"/>
      <c r="AB6437" s="1"/>
      <c r="AC6437" s="1"/>
      <c r="AD6437" s="1"/>
      <c r="AE6437" s="1"/>
      <c r="AF6437" s="1"/>
      <c r="AG6437" s="1"/>
      <c r="AH6437" s="1"/>
      <c r="AI6437" s="1"/>
      <c r="AJ6437" s="1"/>
      <c r="AK6437" s="1"/>
      <c r="AL6437" s="1"/>
      <c r="AM6437" s="1"/>
    </row>
    <row r="6438" spans="16:39" x14ac:dyDescent="0.25">
      <c r="P6438" s="49"/>
      <c r="Q6438" s="1"/>
      <c r="S6438" s="1"/>
      <c r="T6438" s="1"/>
      <c r="U6438" s="1"/>
      <c r="V6438" s="1"/>
      <c r="W6438" s="1"/>
      <c r="X6438" s="1"/>
      <c r="Y6438" s="1"/>
      <c r="AB6438" s="1"/>
      <c r="AC6438" s="1"/>
      <c r="AD6438" s="1"/>
      <c r="AE6438" s="1"/>
      <c r="AF6438" s="1"/>
      <c r="AG6438" s="1"/>
      <c r="AH6438" s="1"/>
      <c r="AI6438" s="1"/>
      <c r="AJ6438" s="1"/>
      <c r="AK6438" s="1"/>
      <c r="AL6438" s="1"/>
      <c r="AM6438" s="1"/>
    </row>
    <row r="6439" spans="16:39" x14ac:dyDescent="0.25">
      <c r="P6439" s="49"/>
      <c r="Q6439" s="1"/>
      <c r="S6439" s="1"/>
      <c r="T6439" s="1"/>
      <c r="U6439" s="1"/>
      <c r="V6439" s="1"/>
      <c r="W6439" s="1"/>
      <c r="X6439" s="1"/>
      <c r="Y6439" s="1"/>
      <c r="AB6439" s="1"/>
      <c r="AC6439" s="1"/>
      <c r="AD6439" s="1"/>
      <c r="AE6439" s="1"/>
      <c r="AF6439" s="1"/>
      <c r="AG6439" s="1"/>
      <c r="AH6439" s="1"/>
      <c r="AI6439" s="1"/>
      <c r="AJ6439" s="1"/>
      <c r="AK6439" s="1"/>
      <c r="AL6439" s="1"/>
      <c r="AM6439" s="1"/>
    </row>
    <row r="6440" spans="16:39" x14ac:dyDescent="0.25">
      <c r="P6440" s="49"/>
      <c r="Q6440" s="1"/>
      <c r="S6440" s="1"/>
      <c r="T6440" s="1"/>
      <c r="U6440" s="1"/>
      <c r="V6440" s="1"/>
      <c r="W6440" s="1"/>
      <c r="X6440" s="1"/>
      <c r="Y6440" s="1"/>
      <c r="AB6440" s="1"/>
      <c r="AC6440" s="1"/>
      <c r="AD6440" s="1"/>
      <c r="AE6440" s="1"/>
      <c r="AF6440" s="1"/>
      <c r="AG6440" s="1"/>
      <c r="AH6440" s="1"/>
      <c r="AI6440" s="1"/>
      <c r="AJ6440" s="1"/>
      <c r="AK6440" s="1"/>
      <c r="AL6440" s="1"/>
      <c r="AM6440" s="1"/>
    </row>
    <row r="6441" spans="16:39" x14ac:dyDescent="0.25">
      <c r="P6441" s="49"/>
      <c r="Q6441" s="1"/>
      <c r="S6441" s="1"/>
      <c r="T6441" s="1"/>
      <c r="U6441" s="1"/>
      <c r="V6441" s="1"/>
      <c r="W6441" s="1"/>
      <c r="X6441" s="1"/>
      <c r="Y6441" s="1"/>
      <c r="AB6441" s="1"/>
      <c r="AC6441" s="1"/>
      <c r="AD6441" s="1"/>
      <c r="AE6441" s="1"/>
      <c r="AF6441" s="1"/>
      <c r="AG6441" s="1"/>
      <c r="AH6441" s="1"/>
      <c r="AI6441" s="1"/>
      <c r="AJ6441" s="1"/>
      <c r="AK6441" s="1"/>
      <c r="AL6441" s="1"/>
      <c r="AM6441" s="1"/>
    </row>
    <row r="6442" spans="16:39" x14ac:dyDescent="0.25">
      <c r="P6442" s="49"/>
      <c r="Q6442" s="1"/>
      <c r="S6442" s="1"/>
      <c r="T6442" s="1"/>
      <c r="U6442" s="1"/>
      <c r="V6442" s="1"/>
      <c r="W6442" s="1"/>
      <c r="X6442" s="1"/>
      <c r="Y6442" s="1"/>
      <c r="AB6442" s="1"/>
      <c r="AC6442" s="1"/>
      <c r="AD6442" s="1"/>
      <c r="AE6442" s="1"/>
      <c r="AF6442" s="1"/>
      <c r="AG6442" s="1"/>
      <c r="AH6442" s="1"/>
      <c r="AI6442" s="1"/>
      <c r="AJ6442" s="1"/>
      <c r="AK6442" s="1"/>
      <c r="AL6442" s="1"/>
      <c r="AM6442" s="1"/>
    </row>
    <row r="6443" spans="16:39" x14ac:dyDescent="0.25">
      <c r="P6443" s="49"/>
      <c r="Q6443" s="1"/>
      <c r="S6443" s="1"/>
      <c r="T6443" s="1"/>
      <c r="U6443" s="1"/>
      <c r="V6443" s="1"/>
      <c r="W6443" s="1"/>
      <c r="X6443" s="1"/>
      <c r="Y6443" s="1"/>
      <c r="AB6443" s="1"/>
      <c r="AC6443" s="1"/>
      <c r="AD6443" s="1"/>
      <c r="AE6443" s="1"/>
      <c r="AF6443" s="1"/>
      <c r="AG6443" s="1"/>
      <c r="AH6443" s="1"/>
      <c r="AI6443" s="1"/>
      <c r="AJ6443" s="1"/>
      <c r="AK6443" s="1"/>
      <c r="AL6443" s="1"/>
      <c r="AM6443" s="1"/>
    </row>
    <row r="6444" spans="16:39" x14ac:dyDescent="0.25">
      <c r="P6444" s="49"/>
      <c r="Q6444" s="1"/>
      <c r="S6444" s="1"/>
      <c r="T6444" s="1"/>
      <c r="U6444" s="1"/>
      <c r="V6444" s="1"/>
      <c r="W6444" s="1"/>
      <c r="X6444" s="1"/>
      <c r="Y6444" s="1"/>
      <c r="AB6444" s="1"/>
      <c r="AC6444" s="1"/>
      <c r="AD6444" s="1"/>
      <c r="AE6444" s="1"/>
      <c r="AF6444" s="1"/>
      <c r="AG6444" s="1"/>
      <c r="AH6444" s="1"/>
      <c r="AI6444" s="1"/>
      <c r="AJ6444" s="1"/>
      <c r="AK6444" s="1"/>
      <c r="AL6444" s="1"/>
      <c r="AM6444" s="1"/>
    </row>
    <row r="6445" spans="16:39" x14ac:dyDescent="0.25">
      <c r="P6445" s="49"/>
      <c r="Q6445" s="1"/>
      <c r="S6445" s="1"/>
      <c r="T6445" s="1"/>
      <c r="U6445" s="1"/>
      <c r="V6445" s="1"/>
      <c r="W6445" s="1"/>
      <c r="X6445" s="1"/>
      <c r="Y6445" s="1"/>
      <c r="AB6445" s="1"/>
      <c r="AC6445" s="1"/>
      <c r="AD6445" s="1"/>
      <c r="AE6445" s="1"/>
      <c r="AF6445" s="1"/>
      <c r="AG6445" s="1"/>
      <c r="AH6445" s="1"/>
      <c r="AI6445" s="1"/>
      <c r="AJ6445" s="1"/>
      <c r="AK6445" s="1"/>
      <c r="AL6445" s="1"/>
      <c r="AM6445" s="1"/>
    </row>
    <row r="6446" spans="16:39" x14ac:dyDescent="0.25">
      <c r="P6446" s="49"/>
      <c r="Q6446" s="1"/>
      <c r="S6446" s="1"/>
      <c r="T6446" s="1"/>
      <c r="U6446" s="1"/>
      <c r="V6446" s="1"/>
      <c r="W6446" s="1"/>
      <c r="X6446" s="1"/>
      <c r="Y6446" s="1"/>
      <c r="AB6446" s="1"/>
      <c r="AC6446" s="1"/>
      <c r="AD6446" s="1"/>
      <c r="AE6446" s="1"/>
      <c r="AF6446" s="1"/>
      <c r="AG6446" s="1"/>
      <c r="AH6446" s="1"/>
      <c r="AI6446" s="1"/>
      <c r="AJ6446" s="1"/>
      <c r="AK6446" s="1"/>
      <c r="AL6446" s="1"/>
      <c r="AM6446" s="1"/>
    </row>
    <row r="6447" spans="16:39" x14ac:dyDescent="0.25">
      <c r="P6447" s="49"/>
      <c r="Q6447" s="1"/>
      <c r="S6447" s="1"/>
      <c r="T6447" s="1"/>
      <c r="U6447" s="1"/>
      <c r="V6447" s="1"/>
      <c r="W6447" s="1"/>
      <c r="X6447" s="1"/>
      <c r="Y6447" s="1"/>
      <c r="AB6447" s="1"/>
      <c r="AC6447" s="1"/>
      <c r="AD6447" s="1"/>
      <c r="AE6447" s="1"/>
      <c r="AF6447" s="1"/>
      <c r="AG6447" s="1"/>
      <c r="AH6447" s="1"/>
      <c r="AI6447" s="1"/>
      <c r="AJ6447" s="1"/>
      <c r="AK6447" s="1"/>
      <c r="AL6447" s="1"/>
      <c r="AM6447" s="1"/>
    </row>
    <row r="6448" spans="16:39" x14ac:dyDescent="0.25">
      <c r="P6448" s="49"/>
      <c r="Q6448" s="1"/>
      <c r="S6448" s="1"/>
      <c r="T6448" s="1"/>
      <c r="U6448" s="1"/>
      <c r="V6448" s="1"/>
      <c r="W6448" s="1"/>
      <c r="X6448" s="1"/>
      <c r="Y6448" s="1"/>
      <c r="AB6448" s="1"/>
      <c r="AC6448" s="1"/>
      <c r="AD6448" s="1"/>
      <c r="AE6448" s="1"/>
      <c r="AF6448" s="1"/>
      <c r="AG6448" s="1"/>
      <c r="AH6448" s="1"/>
      <c r="AI6448" s="1"/>
      <c r="AJ6448" s="1"/>
      <c r="AK6448" s="1"/>
      <c r="AL6448" s="1"/>
      <c r="AM6448" s="1"/>
    </row>
    <row r="6449" spans="16:39" x14ac:dyDescent="0.25">
      <c r="P6449" s="49"/>
      <c r="Q6449" s="1"/>
      <c r="S6449" s="1"/>
      <c r="T6449" s="1"/>
      <c r="U6449" s="1"/>
      <c r="V6449" s="1"/>
      <c r="W6449" s="1"/>
      <c r="X6449" s="1"/>
      <c r="Y6449" s="1"/>
      <c r="AB6449" s="1"/>
      <c r="AC6449" s="1"/>
      <c r="AD6449" s="1"/>
      <c r="AE6449" s="1"/>
      <c r="AF6449" s="1"/>
      <c r="AG6449" s="1"/>
      <c r="AH6449" s="1"/>
      <c r="AI6449" s="1"/>
      <c r="AJ6449" s="1"/>
      <c r="AK6449" s="1"/>
      <c r="AL6449" s="1"/>
      <c r="AM6449" s="1"/>
    </row>
    <row r="6450" spans="16:39" x14ac:dyDescent="0.25">
      <c r="P6450" s="49"/>
      <c r="Q6450" s="1"/>
      <c r="S6450" s="1"/>
      <c r="T6450" s="1"/>
      <c r="U6450" s="1"/>
      <c r="V6450" s="1"/>
      <c r="W6450" s="1"/>
      <c r="X6450" s="1"/>
      <c r="Y6450" s="1"/>
      <c r="AB6450" s="1"/>
      <c r="AC6450" s="1"/>
      <c r="AD6450" s="1"/>
      <c r="AE6450" s="1"/>
      <c r="AF6450" s="1"/>
      <c r="AG6450" s="1"/>
      <c r="AH6450" s="1"/>
      <c r="AI6450" s="1"/>
      <c r="AJ6450" s="1"/>
      <c r="AK6450" s="1"/>
      <c r="AL6450" s="1"/>
      <c r="AM6450" s="1"/>
    </row>
    <row r="6451" spans="16:39" x14ac:dyDescent="0.25">
      <c r="P6451" s="49"/>
      <c r="Q6451" s="1"/>
      <c r="S6451" s="1"/>
      <c r="T6451" s="1"/>
      <c r="U6451" s="1"/>
      <c r="V6451" s="1"/>
      <c r="W6451" s="1"/>
      <c r="X6451" s="1"/>
      <c r="Y6451" s="1"/>
      <c r="AB6451" s="1"/>
      <c r="AC6451" s="1"/>
      <c r="AD6451" s="1"/>
      <c r="AE6451" s="1"/>
      <c r="AF6451" s="1"/>
      <c r="AG6451" s="1"/>
      <c r="AH6451" s="1"/>
      <c r="AI6451" s="1"/>
      <c r="AJ6451" s="1"/>
      <c r="AK6451" s="1"/>
      <c r="AL6451" s="1"/>
      <c r="AM6451" s="1"/>
    </row>
    <row r="6452" spans="16:39" x14ac:dyDescent="0.25">
      <c r="P6452" s="49"/>
      <c r="Q6452" s="1"/>
      <c r="S6452" s="1"/>
      <c r="T6452" s="1"/>
      <c r="U6452" s="1"/>
      <c r="V6452" s="1"/>
      <c r="W6452" s="1"/>
      <c r="X6452" s="1"/>
      <c r="Y6452" s="1"/>
      <c r="AB6452" s="1"/>
      <c r="AC6452" s="1"/>
      <c r="AD6452" s="1"/>
      <c r="AE6452" s="1"/>
      <c r="AF6452" s="1"/>
      <c r="AG6452" s="1"/>
      <c r="AH6452" s="1"/>
      <c r="AI6452" s="1"/>
      <c r="AJ6452" s="1"/>
      <c r="AK6452" s="1"/>
      <c r="AL6452" s="1"/>
      <c r="AM6452" s="1"/>
    </row>
    <row r="6453" spans="16:39" x14ac:dyDescent="0.25">
      <c r="P6453" s="49"/>
      <c r="Q6453" s="1"/>
      <c r="S6453" s="1"/>
      <c r="T6453" s="1"/>
      <c r="U6453" s="1"/>
      <c r="V6453" s="1"/>
      <c r="W6453" s="1"/>
      <c r="X6453" s="1"/>
      <c r="Y6453" s="1"/>
      <c r="AB6453" s="1"/>
      <c r="AC6453" s="1"/>
      <c r="AD6453" s="1"/>
      <c r="AE6453" s="1"/>
      <c r="AF6453" s="1"/>
      <c r="AG6453" s="1"/>
      <c r="AH6453" s="1"/>
      <c r="AI6453" s="1"/>
      <c r="AJ6453" s="1"/>
      <c r="AK6453" s="1"/>
      <c r="AL6453" s="1"/>
      <c r="AM6453" s="1"/>
    </row>
    <row r="6454" spans="16:39" x14ac:dyDescent="0.25">
      <c r="P6454" s="49"/>
      <c r="Q6454" s="1"/>
      <c r="S6454" s="1"/>
      <c r="T6454" s="1"/>
      <c r="U6454" s="1"/>
      <c r="V6454" s="1"/>
      <c r="W6454" s="1"/>
      <c r="X6454" s="1"/>
      <c r="Y6454" s="1"/>
      <c r="AB6454" s="1"/>
      <c r="AC6454" s="1"/>
      <c r="AD6454" s="1"/>
      <c r="AE6454" s="1"/>
      <c r="AF6454" s="1"/>
      <c r="AG6454" s="1"/>
      <c r="AH6454" s="1"/>
      <c r="AI6454" s="1"/>
      <c r="AJ6454" s="1"/>
      <c r="AK6454" s="1"/>
      <c r="AL6454" s="1"/>
      <c r="AM6454" s="1"/>
    </row>
    <row r="6455" spans="16:39" x14ac:dyDescent="0.25">
      <c r="P6455" s="49"/>
      <c r="Q6455" s="1"/>
      <c r="S6455" s="1"/>
      <c r="T6455" s="1"/>
      <c r="U6455" s="1"/>
      <c r="V6455" s="1"/>
      <c r="W6455" s="1"/>
      <c r="X6455" s="1"/>
      <c r="Y6455" s="1"/>
      <c r="AB6455" s="1"/>
      <c r="AC6455" s="1"/>
      <c r="AD6455" s="1"/>
      <c r="AE6455" s="1"/>
      <c r="AF6455" s="1"/>
      <c r="AG6455" s="1"/>
      <c r="AH6455" s="1"/>
      <c r="AI6455" s="1"/>
      <c r="AJ6455" s="1"/>
      <c r="AK6455" s="1"/>
      <c r="AL6455" s="1"/>
      <c r="AM6455" s="1"/>
    </row>
    <row r="6456" spans="16:39" x14ac:dyDescent="0.25">
      <c r="P6456" s="49"/>
      <c r="Q6456" s="1"/>
      <c r="S6456" s="1"/>
      <c r="T6456" s="1"/>
      <c r="U6456" s="1"/>
      <c r="V6456" s="1"/>
      <c r="W6456" s="1"/>
      <c r="X6456" s="1"/>
      <c r="Y6456" s="1"/>
      <c r="AB6456" s="1"/>
      <c r="AC6456" s="1"/>
      <c r="AD6456" s="1"/>
      <c r="AE6456" s="1"/>
      <c r="AF6456" s="1"/>
      <c r="AG6456" s="1"/>
      <c r="AH6456" s="1"/>
      <c r="AI6456" s="1"/>
      <c r="AJ6456" s="1"/>
      <c r="AK6456" s="1"/>
      <c r="AL6456" s="1"/>
      <c r="AM6456" s="1"/>
    </row>
    <row r="6457" spans="16:39" x14ac:dyDescent="0.25">
      <c r="P6457" s="49"/>
      <c r="Q6457" s="1"/>
      <c r="S6457" s="1"/>
      <c r="T6457" s="1"/>
      <c r="U6457" s="1"/>
      <c r="V6457" s="1"/>
      <c r="W6457" s="1"/>
      <c r="X6457" s="1"/>
      <c r="Y6457" s="1"/>
      <c r="AB6457" s="1"/>
      <c r="AC6457" s="1"/>
      <c r="AD6457" s="1"/>
      <c r="AE6457" s="1"/>
      <c r="AF6457" s="1"/>
      <c r="AG6457" s="1"/>
      <c r="AH6457" s="1"/>
      <c r="AI6457" s="1"/>
      <c r="AJ6457" s="1"/>
      <c r="AK6457" s="1"/>
      <c r="AL6457" s="1"/>
      <c r="AM6457" s="1"/>
    </row>
    <row r="6458" spans="16:39" x14ac:dyDescent="0.25">
      <c r="P6458" s="49"/>
      <c r="Q6458" s="1"/>
      <c r="S6458" s="1"/>
      <c r="T6458" s="1"/>
      <c r="U6458" s="1"/>
      <c r="V6458" s="1"/>
      <c r="W6458" s="1"/>
      <c r="X6458" s="1"/>
      <c r="Y6458" s="1"/>
      <c r="AB6458" s="1"/>
      <c r="AC6458" s="1"/>
      <c r="AD6458" s="1"/>
      <c r="AE6458" s="1"/>
      <c r="AF6458" s="1"/>
      <c r="AG6458" s="1"/>
      <c r="AH6458" s="1"/>
      <c r="AI6458" s="1"/>
      <c r="AJ6458" s="1"/>
      <c r="AK6458" s="1"/>
      <c r="AL6458" s="1"/>
      <c r="AM6458" s="1"/>
    </row>
    <row r="6459" spans="16:39" x14ac:dyDescent="0.25">
      <c r="P6459" s="49"/>
      <c r="Q6459" s="1"/>
      <c r="S6459" s="1"/>
      <c r="T6459" s="1"/>
      <c r="U6459" s="1"/>
      <c r="V6459" s="1"/>
      <c r="W6459" s="1"/>
      <c r="X6459" s="1"/>
      <c r="Y6459" s="1"/>
      <c r="AB6459" s="1"/>
      <c r="AC6459" s="1"/>
      <c r="AD6459" s="1"/>
      <c r="AE6459" s="1"/>
      <c r="AF6459" s="1"/>
      <c r="AG6459" s="1"/>
      <c r="AH6459" s="1"/>
      <c r="AI6459" s="1"/>
      <c r="AJ6459" s="1"/>
      <c r="AK6459" s="1"/>
      <c r="AL6459" s="1"/>
      <c r="AM6459" s="1"/>
    </row>
    <row r="6460" spans="16:39" x14ac:dyDescent="0.25">
      <c r="P6460" s="49"/>
      <c r="Q6460" s="1"/>
      <c r="S6460" s="1"/>
      <c r="T6460" s="1"/>
      <c r="U6460" s="1"/>
      <c r="V6460" s="1"/>
      <c r="W6460" s="1"/>
      <c r="X6460" s="1"/>
      <c r="Y6460" s="1"/>
      <c r="AB6460" s="1"/>
      <c r="AC6460" s="1"/>
      <c r="AD6460" s="1"/>
      <c r="AE6460" s="1"/>
      <c r="AF6460" s="1"/>
      <c r="AG6460" s="1"/>
      <c r="AH6460" s="1"/>
      <c r="AI6460" s="1"/>
      <c r="AJ6460" s="1"/>
      <c r="AK6460" s="1"/>
      <c r="AL6460" s="1"/>
      <c r="AM6460" s="1"/>
    </row>
    <row r="6461" spans="16:39" x14ac:dyDescent="0.25">
      <c r="P6461" s="49"/>
      <c r="Q6461" s="1"/>
      <c r="S6461" s="1"/>
      <c r="T6461" s="1"/>
      <c r="U6461" s="1"/>
      <c r="V6461" s="1"/>
      <c r="W6461" s="1"/>
      <c r="X6461" s="1"/>
      <c r="Y6461" s="1"/>
      <c r="AB6461" s="1"/>
      <c r="AC6461" s="1"/>
      <c r="AD6461" s="1"/>
      <c r="AE6461" s="1"/>
      <c r="AF6461" s="1"/>
      <c r="AG6461" s="1"/>
      <c r="AH6461" s="1"/>
      <c r="AI6461" s="1"/>
      <c r="AJ6461" s="1"/>
      <c r="AK6461" s="1"/>
      <c r="AL6461" s="1"/>
      <c r="AM6461" s="1"/>
    </row>
    <row r="6462" spans="16:39" x14ac:dyDescent="0.25">
      <c r="P6462" s="49"/>
      <c r="Q6462" s="1"/>
      <c r="S6462" s="1"/>
      <c r="T6462" s="1"/>
      <c r="U6462" s="1"/>
      <c r="V6462" s="1"/>
      <c r="W6462" s="1"/>
      <c r="X6462" s="1"/>
      <c r="Y6462" s="1"/>
      <c r="AB6462" s="1"/>
      <c r="AC6462" s="1"/>
      <c r="AD6462" s="1"/>
      <c r="AE6462" s="1"/>
      <c r="AF6462" s="1"/>
      <c r="AG6462" s="1"/>
      <c r="AH6462" s="1"/>
      <c r="AI6462" s="1"/>
      <c r="AJ6462" s="1"/>
      <c r="AK6462" s="1"/>
      <c r="AL6462" s="1"/>
      <c r="AM6462" s="1"/>
    </row>
    <row r="6463" spans="16:39" x14ac:dyDescent="0.25">
      <c r="P6463" s="49"/>
      <c r="Q6463" s="1"/>
      <c r="S6463" s="1"/>
      <c r="T6463" s="1"/>
      <c r="U6463" s="1"/>
      <c r="V6463" s="1"/>
      <c r="W6463" s="1"/>
      <c r="X6463" s="1"/>
      <c r="Y6463" s="1"/>
      <c r="AB6463" s="1"/>
      <c r="AC6463" s="1"/>
      <c r="AD6463" s="1"/>
      <c r="AE6463" s="1"/>
      <c r="AF6463" s="1"/>
      <c r="AG6463" s="1"/>
      <c r="AH6463" s="1"/>
      <c r="AI6463" s="1"/>
      <c r="AJ6463" s="1"/>
      <c r="AK6463" s="1"/>
      <c r="AL6463" s="1"/>
      <c r="AM6463" s="1"/>
    </row>
    <row r="6464" spans="16:39" x14ac:dyDescent="0.25">
      <c r="P6464" s="49"/>
      <c r="Q6464" s="1"/>
      <c r="S6464" s="1"/>
      <c r="T6464" s="1"/>
      <c r="U6464" s="1"/>
      <c r="V6464" s="1"/>
      <c r="W6464" s="1"/>
      <c r="X6464" s="1"/>
      <c r="Y6464" s="1"/>
      <c r="AB6464" s="1"/>
      <c r="AC6464" s="1"/>
      <c r="AD6464" s="1"/>
      <c r="AE6464" s="1"/>
      <c r="AF6464" s="1"/>
      <c r="AG6464" s="1"/>
      <c r="AH6464" s="1"/>
      <c r="AI6464" s="1"/>
      <c r="AJ6464" s="1"/>
      <c r="AK6464" s="1"/>
      <c r="AL6464" s="1"/>
      <c r="AM6464" s="1"/>
    </row>
    <row r="6465" spans="16:39" x14ac:dyDescent="0.25">
      <c r="P6465" s="49"/>
      <c r="Q6465" s="1"/>
      <c r="S6465" s="1"/>
      <c r="T6465" s="1"/>
      <c r="U6465" s="1"/>
      <c r="V6465" s="1"/>
      <c r="W6465" s="1"/>
      <c r="X6465" s="1"/>
      <c r="Y6465" s="1"/>
      <c r="AB6465" s="1"/>
      <c r="AC6465" s="1"/>
      <c r="AD6465" s="1"/>
      <c r="AE6465" s="1"/>
      <c r="AF6465" s="1"/>
      <c r="AG6465" s="1"/>
      <c r="AH6465" s="1"/>
      <c r="AI6465" s="1"/>
      <c r="AJ6465" s="1"/>
      <c r="AK6465" s="1"/>
      <c r="AL6465" s="1"/>
      <c r="AM6465" s="1"/>
    </row>
    <row r="6466" spans="16:39" x14ac:dyDescent="0.25">
      <c r="P6466" s="49"/>
      <c r="Q6466" s="1"/>
      <c r="S6466" s="1"/>
      <c r="T6466" s="1"/>
      <c r="U6466" s="1"/>
      <c r="V6466" s="1"/>
      <c r="W6466" s="1"/>
      <c r="X6466" s="1"/>
      <c r="Y6466" s="1"/>
      <c r="AB6466" s="1"/>
      <c r="AC6466" s="1"/>
      <c r="AD6466" s="1"/>
      <c r="AE6466" s="1"/>
      <c r="AF6466" s="1"/>
      <c r="AG6466" s="1"/>
      <c r="AH6466" s="1"/>
      <c r="AI6466" s="1"/>
      <c r="AJ6466" s="1"/>
      <c r="AK6466" s="1"/>
      <c r="AL6466" s="1"/>
      <c r="AM6466" s="1"/>
    </row>
    <row r="6467" spans="16:39" x14ac:dyDescent="0.25">
      <c r="P6467" s="49"/>
      <c r="Q6467" s="1"/>
      <c r="S6467" s="1"/>
      <c r="T6467" s="1"/>
      <c r="U6467" s="1"/>
      <c r="V6467" s="1"/>
      <c r="W6467" s="1"/>
      <c r="X6467" s="1"/>
      <c r="Y6467" s="1"/>
      <c r="AB6467" s="1"/>
      <c r="AC6467" s="1"/>
      <c r="AD6467" s="1"/>
      <c r="AE6467" s="1"/>
      <c r="AF6467" s="1"/>
      <c r="AG6467" s="1"/>
      <c r="AH6467" s="1"/>
      <c r="AI6467" s="1"/>
      <c r="AJ6467" s="1"/>
      <c r="AK6467" s="1"/>
      <c r="AL6467" s="1"/>
      <c r="AM6467" s="1"/>
    </row>
    <row r="6468" spans="16:39" x14ac:dyDescent="0.25">
      <c r="P6468" s="49"/>
      <c r="Q6468" s="1"/>
      <c r="S6468" s="1"/>
      <c r="T6468" s="1"/>
      <c r="U6468" s="1"/>
      <c r="V6468" s="1"/>
      <c r="W6468" s="1"/>
      <c r="X6468" s="1"/>
      <c r="Y6468" s="1"/>
      <c r="AB6468" s="1"/>
      <c r="AC6468" s="1"/>
      <c r="AD6468" s="1"/>
      <c r="AE6468" s="1"/>
      <c r="AF6468" s="1"/>
      <c r="AG6468" s="1"/>
      <c r="AH6468" s="1"/>
      <c r="AI6468" s="1"/>
      <c r="AJ6468" s="1"/>
      <c r="AK6468" s="1"/>
      <c r="AL6468" s="1"/>
      <c r="AM6468" s="1"/>
    </row>
    <row r="6469" spans="16:39" x14ac:dyDescent="0.25">
      <c r="P6469" s="49"/>
      <c r="Q6469" s="1"/>
      <c r="S6469" s="1"/>
      <c r="T6469" s="1"/>
      <c r="U6469" s="1"/>
      <c r="V6469" s="1"/>
      <c r="W6469" s="1"/>
      <c r="X6469" s="1"/>
      <c r="Y6469" s="1"/>
      <c r="AB6469" s="1"/>
      <c r="AC6469" s="1"/>
      <c r="AD6469" s="1"/>
      <c r="AE6469" s="1"/>
      <c r="AF6469" s="1"/>
      <c r="AG6469" s="1"/>
      <c r="AH6469" s="1"/>
      <c r="AI6469" s="1"/>
      <c r="AJ6469" s="1"/>
      <c r="AK6469" s="1"/>
      <c r="AL6469" s="1"/>
      <c r="AM6469" s="1"/>
    </row>
    <row r="6470" spans="16:39" x14ac:dyDescent="0.25">
      <c r="P6470" s="49"/>
      <c r="Q6470" s="1"/>
      <c r="S6470" s="1"/>
      <c r="T6470" s="1"/>
      <c r="U6470" s="1"/>
      <c r="V6470" s="1"/>
      <c r="W6470" s="1"/>
      <c r="X6470" s="1"/>
      <c r="Y6470" s="1"/>
      <c r="AB6470" s="1"/>
      <c r="AC6470" s="1"/>
      <c r="AD6470" s="1"/>
      <c r="AE6470" s="1"/>
      <c r="AF6470" s="1"/>
      <c r="AG6470" s="1"/>
      <c r="AH6470" s="1"/>
      <c r="AI6470" s="1"/>
      <c r="AJ6470" s="1"/>
      <c r="AK6470" s="1"/>
      <c r="AL6470" s="1"/>
      <c r="AM6470" s="1"/>
    </row>
    <row r="6471" spans="16:39" x14ac:dyDescent="0.25">
      <c r="P6471" s="49"/>
      <c r="Q6471" s="1"/>
      <c r="S6471" s="1"/>
      <c r="T6471" s="1"/>
      <c r="U6471" s="1"/>
      <c r="V6471" s="1"/>
      <c r="W6471" s="1"/>
      <c r="X6471" s="1"/>
      <c r="Y6471" s="1"/>
      <c r="AB6471" s="1"/>
      <c r="AC6471" s="1"/>
      <c r="AD6471" s="1"/>
      <c r="AE6471" s="1"/>
      <c r="AF6471" s="1"/>
      <c r="AG6471" s="1"/>
      <c r="AH6471" s="1"/>
      <c r="AI6471" s="1"/>
      <c r="AJ6471" s="1"/>
      <c r="AK6471" s="1"/>
      <c r="AL6471" s="1"/>
      <c r="AM6471" s="1"/>
    </row>
    <row r="6472" spans="16:39" x14ac:dyDescent="0.25">
      <c r="P6472" s="49"/>
      <c r="Q6472" s="1"/>
      <c r="S6472" s="1"/>
      <c r="T6472" s="1"/>
      <c r="U6472" s="1"/>
      <c r="V6472" s="1"/>
      <c r="W6472" s="1"/>
      <c r="X6472" s="1"/>
      <c r="Y6472" s="1"/>
      <c r="AB6472" s="1"/>
      <c r="AC6472" s="1"/>
      <c r="AD6472" s="1"/>
      <c r="AE6472" s="1"/>
      <c r="AF6472" s="1"/>
      <c r="AG6472" s="1"/>
      <c r="AH6472" s="1"/>
      <c r="AI6472" s="1"/>
      <c r="AJ6472" s="1"/>
      <c r="AK6472" s="1"/>
      <c r="AL6472" s="1"/>
      <c r="AM6472" s="1"/>
    </row>
    <row r="6473" spans="16:39" x14ac:dyDescent="0.25">
      <c r="P6473" s="49"/>
      <c r="Q6473" s="1"/>
      <c r="S6473" s="1"/>
      <c r="T6473" s="1"/>
      <c r="U6473" s="1"/>
      <c r="V6473" s="1"/>
      <c r="W6473" s="1"/>
      <c r="X6473" s="1"/>
      <c r="Y6473" s="1"/>
      <c r="AB6473" s="1"/>
      <c r="AC6473" s="1"/>
      <c r="AD6473" s="1"/>
      <c r="AE6473" s="1"/>
      <c r="AF6473" s="1"/>
      <c r="AG6473" s="1"/>
      <c r="AH6473" s="1"/>
      <c r="AI6473" s="1"/>
      <c r="AJ6473" s="1"/>
      <c r="AK6473" s="1"/>
      <c r="AL6473" s="1"/>
      <c r="AM6473" s="1"/>
    </row>
    <row r="6474" spans="16:39" x14ac:dyDescent="0.25">
      <c r="P6474" s="49"/>
      <c r="Q6474" s="1"/>
      <c r="S6474" s="1"/>
      <c r="T6474" s="1"/>
      <c r="U6474" s="1"/>
      <c r="V6474" s="1"/>
      <c r="W6474" s="1"/>
      <c r="X6474" s="1"/>
      <c r="Y6474" s="1"/>
      <c r="AB6474" s="1"/>
      <c r="AC6474" s="1"/>
      <c r="AD6474" s="1"/>
      <c r="AE6474" s="1"/>
      <c r="AF6474" s="1"/>
      <c r="AG6474" s="1"/>
      <c r="AH6474" s="1"/>
      <c r="AI6474" s="1"/>
      <c r="AJ6474" s="1"/>
      <c r="AK6474" s="1"/>
      <c r="AL6474" s="1"/>
      <c r="AM6474" s="1"/>
    </row>
    <row r="6475" spans="16:39" x14ac:dyDescent="0.25">
      <c r="P6475" s="49"/>
      <c r="Q6475" s="1"/>
      <c r="S6475" s="1"/>
      <c r="T6475" s="1"/>
      <c r="U6475" s="1"/>
      <c r="V6475" s="1"/>
      <c r="W6475" s="1"/>
      <c r="X6475" s="1"/>
      <c r="Y6475" s="1"/>
      <c r="AB6475" s="1"/>
      <c r="AC6475" s="1"/>
      <c r="AD6475" s="1"/>
      <c r="AE6475" s="1"/>
      <c r="AF6475" s="1"/>
      <c r="AG6475" s="1"/>
      <c r="AH6475" s="1"/>
      <c r="AI6475" s="1"/>
      <c r="AJ6475" s="1"/>
      <c r="AK6475" s="1"/>
      <c r="AL6475" s="1"/>
      <c r="AM6475" s="1"/>
    </row>
    <row r="6476" spans="16:39" x14ac:dyDescent="0.25">
      <c r="P6476" s="49"/>
      <c r="Q6476" s="1"/>
      <c r="S6476" s="1"/>
      <c r="T6476" s="1"/>
      <c r="U6476" s="1"/>
      <c r="V6476" s="1"/>
      <c r="W6476" s="1"/>
      <c r="X6476" s="1"/>
      <c r="Y6476" s="1"/>
      <c r="AB6476" s="1"/>
      <c r="AC6476" s="1"/>
      <c r="AD6476" s="1"/>
      <c r="AE6476" s="1"/>
      <c r="AF6476" s="1"/>
      <c r="AG6476" s="1"/>
      <c r="AH6476" s="1"/>
      <c r="AI6476" s="1"/>
      <c r="AJ6476" s="1"/>
      <c r="AK6476" s="1"/>
      <c r="AL6476" s="1"/>
      <c r="AM6476" s="1"/>
    </row>
    <row r="6477" spans="16:39" x14ac:dyDescent="0.25">
      <c r="P6477" s="49"/>
      <c r="Q6477" s="1"/>
      <c r="S6477" s="1"/>
      <c r="T6477" s="1"/>
      <c r="U6477" s="1"/>
      <c r="V6477" s="1"/>
      <c r="W6477" s="1"/>
      <c r="X6477" s="1"/>
      <c r="Y6477" s="1"/>
      <c r="AB6477" s="1"/>
      <c r="AC6477" s="1"/>
      <c r="AD6477" s="1"/>
      <c r="AE6477" s="1"/>
      <c r="AF6477" s="1"/>
      <c r="AG6477" s="1"/>
      <c r="AH6477" s="1"/>
      <c r="AI6477" s="1"/>
      <c r="AJ6477" s="1"/>
      <c r="AK6477" s="1"/>
      <c r="AL6477" s="1"/>
      <c r="AM6477" s="1"/>
    </row>
    <row r="6478" spans="16:39" x14ac:dyDescent="0.25">
      <c r="P6478" s="49"/>
      <c r="Q6478" s="1"/>
      <c r="S6478" s="1"/>
      <c r="T6478" s="1"/>
      <c r="U6478" s="1"/>
      <c r="V6478" s="1"/>
      <c r="W6478" s="1"/>
      <c r="X6478" s="1"/>
      <c r="Y6478" s="1"/>
      <c r="AB6478" s="1"/>
      <c r="AC6478" s="1"/>
      <c r="AD6478" s="1"/>
      <c r="AE6478" s="1"/>
      <c r="AF6478" s="1"/>
      <c r="AG6478" s="1"/>
      <c r="AH6478" s="1"/>
      <c r="AI6478" s="1"/>
      <c r="AJ6478" s="1"/>
      <c r="AK6478" s="1"/>
      <c r="AL6478" s="1"/>
      <c r="AM6478" s="1"/>
    </row>
    <row r="6479" spans="16:39" x14ac:dyDescent="0.25">
      <c r="P6479" s="49"/>
      <c r="Q6479" s="1"/>
      <c r="S6479" s="1"/>
      <c r="T6479" s="1"/>
      <c r="U6479" s="1"/>
      <c r="V6479" s="1"/>
      <c r="W6479" s="1"/>
      <c r="X6479" s="1"/>
      <c r="Y6479" s="1"/>
      <c r="AB6479" s="1"/>
      <c r="AC6479" s="1"/>
      <c r="AD6479" s="1"/>
      <c r="AE6479" s="1"/>
      <c r="AF6479" s="1"/>
      <c r="AG6479" s="1"/>
      <c r="AH6479" s="1"/>
      <c r="AI6479" s="1"/>
      <c r="AJ6479" s="1"/>
      <c r="AK6479" s="1"/>
      <c r="AL6479" s="1"/>
      <c r="AM6479" s="1"/>
    </row>
    <row r="6480" spans="16:39" x14ac:dyDescent="0.25">
      <c r="P6480" s="49"/>
      <c r="Q6480" s="1"/>
      <c r="S6480" s="1"/>
      <c r="T6480" s="1"/>
      <c r="U6480" s="1"/>
      <c r="V6480" s="1"/>
      <c r="W6480" s="1"/>
      <c r="X6480" s="1"/>
      <c r="Y6480" s="1"/>
      <c r="AB6480" s="1"/>
      <c r="AC6480" s="1"/>
      <c r="AD6480" s="1"/>
      <c r="AE6480" s="1"/>
      <c r="AF6480" s="1"/>
      <c r="AG6480" s="1"/>
      <c r="AH6480" s="1"/>
      <c r="AI6480" s="1"/>
      <c r="AJ6480" s="1"/>
      <c r="AK6480" s="1"/>
      <c r="AL6480" s="1"/>
      <c r="AM6480" s="1"/>
    </row>
    <row r="6481" spans="16:39" x14ac:dyDescent="0.25">
      <c r="P6481" s="49"/>
      <c r="Q6481" s="1"/>
      <c r="S6481" s="1"/>
      <c r="T6481" s="1"/>
      <c r="U6481" s="1"/>
      <c r="V6481" s="1"/>
      <c r="W6481" s="1"/>
      <c r="X6481" s="1"/>
      <c r="Y6481" s="1"/>
      <c r="AB6481" s="1"/>
      <c r="AC6481" s="1"/>
      <c r="AD6481" s="1"/>
      <c r="AE6481" s="1"/>
      <c r="AF6481" s="1"/>
      <c r="AG6481" s="1"/>
      <c r="AH6481" s="1"/>
      <c r="AI6481" s="1"/>
      <c r="AJ6481" s="1"/>
      <c r="AK6481" s="1"/>
      <c r="AL6481" s="1"/>
      <c r="AM6481" s="1"/>
    </row>
    <row r="6482" spans="16:39" x14ac:dyDescent="0.25">
      <c r="P6482" s="49"/>
      <c r="Q6482" s="1"/>
      <c r="S6482" s="1"/>
      <c r="T6482" s="1"/>
      <c r="U6482" s="1"/>
      <c r="V6482" s="1"/>
      <c r="W6482" s="1"/>
      <c r="X6482" s="1"/>
      <c r="Y6482" s="1"/>
      <c r="AB6482" s="1"/>
      <c r="AC6482" s="1"/>
      <c r="AD6482" s="1"/>
      <c r="AE6482" s="1"/>
      <c r="AF6482" s="1"/>
      <c r="AG6482" s="1"/>
      <c r="AH6482" s="1"/>
      <c r="AI6482" s="1"/>
      <c r="AJ6482" s="1"/>
      <c r="AK6482" s="1"/>
      <c r="AL6482" s="1"/>
      <c r="AM6482" s="1"/>
    </row>
    <row r="6483" spans="16:39" x14ac:dyDescent="0.25">
      <c r="P6483" s="49"/>
      <c r="Q6483" s="1"/>
      <c r="S6483" s="1"/>
      <c r="T6483" s="1"/>
      <c r="U6483" s="1"/>
      <c r="V6483" s="1"/>
      <c r="W6483" s="1"/>
      <c r="X6483" s="1"/>
      <c r="Y6483" s="1"/>
      <c r="AB6483" s="1"/>
      <c r="AC6483" s="1"/>
      <c r="AD6483" s="1"/>
      <c r="AE6483" s="1"/>
      <c r="AF6483" s="1"/>
      <c r="AG6483" s="1"/>
      <c r="AH6483" s="1"/>
      <c r="AI6483" s="1"/>
      <c r="AJ6483" s="1"/>
      <c r="AK6483" s="1"/>
      <c r="AL6483" s="1"/>
      <c r="AM6483" s="1"/>
    </row>
    <row r="6484" spans="16:39" x14ac:dyDescent="0.25">
      <c r="P6484" s="49"/>
      <c r="Q6484" s="1"/>
      <c r="S6484" s="1"/>
      <c r="T6484" s="1"/>
      <c r="U6484" s="1"/>
      <c r="V6484" s="1"/>
      <c r="W6484" s="1"/>
      <c r="X6484" s="1"/>
      <c r="Y6484" s="1"/>
      <c r="AB6484" s="1"/>
      <c r="AC6484" s="1"/>
      <c r="AD6484" s="1"/>
      <c r="AE6484" s="1"/>
      <c r="AF6484" s="1"/>
      <c r="AG6484" s="1"/>
      <c r="AH6484" s="1"/>
      <c r="AI6484" s="1"/>
      <c r="AJ6484" s="1"/>
      <c r="AK6484" s="1"/>
      <c r="AL6484" s="1"/>
      <c r="AM6484" s="1"/>
    </row>
    <row r="6485" spans="16:39" x14ac:dyDescent="0.25">
      <c r="P6485" s="49"/>
      <c r="Q6485" s="1"/>
      <c r="S6485" s="1"/>
      <c r="T6485" s="1"/>
      <c r="U6485" s="1"/>
      <c r="V6485" s="1"/>
      <c r="W6485" s="1"/>
      <c r="X6485" s="1"/>
      <c r="Y6485" s="1"/>
      <c r="AB6485" s="1"/>
      <c r="AC6485" s="1"/>
      <c r="AD6485" s="1"/>
      <c r="AE6485" s="1"/>
      <c r="AF6485" s="1"/>
      <c r="AG6485" s="1"/>
      <c r="AH6485" s="1"/>
      <c r="AI6485" s="1"/>
      <c r="AJ6485" s="1"/>
      <c r="AK6485" s="1"/>
      <c r="AL6485" s="1"/>
      <c r="AM6485" s="1"/>
    </row>
    <row r="6486" spans="16:39" x14ac:dyDescent="0.25">
      <c r="P6486" s="49"/>
      <c r="Q6486" s="1"/>
      <c r="S6486" s="1"/>
      <c r="T6486" s="1"/>
      <c r="U6486" s="1"/>
      <c r="V6486" s="1"/>
      <c r="W6486" s="1"/>
      <c r="X6486" s="1"/>
      <c r="Y6486" s="1"/>
      <c r="AB6486" s="1"/>
      <c r="AC6486" s="1"/>
      <c r="AD6486" s="1"/>
      <c r="AE6486" s="1"/>
      <c r="AF6486" s="1"/>
      <c r="AG6486" s="1"/>
      <c r="AH6486" s="1"/>
      <c r="AI6486" s="1"/>
      <c r="AJ6486" s="1"/>
      <c r="AK6486" s="1"/>
      <c r="AL6486" s="1"/>
      <c r="AM6486" s="1"/>
    </row>
    <row r="6487" spans="16:39" x14ac:dyDescent="0.25">
      <c r="P6487" s="49"/>
      <c r="Q6487" s="1"/>
      <c r="S6487" s="1"/>
      <c r="T6487" s="1"/>
      <c r="U6487" s="1"/>
      <c r="V6487" s="1"/>
      <c r="W6487" s="1"/>
      <c r="X6487" s="1"/>
      <c r="Y6487" s="1"/>
      <c r="AB6487" s="1"/>
      <c r="AC6487" s="1"/>
      <c r="AD6487" s="1"/>
      <c r="AE6487" s="1"/>
      <c r="AF6487" s="1"/>
      <c r="AG6487" s="1"/>
      <c r="AH6487" s="1"/>
      <c r="AI6487" s="1"/>
      <c r="AJ6487" s="1"/>
      <c r="AK6487" s="1"/>
      <c r="AL6487" s="1"/>
      <c r="AM6487" s="1"/>
    </row>
    <row r="6488" spans="16:39" x14ac:dyDescent="0.25">
      <c r="P6488" s="49"/>
      <c r="Q6488" s="1"/>
      <c r="S6488" s="1"/>
      <c r="T6488" s="1"/>
      <c r="U6488" s="1"/>
      <c r="V6488" s="1"/>
      <c r="W6488" s="1"/>
      <c r="X6488" s="1"/>
      <c r="Y6488" s="1"/>
      <c r="AB6488" s="1"/>
      <c r="AC6488" s="1"/>
      <c r="AD6488" s="1"/>
      <c r="AE6488" s="1"/>
      <c r="AF6488" s="1"/>
      <c r="AG6488" s="1"/>
      <c r="AH6488" s="1"/>
      <c r="AI6488" s="1"/>
      <c r="AJ6488" s="1"/>
      <c r="AK6488" s="1"/>
      <c r="AL6488" s="1"/>
      <c r="AM6488" s="1"/>
    </row>
    <row r="6489" spans="16:39" x14ac:dyDescent="0.25">
      <c r="P6489" s="49"/>
      <c r="Q6489" s="1"/>
      <c r="S6489" s="1"/>
      <c r="T6489" s="1"/>
      <c r="U6489" s="1"/>
      <c r="V6489" s="1"/>
      <c r="W6489" s="1"/>
      <c r="X6489" s="1"/>
      <c r="Y6489" s="1"/>
      <c r="AB6489" s="1"/>
      <c r="AC6489" s="1"/>
      <c r="AD6489" s="1"/>
      <c r="AE6489" s="1"/>
      <c r="AF6489" s="1"/>
      <c r="AG6489" s="1"/>
      <c r="AH6489" s="1"/>
      <c r="AI6489" s="1"/>
      <c r="AJ6489" s="1"/>
      <c r="AK6489" s="1"/>
      <c r="AL6489" s="1"/>
      <c r="AM6489" s="1"/>
    </row>
    <row r="6490" spans="16:39" x14ac:dyDescent="0.25">
      <c r="P6490" s="49"/>
      <c r="Q6490" s="1"/>
      <c r="S6490" s="1"/>
      <c r="T6490" s="1"/>
      <c r="U6490" s="1"/>
      <c r="V6490" s="1"/>
      <c r="W6490" s="1"/>
      <c r="X6490" s="1"/>
      <c r="Y6490" s="1"/>
      <c r="AB6490" s="1"/>
      <c r="AC6490" s="1"/>
      <c r="AD6490" s="1"/>
      <c r="AE6490" s="1"/>
      <c r="AF6490" s="1"/>
      <c r="AG6490" s="1"/>
      <c r="AH6490" s="1"/>
      <c r="AI6490" s="1"/>
      <c r="AJ6490" s="1"/>
      <c r="AK6490" s="1"/>
      <c r="AL6490" s="1"/>
      <c r="AM6490" s="1"/>
    </row>
    <row r="6491" spans="16:39" x14ac:dyDescent="0.25">
      <c r="P6491" s="49"/>
      <c r="Q6491" s="1"/>
      <c r="S6491" s="1"/>
      <c r="T6491" s="1"/>
      <c r="U6491" s="1"/>
      <c r="V6491" s="1"/>
      <c r="W6491" s="1"/>
      <c r="X6491" s="1"/>
      <c r="Y6491" s="1"/>
      <c r="AB6491" s="1"/>
      <c r="AC6491" s="1"/>
      <c r="AD6491" s="1"/>
      <c r="AE6491" s="1"/>
      <c r="AF6491" s="1"/>
      <c r="AG6491" s="1"/>
      <c r="AH6491" s="1"/>
      <c r="AI6491" s="1"/>
      <c r="AJ6491" s="1"/>
      <c r="AK6491" s="1"/>
      <c r="AL6491" s="1"/>
      <c r="AM6491" s="1"/>
    </row>
    <row r="6492" spans="16:39" x14ac:dyDescent="0.25">
      <c r="P6492" s="49"/>
      <c r="Q6492" s="1"/>
      <c r="S6492" s="1"/>
      <c r="T6492" s="1"/>
      <c r="U6492" s="1"/>
      <c r="V6492" s="1"/>
      <c r="W6492" s="1"/>
      <c r="X6492" s="1"/>
      <c r="Y6492" s="1"/>
      <c r="AB6492" s="1"/>
      <c r="AC6492" s="1"/>
      <c r="AD6492" s="1"/>
      <c r="AE6492" s="1"/>
      <c r="AF6492" s="1"/>
      <c r="AG6492" s="1"/>
      <c r="AH6492" s="1"/>
      <c r="AI6492" s="1"/>
      <c r="AJ6492" s="1"/>
      <c r="AK6492" s="1"/>
      <c r="AL6492" s="1"/>
      <c r="AM6492" s="1"/>
    </row>
    <row r="6493" spans="16:39" x14ac:dyDescent="0.25">
      <c r="P6493" s="49"/>
      <c r="Q6493" s="1"/>
      <c r="S6493" s="1"/>
      <c r="T6493" s="1"/>
      <c r="U6493" s="1"/>
      <c r="V6493" s="1"/>
      <c r="W6493" s="1"/>
      <c r="X6493" s="1"/>
      <c r="Y6493" s="1"/>
      <c r="AB6493" s="1"/>
      <c r="AC6493" s="1"/>
      <c r="AD6493" s="1"/>
      <c r="AE6493" s="1"/>
      <c r="AF6493" s="1"/>
      <c r="AG6493" s="1"/>
      <c r="AH6493" s="1"/>
      <c r="AI6493" s="1"/>
      <c r="AJ6493" s="1"/>
      <c r="AK6493" s="1"/>
      <c r="AL6493" s="1"/>
      <c r="AM6493" s="1"/>
    </row>
    <row r="6494" spans="16:39" x14ac:dyDescent="0.25">
      <c r="P6494" s="49"/>
      <c r="Q6494" s="1"/>
      <c r="S6494" s="1"/>
      <c r="T6494" s="1"/>
      <c r="U6494" s="1"/>
      <c r="V6494" s="1"/>
      <c r="W6494" s="1"/>
      <c r="X6494" s="1"/>
      <c r="Y6494" s="1"/>
      <c r="AB6494" s="1"/>
      <c r="AC6494" s="1"/>
      <c r="AD6494" s="1"/>
      <c r="AE6494" s="1"/>
      <c r="AF6494" s="1"/>
      <c r="AG6494" s="1"/>
      <c r="AH6494" s="1"/>
      <c r="AI6494" s="1"/>
      <c r="AJ6494" s="1"/>
      <c r="AK6494" s="1"/>
      <c r="AL6494" s="1"/>
      <c r="AM6494" s="1"/>
    </row>
    <row r="6495" spans="16:39" x14ac:dyDescent="0.25">
      <c r="P6495" s="49"/>
      <c r="Q6495" s="1"/>
      <c r="S6495" s="1"/>
      <c r="T6495" s="1"/>
      <c r="U6495" s="1"/>
      <c r="V6495" s="1"/>
      <c r="W6495" s="1"/>
      <c r="X6495" s="1"/>
      <c r="Y6495" s="1"/>
      <c r="AB6495" s="1"/>
      <c r="AC6495" s="1"/>
      <c r="AD6495" s="1"/>
      <c r="AE6495" s="1"/>
      <c r="AF6495" s="1"/>
      <c r="AG6495" s="1"/>
      <c r="AH6495" s="1"/>
      <c r="AI6495" s="1"/>
      <c r="AJ6495" s="1"/>
      <c r="AK6495" s="1"/>
      <c r="AL6495" s="1"/>
      <c r="AM6495" s="1"/>
    </row>
    <row r="6496" spans="16:39" x14ac:dyDescent="0.25">
      <c r="P6496" s="49"/>
      <c r="Q6496" s="1"/>
      <c r="S6496" s="1"/>
      <c r="T6496" s="1"/>
      <c r="U6496" s="1"/>
      <c r="V6496" s="1"/>
      <c r="W6496" s="1"/>
      <c r="X6496" s="1"/>
      <c r="Y6496" s="1"/>
      <c r="AB6496" s="1"/>
      <c r="AC6496" s="1"/>
      <c r="AD6496" s="1"/>
      <c r="AE6496" s="1"/>
      <c r="AF6496" s="1"/>
      <c r="AG6496" s="1"/>
      <c r="AH6496" s="1"/>
      <c r="AI6496" s="1"/>
      <c r="AJ6496" s="1"/>
      <c r="AK6496" s="1"/>
      <c r="AL6496" s="1"/>
      <c r="AM6496" s="1"/>
    </row>
    <row r="6497" spans="16:39" x14ac:dyDescent="0.25">
      <c r="P6497" s="49"/>
      <c r="Q6497" s="1"/>
      <c r="S6497" s="1"/>
      <c r="T6497" s="1"/>
      <c r="U6497" s="1"/>
      <c r="V6497" s="1"/>
      <c r="W6497" s="1"/>
      <c r="X6497" s="1"/>
      <c r="Y6497" s="1"/>
      <c r="AB6497" s="1"/>
      <c r="AC6497" s="1"/>
      <c r="AD6497" s="1"/>
      <c r="AE6497" s="1"/>
      <c r="AF6497" s="1"/>
      <c r="AG6497" s="1"/>
      <c r="AH6497" s="1"/>
      <c r="AI6497" s="1"/>
      <c r="AJ6497" s="1"/>
      <c r="AK6497" s="1"/>
      <c r="AL6497" s="1"/>
      <c r="AM6497" s="1"/>
    </row>
    <row r="6498" spans="16:39" x14ac:dyDescent="0.25">
      <c r="P6498" s="49"/>
      <c r="Q6498" s="1"/>
      <c r="S6498" s="1"/>
      <c r="T6498" s="1"/>
      <c r="U6498" s="1"/>
      <c r="V6498" s="1"/>
      <c r="W6498" s="1"/>
      <c r="X6498" s="1"/>
      <c r="Y6498" s="1"/>
      <c r="AB6498" s="1"/>
      <c r="AC6498" s="1"/>
      <c r="AD6498" s="1"/>
      <c r="AE6498" s="1"/>
      <c r="AF6498" s="1"/>
      <c r="AG6498" s="1"/>
      <c r="AH6498" s="1"/>
      <c r="AI6498" s="1"/>
      <c r="AJ6498" s="1"/>
      <c r="AK6498" s="1"/>
      <c r="AL6498" s="1"/>
      <c r="AM6498" s="1"/>
    </row>
    <row r="6499" spans="16:39" x14ac:dyDescent="0.25">
      <c r="P6499" s="49"/>
      <c r="Q6499" s="1"/>
      <c r="S6499" s="1"/>
      <c r="T6499" s="1"/>
      <c r="U6499" s="1"/>
      <c r="V6499" s="1"/>
      <c r="W6499" s="1"/>
      <c r="X6499" s="1"/>
      <c r="Y6499" s="1"/>
      <c r="AB6499" s="1"/>
      <c r="AC6499" s="1"/>
      <c r="AD6499" s="1"/>
      <c r="AE6499" s="1"/>
      <c r="AF6499" s="1"/>
      <c r="AG6499" s="1"/>
      <c r="AH6499" s="1"/>
      <c r="AI6499" s="1"/>
      <c r="AJ6499" s="1"/>
      <c r="AK6499" s="1"/>
      <c r="AL6499" s="1"/>
      <c r="AM6499" s="1"/>
    </row>
    <row r="6500" spans="16:39" x14ac:dyDescent="0.25">
      <c r="P6500" s="49"/>
      <c r="Q6500" s="1"/>
      <c r="S6500" s="1"/>
      <c r="T6500" s="1"/>
      <c r="U6500" s="1"/>
      <c r="V6500" s="1"/>
      <c r="W6500" s="1"/>
      <c r="X6500" s="1"/>
      <c r="Y6500" s="1"/>
      <c r="AB6500" s="1"/>
      <c r="AC6500" s="1"/>
      <c r="AD6500" s="1"/>
      <c r="AE6500" s="1"/>
      <c r="AF6500" s="1"/>
      <c r="AG6500" s="1"/>
      <c r="AH6500" s="1"/>
      <c r="AI6500" s="1"/>
      <c r="AJ6500" s="1"/>
      <c r="AK6500" s="1"/>
      <c r="AL6500" s="1"/>
      <c r="AM6500" s="1"/>
    </row>
    <row r="6501" spans="16:39" x14ac:dyDescent="0.25">
      <c r="P6501" s="49"/>
      <c r="Q6501" s="1"/>
      <c r="S6501" s="1"/>
      <c r="T6501" s="1"/>
      <c r="U6501" s="1"/>
      <c r="V6501" s="1"/>
      <c r="W6501" s="1"/>
      <c r="X6501" s="1"/>
      <c r="Y6501" s="1"/>
      <c r="AB6501" s="1"/>
      <c r="AC6501" s="1"/>
      <c r="AD6501" s="1"/>
      <c r="AE6501" s="1"/>
      <c r="AF6501" s="1"/>
      <c r="AG6501" s="1"/>
      <c r="AH6501" s="1"/>
      <c r="AI6501" s="1"/>
      <c r="AJ6501" s="1"/>
      <c r="AK6501" s="1"/>
      <c r="AL6501" s="1"/>
      <c r="AM6501" s="1"/>
    </row>
    <row r="6502" spans="16:39" x14ac:dyDescent="0.25">
      <c r="P6502" s="49"/>
      <c r="Q6502" s="1"/>
      <c r="S6502" s="1"/>
      <c r="T6502" s="1"/>
      <c r="U6502" s="1"/>
      <c r="V6502" s="1"/>
      <c r="W6502" s="1"/>
      <c r="X6502" s="1"/>
      <c r="Y6502" s="1"/>
      <c r="AB6502" s="1"/>
      <c r="AC6502" s="1"/>
      <c r="AD6502" s="1"/>
      <c r="AE6502" s="1"/>
      <c r="AF6502" s="1"/>
      <c r="AG6502" s="1"/>
      <c r="AH6502" s="1"/>
      <c r="AI6502" s="1"/>
      <c r="AJ6502" s="1"/>
      <c r="AK6502" s="1"/>
      <c r="AL6502" s="1"/>
      <c r="AM6502" s="1"/>
    </row>
    <row r="6503" spans="16:39" x14ac:dyDescent="0.25">
      <c r="P6503" s="49"/>
      <c r="Q6503" s="1"/>
      <c r="S6503" s="1"/>
      <c r="T6503" s="1"/>
      <c r="U6503" s="1"/>
      <c r="V6503" s="1"/>
      <c r="W6503" s="1"/>
      <c r="X6503" s="1"/>
      <c r="Y6503" s="1"/>
      <c r="AB6503" s="1"/>
      <c r="AC6503" s="1"/>
      <c r="AD6503" s="1"/>
      <c r="AE6503" s="1"/>
      <c r="AF6503" s="1"/>
      <c r="AG6503" s="1"/>
      <c r="AH6503" s="1"/>
      <c r="AI6503" s="1"/>
      <c r="AJ6503" s="1"/>
      <c r="AK6503" s="1"/>
      <c r="AL6503" s="1"/>
      <c r="AM6503" s="1"/>
    </row>
    <row r="6504" spans="16:39" x14ac:dyDescent="0.25">
      <c r="P6504" s="49"/>
      <c r="Q6504" s="1"/>
      <c r="S6504" s="1"/>
      <c r="T6504" s="1"/>
      <c r="U6504" s="1"/>
      <c r="V6504" s="1"/>
      <c r="W6504" s="1"/>
      <c r="X6504" s="1"/>
      <c r="Y6504" s="1"/>
      <c r="AB6504" s="1"/>
      <c r="AC6504" s="1"/>
      <c r="AD6504" s="1"/>
      <c r="AE6504" s="1"/>
      <c r="AF6504" s="1"/>
      <c r="AG6504" s="1"/>
      <c r="AH6504" s="1"/>
      <c r="AI6504" s="1"/>
      <c r="AJ6504" s="1"/>
      <c r="AK6504" s="1"/>
      <c r="AL6504" s="1"/>
      <c r="AM6504" s="1"/>
    </row>
    <row r="6505" spans="16:39" x14ac:dyDescent="0.25">
      <c r="P6505" s="49"/>
      <c r="Q6505" s="1"/>
      <c r="S6505" s="1"/>
      <c r="T6505" s="1"/>
      <c r="U6505" s="1"/>
      <c r="V6505" s="1"/>
      <c r="W6505" s="1"/>
      <c r="X6505" s="1"/>
      <c r="Y6505" s="1"/>
      <c r="AB6505" s="1"/>
      <c r="AC6505" s="1"/>
      <c r="AD6505" s="1"/>
      <c r="AE6505" s="1"/>
      <c r="AF6505" s="1"/>
      <c r="AG6505" s="1"/>
      <c r="AH6505" s="1"/>
      <c r="AI6505" s="1"/>
      <c r="AJ6505" s="1"/>
      <c r="AK6505" s="1"/>
      <c r="AL6505" s="1"/>
      <c r="AM6505" s="1"/>
    </row>
    <row r="6506" spans="16:39" x14ac:dyDescent="0.25">
      <c r="P6506" s="49"/>
      <c r="Q6506" s="1"/>
      <c r="S6506" s="1"/>
      <c r="T6506" s="1"/>
      <c r="U6506" s="1"/>
      <c r="V6506" s="1"/>
      <c r="W6506" s="1"/>
      <c r="X6506" s="1"/>
      <c r="Y6506" s="1"/>
      <c r="AB6506" s="1"/>
      <c r="AC6506" s="1"/>
      <c r="AD6506" s="1"/>
      <c r="AE6506" s="1"/>
      <c r="AF6506" s="1"/>
      <c r="AG6506" s="1"/>
      <c r="AH6506" s="1"/>
      <c r="AI6506" s="1"/>
      <c r="AJ6506" s="1"/>
      <c r="AK6506" s="1"/>
      <c r="AL6506" s="1"/>
      <c r="AM6506" s="1"/>
    </row>
    <row r="6507" spans="16:39" x14ac:dyDescent="0.25">
      <c r="P6507" s="49"/>
      <c r="Q6507" s="1"/>
      <c r="S6507" s="1"/>
      <c r="T6507" s="1"/>
      <c r="U6507" s="1"/>
      <c r="V6507" s="1"/>
      <c r="W6507" s="1"/>
      <c r="X6507" s="1"/>
      <c r="Y6507" s="1"/>
      <c r="AB6507" s="1"/>
      <c r="AC6507" s="1"/>
      <c r="AD6507" s="1"/>
      <c r="AE6507" s="1"/>
      <c r="AF6507" s="1"/>
      <c r="AG6507" s="1"/>
      <c r="AH6507" s="1"/>
      <c r="AI6507" s="1"/>
      <c r="AJ6507" s="1"/>
      <c r="AK6507" s="1"/>
      <c r="AL6507" s="1"/>
      <c r="AM6507" s="1"/>
    </row>
    <row r="6508" spans="16:39" x14ac:dyDescent="0.25">
      <c r="P6508" s="49"/>
      <c r="Q6508" s="1"/>
      <c r="S6508" s="1"/>
      <c r="T6508" s="1"/>
      <c r="U6508" s="1"/>
      <c r="V6508" s="1"/>
      <c r="W6508" s="1"/>
      <c r="X6508" s="1"/>
      <c r="Y6508" s="1"/>
      <c r="AB6508" s="1"/>
      <c r="AC6508" s="1"/>
      <c r="AD6508" s="1"/>
      <c r="AE6508" s="1"/>
      <c r="AF6508" s="1"/>
      <c r="AG6508" s="1"/>
      <c r="AH6508" s="1"/>
      <c r="AI6508" s="1"/>
      <c r="AJ6508" s="1"/>
      <c r="AK6508" s="1"/>
      <c r="AL6508" s="1"/>
      <c r="AM6508" s="1"/>
    </row>
    <row r="6509" spans="16:39" x14ac:dyDescent="0.25">
      <c r="P6509" s="49"/>
      <c r="Q6509" s="1"/>
      <c r="S6509" s="1"/>
      <c r="T6509" s="1"/>
      <c r="U6509" s="1"/>
      <c r="V6509" s="1"/>
      <c r="W6509" s="1"/>
      <c r="X6509" s="1"/>
      <c r="Y6509" s="1"/>
      <c r="AB6509" s="1"/>
      <c r="AC6509" s="1"/>
      <c r="AD6509" s="1"/>
      <c r="AE6509" s="1"/>
      <c r="AF6509" s="1"/>
      <c r="AG6509" s="1"/>
      <c r="AH6509" s="1"/>
      <c r="AI6509" s="1"/>
      <c r="AJ6509" s="1"/>
      <c r="AK6509" s="1"/>
      <c r="AL6509" s="1"/>
      <c r="AM6509" s="1"/>
    </row>
    <row r="6510" spans="16:39" x14ac:dyDescent="0.25">
      <c r="P6510" s="49"/>
      <c r="Q6510" s="1"/>
      <c r="S6510" s="1"/>
      <c r="T6510" s="1"/>
      <c r="U6510" s="1"/>
      <c r="V6510" s="1"/>
      <c r="W6510" s="1"/>
      <c r="X6510" s="1"/>
      <c r="Y6510" s="1"/>
      <c r="AB6510" s="1"/>
      <c r="AC6510" s="1"/>
      <c r="AD6510" s="1"/>
      <c r="AE6510" s="1"/>
      <c r="AF6510" s="1"/>
      <c r="AG6510" s="1"/>
      <c r="AH6510" s="1"/>
      <c r="AI6510" s="1"/>
      <c r="AJ6510" s="1"/>
      <c r="AK6510" s="1"/>
      <c r="AL6510" s="1"/>
      <c r="AM6510" s="1"/>
    </row>
    <row r="6511" spans="16:39" x14ac:dyDescent="0.25">
      <c r="P6511" s="49"/>
      <c r="Q6511" s="1"/>
      <c r="S6511" s="1"/>
      <c r="T6511" s="1"/>
      <c r="U6511" s="1"/>
      <c r="V6511" s="1"/>
      <c r="W6511" s="1"/>
      <c r="X6511" s="1"/>
      <c r="Y6511" s="1"/>
      <c r="AB6511" s="1"/>
      <c r="AC6511" s="1"/>
      <c r="AD6511" s="1"/>
      <c r="AE6511" s="1"/>
      <c r="AF6511" s="1"/>
      <c r="AG6511" s="1"/>
      <c r="AH6511" s="1"/>
      <c r="AI6511" s="1"/>
      <c r="AJ6511" s="1"/>
      <c r="AK6511" s="1"/>
      <c r="AL6511" s="1"/>
      <c r="AM6511" s="1"/>
    </row>
    <row r="6512" spans="16:39" x14ac:dyDescent="0.25">
      <c r="P6512" s="49"/>
      <c r="Q6512" s="1"/>
      <c r="S6512" s="1"/>
      <c r="T6512" s="1"/>
      <c r="U6512" s="1"/>
      <c r="V6512" s="1"/>
      <c r="W6512" s="1"/>
      <c r="X6512" s="1"/>
      <c r="Y6512" s="1"/>
      <c r="AB6512" s="1"/>
      <c r="AC6512" s="1"/>
      <c r="AD6512" s="1"/>
      <c r="AE6512" s="1"/>
      <c r="AF6512" s="1"/>
      <c r="AG6512" s="1"/>
      <c r="AH6512" s="1"/>
      <c r="AI6512" s="1"/>
      <c r="AJ6512" s="1"/>
      <c r="AK6512" s="1"/>
      <c r="AL6512" s="1"/>
      <c r="AM6512" s="1"/>
    </row>
    <row r="6513" spans="16:39" x14ac:dyDescent="0.25">
      <c r="P6513" s="49"/>
      <c r="Q6513" s="1"/>
      <c r="S6513" s="1"/>
      <c r="T6513" s="1"/>
      <c r="U6513" s="1"/>
      <c r="V6513" s="1"/>
      <c r="W6513" s="1"/>
      <c r="X6513" s="1"/>
      <c r="Y6513" s="1"/>
      <c r="AB6513" s="1"/>
      <c r="AC6513" s="1"/>
      <c r="AD6513" s="1"/>
      <c r="AE6513" s="1"/>
      <c r="AF6513" s="1"/>
      <c r="AG6513" s="1"/>
      <c r="AH6513" s="1"/>
      <c r="AI6513" s="1"/>
      <c r="AJ6513" s="1"/>
      <c r="AK6513" s="1"/>
      <c r="AL6513" s="1"/>
      <c r="AM6513" s="1"/>
    </row>
    <row r="6514" spans="16:39" x14ac:dyDescent="0.25">
      <c r="P6514" s="49"/>
      <c r="Q6514" s="1"/>
      <c r="S6514" s="1"/>
      <c r="T6514" s="1"/>
      <c r="U6514" s="1"/>
      <c r="V6514" s="1"/>
      <c r="W6514" s="1"/>
      <c r="X6514" s="1"/>
      <c r="Y6514" s="1"/>
      <c r="AB6514" s="1"/>
      <c r="AC6514" s="1"/>
      <c r="AD6514" s="1"/>
      <c r="AE6514" s="1"/>
      <c r="AF6514" s="1"/>
      <c r="AG6514" s="1"/>
      <c r="AH6514" s="1"/>
      <c r="AI6514" s="1"/>
      <c r="AJ6514" s="1"/>
      <c r="AK6514" s="1"/>
      <c r="AL6514" s="1"/>
      <c r="AM6514" s="1"/>
    </row>
    <row r="6515" spans="16:39" x14ac:dyDescent="0.25">
      <c r="P6515" s="49"/>
      <c r="Q6515" s="1"/>
      <c r="S6515" s="1"/>
      <c r="T6515" s="1"/>
      <c r="U6515" s="1"/>
      <c r="V6515" s="1"/>
      <c r="W6515" s="1"/>
      <c r="X6515" s="1"/>
      <c r="Y6515" s="1"/>
      <c r="AB6515" s="1"/>
      <c r="AC6515" s="1"/>
      <c r="AD6515" s="1"/>
      <c r="AE6515" s="1"/>
      <c r="AF6515" s="1"/>
      <c r="AG6515" s="1"/>
      <c r="AH6515" s="1"/>
      <c r="AI6515" s="1"/>
      <c r="AJ6515" s="1"/>
      <c r="AK6515" s="1"/>
      <c r="AL6515" s="1"/>
      <c r="AM6515" s="1"/>
    </row>
    <row r="6516" spans="16:39" x14ac:dyDescent="0.25">
      <c r="P6516" s="49"/>
      <c r="Q6516" s="1"/>
      <c r="S6516" s="1"/>
      <c r="T6516" s="1"/>
      <c r="U6516" s="1"/>
      <c r="V6516" s="1"/>
      <c r="W6516" s="1"/>
      <c r="X6516" s="1"/>
      <c r="Y6516" s="1"/>
      <c r="AB6516" s="1"/>
      <c r="AC6516" s="1"/>
      <c r="AD6516" s="1"/>
      <c r="AE6516" s="1"/>
      <c r="AF6516" s="1"/>
      <c r="AG6516" s="1"/>
      <c r="AH6516" s="1"/>
      <c r="AI6516" s="1"/>
      <c r="AJ6516" s="1"/>
      <c r="AK6516" s="1"/>
      <c r="AL6516" s="1"/>
      <c r="AM6516" s="1"/>
    </row>
    <row r="6517" spans="16:39" x14ac:dyDescent="0.25">
      <c r="P6517" s="49"/>
      <c r="Q6517" s="1"/>
      <c r="S6517" s="1"/>
      <c r="T6517" s="1"/>
      <c r="U6517" s="1"/>
      <c r="V6517" s="1"/>
      <c r="W6517" s="1"/>
      <c r="X6517" s="1"/>
      <c r="Y6517" s="1"/>
      <c r="AB6517" s="1"/>
      <c r="AC6517" s="1"/>
      <c r="AD6517" s="1"/>
      <c r="AE6517" s="1"/>
      <c r="AF6517" s="1"/>
      <c r="AG6517" s="1"/>
      <c r="AH6517" s="1"/>
      <c r="AI6517" s="1"/>
      <c r="AJ6517" s="1"/>
      <c r="AK6517" s="1"/>
      <c r="AL6517" s="1"/>
      <c r="AM6517" s="1"/>
    </row>
    <row r="6518" spans="16:39" x14ac:dyDescent="0.25">
      <c r="P6518" s="49"/>
      <c r="Q6518" s="1"/>
      <c r="S6518" s="1"/>
      <c r="T6518" s="1"/>
      <c r="U6518" s="1"/>
      <c r="V6518" s="1"/>
      <c r="W6518" s="1"/>
      <c r="X6518" s="1"/>
      <c r="Y6518" s="1"/>
      <c r="AB6518" s="1"/>
      <c r="AC6518" s="1"/>
      <c r="AD6518" s="1"/>
      <c r="AE6518" s="1"/>
      <c r="AF6518" s="1"/>
      <c r="AG6518" s="1"/>
      <c r="AH6518" s="1"/>
      <c r="AI6518" s="1"/>
      <c r="AJ6518" s="1"/>
      <c r="AK6518" s="1"/>
      <c r="AL6518" s="1"/>
      <c r="AM6518" s="1"/>
    </row>
    <row r="6519" spans="16:39" x14ac:dyDescent="0.25">
      <c r="P6519" s="49"/>
      <c r="Q6519" s="1"/>
      <c r="S6519" s="1"/>
      <c r="T6519" s="1"/>
      <c r="U6519" s="1"/>
      <c r="V6519" s="1"/>
      <c r="W6519" s="1"/>
      <c r="X6519" s="1"/>
      <c r="Y6519" s="1"/>
      <c r="AB6519" s="1"/>
      <c r="AC6519" s="1"/>
      <c r="AD6519" s="1"/>
      <c r="AE6519" s="1"/>
      <c r="AF6519" s="1"/>
      <c r="AG6519" s="1"/>
      <c r="AH6519" s="1"/>
      <c r="AI6519" s="1"/>
      <c r="AJ6519" s="1"/>
      <c r="AK6519" s="1"/>
      <c r="AL6519" s="1"/>
      <c r="AM6519" s="1"/>
    </row>
    <row r="6520" spans="16:39" x14ac:dyDescent="0.25">
      <c r="P6520" s="49"/>
      <c r="Q6520" s="1"/>
      <c r="S6520" s="1"/>
      <c r="T6520" s="1"/>
      <c r="U6520" s="1"/>
      <c r="V6520" s="1"/>
      <c r="W6520" s="1"/>
      <c r="X6520" s="1"/>
      <c r="Y6520" s="1"/>
      <c r="AB6520" s="1"/>
      <c r="AC6520" s="1"/>
      <c r="AD6520" s="1"/>
      <c r="AE6520" s="1"/>
      <c r="AF6520" s="1"/>
      <c r="AG6520" s="1"/>
      <c r="AH6520" s="1"/>
      <c r="AI6520" s="1"/>
      <c r="AJ6520" s="1"/>
      <c r="AK6520" s="1"/>
      <c r="AL6520" s="1"/>
      <c r="AM6520" s="1"/>
    </row>
    <row r="6521" spans="16:39" x14ac:dyDescent="0.25">
      <c r="P6521" s="49"/>
      <c r="Q6521" s="1"/>
      <c r="S6521" s="1"/>
      <c r="T6521" s="1"/>
      <c r="U6521" s="1"/>
      <c r="V6521" s="1"/>
      <c r="W6521" s="1"/>
      <c r="X6521" s="1"/>
      <c r="Y6521" s="1"/>
      <c r="AB6521" s="1"/>
      <c r="AC6521" s="1"/>
      <c r="AD6521" s="1"/>
      <c r="AE6521" s="1"/>
      <c r="AF6521" s="1"/>
      <c r="AG6521" s="1"/>
      <c r="AH6521" s="1"/>
      <c r="AI6521" s="1"/>
      <c r="AJ6521" s="1"/>
      <c r="AK6521" s="1"/>
      <c r="AL6521" s="1"/>
      <c r="AM6521" s="1"/>
    </row>
    <row r="6522" spans="16:39" x14ac:dyDescent="0.25">
      <c r="P6522" s="49"/>
      <c r="Q6522" s="1"/>
      <c r="S6522" s="1"/>
      <c r="T6522" s="1"/>
      <c r="U6522" s="1"/>
      <c r="V6522" s="1"/>
      <c r="W6522" s="1"/>
      <c r="X6522" s="1"/>
      <c r="Y6522" s="1"/>
      <c r="AB6522" s="1"/>
      <c r="AC6522" s="1"/>
      <c r="AD6522" s="1"/>
      <c r="AE6522" s="1"/>
      <c r="AF6522" s="1"/>
      <c r="AG6522" s="1"/>
      <c r="AH6522" s="1"/>
      <c r="AI6522" s="1"/>
      <c r="AJ6522" s="1"/>
      <c r="AK6522" s="1"/>
      <c r="AL6522" s="1"/>
      <c r="AM6522" s="1"/>
    </row>
    <row r="6523" spans="16:39" x14ac:dyDescent="0.25">
      <c r="P6523" s="49"/>
      <c r="Q6523" s="1"/>
      <c r="S6523" s="1"/>
      <c r="T6523" s="1"/>
      <c r="U6523" s="1"/>
      <c r="V6523" s="1"/>
      <c r="W6523" s="1"/>
      <c r="X6523" s="1"/>
      <c r="Y6523" s="1"/>
      <c r="AB6523" s="1"/>
      <c r="AC6523" s="1"/>
      <c r="AD6523" s="1"/>
      <c r="AE6523" s="1"/>
      <c r="AF6523" s="1"/>
      <c r="AG6523" s="1"/>
      <c r="AH6523" s="1"/>
      <c r="AI6523" s="1"/>
      <c r="AJ6523" s="1"/>
      <c r="AK6523" s="1"/>
      <c r="AL6523" s="1"/>
      <c r="AM6523" s="1"/>
    </row>
    <row r="6524" spans="16:39" x14ac:dyDescent="0.25">
      <c r="P6524" s="49"/>
      <c r="Q6524" s="1"/>
      <c r="S6524" s="1"/>
      <c r="T6524" s="1"/>
      <c r="U6524" s="1"/>
      <c r="V6524" s="1"/>
      <c r="W6524" s="1"/>
      <c r="X6524" s="1"/>
      <c r="Y6524" s="1"/>
      <c r="AB6524" s="1"/>
      <c r="AC6524" s="1"/>
      <c r="AD6524" s="1"/>
      <c r="AE6524" s="1"/>
      <c r="AF6524" s="1"/>
      <c r="AG6524" s="1"/>
      <c r="AH6524" s="1"/>
      <c r="AI6524" s="1"/>
      <c r="AJ6524" s="1"/>
      <c r="AK6524" s="1"/>
      <c r="AL6524" s="1"/>
      <c r="AM6524" s="1"/>
    </row>
    <row r="6525" spans="16:39" x14ac:dyDescent="0.25">
      <c r="P6525" s="49"/>
      <c r="Q6525" s="1"/>
      <c r="S6525" s="1"/>
      <c r="T6525" s="1"/>
      <c r="U6525" s="1"/>
      <c r="V6525" s="1"/>
      <c r="W6525" s="1"/>
      <c r="X6525" s="1"/>
      <c r="Y6525" s="1"/>
      <c r="AB6525" s="1"/>
      <c r="AC6525" s="1"/>
      <c r="AD6525" s="1"/>
      <c r="AE6525" s="1"/>
      <c r="AF6525" s="1"/>
      <c r="AG6525" s="1"/>
      <c r="AH6525" s="1"/>
      <c r="AI6525" s="1"/>
      <c r="AJ6525" s="1"/>
      <c r="AK6525" s="1"/>
      <c r="AL6525" s="1"/>
      <c r="AM6525" s="1"/>
    </row>
    <row r="6526" spans="16:39" x14ac:dyDescent="0.25">
      <c r="P6526" s="49"/>
      <c r="Q6526" s="1"/>
      <c r="S6526" s="1"/>
      <c r="T6526" s="1"/>
      <c r="U6526" s="1"/>
      <c r="V6526" s="1"/>
      <c r="W6526" s="1"/>
      <c r="X6526" s="1"/>
      <c r="Y6526" s="1"/>
      <c r="AB6526" s="1"/>
      <c r="AC6526" s="1"/>
      <c r="AD6526" s="1"/>
      <c r="AE6526" s="1"/>
      <c r="AF6526" s="1"/>
      <c r="AG6526" s="1"/>
      <c r="AH6526" s="1"/>
      <c r="AI6526" s="1"/>
      <c r="AJ6526" s="1"/>
      <c r="AK6526" s="1"/>
      <c r="AL6526" s="1"/>
      <c r="AM6526" s="1"/>
    </row>
    <row r="6527" spans="16:39" x14ac:dyDescent="0.25">
      <c r="P6527" s="49"/>
      <c r="Q6527" s="1"/>
      <c r="S6527" s="1"/>
      <c r="T6527" s="1"/>
      <c r="U6527" s="1"/>
      <c r="V6527" s="1"/>
      <c r="W6527" s="1"/>
      <c r="X6527" s="1"/>
      <c r="Y6527" s="1"/>
      <c r="AB6527" s="1"/>
      <c r="AC6527" s="1"/>
      <c r="AD6527" s="1"/>
      <c r="AE6527" s="1"/>
      <c r="AF6527" s="1"/>
      <c r="AG6527" s="1"/>
      <c r="AH6527" s="1"/>
      <c r="AI6527" s="1"/>
      <c r="AJ6527" s="1"/>
      <c r="AK6527" s="1"/>
      <c r="AL6527" s="1"/>
      <c r="AM6527" s="1"/>
    </row>
    <row r="6528" spans="16:39" x14ac:dyDescent="0.25">
      <c r="P6528" s="49"/>
      <c r="Q6528" s="1"/>
      <c r="S6528" s="1"/>
      <c r="T6528" s="1"/>
      <c r="U6528" s="1"/>
      <c r="V6528" s="1"/>
      <c r="W6528" s="1"/>
      <c r="X6528" s="1"/>
      <c r="Y6528" s="1"/>
      <c r="AB6528" s="1"/>
      <c r="AC6528" s="1"/>
      <c r="AD6528" s="1"/>
      <c r="AE6528" s="1"/>
      <c r="AF6528" s="1"/>
      <c r="AG6528" s="1"/>
      <c r="AH6528" s="1"/>
      <c r="AI6528" s="1"/>
      <c r="AJ6528" s="1"/>
      <c r="AK6528" s="1"/>
      <c r="AL6528" s="1"/>
      <c r="AM6528" s="1"/>
    </row>
    <row r="6529" spans="16:39" x14ac:dyDescent="0.25">
      <c r="P6529" s="49"/>
      <c r="Q6529" s="1"/>
      <c r="S6529" s="1"/>
      <c r="T6529" s="1"/>
      <c r="U6529" s="1"/>
      <c r="V6529" s="1"/>
      <c r="W6529" s="1"/>
      <c r="X6529" s="1"/>
      <c r="Y6529" s="1"/>
      <c r="AB6529" s="1"/>
      <c r="AC6529" s="1"/>
      <c r="AD6529" s="1"/>
      <c r="AE6529" s="1"/>
      <c r="AF6529" s="1"/>
      <c r="AG6529" s="1"/>
      <c r="AH6529" s="1"/>
      <c r="AI6529" s="1"/>
      <c r="AJ6529" s="1"/>
      <c r="AK6529" s="1"/>
      <c r="AL6529" s="1"/>
      <c r="AM6529" s="1"/>
    </row>
    <row r="6530" spans="16:39" x14ac:dyDescent="0.25">
      <c r="P6530" s="49"/>
      <c r="Q6530" s="1"/>
      <c r="S6530" s="1"/>
      <c r="T6530" s="1"/>
      <c r="U6530" s="1"/>
      <c r="V6530" s="1"/>
      <c r="W6530" s="1"/>
      <c r="X6530" s="1"/>
      <c r="Y6530" s="1"/>
      <c r="AB6530" s="1"/>
      <c r="AC6530" s="1"/>
      <c r="AD6530" s="1"/>
      <c r="AE6530" s="1"/>
      <c r="AF6530" s="1"/>
      <c r="AG6530" s="1"/>
      <c r="AH6530" s="1"/>
      <c r="AI6530" s="1"/>
      <c r="AJ6530" s="1"/>
      <c r="AK6530" s="1"/>
      <c r="AL6530" s="1"/>
      <c r="AM6530" s="1"/>
    </row>
    <row r="6531" spans="16:39" x14ac:dyDescent="0.25">
      <c r="P6531" s="49"/>
      <c r="Q6531" s="1"/>
      <c r="S6531" s="1"/>
      <c r="T6531" s="1"/>
      <c r="U6531" s="1"/>
      <c r="V6531" s="1"/>
      <c r="W6531" s="1"/>
      <c r="X6531" s="1"/>
      <c r="Y6531" s="1"/>
      <c r="AB6531" s="1"/>
      <c r="AC6531" s="1"/>
      <c r="AD6531" s="1"/>
      <c r="AE6531" s="1"/>
      <c r="AF6531" s="1"/>
      <c r="AG6531" s="1"/>
      <c r="AH6531" s="1"/>
      <c r="AI6531" s="1"/>
      <c r="AJ6531" s="1"/>
      <c r="AK6531" s="1"/>
      <c r="AL6531" s="1"/>
      <c r="AM6531" s="1"/>
    </row>
    <row r="6532" spans="16:39" x14ac:dyDescent="0.25">
      <c r="P6532" s="49"/>
      <c r="Q6532" s="1"/>
      <c r="S6532" s="1"/>
      <c r="T6532" s="1"/>
      <c r="U6532" s="1"/>
      <c r="V6532" s="1"/>
      <c r="W6532" s="1"/>
      <c r="X6532" s="1"/>
      <c r="Y6532" s="1"/>
      <c r="AB6532" s="1"/>
      <c r="AC6532" s="1"/>
      <c r="AD6532" s="1"/>
      <c r="AE6532" s="1"/>
      <c r="AF6532" s="1"/>
      <c r="AG6532" s="1"/>
      <c r="AH6532" s="1"/>
      <c r="AI6532" s="1"/>
      <c r="AJ6532" s="1"/>
      <c r="AK6532" s="1"/>
      <c r="AL6532" s="1"/>
      <c r="AM6532" s="1"/>
    </row>
    <row r="6533" spans="16:39" x14ac:dyDescent="0.25">
      <c r="P6533" s="49"/>
      <c r="Q6533" s="1"/>
      <c r="S6533" s="1"/>
      <c r="T6533" s="1"/>
      <c r="U6533" s="1"/>
      <c r="V6533" s="1"/>
      <c r="W6533" s="1"/>
      <c r="X6533" s="1"/>
      <c r="Y6533" s="1"/>
      <c r="AB6533" s="1"/>
      <c r="AC6533" s="1"/>
      <c r="AD6533" s="1"/>
      <c r="AE6533" s="1"/>
      <c r="AF6533" s="1"/>
      <c r="AG6533" s="1"/>
      <c r="AH6533" s="1"/>
      <c r="AI6533" s="1"/>
      <c r="AJ6533" s="1"/>
      <c r="AK6533" s="1"/>
      <c r="AL6533" s="1"/>
      <c r="AM6533" s="1"/>
    </row>
    <row r="6534" spans="16:39" x14ac:dyDescent="0.25">
      <c r="P6534" s="49"/>
      <c r="Q6534" s="1"/>
      <c r="S6534" s="1"/>
      <c r="T6534" s="1"/>
      <c r="U6534" s="1"/>
      <c r="V6534" s="1"/>
      <c r="W6534" s="1"/>
      <c r="X6534" s="1"/>
      <c r="Y6534" s="1"/>
      <c r="AB6534" s="1"/>
      <c r="AC6534" s="1"/>
      <c r="AD6534" s="1"/>
      <c r="AE6534" s="1"/>
      <c r="AF6534" s="1"/>
      <c r="AG6534" s="1"/>
      <c r="AH6534" s="1"/>
      <c r="AI6534" s="1"/>
      <c r="AJ6534" s="1"/>
      <c r="AK6534" s="1"/>
      <c r="AL6534" s="1"/>
      <c r="AM6534" s="1"/>
    </row>
    <row r="6535" spans="16:39" x14ac:dyDescent="0.25">
      <c r="P6535" s="49"/>
      <c r="Q6535" s="1"/>
      <c r="S6535" s="1"/>
      <c r="T6535" s="1"/>
      <c r="U6535" s="1"/>
      <c r="V6535" s="1"/>
      <c r="W6535" s="1"/>
      <c r="X6535" s="1"/>
      <c r="Y6535" s="1"/>
      <c r="AB6535" s="1"/>
      <c r="AC6535" s="1"/>
      <c r="AD6535" s="1"/>
      <c r="AE6535" s="1"/>
      <c r="AF6535" s="1"/>
      <c r="AG6535" s="1"/>
      <c r="AH6535" s="1"/>
      <c r="AI6535" s="1"/>
      <c r="AJ6535" s="1"/>
      <c r="AK6535" s="1"/>
      <c r="AL6535" s="1"/>
      <c r="AM6535" s="1"/>
    </row>
    <row r="6536" spans="16:39" x14ac:dyDescent="0.25">
      <c r="P6536" s="49"/>
      <c r="Q6536" s="1"/>
      <c r="S6536" s="1"/>
      <c r="T6536" s="1"/>
      <c r="U6536" s="1"/>
      <c r="V6536" s="1"/>
      <c r="W6536" s="1"/>
      <c r="X6536" s="1"/>
      <c r="Y6536" s="1"/>
      <c r="AB6536" s="1"/>
      <c r="AC6536" s="1"/>
      <c r="AD6536" s="1"/>
      <c r="AE6536" s="1"/>
      <c r="AF6536" s="1"/>
      <c r="AG6536" s="1"/>
      <c r="AH6536" s="1"/>
      <c r="AI6536" s="1"/>
      <c r="AJ6536" s="1"/>
      <c r="AK6536" s="1"/>
      <c r="AL6536" s="1"/>
      <c r="AM6536" s="1"/>
    </row>
    <row r="6537" spans="16:39" x14ac:dyDescent="0.25">
      <c r="P6537" s="49"/>
      <c r="Q6537" s="1"/>
      <c r="S6537" s="1"/>
      <c r="T6537" s="1"/>
      <c r="U6537" s="1"/>
      <c r="V6537" s="1"/>
      <c r="W6537" s="1"/>
      <c r="X6537" s="1"/>
      <c r="Y6537" s="1"/>
      <c r="AB6537" s="1"/>
      <c r="AC6537" s="1"/>
      <c r="AD6537" s="1"/>
      <c r="AE6537" s="1"/>
      <c r="AF6537" s="1"/>
      <c r="AG6537" s="1"/>
      <c r="AH6537" s="1"/>
      <c r="AI6537" s="1"/>
      <c r="AJ6537" s="1"/>
      <c r="AK6537" s="1"/>
      <c r="AL6537" s="1"/>
      <c r="AM6537" s="1"/>
    </row>
    <row r="6538" spans="16:39" x14ac:dyDescent="0.25">
      <c r="P6538" s="49"/>
      <c r="Q6538" s="1"/>
      <c r="S6538" s="1"/>
      <c r="T6538" s="1"/>
      <c r="U6538" s="1"/>
      <c r="V6538" s="1"/>
      <c r="W6538" s="1"/>
      <c r="X6538" s="1"/>
      <c r="Y6538" s="1"/>
      <c r="AB6538" s="1"/>
      <c r="AC6538" s="1"/>
      <c r="AD6538" s="1"/>
      <c r="AE6538" s="1"/>
      <c r="AF6538" s="1"/>
      <c r="AG6538" s="1"/>
      <c r="AH6538" s="1"/>
      <c r="AI6538" s="1"/>
      <c r="AJ6538" s="1"/>
      <c r="AK6538" s="1"/>
      <c r="AL6538" s="1"/>
      <c r="AM6538" s="1"/>
    </row>
    <row r="6539" spans="16:39" x14ac:dyDescent="0.25">
      <c r="P6539" s="49"/>
      <c r="Q6539" s="1"/>
      <c r="S6539" s="1"/>
      <c r="T6539" s="1"/>
      <c r="U6539" s="1"/>
      <c r="V6539" s="1"/>
      <c r="W6539" s="1"/>
      <c r="X6539" s="1"/>
      <c r="Y6539" s="1"/>
      <c r="AB6539" s="1"/>
      <c r="AC6539" s="1"/>
      <c r="AD6539" s="1"/>
      <c r="AE6539" s="1"/>
      <c r="AF6539" s="1"/>
      <c r="AG6539" s="1"/>
      <c r="AH6539" s="1"/>
      <c r="AI6539" s="1"/>
      <c r="AJ6539" s="1"/>
      <c r="AK6539" s="1"/>
      <c r="AL6539" s="1"/>
      <c r="AM6539" s="1"/>
    </row>
    <row r="6540" spans="16:39" x14ac:dyDescent="0.25">
      <c r="P6540" s="49"/>
      <c r="Q6540" s="1"/>
      <c r="S6540" s="1"/>
      <c r="T6540" s="1"/>
      <c r="U6540" s="1"/>
      <c r="V6540" s="1"/>
      <c r="W6540" s="1"/>
      <c r="X6540" s="1"/>
      <c r="Y6540" s="1"/>
      <c r="AB6540" s="1"/>
      <c r="AC6540" s="1"/>
      <c r="AD6540" s="1"/>
      <c r="AE6540" s="1"/>
      <c r="AF6540" s="1"/>
      <c r="AG6540" s="1"/>
      <c r="AH6540" s="1"/>
      <c r="AI6540" s="1"/>
      <c r="AJ6540" s="1"/>
      <c r="AK6540" s="1"/>
      <c r="AL6540" s="1"/>
      <c r="AM6540" s="1"/>
    </row>
    <row r="6541" spans="16:39" x14ac:dyDescent="0.25">
      <c r="P6541" s="49"/>
      <c r="Q6541" s="1"/>
      <c r="S6541" s="1"/>
      <c r="T6541" s="1"/>
      <c r="U6541" s="1"/>
      <c r="V6541" s="1"/>
      <c r="W6541" s="1"/>
      <c r="X6541" s="1"/>
      <c r="Y6541" s="1"/>
      <c r="AB6541" s="1"/>
      <c r="AC6541" s="1"/>
      <c r="AD6541" s="1"/>
      <c r="AE6541" s="1"/>
      <c r="AF6541" s="1"/>
      <c r="AG6541" s="1"/>
      <c r="AH6541" s="1"/>
      <c r="AI6541" s="1"/>
      <c r="AJ6541" s="1"/>
      <c r="AK6541" s="1"/>
      <c r="AL6541" s="1"/>
      <c r="AM6541" s="1"/>
    </row>
    <row r="6542" spans="16:39" x14ac:dyDescent="0.25">
      <c r="P6542" s="49"/>
      <c r="Q6542" s="1"/>
      <c r="S6542" s="1"/>
      <c r="T6542" s="1"/>
      <c r="U6542" s="1"/>
      <c r="V6542" s="1"/>
      <c r="W6542" s="1"/>
      <c r="X6542" s="1"/>
      <c r="Y6542" s="1"/>
      <c r="AB6542" s="1"/>
      <c r="AC6542" s="1"/>
      <c r="AD6542" s="1"/>
      <c r="AE6542" s="1"/>
      <c r="AF6542" s="1"/>
      <c r="AG6542" s="1"/>
      <c r="AH6542" s="1"/>
      <c r="AI6542" s="1"/>
      <c r="AJ6542" s="1"/>
      <c r="AK6542" s="1"/>
      <c r="AL6542" s="1"/>
      <c r="AM6542" s="1"/>
    </row>
    <row r="6543" spans="16:39" x14ac:dyDescent="0.25">
      <c r="P6543" s="49"/>
      <c r="Q6543" s="1"/>
      <c r="S6543" s="1"/>
      <c r="T6543" s="1"/>
      <c r="U6543" s="1"/>
      <c r="V6543" s="1"/>
      <c r="W6543" s="1"/>
      <c r="X6543" s="1"/>
      <c r="Y6543" s="1"/>
      <c r="AB6543" s="1"/>
      <c r="AC6543" s="1"/>
      <c r="AD6543" s="1"/>
      <c r="AE6543" s="1"/>
      <c r="AF6543" s="1"/>
      <c r="AG6543" s="1"/>
      <c r="AH6543" s="1"/>
      <c r="AI6543" s="1"/>
      <c r="AJ6543" s="1"/>
      <c r="AK6543" s="1"/>
      <c r="AL6543" s="1"/>
      <c r="AM6543" s="1"/>
    </row>
    <row r="6544" spans="16:39" x14ac:dyDescent="0.25">
      <c r="P6544" s="49"/>
      <c r="Q6544" s="1"/>
      <c r="S6544" s="1"/>
      <c r="T6544" s="1"/>
      <c r="U6544" s="1"/>
      <c r="V6544" s="1"/>
      <c r="W6544" s="1"/>
      <c r="X6544" s="1"/>
      <c r="Y6544" s="1"/>
      <c r="AB6544" s="1"/>
      <c r="AC6544" s="1"/>
      <c r="AD6544" s="1"/>
      <c r="AE6544" s="1"/>
      <c r="AF6544" s="1"/>
      <c r="AG6544" s="1"/>
      <c r="AH6544" s="1"/>
      <c r="AI6544" s="1"/>
      <c r="AJ6544" s="1"/>
      <c r="AK6544" s="1"/>
      <c r="AL6544" s="1"/>
      <c r="AM6544" s="1"/>
    </row>
    <row r="6545" spans="16:39" x14ac:dyDescent="0.25">
      <c r="P6545" s="49"/>
      <c r="Q6545" s="1"/>
      <c r="S6545" s="1"/>
      <c r="T6545" s="1"/>
      <c r="U6545" s="1"/>
      <c r="V6545" s="1"/>
      <c r="W6545" s="1"/>
      <c r="X6545" s="1"/>
      <c r="Y6545" s="1"/>
      <c r="AB6545" s="1"/>
      <c r="AC6545" s="1"/>
      <c r="AD6545" s="1"/>
      <c r="AE6545" s="1"/>
      <c r="AF6545" s="1"/>
      <c r="AG6545" s="1"/>
      <c r="AH6545" s="1"/>
      <c r="AI6545" s="1"/>
      <c r="AJ6545" s="1"/>
      <c r="AK6545" s="1"/>
      <c r="AL6545" s="1"/>
      <c r="AM6545" s="1"/>
    </row>
    <row r="6546" spans="16:39" x14ac:dyDescent="0.25">
      <c r="P6546" s="49"/>
      <c r="Q6546" s="1"/>
      <c r="S6546" s="1"/>
      <c r="T6546" s="1"/>
      <c r="U6546" s="1"/>
      <c r="V6546" s="1"/>
      <c r="W6546" s="1"/>
      <c r="X6546" s="1"/>
      <c r="Y6546" s="1"/>
      <c r="AB6546" s="1"/>
      <c r="AC6546" s="1"/>
      <c r="AD6546" s="1"/>
      <c r="AE6546" s="1"/>
      <c r="AF6546" s="1"/>
      <c r="AG6546" s="1"/>
      <c r="AH6546" s="1"/>
      <c r="AI6546" s="1"/>
      <c r="AJ6546" s="1"/>
      <c r="AK6546" s="1"/>
      <c r="AL6546" s="1"/>
      <c r="AM6546" s="1"/>
    </row>
    <row r="6547" spans="16:39" x14ac:dyDescent="0.25">
      <c r="P6547" s="49"/>
      <c r="Q6547" s="1"/>
      <c r="S6547" s="1"/>
      <c r="T6547" s="1"/>
      <c r="U6547" s="1"/>
      <c r="V6547" s="1"/>
      <c r="W6547" s="1"/>
      <c r="X6547" s="1"/>
      <c r="Y6547" s="1"/>
      <c r="AB6547" s="1"/>
      <c r="AC6547" s="1"/>
      <c r="AD6547" s="1"/>
      <c r="AE6547" s="1"/>
      <c r="AF6547" s="1"/>
      <c r="AG6547" s="1"/>
      <c r="AH6547" s="1"/>
      <c r="AI6547" s="1"/>
      <c r="AJ6547" s="1"/>
      <c r="AK6547" s="1"/>
      <c r="AL6547" s="1"/>
      <c r="AM6547" s="1"/>
    </row>
    <row r="6548" spans="16:39" x14ac:dyDescent="0.25">
      <c r="P6548" s="49"/>
      <c r="Q6548" s="1"/>
      <c r="S6548" s="1"/>
      <c r="T6548" s="1"/>
      <c r="U6548" s="1"/>
      <c r="V6548" s="1"/>
      <c r="W6548" s="1"/>
      <c r="X6548" s="1"/>
      <c r="Y6548" s="1"/>
      <c r="AB6548" s="1"/>
      <c r="AC6548" s="1"/>
      <c r="AD6548" s="1"/>
      <c r="AE6548" s="1"/>
      <c r="AF6548" s="1"/>
      <c r="AG6548" s="1"/>
      <c r="AH6548" s="1"/>
      <c r="AI6548" s="1"/>
      <c r="AJ6548" s="1"/>
      <c r="AK6548" s="1"/>
      <c r="AL6548" s="1"/>
      <c r="AM6548" s="1"/>
    </row>
    <row r="6549" spans="16:39" x14ac:dyDescent="0.25">
      <c r="P6549" s="49"/>
      <c r="Q6549" s="1"/>
      <c r="S6549" s="1"/>
      <c r="T6549" s="1"/>
      <c r="U6549" s="1"/>
      <c r="V6549" s="1"/>
      <c r="W6549" s="1"/>
      <c r="X6549" s="1"/>
      <c r="Y6549" s="1"/>
      <c r="AB6549" s="1"/>
      <c r="AC6549" s="1"/>
      <c r="AD6549" s="1"/>
      <c r="AE6549" s="1"/>
      <c r="AF6549" s="1"/>
      <c r="AG6549" s="1"/>
      <c r="AH6549" s="1"/>
      <c r="AI6549" s="1"/>
      <c r="AJ6549" s="1"/>
      <c r="AK6549" s="1"/>
      <c r="AL6549" s="1"/>
      <c r="AM6549" s="1"/>
    </row>
    <row r="6550" spans="16:39" x14ac:dyDescent="0.25">
      <c r="P6550" s="49"/>
      <c r="Q6550" s="1"/>
      <c r="S6550" s="1"/>
      <c r="T6550" s="1"/>
      <c r="U6550" s="1"/>
      <c r="V6550" s="1"/>
      <c r="W6550" s="1"/>
      <c r="X6550" s="1"/>
      <c r="Y6550" s="1"/>
      <c r="AB6550" s="1"/>
      <c r="AC6550" s="1"/>
      <c r="AD6550" s="1"/>
      <c r="AE6550" s="1"/>
      <c r="AF6550" s="1"/>
      <c r="AG6550" s="1"/>
      <c r="AH6550" s="1"/>
      <c r="AI6550" s="1"/>
      <c r="AJ6550" s="1"/>
      <c r="AK6550" s="1"/>
      <c r="AL6550" s="1"/>
      <c r="AM6550" s="1"/>
    </row>
    <row r="6551" spans="16:39" x14ac:dyDescent="0.25">
      <c r="P6551" s="49"/>
      <c r="Q6551" s="1"/>
      <c r="S6551" s="1"/>
      <c r="T6551" s="1"/>
      <c r="U6551" s="1"/>
      <c r="V6551" s="1"/>
      <c r="W6551" s="1"/>
      <c r="X6551" s="1"/>
      <c r="Y6551" s="1"/>
      <c r="AB6551" s="1"/>
      <c r="AC6551" s="1"/>
      <c r="AD6551" s="1"/>
      <c r="AE6551" s="1"/>
      <c r="AF6551" s="1"/>
      <c r="AG6551" s="1"/>
      <c r="AH6551" s="1"/>
      <c r="AI6551" s="1"/>
      <c r="AJ6551" s="1"/>
      <c r="AK6551" s="1"/>
      <c r="AL6551" s="1"/>
      <c r="AM6551" s="1"/>
    </row>
    <row r="6552" spans="16:39" x14ac:dyDescent="0.25">
      <c r="P6552" s="49"/>
      <c r="Q6552" s="1"/>
      <c r="S6552" s="1"/>
      <c r="T6552" s="1"/>
      <c r="U6552" s="1"/>
      <c r="V6552" s="1"/>
      <c r="W6552" s="1"/>
      <c r="X6552" s="1"/>
      <c r="Y6552" s="1"/>
      <c r="AB6552" s="1"/>
      <c r="AC6552" s="1"/>
      <c r="AD6552" s="1"/>
      <c r="AE6552" s="1"/>
      <c r="AF6552" s="1"/>
      <c r="AG6552" s="1"/>
      <c r="AH6552" s="1"/>
      <c r="AI6552" s="1"/>
      <c r="AJ6552" s="1"/>
      <c r="AK6552" s="1"/>
      <c r="AL6552" s="1"/>
      <c r="AM6552" s="1"/>
    </row>
    <row r="6553" spans="16:39" x14ac:dyDescent="0.25">
      <c r="P6553" s="49"/>
      <c r="Q6553" s="1"/>
      <c r="S6553" s="1"/>
      <c r="T6553" s="1"/>
      <c r="U6553" s="1"/>
      <c r="V6553" s="1"/>
      <c r="W6553" s="1"/>
      <c r="X6553" s="1"/>
      <c r="Y6553" s="1"/>
      <c r="AB6553" s="1"/>
      <c r="AC6553" s="1"/>
      <c r="AD6553" s="1"/>
      <c r="AE6553" s="1"/>
      <c r="AF6553" s="1"/>
      <c r="AG6553" s="1"/>
      <c r="AH6553" s="1"/>
      <c r="AI6553" s="1"/>
      <c r="AJ6553" s="1"/>
      <c r="AK6553" s="1"/>
      <c r="AL6553" s="1"/>
      <c r="AM6553" s="1"/>
    </row>
    <row r="6554" spans="16:39" x14ac:dyDescent="0.25">
      <c r="P6554" s="49"/>
      <c r="Q6554" s="1"/>
      <c r="S6554" s="1"/>
      <c r="T6554" s="1"/>
      <c r="U6554" s="1"/>
      <c r="V6554" s="1"/>
      <c r="W6554" s="1"/>
      <c r="X6554" s="1"/>
      <c r="Y6554" s="1"/>
      <c r="AB6554" s="1"/>
      <c r="AC6554" s="1"/>
      <c r="AD6554" s="1"/>
      <c r="AE6554" s="1"/>
      <c r="AF6554" s="1"/>
      <c r="AG6554" s="1"/>
      <c r="AH6554" s="1"/>
      <c r="AI6554" s="1"/>
      <c r="AJ6554" s="1"/>
      <c r="AK6554" s="1"/>
      <c r="AL6554" s="1"/>
      <c r="AM6554" s="1"/>
    </row>
    <row r="6555" spans="16:39" x14ac:dyDescent="0.25">
      <c r="P6555" s="49"/>
      <c r="Q6555" s="1"/>
      <c r="S6555" s="1"/>
      <c r="T6555" s="1"/>
      <c r="U6555" s="1"/>
      <c r="V6555" s="1"/>
      <c r="W6555" s="1"/>
      <c r="X6555" s="1"/>
      <c r="Y6555" s="1"/>
      <c r="AB6555" s="1"/>
      <c r="AC6555" s="1"/>
      <c r="AD6555" s="1"/>
      <c r="AE6555" s="1"/>
      <c r="AF6555" s="1"/>
      <c r="AG6555" s="1"/>
      <c r="AH6555" s="1"/>
      <c r="AI6555" s="1"/>
      <c r="AJ6555" s="1"/>
      <c r="AK6555" s="1"/>
      <c r="AL6555" s="1"/>
      <c r="AM6555" s="1"/>
    </row>
    <row r="6556" spans="16:39" x14ac:dyDescent="0.25">
      <c r="P6556" s="49"/>
      <c r="Q6556" s="1"/>
      <c r="S6556" s="1"/>
      <c r="T6556" s="1"/>
      <c r="U6556" s="1"/>
      <c r="V6556" s="1"/>
      <c r="W6556" s="1"/>
      <c r="X6556" s="1"/>
      <c r="Y6556" s="1"/>
      <c r="AB6556" s="1"/>
      <c r="AC6556" s="1"/>
      <c r="AD6556" s="1"/>
      <c r="AE6556" s="1"/>
      <c r="AF6556" s="1"/>
      <c r="AG6556" s="1"/>
      <c r="AH6556" s="1"/>
      <c r="AI6556" s="1"/>
      <c r="AJ6556" s="1"/>
      <c r="AK6556" s="1"/>
      <c r="AL6556" s="1"/>
      <c r="AM6556" s="1"/>
    </row>
    <row r="6557" spans="16:39" x14ac:dyDescent="0.25">
      <c r="P6557" s="49"/>
      <c r="Q6557" s="1"/>
      <c r="S6557" s="1"/>
      <c r="T6557" s="1"/>
      <c r="U6557" s="1"/>
      <c r="V6557" s="1"/>
      <c r="W6557" s="1"/>
      <c r="X6557" s="1"/>
      <c r="Y6557" s="1"/>
      <c r="AB6557" s="1"/>
      <c r="AC6557" s="1"/>
      <c r="AD6557" s="1"/>
      <c r="AE6557" s="1"/>
      <c r="AF6557" s="1"/>
      <c r="AG6557" s="1"/>
      <c r="AH6557" s="1"/>
      <c r="AI6557" s="1"/>
      <c r="AJ6557" s="1"/>
      <c r="AK6557" s="1"/>
      <c r="AL6557" s="1"/>
      <c r="AM6557" s="1"/>
    </row>
    <row r="6558" spans="16:39" x14ac:dyDescent="0.25">
      <c r="P6558" s="49"/>
      <c r="Q6558" s="1"/>
      <c r="S6558" s="1"/>
      <c r="T6558" s="1"/>
      <c r="U6558" s="1"/>
      <c r="V6558" s="1"/>
      <c r="W6558" s="1"/>
      <c r="X6558" s="1"/>
      <c r="Y6558" s="1"/>
      <c r="AB6558" s="1"/>
      <c r="AC6558" s="1"/>
      <c r="AD6558" s="1"/>
      <c r="AE6558" s="1"/>
      <c r="AF6558" s="1"/>
      <c r="AG6558" s="1"/>
      <c r="AH6558" s="1"/>
      <c r="AI6558" s="1"/>
      <c r="AJ6558" s="1"/>
      <c r="AK6558" s="1"/>
      <c r="AL6558" s="1"/>
      <c r="AM6558" s="1"/>
    </row>
    <row r="6559" spans="16:39" x14ac:dyDescent="0.25">
      <c r="P6559" s="49"/>
      <c r="Q6559" s="1"/>
      <c r="S6559" s="1"/>
      <c r="T6559" s="1"/>
      <c r="U6559" s="1"/>
      <c r="V6559" s="1"/>
      <c r="W6559" s="1"/>
      <c r="X6559" s="1"/>
      <c r="Y6559" s="1"/>
      <c r="AB6559" s="1"/>
      <c r="AC6559" s="1"/>
      <c r="AD6559" s="1"/>
      <c r="AE6559" s="1"/>
      <c r="AF6559" s="1"/>
      <c r="AG6559" s="1"/>
      <c r="AH6559" s="1"/>
      <c r="AI6559" s="1"/>
      <c r="AJ6559" s="1"/>
      <c r="AK6559" s="1"/>
      <c r="AL6559" s="1"/>
      <c r="AM6559" s="1"/>
    </row>
    <row r="6560" spans="16:39" x14ac:dyDescent="0.25">
      <c r="P6560" s="49"/>
      <c r="Q6560" s="1"/>
      <c r="S6560" s="1"/>
      <c r="T6560" s="1"/>
      <c r="U6560" s="1"/>
      <c r="V6560" s="1"/>
      <c r="W6560" s="1"/>
      <c r="X6560" s="1"/>
      <c r="Y6560" s="1"/>
      <c r="AB6560" s="1"/>
      <c r="AC6560" s="1"/>
      <c r="AD6560" s="1"/>
      <c r="AE6560" s="1"/>
      <c r="AF6560" s="1"/>
      <c r="AG6560" s="1"/>
      <c r="AH6560" s="1"/>
      <c r="AI6560" s="1"/>
      <c r="AJ6560" s="1"/>
      <c r="AK6560" s="1"/>
      <c r="AL6560" s="1"/>
      <c r="AM6560" s="1"/>
    </row>
    <row r="6561" spans="16:39" x14ac:dyDescent="0.25">
      <c r="P6561" s="49"/>
      <c r="Q6561" s="1"/>
      <c r="S6561" s="1"/>
      <c r="T6561" s="1"/>
      <c r="U6561" s="1"/>
      <c r="V6561" s="1"/>
      <c r="W6561" s="1"/>
      <c r="X6561" s="1"/>
      <c r="Y6561" s="1"/>
      <c r="AB6561" s="1"/>
      <c r="AC6561" s="1"/>
      <c r="AD6561" s="1"/>
      <c r="AE6561" s="1"/>
      <c r="AF6561" s="1"/>
      <c r="AG6561" s="1"/>
      <c r="AH6561" s="1"/>
      <c r="AI6561" s="1"/>
      <c r="AJ6561" s="1"/>
      <c r="AK6561" s="1"/>
      <c r="AL6561" s="1"/>
      <c r="AM6561" s="1"/>
    </row>
    <row r="6562" spans="16:39" x14ac:dyDescent="0.25">
      <c r="P6562" s="49"/>
      <c r="Q6562" s="1"/>
      <c r="S6562" s="1"/>
      <c r="T6562" s="1"/>
      <c r="U6562" s="1"/>
      <c r="V6562" s="1"/>
      <c r="W6562" s="1"/>
      <c r="X6562" s="1"/>
      <c r="Y6562" s="1"/>
      <c r="AB6562" s="1"/>
      <c r="AC6562" s="1"/>
      <c r="AD6562" s="1"/>
      <c r="AE6562" s="1"/>
      <c r="AF6562" s="1"/>
      <c r="AG6562" s="1"/>
      <c r="AH6562" s="1"/>
      <c r="AI6562" s="1"/>
      <c r="AJ6562" s="1"/>
      <c r="AK6562" s="1"/>
      <c r="AL6562" s="1"/>
      <c r="AM6562" s="1"/>
    </row>
    <row r="6563" spans="16:39" x14ac:dyDescent="0.25">
      <c r="P6563" s="49"/>
      <c r="Q6563" s="1"/>
      <c r="S6563" s="1"/>
      <c r="T6563" s="1"/>
      <c r="U6563" s="1"/>
      <c r="V6563" s="1"/>
      <c r="W6563" s="1"/>
      <c r="X6563" s="1"/>
      <c r="Y6563" s="1"/>
      <c r="AB6563" s="1"/>
      <c r="AC6563" s="1"/>
      <c r="AD6563" s="1"/>
      <c r="AE6563" s="1"/>
      <c r="AF6563" s="1"/>
      <c r="AG6563" s="1"/>
      <c r="AH6563" s="1"/>
      <c r="AI6563" s="1"/>
      <c r="AJ6563" s="1"/>
      <c r="AK6563" s="1"/>
      <c r="AL6563" s="1"/>
      <c r="AM6563" s="1"/>
    </row>
    <row r="6564" spans="16:39" x14ac:dyDescent="0.25">
      <c r="P6564" s="49"/>
      <c r="Q6564" s="1"/>
      <c r="S6564" s="1"/>
      <c r="T6564" s="1"/>
      <c r="U6564" s="1"/>
      <c r="V6564" s="1"/>
      <c r="W6564" s="1"/>
      <c r="X6564" s="1"/>
      <c r="Y6564" s="1"/>
      <c r="AB6564" s="1"/>
      <c r="AC6564" s="1"/>
      <c r="AD6564" s="1"/>
      <c r="AE6564" s="1"/>
      <c r="AF6564" s="1"/>
      <c r="AG6564" s="1"/>
      <c r="AH6564" s="1"/>
      <c r="AI6564" s="1"/>
      <c r="AJ6564" s="1"/>
      <c r="AK6564" s="1"/>
      <c r="AL6564" s="1"/>
      <c r="AM6564" s="1"/>
    </row>
    <row r="6565" spans="16:39" x14ac:dyDescent="0.25">
      <c r="P6565" s="49"/>
      <c r="Q6565" s="1"/>
      <c r="S6565" s="1"/>
      <c r="T6565" s="1"/>
      <c r="U6565" s="1"/>
      <c r="V6565" s="1"/>
      <c r="W6565" s="1"/>
      <c r="X6565" s="1"/>
      <c r="Y6565" s="1"/>
      <c r="AB6565" s="1"/>
      <c r="AC6565" s="1"/>
      <c r="AD6565" s="1"/>
      <c r="AE6565" s="1"/>
      <c r="AF6565" s="1"/>
      <c r="AG6565" s="1"/>
      <c r="AH6565" s="1"/>
      <c r="AI6565" s="1"/>
      <c r="AJ6565" s="1"/>
      <c r="AK6565" s="1"/>
      <c r="AL6565" s="1"/>
      <c r="AM6565" s="1"/>
    </row>
    <row r="6566" spans="16:39" x14ac:dyDescent="0.25">
      <c r="P6566" s="49"/>
      <c r="Q6566" s="1"/>
      <c r="S6566" s="1"/>
      <c r="T6566" s="1"/>
      <c r="U6566" s="1"/>
      <c r="V6566" s="1"/>
      <c r="W6566" s="1"/>
      <c r="X6566" s="1"/>
      <c r="Y6566" s="1"/>
      <c r="AB6566" s="1"/>
      <c r="AC6566" s="1"/>
      <c r="AD6566" s="1"/>
      <c r="AE6566" s="1"/>
      <c r="AF6566" s="1"/>
      <c r="AG6566" s="1"/>
      <c r="AH6566" s="1"/>
      <c r="AI6566" s="1"/>
      <c r="AJ6566" s="1"/>
      <c r="AK6566" s="1"/>
      <c r="AL6566" s="1"/>
      <c r="AM6566" s="1"/>
    </row>
    <row r="6567" spans="16:39" x14ac:dyDescent="0.25">
      <c r="P6567" s="49"/>
      <c r="Q6567" s="1"/>
      <c r="S6567" s="1"/>
      <c r="T6567" s="1"/>
      <c r="U6567" s="1"/>
      <c r="V6567" s="1"/>
      <c r="W6567" s="1"/>
      <c r="X6567" s="1"/>
      <c r="Y6567" s="1"/>
      <c r="AB6567" s="1"/>
      <c r="AC6567" s="1"/>
      <c r="AD6567" s="1"/>
      <c r="AE6567" s="1"/>
      <c r="AF6567" s="1"/>
      <c r="AG6567" s="1"/>
      <c r="AH6567" s="1"/>
      <c r="AI6567" s="1"/>
      <c r="AJ6567" s="1"/>
      <c r="AK6567" s="1"/>
      <c r="AL6567" s="1"/>
      <c r="AM6567" s="1"/>
    </row>
    <row r="6568" spans="16:39" x14ac:dyDescent="0.25">
      <c r="P6568" s="49"/>
      <c r="Q6568" s="1"/>
      <c r="S6568" s="1"/>
      <c r="T6568" s="1"/>
      <c r="U6568" s="1"/>
      <c r="V6568" s="1"/>
      <c r="W6568" s="1"/>
      <c r="X6568" s="1"/>
      <c r="Y6568" s="1"/>
      <c r="AB6568" s="1"/>
      <c r="AC6568" s="1"/>
      <c r="AD6568" s="1"/>
      <c r="AE6568" s="1"/>
      <c r="AF6568" s="1"/>
      <c r="AG6568" s="1"/>
      <c r="AH6568" s="1"/>
      <c r="AI6568" s="1"/>
      <c r="AJ6568" s="1"/>
      <c r="AK6568" s="1"/>
      <c r="AL6568" s="1"/>
      <c r="AM6568" s="1"/>
    </row>
    <row r="6569" spans="16:39" x14ac:dyDescent="0.25">
      <c r="P6569" s="49"/>
      <c r="Q6569" s="1"/>
      <c r="S6569" s="1"/>
      <c r="T6569" s="1"/>
      <c r="U6569" s="1"/>
      <c r="V6569" s="1"/>
      <c r="W6569" s="1"/>
      <c r="X6569" s="1"/>
      <c r="Y6569" s="1"/>
      <c r="AB6569" s="1"/>
      <c r="AC6569" s="1"/>
      <c r="AD6569" s="1"/>
      <c r="AE6569" s="1"/>
      <c r="AF6569" s="1"/>
      <c r="AG6569" s="1"/>
      <c r="AH6569" s="1"/>
      <c r="AI6569" s="1"/>
      <c r="AJ6569" s="1"/>
      <c r="AK6569" s="1"/>
      <c r="AL6569" s="1"/>
      <c r="AM6569" s="1"/>
    </row>
    <row r="6570" spans="16:39" x14ac:dyDescent="0.25">
      <c r="P6570" s="49"/>
      <c r="Q6570" s="1"/>
      <c r="S6570" s="1"/>
      <c r="T6570" s="1"/>
      <c r="U6570" s="1"/>
      <c r="V6570" s="1"/>
      <c r="W6570" s="1"/>
      <c r="X6570" s="1"/>
      <c r="Y6570" s="1"/>
      <c r="AB6570" s="1"/>
      <c r="AC6570" s="1"/>
      <c r="AD6570" s="1"/>
      <c r="AE6570" s="1"/>
      <c r="AF6570" s="1"/>
      <c r="AG6570" s="1"/>
      <c r="AH6570" s="1"/>
      <c r="AI6570" s="1"/>
      <c r="AJ6570" s="1"/>
      <c r="AK6570" s="1"/>
      <c r="AL6570" s="1"/>
      <c r="AM6570" s="1"/>
    </row>
    <row r="6571" spans="16:39" x14ac:dyDescent="0.25">
      <c r="P6571" s="49"/>
      <c r="Q6571" s="1"/>
      <c r="S6571" s="1"/>
      <c r="T6571" s="1"/>
      <c r="U6571" s="1"/>
      <c r="V6571" s="1"/>
      <c r="W6571" s="1"/>
      <c r="X6571" s="1"/>
      <c r="Y6571" s="1"/>
      <c r="AB6571" s="1"/>
      <c r="AC6571" s="1"/>
      <c r="AD6571" s="1"/>
      <c r="AE6571" s="1"/>
      <c r="AF6571" s="1"/>
      <c r="AG6571" s="1"/>
      <c r="AH6571" s="1"/>
      <c r="AI6571" s="1"/>
      <c r="AJ6571" s="1"/>
      <c r="AK6571" s="1"/>
      <c r="AL6571" s="1"/>
      <c r="AM6571" s="1"/>
    </row>
    <row r="6572" spans="16:39" x14ac:dyDescent="0.25">
      <c r="P6572" s="49"/>
      <c r="Q6572" s="1"/>
      <c r="S6572" s="1"/>
      <c r="T6572" s="1"/>
      <c r="U6572" s="1"/>
      <c r="V6572" s="1"/>
      <c r="W6572" s="1"/>
      <c r="X6572" s="1"/>
      <c r="Y6572" s="1"/>
      <c r="AB6572" s="1"/>
      <c r="AC6572" s="1"/>
      <c r="AD6572" s="1"/>
      <c r="AE6572" s="1"/>
      <c r="AF6572" s="1"/>
      <c r="AG6572" s="1"/>
      <c r="AH6572" s="1"/>
      <c r="AI6572" s="1"/>
      <c r="AJ6572" s="1"/>
      <c r="AK6572" s="1"/>
      <c r="AL6572" s="1"/>
      <c r="AM6572" s="1"/>
    </row>
    <row r="6573" spans="16:39" x14ac:dyDescent="0.25">
      <c r="P6573" s="49"/>
      <c r="Q6573" s="1"/>
      <c r="S6573" s="1"/>
      <c r="T6573" s="1"/>
      <c r="U6573" s="1"/>
      <c r="V6573" s="1"/>
      <c r="W6573" s="1"/>
      <c r="X6573" s="1"/>
      <c r="Y6573" s="1"/>
      <c r="AB6573" s="1"/>
      <c r="AC6573" s="1"/>
      <c r="AD6573" s="1"/>
      <c r="AE6573" s="1"/>
      <c r="AF6573" s="1"/>
      <c r="AG6573" s="1"/>
      <c r="AH6573" s="1"/>
      <c r="AI6573" s="1"/>
      <c r="AJ6573" s="1"/>
      <c r="AK6573" s="1"/>
      <c r="AL6573" s="1"/>
      <c r="AM6573" s="1"/>
    </row>
    <row r="6574" spans="16:39" x14ac:dyDescent="0.25">
      <c r="P6574" s="49"/>
      <c r="Q6574" s="1"/>
      <c r="S6574" s="1"/>
      <c r="T6574" s="1"/>
      <c r="U6574" s="1"/>
      <c r="V6574" s="1"/>
      <c r="W6574" s="1"/>
      <c r="X6574" s="1"/>
      <c r="Y6574" s="1"/>
      <c r="AB6574" s="1"/>
      <c r="AC6574" s="1"/>
      <c r="AD6574" s="1"/>
      <c r="AE6574" s="1"/>
      <c r="AF6574" s="1"/>
      <c r="AG6574" s="1"/>
      <c r="AH6574" s="1"/>
      <c r="AI6574" s="1"/>
      <c r="AJ6574" s="1"/>
      <c r="AK6574" s="1"/>
      <c r="AL6574" s="1"/>
      <c r="AM6574" s="1"/>
    </row>
    <row r="6575" spans="16:39" x14ac:dyDescent="0.25">
      <c r="P6575" s="49"/>
      <c r="Q6575" s="1"/>
      <c r="S6575" s="1"/>
      <c r="T6575" s="1"/>
      <c r="U6575" s="1"/>
      <c r="V6575" s="1"/>
      <c r="W6575" s="1"/>
      <c r="X6575" s="1"/>
      <c r="Y6575" s="1"/>
      <c r="AB6575" s="1"/>
      <c r="AC6575" s="1"/>
      <c r="AD6575" s="1"/>
      <c r="AE6575" s="1"/>
      <c r="AF6575" s="1"/>
      <c r="AG6575" s="1"/>
      <c r="AH6575" s="1"/>
      <c r="AI6575" s="1"/>
      <c r="AJ6575" s="1"/>
      <c r="AK6575" s="1"/>
      <c r="AL6575" s="1"/>
      <c r="AM6575" s="1"/>
    </row>
    <row r="6576" spans="16:39" x14ac:dyDescent="0.25">
      <c r="P6576" s="49"/>
      <c r="Q6576" s="1"/>
      <c r="S6576" s="1"/>
      <c r="T6576" s="1"/>
      <c r="U6576" s="1"/>
      <c r="V6576" s="1"/>
      <c r="W6576" s="1"/>
      <c r="X6576" s="1"/>
      <c r="Y6576" s="1"/>
      <c r="AB6576" s="1"/>
      <c r="AC6576" s="1"/>
      <c r="AD6576" s="1"/>
      <c r="AE6576" s="1"/>
      <c r="AF6576" s="1"/>
      <c r="AG6576" s="1"/>
      <c r="AH6576" s="1"/>
      <c r="AI6576" s="1"/>
      <c r="AJ6576" s="1"/>
      <c r="AK6576" s="1"/>
      <c r="AL6576" s="1"/>
      <c r="AM6576" s="1"/>
    </row>
    <row r="6577" spans="16:39" x14ac:dyDescent="0.25">
      <c r="P6577" s="49"/>
      <c r="Q6577" s="1"/>
      <c r="S6577" s="1"/>
      <c r="T6577" s="1"/>
      <c r="U6577" s="1"/>
      <c r="V6577" s="1"/>
      <c r="W6577" s="1"/>
      <c r="X6577" s="1"/>
      <c r="Y6577" s="1"/>
      <c r="AB6577" s="1"/>
      <c r="AC6577" s="1"/>
      <c r="AD6577" s="1"/>
      <c r="AE6577" s="1"/>
      <c r="AF6577" s="1"/>
      <c r="AG6577" s="1"/>
      <c r="AH6577" s="1"/>
      <c r="AI6577" s="1"/>
      <c r="AJ6577" s="1"/>
      <c r="AK6577" s="1"/>
      <c r="AL6577" s="1"/>
      <c r="AM6577" s="1"/>
    </row>
    <row r="6578" spans="16:39" x14ac:dyDescent="0.25">
      <c r="P6578" s="49"/>
      <c r="Q6578" s="1"/>
      <c r="S6578" s="1"/>
      <c r="T6578" s="1"/>
      <c r="U6578" s="1"/>
      <c r="V6578" s="1"/>
      <c r="W6578" s="1"/>
      <c r="X6578" s="1"/>
      <c r="Y6578" s="1"/>
      <c r="AB6578" s="1"/>
      <c r="AC6578" s="1"/>
      <c r="AD6578" s="1"/>
      <c r="AE6578" s="1"/>
      <c r="AF6578" s="1"/>
      <c r="AG6578" s="1"/>
      <c r="AH6578" s="1"/>
      <c r="AI6578" s="1"/>
      <c r="AJ6578" s="1"/>
      <c r="AK6578" s="1"/>
      <c r="AL6578" s="1"/>
      <c r="AM6578" s="1"/>
    </row>
    <row r="6579" spans="16:39" x14ac:dyDescent="0.25">
      <c r="P6579" s="49"/>
      <c r="Q6579" s="1"/>
      <c r="S6579" s="1"/>
      <c r="T6579" s="1"/>
      <c r="U6579" s="1"/>
      <c r="V6579" s="1"/>
      <c r="W6579" s="1"/>
      <c r="X6579" s="1"/>
      <c r="Y6579" s="1"/>
      <c r="AB6579" s="1"/>
      <c r="AC6579" s="1"/>
      <c r="AD6579" s="1"/>
      <c r="AE6579" s="1"/>
      <c r="AF6579" s="1"/>
      <c r="AG6579" s="1"/>
      <c r="AH6579" s="1"/>
      <c r="AI6579" s="1"/>
      <c r="AJ6579" s="1"/>
      <c r="AK6579" s="1"/>
      <c r="AL6579" s="1"/>
      <c r="AM6579" s="1"/>
    </row>
    <row r="6580" spans="16:39" x14ac:dyDescent="0.25">
      <c r="P6580" s="49"/>
      <c r="Q6580" s="1"/>
      <c r="S6580" s="1"/>
      <c r="T6580" s="1"/>
      <c r="U6580" s="1"/>
      <c r="V6580" s="1"/>
      <c r="W6580" s="1"/>
      <c r="X6580" s="1"/>
      <c r="Y6580" s="1"/>
      <c r="AB6580" s="1"/>
      <c r="AC6580" s="1"/>
      <c r="AD6580" s="1"/>
      <c r="AE6580" s="1"/>
      <c r="AF6580" s="1"/>
      <c r="AG6580" s="1"/>
      <c r="AH6580" s="1"/>
      <c r="AI6580" s="1"/>
      <c r="AJ6580" s="1"/>
      <c r="AK6580" s="1"/>
      <c r="AL6580" s="1"/>
      <c r="AM6580" s="1"/>
    </row>
    <row r="6581" spans="16:39" x14ac:dyDescent="0.25">
      <c r="P6581" s="49"/>
      <c r="Q6581" s="1"/>
      <c r="S6581" s="1"/>
      <c r="T6581" s="1"/>
      <c r="U6581" s="1"/>
      <c r="V6581" s="1"/>
      <c r="W6581" s="1"/>
      <c r="X6581" s="1"/>
      <c r="Y6581" s="1"/>
      <c r="AB6581" s="1"/>
      <c r="AC6581" s="1"/>
      <c r="AD6581" s="1"/>
      <c r="AE6581" s="1"/>
      <c r="AF6581" s="1"/>
      <c r="AG6581" s="1"/>
      <c r="AH6581" s="1"/>
      <c r="AI6581" s="1"/>
      <c r="AJ6581" s="1"/>
      <c r="AK6581" s="1"/>
      <c r="AL6581" s="1"/>
      <c r="AM6581" s="1"/>
    </row>
    <row r="6582" spans="16:39" x14ac:dyDescent="0.25">
      <c r="P6582" s="49"/>
      <c r="Q6582" s="1"/>
      <c r="S6582" s="1"/>
      <c r="T6582" s="1"/>
      <c r="U6582" s="1"/>
      <c r="V6582" s="1"/>
      <c r="W6582" s="1"/>
      <c r="X6582" s="1"/>
      <c r="Y6582" s="1"/>
      <c r="AB6582" s="1"/>
      <c r="AC6582" s="1"/>
      <c r="AD6582" s="1"/>
      <c r="AE6582" s="1"/>
      <c r="AF6582" s="1"/>
      <c r="AG6582" s="1"/>
      <c r="AH6582" s="1"/>
      <c r="AI6582" s="1"/>
      <c r="AJ6582" s="1"/>
      <c r="AK6582" s="1"/>
      <c r="AL6582" s="1"/>
      <c r="AM6582" s="1"/>
    </row>
    <row r="6583" spans="16:39" x14ac:dyDescent="0.25">
      <c r="P6583" s="49"/>
      <c r="Q6583" s="1"/>
      <c r="S6583" s="1"/>
      <c r="T6583" s="1"/>
      <c r="U6583" s="1"/>
      <c r="V6583" s="1"/>
      <c r="W6583" s="1"/>
      <c r="X6583" s="1"/>
      <c r="Y6583" s="1"/>
      <c r="AB6583" s="1"/>
      <c r="AC6583" s="1"/>
      <c r="AD6583" s="1"/>
      <c r="AE6583" s="1"/>
      <c r="AF6583" s="1"/>
      <c r="AG6583" s="1"/>
      <c r="AH6583" s="1"/>
      <c r="AI6583" s="1"/>
      <c r="AJ6583" s="1"/>
      <c r="AK6583" s="1"/>
      <c r="AL6583" s="1"/>
      <c r="AM6583" s="1"/>
    </row>
    <row r="6584" spans="16:39" x14ac:dyDescent="0.25">
      <c r="P6584" s="49"/>
      <c r="Q6584" s="1"/>
      <c r="S6584" s="1"/>
      <c r="T6584" s="1"/>
      <c r="U6584" s="1"/>
      <c r="V6584" s="1"/>
      <c r="W6584" s="1"/>
      <c r="X6584" s="1"/>
      <c r="Y6584" s="1"/>
      <c r="AB6584" s="1"/>
      <c r="AC6584" s="1"/>
      <c r="AD6584" s="1"/>
      <c r="AE6584" s="1"/>
      <c r="AF6584" s="1"/>
      <c r="AG6584" s="1"/>
      <c r="AH6584" s="1"/>
      <c r="AI6584" s="1"/>
      <c r="AJ6584" s="1"/>
      <c r="AK6584" s="1"/>
      <c r="AL6584" s="1"/>
      <c r="AM6584" s="1"/>
    </row>
    <row r="6585" spans="16:39" x14ac:dyDescent="0.25">
      <c r="P6585" s="49"/>
      <c r="Q6585" s="1"/>
      <c r="S6585" s="1"/>
      <c r="T6585" s="1"/>
      <c r="U6585" s="1"/>
      <c r="V6585" s="1"/>
      <c r="W6585" s="1"/>
      <c r="X6585" s="1"/>
      <c r="Y6585" s="1"/>
      <c r="AB6585" s="1"/>
      <c r="AC6585" s="1"/>
      <c r="AD6585" s="1"/>
      <c r="AE6585" s="1"/>
      <c r="AF6585" s="1"/>
      <c r="AG6585" s="1"/>
      <c r="AH6585" s="1"/>
      <c r="AI6585" s="1"/>
      <c r="AJ6585" s="1"/>
      <c r="AK6585" s="1"/>
      <c r="AL6585" s="1"/>
      <c r="AM6585" s="1"/>
    </row>
    <row r="6586" spans="16:39" x14ac:dyDescent="0.25">
      <c r="P6586" s="49"/>
      <c r="Q6586" s="1"/>
      <c r="S6586" s="1"/>
      <c r="T6586" s="1"/>
      <c r="U6586" s="1"/>
      <c r="V6586" s="1"/>
      <c r="W6586" s="1"/>
      <c r="X6586" s="1"/>
      <c r="Y6586" s="1"/>
      <c r="AB6586" s="1"/>
      <c r="AC6586" s="1"/>
      <c r="AD6586" s="1"/>
      <c r="AE6586" s="1"/>
      <c r="AF6586" s="1"/>
      <c r="AG6586" s="1"/>
      <c r="AH6586" s="1"/>
      <c r="AI6586" s="1"/>
      <c r="AJ6586" s="1"/>
      <c r="AK6586" s="1"/>
      <c r="AL6586" s="1"/>
      <c r="AM6586" s="1"/>
    </row>
    <row r="6587" spans="16:39" x14ac:dyDescent="0.25">
      <c r="P6587" s="49"/>
      <c r="Q6587" s="1"/>
      <c r="S6587" s="1"/>
      <c r="T6587" s="1"/>
      <c r="U6587" s="1"/>
      <c r="V6587" s="1"/>
      <c r="W6587" s="1"/>
      <c r="X6587" s="1"/>
      <c r="Y6587" s="1"/>
      <c r="AB6587" s="1"/>
      <c r="AC6587" s="1"/>
      <c r="AD6587" s="1"/>
      <c r="AE6587" s="1"/>
      <c r="AF6587" s="1"/>
      <c r="AG6587" s="1"/>
      <c r="AH6587" s="1"/>
      <c r="AI6587" s="1"/>
      <c r="AJ6587" s="1"/>
      <c r="AK6587" s="1"/>
      <c r="AL6587" s="1"/>
      <c r="AM6587" s="1"/>
    </row>
    <row r="6588" spans="16:39" x14ac:dyDescent="0.25">
      <c r="P6588" s="49"/>
      <c r="Q6588" s="1"/>
      <c r="S6588" s="1"/>
      <c r="T6588" s="1"/>
      <c r="U6588" s="1"/>
      <c r="V6588" s="1"/>
      <c r="W6588" s="1"/>
      <c r="X6588" s="1"/>
      <c r="Y6588" s="1"/>
      <c r="AB6588" s="1"/>
      <c r="AC6588" s="1"/>
      <c r="AD6588" s="1"/>
      <c r="AE6588" s="1"/>
      <c r="AF6588" s="1"/>
      <c r="AG6588" s="1"/>
      <c r="AH6588" s="1"/>
      <c r="AI6588" s="1"/>
      <c r="AJ6588" s="1"/>
      <c r="AK6588" s="1"/>
      <c r="AL6588" s="1"/>
      <c r="AM6588" s="1"/>
    </row>
    <row r="6589" spans="16:39" x14ac:dyDescent="0.25">
      <c r="P6589" s="49"/>
      <c r="Q6589" s="1"/>
      <c r="S6589" s="1"/>
      <c r="T6589" s="1"/>
      <c r="U6589" s="1"/>
      <c r="V6589" s="1"/>
      <c r="W6589" s="1"/>
      <c r="X6589" s="1"/>
      <c r="Y6589" s="1"/>
      <c r="AB6589" s="1"/>
      <c r="AC6589" s="1"/>
      <c r="AD6589" s="1"/>
      <c r="AE6589" s="1"/>
      <c r="AF6589" s="1"/>
      <c r="AG6589" s="1"/>
      <c r="AH6589" s="1"/>
      <c r="AI6589" s="1"/>
      <c r="AJ6589" s="1"/>
      <c r="AK6589" s="1"/>
      <c r="AL6589" s="1"/>
      <c r="AM6589" s="1"/>
    </row>
    <row r="6590" spans="16:39" x14ac:dyDescent="0.25">
      <c r="P6590" s="49"/>
      <c r="Q6590" s="1"/>
      <c r="S6590" s="1"/>
      <c r="T6590" s="1"/>
      <c r="U6590" s="1"/>
      <c r="V6590" s="1"/>
      <c r="W6590" s="1"/>
      <c r="X6590" s="1"/>
      <c r="Y6590" s="1"/>
      <c r="AB6590" s="1"/>
      <c r="AC6590" s="1"/>
      <c r="AD6590" s="1"/>
      <c r="AE6590" s="1"/>
      <c r="AF6590" s="1"/>
      <c r="AG6590" s="1"/>
      <c r="AH6590" s="1"/>
      <c r="AI6590" s="1"/>
      <c r="AJ6590" s="1"/>
      <c r="AK6590" s="1"/>
      <c r="AL6590" s="1"/>
      <c r="AM6590" s="1"/>
    </row>
    <row r="6591" spans="16:39" x14ac:dyDescent="0.25">
      <c r="P6591" s="49"/>
      <c r="Q6591" s="1"/>
      <c r="S6591" s="1"/>
      <c r="T6591" s="1"/>
      <c r="U6591" s="1"/>
      <c r="V6591" s="1"/>
      <c r="W6591" s="1"/>
      <c r="X6591" s="1"/>
      <c r="Y6591" s="1"/>
      <c r="AB6591" s="1"/>
      <c r="AC6591" s="1"/>
      <c r="AD6591" s="1"/>
      <c r="AE6591" s="1"/>
      <c r="AF6591" s="1"/>
      <c r="AG6591" s="1"/>
      <c r="AH6591" s="1"/>
      <c r="AI6591" s="1"/>
      <c r="AJ6591" s="1"/>
      <c r="AK6591" s="1"/>
      <c r="AL6591" s="1"/>
      <c r="AM6591" s="1"/>
    </row>
    <row r="6592" spans="16:39" x14ac:dyDescent="0.25">
      <c r="P6592" s="49"/>
      <c r="Q6592" s="1"/>
      <c r="S6592" s="1"/>
      <c r="T6592" s="1"/>
      <c r="U6592" s="1"/>
      <c r="V6592" s="1"/>
      <c r="W6592" s="1"/>
      <c r="X6592" s="1"/>
      <c r="Y6592" s="1"/>
      <c r="AB6592" s="1"/>
      <c r="AC6592" s="1"/>
      <c r="AD6592" s="1"/>
      <c r="AE6592" s="1"/>
      <c r="AF6592" s="1"/>
      <c r="AG6592" s="1"/>
      <c r="AH6592" s="1"/>
      <c r="AI6592" s="1"/>
      <c r="AJ6592" s="1"/>
      <c r="AK6592" s="1"/>
      <c r="AL6592" s="1"/>
      <c r="AM6592" s="1"/>
    </row>
    <row r="6593" spans="16:39" x14ac:dyDescent="0.25">
      <c r="P6593" s="49"/>
      <c r="Q6593" s="1"/>
      <c r="S6593" s="1"/>
      <c r="T6593" s="1"/>
      <c r="U6593" s="1"/>
      <c r="V6593" s="1"/>
      <c r="W6593" s="1"/>
      <c r="X6593" s="1"/>
      <c r="Y6593" s="1"/>
      <c r="AB6593" s="1"/>
      <c r="AC6593" s="1"/>
      <c r="AD6593" s="1"/>
      <c r="AE6593" s="1"/>
      <c r="AF6593" s="1"/>
      <c r="AG6593" s="1"/>
      <c r="AH6593" s="1"/>
      <c r="AI6593" s="1"/>
      <c r="AJ6593" s="1"/>
      <c r="AK6593" s="1"/>
      <c r="AL6593" s="1"/>
      <c r="AM6593" s="1"/>
    </row>
    <row r="6594" spans="16:39" x14ac:dyDescent="0.25">
      <c r="P6594" s="49"/>
      <c r="Q6594" s="1"/>
      <c r="S6594" s="1"/>
      <c r="T6594" s="1"/>
      <c r="U6594" s="1"/>
      <c r="V6594" s="1"/>
      <c r="W6594" s="1"/>
      <c r="X6594" s="1"/>
      <c r="Y6594" s="1"/>
      <c r="AB6594" s="1"/>
      <c r="AC6594" s="1"/>
      <c r="AD6594" s="1"/>
      <c r="AE6594" s="1"/>
      <c r="AF6594" s="1"/>
      <c r="AG6594" s="1"/>
      <c r="AH6594" s="1"/>
      <c r="AI6594" s="1"/>
      <c r="AJ6594" s="1"/>
      <c r="AK6594" s="1"/>
      <c r="AL6594" s="1"/>
      <c r="AM6594" s="1"/>
    </row>
    <row r="6595" spans="16:39" x14ac:dyDescent="0.25">
      <c r="P6595" s="49"/>
      <c r="Q6595" s="1"/>
      <c r="S6595" s="1"/>
      <c r="T6595" s="1"/>
      <c r="U6595" s="1"/>
      <c r="V6595" s="1"/>
      <c r="W6595" s="1"/>
      <c r="X6595" s="1"/>
      <c r="Y6595" s="1"/>
      <c r="AB6595" s="1"/>
      <c r="AC6595" s="1"/>
      <c r="AD6595" s="1"/>
      <c r="AE6595" s="1"/>
      <c r="AF6595" s="1"/>
      <c r="AG6595" s="1"/>
      <c r="AH6595" s="1"/>
      <c r="AI6595" s="1"/>
      <c r="AJ6595" s="1"/>
      <c r="AK6595" s="1"/>
      <c r="AL6595" s="1"/>
      <c r="AM6595" s="1"/>
    </row>
    <row r="6596" spans="16:39" x14ac:dyDescent="0.25">
      <c r="P6596" s="49"/>
      <c r="Q6596" s="1"/>
      <c r="S6596" s="1"/>
      <c r="T6596" s="1"/>
      <c r="U6596" s="1"/>
      <c r="V6596" s="1"/>
      <c r="W6596" s="1"/>
      <c r="X6596" s="1"/>
      <c r="Y6596" s="1"/>
      <c r="AB6596" s="1"/>
      <c r="AC6596" s="1"/>
      <c r="AD6596" s="1"/>
      <c r="AE6596" s="1"/>
      <c r="AF6596" s="1"/>
      <c r="AG6596" s="1"/>
      <c r="AH6596" s="1"/>
      <c r="AI6596" s="1"/>
      <c r="AJ6596" s="1"/>
      <c r="AK6596" s="1"/>
      <c r="AL6596" s="1"/>
      <c r="AM6596" s="1"/>
    </row>
    <row r="6597" spans="16:39" x14ac:dyDescent="0.25">
      <c r="P6597" s="49"/>
      <c r="Q6597" s="1"/>
      <c r="S6597" s="1"/>
      <c r="T6597" s="1"/>
      <c r="U6597" s="1"/>
      <c r="V6597" s="1"/>
      <c r="W6597" s="1"/>
      <c r="X6597" s="1"/>
      <c r="Y6597" s="1"/>
      <c r="AB6597" s="1"/>
      <c r="AC6597" s="1"/>
      <c r="AD6597" s="1"/>
      <c r="AE6597" s="1"/>
      <c r="AF6597" s="1"/>
      <c r="AG6597" s="1"/>
      <c r="AH6597" s="1"/>
      <c r="AI6597" s="1"/>
      <c r="AJ6597" s="1"/>
      <c r="AK6597" s="1"/>
      <c r="AL6597" s="1"/>
      <c r="AM6597" s="1"/>
    </row>
    <row r="6598" spans="16:39" x14ac:dyDescent="0.25">
      <c r="P6598" s="49"/>
      <c r="Q6598" s="1"/>
      <c r="S6598" s="1"/>
      <c r="T6598" s="1"/>
      <c r="U6598" s="1"/>
      <c r="V6598" s="1"/>
      <c r="W6598" s="1"/>
      <c r="X6598" s="1"/>
      <c r="Y6598" s="1"/>
      <c r="AB6598" s="1"/>
      <c r="AC6598" s="1"/>
      <c r="AD6598" s="1"/>
      <c r="AE6598" s="1"/>
      <c r="AF6598" s="1"/>
      <c r="AG6598" s="1"/>
      <c r="AH6598" s="1"/>
      <c r="AI6598" s="1"/>
      <c r="AJ6598" s="1"/>
      <c r="AK6598" s="1"/>
      <c r="AL6598" s="1"/>
      <c r="AM6598" s="1"/>
    </row>
    <row r="6599" spans="16:39" x14ac:dyDescent="0.25">
      <c r="P6599" s="49"/>
      <c r="Q6599" s="1"/>
      <c r="S6599" s="1"/>
      <c r="T6599" s="1"/>
      <c r="U6599" s="1"/>
      <c r="V6599" s="1"/>
      <c r="W6599" s="1"/>
      <c r="X6599" s="1"/>
      <c r="Y6599" s="1"/>
      <c r="AB6599" s="1"/>
      <c r="AC6599" s="1"/>
      <c r="AD6599" s="1"/>
      <c r="AE6599" s="1"/>
      <c r="AF6599" s="1"/>
      <c r="AG6599" s="1"/>
      <c r="AH6599" s="1"/>
      <c r="AI6599" s="1"/>
      <c r="AJ6599" s="1"/>
      <c r="AK6599" s="1"/>
      <c r="AL6599" s="1"/>
      <c r="AM6599" s="1"/>
    </row>
    <row r="6600" spans="16:39" x14ac:dyDescent="0.25">
      <c r="P6600" s="49"/>
      <c r="Q6600" s="1"/>
      <c r="S6600" s="1"/>
      <c r="T6600" s="1"/>
      <c r="U6600" s="1"/>
      <c r="V6600" s="1"/>
      <c r="W6600" s="1"/>
      <c r="X6600" s="1"/>
      <c r="Y6600" s="1"/>
      <c r="AB6600" s="1"/>
      <c r="AC6600" s="1"/>
      <c r="AD6600" s="1"/>
      <c r="AE6600" s="1"/>
      <c r="AF6600" s="1"/>
      <c r="AG6600" s="1"/>
      <c r="AH6600" s="1"/>
      <c r="AI6600" s="1"/>
      <c r="AJ6600" s="1"/>
      <c r="AK6600" s="1"/>
      <c r="AL6600" s="1"/>
      <c r="AM6600" s="1"/>
    </row>
    <row r="6601" spans="16:39" x14ac:dyDescent="0.25">
      <c r="P6601" s="49"/>
      <c r="Q6601" s="1"/>
      <c r="S6601" s="1"/>
      <c r="T6601" s="1"/>
      <c r="U6601" s="1"/>
      <c r="V6601" s="1"/>
      <c r="W6601" s="1"/>
      <c r="X6601" s="1"/>
      <c r="Y6601" s="1"/>
      <c r="AB6601" s="1"/>
      <c r="AC6601" s="1"/>
      <c r="AD6601" s="1"/>
      <c r="AE6601" s="1"/>
      <c r="AF6601" s="1"/>
      <c r="AG6601" s="1"/>
      <c r="AH6601" s="1"/>
      <c r="AI6601" s="1"/>
      <c r="AJ6601" s="1"/>
      <c r="AK6601" s="1"/>
      <c r="AL6601" s="1"/>
      <c r="AM6601" s="1"/>
    </row>
    <row r="6602" spans="16:39" x14ac:dyDescent="0.25">
      <c r="P6602" s="49"/>
      <c r="Q6602" s="1"/>
      <c r="S6602" s="1"/>
      <c r="T6602" s="1"/>
      <c r="U6602" s="1"/>
      <c r="V6602" s="1"/>
      <c r="W6602" s="1"/>
      <c r="X6602" s="1"/>
      <c r="Y6602" s="1"/>
      <c r="AB6602" s="1"/>
      <c r="AC6602" s="1"/>
      <c r="AD6602" s="1"/>
      <c r="AE6602" s="1"/>
      <c r="AF6602" s="1"/>
      <c r="AG6602" s="1"/>
      <c r="AH6602" s="1"/>
      <c r="AI6602" s="1"/>
      <c r="AJ6602" s="1"/>
      <c r="AK6602" s="1"/>
      <c r="AL6602" s="1"/>
      <c r="AM6602" s="1"/>
    </row>
    <row r="6603" spans="16:39" x14ac:dyDescent="0.25">
      <c r="P6603" s="49"/>
      <c r="Q6603" s="1"/>
      <c r="S6603" s="1"/>
      <c r="T6603" s="1"/>
      <c r="U6603" s="1"/>
      <c r="V6603" s="1"/>
      <c r="W6603" s="1"/>
      <c r="X6603" s="1"/>
      <c r="Y6603" s="1"/>
      <c r="AB6603" s="1"/>
      <c r="AC6603" s="1"/>
      <c r="AD6603" s="1"/>
      <c r="AE6603" s="1"/>
      <c r="AF6603" s="1"/>
      <c r="AG6603" s="1"/>
      <c r="AH6603" s="1"/>
      <c r="AI6603" s="1"/>
      <c r="AJ6603" s="1"/>
      <c r="AK6603" s="1"/>
      <c r="AL6603" s="1"/>
      <c r="AM6603" s="1"/>
    </row>
    <row r="6604" spans="16:39" x14ac:dyDescent="0.25">
      <c r="P6604" s="49"/>
      <c r="Q6604" s="1"/>
      <c r="S6604" s="1"/>
      <c r="T6604" s="1"/>
      <c r="U6604" s="1"/>
      <c r="V6604" s="1"/>
      <c r="W6604" s="1"/>
      <c r="X6604" s="1"/>
      <c r="Y6604" s="1"/>
      <c r="AB6604" s="1"/>
      <c r="AC6604" s="1"/>
      <c r="AD6604" s="1"/>
      <c r="AE6604" s="1"/>
      <c r="AF6604" s="1"/>
      <c r="AG6604" s="1"/>
      <c r="AH6604" s="1"/>
      <c r="AI6604" s="1"/>
      <c r="AJ6604" s="1"/>
      <c r="AK6604" s="1"/>
      <c r="AL6604" s="1"/>
      <c r="AM6604" s="1"/>
    </row>
    <row r="6605" spans="16:39" x14ac:dyDescent="0.25">
      <c r="P6605" s="49"/>
      <c r="Q6605" s="1"/>
      <c r="S6605" s="1"/>
      <c r="T6605" s="1"/>
      <c r="U6605" s="1"/>
      <c r="V6605" s="1"/>
      <c r="W6605" s="1"/>
      <c r="X6605" s="1"/>
      <c r="Y6605" s="1"/>
      <c r="AB6605" s="1"/>
      <c r="AC6605" s="1"/>
      <c r="AD6605" s="1"/>
      <c r="AE6605" s="1"/>
      <c r="AF6605" s="1"/>
      <c r="AG6605" s="1"/>
      <c r="AH6605" s="1"/>
      <c r="AI6605" s="1"/>
      <c r="AJ6605" s="1"/>
      <c r="AK6605" s="1"/>
      <c r="AL6605" s="1"/>
      <c r="AM6605" s="1"/>
    </row>
    <row r="6606" spans="16:39" x14ac:dyDescent="0.25">
      <c r="P6606" s="49"/>
      <c r="Q6606" s="1"/>
      <c r="S6606" s="1"/>
      <c r="T6606" s="1"/>
      <c r="U6606" s="1"/>
      <c r="V6606" s="1"/>
      <c r="W6606" s="1"/>
      <c r="X6606" s="1"/>
      <c r="Y6606" s="1"/>
      <c r="AB6606" s="1"/>
      <c r="AC6606" s="1"/>
      <c r="AD6606" s="1"/>
      <c r="AE6606" s="1"/>
      <c r="AF6606" s="1"/>
      <c r="AG6606" s="1"/>
      <c r="AH6606" s="1"/>
      <c r="AI6606" s="1"/>
      <c r="AJ6606" s="1"/>
      <c r="AK6606" s="1"/>
      <c r="AL6606" s="1"/>
      <c r="AM6606" s="1"/>
    </row>
    <row r="6607" spans="16:39" x14ac:dyDescent="0.25">
      <c r="P6607" s="49"/>
      <c r="Q6607" s="1"/>
      <c r="S6607" s="1"/>
      <c r="T6607" s="1"/>
      <c r="U6607" s="1"/>
      <c r="V6607" s="1"/>
      <c r="W6607" s="1"/>
      <c r="X6607" s="1"/>
      <c r="Y6607" s="1"/>
      <c r="AB6607" s="1"/>
      <c r="AC6607" s="1"/>
      <c r="AD6607" s="1"/>
      <c r="AE6607" s="1"/>
      <c r="AF6607" s="1"/>
      <c r="AG6607" s="1"/>
      <c r="AH6607" s="1"/>
      <c r="AI6607" s="1"/>
      <c r="AJ6607" s="1"/>
      <c r="AK6607" s="1"/>
      <c r="AL6607" s="1"/>
      <c r="AM6607" s="1"/>
    </row>
    <row r="6608" spans="16:39" x14ac:dyDescent="0.25">
      <c r="P6608" s="49"/>
      <c r="Q6608" s="1"/>
      <c r="S6608" s="1"/>
      <c r="T6608" s="1"/>
      <c r="U6608" s="1"/>
      <c r="V6608" s="1"/>
      <c r="W6608" s="1"/>
      <c r="X6608" s="1"/>
      <c r="Y6608" s="1"/>
      <c r="AB6608" s="1"/>
      <c r="AC6608" s="1"/>
      <c r="AD6608" s="1"/>
      <c r="AE6608" s="1"/>
      <c r="AF6608" s="1"/>
      <c r="AG6608" s="1"/>
      <c r="AH6608" s="1"/>
      <c r="AI6608" s="1"/>
      <c r="AJ6608" s="1"/>
      <c r="AK6608" s="1"/>
      <c r="AL6608" s="1"/>
      <c r="AM6608" s="1"/>
    </row>
    <row r="6609" spans="16:39" x14ac:dyDescent="0.25">
      <c r="P6609" s="49"/>
      <c r="Q6609" s="1"/>
      <c r="S6609" s="1"/>
      <c r="T6609" s="1"/>
      <c r="U6609" s="1"/>
      <c r="V6609" s="1"/>
      <c r="W6609" s="1"/>
      <c r="X6609" s="1"/>
      <c r="Y6609" s="1"/>
      <c r="AB6609" s="1"/>
      <c r="AC6609" s="1"/>
      <c r="AD6609" s="1"/>
      <c r="AE6609" s="1"/>
      <c r="AF6609" s="1"/>
      <c r="AG6609" s="1"/>
      <c r="AH6609" s="1"/>
      <c r="AI6609" s="1"/>
      <c r="AJ6609" s="1"/>
      <c r="AK6609" s="1"/>
      <c r="AL6609" s="1"/>
      <c r="AM6609" s="1"/>
    </row>
    <row r="6610" spans="16:39" x14ac:dyDescent="0.25">
      <c r="P6610" s="49"/>
      <c r="Q6610" s="1"/>
      <c r="S6610" s="1"/>
      <c r="T6610" s="1"/>
      <c r="U6610" s="1"/>
      <c r="V6610" s="1"/>
      <c r="W6610" s="1"/>
      <c r="X6610" s="1"/>
      <c r="Y6610" s="1"/>
      <c r="AB6610" s="1"/>
      <c r="AC6610" s="1"/>
      <c r="AD6610" s="1"/>
      <c r="AE6610" s="1"/>
      <c r="AF6610" s="1"/>
      <c r="AG6610" s="1"/>
      <c r="AH6610" s="1"/>
      <c r="AI6610" s="1"/>
      <c r="AJ6610" s="1"/>
      <c r="AK6610" s="1"/>
      <c r="AL6610" s="1"/>
      <c r="AM6610" s="1"/>
    </row>
    <row r="6611" spans="16:39" x14ac:dyDescent="0.25">
      <c r="P6611" s="49"/>
      <c r="Q6611" s="1"/>
      <c r="S6611" s="1"/>
      <c r="T6611" s="1"/>
      <c r="U6611" s="1"/>
      <c r="V6611" s="1"/>
      <c r="W6611" s="1"/>
      <c r="X6611" s="1"/>
      <c r="Y6611" s="1"/>
      <c r="AB6611" s="1"/>
      <c r="AC6611" s="1"/>
      <c r="AD6611" s="1"/>
      <c r="AE6611" s="1"/>
      <c r="AF6611" s="1"/>
      <c r="AG6611" s="1"/>
      <c r="AH6611" s="1"/>
      <c r="AI6611" s="1"/>
      <c r="AJ6611" s="1"/>
      <c r="AK6611" s="1"/>
      <c r="AL6611" s="1"/>
      <c r="AM6611" s="1"/>
    </row>
    <row r="6612" spans="16:39" x14ac:dyDescent="0.25">
      <c r="P6612" s="49"/>
      <c r="Q6612" s="1"/>
      <c r="S6612" s="1"/>
      <c r="T6612" s="1"/>
      <c r="U6612" s="1"/>
      <c r="V6612" s="1"/>
      <c r="W6612" s="1"/>
      <c r="X6612" s="1"/>
      <c r="Y6612" s="1"/>
      <c r="AB6612" s="1"/>
      <c r="AC6612" s="1"/>
      <c r="AD6612" s="1"/>
      <c r="AE6612" s="1"/>
      <c r="AF6612" s="1"/>
      <c r="AG6612" s="1"/>
      <c r="AH6612" s="1"/>
      <c r="AI6612" s="1"/>
      <c r="AJ6612" s="1"/>
      <c r="AK6612" s="1"/>
      <c r="AL6612" s="1"/>
      <c r="AM6612" s="1"/>
    </row>
    <row r="6613" spans="16:39" x14ac:dyDescent="0.25">
      <c r="P6613" s="49"/>
      <c r="Q6613" s="1"/>
      <c r="S6613" s="1"/>
      <c r="T6613" s="1"/>
      <c r="U6613" s="1"/>
      <c r="V6613" s="1"/>
      <c r="W6613" s="1"/>
      <c r="X6613" s="1"/>
      <c r="Y6613" s="1"/>
      <c r="AB6613" s="1"/>
      <c r="AC6613" s="1"/>
      <c r="AD6613" s="1"/>
      <c r="AE6613" s="1"/>
      <c r="AF6613" s="1"/>
      <c r="AG6613" s="1"/>
      <c r="AH6613" s="1"/>
      <c r="AI6613" s="1"/>
      <c r="AJ6613" s="1"/>
      <c r="AK6613" s="1"/>
      <c r="AL6613" s="1"/>
      <c r="AM6613" s="1"/>
    </row>
    <row r="6614" spans="16:39" x14ac:dyDescent="0.25">
      <c r="P6614" s="49"/>
      <c r="Q6614" s="1"/>
      <c r="S6614" s="1"/>
      <c r="T6614" s="1"/>
      <c r="U6614" s="1"/>
      <c r="V6614" s="1"/>
      <c r="W6614" s="1"/>
      <c r="X6614" s="1"/>
      <c r="Y6614" s="1"/>
      <c r="AB6614" s="1"/>
      <c r="AC6614" s="1"/>
      <c r="AD6614" s="1"/>
      <c r="AE6614" s="1"/>
      <c r="AF6614" s="1"/>
      <c r="AG6614" s="1"/>
      <c r="AH6614" s="1"/>
      <c r="AI6614" s="1"/>
      <c r="AJ6614" s="1"/>
      <c r="AK6614" s="1"/>
      <c r="AL6614" s="1"/>
      <c r="AM6614" s="1"/>
    </row>
    <row r="6615" spans="16:39" x14ac:dyDescent="0.25">
      <c r="P6615" s="49"/>
      <c r="Q6615" s="1"/>
      <c r="S6615" s="1"/>
      <c r="T6615" s="1"/>
      <c r="U6615" s="1"/>
      <c r="V6615" s="1"/>
      <c r="W6615" s="1"/>
      <c r="X6615" s="1"/>
      <c r="Y6615" s="1"/>
      <c r="AB6615" s="1"/>
      <c r="AC6615" s="1"/>
      <c r="AD6615" s="1"/>
      <c r="AE6615" s="1"/>
      <c r="AF6615" s="1"/>
      <c r="AG6615" s="1"/>
      <c r="AH6615" s="1"/>
      <c r="AI6615" s="1"/>
      <c r="AJ6615" s="1"/>
      <c r="AK6615" s="1"/>
      <c r="AL6615" s="1"/>
      <c r="AM6615" s="1"/>
    </row>
    <row r="6616" spans="16:39" x14ac:dyDescent="0.25">
      <c r="P6616" s="49"/>
      <c r="Q6616" s="1"/>
      <c r="S6616" s="1"/>
      <c r="T6616" s="1"/>
      <c r="U6616" s="1"/>
      <c r="V6616" s="1"/>
      <c r="W6616" s="1"/>
      <c r="X6616" s="1"/>
      <c r="Y6616" s="1"/>
      <c r="AB6616" s="1"/>
      <c r="AC6616" s="1"/>
      <c r="AD6616" s="1"/>
      <c r="AE6616" s="1"/>
      <c r="AF6616" s="1"/>
      <c r="AG6616" s="1"/>
      <c r="AH6616" s="1"/>
      <c r="AI6616" s="1"/>
      <c r="AJ6616" s="1"/>
      <c r="AK6616" s="1"/>
      <c r="AL6616" s="1"/>
      <c r="AM6616" s="1"/>
    </row>
    <row r="6617" spans="16:39" x14ac:dyDescent="0.25">
      <c r="P6617" s="49"/>
      <c r="Q6617" s="1"/>
      <c r="S6617" s="1"/>
      <c r="T6617" s="1"/>
      <c r="U6617" s="1"/>
      <c r="V6617" s="1"/>
      <c r="W6617" s="1"/>
      <c r="X6617" s="1"/>
      <c r="Y6617" s="1"/>
      <c r="AB6617" s="1"/>
      <c r="AC6617" s="1"/>
      <c r="AD6617" s="1"/>
      <c r="AE6617" s="1"/>
      <c r="AF6617" s="1"/>
      <c r="AG6617" s="1"/>
      <c r="AH6617" s="1"/>
      <c r="AI6617" s="1"/>
      <c r="AJ6617" s="1"/>
      <c r="AK6617" s="1"/>
      <c r="AL6617" s="1"/>
      <c r="AM6617" s="1"/>
    </row>
    <row r="6618" spans="16:39" x14ac:dyDescent="0.25">
      <c r="P6618" s="49"/>
      <c r="Q6618" s="1"/>
      <c r="S6618" s="1"/>
      <c r="T6618" s="1"/>
      <c r="U6618" s="1"/>
      <c r="V6618" s="1"/>
      <c r="W6618" s="1"/>
      <c r="X6618" s="1"/>
      <c r="Y6618" s="1"/>
      <c r="AB6618" s="1"/>
      <c r="AC6618" s="1"/>
      <c r="AD6618" s="1"/>
      <c r="AE6618" s="1"/>
      <c r="AF6618" s="1"/>
      <c r="AG6618" s="1"/>
      <c r="AH6618" s="1"/>
      <c r="AI6618" s="1"/>
      <c r="AJ6618" s="1"/>
      <c r="AK6618" s="1"/>
      <c r="AL6618" s="1"/>
      <c r="AM6618" s="1"/>
    </row>
    <row r="6619" spans="16:39" x14ac:dyDescent="0.25">
      <c r="P6619" s="49"/>
      <c r="Q6619" s="1"/>
      <c r="S6619" s="1"/>
      <c r="T6619" s="1"/>
      <c r="U6619" s="1"/>
      <c r="V6619" s="1"/>
      <c r="W6619" s="1"/>
      <c r="X6619" s="1"/>
      <c r="Y6619" s="1"/>
      <c r="AB6619" s="1"/>
      <c r="AC6619" s="1"/>
      <c r="AD6619" s="1"/>
      <c r="AE6619" s="1"/>
      <c r="AF6619" s="1"/>
      <c r="AG6619" s="1"/>
      <c r="AH6619" s="1"/>
      <c r="AI6619" s="1"/>
      <c r="AJ6619" s="1"/>
      <c r="AK6619" s="1"/>
      <c r="AL6619" s="1"/>
      <c r="AM6619" s="1"/>
    </row>
    <row r="6620" spans="16:39" x14ac:dyDescent="0.25">
      <c r="P6620" s="49"/>
      <c r="Q6620" s="1"/>
      <c r="S6620" s="1"/>
      <c r="T6620" s="1"/>
      <c r="U6620" s="1"/>
      <c r="V6620" s="1"/>
      <c r="W6620" s="1"/>
      <c r="X6620" s="1"/>
      <c r="Y6620" s="1"/>
      <c r="AB6620" s="1"/>
      <c r="AC6620" s="1"/>
      <c r="AD6620" s="1"/>
      <c r="AE6620" s="1"/>
      <c r="AF6620" s="1"/>
      <c r="AG6620" s="1"/>
      <c r="AH6620" s="1"/>
      <c r="AI6620" s="1"/>
      <c r="AJ6620" s="1"/>
      <c r="AK6620" s="1"/>
      <c r="AL6620" s="1"/>
      <c r="AM6620" s="1"/>
    </row>
    <row r="6621" spans="16:39" x14ac:dyDescent="0.25">
      <c r="P6621" s="49"/>
      <c r="Q6621" s="1"/>
      <c r="S6621" s="1"/>
      <c r="T6621" s="1"/>
      <c r="U6621" s="1"/>
      <c r="V6621" s="1"/>
      <c r="W6621" s="1"/>
      <c r="X6621" s="1"/>
      <c r="Y6621" s="1"/>
      <c r="AB6621" s="1"/>
      <c r="AC6621" s="1"/>
      <c r="AD6621" s="1"/>
      <c r="AE6621" s="1"/>
      <c r="AF6621" s="1"/>
      <c r="AG6621" s="1"/>
      <c r="AH6621" s="1"/>
      <c r="AI6621" s="1"/>
      <c r="AJ6621" s="1"/>
      <c r="AK6621" s="1"/>
      <c r="AL6621" s="1"/>
      <c r="AM6621" s="1"/>
    </row>
    <row r="6622" spans="16:39" x14ac:dyDescent="0.25">
      <c r="P6622" s="49"/>
      <c r="Q6622" s="1"/>
      <c r="S6622" s="1"/>
      <c r="T6622" s="1"/>
      <c r="U6622" s="1"/>
      <c r="V6622" s="1"/>
      <c r="W6622" s="1"/>
      <c r="X6622" s="1"/>
      <c r="Y6622" s="1"/>
      <c r="AB6622" s="1"/>
      <c r="AC6622" s="1"/>
      <c r="AD6622" s="1"/>
      <c r="AE6622" s="1"/>
      <c r="AF6622" s="1"/>
      <c r="AG6622" s="1"/>
      <c r="AH6622" s="1"/>
      <c r="AI6622" s="1"/>
      <c r="AJ6622" s="1"/>
      <c r="AK6622" s="1"/>
      <c r="AL6622" s="1"/>
      <c r="AM6622" s="1"/>
    </row>
    <row r="6623" spans="16:39" x14ac:dyDescent="0.25">
      <c r="P6623" s="49"/>
      <c r="Q6623" s="1"/>
      <c r="S6623" s="1"/>
      <c r="T6623" s="1"/>
      <c r="U6623" s="1"/>
      <c r="V6623" s="1"/>
      <c r="W6623" s="1"/>
      <c r="X6623" s="1"/>
      <c r="Y6623" s="1"/>
      <c r="AB6623" s="1"/>
      <c r="AC6623" s="1"/>
      <c r="AD6623" s="1"/>
      <c r="AE6623" s="1"/>
      <c r="AF6623" s="1"/>
      <c r="AG6623" s="1"/>
      <c r="AH6623" s="1"/>
      <c r="AI6623" s="1"/>
      <c r="AJ6623" s="1"/>
      <c r="AK6623" s="1"/>
      <c r="AL6623" s="1"/>
      <c r="AM6623" s="1"/>
    </row>
    <row r="6624" spans="16:39" x14ac:dyDescent="0.25">
      <c r="P6624" s="49"/>
      <c r="Q6624" s="1"/>
      <c r="S6624" s="1"/>
      <c r="T6624" s="1"/>
      <c r="U6624" s="1"/>
      <c r="V6624" s="1"/>
      <c r="W6624" s="1"/>
      <c r="X6624" s="1"/>
      <c r="Y6624" s="1"/>
      <c r="AB6624" s="1"/>
      <c r="AC6624" s="1"/>
      <c r="AD6624" s="1"/>
      <c r="AE6624" s="1"/>
      <c r="AF6624" s="1"/>
      <c r="AG6624" s="1"/>
      <c r="AH6624" s="1"/>
      <c r="AI6624" s="1"/>
      <c r="AJ6624" s="1"/>
      <c r="AK6624" s="1"/>
      <c r="AL6624" s="1"/>
      <c r="AM6624" s="1"/>
    </row>
    <row r="6625" spans="16:39" x14ac:dyDescent="0.25">
      <c r="P6625" s="49"/>
      <c r="Q6625" s="1"/>
      <c r="S6625" s="1"/>
      <c r="T6625" s="1"/>
      <c r="U6625" s="1"/>
      <c r="V6625" s="1"/>
      <c r="W6625" s="1"/>
      <c r="X6625" s="1"/>
      <c r="Y6625" s="1"/>
      <c r="AB6625" s="1"/>
      <c r="AC6625" s="1"/>
      <c r="AD6625" s="1"/>
      <c r="AE6625" s="1"/>
      <c r="AF6625" s="1"/>
      <c r="AG6625" s="1"/>
      <c r="AH6625" s="1"/>
      <c r="AI6625" s="1"/>
      <c r="AJ6625" s="1"/>
      <c r="AK6625" s="1"/>
      <c r="AL6625" s="1"/>
      <c r="AM6625" s="1"/>
    </row>
    <row r="6626" spans="16:39" x14ac:dyDescent="0.25">
      <c r="P6626" s="49"/>
      <c r="Q6626" s="1"/>
      <c r="S6626" s="1"/>
      <c r="T6626" s="1"/>
      <c r="U6626" s="1"/>
      <c r="V6626" s="1"/>
      <c r="W6626" s="1"/>
      <c r="X6626" s="1"/>
      <c r="Y6626" s="1"/>
      <c r="AB6626" s="1"/>
      <c r="AC6626" s="1"/>
      <c r="AD6626" s="1"/>
      <c r="AE6626" s="1"/>
      <c r="AF6626" s="1"/>
      <c r="AG6626" s="1"/>
      <c r="AH6626" s="1"/>
      <c r="AI6626" s="1"/>
      <c r="AJ6626" s="1"/>
      <c r="AK6626" s="1"/>
      <c r="AL6626" s="1"/>
      <c r="AM6626" s="1"/>
    </row>
    <row r="6627" spans="16:39" x14ac:dyDescent="0.25">
      <c r="P6627" s="49"/>
      <c r="Q6627" s="1"/>
      <c r="S6627" s="1"/>
      <c r="T6627" s="1"/>
      <c r="U6627" s="1"/>
      <c r="V6627" s="1"/>
      <c r="W6627" s="1"/>
      <c r="X6627" s="1"/>
      <c r="Y6627" s="1"/>
      <c r="AB6627" s="1"/>
      <c r="AC6627" s="1"/>
      <c r="AD6627" s="1"/>
      <c r="AE6627" s="1"/>
      <c r="AF6627" s="1"/>
      <c r="AG6627" s="1"/>
      <c r="AH6627" s="1"/>
      <c r="AI6627" s="1"/>
      <c r="AJ6627" s="1"/>
      <c r="AK6627" s="1"/>
      <c r="AL6627" s="1"/>
      <c r="AM6627" s="1"/>
    </row>
    <row r="6628" spans="16:39" x14ac:dyDescent="0.25">
      <c r="P6628" s="49"/>
      <c r="Q6628" s="1"/>
      <c r="S6628" s="1"/>
      <c r="T6628" s="1"/>
      <c r="U6628" s="1"/>
      <c r="V6628" s="1"/>
      <c r="W6628" s="1"/>
      <c r="X6628" s="1"/>
      <c r="Y6628" s="1"/>
      <c r="AB6628" s="1"/>
      <c r="AC6628" s="1"/>
      <c r="AD6628" s="1"/>
      <c r="AE6628" s="1"/>
      <c r="AF6628" s="1"/>
      <c r="AG6628" s="1"/>
      <c r="AH6628" s="1"/>
      <c r="AI6628" s="1"/>
      <c r="AJ6628" s="1"/>
      <c r="AK6628" s="1"/>
      <c r="AL6628" s="1"/>
      <c r="AM6628" s="1"/>
    </row>
    <row r="6629" spans="16:39" x14ac:dyDescent="0.25">
      <c r="P6629" s="49"/>
      <c r="Q6629" s="1"/>
      <c r="S6629" s="1"/>
      <c r="T6629" s="1"/>
      <c r="U6629" s="1"/>
      <c r="V6629" s="1"/>
      <c r="W6629" s="1"/>
      <c r="X6629" s="1"/>
      <c r="Y6629" s="1"/>
      <c r="AB6629" s="1"/>
      <c r="AC6629" s="1"/>
      <c r="AD6629" s="1"/>
      <c r="AE6629" s="1"/>
      <c r="AF6629" s="1"/>
      <c r="AG6629" s="1"/>
      <c r="AH6629" s="1"/>
      <c r="AI6629" s="1"/>
      <c r="AJ6629" s="1"/>
      <c r="AK6629" s="1"/>
      <c r="AL6629" s="1"/>
      <c r="AM6629" s="1"/>
    </row>
    <row r="6630" spans="16:39" x14ac:dyDescent="0.25">
      <c r="P6630" s="49"/>
      <c r="Q6630" s="1"/>
      <c r="S6630" s="1"/>
      <c r="T6630" s="1"/>
      <c r="U6630" s="1"/>
      <c r="V6630" s="1"/>
      <c r="W6630" s="1"/>
      <c r="X6630" s="1"/>
      <c r="Y6630" s="1"/>
      <c r="AB6630" s="1"/>
      <c r="AC6630" s="1"/>
      <c r="AD6630" s="1"/>
      <c r="AE6630" s="1"/>
      <c r="AF6630" s="1"/>
      <c r="AG6630" s="1"/>
      <c r="AH6630" s="1"/>
      <c r="AI6630" s="1"/>
      <c r="AJ6630" s="1"/>
      <c r="AK6630" s="1"/>
      <c r="AL6630" s="1"/>
      <c r="AM6630" s="1"/>
    </row>
    <row r="6631" spans="16:39" x14ac:dyDescent="0.25">
      <c r="P6631" s="49"/>
      <c r="Q6631" s="1"/>
      <c r="S6631" s="1"/>
      <c r="T6631" s="1"/>
      <c r="U6631" s="1"/>
      <c r="V6631" s="1"/>
      <c r="W6631" s="1"/>
      <c r="X6631" s="1"/>
      <c r="Y6631" s="1"/>
      <c r="AB6631" s="1"/>
      <c r="AC6631" s="1"/>
      <c r="AD6631" s="1"/>
      <c r="AE6631" s="1"/>
      <c r="AF6631" s="1"/>
      <c r="AG6631" s="1"/>
      <c r="AH6631" s="1"/>
      <c r="AI6631" s="1"/>
      <c r="AJ6631" s="1"/>
      <c r="AK6631" s="1"/>
      <c r="AL6631" s="1"/>
      <c r="AM6631" s="1"/>
    </row>
    <row r="6632" spans="16:39" x14ac:dyDescent="0.25">
      <c r="P6632" s="49"/>
      <c r="Q6632" s="1"/>
      <c r="S6632" s="1"/>
      <c r="T6632" s="1"/>
      <c r="U6632" s="1"/>
      <c r="V6632" s="1"/>
      <c r="W6632" s="1"/>
      <c r="X6632" s="1"/>
      <c r="Y6632" s="1"/>
      <c r="AB6632" s="1"/>
      <c r="AC6632" s="1"/>
      <c r="AD6632" s="1"/>
      <c r="AE6632" s="1"/>
      <c r="AF6632" s="1"/>
      <c r="AG6632" s="1"/>
      <c r="AH6632" s="1"/>
      <c r="AI6632" s="1"/>
      <c r="AJ6632" s="1"/>
      <c r="AK6632" s="1"/>
      <c r="AL6632" s="1"/>
      <c r="AM6632" s="1"/>
    </row>
    <row r="6633" spans="16:39" x14ac:dyDescent="0.25">
      <c r="P6633" s="49"/>
      <c r="Q6633" s="1"/>
      <c r="S6633" s="1"/>
      <c r="T6633" s="1"/>
      <c r="U6633" s="1"/>
      <c r="V6633" s="1"/>
      <c r="W6633" s="1"/>
      <c r="X6633" s="1"/>
      <c r="Y6633" s="1"/>
      <c r="AB6633" s="1"/>
      <c r="AC6633" s="1"/>
      <c r="AD6633" s="1"/>
      <c r="AE6633" s="1"/>
      <c r="AF6633" s="1"/>
      <c r="AG6633" s="1"/>
      <c r="AH6633" s="1"/>
      <c r="AI6633" s="1"/>
      <c r="AJ6633" s="1"/>
      <c r="AK6633" s="1"/>
      <c r="AL6633" s="1"/>
      <c r="AM6633" s="1"/>
    </row>
    <row r="6634" spans="16:39" x14ac:dyDescent="0.25">
      <c r="P6634" s="49"/>
      <c r="Q6634" s="1"/>
      <c r="S6634" s="1"/>
      <c r="T6634" s="1"/>
      <c r="U6634" s="1"/>
      <c r="V6634" s="1"/>
      <c r="W6634" s="1"/>
      <c r="X6634" s="1"/>
      <c r="Y6634" s="1"/>
      <c r="AB6634" s="1"/>
      <c r="AC6634" s="1"/>
      <c r="AD6634" s="1"/>
      <c r="AE6634" s="1"/>
      <c r="AF6634" s="1"/>
      <c r="AG6634" s="1"/>
      <c r="AH6634" s="1"/>
      <c r="AI6634" s="1"/>
      <c r="AJ6634" s="1"/>
      <c r="AK6634" s="1"/>
      <c r="AL6634" s="1"/>
      <c r="AM6634" s="1"/>
    </row>
    <row r="6635" spans="16:39" x14ac:dyDescent="0.25">
      <c r="P6635" s="49"/>
      <c r="Q6635" s="1"/>
      <c r="S6635" s="1"/>
      <c r="T6635" s="1"/>
      <c r="U6635" s="1"/>
      <c r="V6635" s="1"/>
      <c r="W6635" s="1"/>
      <c r="X6635" s="1"/>
      <c r="Y6635" s="1"/>
      <c r="AB6635" s="1"/>
      <c r="AC6635" s="1"/>
      <c r="AD6635" s="1"/>
      <c r="AE6635" s="1"/>
      <c r="AF6635" s="1"/>
      <c r="AG6635" s="1"/>
      <c r="AH6635" s="1"/>
      <c r="AI6635" s="1"/>
      <c r="AJ6635" s="1"/>
      <c r="AK6635" s="1"/>
      <c r="AL6635" s="1"/>
      <c r="AM6635" s="1"/>
    </row>
    <row r="6636" spans="16:39" x14ac:dyDescent="0.25">
      <c r="P6636" s="49"/>
      <c r="Q6636" s="1"/>
      <c r="S6636" s="1"/>
      <c r="T6636" s="1"/>
      <c r="U6636" s="1"/>
      <c r="V6636" s="1"/>
      <c r="W6636" s="1"/>
      <c r="X6636" s="1"/>
      <c r="Y6636" s="1"/>
      <c r="AB6636" s="1"/>
      <c r="AC6636" s="1"/>
      <c r="AD6636" s="1"/>
      <c r="AE6636" s="1"/>
      <c r="AF6636" s="1"/>
      <c r="AG6636" s="1"/>
      <c r="AH6636" s="1"/>
      <c r="AI6636" s="1"/>
      <c r="AJ6636" s="1"/>
      <c r="AK6636" s="1"/>
      <c r="AL6636" s="1"/>
      <c r="AM6636" s="1"/>
    </row>
    <row r="6637" spans="16:39" x14ac:dyDescent="0.25">
      <c r="P6637" s="49"/>
      <c r="Q6637" s="1"/>
      <c r="S6637" s="1"/>
      <c r="T6637" s="1"/>
      <c r="U6637" s="1"/>
      <c r="V6637" s="1"/>
      <c r="W6637" s="1"/>
      <c r="X6637" s="1"/>
      <c r="Y6637" s="1"/>
      <c r="AB6637" s="1"/>
      <c r="AC6637" s="1"/>
      <c r="AD6637" s="1"/>
      <c r="AE6637" s="1"/>
      <c r="AF6637" s="1"/>
      <c r="AG6637" s="1"/>
      <c r="AH6637" s="1"/>
      <c r="AI6637" s="1"/>
      <c r="AJ6637" s="1"/>
      <c r="AK6637" s="1"/>
      <c r="AL6637" s="1"/>
      <c r="AM6637" s="1"/>
    </row>
    <row r="6638" spans="16:39" x14ac:dyDescent="0.25">
      <c r="P6638" s="49"/>
      <c r="Q6638" s="1"/>
      <c r="S6638" s="1"/>
      <c r="T6638" s="1"/>
      <c r="U6638" s="1"/>
      <c r="V6638" s="1"/>
      <c r="W6638" s="1"/>
      <c r="X6638" s="1"/>
      <c r="Y6638" s="1"/>
      <c r="AB6638" s="1"/>
      <c r="AC6638" s="1"/>
      <c r="AD6638" s="1"/>
      <c r="AE6638" s="1"/>
      <c r="AF6638" s="1"/>
      <c r="AG6638" s="1"/>
      <c r="AH6638" s="1"/>
      <c r="AI6638" s="1"/>
      <c r="AJ6638" s="1"/>
      <c r="AK6638" s="1"/>
      <c r="AL6638" s="1"/>
      <c r="AM6638" s="1"/>
    </row>
    <row r="6639" spans="16:39" x14ac:dyDescent="0.25">
      <c r="P6639" s="49"/>
      <c r="Q6639" s="1"/>
      <c r="S6639" s="1"/>
      <c r="T6639" s="1"/>
      <c r="U6639" s="1"/>
      <c r="V6639" s="1"/>
      <c r="W6639" s="1"/>
      <c r="X6639" s="1"/>
      <c r="Y6639" s="1"/>
      <c r="AB6639" s="1"/>
      <c r="AC6639" s="1"/>
      <c r="AD6639" s="1"/>
      <c r="AE6639" s="1"/>
      <c r="AF6639" s="1"/>
      <c r="AG6639" s="1"/>
      <c r="AH6639" s="1"/>
      <c r="AI6639" s="1"/>
      <c r="AJ6639" s="1"/>
      <c r="AK6639" s="1"/>
      <c r="AL6639" s="1"/>
      <c r="AM6639" s="1"/>
    </row>
    <row r="6640" spans="16:39" x14ac:dyDescent="0.25">
      <c r="P6640" s="49"/>
      <c r="Q6640" s="1"/>
      <c r="S6640" s="1"/>
      <c r="T6640" s="1"/>
      <c r="U6640" s="1"/>
      <c r="V6640" s="1"/>
      <c r="W6640" s="1"/>
      <c r="X6640" s="1"/>
      <c r="Y6640" s="1"/>
      <c r="AB6640" s="1"/>
      <c r="AC6640" s="1"/>
      <c r="AD6640" s="1"/>
      <c r="AE6640" s="1"/>
      <c r="AF6640" s="1"/>
      <c r="AG6640" s="1"/>
      <c r="AH6640" s="1"/>
      <c r="AI6640" s="1"/>
      <c r="AJ6640" s="1"/>
      <c r="AK6640" s="1"/>
      <c r="AL6640" s="1"/>
      <c r="AM6640" s="1"/>
    </row>
    <row r="6641" spans="16:39" x14ac:dyDescent="0.25">
      <c r="P6641" s="49"/>
      <c r="Q6641" s="1"/>
      <c r="S6641" s="1"/>
      <c r="T6641" s="1"/>
      <c r="U6641" s="1"/>
      <c r="V6641" s="1"/>
      <c r="W6641" s="1"/>
      <c r="X6641" s="1"/>
      <c r="Y6641" s="1"/>
      <c r="AB6641" s="1"/>
      <c r="AC6641" s="1"/>
      <c r="AD6641" s="1"/>
      <c r="AE6641" s="1"/>
      <c r="AF6641" s="1"/>
      <c r="AG6641" s="1"/>
      <c r="AH6641" s="1"/>
      <c r="AI6641" s="1"/>
      <c r="AJ6641" s="1"/>
      <c r="AK6641" s="1"/>
      <c r="AL6641" s="1"/>
      <c r="AM6641" s="1"/>
    </row>
    <row r="6642" spans="16:39" x14ac:dyDescent="0.25">
      <c r="P6642" s="49"/>
      <c r="Q6642" s="1"/>
      <c r="S6642" s="1"/>
      <c r="T6642" s="1"/>
      <c r="U6642" s="1"/>
      <c r="V6642" s="1"/>
      <c r="W6642" s="1"/>
      <c r="X6642" s="1"/>
      <c r="Y6642" s="1"/>
      <c r="AB6642" s="1"/>
      <c r="AC6642" s="1"/>
      <c r="AD6642" s="1"/>
      <c r="AE6642" s="1"/>
      <c r="AF6642" s="1"/>
      <c r="AG6642" s="1"/>
      <c r="AH6642" s="1"/>
      <c r="AI6642" s="1"/>
      <c r="AJ6642" s="1"/>
      <c r="AK6642" s="1"/>
      <c r="AL6642" s="1"/>
      <c r="AM6642" s="1"/>
    </row>
    <row r="6643" spans="16:39" x14ac:dyDescent="0.25">
      <c r="P6643" s="49"/>
      <c r="Q6643" s="1"/>
      <c r="S6643" s="1"/>
      <c r="T6643" s="1"/>
      <c r="U6643" s="1"/>
      <c r="V6643" s="1"/>
      <c r="W6643" s="1"/>
      <c r="X6643" s="1"/>
      <c r="Y6643" s="1"/>
      <c r="AB6643" s="1"/>
      <c r="AC6643" s="1"/>
      <c r="AD6643" s="1"/>
      <c r="AE6643" s="1"/>
      <c r="AF6643" s="1"/>
      <c r="AG6643" s="1"/>
      <c r="AH6643" s="1"/>
      <c r="AI6643" s="1"/>
      <c r="AJ6643" s="1"/>
      <c r="AK6643" s="1"/>
      <c r="AL6643" s="1"/>
      <c r="AM6643" s="1"/>
    </row>
    <row r="6644" spans="16:39" x14ac:dyDescent="0.25">
      <c r="P6644" s="49"/>
      <c r="Q6644" s="1"/>
      <c r="S6644" s="1"/>
      <c r="T6644" s="1"/>
      <c r="U6644" s="1"/>
      <c r="V6644" s="1"/>
      <c r="W6644" s="1"/>
      <c r="X6644" s="1"/>
      <c r="Y6644" s="1"/>
      <c r="AB6644" s="1"/>
      <c r="AC6644" s="1"/>
      <c r="AD6644" s="1"/>
      <c r="AE6644" s="1"/>
      <c r="AF6644" s="1"/>
      <c r="AG6644" s="1"/>
      <c r="AH6644" s="1"/>
      <c r="AI6644" s="1"/>
      <c r="AJ6644" s="1"/>
      <c r="AK6644" s="1"/>
      <c r="AL6644" s="1"/>
      <c r="AM6644" s="1"/>
    </row>
    <row r="6645" spans="16:39" x14ac:dyDescent="0.25">
      <c r="P6645" s="49"/>
      <c r="Q6645" s="1"/>
      <c r="S6645" s="1"/>
      <c r="T6645" s="1"/>
      <c r="U6645" s="1"/>
      <c r="V6645" s="1"/>
      <c r="W6645" s="1"/>
      <c r="X6645" s="1"/>
      <c r="Y6645" s="1"/>
      <c r="AB6645" s="1"/>
      <c r="AC6645" s="1"/>
      <c r="AD6645" s="1"/>
      <c r="AE6645" s="1"/>
      <c r="AF6645" s="1"/>
      <c r="AG6645" s="1"/>
      <c r="AH6645" s="1"/>
      <c r="AI6645" s="1"/>
      <c r="AJ6645" s="1"/>
      <c r="AK6645" s="1"/>
      <c r="AL6645" s="1"/>
      <c r="AM6645" s="1"/>
    </row>
    <row r="6646" spans="16:39" x14ac:dyDescent="0.25">
      <c r="P6646" s="49"/>
      <c r="Q6646" s="1"/>
      <c r="S6646" s="1"/>
      <c r="T6646" s="1"/>
      <c r="U6646" s="1"/>
      <c r="V6646" s="1"/>
      <c r="W6646" s="1"/>
      <c r="X6646" s="1"/>
      <c r="Y6646" s="1"/>
      <c r="AB6646" s="1"/>
      <c r="AC6646" s="1"/>
      <c r="AD6646" s="1"/>
      <c r="AE6646" s="1"/>
      <c r="AF6646" s="1"/>
      <c r="AG6646" s="1"/>
      <c r="AH6646" s="1"/>
      <c r="AI6646" s="1"/>
      <c r="AJ6646" s="1"/>
      <c r="AK6646" s="1"/>
      <c r="AL6646" s="1"/>
      <c r="AM6646" s="1"/>
    </row>
    <row r="6647" spans="16:39" x14ac:dyDescent="0.25">
      <c r="P6647" s="49"/>
      <c r="Q6647" s="1"/>
      <c r="S6647" s="1"/>
      <c r="T6647" s="1"/>
      <c r="U6647" s="1"/>
      <c r="V6647" s="1"/>
      <c r="W6647" s="1"/>
      <c r="X6647" s="1"/>
      <c r="Y6647" s="1"/>
      <c r="AB6647" s="1"/>
      <c r="AC6647" s="1"/>
      <c r="AD6647" s="1"/>
      <c r="AE6647" s="1"/>
      <c r="AF6647" s="1"/>
      <c r="AG6647" s="1"/>
      <c r="AH6647" s="1"/>
      <c r="AI6647" s="1"/>
      <c r="AJ6647" s="1"/>
      <c r="AK6647" s="1"/>
      <c r="AL6647" s="1"/>
      <c r="AM6647" s="1"/>
    </row>
    <row r="6648" spans="16:39" x14ac:dyDescent="0.25">
      <c r="P6648" s="49"/>
      <c r="Q6648" s="1"/>
      <c r="S6648" s="1"/>
      <c r="T6648" s="1"/>
      <c r="U6648" s="1"/>
      <c r="V6648" s="1"/>
      <c r="W6648" s="1"/>
      <c r="X6648" s="1"/>
      <c r="Y6648" s="1"/>
      <c r="AB6648" s="1"/>
      <c r="AC6648" s="1"/>
      <c r="AD6648" s="1"/>
      <c r="AE6648" s="1"/>
      <c r="AF6648" s="1"/>
      <c r="AG6648" s="1"/>
      <c r="AH6648" s="1"/>
      <c r="AI6648" s="1"/>
      <c r="AJ6648" s="1"/>
      <c r="AK6648" s="1"/>
      <c r="AL6648" s="1"/>
      <c r="AM6648" s="1"/>
    </row>
    <row r="6649" spans="16:39" x14ac:dyDescent="0.25">
      <c r="P6649" s="49"/>
      <c r="Q6649" s="1"/>
      <c r="S6649" s="1"/>
      <c r="T6649" s="1"/>
      <c r="U6649" s="1"/>
      <c r="V6649" s="1"/>
      <c r="W6649" s="1"/>
      <c r="X6649" s="1"/>
      <c r="Y6649" s="1"/>
      <c r="AB6649" s="1"/>
      <c r="AC6649" s="1"/>
      <c r="AD6649" s="1"/>
      <c r="AE6649" s="1"/>
      <c r="AF6649" s="1"/>
      <c r="AG6649" s="1"/>
      <c r="AH6649" s="1"/>
      <c r="AI6649" s="1"/>
      <c r="AJ6649" s="1"/>
      <c r="AK6649" s="1"/>
      <c r="AL6649" s="1"/>
      <c r="AM6649" s="1"/>
    </row>
    <row r="6650" spans="16:39" x14ac:dyDescent="0.25">
      <c r="P6650" s="49"/>
      <c r="Q6650" s="1"/>
      <c r="S6650" s="1"/>
      <c r="T6650" s="1"/>
      <c r="U6650" s="1"/>
      <c r="V6650" s="1"/>
      <c r="W6650" s="1"/>
      <c r="X6650" s="1"/>
      <c r="Y6650" s="1"/>
      <c r="AB6650" s="1"/>
      <c r="AC6650" s="1"/>
      <c r="AD6650" s="1"/>
      <c r="AE6650" s="1"/>
      <c r="AF6650" s="1"/>
      <c r="AG6650" s="1"/>
      <c r="AH6650" s="1"/>
      <c r="AI6650" s="1"/>
      <c r="AJ6650" s="1"/>
      <c r="AK6650" s="1"/>
      <c r="AL6650" s="1"/>
      <c r="AM6650" s="1"/>
    </row>
    <row r="6651" spans="16:39" x14ac:dyDescent="0.25">
      <c r="P6651" s="49"/>
      <c r="Q6651" s="1"/>
      <c r="S6651" s="1"/>
      <c r="T6651" s="1"/>
      <c r="U6651" s="1"/>
      <c r="V6651" s="1"/>
      <c r="W6651" s="1"/>
      <c r="X6651" s="1"/>
      <c r="Y6651" s="1"/>
      <c r="AB6651" s="1"/>
      <c r="AC6651" s="1"/>
      <c r="AD6651" s="1"/>
      <c r="AE6651" s="1"/>
      <c r="AF6651" s="1"/>
      <c r="AG6651" s="1"/>
      <c r="AH6651" s="1"/>
      <c r="AI6651" s="1"/>
      <c r="AJ6651" s="1"/>
      <c r="AK6651" s="1"/>
      <c r="AL6651" s="1"/>
      <c r="AM6651" s="1"/>
    </row>
    <row r="6652" spans="16:39" x14ac:dyDescent="0.25">
      <c r="P6652" s="49"/>
      <c r="Q6652" s="1"/>
      <c r="S6652" s="1"/>
      <c r="T6652" s="1"/>
      <c r="U6652" s="1"/>
      <c r="V6652" s="1"/>
      <c r="W6652" s="1"/>
      <c r="X6652" s="1"/>
      <c r="Y6652" s="1"/>
      <c r="AB6652" s="1"/>
      <c r="AC6652" s="1"/>
      <c r="AD6652" s="1"/>
      <c r="AE6652" s="1"/>
      <c r="AF6652" s="1"/>
      <c r="AG6652" s="1"/>
      <c r="AH6652" s="1"/>
      <c r="AI6652" s="1"/>
      <c r="AJ6652" s="1"/>
      <c r="AK6652" s="1"/>
      <c r="AL6652" s="1"/>
      <c r="AM6652" s="1"/>
    </row>
    <row r="6653" spans="16:39" x14ac:dyDescent="0.25">
      <c r="P6653" s="49"/>
      <c r="Q6653" s="1"/>
      <c r="S6653" s="1"/>
      <c r="T6653" s="1"/>
      <c r="U6653" s="1"/>
      <c r="V6653" s="1"/>
      <c r="W6653" s="1"/>
      <c r="X6653" s="1"/>
      <c r="Y6653" s="1"/>
      <c r="AB6653" s="1"/>
      <c r="AC6653" s="1"/>
      <c r="AD6653" s="1"/>
      <c r="AE6653" s="1"/>
      <c r="AF6653" s="1"/>
      <c r="AG6653" s="1"/>
      <c r="AH6653" s="1"/>
      <c r="AI6653" s="1"/>
      <c r="AJ6653" s="1"/>
      <c r="AK6653" s="1"/>
      <c r="AL6653" s="1"/>
      <c r="AM6653" s="1"/>
    </row>
    <row r="6654" spans="16:39" x14ac:dyDescent="0.25">
      <c r="P6654" s="49"/>
      <c r="Q6654" s="1"/>
      <c r="S6654" s="1"/>
      <c r="T6654" s="1"/>
      <c r="U6654" s="1"/>
      <c r="V6654" s="1"/>
      <c r="W6654" s="1"/>
      <c r="X6654" s="1"/>
      <c r="Y6654" s="1"/>
      <c r="AB6654" s="1"/>
      <c r="AC6654" s="1"/>
      <c r="AD6654" s="1"/>
      <c r="AE6654" s="1"/>
      <c r="AF6654" s="1"/>
      <c r="AG6654" s="1"/>
      <c r="AH6654" s="1"/>
      <c r="AI6654" s="1"/>
      <c r="AJ6654" s="1"/>
      <c r="AK6654" s="1"/>
      <c r="AL6654" s="1"/>
      <c r="AM6654" s="1"/>
    </row>
    <row r="6655" spans="16:39" x14ac:dyDescent="0.25">
      <c r="P6655" s="49"/>
      <c r="Q6655" s="1"/>
      <c r="S6655" s="1"/>
      <c r="T6655" s="1"/>
      <c r="U6655" s="1"/>
      <c r="V6655" s="1"/>
      <c r="W6655" s="1"/>
      <c r="X6655" s="1"/>
      <c r="Y6655" s="1"/>
      <c r="AB6655" s="1"/>
      <c r="AC6655" s="1"/>
      <c r="AD6655" s="1"/>
      <c r="AE6655" s="1"/>
      <c r="AF6655" s="1"/>
      <c r="AG6655" s="1"/>
      <c r="AH6655" s="1"/>
      <c r="AI6655" s="1"/>
      <c r="AJ6655" s="1"/>
      <c r="AK6655" s="1"/>
      <c r="AL6655" s="1"/>
      <c r="AM6655" s="1"/>
    </row>
    <row r="6656" spans="16:39" x14ac:dyDescent="0.25">
      <c r="P6656" s="49"/>
      <c r="Q6656" s="1"/>
      <c r="S6656" s="1"/>
      <c r="T6656" s="1"/>
      <c r="U6656" s="1"/>
      <c r="V6656" s="1"/>
      <c r="W6656" s="1"/>
      <c r="X6656" s="1"/>
      <c r="Y6656" s="1"/>
      <c r="AB6656" s="1"/>
      <c r="AC6656" s="1"/>
      <c r="AD6656" s="1"/>
      <c r="AE6656" s="1"/>
      <c r="AF6656" s="1"/>
      <c r="AG6656" s="1"/>
      <c r="AH6656" s="1"/>
      <c r="AI6656" s="1"/>
      <c r="AJ6656" s="1"/>
      <c r="AK6656" s="1"/>
      <c r="AL6656" s="1"/>
      <c r="AM6656" s="1"/>
    </row>
    <row r="6657" spans="16:39" x14ac:dyDescent="0.25">
      <c r="P6657" s="49"/>
      <c r="Q6657" s="1"/>
      <c r="S6657" s="1"/>
      <c r="T6657" s="1"/>
      <c r="U6657" s="1"/>
      <c r="V6657" s="1"/>
      <c r="W6657" s="1"/>
      <c r="X6657" s="1"/>
      <c r="Y6657" s="1"/>
      <c r="AB6657" s="1"/>
      <c r="AC6657" s="1"/>
      <c r="AD6657" s="1"/>
      <c r="AE6657" s="1"/>
      <c r="AF6657" s="1"/>
      <c r="AG6657" s="1"/>
      <c r="AH6657" s="1"/>
      <c r="AI6657" s="1"/>
      <c r="AJ6657" s="1"/>
      <c r="AK6657" s="1"/>
      <c r="AL6657" s="1"/>
      <c r="AM6657" s="1"/>
    </row>
    <row r="6658" spans="16:39" x14ac:dyDescent="0.25">
      <c r="P6658" s="49"/>
      <c r="Q6658" s="1"/>
      <c r="S6658" s="1"/>
      <c r="T6658" s="1"/>
      <c r="U6658" s="1"/>
      <c r="V6658" s="1"/>
      <c r="W6658" s="1"/>
      <c r="X6658" s="1"/>
      <c r="Y6658" s="1"/>
      <c r="AB6658" s="1"/>
      <c r="AC6658" s="1"/>
      <c r="AD6658" s="1"/>
      <c r="AE6658" s="1"/>
      <c r="AF6658" s="1"/>
      <c r="AG6658" s="1"/>
      <c r="AH6658" s="1"/>
      <c r="AI6658" s="1"/>
      <c r="AJ6658" s="1"/>
      <c r="AK6658" s="1"/>
      <c r="AL6658" s="1"/>
      <c r="AM6658" s="1"/>
    </row>
    <row r="6659" spans="16:39" x14ac:dyDescent="0.25">
      <c r="P6659" s="49"/>
      <c r="Q6659" s="1"/>
      <c r="S6659" s="1"/>
      <c r="T6659" s="1"/>
      <c r="U6659" s="1"/>
      <c r="V6659" s="1"/>
      <c r="W6659" s="1"/>
      <c r="X6659" s="1"/>
      <c r="Y6659" s="1"/>
      <c r="AB6659" s="1"/>
      <c r="AC6659" s="1"/>
      <c r="AD6659" s="1"/>
      <c r="AE6659" s="1"/>
      <c r="AF6659" s="1"/>
      <c r="AG6659" s="1"/>
      <c r="AH6659" s="1"/>
      <c r="AI6659" s="1"/>
      <c r="AJ6659" s="1"/>
      <c r="AK6659" s="1"/>
      <c r="AL6659" s="1"/>
      <c r="AM6659" s="1"/>
    </row>
    <row r="6660" spans="16:39" x14ac:dyDescent="0.25">
      <c r="P6660" s="49"/>
      <c r="Q6660" s="1"/>
      <c r="S6660" s="1"/>
      <c r="T6660" s="1"/>
      <c r="U6660" s="1"/>
      <c r="V6660" s="1"/>
      <c r="W6660" s="1"/>
      <c r="X6660" s="1"/>
      <c r="Y6660" s="1"/>
      <c r="AB6660" s="1"/>
      <c r="AC6660" s="1"/>
      <c r="AD6660" s="1"/>
      <c r="AE6660" s="1"/>
      <c r="AF6660" s="1"/>
      <c r="AG6660" s="1"/>
      <c r="AH6660" s="1"/>
      <c r="AI6660" s="1"/>
      <c r="AJ6660" s="1"/>
      <c r="AK6660" s="1"/>
      <c r="AL6660" s="1"/>
      <c r="AM6660" s="1"/>
    </row>
    <row r="6661" spans="16:39" x14ac:dyDescent="0.25">
      <c r="P6661" s="49"/>
      <c r="Q6661" s="1"/>
      <c r="S6661" s="1"/>
      <c r="T6661" s="1"/>
      <c r="U6661" s="1"/>
      <c r="V6661" s="1"/>
      <c r="W6661" s="1"/>
      <c r="X6661" s="1"/>
      <c r="Y6661" s="1"/>
      <c r="AB6661" s="1"/>
      <c r="AC6661" s="1"/>
      <c r="AD6661" s="1"/>
      <c r="AE6661" s="1"/>
      <c r="AF6661" s="1"/>
      <c r="AG6661" s="1"/>
      <c r="AH6661" s="1"/>
      <c r="AI6661" s="1"/>
      <c r="AJ6661" s="1"/>
      <c r="AK6661" s="1"/>
      <c r="AL6661" s="1"/>
      <c r="AM6661" s="1"/>
    </row>
    <row r="6662" spans="16:39" x14ac:dyDescent="0.25">
      <c r="P6662" s="49"/>
      <c r="Q6662" s="1"/>
      <c r="S6662" s="1"/>
      <c r="T6662" s="1"/>
      <c r="U6662" s="1"/>
      <c r="V6662" s="1"/>
      <c r="W6662" s="1"/>
      <c r="X6662" s="1"/>
      <c r="Y6662" s="1"/>
      <c r="AB6662" s="1"/>
      <c r="AC6662" s="1"/>
      <c r="AD6662" s="1"/>
      <c r="AE6662" s="1"/>
      <c r="AF6662" s="1"/>
      <c r="AG6662" s="1"/>
      <c r="AH6662" s="1"/>
      <c r="AI6662" s="1"/>
      <c r="AJ6662" s="1"/>
      <c r="AK6662" s="1"/>
      <c r="AL6662" s="1"/>
      <c r="AM6662" s="1"/>
    </row>
    <row r="6663" spans="16:39" x14ac:dyDescent="0.25">
      <c r="P6663" s="49"/>
      <c r="Q6663" s="1"/>
      <c r="S6663" s="1"/>
      <c r="T6663" s="1"/>
      <c r="U6663" s="1"/>
      <c r="V6663" s="1"/>
      <c r="W6663" s="1"/>
      <c r="X6663" s="1"/>
      <c r="Y6663" s="1"/>
      <c r="AB6663" s="1"/>
      <c r="AC6663" s="1"/>
      <c r="AD6663" s="1"/>
      <c r="AE6663" s="1"/>
      <c r="AF6663" s="1"/>
      <c r="AG6663" s="1"/>
      <c r="AH6663" s="1"/>
      <c r="AI6663" s="1"/>
      <c r="AJ6663" s="1"/>
      <c r="AK6663" s="1"/>
      <c r="AL6663" s="1"/>
      <c r="AM6663" s="1"/>
    </row>
    <row r="6664" spans="16:39" x14ac:dyDescent="0.25">
      <c r="P6664" s="49"/>
      <c r="Q6664" s="1"/>
      <c r="S6664" s="1"/>
      <c r="T6664" s="1"/>
      <c r="U6664" s="1"/>
      <c r="V6664" s="1"/>
      <c r="W6664" s="1"/>
      <c r="X6664" s="1"/>
      <c r="Y6664" s="1"/>
      <c r="AB6664" s="1"/>
      <c r="AC6664" s="1"/>
      <c r="AD6664" s="1"/>
      <c r="AE6664" s="1"/>
      <c r="AF6664" s="1"/>
      <c r="AG6664" s="1"/>
      <c r="AH6664" s="1"/>
      <c r="AI6664" s="1"/>
      <c r="AJ6664" s="1"/>
      <c r="AK6664" s="1"/>
      <c r="AL6664" s="1"/>
      <c r="AM6664" s="1"/>
    </row>
    <row r="6665" spans="16:39" x14ac:dyDescent="0.25">
      <c r="P6665" s="49"/>
      <c r="Q6665" s="1"/>
      <c r="S6665" s="1"/>
      <c r="T6665" s="1"/>
      <c r="U6665" s="1"/>
      <c r="V6665" s="1"/>
      <c r="W6665" s="1"/>
      <c r="X6665" s="1"/>
      <c r="Y6665" s="1"/>
      <c r="AB6665" s="1"/>
      <c r="AC6665" s="1"/>
      <c r="AD6665" s="1"/>
      <c r="AE6665" s="1"/>
      <c r="AF6665" s="1"/>
      <c r="AG6665" s="1"/>
      <c r="AH6665" s="1"/>
      <c r="AI6665" s="1"/>
      <c r="AJ6665" s="1"/>
      <c r="AK6665" s="1"/>
      <c r="AL6665" s="1"/>
      <c r="AM6665" s="1"/>
    </row>
    <row r="6666" spans="16:39" x14ac:dyDescent="0.25">
      <c r="P6666" s="49"/>
      <c r="Q6666" s="1"/>
      <c r="S6666" s="1"/>
      <c r="T6666" s="1"/>
      <c r="U6666" s="1"/>
      <c r="V6666" s="1"/>
      <c r="W6666" s="1"/>
      <c r="X6666" s="1"/>
      <c r="Y6666" s="1"/>
      <c r="AB6666" s="1"/>
      <c r="AC6666" s="1"/>
      <c r="AD6666" s="1"/>
      <c r="AE6666" s="1"/>
      <c r="AF6666" s="1"/>
      <c r="AG6666" s="1"/>
      <c r="AH6666" s="1"/>
      <c r="AI6666" s="1"/>
      <c r="AJ6666" s="1"/>
      <c r="AK6666" s="1"/>
      <c r="AL6666" s="1"/>
      <c r="AM6666" s="1"/>
    </row>
    <row r="6667" spans="16:39" x14ac:dyDescent="0.25">
      <c r="P6667" s="49"/>
      <c r="Q6667" s="1"/>
      <c r="S6667" s="1"/>
      <c r="T6667" s="1"/>
      <c r="U6667" s="1"/>
      <c r="V6667" s="1"/>
      <c r="W6667" s="1"/>
      <c r="X6667" s="1"/>
      <c r="Y6667" s="1"/>
      <c r="AB6667" s="1"/>
      <c r="AC6667" s="1"/>
      <c r="AD6667" s="1"/>
      <c r="AE6667" s="1"/>
      <c r="AF6667" s="1"/>
      <c r="AG6667" s="1"/>
      <c r="AH6667" s="1"/>
      <c r="AI6667" s="1"/>
      <c r="AJ6667" s="1"/>
      <c r="AK6667" s="1"/>
      <c r="AL6667" s="1"/>
      <c r="AM6667" s="1"/>
    </row>
    <row r="6668" spans="16:39" x14ac:dyDescent="0.25">
      <c r="P6668" s="49"/>
      <c r="Q6668" s="1"/>
      <c r="S6668" s="1"/>
      <c r="T6668" s="1"/>
      <c r="U6668" s="1"/>
      <c r="V6668" s="1"/>
      <c r="W6668" s="1"/>
      <c r="X6668" s="1"/>
      <c r="Y6668" s="1"/>
      <c r="AB6668" s="1"/>
      <c r="AC6668" s="1"/>
      <c r="AD6668" s="1"/>
      <c r="AE6668" s="1"/>
      <c r="AF6668" s="1"/>
      <c r="AG6668" s="1"/>
      <c r="AH6668" s="1"/>
      <c r="AI6668" s="1"/>
      <c r="AJ6668" s="1"/>
      <c r="AK6668" s="1"/>
      <c r="AL6668" s="1"/>
      <c r="AM6668" s="1"/>
    </row>
    <row r="6669" spans="16:39" x14ac:dyDescent="0.25">
      <c r="P6669" s="49"/>
      <c r="Q6669" s="1"/>
      <c r="S6669" s="1"/>
      <c r="T6669" s="1"/>
      <c r="U6669" s="1"/>
      <c r="V6669" s="1"/>
      <c r="W6669" s="1"/>
      <c r="X6669" s="1"/>
      <c r="Y6669" s="1"/>
      <c r="AB6669" s="1"/>
      <c r="AC6669" s="1"/>
      <c r="AD6669" s="1"/>
      <c r="AE6669" s="1"/>
      <c r="AF6669" s="1"/>
      <c r="AG6669" s="1"/>
      <c r="AH6669" s="1"/>
      <c r="AI6669" s="1"/>
      <c r="AJ6669" s="1"/>
      <c r="AK6669" s="1"/>
      <c r="AL6669" s="1"/>
      <c r="AM6669" s="1"/>
    </row>
    <row r="6670" spans="16:39" x14ac:dyDescent="0.25">
      <c r="P6670" s="49"/>
      <c r="Q6670" s="1"/>
      <c r="S6670" s="1"/>
      <c r="T6670" s="1"/>
      <c r="U6670" s="1"/>
      <c r="V6670" s="1"/>
      <c r="W6670" s="1"/>
      <c r="X6670" s="1"/>
      <c r="Y6670" s="1"/>
      <c r="AB6670" s="1"/>
      <c r="AC6670" s="1"/>
      <c r="AD6670" s="1"/>
      <c r="AE6670" s="1"/>
      <c r="AF6670" s="1"/>
      <c r="AG6670" s="1"/>
      <c r="AH6670" s="1"/>
      <c r="AI6670" s="1"/>
      <c r="AJ6670" s="1"/>
      <c r="AK6670" s="1"/>
      <c r="AL6670" s="1"/>
      <c r="AM6670" s="1"/>
    </row>
    <row r="6671" spans="16:39" x14ac:dyDescent="0.25">
      <c r="P6671" s="49"/>
      <c r="Q6671" s="1"/>
      <c r="S6671" s="1"/>
      <c r="T6671" s="1"/>
      <c r="U6671" s="1"/>
      <c r="V6671" s="1"/>
      <c r="W6671" s="1"/>
      <c r="X6671" s="1"/>
      <c r="Y6671" s="1"/>
      <c r="AB6671" s="1"/>
      <c r="AC6671" s="1"/>
      <c r="AD6671" s="1"/>
      <c r="AE6671" s="1"/>
      <c r="AF6671" s="1"/>
      <c r="AG6671" s="1"/>
      <c r="AH6671" s="1"/>
      <c r="AI6671" s="1"/>
      <c r="AJ6671" s="1"/>
      <c r="AK6671" s="1"/>
      <c r="AL6671" s="1"/>
      <c r="AM6671" s="1"/>
    </row>
    <row r="6672" spans="16:39" x14ac:dyDescent="0.25">
      <c r="P6672" s="49"/>
      <c r="Q6672" s="1"/>
      <c r="S6672" s="1"/>
      <c r="T6672" s="1"/>
      <c r="U6672" s="1"/>
      <c r="V6672" s="1"/>
      <c r="W6672" s="1"/>
      <c r="X6672" s="1"/>
      <c r="Y6672" s="1"/>
      <c r="AB6672" s="1"/>
      <c r="AC6672" s="1"/>
      <c r="AD6672" s="1"/>
      <c r="AE6672" s="1"/>
      <c r="AF6672" s="1"/>
      <c r="AG6672" s="1"/>
      <c r="AH6672" s="1"/>
      <c r="AI6672" s="1"/>
      <c r="AJ6672" s="1"/>
      <c r="AK6672" s="1"/>
      <c r="AL6672" s="1"/>
      <c r="AM6672" s="1"/>
    </row>
    <row r="6673" spans="16:39" x14ac:dyDescent="0.25">
      <c r="P6673" s="49"/>
      <c r="Q6673" s="1"/>
      <c r="S6673" s="1"/>
      <c r="T6673" s="1"/>
      <c r="U6673" s="1"/>
      <c r="V6673" s="1"/>
      <c r="W6673" s="1"/>
      <c r="X6673" s="1"/>
      <c r="Y6673" s="1"/>
      <c r="AB6673" s="1"/>
      <c r="AC6673" s="1"/>
      <c r="AD6673" s="1"/>
      <c r="AE6673" s="1"/>
      <c r="AF6673" s="1"/>
      <c r="AG6673" s="1"/>
      <c r="AH6673" s="1"/>
      <c r="AI6673" s="1"/>
      <c r="AJ6673" s="1"/>
      <c r="AK6673" s="1"/>
      <c r="AL6673" s="1"/>
      <c r="AM6673" s="1"/>
    </row>
    <row r="6674" spans="16:39" x14ac:dyDescent="0.25">
      <c r="P6674" s="49"/>
      <c r="Q6674" s="1"/>
      <c r="S6674" s="1"/>
      <c r="T6674" s="1"/>
      <c r="U6674" s="1"/>
      <c r="V6674" s="1"/>
      <c r="W6674" s="1"/>
      <c r="X6674" s="1"/>
      <c r="Y6674" s="1"/>
      <c r="AB6674" s="1"/>
      <c r="AC6674" s="1"/>
      <c r="AD6674" s="1"/>
      <c r="AE6674" s="1"/>
      <c r="AF6674" s="1"/>
      <c r="AG6674" s="1"/>
      <c r="AH6674" s="1"/>
      <c r="AI6674" s="1"/>
      <c r="AJ6674" s="1"/>
      <c r="AK6674" s="1"/>
      <c r="AL6674" s="1"/>
      <c r="AM6674" s="1"/>
    </row>
    <row r="6675" spans="16:39" x14ac:dyDescent="0.25">
      <c r="P6675" s="49"/>
      <c r="Q6675" s="1"/>
      <c r="S6675" s="1"/>
      <c r="T6675" s="1"/>
      <c r="U6675" s="1"/>
      <c r="V6675" s="1"/>
      <c r="W6675" s="1"/>
      <c r="X6675" s="1"/>
      <c r="Y6675" s="1"/>
      <c r="AB6675" s="1"/>
      <c r="AC6675" s="1"/>
      <c r="AD6675" s="1"/>
      <c r="AE6675" s="1"/>
      <c r="AF6675" s="1"/>
      <c r="AG6675" s="1"/>
      <c r="AH6675" s="1"/>
      <c r="AI6675" s="1"/>
      <c r="AJ6675" s="1"/>
      <c r="AK6675" s="1"/>
      <c r="AL6675" s="1"/>
      <c r="AM6675" s="1"/>
    </row>
    <row r="6676" spans="16:39" x14ac:dyDescent="0.25">
      <c r="P6676" s="49"/>
      <c r="Q6676" s="1"/>
      <c r="S6676" s="1"/>
      <c r="T6676" s="1"/>
      <c r="U6676" s="1"/>
      <c r="V6676" s="1"/>
      <c r="W6676" s="1"/>
      <c r="X6676" s="1"/>
      <c r="Y6676" s="1"/>
      <c r="AB6676" s="1"/>
      <c r="AC6676" s="1"/>
      <c r="AD6676" s="1"/>
      <c r="AE6676" s="1"/>
      <c r="AF6676" s="1"/>
      <c r="AG6676" s="1"/>
      <c r="AH6676" s="1"/>
      <c r="AI6676" s="1"/>
      <c r="AJ6676" s="1"/>
      <c r="AK6676" s="1"/>
      <c r="AL6676" s="1"/>
      <c r="AM6676" s="1"/>
    </row>
    <row r="6677" spans="16:39" x14ac:dyDescent="0.25">
      <c r="P6677" s="49"/>
      <c r="Q6677" s="1"/>
      <c r="S6677" s="1"/>
      <c r="T6677" s="1"/>
      <c r="U6677" s="1"/>
      <c r="V6677" s="1"/>
      <c r="W6677" s="1"/>
      <c r="X6677" s="1"/>
      <c r="Y6677" s="1"/>
      <c r="AB6677" s="1"/>
      <c r="AC6677" s="1"/>
      <c r="AD6677" s="1"/>
      <c r="AE6677" s="1"/>
      <c r="AF6677" s="1"/>
      <c r="AG6677" s="1"/>
      <c r="AH6677" s="1"/>
      <c r="AI6677" s="1"/>
      <c r="AJ6677" s="1"/>
      <c r="AK6677" s="1"/>
      <c r="AL6677" s="1"/>
      <c r="AM6677" s="1"/>
    </row>
    <row r="6678" spans="16:39" x14ac:dyDescent="0.25">
      <c r="P6678" s="49"/>
      <c r="Q6678" s="1"/>
      <c r="S6678" s="1"/>
      <c r="T6678" s="1"/>
      <c r="U6678" s="1"/>
      <c r="V6678" s="1"/>
      <c r="W6678" s="1"/>
      <c r="X6678" s="1"/>
      <c r="Y6678" s="1"/>
      <c r="AB6678" s="1"/>
      <c r="AC6678" s="1"/>
      <c r="AD6678" s="1"/>
      <c r="AE6678" s="1"/>
      <c r="AF6678" s="1"/>
      <c r="AG6678" s="1"/>
      <c r="AH6678" s="1"/>
      <c r="AI6678" s="1"/>
      <c r="AJ6678" s="1"/>
      <c r="AK6678" s="1"/>
      <c r="AL6678" s="1"/>
      <c r="AM6678" s="1"/>
    </row>
    <row r="6679" spans="16:39" x14ac:dyDescent="0.25">
      <c r="P6679" s="49"/>
      <c r="Q6679" s="1"/>
      <c r="S6679" s="1"/>
      <c r="T6679" s="1"/>
      <c r="U6679" s="1"/>
      <c r="V6679" s="1"/>
      <c r="W6679" s="1"/>
      <c r="X6679" s="1"/>
      <c r="Y6679" s="1"/>
      <c r="AB6679" s="1"/>
      <c r="AC6679" s="1"/>
      <c r="AD6679" s="1"/>
      <c r="AE6679" s="1"/>
      <c r="AF6679" s="1"/>
      <c r="AG6679" s="1"/>
      <c r="AH6679" s="1"/>
      <c r="AI6679" s="1"/>
      <c r="AJ6679" s="1"/>
      <c r="AK6679" s="1"/>
      <c r="AL6679" s="1"/>
      <c r="AM6679" s="1"/>
    </row>
    <row r="6680" spans="16:39" x14ac:dyDescent="0.25">
      <c r="P6680" s="49"/>
      <c r="Q6680" s="1"/>
      <c r="S6680" s="1"/>
      <c r="T6680" s="1"/>
      <c r="U6680" s="1"/>
      <c r="V6680" s="1"/>
      <c r="W6680" s="1"/>
      <c r="X6680" s="1"/>
      <c r="Y6680" s="1"/>
      <c r="AB6680" s="1"/>
      <c r="AC6680" s="1"/>
      <c r="AD6680" s="1"/>
      <c r="AE6680" s="1"/>
      <c r="AF6680" s="1"/>
      <c r="AG6680" s="1"/>
      <c r="AH6680" s="1"/>
      <c r="AI6680" s="1"/>
      <c r="AJ6680" s="1"/>
      <c r="AK6680" s="1"/>
      <c r="AL6680" s="1"/>
      <c r="AM6680" s="1"/>
    </row>
    <row r="6681" spans="16:39" x14ac:dyDescent="0.25">
      <c r="P6681" s="49"/>
      <c r="Q6681" s="1"/>
      <c r="S6681" s="1"/>
      <c r="T6681" s="1"/>
      <c r="U6681" s="1"/>
      <c r="V6681" s="1"/>
      <c r="W6681" s="1"/>
      <c r="X6681" s="1"/>
      <c r="Y6681" s="1"/>
      <c r="AB6681" s="1"/>
      <c r="AC6681" s="1"/>
      <c r="AD6681" s="1"/>
      <c r="AE6681" s="1"/>
      <c r="AF6681" s="1"/>
      <c r="AG6681" s="1"/>
      <c r="AH6681" s="1"/>
      <c r="AI6681" s="1"/>
      <c r="AJ6681" s="1"/>
      <c r="AK6681" s="1"/>
      <c r="AL6681" s="1"/>
      <c r="AM6681" s="1"/>
    </row>
    <row r="6682" spans="16:39" x14ac:dyDescent="0.25">
      <c r="P6682" s="49"/>
      <c r="Q6682" s="1"/>
      <c r="S6682" s="1"/>
      <c r="T6682" s="1"/>
      <c r="U6682" s="1"/>
      <c r="V6682" s="1"/>
      <c r="W6682" s="1"/>
      <c r="X6682" s="1"/>
      <c r="Y6682" s="1"/>
      <c r="AB6682" s="1"/>
      <c r="AC6682" s="1"/>
      <c r="AD6682" s="1"/>
      <c r="AE6682" s="1"/>
      <c r="AF6682" s="1"/>
      <c r="AG6682" s="1"/>
      <c r="AH6682" s="1"/>
      <c r="AI6682" s="1"/>
      <c r="AJ6682" s="1"/>
      <c r="AK6682" s="1"/>
      <c r="AL6682" s="1"/>
      <c r="AM6682" s="1"/>
    </row>
    <row r="6683" spans="16:39" x14ac:dyDescent="0.25">
      <c r="P6683" s="49"/>
      <c r="Q6683" s="1"/>
      <c r="S6683" s="1"/>
      <c r="T6683" s="1"/>
      <c r="U6683" s="1"/>
      <c r="V6683" s="1"/>
      <c r="W6683" s="1"/>
      <c r="X6683" s="1"/>
      <c r="Y6683" s="1"/>
      <c r="AB6683" s="1"/>
      <c r="AC6683" s="1"/>
      <c r="AD6683" s="1"/>
      <c r="AE6683" s="1"/>
      <c r="AF6683" s="1"/>
      <c r="AG6683" s="1"/>
      <c r="AH6683" s="1"/>
      <c r="AI6683" s="1"/>
      <c r="AJ6683" s="1"/>
      <c r="AK6683" s="1"/>
      <c r="AL6683" s="1"/>
      <c r="AM6683" s="1"/>
    </row>
    <row r="6684" spans="16:39" x14ac:dyDescent="0.25">
      <c r="P6684" s="49"/>
      <c r="Q6684" s="1"/>
      <c r="S6684" s="1"/>
      <c r="T6684" s="1"/>
      <c r="U6684" s="1"/>
      <c r="V6684" s="1"/>
      <c r="W6684" s="1"/>
      <c r="X6684" s="1"/>
      <c r="Y6684" s="1"/>
      <c r="AB6684" s="1"/>
      <c r="AC6684" s="1"/>
      <c r="AD6684" s="1"/>
      <c r="AE6684" s="1"/>
      <c r="AF6684" s="1"/>
      <c r="AG6684" s="1"/>
      <c r="AH6684" s="1"/>
      <c r="AI6684" s="1"/>
      <c r="AJ6684" s="1"/>
      <c r="AK6684" s="1"/>
      <c r="AL6684" s="1"/>
      <c r="AM6684" s="1"/>
    </row>
    <row r="6685" spans="16:39" x14ac:dyDescent="0.25">
      <c r="P6685" s="49"/>
      <c r="Q6685" s="1"/>
      <c r="S6685" s="1"/>
      <c r="T6685" s="1"/>
      <c r="U6685" s="1"/>
      <c r="V6685" s="1"/>
      <c r="W6685" s="1"/>
      <c r="X6685" s="1"/>
      <c r="Y6685" s="1"/>
      <c r="AB6685" s="1"/>
      <c r="AC6685" s="1"/>
      <c r="AD6685" s="1"/>
      <c r="AE6685" s="1"/>
      <c r="AF6685" s="1"/>
      <c r="AG6685" s="1"/>
      <c r="AH6685" s="1"/>
      <c r="AI6685" s="1"/>
      <c r="AJ6685" s="1"/>
      <c r="AK6685" s="1"/>
      <c r="AL6685" s="1"/>
      <c r="AM6685" s="1"/>
    </row>
    <row r="6686" spans="16:39" x14ac:dyDescent="0.25">
      <c r="P6686" s="49"/>
      <c r="Q6686" s="1"/>
      <c r="S6686" s="1"/>
      <c r="T6686" s="1"/>
      <c r="U6686" s="1"/>
      <c r="V6686" s="1"/>
      <c r="W6686" s="1"/>
      <c r="X6686" s="1"/>
      <c r="Y6686" s="1"/>
      <c r="AB6686" s="1"/>
      <c r="AC6686" s="1"/>
      <c r="AD6686" s="1"/>
      <c r="AE6686" s="1"/>
      <c r="AF6686" s="1"/>
      <c r="AG6686" s="1"/>
      <c r="AH6686" s="1"/>
      <c r="AI6686" s="1"/>
      <c r="AJ6686" s="1"/>
      <c r="AK6686" s="1"/>
      <c r="AL6686" s="1"/>
      <c r="AM6686" s="1"/>
    </row>
    <row r="6687" spans="16:39" x14ac:dyDescent="0.25">
      <c r="P6687" s="49"/>
      <c r="Q6687" s="1"/>
      <c r="S6687" s="1"/>
      <c r="T6687" s="1"/>
      <c r="U6687" s="1"/>
      <c r="V6687" s="1"/>
      <c r="W6687" s="1"/>
      <c r="X6687" s="1"/>
      <c r="Y6687" s="1"/>
      <c r="AB6687" s="1"/>
      <c r="AC6687" s="1"/>
      <c r="AD6687" s="1"/>
      <c r="AE6687" s="1"/>
      <c r="AF6687" s="1"/>
      <c r="AG6687" s="1"/>
      <c r="AH6687" s="1"/>
      <c r="AI6687" s="1"/>
      <c r="AJ6687" s="1"/>
      <c r="AK6687" s="1"/>
      <c r="AL6687" s="1"/>
      <c r="AM6687" s="1"/>
    </row>
    <row r="6688" spans="16:39" x14ac:dyDescent="0.25">
      <c r="P6688" s="49"/>
      <c r="Q6688" s="1"/>
      <c r="S6688" s="1"/>
      <c r="T6688" s="1"/>
      <c r="U6688" s="1"/>
      <c r="V6688" s="1"/>
      <c r="W6688" s="1"/>
      <c r="X6688" s="1"/>
      <c r="Y6688" s="1"/>
      <c r="AB6688" s="1"/>
      <c r="AC6688" s="1"/>
      <c r="AD6688" s="1"/>
      <c r="AE6688" s="1"/>
      <c r="AF6688" s="1"/>
      <c r="AG6688" s="1"/>
      <c r="AH6688" s="1"/>
      <c r="AI6688" s="1"/>
      <c r="AJ6688" s="1"/>
      <c r="AK6688" s="1"/>
      <c r="AL6688" s="1"/>
      <c r="AM6688" s="1"/>
    </row>
    <row r="6689" spans="16:39" x14ac:dyDescent="0.25">
      <c r="P6689" s="49"/>
      <c r="Q6689" s="1"/>
      <c r="S6689" s="1"/>
      <c r="T6689" s="1"/>
      <c r="U6689" s="1"/>
      <c r="V6689" s="1"/>
      <c r="W6689" s="1"/>
      <c r="X6689" s="1"/>
      <c r="Y6689" s="1"/>
      <c r="AB6689" s="1"/>
      <c r="AC6689" s="1"/>
      <c r="AD6689" s="1"/>
      <c r="AE6689" s="1"/>
      <c r="AF6689" s="1"/>
      <c r="AG6689" s="1"/>
      <c r="AH6689" s="1"/>
      <c r="AI6689" s="1"/>
      <c r="AJ6689" s="1"/>
      <c r="AK6689" s="1"/>
      <c r="AL6689" s="1"/>
      <c r="AM6689" s="1"/>
    </row>
    <row r="6690" spans="16:39" x14ac:dyDescent="0.25">
      <c r="P6690" s="49"/>
      <c r="Q6690" s="1"/>
      <c r="S6690" s="1"/>
      <c r="T6690" s="1"/>
      <c r="U6690" s="1"/>
      <c r="V6690" s="1"/>
      <c r="W6690" s="1"/>
      <c r="X6690" s="1"/>
      <c r="Y6690" s="1"/>
      <c r="AB6690" s="1"/>
      <c r="AC6690" s="1"/>
      <c r="AD6690" s="1"/>
      <c r="AE6690" s="1"/>
      <c r="AF6690" s="1"/>
      <c r="AG6690" s="1"/>
      <c r="AH6690" s="1"/>
      <c r="AI6690" s="1"/>
      <c r="AJ6690" s="1"/>
      <c r="AK6690" s="1"/>
      <c r="AL6690" s="1"/>
      <c r="AM6690" s="1"/>
    </row>
    <row r="6691" spans="16:39" x14ac:dyDescent="0.25">
      <c r="P6691" s="49"/>
      <c r="Q6691" s="1"/>
      <c r="S6691" s="1"/>
      <c r="T6691" s="1"/>
      <c r="U6691" s="1"/>
      <c r="V6691" s="1"/>
      <c r="W6691" s="1"/>
      <c r="X6691" s="1"/>
      <c r="Y6691" s="1"/>
      <c r="AB6691" s="1"/>
      <c r="AC6691" s="1"/>
      <c r="AD6691" s="1"/>
      <c r="AE6691" s="1"/>
      <c r="AF6691" s="1"/>
      <c r="AG6691" s="1"/>
      <c r="AH6691" s="1"/>
      <c r="AI6691" s="1"/>
      <c r="AJ6691" s="1"/>
      <c r="AK6691" s="1"/>
      <c r="AL6691" s="1"/>
      <c r="AM6691" s="1"/>
    </row>
    <row r="6692" spans="16:39" x14ac:dyDescent="0.25">
      <c r="P6692" s="49"/>
      <c r="Q6692" s="1"/>
      <c r="S6692" s="1"/>
      <c r="T6692" s="1"/>
      <c r="U6692" s="1"/>
      <c r="V6692" s="1"/>
      <c r="W6692" s="1"/>
      <c r="X6692" s="1"/>
      <c r="Y6692" s="1"/>
      <c r="AB6692" s="1"/>
      <c r="AC6692" s="1"/>
      <c r="AD6692" s="1"/>
      <c r="AE6692" s="1"/>
      <c r="AF6692" s="1"/>
      <c r="AG6692" s="1"/>
      <c r="AH6692" s="1"/>
      <c r="AI6692" s="1"/>
      <c r="AJ6692" s="1"/>
      <c r="AK6692" s="1"/>
      <c r="AL6692" s="1"/>
      <c r="AM6692" s="1"/>
    </row>
    <row r="6693" spans="16:39" x14ac:dyDescent="0.25">
      <c r="P6693" s="49"/>
      <c r="Q6693" s="1"/>
      <c r="S6693" s="1"/>
      <c r="T6693" s="1"/>
      <c r="U6693" s="1"/>
      <c r="V6693" s="1"/>
      <c r="W6693" s="1"/>
      <c r="X6693" s="1"/>
      <c r="Y6693" s="1"/>
      <c r="AB6693" s="1"/>
      <c r="AC6693" s="1"/>
      <c r="AD6693" s="1"/>
      <c r="AE6693" s="1"/>
      <c r="AF6693" s="1"/>
      <c r="AG6693" s="1"/>
      <c r="AH6693" s="1"/>
      <c r="AI6693" s="1"/>
      <c r="AJ6693" s="1"/>
      <c r="AK6693" s="1"/>
      <c r="AL6693" s="1"/>
      <c r="AM6693" s="1"/>
    </row>
    <row r="6694" spans="16:39" x14ac:dyDescent="0.25">
      <c r="P6694" s="49"/>
      <c r="Q6694" s="1"/>
      <c r="S6694" s="1"/>
      <c r="T6694" s="1"/>
      <c r="U6694" s="1"/>
      <c r="V6694" s="1"/>
      <c r="W6694" s="1"/>
      <c r="X6694" s="1"/>
      <c r="Y6694" s="1"/>
      <c r="AB6694" s="1"/>
      <c r="AC6694" s="1"/>
      <c r="AD6694" s="1"/>
      <c r="AE6694" s="1"/>
      <c r="AF6694" s="1"/>
      <c r="AG6694" s="1"/>
      <c r="AH6694" s="1"/>
      <c r="AI6694" s="1"/>
      <c r="AJ6694" s="1"/>
      <c r="AK6694" s="1"/>
      <c r="AL6694" s="1"/>
      <c r="AM6694" s="1"/>
    </row>
    <row r="6695" spans="16:39" x14ac:dyDescent="0.25">
      <c r="P6695" s="49"/>
      <c r="Q6695" s="1"/>
      <c r="S6695" s="1"/>
      <c r="T6695" s="1"/>
      <c r="U6695" s="1"/>
      <c r="V6695" s="1"/>
      <c r="W6695" s="1"/>
      <c r="X6695" s="1"/>
      <c r="Y6695" s="1"/>
      <c r="AB6695" s="1"/>
      <c r="AC6695" s="1"/>
      <c r="AD6695" s="1"/>
      <c r="AE6695" s="1"/>
      <c r="AF6695" s="1"/>
      <c r="AG6695" s="1"/>
      <c r="AH6695" s="1"/>
      <c r="AI6695" s="1"/>
      <c r="AJ6695" s="1"/>
      <c r="AK6695" s="1"/>
      <c r="AL6695" s="1"/>
      <c r="AM6695" s="1"/>
    </row>
    <row r="6696" spans="16:39" x14ac:dyDescent="0.25">
      <c r="P6696" s="49"/>
      <c r="Q6696" s="1"/>
      <c r="S6696" s="1"/>
      <c r="T6696" s="1"/>
      <c r="U6696" s="1"/>
      <c r="V6696" s="1"/>
      <c r="W6696" s="1"/>
      <c r="X6696" s="1"/>
      <c r="Y6696" s="1"/>
      <c r="AB6696" s="1"/>
      <c r="AC6696" s="1"/>
      <c r="AD6696" s="1"/>
      <c r="AE6696" s="1"/>
      <c r="AF6696" s="1"/>
      <c r="AG6696" s="1"/>
      <c r="AH6696" s="1"/>
      <c r="AI6696" s="1"/>
      <c r="AJ6696" s="1"/>
      <c r="AK6696" s="1"/>
      <c r="AL6696" s="1"/>
      <c r="AM6696" s="1"/>
    </row>
    <row r="6697" spans="16:39" x14ac:dyDescent="0.25">
      <c r="P6697" s="49"/>
      <c r="Q6697" s="1"/>
      <c r="S6697" s="1"/>
      <c r="T6697" s="1"/>
      <c r="U6697" s="1"/>
      <c r="V6697" s="1"/>
      <c r="W6697" s="1"/>
      <c r="X6697" s="1"/>
      <c r="Y6697" s="1"/>
      <c r="AB6697" s="1"/>
      <c r="AC6697" s="1"/>
      <c r="AD6697" s="1"/>
      <c r="AE6697" s="1"/>
      <c r="AF6697" s="1"/>
      <c r="AG6697" s="1"/>
      <c r="AH6697" s="1"/>
      <c r="AI6697" s="1"/>
      <c r="AJ6697" s="1"/>
      <c r="AK6697" s="1"/>
      <c r="AL6697" s="1"/>
      <c r="AM6697" s="1"/>
    </row>
    <row r="6698" spans="16:39" x14ac:dyDescent="0.25">
      <c r="P6698" s="49"/>
      <c r="Q6698" s="1"/>
      <c r="S6698" s="1"/>
      <c r="T6698" s="1"/>
      <c r="U6698" s="1"/>
      <c r="V6698" s="1"/>
      <c r="W6698" s="1"/>
      <c r="X6698" s="1"/>
      <c r="Y6698" s="1"/>
      <c r="AB6698" s="1"/>
      <c r="AC6698" s="1"/>
      <c r="AD6698" s="1"/>
      <c r="AE6698" s="1"/>
      <c r="AF6698" s="1"/>
      <c r="AG6698" s="1"/>
      <c r="AH6698" s="1"/>
      <c r="AI6698" s="1"/>
      <c r="AJ6698" s="1"/>
      <c r="AK6698" s="1"/>
      <c r="AL6698" s="1"/>
      <c r="AM6698" s="1"/>
    </row>
    <row r="6699" spans="16:39" x14ac:dyDescent="0.25">
      <c r="P6699" s="49"/>
      <c r="Q6699" s="1"/>
      <c r="S6699" s="1"/>
      <c r="T6699" s="1"/>
      <c r="U6699" s="1"/>
      <c r="V6699" s="1"/>
      <c r="W6699" s="1"/>
      <c r="X6699" s="1"/>
      <c r="Y6699" s="1"/>
      <c r="AB6699" s="1"/>
      <c r="AC6699" s="1"/>
      <c r="AD6699" s="1"/>
      <c r="AE6699" s="1"/>
      <c r="AF6699" s="1"/>
      <c r="AG6699" s="1"/>
      <c r="AH6699" s="1"/>
      <c r="AI6699" s="1"/>
      <c r="AJ6699" s="1"/>
      <c r="AK6699" s="1"/>
      <c r="AL6699" s="1"/>
      <c r="AM6699" s="1"/>
    </row>
    <row r="6700" spans="16:39" x14ac:dyDescent="0.25">
      <c r="P6700" s="49"/>
      <c r="Q6700" s="1"/>
      <c r="S6700" s="1"/>
      <c r="T6700" s="1"/>
      <c r="U6700" s="1"/>
      <c r="V6700" s="1"/>
      <c r="W6700" s="1"/>
      <c r="X6700" s="1"/>
      <c r="Y6700" s="1"/>
      <c r="AB6700" s="1"/>
      <c r="AC6700" s="1"/>
      <c r="AD6700" s="1"/>
      <c r="AE6700" s="1"/>
      <c r="AF6700" s="1"/>
      <c r="AG6700" s="1"/>
      <c r="AH6700" s="1"/>
      <c r="AI6700" s="1"/>
      <c r="AJ6700" s="1"/>
      <c r="AK6700" s="1"/>
      <c r="AL6700" s="1"/>
      <c r="AM6700" s="1"/>
    </row>
    <row r="6701" spans="16:39" x14ac:dyDescent="0.25">
      <c r="P6701" s="49"/>
      <c r="Q6701" s="1"/>
      <c r="S6701" s="1"/>
      <c r="T6701" s="1"/>
      <c r="U6701" s="1"/>
      <c r="V6701" s="1"/>
      <c r="W6701" s="1"/>
      <c r="X6701" s="1"/>
      <c r="Y6701" s="1"/>
      <c r="AB6701" s="1"/>
      <c r="AC6701" s="1"/>
      <c r="AD6701" s="1"/>
      <c r="AE6701" s="1"/>
      <c r="AF6701" s="1"/>
      <c r="AG6701" s="1"/>
      <c r="AH6701" s="1"/>
      <c r="AI6701" s="1"/>
      <c r="AJ6701" s="1"/>
      <c r="AK6701" s="1"/>
      <c r="AL6701" s="1"/>
      <c r="AM6701" s="1"/>
    </row>
    <row r="6702" spans="16:39" x14ac:dyDescent="0.25">
      <c r="P6702" s="49"/>
      <c r="Q6702" s="1"/>
      <c r="S6702" s="1"/>
      <c r="T6702" s="1"/>
      <c r="U6702" s="1"/>
      <c r="V6702" s="1"/>
      <c r="W6702" s="1"/>
      <c r="X6702" s="1"/>
      <c r="Y6702" s="1"/>
      <c r="AB6702" s="1"/>
      <c r="AC6702" s="1"/>
      <c r="AD6702" s="1"/>
      <c r="AE6702" s="1"/>
      <c r="AF6702" s="1"/>
      <c r="AG6702" s="1"/>
      <c r="AH6702" s="1"/>
      <c r="AI6702" s="1"/>
      <c r="AJ6702" s="1"/>
      <c r="AK6702" s="1"/>
      <c r="AL6702" s="1"/>
      <c r="AM6702" s="1"/>
    </row>
    <row r="6703" spans="16:39" x14ac:dyDescent="0.25">
      <c r="P6703" s="49"/>
      <c r="Q6703" s="1"/>
      <c r="S6703" s="1"/>
      <c r="T6703" s="1"/>
      <c r="U6703" s="1"/>
      <c r="V6703" s="1"/>
      <c r="W6703" s="1"/>
      <c r="X6703" s="1"/>
      <c r="Y6703" s="1"/>
      <c r="AB6703" s="1"/>
      <c r="AC6703" s="1"/>
      <c r="AD6703" s="1"/>
      <c r="AE6703" s="1"/>
      <c r="AF6703" s="1"/>
      <c r="AG6703" s="1"/>
      <c r="AH6703" s="1"/>
      <c r="AI6703" s="1"/>
      <c r="AJ6703" s="1"/>
      <c r="AK6703" s="1"/>
      <c r="AL6703" s="1"/>
      <c r="AM6703" s="1"/>
    </row>
    <row r="6704" spans="16:39" x14ac:dyDescent="0.25">
      <c r="P6704" s="49"/>
      <c r="Q6704" s="1"/>
      <c r="S6704" s="1"/>
      <c r="T6704" s="1"/>
      <c r="U6704" s="1"/>
      <c r="V6704" s="1"/>
      <c r="W6704" s="1"/>
      <c r="X6704" s="1"/>
      <c r="Y6704" s="1"/>
      <c r="AB6704" s="1"/>
      <c r="AC6704" s="1"/>
      <c r="AD6704" s="1"/>
      <c r="AE6704" s="1"/>
      <c r="AF6704" s="1"/>
      <c r="AG6704" s="1"/>
      <c r="AH6704" s="1"/>
      <c r="AI6704" s="1"/>
      <c r="AJ6704" s="1"/>
      <c r="AK6704" s="1"/>
      <c r="AL6704" s="1"/>
      <c r="AM6704" s="1"/>
    </row>
    <row r="6705" spans="16:39" x14ac:dyDescent="0.25">
      <c r="P6705" s="49"/>
      <c r="Q6705" s="1"/>
      <c r="S6705" s="1"/>
      <c r="T6705" s="1"/>
      <c r="U6705" s="1"/>
      <c r="V6705" s="1"/>
      <c r="W6705" s="1"/>
      <c r="X6705" s="1"/>
      <c r="Y6705" s="1"/>
      <c r="AB6705" s="1"/>
      <c r="AC6705" s="1"/>
      <c r="AD6705" s="1"/>
      <c r="AE6705" s="1"/>
      <c r="AF6705" s="1"/>
      <c r="AG6705" s="1"/>
      <c r="AH6705" s="1"/>
      <c r="AI6705" s="1"/>
      <c r="AJ6705" s="1"/>
      <c r="AK6705" s="1"/>
      <c r="AL6705" s="1"/>
      <c r="AM6705" s="1"/>
    </row>
    <row r="6706" spans="16:39" x14ac:dyDescent="0.25">
      <c r="P6706" s="49"/>
      <c r="Q6706" s="1"/>
      <c r="S6706" s="1"/>
      <c r="T6706" s="1"/>
      <c r="U6706" s="1"/>
      <c r="V6706" s="1"/>
      <c r="W6706" s="1"/>
      <c r="X6706" s="1"/>
      <c r="Y6706" s="1"/>
      <c r="AB6706" s="1"/>
      <c r="AC6706" s="1"/>
      <c r="AD6706" s="1"/>
      <c r="AE6706" s="1"/>
      <c r="AF6706" s="1"/>
      <c r="AG6706" s="1"/>
      <c r="AH6706" s="1"/>
      <c r="AI6706" s="1"/>
      <c r="AJ6706" s="1"/>
      <c r="AK6706" s="1"/>
      <c r="AL6706" s="1"/>
      <c r="AM6706" s="1"/>
    </row>
    <row r="6707" spans="16:39" x14ac:dyDescent="0.25">
      <c r="P6707" s="49"/>
      <c r="Q6707" s="1"/>
      <c r="S6707" s="1"/>
      <c r="T6707" s="1"/>
      <c r="U6707" s="1"/>
      <c r="V6707" s="1"/>
      <c r="W6707" s="1"/>
      <c r="X6707" s="1"/>
      <c r="Y6707" s="1"/>
      <c r="AB6707" s="1"/>
      <c r="AC6707" s="1"/>
      <c r="AD6707" s="1"/>
      <c r="AE6707" s="1"/>
      <c r="AF6707" s="1"/>
      <c r="AG6707" s="1"/>
      <c r="AH6707" s="1"/>
      <c r="AI6707" s="1"/>
      <c r="AJ6707" s="1"/>
      <c r="AK6707" s="1"/>
      <c r="AL6707" s="1"/>
      <c r="AM6707" s="1"/>
    </row>
    <row r="6708" spans="16:39" x14ac:dyDescent="0.25">
      <c r="P6708" s="49"/>
      <c r="Q6708" s="1"/>
      <c r="S6708" s="1"/>
      <c r="T6708" s="1"/>
      <c r="U6708" s="1"/>
      <c r="V6708" s="1"/>
      <c r="W6708" s="1"/>
      <c r="X6708" s="1"/>
      <c r="Y6708" s="1"/>
      <c r="AB6708" s="1"/>
      <c r="AC6708" s="1"/>
      <c r="AD6708" s="1"/>
      <c r="AE6708" s="1"/>
      <c r="AF6708" s="1"/>
      <c r="AG6708" s="1"/>
      <c r="AH6708" s="1"/>
      <c r="AI6708" s="1"/>
      <c r="AJ6708" s="1"/>
      <c r="AK6708" s="1"/>
      <c r="AL6708" s="1"/>
      <c r="AM6708" s="1"/>
    </row>
    <row r="6709" spans="16:39" x14ac:dyDescent="0.25">
      <c r="P6709" s="49"/>
      <c r="Q6709" s="1"/>
      <c r="S6709" s="1"/>
      <c r="T6709" s="1"/>
      <c r="U6709" s="1"/>
      <c r="V6709" s="1"/>
      <c r="W6709" s="1"/>
      <c r="X6709" s="1"/>
      <c r="Y6709" s="1"/>
      <c r="AB6709" s="1"/>
      <c r="AC6709" s="1"/>
      <c r="AD6709" s="1"/>
      <c r="AE6709" s="1"/>
      <c r="AF6709" s="1"/>
      <c r="AG6709" s="1"/>
      <c r="AH6709" s="1"/>
      <c r="AI6709" s="1"/>
      <c r="AJ6709" s="1"/>
      <c r="AK6709" s="1"/>
      <c r="AL6709" s="1"/>
      <c r="AM6709" s="1"/>
    </row>
    <row r="6710" spans="16:39" x14ac:dyDescent="0.25">
      <c r="P6710" s="49"/>
      <c r="Q6710" s="1"/>
      <c r="S6710" s="1"/>
      <c r="T6710" s="1"/>
      <c r="U6710" s="1"/>
      <c r="V6710" s="1"/>
      <c r="W6710" s="1"/>
      <c r="X6710" s="1"/>
      <c r="Y6710" s="1"/>
      <c r="AB6710" s="1"/>
      <c r="AC6710" s="1"/>
      <c r="AD6710" s="1"/>
      <c r="AE6710" s="1"/>
      <c r="AF6710" s="1"/>
      <c r="AG6710" s="1"/>
      <c r="AH6710" s="1"/>
      <c r="AI6710" s="1"/>
      <c r="AJ6710" s="1"/>
      <c r="AK6710" s="1"/>
      <c r="AL6710" s="1"/>
      <c r="AM6710" s="1"/>
    </row>
    <row r="6711" spans="16:39" x14ac:dyDescent="0.25">
      <c r="P6711" s="49"/>
      <c r="Q6711" s="1"/>
      <c r="S6711" s="1"/>
      <c r="T6711" s="1"/>
      <c r="U6711" s="1"/>
      <c r="V6711" s="1"/>
      <c r="W6711" s="1"/>
      <c r="X6711" s="1"/>
      <c r="Y6711" s="1"/>
      <c r="AB6711" s="1"/>
      <c r="AC6711" s="1"/>
      <c r="AD6711" s="1"/>
      <c r="AE6711" s="1"/>
      <c r="AF6711" s="1"/>
      <c r="AG6711" s="1"/>
      <c r="AH6711" s="1"/>
      <c r="AI6711" s="1"/>
      <c r="AJ6711" s="1"/>
      <c r="AK6711" s="1"/>
      <c r="AL6711" s="1"/>
      <c r="AM6711" s="1"/>
    </row>
    <row r="6712" spans="16:39" x14ac:dyDescent="0.25">
      <c r="P6712" s="49"/>
      <c r="Q6712" s="1"/>
      <c r="S6712" s="1"/>
      <c r="T6712" s="1"/>
      <c r="U6712" s="1"/>
      <c r="V6712" s="1"/>
      <c r="W6712" s="1"/>
      <c r="X6712" s="1"/>
      <c r="Y6712" s="1"/>
      <c r="AB6712" s="1"/>
      <c r="AC6712" s="1"/>
      <c r="AD6712" s="1"/>
      <c r="AE6712" s="1"/>
      <c r="AF6712" s="1"/>
      <c r="AG6712" s="1"/>
      <c r="AH6712" s="1"/>
      <c r="AI6712" s="1"/>
      <c r="AJ6712" s="1"/>
      <c r="AK6712" s="1"/>
      <c r="AL6712" s="1"/>
      <c r="AM6712" s="1"/>
    </row>
    <row r="6713" spans="16:39" x14ac:dyDescent="0.25">
      <c r="P6713" s="49"/>
      <c r="Q6713" s="1"/>
      <c r="S6713" s="1"/>
      <c r="T6713" s="1"/>
      <c r="U6713" s="1"/>
      <c r="V6713" s="1"/>
      <c r="W6713" s="1"/>
      <c r="X6713" s="1"/>
      <c r="Y6713" s="1"/>
      <c r="AB6713" s="1"/>
      <c r="AC6713" s="1"/>
      <c r="AD6713" s="1"/>
      <c r="AE6713" s="1"/>
      <c r="AF6713" s="1"/>
      <c r="AG6713" s="1"/>
      <c r="AH6713" s="1"/>
      <c r="AI6713" s="1"/>
      <c r="AJ6713" s="1"/>
      <c r="AK6713" s="1"/>
      <c r="AL6713" s="1"/>
      <c r="AM6713" s="1"/>
    </row>
    <row r="6714" spans="16:39" x14ac:dyDescent="0.25">
      <c r="P6714" s="49"/>
      <c r="Q6714" s="1"/>
      <c r="S6714" s="1"/>
      <c r="T6714" s="1"/>
      <c r="U6714" s="1"/>
      <c r="V6714" s="1"/>
      <c r="W6714" s="1"/>
      <c r="X6714" s="1"/>
      <c r="Y6714" s="1"/>
      <c r="AB6714" s="1"/>
      <c r="AC6714" s="1"/>
      <c r="AD6714" s="1"/>
      <c r="AE6714" s="1"/>
      <c r="AF6714" s="1"/>
      <c r="AG6714" s="1"/>
      <c r="AH6714" s="1"/>
      <c r="AI6714" s="1"/>
      <c r="AJ6714" s="1"/>
      <c r="AK6714" s="1"/>
      <c r="AL6714" s="1"/>
      <c r="AM6714" s="1"/>
    </row>
    <row r="6715" spans="16:39" x14ac:dyDescent="0.25">
      <c r="P6715" s="49"/>
      <c r="Q6715" s="1"/>
      <c r="S6715" s="1"/>
      <c r="T6715" s="1"/>
      <c r="U6715" s="1"/>
      <c r="V6715" s="1"/>
      <c r="W6715" s="1"/>
      <c r="X6715" s="1"/>
      <c r="Y6715" s="1"/>
      <c r="AB6715" s="1"/>
      <c r="AC6715" s="1"/>
      <c r="AD6715" s="1"/>
      <c r="AE6715" s="1"/>
      <c r="AF6715" s="1"/>
      <c r="AG6715" s="1"/>
      <c r="AH6715" s="1"/>
      <c r="AI6715" s="1"/>
      <c r="AJ6715" s="1"/>
      <c r="AK6715" s="1"/>
      <c r="AL6715" s="1"/>
      <c r="AM6715" s="1"/>
    </row>
    <row r="6716" spans="16:39" x14ac:dyDescent="0.25">
      <c r="P6716" s="49"/>
      <c r="Q6716" s="1"/>
      <c r="S6716" s="1"/>
      <c r="T6716" s="1"/>
      <c r="U6716" s="1"/>
      <c r="V6716" s="1"/>
      <c r="W6716" s="1"/>
      <c r="X6716" s="1"/>
      <c r="Y6716" s="1"/>
      <c r="AB6716" s="1"/>
      <c r="AC6716" s="1"/>
      <c r="AD6716" s="1"/>
      <c r="AE6716" s="1"/>
      <c r="AF6716" s="1"/>
      <c r="AG6716" s="1"/>
      <c r="AH6716" s="1"/>
      <c r="AI6716" s="1"/>
      <c r="AJ6716" s="1"/>
      <c r="AK6716" s="1"/>
      <c r="AL6716" s="1"/>
      <c r="AM6716" s="1"/>
    </row>
    <row r="6717" spans="16:39" x14ac:dyDescent="0.25">
      <c r="P6717" s="49"/>
      <c r="Q6717" s="1"/>
      <c r="S6717" s="1"/>
      <c r="T6717" s="1"/>
      <c r="U6717" s="1"/>
      <c r="V6717" s="1"/>
      <c r="W6717" s="1"/>
      <c r="X6717" s="1"/>
      <c r="Y6717" s="1"/>
      <c r="AB6717" s="1"/>
      <c r="AC6717" s="1"/>
      <c r="AD6717" s="1"/>
      <c r="AE6717" s="1"/>
      <c r="AF6717" s="1"/>
      <c r="AG6717" s="1"/>
      <c r="AH6717" s="1"/>
      <c r="AI6717" s="1"/>
      <c r="AJ6717" s="1"/>
      <c r="AK6717" s="1"/>
      <c r="AL6717" s="1"/>
      <c r="AM6717" s="1"/>
    </row>
    <row r="6718" spans="16:39" x14ac:dyDescent="0.25">
      <c r="P6718" s="49"/>
      <c r="Q6718" s="1"/>
      <c r="S6718" s="1"/>
      <c r="T6718" s="1"/>
      <c r="U6718" s="1"/>
      <c r="V6718" s="1"/>
      <c r="W6718" s="1"/>
      <c r="X6718" s="1"/>
      <c r="Y6718" s="1"/>
      <c r="AB6718" s="1"/>
      <c r="AC6718" s="1"/>
      <c r="AD6718" s="1"/>
      <c r="AE6718" s="1"/>
      <c r="AF6718" s="1"/>
      <c r="AG6718" s="1"/>
      <c r="AH6718" s="1"/>
      <c r="AI6718" s="1"/>
      <c r="AJ6718" s="1"/>
      <c r="AK6718" s="1"/>
      <c r="AL6718" s="1"/>
      <c r="AM6718" s="1"/>
    </row>
    <row r="6719" spans="16:39" x14ac:dyDescent="0.25">
      <c r="P6719" s="49"/>
      <c r="Q6719" s="1"/>
      <c r="S6719" s="1"/>
      <c r="T6719" s="1"/>
      <c r="U6719" s="1"/>
      <c r="V6719" s="1"/>
      <c r="W6719" s="1"/>
      <c r="X6719" s="1"/>
      <c r="Y6719" s="1"/>
      <c r="AB6719" s="1"/>
      <c r="AC6719" s="1"/>
      <c r="AD6719" s="1"/>
      <c r="AE6719" s="1"/>
      <c r="AF6719" s="1"/>
      <c r="AG6719" s="1"/>
      <c r="AH6719" s="1"/>
      <c r="AI6719" s="1"/>
      <c r="AJ6719" s="1"/>
      <c r="AK6719" s="1"/>
      <c r="AL6719" s="1"/>
      <c r="AM6719" s="1"/>
    </row>
    <row r="6720" spans="16:39" x14ac:dyDescent="0.25">
      <c r="P6720" s="49"/>
      <c r="Q6720" s="1"/>
      <c r="S6720" s="1"/>
      <c r="T6720" s="1"/>
      <c r="U6720" s="1"/>
      <c r="V6720" s="1"/>
      <c r="W6720" s="1"/>
      <c r="X6720" s="1"/>
      <c r="Y6720" s="1"/>
      <c r="AB6720" s="1"/>
      <c r="AC6720" s="1"/>
      <c r="AD6720" s="1"/>
      <c r="AE6720" s="1"/>
      <c r="AF6720" s="1"/>
      <c r="AG6720" s="1"/>
      <c r="AH6720" s="1"/>
      <c r="AI6720" s="1"/>
      <c r="AJ6720" s="1"/>
      <c r="AK6720" s="1"/>
      <c r="AL6720" s="1"/>
      <c r="AM6720" s="1"/>
    </row>
    <row r="6721" spans="16:39" x14ac:dyDescent="0.25">
      <c r="P6721" s="49"/>
      <c r="Q6721" s="1"/>
      <c r="S6721" s="1"/>
      <c r="T6721" s="1"/>
      <c r="U6721" s="1"/>
      <c r="V6721" s="1"/>
      <c r="W6721" s="1"/>
      <c r="X6721" s="1"/>
      <c r="Y6721" s="1"/>
      <c r="AB6721" s="1"/>
      <c r="AC6721" s="1"/>
      <c r="AD6721" s="1"/>
      <c r="AE6721" s="1"/>
      <c r="AF6721" s="1"/>
      <c r="AG6721" s="1"/>
      <c r="AH6721" s="1"/>
      <c r="AI6721" s="1"/>
      <c r="AJ6721" s="1"/>
      <c r="AK6721" s="1"/>
      <c r="AL6721" s="1"/>
      <c r="AM6721" s="1"/>
    </row>
    <row r="6722" spans="16:39" x14ac:dyDescent="0.25">
      <c r="P6722" s="49"/>
      <c r="Q6722" s="1"/>
      <c r="S6722" s="1"/>
      <c r="T6722" s="1"/>
      <c r="U6722" s="1"/>
      <c r="V6722" s="1"/>
      <c r="W6722" s="1"/>
      <c r="X6722" s="1"/>
      <c r="Y6722" s="1"/>
      <c r="AB6722" s="1"/>
      <c r="AC6722" s="1"/>
      <c r="AD6722" s="1"/>
      <c r="AE6722" s="1"/>
      <c r="AF6722" s="1"/>
      <c r="AG6722" s="1"/>
      <c r="AH6722" s="1"/>
      <c r="AI6722" s="1"/>
      <c r="AJ6722" s="1"/>
      <c r="AK6722" s="1"/>
      <c r="AL6722" s="1"/>
      <c r="AM6722" s="1"/>
    </row>
    <row r="6723" spans="16:39" x14ac:dyDescent="0.25">
      <c r="P6723" s="49"/>
      <c r="Q6723" s="1"/>
      <c r="S6723" s="1"/>
      <c r="T6723" s="1"/>
      <c r="U6723" s="1"/>
      <c r="V6723" s="1"/>
      <c r="W6723" s="1"/>
      <c r="X6723" s="1"/>
      <c r="Y6723" s="1"/>
      <c r="AB6723" s="1"/>
      <c r="AC6723" s="1"/>
      <c r="AD6723" s="1"/>
      <c r="AE6723" s="1"/>
      <c r="AF6723" s="1"/>
      <c r="AG6723" s="1"/>
      <c r="AH6723" s="1"/>
      <c r="AI6723" s="1"/>
      <c r="AJ6723" s="1"/>
      <c r="AK6723" s="1"/>
      <c r="AL6723" s="1"/>
      <c r="AM6723" s="1"/>
    </row>
    <row r="6724" spans="16:39" x14ac:dyDescent="0.25">
      <c r="P6724" s="49"/>
      <c r="Q6724" s="1"/>
      <c r="S6724" s="1"/>
      <c r="T6724" s="1"/>
      <c r="U6724" s="1"/>
      <c r="V6724" s="1"/>
      <c r="W6724" s="1"/>
      <c r="X6724" s="1"/>
      <c r="Y6724" s="1"/>
      <c r="AB6724" s="1"/>
      <c r="AC6724" s="1"/>
      <c r="AD6724" s="1"/>
      <c r="AE6724" s="1"/>
      <c r="AF6724" s="1"/>
      <c r="AG6724" s="1"/>
      <c r="AH6724" s="1"/>
      <c r="AI6724" s="1"/>
      <c r="AJ6724" s="1"/>
      <c r="AK6724" s="1"/>
      <c r="AL6724" s="1"/>
      <c r="AM6724" s="1"/>
    </row>
    <row r="6725" spans="16:39" x14ac:dyDescent="0.25">
      <c r="P6725" s="49"/>
      <c r="Q6725" s="1"/>
      <c r="S6725" s="1"/>
      <c r="T6725" s="1"/>
      <c r="U6725" s="1"/>
      <c r="V6725" s="1"/>
      <c r="W6725" s="1"/>
      <c r="X6725" s="1"/>
      <c r="Y6725" s="1"/>
      <c r="AB6725" s="1"/>
      <c r="AC6725" s="1"/>
      <c r="AD6725" s="1"/>
      <c r="AE6725" s="1"/>
      <c r="AF6725" s="1"/>
      <c r="AG6725" s="1"/>
      <c r="AH6725" s="1"/>
      <c r="AI6725" s="1"/>
      <c r="AJ6725" s="1"/>
      <c r="AK6725" s="1"/>
      <c r="AL6725" s="1"/>
      <c r="AM6725" s="1"/>
    </row>
    <row r="6726" spans="16:39" x14ac:dyDescent="0.25">
      <c r="P6726" s="49"/>
      <c r="Q6726" s="1"/>
      <c r="S6726" s="1"/>
      <c r="T6726" s="1"/>
      <c r="U6726" s="1"/>
      <c r="V6726" s="1"/>
      <c r="W6726" s="1"/>
      <c r="X6726" s="1"/>
      <c r="Y6726" s="1"/>
      <c r="AB6726" s="1"/>
      <c r="AC6726" s="1"/>
      <c r="AD6726" s="1"/>
      <c r="AE6726" s="1"/>
      <c r="AF6726" s="1"/>
      <c r="AG6726" s="1"/>
      <c r="AH6726" s="1"/>
      <c r="AI6726" s="1"/>
      <c r="AJ6726" s="1"/>
      <c r="AK6726" s="1"/>
      <c r="AL6726" s="1"/>
      <c r="AM6726" s="1"/>
    </row>
    <row r="6727" spans="16:39" x14ac:dyDescent="0.25">
      <c r="P6727" s="49"/>
      <c r="Q6727" s="1"/>
      <c r="S6727" s="1"/>
      <c r="T6727" s="1"/>
      <c r="U6727" s="1"/>
      <c r="V6727" s="1"/>
      <c r="W6727" s="1"/>
      <c r="X6727" s="1"/>
      <c r="Y6727" s="1"/>
      <c r="AB6727" s="1"/>
      <c r="AC6727" s="1"/>
      <c r="AD6727" s="1"/>
      <c r="AE6727" s="1"/>
      <c r="AF6727" s="1"/>
      <c r="AG6727" s="1"/>
      <c r="AH6727" s="1"/>
      <c r="AI6727" s="1"/>
      <c r="AJ6727" s="1"/>
      <c r="AK6727" s="1"/>
      <c r="AL6727" s="1"/>
      <c r="AM6727" s="1"/>
    </row>
    <row r="6728" spans="16:39" x14ac:dyDescent="0.25">
      <c r="P6728" s="49"/>
      <c r="Q6728" s="1"/>
      <c r="S6728" s="1"/>
      <c r="T6728" s="1"/>
      <c r="U6728" s="1"/>
      <c r="V6728" s="1"/>
      <c r="W6728" s="1"/>
      <c r="X6728" s="1"/>
      <c r="Y6728" s="1"/>
      <c r="AB6728" s="1"/>
      <c r="AC6728" s="1"/>
      <c r="AD6728" s="1"/>
      <c r="AE6728" s="1"/>
      <c r="AF6728" s="1"/>
      <c r="AG6728" s="1"/>
      <c r="AH6728" s="1"/>
      <c r="AI6728" s="1"/>
      <c r="AJ6728" s="1"/>
      <c r="AK6728" s="1"/>
      <c r="AL6728" s="1"/>
      <c r="AM6728" s="1"/>
    </row>
    <row r="6729" spans="16:39" x14ac:dyDescent="0.25">
      <c r="P6729" s="49"/>
      <c r="Q6729" s="1"/>
      <c r="S6729" s="1"/>
      <c r="T6729" s="1"/>
      <c r="U6729" s="1"/>
      <c r="V6729" s="1"/>
      <c r="W6729" s="1"/>
      <c r="X6729" s="1"/>
      <c r="Y6729" s="1"/>
      <c r="AB6729" s="1"/>
      <c r="AC6729" s="1"/>
      <c r="AD6729" s="1"/>
      <c r="AE6729" s="1"/>
      <c r="AF6729" s="1"/>
      <c r="AG6729" s="1"/>
      <c r="AH6729" s="1"/>
      <c r="AI6729" s="1"/>
      <c r="AJ6729" s="1"/>
      <c r="AK6729" s="1"/>
      <c r="AL6729" s="1"/>
      <c r="AM6729" s="1"/>
    </row>
    <row r="6730" spans="16:39" x14ac:dyDescent="0.25">
      <c r="P6730" s="49"/>
      <c r="Q6730" s="1"/>
      <c r="S6730" s="1"/>
      <c r="T6730" s="1"/>
      <c r="U6730" s="1"/>
      <c r="V6730" s="1"/>
      <c r="W6730" s="1"/>
      <c r="X6730" s="1"/>
      <c r="Y6730" s="1"/>
      <c r="AB6730" s="1"/>
      <c r="AC6730" s="1"/>
      <c r="AD6730" s="1"/>
      <c r="AE6730" s="1"/>
      <c r="AF6730" s="1"/>
      <c r="AG6730" s="1"/>
      <c r="AH6730" s="1"/>
      <c r="AI6730" s="1"/>
      <c r="AJ6730" s="1"/>
      <c r="AK6730" s="1"/>
      <c r="AL6730" s="1"/>
      <c r="AM6730" s="1"/>
    </row>
    <row r="6731" spans="16:39" x14ac:dyDescent="0.25">
      <c r="P6731" s="49"/>
      <c r="Q6731" s="1"/>
      <c r="S6731" s="1"/>
      <c r="T6731" s="1"/>
      <c r="U6731" s="1"/>
      <c r="V6731" s="1"/>
      <c r="W6731" s="1"/>
      <c r="X6731" s="1"/>
      <c r="Y6731" s="1"/>
      <c r="AB6731" s="1"/>
      <c r="AC6731" s="1"/>
      <c r="AD6731" s="1"/>
      <c r="AE6731" s="1"/>
      <c r="AF6731" s="1"/>
      <c r="AG6731" s="1"/>
      <c r="AH6731" s="1"/>
      <c r="AI6731" s="1"/>
      <c r="AJ6731" s="1"/>
      <c r="AK6731" s="1"/>
      <c r="AL6731" s="1"/>
      <c r="AM6731" s="1"/>
    </row>
    <row r="6732" spans="16:39" x14ac:dyDescent="0.25">
      <c r="P6732" s="49"/>
      <c r="Q6732" s="1"/>
      <c r="S6732" s="1"/>
      <c r="T6732" s="1"/>
      <c r="U6732" s="1"/>
      <c r="V6732" s="1"/>
      <c r="W6732" s="1"/>
      <c r="X6732" s="1"/>
      <c r="Y6732" s="1"/>
      <c r="AB6732" s="1"/>
      <c r="AC6732" s="1"/>
      <c r="AD6732" s="1"/>
      <c r="AE6732" s="1"/>
      <c r="AF6732" s="1"/>
      <c r="AG6732" s="1"/>
      <c r="AH6732" s="1"/>
      <c r="AI6732" s="1"/>
      <c r="AJ6732" s="1"/>
      <c r="AK6732" s="1"/>
      <c r="AL6732" s="1"/>
      <c r="AM6732" s="1"/>
    </row>
    <row r="6733" spans="16:39" x14ac:dyDescent="0.25">
      <c r="P6733" s="49"/>
      <c r="Q6733" s="1"/>
      <c r="S6733" s="1"/>
      <c r="T6733" s="1"/>
      <c r="U6733" s="1"/>
      <c r="V6733" s="1"/>
      <c r="W6733" s="1"/>
      <c r="X6733" s="1"/>
      <c r="Y6733" s="1"/>
      <c r="AB6733" s="1"/>
      <c r="AC6733" s="1"/>
      <c r="AD6733" s="1"/>
      <c r="AE6733" s="1"/>
      <c r="AF6733" s="1"/>
      <c r="AG6733" s="1"/>
      <c r="AH6733" s="1"/>
      <c r="AI6733" s="1"/>
      <c r="AJ6733" s="1"/>
      <c r="AK6733" s="1"/>
      <c r="AL6733" s="1"/>
      <c r="AM6733" s="1"/>
    </row>
    <row r="6734" spans="16:39" x14ac:dyDescent="0.25">
      <c r="P6734" s="49"/>
      <c r="Q6734" s="1"/>
      <c r="S6734" s="1"/>
      <c r="T6734" s="1"/>
      <c r="U6734" s="1"/>
      <c r="V6734" s="1"/>
      <c r="W6734" s="1"/>
      <c r="X6734" s="1"/>
      <c r="Y6734" s="1"/>
      <c r="AB6734" s="1"/>
      <c r="AC6734" s="1"/>
      <c r="AD6734" s="1"/>
      <c r="AE6734" s="1"/>
      <c r="AF6734" s="1"/>
      <c r="AG6734" s="1"/>
      <c r="AH6734" s="1"/>
      <c r="AI6734" s="1"/>
      <c r="AJ6734" s="1"/>
      <c r="AK6734" s="1"/>
      <c r="AL6734" s="1"/>
      <c r="AM6734" s="1"/>
    </row>
    <row r="6735" spans="16:39" x14ac:dyDescent="0.25">
      <c r="P6735" s="49"/>
      <c r="Q6735" s="1"/>
      <c r="S6735" s="1"/>
      <c r="T6735" s="1"/>
      <c r="U6735" s="1"/>
      <c r="V6735" s="1"/>
      <c r="W6735" s="1"/>
      <c r="X6735" s="1"/>
      <c r="Y6735" s="1"/>
      <c r="AB6735" s="1"/>
      <c r="AC6735" s="1"/>
      <c r="AD6735" s="1"/>
      <c r="AE6735" s="1"/>
      <c r="AF6735" s="1"/>
      <c r="AG6735" s="1"/>
      <c r="AH6735" s="1"/>
      <c r="AI6735" s="1"/>
      <c r="AJ6735" s="1"/>
      <c r="AK6735" s="1"/>
      <c r="AL6735" s="1"/>
      <c r="AM6735" s="1"/>
    </row>
    <row r="6736" spans="16:39" x14ac:dyDescent="0.25">
      <c r="P6736" s="49"/>
      <c r="Q6736" s="1"/>
      <c r="S6736" s="1"/>
      <c r="T6736" s="1"/>
      <c r="U6736" s="1"/>
      <c r="V6736" s="1"/>
      <c r="W6736" s="1"/>
      <c r="X6736" s="1"/>
      <c r="Y6736" s="1"/>
      <c r="AB6736" s="1"/>
      <c r="AC6736" s="1"/>
      <c r="AD6736" s="1"/>
      <c r="AE6736" s="1"/>
      <c r="AF6736" s="1"/>
      <c r="AG6736" s="1"/>
      <c r="AH6736" s="1"/>
      <c r="AI6736" s="1"/>
      <c r="AJ6736" s="1"/>
      <c r="AK6736" s="1"/>
      <c r="AL6736" s="1"/>
      <c r="AM6736" s="1"/>
    </row>
    <row r="6737" spans="16:39" x14ac:dyDescent="0.25">
      <c r="P6737" s="49"/>
      <c r="Q6737" s="1"/>
      <c r="S6737" s="1"/>
      <c r="T6737" s="1"/>
      <c r="U6737" s="1"/>
      <c r="V6737" s="1"/>
      <c r="W6737" s="1"/>
      <c r="X6737" s="1"/>
      <c r="Y6737" s="1"/>
      <c r="AB6737" s="1"/>
      <c r="AC6737" s="1"/>
      <c r="AD6737" s="1"/>
      <c r="AE6737" s="1"/>
      <c r="AF6737" s="1"/>
      <c r="AG6737" s="1"/>
      <c r="AH6737" s="1"/>
      <c r="AI6737" s="1"/>
      <c r="AJ6737" s="1"/>
      <c r="AK6737" s="1"/>
      <c r="AL6737" s="1"/>
      <c r="AM6737" s="1"/>
    </row>
    <row r="6738" spans="16:39" x14ac:dyDescent="0.25">
      <c r="P6738" s="49"/>
      <c r="Q6738" s="1"/>
      <c r="S6738" s="1"/>
      <c r="T6738" s="1"/>
      <c r="U6738" s="1"/>
      <c r="V6738" s="1"/>
      <c r="W6738" s="1"/>
      <c r="X6738" s="1"/>
      <c r="Y6738" s="1"/>
      <c r="AB6738" s="1"/>
      <c r="AC6738" s="1"/>
      <c r="AD6738" s="1"/>
      <c r="AE6738" s="1"/>
      <c r="AF6738" s="1"/>
      <c r="AG6738" s="1"/>
      <c r="AH6738" s="1"/>
      <c r="AI6738" s="1"/>
      <c r="AJ6738" s="1"/>
      <c r="AK6738" s="1"/>
      <c r="AL6738" s="1"/>
      <c r="AM6738" s="1"/>
    </row>
    <row r="6739" spans="16:39" x14ac:dyDescent="0.25">
      <c r="P6739" s="49"/>
      <c r="Q6739" s="1"/>
      <c r="S6739" s="1"/>
      <c r="T6739" s="1"/>
      <c r="U6739" s="1"/>
      <c r="V6739" s="1"/>
      <c r="W6739" s="1"/>
      <c r="X6739" s="1"/>
      <c r="Y6739" s="1"/>
      <c r="AB6739" s="1"/>
      <c r="AC6739" s="1"/>
      <c r="AD6739" s="1"/>
      <c r="AE6739" s="1"/>
      <c r="AF6739" s="1"/>
      <c r="AG6739" s="1"/>
      <c r="AH6739" s="1"/>
      <c r="AI6739" s="1"/>
      <c r="AJ6739" s="1"/>
      <c r="AK6739" s="1"/>
      <c r="AL6739" s="1"/>
      <c r="AM6739" s="1"/>
    </row>
    <row r="6740" spans="16:39" x14ac:dyDescent="0.25">
      <c r="P6740" s="49"/>
      <c r="Q6740" s="1"/>
      <c r="S6740" s="1"/>
      <c r="T6740" s="1"/>
      <c r="U6740" s="1"/>
      <c r="V6740" s="1"/>
      <c r="W6740" s="1"/>
      <c r="X6740" s="1"/>
      <c r="Y6740" s="1"/>
      <c r="AB6740" s="1"/>
      <c r="AC6740" s="1"/>
      <c r="AD6740" s="1"/>
      <c r="AE6740" s="1"/>
      <c r="AF6740" s="1"/>
      <c r="AG6740" s="1"/>
      <c r="AH6740" s="1"/>
      <c r="AI6740" s="1"/>
      <c r="AJ6740" s="1"/>
      <c r="AK6740" s="1"/>
      <c r="AL6740" s="1"/>
      <c r="AM6740" s="1"/>
    </row>
    <row r="6741" spans="16:39" x14ac:dyDescent="0.25">
      <c r="P6741" s="49"/>
      <c r="Q6741" s="1"/>
      <c r="S6741" s="1"/>
      <c r="T6741" s="1"/>
      <c r="U6741" s="1"/>
      <c r="V6741" s="1"/>
      <c r="W6741" s="1"/>
      <c r="X6741" s="1"/>
      <c r="Y6741" s="1"/>
      <c r="AB6741" s="1"/>
      <c r="AC6741" s="1"/>
      <c r="AD6741" s="1"/>
      <c r="AE6741" s="1"/>
      <c r="AF6741" s="1"/>
      <c r="AG6741" s="1"/>
      <c r="AH6741" s="1"/>
      <c r="AI6741" s="1"/>
      <c r="AJ6741" s="1"/>
      <c r="AK6741" s="1"/>
      <c r="AL6741" s="1"/>
      <c r="AM6741" s="1"/>
    </row>
    <row r="6742" spans="16:39" x14ac:dyDescent="0.25">
      <c r="P6742" s="49"/>
      <c r="Q6742" s="1"/>
      <c r="S6742" s="1"/>
      <c r="T6742" s="1"/>
      <c r="U6742" s="1"/>
      <c r="V6742" s="1"/>
      <c r="W6742" s="1"/>
      <c r="X6742" s="1"/>
      <c r="Y6742" s="1"/>
      <c r="AB6742" s="1"/>
      <c r="AC6742" s="1"/>
      <c r="AD6742" s="1"/>
      <c r="AE6742" s="1"/>
      <c r="AF6742" s="1"/>
      <c r="AG6742" s="1"/>
      <c r="AH6742" s="1"/>
      <c r="AI6742" s="1"/>
      <c r="AJ6742" s="1"/>
      <c r="AK6742" s="1"/>
      <c r="AL6742" s="1"/>
      <c r="AM6742" s="1"/>
    </row>
    <row r="6743" spans="16:39" x14ac:dyDescent="0.25">
      <c r="P6743" s="49"/>
      <c r="Q6743" s="1"/>
      <c r="S6743" s="1"/>
      <c r="T6743" s="1"/>
      <c r="U6743" s="1"/>
      <c r="V6743" s="1"/>
      <c r="W6743" s="1"/>
      <c r="X6743" s="1"/>
      <c r="Y6743" s="1"/>
      <c r="AB6743" s="1"/>
      <c r="AC6743" s="1"/>
      <c r="AD6743" s="1"/>
      <c r="AE6743" s="1"/>
      <c r="AF6743" s="1"/>
      <c r="AG6743" s="1"/>
      <c r="AH6743" s="1"/>
      <c r="AI6743" s="1"/>
      <c r="AJ6743" s="1"/>
      <c r="AK6743" s="1"/>
      <c r="AL6743" s="1"/>
      <c r="AM6743" s="1"/>
    </row>
    <row r="6744" spans="16:39" x14ac:dyDescent="0.25">
      <c r="P6744" s="49"/>
      <c r="Q6744" s="1"/>
      <c r="S6744" s="1"/>
      <c r="T6744" s="1"/>
      <c r="U6744" s="1"/>
      <c r="V6744" s="1"/>
      <c r="W6744" s="1"/>
      <c r="X6744" s="1"/>
      <c r="Y6744" s="1"/>
      <c r="AB6744" s="1"/>
      <c r="AC6744" s="1"/>
      <c r="AD6744" s="1"/>
      <c r="AE6744" s="1"/>
      <c r="AF6744" s="1"/>
      <c r="AG6744" s="1"/>
      <c r="AH6744" s="1"/>
      <c r="AI6744" s="1"/>
      <c r="AJ6744" s="1"/>
      <c r="AK6744" s="1"/>
      <c r="AL6744" s="1"/>
      <c r="AM6744" s="1"/>
    </row>
    <row r="6745" spans="16:39" x14ac:dyDescent="0.25">
      <c r="P6745" s="49"/>
      <c r="Q6745" s="1"/>
      <c r="S6745" s="1"/>
      <c r="T6745" s="1"/>
      <c r="U6745" s="1"/>
      <c r="V6745" s="1"/>
      <c r="W6745" s="1"/>
      <c r="X6745" s="1"/>
      <c r="Y6745" s="1"/>
      <c r="AB6745" s="1"/>
      <c r="AC6745" s="1"/>
      <c r="AD6745" s="1"/>
      <c r="AE6745" s="1"/>
      <c r="AF6745" s="1"/>
      <c r="AG6745" s="1"/>
      <c r="AH6745" s="1"/>
      <c r="AI6745" s="1"/>
      <c r="AJ6745" s="1"/>
      <c r="AK6745" s="1"/>
      <c r="AL6745" s="1"/>
      <c r="AM6745" s="1"/>
    </row>
    <row r="6746" spans="16:39" x14ac:dyDescent="0.25">
      <c r="P6746" s="49"/>
      <c r="Q6746" s="1"/>
      <c r="S6746" s="1"/>
      <c r="T6746" s="1"/>
      <c r="U6746" s="1"/>
      <c r="V6746" s="1"/>
      <c r="W6746" s="1"/>
      <c r="X6746" s="1"/>
      <c r="Y6746" s="1"/>
      <c r="AB6746" s="1"/>
      <c r="AC6746" s="1"/>
      <c r="AD6746" s="1"/>
      <c r="AE6746" s="1"/>
      <c r="AF6746" s="1"/>
      <c r="AG6746" s="1"/>
      <c r="AH6746" s="1"/>
      <c r="AI6746" s="1"/>
      <c r="AJ6746" s="1"/>
      <c r="AK6746" s="1"/>
      <c r="AL6746" s="1"/>
      <c r="AM6746" s="1"/>
    </row>
    <row r="6747" spans="16:39" x14ac:dyDescent="0.25">
      <c r="P6747" s="49"/>
      <c r="Q6747" s="1"/>
      <c r="S6747" s="1"/>
      <c r="T6747" s="1"/>
      <c r="U6747" s="1"/>
      <c r="V6747" s="1"/>
      <c r="W6747" s="1"/>
      <c r="X6747" s="1"/>
      <c r="Y6747" s="1"/>
      <c r="AB6747" s="1"/>
      <c r="AC6747" s="1"/>
      <c r="AD6747" s="1"/>
      <c r="AE6747" s="1"/>
      <c r="AF6747" s="1"/>
      <c r="AG6747" s="1"/>
      <c r="AH6747" s="1"/>
      <c r="AI6747" s="1"/>
      <c r="AJ6747" s="1"/>
      <c r="AK6747" s="1"/>
      <c r="AL6747" s="1"/>
      <c r="AM6747" s="1"/>
    </row>
    <row r="6748" spans="16:39" x14ac:dyDescent="0.25">
      <c r="P6748" s="49"/>
      <c r="Q6748" s="1"/>
      <c r="S6748" s="1"/>
      <c r="T6748" s="1"/>
      <c r="U6748" s="1"/>
      <c r="V6748" s="1"/>
      <c r="W6748" s="1"/>
      <c r="X6748" s="1"/>
      <c r="Y6748" s="1"/>
      <c r="AB6748" s="1"/>
      <c r="AC6748" s="1"/>
      <c r="AD6748" s="1"/>
      <c r="AE6748" s="1"/>
      <c r="AF6748" s="1"/>
      <c r="AG6748" s="1"/>
      <c r="AH6748" s="1"/>
      <c r="AI6748" s="1"/>
      <c r="AJ6748" s="1"/>
      <c r="AK6748" s="1"/>
      <c r="AL6748" s="1"/>
      <c r="AM6748" s="1"/>
    </row>
    <row r="6749" spans="16:39" x14ac:dyDescent="0.25">
      <c r="P6749" s="49"/>
      <c r="Q6749" s="1"/>
      <c r="S6749" s="1"/>
      <c r="T6749" s="1"/>
      <c r="U6749" s="1"/>
      <c r="V6749" s="1"/>
      <c r="W6749" s="1"/>
      <c r="X6749" s="1"/>
      <c r="Y6749" s="1"/>
      <c r="AB6749" s="1"/>
      <c r="AC6749" s="1"/>
      <c r="AD6749" s="1"/>
      <c r="AE6749" s="1"/>
      <c r="AF6749" s="1"/>
      <c r="AG6749" s="1"/>
      <c r="AH6749" s="1"/>
      <c r="AI6749" s="1"/>
      <c r="AJ6749" s="1"/>
      <c r="AK6749" s="1"/>
      <c r="AL6749" s="1"/>
      <c r="AM6749" s="1"/>
    </row>
    <row r="6750" spans="16:39" x14ac:dyDescent="0.25">
      <c r="P6750" s="49"/>
      <c r="Q6750" s="1"/>
      <c r="S6750" s="1"/>
      <c r="T6750" s="1"/>
      <c r="U6750" s="1"/>
      <c r="V6750" s="1"/>
      <c r="W6750" s="1"/>
      <c r="X6750" s="1"/>
      <c r="Y6750" s="1"/>
      <c r="AB6750" s="1"/>
      <c r="AC6750" s="1"/>
      <c r="AD6750" s="1"/>
      <c r="AE6750" s="1"/>
      <c r="AF6750" s="1"/>
      <c r="AG6750" s="1"/>
      <c r="AH6750" s="1"/>
      <c r="AI6750" s="1"/>
      <c r="AJ6750" s="1"/>
      <c r="AK6750" s="1"/>
      <c r="AL6750" s="1"/>
      <c r="AM6750" s="1"/>
    </row>
    <row r="6751" spans="16:39" x14ac:dyDescent="0.25">
      <c r="P6751" s="49"/>
      <c r="Q6751" s="1"/>
      <c r="S6751" s="1"/>
      <c r="T6751" s="1"/>
      <c r="U6751" s="1"/>
      <c r="V6751" s="1"/>
      <c r="W6751" s="1"/>
      <c r="X6751" s="1"/>
      <c r="Y6751" s="1"/>
      <c r="AB6751" s="1"/>
      <c r="AC6751" s="1"/>
      <c r="AD6751" s="1"/>
      <c r="AE6751" s="1"/>
      <c r="AF6751" s="1"/>
      <c r="AG6751" s="1"/>
      <c r="AH6751" s="1"/>
      <c r="AI6751" s="1"/>
      <c r="AJ6751" s="1"/>
      <c r="AK6751" s="1"/>
      <c r="AL6751" s="1"/>
      <c r="AM6751" s="1"/>
    </row>
    <row r="6752" spans="16:39" x14ac:dyDescent="0.25">
      <c r="P6752" s="49"/>
      <c r="Q6752" s="1"/>
      <c r="S6752" s="1"/>
      <c r="T6752" s="1"/>
      <c r="U6752" s="1"/>
      <c r="V6752" s="1"/>
      <c r="W6752" s="1"/>
      <c r="X6752" s="1"/>
      <c r="Y6752" s="1"/>
      <c r="AB6752" s="1"/>
      <c r="AC6752" s="1"/>
      <c r="AD6752" s="1"/>
      <c r="AE6752" s="1"/>
      <c r="AF6752" s="1"/>
      <c r="AG6752" s="1"/>
      <c r="AH6752" s="1"/>
      <c r="AI6752" s="1"/>
      <c r="AJ6752" s="1"/>
      <c r="AK6752" s="1"/>
      <c r="AL6752" s="1"/>
      <c r="AM6752" s="1"/>
    </row>
    <row r="6753" spans="16:39" x14ac:dyDescent="0.25">
      <c r="P6753" s="49"/>
      <c r="Q6753" s="1"/>
      <c r="S6753" s="1"/>
      <c r="T6753" s="1"/>
      <c r="U6753" s="1"/>
      <c r="V6753" s="1"/>
      <c r="W6753" s="1"/>
      <c r="X6753" s="1"/>
      <c r="Y6753" s="1"/>
      <c r="AB6753" s="1"/>
      <c r="AC6753" s="1"/>
      <c r="AD6753" s="1"/>
      <c r="AE6753" s="1"/>
      <c r="AF6753" s="1"/>
      <c r="AG6753" s="1"/>
      <c r="AH6753" s="1"/>
      <c r="AI6753" s="1"/>
      <c r="AJ6753" s="1"/>
      <c r="AK6753" s="1"/>
      <c r="AL6753" s="1"/>
      <c r="AM6753" s="1"/>
    </row>
    <row r="6754" spans="16:39" x14ac:dyDescent="0.25">
      <c r="P6754" s="49"/>
      <c r="Q6754" s="1"/>
      <c r="S6754" s="1"/>
      <c r="T6754" s="1"/>
      <c r="U6754" s="1"/>
      <c r="V6754" s="1"/>
      <c r="W6754" s="1"/>
      <c r="X6754" s="1"/>
      <c r="Y6754" s="1"/>
      <c r="AB6754" s="1"/>
      <c r="AC6754" s="1"/>
      <c r="AD6754" s="1"/>
      <c r="AE6754" s="1"/>
      <c r="AF6754" s="1"/>
      <c r="AG6754" s="1"/>
      <c r="AH6754" s="1"/>
      <c r="AI6754" s="1"/>
      <c r="AJ6754" s="1"/>
      <c r="AK6754" s="1"/>
      <c r="AL6754" s="1"/>
      <c r="AM6754" s="1"/>
    </row>
    <row r="6755" spans="16:39" x14ac:dyDescent="0.25">
      <c r="P6755" s="49"/>
      <c r="Q6755" s="1"/>
      <c r="S6755" s="1"/>
      <c r="T6755" s="1"/>
      <c r="U6755" s="1"/>
      <c r="V6755" s="1"/>
      <c r="W6755" s="1"/>
      <c r="X6755" s="1"/>
      <c r="Y6755" s="1"/>
      <c r="AB6755" s="1"/>
      <c r="AC6755" s="1"/>
      <c r="AD6755" s="1"/>
      <c r="AE6755" s="1"/>
      <c r="AF6755" s="1"/>
      <c r="AG6755" s="1"/>
      <c r="AH6755" s="1"/>
      <c r="AI6755" s="1"/>
      <c r="AJ6755" s="1"/>
      <c r="AK6755" s="1"/>
      <c r="AL6755" s="1"/>
      <c r="AM6755" s="1"/>
    </row>
    <row r="6756" spans="16:39" x14ac:dyDescent="0.25">
      <c r="P6756" s="49"/>
      <c r="Q6756" s="1"/>
      <c r="S6756" s="1"/>
      <c r="T6756" s="1"/>
      <c r="U6756" s="1"/>
      <c r="V6756" s="1"/>
      <c r="W6756" s="1"/>
      <c r="X6756" s="1"/>
      <c r="Y6756" s="1"/>
      <c r="AB6756" s="1"/>
      <c r="AC6756" s="1"/>
      <c r="AD6756" s="1"/>
      <c r="AE6756" s="1"/>
      <c r="AF6756" s="1"/>
      <c r="AG6756" s="1"/>
      <c r="AH6756" s="1"/>
      <c r="AI6756" s="1"/>
      <c r="AJ6756" s="1"/>
      <c r="AK6756" s="1"/>
      <c r="AL6756" s="1"/>
      <c r="AM6756" s="1"/>
    </row>
    <row r="6757" spans="16:39" x14ac:dyDescent="0.25">
      <c r="P6757" s="49"/>
      <c r="Q6757" s="1"/>
      <c r="S6757" s="1"/>
      <c r="T6757" s="1"/>
      <c r="U6757" s="1"/>
      <c r="V6757" s="1"/>
      <c r="W6757" s="1"/>
      <c r="X6757" s="1"/>
      <c r="Y6757" s="1"/>
      <c r="AB6757" s="1"/>
      <c r="AC6757" s="1"/>
      <c r="AD6757" s="1"/>
      <c r="AE6757" s="1"/>
      <c r="AF6757" s="1"/>
      <c r="AG6757" s="1"/>
      <c r="AH6757" s="1"/>
      <c r="AI6757" s="1"/>
      <c r="AJ6757" s="1"/>
      <c r="AK6757" s="1"/>
      <c r="AL6757" s="1"/>
      <c r="AM6757" s="1"/>
    </row>
    <row r="6758" spans="16:39" x14ac:dyDescent="0.25">
      <c r="P6758" s="49"/>
      <c r="Q6758" s="1"/>
      <c r="S6758" s="1"/>
      <c r="T6758" s="1"/>
      <c r="U6758" s="1"/>
      <c r="V6758" s="1"/>
      <c r="W6758" s="1"/>
      <c r="X6758" s="1"/>
      <c r="Y6758" s="1"/>
      <c r="AB6758" s="1"/>
      <c r="AC6758" s="1"/>
      <c r="AD6758" s="1"/>
      <c r="AE6758" s="1"/>
      <c r="AF6758" s="1"/>
      <c r="AG6758" s="1"/>
      <c r="AH6758" s="1"/>
      <c r="AI6758" s="1"/>
      <c r="AJ6758" s="1"/>
      <c r="AK6758" s="1"/>
      <c r="AL6758" s="1"/>
      <c r="AM6758" s="1"/>
    </row>
    <row r="6759" spans="16:39" x14ac:dyDescent="0.25">
      <c r="P6759" s="49"/>
      <c r="Q6759" s="1"/>
      <c r="S6759" s="1"/>
      <c r="T6759" s="1"/>
      <c r="U6759" s="1"/>
      <c r="V6759" s="1"/>
      <c r="W6759" s="1"/>
      <c r="X6759" s="1"/>
      <c r="Y6759" s="1"/>
      <c r="AB6759" s="1"/>
      <c r="AC6759" s="1"/>
      <c r="AD6759" s="1"/>
      <c r="AE6759" s="1"/>
      <c r="AF6759" s="1"/>
      <c r="AG6759" s="1"/>
      <c r="AH6759" s="1"/>
      <c r="AI6759" s="1"/>
      <c r="AJ6759" s="1"/>
      <c r="AK6759" s="1"/>
      <c r="AL6759" s="1"/>
      <c r="AM6759" s="1"/>
    </row>
    <row r="6760" spans="16:39" x14ac:dyDescent="0.25">
      <c r="P6760" s="49"/>
      <c r="Q6760" s="1"/>
      <c r="S6760" s="1"/>
      <c r="T6760" s="1"/>
      <c r="U6760" s="1"/>
      <c r="V6760" s="1"/>
      <c r="W6760" s="1"/>
      <c r="X6760" s="1"/>
      <c r="Y6760" s="1"/>
      <c r="AB6760" s="1"/>
      <c r="AC6760" s="1"/>
      <c r="AD6760" s="1"/>
      <c r="AE6760" s="1"/>
      <c r="AF6760" s="1"/>
      <c r="AG6760" s="1"/>
      <c r="AH6760" s="1"/>
      <c r="AI6760" s="1"/>
      <c r="AJ6760" s="1"/>
      <c r="AK6760" s="1"/>
      <c r="AL6760" s="1"/>
      <c r="AM6760" s="1"/>
    </row>
    <row r="6761" spans="16:39" x14ac:dyDescent="0.25">
      <c r="P6761" s="49"/>
      <c r="Q6761" s="1"/>
      <c r="S6761" s="1"/>
      <c r="T6761" s="1"/>
      <c r="U6761" s="1"/>
      <c r="V6761" s="1"/>
      <c r="W6761" s="1"/>
      <c r="X6761" s="1"/>
      <c r="Y6761" s="1"/>
      <c r="AB6761" s="1"/>
      <c r="AC6761" s="1"/>
      <c r="AD6761" s="1"/>
      <c r="AE6761" s="1"/>
      <c r="AF6761" s="1"/>
      <c r="AG6761" s="1"/>
      <c r="AH6761" s="1"/>
      <c r="AI6761" s="1"/>
      <c r="AJ6761" s="1"/>
      <c r="AK6761" s="1"/>
      <c r="AL6761" s="1"/>
      <c r="AM6761" s="1"/>
    </row>
    <row r="6762" spans="16:39" x14ac:dyDescent="0.25">
      <c r="P6762" s="49"/>
      <c r="Q6762" s="1"/>
      <c r="S6762" s="1"/>
      <c r="T6762" s="1"/>
      <c r="U6762" s="1"/>
      <c r="V6762" s="1"/>
      <c r="W6762" s="1"/>
      <c r="X6762" s="1"/>
      <c r="Y6762" s="1"/>
      <c r="AB6762" s="1"/>
      <c r="AC6762" s="1"/>
      <c r="AD6762" s="1"/>
      <c r="AE6762" s="1"/>
      <c r="AF6762" s="1"/>
      <c r="AG6762" s="1"/>
      <c r="AH6762" s="1"/>
      <c r="AI6762" s="1"/>
      <c r="AJ6762" s="1"/>
      <c r="AK6762" s="1"/>
      <c r="AL6762" s="1"/>
      <c r="AM6762" s="1"/>
    </row>
    <row r="6763" spans="16:39" x14ac:dyDescent="0.25">
      <c r="P6763" s="49"/>
      <c r="Q6763" s="1"/>
      <c r="S6763" s="1"/>
      <c r="T6763" s="1"/>
      <c r="U6763" s="1"/>
      <c r="V6763" s="1"/>
      <c r="W6763" s="1"/>
      <c r="X6763" s="1"/>
      <c r="Y6763" s="1"/>
      <c r="AB6763" s="1"/>
      <c r="AC6763" s="1"/>
      <c r="AD6763" s="1"/>
      <c r="AE6763" s="1"/>
      <c r="AF6763" s="1"/>
      <c r="AG6763" s="1"/>
      <c r="AH6763" s="1"/>
      <c r="AI6763" s="1"/>
      <c r="AJ6763" s="1"/>
      <c r="AK6763" s="1"/>
      <c r="AL6763" s="1"/>
      <c r="AM6763" s="1"/>
    </row>
    <row r="6764" spans="16:39" x14ac:dyDescent="0.25">
      <c r="P6764" s="49"/>
      <c r="Q6764" s="1"/>
      <c r="S6764" s="1"/>
      <c r="T6764" s="1"/>
      <c r="U6764" s="1"/>
      <c r="V6764" s="1"/>
      <c r="W6764" s="1"/>
      <c r="X6764" s="1"/>
      <c r="Y6764" s="1"/>
      <c r="AB6764" s="1"/>
      <c r="AC6764" s="1"/>
      <c r="AD6764" s="1"/>
      <c r="AE6764" s="1"/>
      <c r="AF6764" s="1"/>
      <c r="AG6764" s="1"/>
      <c r="AH6764" s="1"/>
      <c r="AI6764" s="1"/>
      <c r="AJ6764" s="1"/>
      <c r="AK6764" s="1"/>
      <c r="AL6764" s="1"/>
      <c r="AM6764" s="1"/>
    </row>
    <row r="6765" spans="16:39" x14ac:dyDescent="0.25">
      <c r="P6765" s="49"/>
      <c r="Q6765" s="1"/>
      <c r="S6765" s="1"/>
      <c r="T6765" s="1"/>
      <c r="U6765" s="1"/>
      <c r="V6765" s="1"/>
      <c r="W6765" s="1"/>
      <c r="X6765" s="1"/>
      <c r="Y6765" s="1"/>
      <c r="AB6765" s="1"/>
      <c r="AC6765" s="1"/>
      <c r="AD6765" s="1"/>
      <c r="AE6765" s="1"/>
      <c r="AF6765" s="1"/>
      <c r="AG6765" s="1"/>
      <c r="AH6765" s="1"/>
      <c r="AI6765" s="1"/>
      <c r="AJ6765" s="1"/>
      <c r="AK6765" s="1"/>
      <c r="AL6765" s="1"/>
      <c r="AM6765" s="1"/>
    </row>
    <row r="6766" spans="16:39" x14ac:dyDescent="0.25">
      <c r="P6766" s="49"/>
      <c r="Q6766" s="1"/>
      <c r="S6766" s="1"/>
      <c r="T6766" s="1"/>
      <c r="U6766" s="1"/>
      <c r="V6766" s="1"/>
      <c r="W6766" s="1"/>
      <c r="X6766" s="1"/>
      <c r="Y6766" s="1"/>
      <c r="AB6766" s="1"/>
      <c r="AC6766" s="1"/>
      <c r="AD6766" s="1"/>
      <c r="AE6766" s="1"/>
      <c r="AF6766" s="1"/>
      <c r="AG6766" s="1"/>
      <c r="AH6766" s="1"/>
      <c r="AI6766" s="1"/>
      <c r="AJ6766" s="1"/>
      <c r="AK6766" s="1"/>
      <c r="AL6766" s="1"/>
      <c r="AM6766" s="1"/>
    </row>
    <row r="6767" spans="16:39" x14ac:dyDescent="0.25">
      <c r="P6767" s="49"/>
      <c r="Q6767" s="1"/>
      <c r="S6767" s="1"/>
      <c r="T6767" s="1"/>
      <c r="U6767" s="1"/>
      <c r="V6767" s="1"/>
      <c r="W6767" s="1"/>
      <c r="X6767" s="1"/>
      <c r="Y6767" s="1"/>
      <c r="AB6767" s="1"/>
      <c r="AC6767" s="1"/>
      <c r="AD6767" s="1"/>
      <c r="AE6767" s="1"/>
      <c r="AF6767" s="1"/>
      <c r="AG6767" s="1"/>
      <c r="AH6767" s="1"/>
      <c r="AI6767" s="1"/>
      <c r="AJ6767" s="1"/>
      <c r="AK6767" s="1"/>
      <c r="AL6767" s="1"/>
      <c r="AM6767" s="1"/>
    </row>
    <row r="6768" spans="16:39" x14ac:dyDescent="0.25">
      <c r="P6768" s="49"/>
      <c r="Q6768" s="1"/>
      <c r="S6768" s="1"/>
      <c r="T6768" s="1"/>
      <c r="U6768" s="1"/>
      <c r="V6768" s="1"/>
      <c r="W6768" s="1"/>
      <c r="X6768" s="1"/>
      <c r="Y6768" s="1"/>
      <c r="AB6768" s="1"/>
      <c r="AC6768" s="1"/>
      <c r="AD6768" s="1"/>
      <c r="AE6768" s="1"/>
      <c r="AF6768" s="1"/>
      <c r="AG6768" s="1"/>
      <c r="AH6768" s="1"/>
      <c r="AI6768" s="1"/>
      <c r="AJ6768" s="1"/>
      <c r="AK6768" s="1"/>
      <c r="AL6768" s="1"/>
      <c r="AM6768" s="1"/>
    </row>
    <row r="6769" spans="16:39" x14ac:dyDescent="0.25">
      <c r="P6769" s="49"/>
      <c r="Q6769" s="1"/>
      <c r="S6769" s="1"/>
      <c r="T6769" s="1"/>
      <c r="U6769" s="1"/>
      <c r="V6769" s="1"/>
      <c r="W6769" s="1"/>
      <c r="X6769" s="1"/>
      <c r="Y6769" s="1"/>
      <c r="AB6769" s="1"/>
      <c r="AC6769" s="1"/>
      <c r="AD6769" s="1"/>
      <c r="AE6769" s="1"/>
      <c r="AF6769" s="1"/>
      <c r="AG6769" s="1"/>
      <c r="AH6769" s="1"/>
      <c r="AI6769" s="1"/>
      <c r="AJ6769" s="1"/>
      <c r="AK6769" s="1"/>
      <c r="AL6769" s="1"/>
      <c r="AM6769" s="1"/>
    </row>
    <row r="6770" spans="16:39" x14ac:dyDescent="0.25">
      <c r="P6770" s="49"/>
      <c r="Q6770" s="1"/>
      <c r="S6770" s="1"/>
      <c r="T6770" s="1"/>
      <c r="U6770" s="1"/>
      <c r="V6770" s="1"/>
      <c r="W6770" s="1"/>
      <c r="X6770" s="1"/>
      <c r="Y6770" s="1"/>
      <c r="AB6770" s="1"/>
      <c r="AC6770" s="1"/>
      <c r="AD6770" s="1"/>
      <c r="AE6770" s="1"/>
      <c r="AF6770" s="1"/>
      <c r="AG6770" s="1"/>
      <c r="AH6770" s="1"/>
      <c r="AI6770" s="1"/>
      <c r="AJ6770" s="1"/>
      <c r="AK6770" s="1"/>
      <c r="AL6770" s="1"/>
      <c r="AM6770" s="1"/>
    </row>
    <row r="6771" spans="16:39" x14ac:dyDescent="0.25">
      <c r="P6771" s="49"/>
      <c r="Q6771" s="1"/>
      <c r="S6771" s="1"/>
      <c r="T6771" s="1"/>
      <c r="U6771" s="1"/>
      <c r="V6771" s="1"/>
      <c r="W6771" s="1"/>
      <c r="X6771" s="1"/>
      <c r="Y6771" s="1"/>
      <c r="AB6771" s="1"/>
      <c r="AC6771" s="1"/>
      <c r="AD6771" s="1"/>
      <c r="AE6771" s="1"/>
      <c r="AF6771" s="1"/>
      <c r="AG6771" s="1"/>
      <c r="AH6771" s="1"/>
      <c r="AI6771" s="1"/>
      <c r="AJ6771" s="1"/>
      <c r="AK6771" s="1"/>
      <c r="AL6771" s="1"/>
      <c r="AM6771" s="1"/>
    </row>
    <row r="6772" spans="16:39" x14ac:dyDescent="0.25">
      <c r="P6772" s="49"/>
      <c r="Q6772" s="1"/>
      <c r="S6772" s="1"/>
      <c r="T6772" s="1"/>
      <c r="U6772" s="1"/>
      <c r="V6772" s="1"/>
      <c r="W6772" s="1"/>
      <c r="X6772" s="1"/>
      <c r="Y6772" s="1"/>
      <c r="AB6772" s="1"/>
      <c r="AC6772" s="1"/>
      <c r="AD6772" s="1"/>
      <c r="AE6772" s="1"/>
      <c r="AF6772" s="1"/>
      <c r="AG6772" s="1"/>
      <c r="AH6772" s="1"/>
      <c r="AI6772" s="1"/>
      <c r="AJ6772" s="1"/>
      <c r="AK6772" s="1"/>
      <c r="AL6772" s="1"/>
      <c r="AM6772" s="1"/>
    </row>
    <row r="6773" spans="16:39" x14ac:dyDescent="0.25">
      <c r="P6773" s="49"/>
      <c r="Q6773" s="1"/>
      <c r="S6773" s="1"/>
      <c r="T6773" s="1"/>
      <c r="U6773" s="1"/>
      <c r="V6773" s="1"/>
      <c r="W6773" s="1"/>
      <c r="X6773" s="1"/>
      <c r="Y6773" s="1"/>
      <c r="AB6773" s="1"/>
      <c r="AC6773" s="1"/>
      <c r="AD6773" s="1"/>
      <c r="AE6773" s="1"/>
      <c r="AF6773" s="1"/>
      <c r="AG6773" s="1"/>
      <c r="AH6773" s="1"/>
      <c r="AI6773" s="1"/>
      <c r="AJ6773" s="1"/>
      <c r="AK6773" s="1"/>
      <c r="AL6773" s="1"/>
      <c r="AM6773" s="1"/>
    </row>
    <row r="6774" spans="16:39" x14ac:dyDescent="0.25">
      <c r="P6774" s="49"/>
      <c r="Q6774" s="1"/>
      <c r="S6774" s="1"/>
      <c r="T6774" s="1"/>
      <c r="U6774" s="1"/>
      <c r="V6774" s="1"/>
      <c r="W6774" s="1"/>
      <c r="X6774" s="1"/>
      <c r="Y6774" s="1"/>
      <c r="AB6774" s="1"/>
      <c r="AC6774" s="1"/>
      <c r="AD6774" s="1"/>
      <c r="AE6774" s="1"/>
      <c r="AF6774" s="1"/>
      <c r="AG6774" s="1"/>
      <c r="AH6774" s="1"/>
      <c r="AI6774" s="1"/>
      <c r="AJ6774" s="1"/>
      <c r="AK6774" s="1"/>
      <c r="AL6774" s="1"/>
      <c r="AM6774" s="1"/>
    </row>
    <row r="6775" spans="16:39" x14ac:dyDescent="0.25">
      <c r="P6775" s="49"/>
      <c r="Q6775" s="1"/>
      <c r="S6775" s="1"/>
      <c r="T6775" s="1"/>
      <c r="U6775" s="1"/>
      <c r="V6775" s="1"/>
      <c r="W6775" s="1"/>
      <c r="X6775" s="1"/>
      <c r="Y6775" s="1"/>
      <c r="AB6775" s="1"/>
      <c r="AC6775" s="1"/>
      <c r="AD6775" s="1"/>
      <c r="AE6775" s="1"/>
      <c r="AF6775" s="1"/>
      <c r="AG6775" s="1"/>
      <c r="AH6775" s="1"/>
      <c r="AI6775" s="1"/>
      <c r="AJ6775" s="1"/>
      <c r="AK6775" s="1"/>
      <c r="AL6775" s="1"/>
      <c r="AM6775" s="1"/>
    </row>
    <row r="6776" spans="16:39" x14ac:dyDescent="0.25">
      <c r="P6776" s="49"/>
      <c r="Q6776" s="1"/>
      <c r="S6776" s="1"/>
      <c r="T6776" s="1"/>
      <c r="U6776" s="1"/>
      <c r="V6776" s="1"/>
      <c r="W6776" s="1"/>
      <c r="X6776" s="1"/>
      <c r="Y6776" s="1"/>
      <c r="AB6776" s="1"/>
      <c r="AC6776" s="1"/>
      <c r="AD6776" s="1"/>
      <c r="AE6776" s="1"/>
      <c r="AF6776" s="1"/>
      <c r="AG6776" s="1"/>
      <c r="AH6776" s="1"/>
      <c r="AI6776" s="1"/>
      <c r="AJ6776" s="1"/>
      <c r="AK6776" s="1"/>
      <c r="AL6776" s="1"/>
      <c r="AM6776" s="1"/>
    </row>
    <row r="6777" spans="16:39" x14ac:dyDescent="0.25">
      <c r="P6777" s="49"/>
      <c r="Q6777" s="1"/>
      <c r="S6777" s="1"/>
      <c r="T6777" s="1"/>
      <c r="U6777" s="1"/>
      <c r="V6777" s="1"/>
      <c r="W6777" s="1"/>
      <c r="X6777" s="1"/>
      <c r="Y6777" s="1"/>
      <c r="AB6777" s="1"/>
      <c r="AC6777" s="1"/>
      <c r="AD6777" s="1"/>
      <c r="AE6777" s="1"/>
      <c r="AF6777" s="1"/>
      <c r="AG6777" s="1"/>
      <c r="AH6777" s="1"/>
      <c r="AI6777" s="1"/>
      <c r="AJ6777" s="1"/>
      <c r="AK6777" s="1"/>
      <c r="AL6777" s="1"/>
      <c r="AM6777" s="1"/>
    </row>
    <row r="6778" spans="16:39" x14ac:dyDescent="0.25">
      <c r="P6778" s="49"/>
      <c r="Q6778" s="1"/>
      <c r="S6778" s="1"/>
      <c r="T6778" s="1"/>
      <c r="U6778" s="1"/>
      <c r="V6778" s="1"/>
      <c r="W6778" s="1"/>
      <c r="X6778" s="1"/>
      <c r="Y6778" s="1"/>
      <c r="AB6778" s="1"/>
      <c r="AC6778" s="1"/>
      <c r="AD6778" s="1"/>
      <c r="AE6778" s="1"/>
      <c r="AF6778" s="1"/>
      <c r="AG6778" s="1"/>
      <c r="AH6778" s="1"/>
      <c r="AI6778" s="1"/>
      <c r="AJ6778" s="1"/>
      <c r="AK6778" s="1"/>
      <c r="AL6778" s="1"/>
      <c r="AM6778" s="1"/>
    </row>
    <row r="6779" spans="16:39" x14ac:dyDescent="0.25">
      <c r="P6779" s="49"/>
      <c r="Q6779" s="1"/>
      <c r="S6779" s="1"/>
      <c r="T6779" s="1"/>
      <c r="U6779" s="1"/>
      <c r="V6779" s="1"/>
      <c r="W6779" s="1"/>
      <c r="X6779" s="1"/>
      <c r="Y6779" s="1"/>
      <c r="AB6779" s="1"/>
      <c r="AC6779" s="1"/>
      <c r="AD6779" s="1"/>
      <c r="AE6779" s="1"/>
      <c r="AF6779" s="1"/>
      <c r="AG6779" s="1"/>
      <c r="AH6779" s="1"/>
      <c r="AI6779" s="1"/>
      <c r="AJ6779" s="1"/>
      <c r="AK6779" s="1"/>
      <c r="AL6779" s="1"/>
      <c r="AM6779" s="1"/>
    </row>
    <row r="6780" spans="16:39" x14ac:dyDescent="0.25">
      <c r="P6780" s="49"/>
      <c r="Q6780" s="1"/>
      <c r="S6780" s="1"/>
      <c r="T6780" s="1"/>
      <c r="U6780" s="1"/>
      <c r="V6780" s="1"/>
      <c r="W6780" s="1"/>
      <c r="X6780" s="1"/>
      <c r="Y6780" s="1"/>
      <c r="AB6780" s="1"/>
      <c r="AC6780" s="1"/>
      <c r="AD6780" s="1"/>
      <c r="AE6780" s="1"/>
      <c r="AF6780" s="1"/>
      <c r="AG6780" s="1"/>
      <c r="AH6780" s="1"/>
      <c r="AI6780" s="1"/>
      <c r="AJ6780" s="1"/>
      <c r="AK6780" s="1"/>
      <c r="AL6780" s="1"/>
      <c r="AM6780" s="1"/>
    </row>
    <row r="6781" spans="16:39" x14ac:dyDescent="0.25">
      <c r="P6781" s="49"/>
      <c r="Q6781" s="1"/>
      <c r="S6781" s="1"/>
      <c r="T6781" s="1"/>
      <c r="U6781" s="1"/>
      <c r="V6781" s="1"/>
      <c r="W6781" s="1"/>
      <c r="X6781" s="1"/>
      <c r="Y6781" s="1"/>
      <c r="AB6781" s="1"/>
      <c r="AC6781" s="1"/>
      <c r="AD6781" s="1"/>
      <c r="AE6781" s="1"/>
      <c r="AF6781" s="1"/>
      <c r="AG6781" s="1"/>
      <c r="AH6781" s="1"/>
      <c r="AI6781" s="1"/>
      <c r="AJ6781" s="1"/>
      <c r="AK6781" s="1"/>
      <c r="AL6781" s="1"/>
      <c r="AM6781" s="1"/>
    </row>
    <row r="6782" spans="16:39" x14ac:dyDescent="0.25">
      <c r="P6782" s="49"/>
      <c r="Q6782" s="1"/>
      <c r="S6782" s="1"/>
      <c r="T6782" s="1"/>
      <c r="U6782" s="1"/>
      <c r="V6782" s="1"/>
      <c r="W6782" s="1"/>
      <c r="X6782" s="1"/>
      <c r="Y6782" s="1"/>
      <c r="AB6782" s="1"/>
      <c r="AC6782" s="1"/>
      <c r="AD6782" s="1"/>
      <c r="AE6782" s="1"/>
      <c r="AF6782" s="1"/>
      <c r="AG6782" s="1"/>
      <c r="AH6782" s="1"/>
      <c r="AI6782" s="1"/>
      <c r="AJ6782" s="1"/>
      <c r="AK6782" s="1"/>
      <c r="AL6782" s="1"/>
      <c r="AM6782" s="1"/>
    </row>
    <row r="6783" spans="16:39" x14ac:dyDescent="0.25">
      <c r="P6783" s="49"/>
      <c r="Q6783" s="1"/>
      <c r="S6783" s="1"/>
      <c r="T6783" s="1"/>
      <c r="U6783" s="1"/>
      <c r="V6783" s="1"/>
      <c r="W6783" s="1"/>
      <c r="X6783" s="1"/>
      <c r="Y6783" s="1"/>
      <c r="AB6783" s="1"/>
      <c r="AC6783" s="1"/>
      <c r="AD6783" s="1"/>
      <c r="AE6783" s="1"/>
      <c r="AF6783" s="1"/>
      <c r="AG6783" s="1"/>
      <c r="AH6783" s="1"/>
      <c r="AI6783" s="1"/>
      <c r="AJ6783" s="1"/>
      <c r="AK6783" s="1"/>
      <c r="AL6783" s="1"/>
      <c r="AM6783" s="1"/>
    </row>
    <row r="6784" spans="16:39" x14ac:dyDescent="0.25">
      <c r="P6784" s="49"/>
      <c r="Q6784" s="1"/>
      <c r="S6784" s="1"/>
      <c r="T6784" s="1"/>
      <c r="U6784" s="1"/>
      <c r="V6784" s="1"/>
      <c r="W6784" s="1"/>
      <c r="X6784" s="1"/>
      <c r="Y6784" s="1"/>
      <c r="AB6784" s="1"/>
      <c r="AC6784" s="1"/>
      <c r="AD6784" s="1"/>
      <c r="AE6784" s="1"/>
      <c r="AF6784" s="1"/>
      <c r="AG6784" s="1"/>
      <c r="AH6784" s="1"/>
      <c r="AI6784" s="1"/>
      <c r="AJ6784" s="1"/>
      <c r="AK6784" s="1"/>
      <c r="AL6784" s="1"/>
      <c r="AM6784" s="1"/>
    </row>
    <row r="6785" spans="16:39" x14ac:dyDescent="0.25">
      <c r="P6785" s="49"/>
      <c r="Q6785" s="1"/>
      <c r="S6785" s="1"/>
      <c r="T6785" s="1"/>
      <c r="U6785" s="1"/>
      <c r="V6785" s="1"/>
      <c r="W6785" s="1"/>
      <c r="X6785" s="1"/>
      <c r="Y6785" s="1"/>
      <c r="AB6785" s="1"/>
      <c r="AC6785" s="1"/>
      <c r="AD6785" s="1"/>
      <c r="AE6785" s="1"/>
      <c r="AF6785" s="1"/>
      <c r="AG6785" s="1"/>
      <c r="AH6785" s="1"/>
      <c r="AI6785" s="1"/>
      <c r="AJ6785" s="1"/>
      <c r="AK6785" s="1"/>
      <c r="AL6785" s="1"/>
      <c r="AM6785" s="1"/>
    </row>
    <row r="6786" spans="16:39" x14ac:dyDescent="0.25">
      <c r="P6786" s="49"/>
      <c r="Q6786" s="1"/>
      <c r="S6786" s="1"/>
      <c r="T6786" s="1"/>
      <c r="U6786" s="1"/>
      <c r="V6786" s="1"/>
      <c r="W6786" s="1"/>
      <c r="X6786" s="1"/>
      <c r="Y6786" s="1"/>
      <c r="AB6786" s="1"/>
      <c r="AC6786" s="1"/>
      <c r="AD6786" s="1"/>
      <c r="AE6786" s="1"/>
      <c r="AF6786" s="1"/>
      <c r="AG6786" s="1"/>
      <c r="AH6786" s="1"/>
      <c r="AI6786" s="1"/>
      <c r="AJ6786" s="1"/>
      <c r="AK6786" s="1"/>
      <c r="AL6786" s="1"/>
      <c r="AM6786" s="1"/>
    </row>
    <row r="6787" spans="16:39" x14ac:dyDescent="0.25">
      <c r="P6787" s="49"/>
      <c r="Q6787" s="1"/>
      <c r="S6787" s="1"/>
      <c r="T6787" s="1"/>
      <c r="U6787" s="1"/>
      <c r="V6787" s="1"/>
      <c r="W6787" s="1"/>
      <c r="X6787" s="1"/>
      <c r="Y6787" s="1"/>
      <c r="AB6787" s="1"/>
      <c r="AC6787" s="1"/>
      <c r="AD6787" s="1"/>
      <c r="AE6787" s="1"/>
      <c r="AF6787" s="1"/>
      <c r="AG6787" s="1"/>
      <c r="AH6787" s="1"/>
      <c r="AI6787" s="1"/>
      <c r="AJ6787" s="1"/>
      <c r="AK6787" s="1"/>
      <c r="AL6787" s="1"/>
      <c r="AM6787" s="1"/>
    </row>
    <row r="6788" spans="16:39" x14ac:dyDescent="0.25">
      <c r="P6788" s="49"/>
      <c r="Q6788" s="1"/>
      <c r="S6788" s="1"/>
      <c r="T6788" s="1"/>
      <c r="U6788" s="1"/>
      <c r="V6788" s="1"/>
      <c r="W6788" s="1"/>
      <c r="X6788" s="1"/>
      <c r="Y6788" s="1"/>
      <c r="AB6788" s="1"/>
      <c r="AC6788" s="1"/>
      <c r="AD6788" s="1"/>
      <c r="AE6788" s="1"/>
      <c r="AF6788" s="1"/>
      <c r="AG6788" s="1"/>
      <c r="AH6788" s="1"/>
      <c r="AI6788" s="1"/>
      <c r="AJ6788" s="1"/>
      <c r="AK6788" s="1"/>
      <c r="AL6788" s="1"/>
      <c r="AM6788" s="1"/>
    </row>
    <row r="6789" spans="16:39" x14ac:dyDescent="0.25">
      <c r="P6789" s="49"/>
      <c r="Q6789" s="1"/>
      <c r="S6789" s="1"/>
      <c r="T6789" s="1"/>
      <c r="U6789" s="1"/>
      <c r="V6789" s="1"/>
      <c r="W6789" s="1"/>
      <c r="X6789" s="1"/>
      <c r="Y6789" s="1"/>
      <c r="AB6789" s="1"/>
      <c r="AC6789" s="1"/>
      <c r="AD6789" s="1"/>
      <c r="AE6789" s="1"/>
      <c r="AF6789" s="1"/>
      <c r="AG6789" s="1"/>
      <c r="AH6789" s="1"/>
      <c r="AI6789" s="1"/>
      <c r="AJ6789" s="1"/>
      <c r="AK6789" s="1"/>
      <c r="AL6789" s="1"/>
      <c r="AM6789" s="1"/>
    </row>
    <row r="6790" spans="16:39" x14ac:dyDescent="0.25">
      <c r="P6790" s="49"/>
      <c r="Q6790" s="1"/>
      <c r="S6790" s="1"/>
      <c r="T6790" s="1"/>
      <c r="U6790" s="1"/>
      <c r="V6790" s="1"/>
      <c r="W6790" s="1"/>
      <c r="X6790" s="1"/>
      <c r="Y6790" s="1"/>
      <c r="AB6790" s="1"/>
      <c r="AC6790" s="1"/>
      <c r="AD6790" s="1"/>
      <c r="AE6790" s="1"/>
      <c r="AF6790" s="1"/>
      <c r="AG6790" s="1"/>
      <c r="AH6790" s="1"/>
      <c r="AI6790" s="1"/>
      <c r="AJ6790" s="1"/>
      <c r="AK6790" s="1"/>
      <c r="AL6790" s="1"/>
      <c r="AM6790" s="1"/>
    </row>
    <row r="6791" spans="16:39" x14ac:dyDescent="0.25">
      <c r="P6791" s="49"/>
      <c r="Q6791" s="1"/>
      <c r="S6791" s="1"/>
      <c r="T6791" s="1"/>
      <c r="U6791" s="1"/>
      <c r="V6791" s="1"/>
      <c r="W6791" s="1"/>
      <c r="X6791" s="1"/>
      <c r="Y6791" s="1"/>
      <c r="AB6791" s="1"/>
      <c r="AC6791" s="1"/>
      <c r="AD6791" s="1"/>
      <c r="AE6791" s="1"/>
      <c r="AF6791" s="1"/>
      <c r="AG6791" s="1"/>
      <c r="AH6791" s="1"/>
      <c r="AI6791" s="1"/>
      <c r="AJ6791" s="1"/>
      <c r="AK6791" s="1"/>
      <c r="AL6791" s="1"/>
      <c r="AM6791" s="1"/>
    </row>
    <row r="6792" spans="16:39" x14ac:dyDescent="0.25">
      <c r="P6792" s="49"/>
      <c r="Q6792" s="1"/>
      <c r="S6792" s="1"/>
      <c r="T6792" s="1"/>
      <c r="U6792" s="1"/>
      <c r="V6792" s="1"/>
      <c r="W6792" s="1"/>
      <c r="X6792" s="1"/>
      <c r="Y6792" s="1"/>
      <c r="AB6792" s="1"/>
      <c r="AC6792" s="1"/>
      <c r="AD6792" s="1"/>
      <c r="AE6792" s="1"/>
      <c r="AF6792" s="1"/>
      <c r="AG6792" s="1"/>
      <c r="AH6792" s="1"/>
      <c r="AI6792" s="1"/>
      <c r="AJ6792" s="1"/>
      <c r="AK6792" s="1"/>
      <c r="AL6792" s="1"/>
      <c r="AM6792" s="1"/>
    </row>
    <row r="6793" spans="16:39" x14ac:dyDescent="0.25">
      <c r="P6793" s="49"/>
      <c r="Q6793" s="1"/>
      <c r="S6793" s="1"/>
      <c r="T6793" s="1"/>
      <c r="U6793" s="1"/>
      <c r="V6793" s="1"/>
      <c r="W6793" s="1"/>
      <c r="X6793" s="1"/>
      <c r="Y6793" s="1"/>
      <c r="AB6793" s="1"/>
      <c r="AC6793" s="1"/>
      <c r="AD6793" s="1"/>
      <c r="AE6793" s="1"/>
      <c r="AF6793" s="1"/>
      <c r="AG6793" s="1"/>
      <c r="AH6793" s="1"/>
      <c r="AI6793" s="1"/>
      <c r="AJ6793" s="1"/>
      <c r="AK6793" s="1"/>
      <c r="AL6793" s="1"/>
      <c r="AM6793" s="1"/>
    </row>
    <row r="6794" spans="16:39" x14ac:dyDescent="0.25">
      <c r="P6794" s="49"/>
      <c r="Q6794" s="1"/>
      <c r="S6794" s="1"/>
      <c r="T6794" s="1"/>
      <c r="U6794" s="1"/>
      <c r="V6794" s="1"/>
      <c r="W6794" s="1"/>
      <c r="X6794" s="1"/>
      <c r="Y6794" s="1"/>
      <c r="AB6794" s="1"/>
      <c r="AC6794" s="1"/>
      <c r="AD6794" s="1"/>
      <c r="AE6794" s="1"/>
      <c r="AF6794" s="1"/>
      <c r="AG6794" s="1"/>
      <c r="AH6794" s="1"/>
      <c r="AI6794" s="1"/>
      <c r="AJ6794" s="1"/>
      <c r="AK6794" s="1"/>
      <c r="AL6794" s="1"/>
      <c r="AM6794" s="1"/>
    </row>
    <row r="6795" spans="16:39" x14ac:dyDescent="0.25">
      <c r="P6795" s="49"/>
      <c r="Q6795" s="1"/>
      <c r="S6795" s="1"/>
      <c r="T6795" s="1"/>
      <c r="U6795" s="1"/>
      <c r="V6795" s="1"/>
      <c r="W6795" s="1"/>
      <c r="X6795" s="1"/>
      <c r="Y6795" s="1"/>
      <c r="AB6795" s="1"/>
      <c r="AC6795" s="1"/>
      <c r="AD6795" s="1"/>
      <c r="AE6795" s="1"/>
      <c r="AF6795" s="1"/>
      <c r="AG6795" s="1"/>
      <c r="AH6795" s="1"/>
      <c r="AI6795" s="1"/>
      <c r="AJ6795" s="1"/>
      <c r="AK6795" s="1"/>
      <c r="AL6795" s="1"/>
      <c r="AM6795" s="1"/>
    </row>
    <row r="6796" spans="16:39" x14ac:dyDescent="0.25">
      <c r="P6796" s="49"/>
      <c r="Q6796" s="1"/>
      <c r="S6796" s="1"/>
      <c r="T6796" s="1"/>
      <c r="U6796" s="1"/>
      <c r="V6796" s="1"/>
      <c r="W6796" s="1"/>
      <c r="X6796" s="1"/>
      <c r="Y6796" s="1"/>
      <c r="AB6796" s="1"/>
      <c r="AC6796" s="1"/>
      <c r="AD6796" s="1"/>
      <c r="AE6796" s="1"/>
      <c r="AF6796" s="1"/>
      <c r="AG6796" s="1"/>
      <c r="AH6796" s="1"/>
      <c r="AI6796" s="1"/>
      <c r="AJ6796" s="1"/>
      <c r="AK6796" s="1"/>
      <c r="AL6796" s="1"/>
      <c r="AM6796" s="1"/>
    </row>
    <row r="6797" spans="16:39" x14ac:dyDescent="0.25">
      <c r="P6797" s="49"/>
      <c r="Q6797" s="1"/>
      <c r="S6797" s="1"/>
      <c r="T6797" s="1"/>
      <c r="U6797" s="1"/>
      <c r="V6797" s="1"/>
      <c r="W6797" s="1"/>
      <c r="X6797" s="1"/>
      <c r="Y6797" s="1"/>
      <c r="AB6797" s="1"/>
      <c r="AC6797" s="1"/>
      <c r="AD6797" s="1"/>
      <c r="AE6797" s="1"/>
      <c r="AF6797" s="1"/>
      <c r="AG6797" s="1"/>
      <c r="AH6797" s="1"/>
      <c r="AI6797" s="1"/>
      <c r="AJ6797" s="1"/>
      <c r="AK6797" s="1"/>
      <c r="AL6797" s="1"/>
      <c r="AM6797" s="1"/>
    </row>
    <row r="6798" spans="16:39" x14ac:dyDescent="0.25">
      <c r="P6798" s="49"/>
      <c r="Q6798" s="1"/>
      <c r="S6798" s="1"/>
      <c r="T6798" s="1"/>
      <c r="U6798" s="1"/>
      <c r="V6798" s="1"/>
      <c r="W6798" s="1"/>
      <c r="X6798" s="1"/>
      <c r="Y6798" s="1"/>
      <c r="AB6798" s="1"/>
      <c r="AC6798" s="1"/>
      <c r="AD6798" s="1"/>
      <c r="AE6798" s="1"/>
      <c r="AF6798" s="1"/>
      <c r="AG6798" s="1"/>
      <c r="AH6798" s="1"/>
      <c r="AI6798" s="1"/>
      <c r="AJ6798" s="1"/>
      <c r="AK6798" s="1"/>
      <c r="AL6798" s="1"/>
      <c r="AM6798" s="1"/>
    </row>
    <row r="6799" spans="16:39" x14ac:dyDescent="0.25">
      <c r="P6799" s="49"/>
      <c r="Q6799" s="1"/>
      <c r="S6799" s="1"/>
      <c r="T6799" s="1"/>
      <c r="U6799" s="1"/>
      <c r="V6799" s="1"/>
      <c r="W6799" s="1"/>
      <c r="X6799" s="1"/>
      <c r="Y6799" s="1"/>
      <c r="AB6799" s="1"/>
      <c r="AC6799" s="1"/>
      <c r="AD6799" s="1"/>
      <c r="AE6799" s="1"/>
      <c r="AF6799" s="1"/>
      <c r="AG6799" s="1"/>
      <c r="AH6799" s="1"/>
      <c r="AI6799" s="1"/>
      <c r="AJ6799" s="1"/>
      <c r="AK6799" s="1"/>
      <c r="AL6799" s="1"/>
      <c r="AM6799" s="1"/>
    </row>
    <row r="6800" spans="16:39" x14ac:dyDescent="0.25">
      <c r="P6800" s="49"/>
      <c r="Q6800" s="1"/>
      <c r="S6800" s="1"/>
      <c r="T6800" s="1"/>
      <c r="U6800" s="1"/>
      <c r="V6800" s="1"/>
      <c r="W6800" s="1"/>
      <c r="X6800" s="1"/>
      <c r="Y6800" s="1"/>
      <c r="AB6800" s="1"/>
      <c r="AC6800" s="1"/>
      <c r="AD6800" s="1"/>
      <c r="AE6800" s="1"/>
      <c r="AF6800" s="1"/>
      <c r="AG6800" s="1"/>
      <c r="AH6800" s="1"/>
      <c r="AI6800" s="1"/>
      <c r="AJ6800" s="1"/>
      <c r="AK6800" s="1"/>
      <c r="AL6800" s="1"/>
      <c r="AM6800" s="1"/>
    </row>
    <row r="6801" spans="16:39" x14ac:dyDescent="0.25">
      <c r="P6801" s="49"/>
      <c r="Q6801" s="1"/>
      <c r="S6801" s="1"/>
      <c r="T6801" s="1"/>
      <c r="U6801" s="1"/>
      <c r="V6801" s="1"/>
      <c r="W6801" s="1"/>
      <c r="X6801" s="1"/>
      <c r="Y6801" s="1"/>
      <c r="AB6801" s="1"/>
      <c r="AC6801" s="1"/>
      <c r="AD6801" s="1"/>
      <c r="AE6801" s="1"/>
      <c r="AF6801" s="1"/>
      <c r="AG6801" s="1"/>
      <c r="AH6801" s="1"/>
      <c r="AI6801" s="1"/>
      <c r="AJ6801" s="1"/>
      <c r="AK6801" s="1"/>
      <c r="AL6801" s="1"/>
      <c r="AM6801" s="1"/>
    </row>
    <row r="6802" spans="16:39" x14ac:dyDescent="0.25">
      <c r="P6802" s="49"/>
      <c r="Q6802" s="1"/>
      <c r="S6802" s="1"/>
      <c r="T6802" s="1"/>
      <c r="U6802" s="1"/>
      <c r="V6802" s="1"/>
      <c r="W6802" s="1"/>
      <c r="X6802" s="1"/>
      <c r="Y6802" s="1"/>
      <c r="AB6802" s="1"/>
      <c r="AC6802" s="1"/>
      <c r="AD6802" s="1"/>
      <c r="AE6802" s="1"/>
      <c r="AF6802" s="1"/>
      <c r="AG6802" s="1"/>
      <c r="AH6802" s="1"/>
      <c r="AI6802" s="1"/>
      <c r="AJ6802" s="1"/>
      <c r="AK6802" s="1"/>
      <c r="AL6802" s="1"/>
      <c r="AM6802" s="1"/>
    </row>
    <row r="6803" spans="16:39" x14ac:dyDescent="0.25">
      <c r="P6803" s="49"/>
      <c r="Q6803" s="1"/>
      <c r="S6803" s="1"/>
      <c r="T6803" s="1"/>
      <c r="U6803" s="1"/>
      <c r="V6803" s="1"/>
      <c r="W6803" s="1"/>
      <c r="X6803" s="1"/>
      <c r="Y6803" s="1"/>
      <c r="AB6803" s="1"/>
      <c r="AC6803" s="1"/>
      <c r="AD6803" s="1"/>
      <c r="AE6803" s="1"/>
      <c r="AF6803" s="1"/>
      <c r="AG6803" s="1"/>
      <c r="AH6803" s="1"/>
      <c r="AI6803" s="1"/>
      <c r="AJ6803" s="1"/>
      <c r="AK6803" s="1"/>
      <c r="AL6803" s="1"/>
      <c r="AM6803" s="1"/>
    </row>
    <row r="6804" spans="16:39" x14ac:dyDescent="0.25">
      <c r="P6804" s="49"/>
      <c r="Q6804" s="1"/>
      <c r="S6804" s="1"/>
      <c r="T6804" s="1"/>
      <c r="U6804" s="1"/>
      <c r="V6804" s="1"/>
      <c r="W6804" s="1"/>
      <c r="X6804" s="1"/>
      <c r="Y6804" s="1"/>
      <c r="AB6804" s="1"/>
      <c r="AC6804" s="1"/>
      <c r="AD6804" s="1"/>
      <c r="AE6804" s="1"/>
      <c r="AF6804" s="1"/>
      <c r="AG6804" s="1"/>
      <c r="AH6804" s="1"/>
      <c r="AI6804" s="1"/>
      <c r="AJ6804" s="1"/>
      <c r="AK6804" s="1"/>
      <c r="AL6804" s="1"/>
      <c r="AM6804" s="1"/>
    </row>
    <row r="6805" spans="16:39" x14ac:dyDescent="0.25">
      <c r="P6805" s="49"/>
      <c r="Q6805" s="1"/>
      <c r="S6805" s="1"/>
      <c r="T6805" s="1"/>
      <c r="U6805" s="1"/>
      <c r="V6805" s="1"/>
      <c r="W6805" s="1"/>
      <c r="X6805" s="1"/>
      <c r="Y6805" s="1"/>
      <c r="AB6805" s="1"/>
      <c r="AC6805" s="1"/>
      <c r="AD6805" s="1"/>
      <c r="AE6805" s="1"/>
      <c r="AF6805" s="1"/>
      <c r="AG6805" s="1"/>
      <c r="AH6805" s="1"/>
      <c r="AI6805" s="1"/>
      <c r="AJ6805" s="1"/>
      <c r="AK6805" s="1"/>
      <c r="AL6805" s="1"/>
      <c r="AM6805" s="1"/>
    </row>
    <row r="6806" spans="16:39" x14ac:dyDescent="0.25">
      <c r="P6806" s="49"/>
      <c r="Q6806" s="1"/>
      <c r="S6806" s="1"/>
      <c r="T6806" s="1"/>
      <c r="U6806" s="1"/>
      <c r="V6806" s="1"/>
      <c r="W6806" s="1"/>
      <c r="X6806" s="1"/>
      <c r="Y6806" s="1"/>
      <c r="AB6806" s="1"/>
      <c r="AC6806" s="1"/>
      <c r="AD6806" s="1"/>
      <c r="AE6806" s="1"/>
      <c r="AF6806" s="1"/>
      <c r="AG6806" s="1"/>
      <c r="AH6806" s="1"/>
      <c r="AI6806" s="1"/>
      <c r="AJ6806" s="1"/>
      <c r="AK6806" s="1"/>
      <c r="AL6806" s="1"/>
      <c r="AM6806" s="1"/>
    </row>
    <row r="6807" spans="16:39" x14ac:dyDescent="0.25">
      <c r="P6807" s="49"/>
      <c r="Q6807" s="1"/>
      <c r="S6807" s="1"/>
      <c r="T6807" s="1"/>
      <c r="U6807" s="1"/>
      <c r="V6807" s="1"/>
      <c r="W6807" s="1"/>
      <c r="X6807" s="1"/>
      <c r="Y6807" s="1"/>
      <c r="AB6807" s="1"/>
      <c r="AC6807" s="1"/>
      <c r="AD6807" s="1"/>
      <c r="AE6807" s="1"/>
      <c r="AF6807" s="1"/>
      <c r="AG6807" s="1"/>
      <c r="AH6807" s="1"/>
      <c r="AI6807" s="1"/>
      <c r="AJ6807" s="1"/>
      <c r="AK6807" s="1"/>
      <c r="AL6807" s="1"/>
      <c r="AM6807" s="1"/>
    </row>
    <row r="6808" spans="16:39" x14ac:dyDescent="0.25">
      <c r="P6808" s="49"/>
      <c r="Q6808" s="1"/>
      <c r="S6808" s="1"/>
      <c r="T6808" s="1"/>
      <c r="U6808" s="1"/>
      <c r="V6808" s="1"/>
      <c r="W6808" s="1"/>
      <c r="X6808" s="1"/>
      <c r="Y6808" s="1"/>
      <c r="AB6808" s="1"/>
      <c r="AC6808" s="1"/>
      <c r="AD6808" s="1"/>
      <c r="AE6808" s="1"/>
      <c r="AF6808" s="1"/>
      <c r="AG6808" s="1"/>
      <c r="AH6808" s="1"/>
      <c r="AI6808" s="1"/>
      <c r="AJ6808" s="1"/>
      <c r="AK6808" s="1"/>
      <c r="AL6808" s="1"/>
      <c r="AM6808" s="1"/>
    </row>
    <row r="6809" spans="16:39" x14ac:dyDescent="0.25">
      <c r="P6809" s="49"/>
      <c r="Q6809" s="1"/>
      <c r="S6809" s="1"/>
      <c r="T6809" s="1"/>
      <c r="U6809" s="1"/>
      <c r="V6809" s="1"/>
      <c r="W6809" s="1"/>
      <c r="X6809" s="1"/>
      <c r="Y6809" s="1"/>
      <c r="AB6809" s="1"/>
      <c r="AC6809" s="1"/>
      <c r="AD6809" s="1"/>
      <c r="AE6809" s="1"/>
      <c r="AF6809" s="1"/>
      <c r="AG6809" s="1"/>
      <c r="AH6809" s="1"/>
      <c r="AI6809" s="1"/>
      <c r="AJ6809" s="1"/>
      <c r="AK6809" s="1"/>
      <c r="AL6809" s="1"/>
      <c r="AM6809" s="1"/>
    </row>
    <row r="6810" spans="16:39" x14ac:dyDescent="0.25">
      <c r="P6810" s="49"/>
      <c r="Q6810" s="1"/>
      <c r="S6810" s="1"/>
      <c r="T6810" s="1"/>
      <c r="U6810" s="1"/>
      <c r="V6810" s="1"/>
      <c r="W6810" s="1"/>
      <c r="X6810" s="1"/>
      <c r="Y6810" s="1"/>
      <c r="AB6810" s="1"/>
      <c r="AC6810" s="1"/>
      <c r="AD6810" s="1"/>
      <c r="AE6810" s="1"/>
      <c r="AF6810" s="1"/>
      <c r="AG6810" s="1"/>
      <c r="AH6810" s="1"/>
      <c r="AI6810" s="1"/>
      <c r="AJ6810" s="1"/>
      <c r="AK6810" s="1"/>
      <c r="AL6810" s="1"/>
      <c r="AM6810" s="1"/>
    </row>
    <row r="6811" spans="16:39" x14ac:dyDescent="0.25">
      <c r="P6811" s="49"/>
      <c r="Q6811" s="1"/>
      <c r="S6811" s="1"/>
      <c r="T6811" s="1"/>
      <c r="U6811" s="1"/>
      <c r="V6811" s="1"/>
      <c r="W6811" s="1"/>
      <c r="X6811" s="1"/>
      <c r="Y6811" s="1"/>
      <c r="AB6811" s="1"/>
      <c r="AC6811" s="1"/>
      <c r="AD6811" s="1"/>
      <c r="AE6811" s="1"/>
      <c r="AF6811" s="1"/>
      <c r="AG6811" s="1"/>
      <c r="AH6811" s="1"/>
      <c r="AI6811" s="1"/>
      <c r="AJ6811" s="1"/>
      <c r="AK6811" s="1"/>
      <c r="AL6811" s="1"/>
      <c r="AM6811" s="1"/>
    </row>
    <row r="6812" spans="16:39" x14ac:dyDescent="0.25">
      <c r="P6812" s="49"/>
      <c r="Q6812" s="1"/>
      <c r="S6812" s="1"/>
      <c r="T6812" s="1"/>
      <c r="U6812" s="1"/>
      <c r="V6812" s="1"/>
      <c r="W6812" s="1"/>
      <c r="X6812" s="1"/>
      <c r="Y6812" s="1"/>
      <c r="AB6812" s="1"/>
      <c r="AC6812" s="1"/>
      <c r="AD6812" s="1"/>
      <c r="AE6812" s="1"/>
      <c r="AF6812" s="1"/>
      <c r="AG6812" s="1"/>
      <c r="AH6812" s="1"/>
      <c r="AI6812" s="1"/>
      <c r="AJ6812" s="1"/>
      <c r="AK6812" s="1"/>
      <c r="AL6812" s="1"/>
      <c r="AM6812" s="1"/>
    </row>
    <row r="6813" spans="16:39" x14ac:dyDescent="0.25">
      <c r="P6813" s="49"/>
      <c r="Q6813" s="1"/>
      <c r="S6813" s="1"/>
      <c r="T6813" s="1"/>
      <c r="U6813" s="1"/>
      <c r="V6813" s="1"/>
      <c r="W6813" s="1"/>
      <c r="X6813" s="1"/>
      <c r="Y6813" s="1"/>
      <c r="AB6813" s="1"/>
      <c r="AC6813" s="1"/>
      <c r="AD6813" s="1"/>
      <c r="AE6813" s="1"/>
      <c r="AF6813" s="1"/>
      <c r="AG6813" s="1"/>
      <c r="AH6813" s="1"/>
      <c r="AI6813" s="1"/>
      <c r="AJ6813" s="1"/>
      <c r="AK6813" s="1"/>
      <c r="AL6813" s="1"/>
      <c r="AM6813" s="1"/>
    </row>
    <row r="6814" spans="16:39" x14ac:dyDescent="0.25">
      <c r="P6814" s="49"/>
      <c r="Q6814" s="1"/>
      <c r="S6814" s="1"/>
      <c r="T6814" s="1"/>
      <c r="U6814" s="1"/>
      <c r="V6814" s="1"/>
      <c r="W6814" s="1"/>
      <c r="X6814" s="1"/>
      <c r="Y6814" s="1"/>
      <c r="AB6814" s="1"/>
      <c r="AC6814" s="1"/>
      <c r="AD6814" s="1"/>
      <c r="AE6814" s="1"/>
      <c r="AF6814" s="1"/>
      <c r="AG6814" s="1"/>
      <c r="AH6814" s="1"/>
      <c r="AI6814" s="1"/>
      <c r="AJ6814" s="1"/>
      <c r="AK6814" s="1"/>
      <c r="AL6814" s="1"/>
      <c r="AM6814" s="1"/>
    </row>
    <row r="6815" spans="16:39" x14ac:dyDescent="0.25">
      <c r="P6815" s="49"/>
      <c r="Q6815" s="1"/>
      <c r="S6815" s="1"/>
      <c r="T6815" s="1"/>
      <c r="U6815" s="1"/>
      <c r="V6815" s="1"/>
      <c r="W6815" s="1"/>
      <c r="X6815" s="1"/>
      <c r="Y6815" s="1"/>
      <c r="AB6815" s="1"/>
      <c r="AC6815" s="1"/>
      <c r="AD6815" s="1"/>
      <c r="AE6815" s="1"/>
      <c r="AF6815" s="1"/>
      <c r="AG6815" s="1"/>
      <c r="AH6815" s="1"/>
      <c r="AI6815" s="1"/>
      <c r="AJ6815" s="1"/>
      <c r="AK6815" s="1"/>
      <c r="AL6815" s="1"/>
      <c r="AM6815" s="1"/>
    </row>
    <row r="6816" spans="16:39" x14ac:dyDescent="0.25">
      <c r="P6816" s="49"/>
      <c r="Q6816" s="1"/>
      <c r="S6816" s="1"/>
      <c r="T6816" s="1"/>
      <c r="U6816" s="1"/>
      <c r="V6816" s="1"/>
      <c r="W6816" s="1"/>
      <c r="X6816" s="1"/>
      <c r="Y6816" s="1"/>
      <c r="AB6816" s="1"/>
      <c r="AC6816" s="1"/>
      <c r="AD6816" s="1"/>
      <c r="AE6816" s="1"/>
      <c r="AF6816" s="1"/>
      <c r="AG6816" s="1"/>
      <c r="AH6816" s="1"/>
      <c r="AI6816" s="1"/>
      <c r="AJ6816" s="1"/>
      <c r="AK6816" s="1"/>
      <c r="AL6816" s="1"/>
      <c r="AM6816" s="1"/>
    </row>
    <row r="6817" spans="16:39" x14ac:dyDescent="0.25">
      <c r="P6817" s="49"/>
      <c r="Q6817" s="1"/>
      <c r="S6817" s="1"/>
      <c r="T6817" s="1"/>
      <c r="U6817" s="1"/>
      <c r="V6817" s="1"/>
      <c r="W6817" s="1"/>
      <c r="X6817" s="1"/>
      <c r="Y6817" s="1"/>
      <c r="AB6817" s="1"/>
      <c r="AC6817" s="1"/>
      <c r="AD6817" s="1"/>
      <c r="AE6817" s="1"/>
      <c r="AF6817" s="1"/>
      <c r="AG6817" s="1"/>
      <c r="AH6817" s="1"/>
      <c r="AI6817" s="1"/>
      <c r="AJ6817" s="1"/>
      <c r="AK6817" s="1"/>
      <c r="AL6817" s="1"/>
      <c r="AM6817" s="1"/>
    </row>
    <row r="6818" spans="16:39" x14ac:dyDescent="0.25">
      <c r="P6818" s="49"/>
      <c r="Q6818" s="1"/>
      <c r="S6818" s="1"/>
      <c r="T6818" s="1"/>
      <c r="U6818" s="1"/>
      <c r="V6818" s="1"/>
      <c r="W6818" s="1"/>
      <c r="X6818" s="1"/>
      <c r="Y6818" s="1"/>
      <c r="AB6818" s="1"/>
      <c r="AC6818" s="1"/>
      <c r="AD6818" s="1"/>
      <c r="AE6818" s="1"/>
      <c r="AF6818" s="1"/>
      <c r="AG6818" s="1"/>
      <c r="AH6818" s="1"/>
      <c r="AI6818" s="1"/>
      <c r="AJ6818" s="1"/>
      <c r="AK6818" s="1"/>
      <c r="AL6818" s="1"/>
      <c r="AM6818" s="1"/>
    </row>
    <row r="6819" spans="16:39" x14ac:dyDescent="0.25">
      <c r="P6819" s="49"/>
      <c r="Q6819" s="1"/>
      <c r="S6819" s="1"/>
      <c r="T6819" s="1"/>
      <c r="U6819" s="1"/>
      <c r="V6819" s="1"/>
      <c r="W6819" s="1"/>
      <c r="X6819" s="1"/>
      <c r="Y6819" s="1"/>
      <c r="AB6819" s="1"/>
      <c r="AC6819" s="1"/>
      <c r="AD6819" s="1"/>
      <c r="AE6819" s="1"/>
      <c r="AF6819" s="1"/>
      <c r="AG6819" s="1"/>
      <c r="AH6819" s="1"/>
      <c r="AI6819" s="1"/>
      <c r="AJ6819" s="1"/>
      <c r="AK6819" s="1"/>
      <c r="AL6819" s="1"/>
      <c r="AM6819" s="1"/>
    </row>
    <row r="6820" spans="16:39" x14ac:dyDescent="0.25">
      <c r="P6820" s="49"/>
      <c r="Q6820" s="1"/>
      <c r="S6820" s="1"/>
      <c r="T6820" s="1"/>
      <c r="U6820" s="1"/>
      <c r="V6820" s="1"/>
      <c r="W6820" s="1"/>
      <c r="X6820" s="1"/>
      <c r="Y6820" s="1"/>
      <c r="AB6820" s="1"/>
      <c r="AC6820" s="1"/>
      <c r="AD6820" s="1"/>
      <c r="AE6820" s="1"/>
      <c r="AF6820" s="1"/>
      <c r="AG6820" s="1"/>
      <c r="AH6820" s="1"/>
      <c r="AI6820" s="1"/>
      <c r="AJ6820" s="1"/>
      <c r="AK6820" s="1"/>
      <c r="AL6820" s="1"/>
      <c r="AM6820" s="1"/>
    </row>
    <row r="6821" spans="16:39" x14ac:dyDescent="0.25">
      <c r="P6821" s="49"/>
      <c r="Q6821" s="1"/>
      <c r="S6821" s="1"/>
      <c r="T6821" s="1"/>
      <c r="U6821" s="1"/>
      <c r="V6821" s="1"/>
      <c r="W6821" s="1"/>
      <c r="X6821" s="1"/>
      <c r="Y6821" s="1"/>
      <c r="AB6821" s="1"/>
      <c r="AC6821" s="1"/>
      <c r="AD6821" s="1"/>
      <c r="AE6821" s="1"/>
      <c r="AF6821" s="1"/>
      <c r="AG6821" s="1"/>
      <c r="AH6821" s="1"/>
      <c r="AI6821" s="1"/>
      <c r="AJ6821" s="1"/>
      <c r="AK6821" s="1"/>
      <c r="AL6821" s="1"/>
      <c r="AM6821" s="1"/>
    </row>
    <row r="6822" spans="16:39" x14ac:dyDescent="0.25">
      <c r="P6822" s="49"/>
      <c r="Q6822" s="1"/>
      <c r="S6822" s="1"/>
      <c r="T6822" s="1"/>
      <c r="U6822" s="1"/>
      <c r="V6822" s="1"/>
      <c r="W6822" s="1"/>
      <c r="X6822" s="1"/>
      <c r="Y6822" s="1"/>
      <c r="AB6822" s="1"/>
      <c r="AC6822" s="1"/>
      <c r="AD6822" s="1"/>
      <c r="AE6822" s="1"/>
      <c r="AF6822" s="1"/>
      <c r="AG6822" s="1"/>
      <c r="AH6822" s="1"/>
      <c r="AI6822" s="1"/>
      <c r="AJ6822" s="1"/>
      <c r="AK6822" s="1"/>
      <c r="AL6822" s="1"/>
      <c r="AM6822" s="1"/>
    </row>
    <row r="6823" spans="16:39" x14ac:dyDescent="0.25">
      <c r="P6823" s="49"/>
      <c r="Q6823" s="1"/>
      <c r="S6823" s="1"/>
      <c r="T6823" s="1"/>
      <c r="U6823" s="1"/>
      <c r="V6823" s="1"/>
      <c r="W6823" s="1"/>
      <c r="X6823" s="1"/>
      <c r="Y6823" s="1"/>
      <c r="AB6823" s="1"/>
      <c r="AC6823" s="1"/>
      <c r="AD6823" s="1"/>
      <c r="AE6823" s="1"/>
      <c r="AF6823" s="1"/>
      <c r="AG6823" s="1"/>
      <c r="AH6823" s="1"/>
      <c r="AI6823" s="1"/>
      <c r="AJ6823" s="1"/>
      <c r="AK6823" s="1"/>
      <c r="AL6823" s="1"/>
      <c r="AM6823" s="1"/>
    </row>
    <row r="6824" spans="16:39" x14ac:dyDescent="0.25">
      <c r="P6824" s="49"/>
      <c r="Q6824" s="1"/>
      <c r="S6824" s="1"/>
      <c r="T6824" s="1"/>
      <c r="U6824" s="1"/>
      <c r="V6824" s="1"/>
      <c r="W6824" s="1"/>
      <c r="X6824" s="1"/>
      <c r="Y6824" s="1"/>
      <c r="AB6824" s="1"/>
      <c r="AC6824" s="1"/>
      <c r="AD6824" s="1"/>
      <c r="AE6824" s="1"/>
      <c r="AF6824" s="1"/>
      <c r="AG6824" s="1"/>
      <c r="AH6824" s="1"/>
      <c r="AI6824" s="1"/>
      <c r="AJ6824" s="1"/>
      <c r="AK6824" s="1"/>
      <c r="AL6824" s="1"/>
      <c r="AM6824" s="1"/>
    </row>
    <row r="6825" spans="16:39" x14ac:dyDescent="0.25">
      <c r="P6825" s="49"/>
      <c r="Q6825" s="1"/>
      <c r="S6825" s="1"/>
      <c r="T6825" s="1"/>
      <c r="U6825" s="1"/>
      <c r="V6825" s="1"/>
      <c r="W6825" s="1"/>
      <c r="X6825" s="1"/>
      <c r="Y6825" s="1"/>
      <c r="AB6825" s="1"/>
      <c r="AC6825" s="1"/>
      <c r="AD6825" s="1"/>
      <c r="AE6825" s="1"/>
      <c r="AF6825" s="1"/>
      <c r="AG6825" s="1"/>
      <c r="AH6825" s="1"/>
      <c r="AI6825" s="1"/>
      <c r="AJ6825" s="1"/>
      <c r="AK6825" s="1"/>
      <c r="AL6825" s="1"/>
      <c r="AM6825" s="1"/>
    </row>
    <row r="6826" spans="16:39" x14ac:dyDescent="0.25">
      <c r="P6826" s="49"/>
      <c r="Q6826" s="1"/>
      <c r="S6826" s="1"/>
      <c r="T6826" s="1"/>
      <c r="U6826" s="1"/>
      <c r="V6826" s="1"/>
      <c r="W6826" s="1"/>
      <c r="X6826" s="1"/>
      <c r="Y6826" s="1"/>
      <c r="AB6826" s="1"/>
      <c r="AC6826" s="1"/>
      <c r="AD6826" s="1"/>
      <c r="AE6826" s="1"/>
      <c r="AF6826" s="1"/>
      <c r="AG6826" s="1"/>
      <c r="AH6826" s="1"/>
      <c r="AI6826" s="1"/>
      <c r="AJ6826" s="1"/>
      <c r="AK6826" s="1"/>
      <c r="AL6826" s="1"/>
      <c r="AM6826" s="1"/>
    </row>
    <row r="6827" spans="16:39" x14ac:dyDescent="0.25">
      <c r="P6827" s="49"/>
      <c r="Q6827" s="1"/>
      <c r="S6827" s="1"/>
      <c r="T6827" s="1"/>
      <c r="U6827" s="1"/>
      <c r="V6827" s="1"/>
      <c r="W6827" s="1"/>
      <c r="X6827" s="1"/>
      <c r="Y6827" s="1"/>
      <c r="AB6827" s="1"/>
      <c r="AC6827" s="1"/>
      <c r="AD6827" s="1"/>
      <c r="AE6827" s="1"/>
      <c r="AF6827" s="1"/>
      <c r="AG6827" s="1"/>
      <c r="AH6827" s="1"/>
      <c r="AI6827" s="1"/>
      <c r="AJ6827" s="1"/>
      <c r="AK6827" s="1"/>
      <c r="AL6827" s="1"/>
      <c r="AM6827" s="1"/>
    </row>
    <row r="6828" spans="16:39" x14ac:dyDescent="0.25">
      <c r="P6828" s="49"/>
      <c r="Q6828" s="1"/>
      <c r="S6828" s="1"/>
      <c r="T6828" s="1"/>
      <c r="U6828" s="1"/>
      <c r="V6828" s="1"/>
      <c r="W6828" s="1"/>
      <c r="X6828" s="1"/>
      <c r="Y6828" s="1"/>
      <c r="AB6828" s="1"/>
      <c r="AC6828" s="1"/>
      <c r="AD6828" s="1"/>
      <c r="AE6828" s="1"/>
      <c r="AF6828" s="1"/>
      <c r="AG6828" s="1"/>
      <c r="AH6828" s="1"/>
      <c r="AI6828" s="1"/>
      <c r="AJ6828" s="1"/>
      <c r="AK6828" s="1"/>
      <c r="AL6828" s="1"/>
      <c r="AM6828" s="1"/>
    </row>
    <row r="6829" spans="16:39" x14ac:dyDescent="0.25">
      <c r="P6829" s="49"/>
      <c r="Q6829" s="1"/>
      <c r="S6829" s="1"/>
      <c r="T6829" s="1"/>
      <c r="U6829" s="1"/>
      <c r="V6829" s="1"/>
      <c r="W6829" s="1"/>
      <c r="X6829" s="1"/>
      <c r="Y6829" s="1"/>
      <c r="AB6829" s="1"/>
      <c r="AC6829" s="1"/>
      <c r="AD6829" s="1"/>
      <c r="AE6829" s="1"/>
      <c r="AF6829" s="1"/>
      <c r="AG6829" s="1"/>
      <c r="AH6829" s="1"/>
      <c r="AI6829" s="1"/>
      <c r="AJ6829" s="1"/>
      <c r="AK6829" s="1"/>
      <c r="AL6829" s="1"/>
      <c r="AM6829" s="1"/>
    </row>
    <row r="6830" spans="16:39" x14ac:dyDescent="0.25">
      <c r="P6830" s="49"/>
      <c r="Q6830" s="1"/>
      <c r="S6830" s="1"/>
      <c r="T6830" s="1"/>
      <c r="U6830" s="1"/>
      <c r="V6830" s="1"/>
      <c r="W6830" s="1"/>
      <c r="X6830" s="1"/>
      <c r="Y6830" s="1"/>
      <c r="AB6830" s="1"/>
      <c r="AC6830" s="1"/>
      <c r="AD6830" s="1"/>
      <c r="AE6830" s="1"/>
      <c r="AF6830" s="1"/>
      <c r="AG6830" s="1"/>
      <c r="AH6830" s="1"/>
      <c r="AI6830" s="1"/>
      <c r="AJ6830" s="1"/>
      <c r="AK6830" s="1"/>
      <c r="AL6830" s="1"/>
      <c r="AM6830" s="1"/>
    </row>
    <row r="6831" spans="16:39" x14ac:dyDescent="0.25">
      <c r="P6831" s="49"/>
      <c r="Q6831" s="1"/>
      <c r="S6831" s="1"/>
      <c r="T6831" s="1"/>
      <c r="U6831" s="1"/>
      <c r="V6831" s="1"/>
      <c r="W6831" s="1"/>
      <c r="X6831" s="1"/>
      <c r="Y6831" s="1"/>
      <c r="AB6831" s="1"/>
      <c r="AC6831" s="1"/>
      <c r="AD6831" s="1"/>
      <c r="AE6831" s="1"/>
      <c r="AF6831" s="1"/>
      <c r="AG6831" s="1"/>
      <c r="AH6831" s="1"/>
      <c r="AI6831" s="1"/>
      <c r="AJ6831" s="1"/>
      <c r="AK6831" s="1"/>
      <c r="AL6831" s="1"/>
      <c r="AM6831" s="1"/>
    </row>
    <row r="6832" spans="16:39" x14ac:dyDescent="0.25">
      <c r="P6832" s="49"/>
      <c r="Q6832" s="1"/>
      <c r="S6832" s="1"/>
      <c r="T6832" s="1"/>
      <c r="U6832" s="1"/>
      <c r="V6832" s="1"/>
      <c r="W6832" s="1"/>
      <c r="X6832" s="1"/>
      <c r="Y6832" s="1"/>
      <c r="AB6832" s="1"/>
      <c r="AC6832" s="1"/>
      <c r="AD6832" s="1"/>
      <c r="AE6832" s="1"/>
      <c r="AF6832" s="1"/>
      <c r="AG6832" s="1"/>
      <c r="AH6832" s="1"/>
      <c r="AI6832" s="1"/>
      <c r="AJ6832" s="1"/>
      <c r="AK6832" s="1"/>
      <c r="AL6832" s="1"/>
      <c r="AM6832" s="1"/>
    </row>
    <row r="6833" spans="16:39" x14ac:dyDescent="0.25">
      <c r="P6833" s="49"/>
      <c r="Q6833" s="1"/>
      <c r="S6833" s="1"/>
      <c r="T6833" s="1"/>
      <c r="U6833" s="1"/>
      <c r="V6833" s="1"/>
      <c r="W6833" s="1"/>
      <c r="X6833" s="1"/>
      <c r="Y6833" s="1"/>
      <c r="AB6833" s="1"/>
      <c r="AC6833" s="1"/>
      <c r="AD6833" s="1"/>
      <c r="AE6833" s="1"/>
      <c r="AF6833" s="1"/>
      <c r="AG6833" s="1"/>
      <c r="AH6833" s="1"/>
      <c r="AI6833" s="1"/>
      <c r="AJ6833" s="1"/>
      <c r="AK6833" s="1"/>
      <c r="AL6833" s="1"/>
      <c r="AM6833" s="1"/>
    </row>
    <row r="6834" spans="16:39" x14ac:dyDescent="0.25">
      <c r="P6834" s="49"/>
      <c r="Q6834" s="1"/>
      <c r="S6834" s="1"/>
      <c r="T6834" s="1"/>
      <c r="U6834" s="1"/>
      <c r="V6834" s="1"/>
      <c r="W6834" s="1"/>
      <c r="X6834" s="1"/>
      <c r="Y6834" s="1"/>
      <c r="AB6834" s="1"/>
      <c r="AC6834" s="1"/>
      <c r="AD6834" s="1"/>
      <c r="AE6834" s="1"/>
      <c r="AF6834" s="1"/>
      <c r="AG6834" s="1"/>
      <c r="AH6834" s="1"/>
      <c r="AI6834" s="1"/>
      <c r="AJ6834" s="1"/>
      <c r="AK6834" s="1"/>
      <c r="AL6834" s="1"/>
      <c r="AM6834" s="1"/>
    </row>
    <row r="6835" spans="16:39" x14ac:dyDescent="0.25">
      <c r="P6835" s="49"/>
      <c r="Q6835" s="1"/>
      <c r="S6835" s="1"/>
      <c r="T6835" s="1"/>
      <c r="U6835" s="1"/>
      <c r="V6835" s="1"/>
      <c r="W6835" s="1"/>
      <c r="X6835" s="1"/>
      <c r="Y6835" s="1"/>
      <c r="AB6835" s="1"/>
      <c r="AC6835" s="1"/>
      <c r="AD6835" s="1"/>
      <c r="AE6835" s="1"/>
      <c r="AF6835" s="1"/>
      <c r="AG6835" s="1"/>
      <c r="AH6835" s="1"/>
      <c r="AI6835" s="1"/>
      <c r="AJ6835" s="1"/>
      <c r="AK6835" s="1"/>
      <c r="AL6835" s="1"/>
      <c r="AM6835" s="1"/>
    </row>
    <row r="6836" spans="16:39" x14ac:dyDescent="0.25">
      <c r="P6836" s="49"/>
      <c r="Q6836" s="1"/>
      <c r="S6836" s="1"/>
      <c r="T6836" s="1"/>
      <c r="U6836" s="1"/>
      <c r="V6836" s="1"/>
      <c r="W6836" s="1"/>
      <c r="X6836" s="1"/>
      <c r="Y6836" s="1"/>
      <c r="AB6836" s="1"/>
      <c r="AC6836" s="1"/>
      <c r="AD6836" s="1"/>
      <c r="AE6836" s="1"/>
      <c r="AF6836" s="1"/>
      <c r="AG6836" s="1"/>
      <c r="AH6836" s="1"/>
      <c r="AI6836" s="1"/>
      <c r="AJ6836" s="1"/>
      <c r="AK6836" s="1"/>
      <c r="AL6836" s="1"/>
      <c r="AM6836" s="1"/>
    </row>
    <row r="6837" spans="16:39" x14ac:dyDescent="0.25">
      <c r="P6837" s="49"/>
      <c r="Q6837" s="1"/>
      <c r="S6837" s="1"/>
      <c r="T6837" s="1"/>
      <c r="U6837" s="1"/>
      <c r="V6837" s="1"/>
      <c r="W6837" s="1"/>
      <c r="X6837" s="1"/>
      <c r="Y6837" s="1"/>
      <c r="AB6837" s="1"/>
      <c r="AC6837" s="1"/>
      <c r="AD6837" s="1"/>
      <c r="AE6837" s="1"/>
      <c r="AF6837" s="1"/>
      <c r="AG6837" s="1"/>
      <c r="AH6837" s="1"/>
      <c r="AI6837" s="1"/>
      <c r="AJ6837" s="1"/>
      <c r="AK6837" s="1"/>
      <c r="AL6837" s="1"/>
      <c r="AM6837" s="1"/>
    </row>
    <row r="6838" spans="16:39" x14ac:dyDescent="0.25">
      <c r="P6838" s="49"/>
      <c r="Q6838" s="1"/>
      <c r="S6838" s="1"/>
      <c r="T6838" s="1"/>
      <c r="U6838" s="1"/>
      <c r="V6838" s="1"/>
      <c r="W6838" s="1"/>
      <c r="X6838" s="1"/>
      <c r="Y6838" s="1"/>
      <c r="AB6838" s="1"/>
      <c r="AC6838" s="1"/>
      <c r="AD6838" s="1"/>
      <c r="AE6838" s="1"/>
      <c r="AF6838" s="1"/>
      <c r="AG6838" s="1"/>
      <c r="AH6838" s="1"/>
      <c r="AI6838" s="1"/>
      <c r="AJ6838" s="1"/>
      <c r="AK6838" s="1"/>
      <c r="AL6838" s="1"/>
      <c r="AM6838" s="1"/>
    </row>
    <row r="6839" spans="16:39" x14ac:dyDescent="0.25">
      <c r="P6839" s="49"/>
      <c r="Q6839" s="1"/>
      <c r="S6839" s="1"/>
      <c r="T6839" s="1"/>
      <c r="U6839" s="1"/>
      <c r="V6839" s="1"/>
      <c r="W6839" s="1"/>
      <c r="X6839" s="1"/>
      <c r="Y6839" s="1"/>
      <c r="AB6839" s="1"/>
      <c r="AC6839" s="1"/>
      <c r="AD6839" s="1"/>
      <c r="AE6839" s="1"/>
      <c r="AF6839" s="1"/>
      <c r="AG6839" s="1"/>
      <c r="AH6839" s="1"/>
      <c r="AI6839" s="1"/>
      <c r="AJ6839" s="1"/>
      <c r="AK6839" s="1"/>
      <c r="AL6839" s="1"/>
      <c r="AM6839" s="1"/>
    </row>
    <row r="6840" spans="16:39" x14ac:dyDescent="0.25">
      <c r="P6840" s="49"/>
      <c r="Q6840" s="1"/>
      <c r="S6840" s="1"/>
      <c r="T6840" s="1"/>
      <c r="U6840" s="1"/>
      <c r="V6840" s="1"/>
      <c r="W6840" s="1"/>
      <c r="X6840" s="1"/>
      <c r="Y6840" s="1"/>
      <c r="AB6840" s="1"/>
      <c r="AC6840" s="1"/>
      <c r="AD6840" s="1"/>
      <c r="AE6840" s="1"/>
      <c r="AF6840" s="1"/>
      <c r="AG6840" s="1"/>
      <c r="AH6840" s="1"/>
      <c r="AI6840" s="1"/>
      <c r="AJ6840" s="1"/>
      <c r="AK6840" s="1"/>
      <c r="AL6840" s="1"/>
      <c r="AM6840" s="1"/>
    </row>
    <row r="6841" spans="16:39" x14ac:dyDescent="0.25">
      <c r="P6841" s="49"/>
      <c r="Q6841" s="1"/>
      <c r="S6841" s="1"/>
      <c r="T6841" s="1"/>
      <c r="U6841" s="1"/>
      <c r="V6841" s="1"/>
      <c r="W6841" s="1"/>
      <c r="X6841" s="1"/>
      <c r="Y6841" s="1"/>
      <c r="AB6841" s="1"/>
      <c r="AC6841" s="1"/>
      <c r="AD6841" s="1"/>
      <c r="AE6841" s="1"/>
      <c r="AF6841" s="1"/>
      <c r="AG6841" s="1"/>
      <c r="AH6841" s="1"/>
      <c r="AI6841" s="1"/>
      <c r="AJ6841" s="1"/>
      <c r="AK6841" s="1"/>
      <c r="AL6841" s="1"/>
      <c r="AM6841" s="1"/>
    </row>
    <row r="6842" spans="16:39" x14ac:dyDescent="0.25">
      <c r="P6842" s="49"/>
      <c r="Q6842" s="1"/>
      <c r="S6842" s="1"/>
      <c r="T6842" s="1"/>
      <c r="U6842" s="1"/>
      <c r="V6842" s="1"/>
      <c r="W6842" s="1"/>
      <c r="X6842" s="1"/>
      <c r="Y6842" s="1"/>
      <c r="AB6842" s="1"/>
      <c r="AC6842" s="1"/>
      <c r="AD6842" s="1"/>
      <c r="AE6842" s="1"/>
      <c r="AF6842" s="1"/>
      <c r="AG6842" s="1"/>
      <c r="AH6842" s="1"/>
      <c r="AI6842" s="1"/>
      <c r="AJ6842" s="1"/>
      <c r="AK6842" s="1"/>
      <c r="AL6842" s="1"/>
      <c r="AM6842" s="1"/>
    </row>
    <row r="6843" spans="16:39" x14ac:dyDescent="0.25">
      <c r="P6843" s="49"/>
      <c r="Q6843" s="1"/>
      <c r="S6843" s="1"/>
      <c r="T6843" s="1"/>
      <c r="U6843" s="1"/>
      <c r="V6843" s="1"/>
      <c r="W6843" s="1"/>
      <c r="X6843" s="1"/>
      <c r="Y6843" s="1"/>
      <c r="AB6843" s="1"/>
      <c r="AC6843" s="1"/>
      <c r="AD6843" s="1"/>
      <c r="AE6843" s="1"/>
      <c r="AF6843" s="1"/>
      <c r="AG6843" s="1"/>
      <c r="AH6843" s="1"/>
      <c r="AI6843" s="1"/>
      <c r="AJ6843" s="1"/>
      <c r="AK6843" s="1"/>
      <c r="AL6843" s="1"/>
      <c r="AM6843" s="1"/>
    </row>
    <row r="6844" spans="16:39" x14ac:dyDescent="0.25">
      <c r="P6844" s="49"/>
      <c r="Q6844" s="1"/>
      <c r="S6844" s="1"/>
      <c r="T6844" s="1"/>
      <c r="U6844" s="1"/>
      <c r="V6844" s="1"/>
      <c r="W6844" s="1"/>
      <c r="X6844" s="1"/>
      <c r="Y6844" s="1"/>
      <c r="AB6844" s="1"/>
      <c r="AC6844" s="1"/>
      <c r="AD6844" s="1"/>
      <c r="AE6844" s="1"/>
      <c r="AF6844" s="1"/>
      <c r="AG6844" s="1"/>
      <c r="AH6844" s="1"/>
      <c r="AI6844" s="1"/>
      <c r="AJ6844" s="1"/>
      <c r="AK6844" s="1"/>
      <c r="AL6844" s="1"/>
      <c r="AM6844" s="1"/>
    </row>
    <row r="6845" spans="16:39" x14ac:dyDescent="0.25">
      <c r="P6845" s="49"/>
      <c r="Q6845" s="1"/>
      <c r="S6845" s="1"/>
      <c r="T6845" s="1"/>
      <c r="U6845" s="1"/>
      <c r="V6845" s="1"/>
      <c r="W6845" s="1"/>
      <c r="X6845" s="1"/>
      <c r="Y6845" s="1"/>
      <c r="AB6845" s="1"/>
      <c r="AC6845" s="1"/>
      <c r="AD6845" s="1"/>
      <c r="AE6845" s="1"/>
      <c r="AF6845" s="1"/>
      <c r="AG6845" s="1"/>
      <c r="AH6845" s="1"/>
      <c r="AI6845" s="1"/>
      <c r="AJ6845" s="1"/>
      <c r="AK6845" s="1"/>
      <c r="AL6845" s="1"/>
      <c r="AM6845" s="1"/>
    </row>
    <row r="6846" spans="16:39" x14ac:dyDescent="0.25">
      <c r="P6846" s="49"/>
      <c r="Q6846" s="1"/>
      <c r="S6846" s="1"/>
      <c r="T6846" s="1"/>
      <c r="U6846" s="1"/>
      <c r="V6846" s="1"/>
      <c r="W6846" s="1"/>
      <c r="X6846" s="1"/>
      <c r="Y6846" s="1"/>
      <c r="AB6846" s="1"/>
      <c r="AC6846" s="1"/>
      <c r="AD6846" s="1"/>
      <c r="AE6846" s="1"/>
      <c r="AF6846" s="1"/>
      <c r="AG6846" s="1"/>
      <c r="AH6846" s="1"/>
      <c r="AI6846" s="1"/>
      <c r="AJ6846" s="1"/>
      <c r="AK6846" s="1"/>
      <c r="AL6846" s="1"/>
      <c r="AM6846" s="1"/>
    </row>
    <row r="6847" spans="16:39" x14ac:dyDescent="0.25">
      <c r="P6847" s="49"/>
      <c r="Q6847" s="1"/>
      <c r="S6847" s="1"/>
      <c r="T6847" s="1"/>
      <c r="U6847" s="1"/>
      <c r="V6847" s="1"/>
      <c r="W6847" s="1"/>
      <c r="X6847" s="1"/>
      <c r="Y6847" s="1"/>
      <c r="AB6847" s="1"/>
      <c r="AC6847" s="1"/>
      <c r="AD6847" s="1"/>
      <c r="AE6847" s="1"/>
      <c r="AF6847" s="1"/>
      <c r="AG6847" s="1"/>
      <c r="AH6847" s="1"/>
      <c r="AI6847" s="1"/>
      <c r="AJ6847" s="1"/>
      <c r="AK6847" s="1"/>
      <c r="AL6847" s="1"/>
      <c r="AM6847" s="1"/>
    </row>
    <row r="6848" spans="16:39" x14ac:dyDescent="0.25">
      <c r="P6848" s="49"/>
      <c r="Q6848" s="1"/>
      <c r="S6848" s="1"/>
      <c r="T6848" s="1"/>
      <c r="U6848" s="1"/>
      <c r="V6848" s="1"/>
      <c r="W6848" s="1"/>
      <c r="X6848" s="1"/>
      <c r="Y6848" s="1"/>
      <c r="AB6848" s="1"/>
      <c r="AC6848" s="1"/>
      <c r="AD6848" s="1"/>
      <c r="AE6848" s="1"/>
      <c r="AF6848" s="1"/>
      <c r="AG6848" s="1"/>
      <c r="AH6848" s="1"/>
      <c r="AI6848" s="1"/>
      <c r="AJ6848" s="1"/>
      <c r="AK6848" s="1"/>
      <c r="AL6848" s="1"/>
      <c r="AM6848" s="1"/>
    </row>
    <row r="6849" spans="16:39" x14ac:dyDescent="0.25">
      <c r="P6849" s="49"/>
      <c r="Q6849" s="1"/>
      <c r="S6849" s="1"/>
      <c r="T6849" s="1"/>
      <c r="U6849" s="1"/>
      <c r="V6849" s="1"/>
      <c r="W6849" s="1"/>
      <c r="X6849" s="1"/>
      <c r="Y6849" s="1"/>
      <c r="AB6849" s="1"/>
      <c r="AC6849" s="1"/>
      <c r="AD6849" s="1"/>
      <c r="AE6849" s="1"/>
      <c r="AF6849" s="1"/>
      <c r="AG6849" s="1"/>
      <c r="AH6849" s="1"/>
      <c r="AI6849" s="1"/>
      <c r="AJ6849" s="1"/>
      <c r="AK6849" s="1"/>
      <c r="AL6849" s="1"/>
      <c r="AM6849" s="1"/>
    </row>
    <row r="6850" spans="16:39" x14ac:dyDescent="0.25">
      <c r="P6850" s="49"/>
      <c r="Q6850" s="1"/>
      <c r="S6850" s="1"/>
      <c r="T6850" s="1"/>
      <c r="U6850" s="1"/>
      <c r="V6850" s="1"/>
      <c r="W6850" s="1"/>
      <c r="X6850" s="1"/>
      <c r="Y6850" s="1"/>
      <c r="AB6850" s="1"/>
      <c r="AC6850" s="1"/>
      <c r="AD6850" s="1"/>
      <c r="AE6850" s="1"/>
      <c r="AF6850" s="1"/>
      <c r="AG6850" s="1"/>
      <c r="AH6850" s="1"/>
      <c r="AI6850" s="1"/>
      <c r="AJ6850" s="1"/>
      <c r="AK6850" s="1"/>
      <c r="AL6850" s="1"/>
      <c r="AM6850" s="1"/>
    </row>
    <row r="6851" spans="16:39" x14ac:dyDescent="0.25">
      <c r="P6851" s="49"/>
      <c r="Q6851" s="1"/>
      <c r="S6851" s="1"/>
      <c r="T6851" s="1"/>
      <c r="U6851" s="1"/>
      <c r="V6851" s="1"/>
      <c r="W6851" s="1"/>
      <c r="X6851" s="1"/>
      <c r="Y6851" s="1"/>
      <c r="AB6851" s="1"/>
      <c r="AC6851" s="1"/>
      <c r="AD6851" s="1"/>
      <c r="AE6851" s="1"/>
      <c r="AF6851" s="1"/>
      <c r="AG6851" s="1"/>
      <c r="AH6851" s="1"/>
      <c r="AI6851" s="1"/>
      <c r="AJ6851" s="1"/>
      <c r="AK6851" s="1"/>
      <c r="AL6851" s="1"/>
      <c r="AM6851" s="1"/>
    </row>
    <row r="6852" spans="16:39" x14ac:dyDescent="0.25">
      <c r="P6852" s="49"/>
      <c r="Q6852" s="1"/>
      <c r="S6852" s="1"/>
      <c r="T6852" s="1"/>
      <c r="U6852" s="1"/>
      <c r="V6852" s="1"/>
      <c r="W6852" s="1"/>
      <c r="X6852" s="1"/>
      <c r="Y6852" s="1"/>
      <c r="AB6852" s="1"/>
      <c r="AC6852" s="1"/>
      <c r="AD6852" s="1"/>
      <c r="AE6852" s="1"/>
      <c r="AF6852" s="1"/>
      <c r="AG6852" s="1"/>
      <c r="AH6852" s="1"/>
      <c r="AI6852" s="1"/>
      <c r="AJ6852" s="1"/>
      <c r="AK6852" s="1"/>
      <c r="AL6852" s="1"/>
      <c r="AM6852" s="1"/>
    </row>
    <row r="6853" spans="16:39" x14ac:dyDescent="0.25">
      <c r="P6853" s="49"/>
      <c r="Q6853" s="1"/>
      <c r="S6853" s="1"/>
      <c r="T6853" s="1"/>
      <c r="U6853" s="1"/>
      <c r="V6853" s="1"/>
      <c r="W6853" s="1"/>
      <c r="X6853" s="1"/>
      <c r="Y6853" s="1"/>
      <c r="AB6853" s="1"/>
      <c r="AC6853" s="1"/>
      <c r="AD6853" s="1"/>
      <c r="AE6853" s="1"/>
      <c r="AF6853" s="1"/>
      <c r="AG6853" s="1"/>
      <c r="AH6853" s="1"/>
      <c r="AI6853" s="1"/>
      <c r="AJ6853" s="1"/>
      <c r="AK6853" s="1"/>
      <c r="AL6853" s="1"/>
      <c r="AM6853" s="1"/>
    </row>
    <row r="6854" spans="16:39" x14ac:dyDescent="0.25">
      <c r="P6854" s="49"/>
      <c r="Q6854" s="1"/>
      <c r="S6854" s="1"/>
      <c r="T6854" s="1"/>
      <c r="U6854" s="1"/>
      <c r="V6854" s="1"/>
      <c r="W6854" s="1"/>
      <c r="X6854" s="1"/>
      <c r="Y6854" s="1"/>
      <c r="AB6854" s="1"/>
      <c r="AC6854" s="1"/>
      <c r="AD6854" s="1"/>
      <c r="AE6854" s="1"/>
      <c r="AF6854" s="1"/>
      <c r="AG6854" s="1"/>
      <c r="AH6854" s="1"/>
      <c r="AI6854" s="1"/>
      <c r="AJ6854" s="1"/>
      <c r="AK6854" s="1"/>
      <c r="AL6854" s="1"/>
      <c r="AM6854" s="1"/>
    </row>
    <row r="6855" spans="16:39" x14ac:dyDescent="0.25">
      <c r="P6855" s="49"/>
      <c r="Q6855" s="1"/>
      <c r="S6855" s="1"/>
      <c r="T6855" s="1"/>
      <c r="U6855" s="1"/>
      <c r="V6855" s="1"/>
      <c r="W6855" s="1"/>
      <c r="X6855" s="1"/>
      <c r="Y6855" s="1"/>
      <c r="AB6855" s="1"/>
      <c r="AC6855" s="1"/>
      <c r="AD6855" s="1"/>
      <c r="AE6855" s="1"/>
      <c r="AF6855" s="1"/>
      <c r="AG6855" s="1"/>
      <c r="AH6855" s="1"/>
      <c r="AI6855" s="1"/>
      <c r="AJ6855" s="1"/>
      <c r="AK6855" s="1"/>
      <c r="AL6855" s="1"/>
      <c r="AM6855" s="1"/>
    </row>
    <row r="6856" spans="16:39" x14ac:dyDescent="0.25">
      <c r="P6856" s="49"/>
      <c r="Q6856" s="1"/>
      <c r="S6856" s="1"/>
      <c r="T6856" s="1"/>
      <c r="U6856" s="1"/>
      <c r="V6856" s="1"/>
      <c r="W6856" s="1"/>
      <c r="X6856" s="1"/>
      <c r="Y6856" s="1"/>
      <c r="AB6856" s="1"/>
      <c r="AC6856" s="1"/>
      <c r="AD6856" s="1"/>
      <c r="AE6856" s="1"/>
      <c r="AF6856" s="1"/>
      <c r="AG6856" s="1"/>
      <c r="AH6856" s="1"/>
      <c r="AI6856" s="1"/>
      <c r="AJ6856" s="1"/>
      <c r="AK6856" s="1"/>
      <c r="AL6856" s="1"/>
      <c r="AM6856" s="1"/>
    </row>
    <row r="6857" spans="16:39" x14ac:dyDescent="0.25">
      <c r="P6857" s="49"/>
      <c r="Q6857" s="1"/>
      <c r="S6857" s="1"/>
      <c r="T6857" s="1"/>
      <c r="U6857" s="1"/>
      <c r="V6857" s="1"/>
      <c r="W6857" s="1"/>
      <c r="X6857" s="1"/>
      <c r="Y6857" s="1"/>
      <c r="AB6857" s="1"/>
      <c r="AC6857" s="1"/>
      <c r="AD6857" s="1"/>
      <c r="AE6857" s="1"/>
      <c r="AF6857" s="1"/>
      <c r="AG6857" s="1"/>
      <c r="AH6857" s="1"/>
      <c r="AI6857" s="1"/>
      <c r="AJ6857" s="1"/>
      <c r="AK6857" s="1"/>
      <c r="AL6857" s="1"/>
      <c r="AM6857" s="1"/>
    </row>
    <row r="6858" spans="16:39" x14ac:dyDescent="0.25">
      <c r="P6858" s="49"/>
      <c r="Q6858" s="1"/>
      <c r="S6858" s="1"/>
      <c r="T6858" s="1"/>
      <c r="U6858" s="1"/>
      <c r="V6858" s="1"/>
      <c r="W6858" s="1"/>
      <c r="X6858" s="1"/>
      <c r="Y6858" s="1"/>
      <c r="AB6858" s="1"/>
      <c r="AC6858" s="1"/>
      <c r="AD6858" s="1"/>
      <c r="AE6858" s="1"/>
      <c r="AF6858" s="1"/>
      <c r="AG6858" s="1"/>
      <c r="AH6858" s="1"/>
      <c r="AI6858" s="1"/>
      <c r="AJ6858" s="1"/>
      <c r="AK6858" s="1"/>
      <c r="AL6858" s="1"/>
      <c r="AM6858" s="1"/>
    </row>
    <row r="6859" spans="16:39" x14ac:dyDescent="0.25">
      <c r="P6859" s="49"/>
      <c r="Q6859" s="1"/>
      <c r="S6859" s="1"/>
      <c r="T6859" s="1"/>
      <c r="U6859" s="1"/>
      <c r="V6859" s="1"/>
      <c r="W6859" s="1"/>
      <c r="X6859" s="1"/>
      <c r="Y6859" s="1"/>
      <c r="AB6859" s="1"/>
      <c r="AC6859" s="1"/>
      <c r="AD6859" s="1"/>
      <c r="AE6859" s="1"/>
      <c r="AF6859" s="1"/>
      <c r="AG6859" s="1"/>
      <c r="AH6859" s="1"/>
      <c r="AI6859" s="1"/>
      <c r="AJ6859" s="1"/>
      <c r="AK6859" s="1"/>
      <c r="AL6859" s="1"/>
      <c r="AM6859" s="1"/>
    </row>
    <row r="6860" spans="16:39" x14ac:dyDescent="0.25">
      <c r="P6860" s="49"/>
      <c r="Q6860" s="1"/>
      <c r="S6860" s="1"/>
      <c r="T6860" s="1"/>
      <c r="U6860" s="1"/>
      <c r="V6860" s="1"/>
      <c r="W6860" s="1"/>
      <c r="X6860" s="1"/>
      <c r="Y6860" s="1"/>
      <c r="AB6860" s="1"/>
      <c r="AC6860" s="1"/>
      <c r="AD6860" s="1"/>
      <c r="AE6860" s="1"/>
      <c r="AF6860" s="1"/>
      <c r="AG6860" s="1"/>
      <c r="AH6860" s="1"/>
      <c r="AI6860" s="1"/>
      <c r="AJ6860" s="1"/>
      <c r="AK6860" s="1"/>
      <c r="AL6860" s="1"/>
      <c r="AM6860" s="1"/>
    </row>
    <row r="6861" spans="16:39" x14ac:dyDescent="0.25">
      <c r="P6861" s="49"/>
      <c r="Q6861" s="1"/>
      <c r="S6861" s="1"/>
      <c r="T6861" s="1"/>
      <c r="U6861" s="1"/>
      <c r="V6861" s="1"/>
      <c r="W6861" s="1"/>
      <c r="X6861" s="1"/>
      <c r="Y6861" s="1"/>
      <c r="AB6861" s="1"/>
      <c r="AC6861" s="1"/>
      <c r="AD6861" s="1"/>
      <c r="AE6861" s="1"/>
      <c r="AF6861" s="1"/>
      <c r="AG6861" s="1"/>
      <c r="AH6861" s="1"/>
      <c r="AI6861" s="1"/>
      <c r="AJ6861" s="1"/>
      <c r="AK6861" s="1"/>
      <c r="AL6861" s="1"/>
      <c r="AM6861" s="1"/>
    </row>
    <row r="6862" spans="16:39" x14ac:dyDescent="0.25">
      <c r="P6862" s="49"/>
      <c r="Q6862" s="1"/>
      <c r="S6862" s="1"/>
      <c r="T6862" s="1"/>
      <c r="U6862" s="1"/>
      <c r="V6862" s="1"/>
      <c r="W6862" s="1"/>
      <c r="X6862" s="1"/>
      <c r="Y6862" s="1"/>
      <c r="AB6862" s="1"/>
      <c r="AC6862" s="1"/>
      <c r="AD6862" s="1"/>
      <c r="AE6862" s="1"/>
      <c r="AF6862" s="1"/>
      <c r="AG6862" s="1"/>
      <c r="AH6862" s="1"/>
      <c r="AI6862" s="1"/>
      <c r="AJ6862" s="1"/>
      <c r="AK6862" s="1"/>
      <c r="AL6862" s="1"/>
      <c r="AM6862" s="1"/>
    </row>
    <row r="6863" spans="16:39" x14ac:dyDescent="0.25">
      <c r="P6863" s="49"/>
      <c r="Q6863" s="1"/>
      <c r="S6863" s="1"/>
      <c r="T6863" s="1"/>
      <c r="U6863" s="1"/>
      <c r="V6863" s="1"/>
      <c r="W6863" s="1"/>
      <c r="X6863" s="1"/>
      <c r="Y6863" s="1"/>
      <c r="AB6863" s="1"/>
      <c r="AC6863" s="1"/>
      <c r="AD6863" s="1"/>
      <c r="AE6863" s="1"/>
      <c r="AF6863" s="1"/>
      <c r="AG6863" s="1"/>
      <c r="AH6863" s="1"/>
      <c r="AI6863" s="1"/>
      <c r="AJ6863" s="1"/>
      <c r="AK6863" s="1"/>
      <c r="AL6863" s="1"/>
      <c r="AM6863" s="1"/>
    </row>
    <row r="6864" spans="16:39" x14ac:dyDescent="0.25">
      <c r="P6864" s="49"/>
      <c r="Q6864" s="1"/>
      <c r="S6864" s="1"/>
      <c r="T6864" s="1"/>
      <c r="U6864" s="1"/>
      <c r="V6864" s="1"/>
      <c r="W6864" s="1"/>
      <c r="X6864" s="1"/>
      <c r="Y6864" s="1"/>
      <c r="AB6864" s="1"/>
      <c r="AC6864" s="1"/>
      <c r="AD6864" s="1"/>
      <c r="AE6864" s="1"/>
      <c r="AF6864" s="1"/>
      <c r="AG6864" s="1"/>
      <c r="AH6864" s="1"/>
      <c r="AI6864" s="1"/>
      <c r="AJ6864" s="1"/>
      <c r="AK6864" s="1"/>
      <c r="AL6864" s="1"/>
      <c r="AM6864" s="1"/>
    </row>
    <row r="6865" spans="16:39" x14ac:dyDescent="0.25">
      <c r="P6865" s="49"/>
      <c r="Q6865" s="1"/>
      <c r="S6865" s="1"/>
      <c r="T6865" s="1"/>
      <c r="U6865" s="1"/>
      <c r="V6865" s="1"/>
      <c r="W6865" s="1"/>
      <c r="X6865" s="1"/>
      <c r="Y6865" s="1"/>
      <c r="AB6865" s="1"/>
      <c r="AC6865" s="1"/>
      <c r="AD6865" s="1"/>
      <c r="AE6865" s="1"/>
      <c r="AF6865" s="1"/>
      <c r="AG6865" s="1"/>
      <c r="AH6865" s="1"/>
      <c r="AI6865" s="1"/>
      <c r="AJ6865" s="1"/>
      <c r="AK6865" s="1"/>
      <c r="AL6865" s="1"/>
      <c r="AM6865" s="1"/>
    </row>
    <row r="6866" spans="16:39" x14ac:dyDescent="0.25">
      <c r="P6866" s="49"/>
      <c r="Q6866" s="1"/>
      <c r="S6866" s="1"/>
      <c r="T6866" s="1"/>
      <c r="U6866" s="1"/>
      <c r="V6866" s="1"/>
      <c r="W6866" s="1"/>
      <c r="X6866" s="1"/>
      <c r="Y6866" s="1"/>
      <c r="AB6866" s="1"/>
      <c r="AC6866" s="1"/>
      <c r="AD6866" s="1"/>
      <c r="AE6866" s="1"/>
      <c r="AF6866" s="1"/>
      <c r="AG6866" s="1"/>
      <c r="AH6866" s="1"/>
      <c r="AI6866" s="1"/>
      <c r="AJ6866" s="1"/>
      <c r="AK6866" s="1"/>
      <c r="AL6866" s="1"/>
      <c r="AM6866" s="1"/>
    </row>
    <row r="6867" spans="16:39" x14ac:dyDescent="0.25">
      <c r="P6867" s="49"/>
      <c r="Q6867" s="1"/>
      <c r="S6867" s="1"/>
      <c r="T6867" s="1"/>
      <c r="U6867" s="1"/>
      <c r="V6867" s="1"/>
      <c r="W6867" s="1"/>
      <c r="X6867" s="1"/>
      <c r="Y6867" s="1"/>
      <c r="AB6867" s="1"/>
      <c r="AC6867" s="1"/>
      <c r="AD6867" s="1"/>
      <c r="AE6867" s="1"/>
      <c r="AF6867" s="1"/>
      <c r="AG6867" s="1"/>
      <c r="AH6867" s="1"/>
      <c r="AI6867" s="1"/>
      <c r="AJ6867" s="1"/>
      <c r="AK6867" s="1"/>
      <c r="AL6867" s="1"/>
      <c r="AM6867" s="1"/>
    </row>
    <row r="6868" spans="16:39" x14ac:dyDescent="0.25">
      <c r="P6868" s="49"/>
      <c r="Q6868" s="1"/>
      <c r="S6868" s="1"/>
      <c r="T6868" s="1"/>
      <c r="U6868" s="1"/>
      <c r="V6868" s="1"/>
      <c r="W6868" s="1"/>
      <c r="X6868" s="1"/>
      <c r="Y6868" s="1"/>
      <c r="AB6868" s="1"/>
      <c r="AC6868" s="1"/>
      <c r="AD6868" s="1"/>
      <c r="AE6868" s="1"/>
      <c r="AF6868" s="1"/>
      <c r="AG6868" s="1"/>
      <c r="AH6868" s="1"/>
      <c r="AI6868" s="1"/>
      <c r="AJ6868" s="1"/>
      <c r="AK6868" s="1"/>
      <c r="AL6868" s="1"/>
      <c r="AM6868" s="1"/>
    </row>
    <row r="6869" spans="16:39" x14ac:dyDescent="0.25">
      <c r="P6869" s="49"/>
      <c r="Q6869" s="1"/>
      <c r="S6869" s="1"/>
      <c r="T6869" s="1"/>
      <c r="U6869" s="1"/>
      <c r="V6869" s="1"/>
      <c r="W6869" s="1"/>
      <c r="X6869" s="1"/>
      <c r="Y6869" s="1"/>
      <c r="AB6869" s="1"/>
      <c r="AC6869" s="1"/>
      <c r="AD6869" s="1"/>
      <c r="AE6869" s="1"/>
      <c r="AF6869" s="1"/>
      <c r="AG6869" s="1"/>
      <c r="AH6869" s="1"/>
      <c r="AI6869" s="1"/>
      <c r="AJ6869" s="1"/>
      <c r="AK6869" s="1"/>
      <c r="AL6869" s="1"/>
      <c r="AM6869" s="1"/>
    </row>
    <row r="6870" spans="16:39" x14ac:dyDescent="0.25">
      <c r="P6870" s="49"/>
      <c r="Q6870" s="1"/>
      <c r="S6870" s="1"/>
      <c r="T6870" s="1"/>
      <c r="U6870" s="1"/>
      <c r="V6870" s="1"/>
      <c r="W6870" s="1"/>
      <c r="X6870" s="1"/>
      <c r="Y6870" s="1"/>
      <c r="AB6870" s="1"/>
      <c r="AC6870" s="1"/>
      <c r="AD6870" s="1"/>
      <c r="AE6870" s="1"/>
      <c r="AF6870" s="1"/>
      <c r="AG6870" s="1"/>
      <c r="AH6870" s="1"/>
      <c r="AI6870" s="1"/>
      <c r="AJ6870" s="1"/>
      <c r="AK6870" s="1"/>
      <c r="AL6870" s="1"/>
      <c r="AM6870" s="1"/>
    </row>
    <row r="6871" spans="16:39" x14ac:dyDescent="0.25">
      <c r="P6871" s="49"/>
      <c r="Q6871" s="1"/>
      <c r="S6871" s="1"/>
      <c r="T6871" s="1"/>
      <c r="U6871" s="1"/>
      <c r="V6871" s="1"/>
      <c r="W6871" s="1"/>
      <c r="X6871" s="1"/>
      <c r="Y6871" s="1"/>
      <c r="AB6871" s="1"/>
      <c r="AC6871" s="1"/>
      <c r="AD6871" s="1"/>
      <c r="AE6871" s="1"/>
      <c r="AF6871" s="1"/>
      <c r="AG6871" s="1"/>
      <c r="AH6871" s="1"/>
      <c r="AI6871" s="1"/>
      <c r="AJ6871" s="1"/>
      <c r="AK6871" s="1"/>
      <c r="AL6871" s="1"/>
      <c r="AM6871" s="1"/>
    </row>
    <row r="6872" spans="16:39" x14ac:dyDescent="0.25">
      <c r="P6872" s="49"/>
      <c r="Q6872" s="1"/>
      <c r="S6872" s="1"/>
      <c r="T6872" s="1"/>
      <c r="U6872" s="1"/>
      <c r="V6872" s="1"/>
      <c r="W6872" s="1"/>
      <c r="X6872" s="1"/>
      <c r="Y6872" s="1"/>
      <c r="AB6872" s="1"/>
      <c r="AC6872" s="1"/>
      <c r="AD6872" s="1"/>
      <c r="AE6872" s="1"/>
      <c r="AF6872" s="1"/>
      <c r="AG6872" s="1"/>
      <c r="AH6872" s="1"/>
      <c r="AI6872" s="1"/>
      <c r="AJ6872" s="1"/>
      <c r="AK6872" s="1"/>
      <c r="AL6872" s="1"/>
      <c r="AM6872" s="1"/>
    </row>
    <row r="6873" spans="16:39" x14ac:dyDescent="0.25">
      <c r="P6873" s="49"/>
      <c r="Q6873" s="1"/>
      <c r="S6873" s="1"/>
      <c r="T6873" s="1"/>
      <c r="U6873" s="1"/>
      <c r="V6873" s="1"/>
      <c r="W6873" s="1"/>
      <c r="X6873" s="1"/>
      <c r="Y6873" s="1"/>
      <c r="AB6873" s="1"/>
      <c r="AC6873" s="1"/>
      <c r="AD6873" s="1"/>
      <c r="AE6873" s="1"/>
      <c r="AF6873" s="1"/>
      <c r="AG6873" s="1"/>
      <c r="AH6873" s="1"/>
      <c r="AI6873" s="1"/>
      <c r="AJ6873" s="1"/>
      <c r="AK6873" s="1"/>
      <c r="AL6873" s="1"/>
      <c r="AM6873" s="1"/>
    </row>
    <row r="6874" spans="16:39" x14ac:dyDescent="0.25">
      <c r="P6874" s="49"/>
      <c r="Q6874" s="1"/>
      <c r="S6874" s="1"/>
      <c r="T6874" s="1"/>
      <c r="U6874" s="1"/>
      <c r="V6874" s="1"/>
      <c r="W6874" s="1"/>
      <c r="X6874" s="1"/>
      <c r="Y6874" s="1"/>
      <c r="AB6874" s="1"/>
      <c r="AC6874" s="1"/>
      <c r="AD6874" s="1"/>
      <c r="AE6874" s="1"/>
      <c r="AF6874" s="1"/>
      <c r="AG6874" s="1"/>
      <c r="AH6874" s="1"/>
      <c r="AI6874" s="1"/>
      <c r="AJ6874" s="1"/>
      <c r="AK6874" s="1"/>
      <c r="AL6874" s="1"/>
      <c r="AM6874" s="1"/>
    </row>
    <row r="6875" spans="16:39" x14ac:dyDescent="0.25">
      <c r="P6875" s="49"/>
      <c r="Q6875" s="1"/>
      <c r="S6875" s="1"/>
      <c r="T6875" s="1"/>
      <c r="U6875" s="1"/>
      <c r="V6875" s="1"/>
      <c r="W6875" s="1"/>
      <c r="X6875" s="1"/>
      <c r="Y6875" s="1"/>
      <c r="AB6875" s="1"/>
      <c r="AC6875" s="1"/>
      <c r="AD6875" s="1"/>
      <c r="AE6875" s="1"/>
      <c r="AF6875" s="1"/>
      <c r="AG6875" s="1"/>
      <c r="AH6875" s="1"/>
      <c r="AI6875" s="1"/>
      <c r="AJ6875" s="1"/>
      <c r="AK6875" s="1"/>
      <c r="AL6875" s="1"/>
      <c r="AM6875" s="1"/>
    </row>
    <row r="6876" spans="16:39" x14ac:dyDescent="0.25">
      <c r="P6876" s="49"/>
      <c r="Q6876" s="1"/>
      <c r="S6876" s="1"/>
      <c r="T6876" s="1"/>
      <c r="U6876" s="1"/>
      <c r="V6876" s="1"/>
      <c r="W6876" s="1"/>
      <c r="X6876" s="1"/>
      <c r="Y6876" s="1"/>
      <c r="AB6876" s="1"/>
      <c r="AC6876" s="1"/>
      <c r="AD6876" s="1"/>
      <c r="AE6876" s="1"/>
      <c r="AF6876" s="1"/>
      <c r="AG6876" s="1"/>
      <c r="AH6876" s="1"/>
      <c r="AI6876" s="1"/>
      <c r="AJ6876" s="1"/>
      <c r="AK6876" s="1"/>
      <c r="AL6876" s="1"/>
      <c r="AM6876" s="1"/>
    </row>
    <row r="6877" spans="16:39" x14ac:dyDescent="0.25">
      <c r="P6877" s="49"/>
      <c r="Q6877" s="1"/>
      <c r="S6877" s="1"/>
      <c r="T6877" s="1"/>
      <c r="U6877" s="1"/>
      <c r="V6877" s="1"/>
      <c r="W6877" s="1"/>
      <c r="X6877" s="1"/>
      <c r="Y6877" s="1"/>
      <c r="AB6877" s="1"/>
      <c r="AC6877" s="1"/>
      <c r="AD6877" s="1"/>
      <c r="AE6877" s="1"/>
      <c r="AF6877" s="1"/>
      <c r="AG6877" s="1"/>
      <c r="AH6877" s="1"/>
      <c r="AI6877" s="1"/>
      <c r="AJ6877" s="1"/>
      <c r="AK6877" s="1"/>
      <c r="AL6877" s="1"/>
      <c r="AM6877" s="1"/>
    </row>
    <row r="6878" spans="16:39" x14ac:dyDescent="0.25">
      <c r="P6878" s="49"/>
      <c r="Q6878" s="1"/>
      <c r="S6878" s="1"/>
      <c r="T6878" s="1"/>
      <c r="U6878" s="1"/>
      <c r="V6878" s="1"/>
      <c r="W6878" s="1"/>
      <c r="X6878" s="1"/>
      <c r="Y6878" s="1"/>
      <c r="AB6878" s="1"/>
      <c r="AC6878" s="1"/>
      <c r="AD6878" s="1"/>
      <c r="AE6878" s="1"/>
      <c r="AF6878" s="1"/>
      <c r="AG6878" s="1"/>
      <c r="AH6878" s="1"/>
      <c r="AI6878" s="1"/>
      <c r="AJ6878" s="1"/>
      <c r="AK6878" s="1"/>
      <c r="AL6878" s="1"/>
      <c r="AM6878" s="1"/>
    </row>
    <row r="6879" spans="16:39" x14ac:dyDescent="0.25">
      <c r="P6879" s="49"/>
      <c r="Q6879" s="1"/>
      <c r="S6879" s="1"/>
      <c r="T6879" s="1"/>
      <c r="U6879" s="1"/>
      <c r="V6879" s="1"/>
      <c r="W6879" s="1"/>
      <c r="X6879" s="1"/>
      <c r="Y6879" s="1"/>
      <c r="AB6879" s="1"/>
      <c r="AC6879" s="1"/>
      <c r="AD6879" s="1"/>
      <c r="AE6879" s="1"/>
      <c r="AF6879" s="1"/>
      <c r="AG6879" s="1"/>
      <c r="AH6879" s="1"/>
      <c r="AI6879" s="1"/>
      <c r="AJ6879" s="1"/>
      <c r="AK6879" s="1"/>
      <c r="AL6879" s="1"/>
      <c r="AM6879" s="1"/>
    </row>
    <row r="6880" spans="16:39" x14ac:dyDescent="0.25">
      <c r="P6880" s="49"/>
      <c r="Q6880" s="1"/>
      <c r="S6880" s="1"/>
      <c r="T6880" s="1"/>
      <c r="U6880" s="1"/>
      <c r="V6880" s="1"/>
      <c r="W6880" s="1"/>
      <c r="X6880" s="1"/>
      <c r="Y6880" s="1"/>
      <c r="AB6880" s="1"/>
      <c r="AC6880" s="1"/>
      <c r="AD6880" s="1"/>
      <c r="AE6880" s="1"/>
      <c r="AF6880" s="1"/>
      <c r="AG6880" s="1"/>
      <c r="AH6880" s="1"/>
      <c r="AI6880" s="1"/>
      <c r="AJ6880" s="1"/>
      <c r="AK6880" s="1"/>
      <c r="AL6880" s="1"/>
      <c r="AM6880" s="1"/>
    </row>
    <row r="6881" spans="16:39" x14ac:dyDescent="0.25">
      <c r="P6881" s="49"/>
      <c r="Q6881" s="1"/>
      <c r="S6881" s="1"/>
      <c r="T6881" s="1"/>
      <c r="U6881" s="1"/>
      <c r="V6881" s="1"/>
      <c r="W6881" s="1"/>
      <c r="X6881" s="1"/>
      <c r="Y6881" s="1"/>
      <c r="AB6881" s="1"/>
      <c r="AC6881" s="1"/>
      <c r="AD6881" s="1"/>
      <c r="AE6881" s="1"/>
      <c r="AF6881" s="1"/>
      <c r="AG6881" s="1"/>
      <c r="AH6881" s="1"/>
      <c r="AI6881" s="1"/>
      <c r="AJ6881" s="1"/>
      <c r="AK6881" s="1"/>
      <c r="AL6881" s="1"/>
      <c r="AM6881" s="1"/>
    </row>
    <row r="6882" spans="16:39" x14ac:dyDescent="0.25">
      <c r="P6882" s="49"/>
      <c r="Q6882" s="1"/>
      <c r="S6882" s="1"/>
      <c r="T6882" s="1"/>
      <c r="U6882" s="1"/>
      <c r="V6882" s="1"/>
      <c r="W6882" s="1"/>
      <c r="X6882" s="1"/>
      <c r="Y6882" s="1"/>
      <c r="AB6882" s="1"/>
      <c r="AC6882" s="1"/>
      <c r="AD6882" s="1"/>
      <c r="AE6882" s="1"/>
      <c r="AF6882" s="1"/>
      <c r="AG6882" s="1"/>
      <c r="AH6882" s="1"/>
      <c r="AI6882" s="1"/>
      <c r="AJ6882" s="1"/>
      <c r="AK6882" s="1"/>
      <c r="AL6882" s="1"/>
      <c r="AM6882" s="1"/>
    </row>
    <row r="6883" spans="16:39" x14ac:dyDescent="0.25">
      <c r="P6883" s="49"/>
      <c r="Q6883" s="1"/>
      <c r="S6883" s="1"/>
      <c r="T6883" s="1"/>
      <c r="U6883" s="1"/>
      <c r="V6883" s="1"/>
      <c r="W6883" s="1"/>
      <c r="X6883" s="1"/>
      <c r="Y6883" s="1"/>
      <c r="AB6883" s="1"/>
      <c r="AC6883" s="1"/>
      <c r="AD6883" s="1"/>
      <c r="AE6883" s="1"/>
      <c r="AF6883" s="1"/>
      <c r="AG6883" s="1"/>
      <c r="AH6883" s="1"/>
      <c r="AI6883" s="1"/>
      <c r="AJ6883" s="1"/>
      <c r="AK6883" s="1"/>
      <c r="AL6883" s="1"/>
      <c r="AM6883" s="1"/>
    </row>
    <row r="6884" spans="16:39" x14ac:dyDescent="0.25">
      <c r="P6884" s="49"/>
      <c r="Q6884" s="1"/>
      <c r="S6884" s="1"/>
      <c r="T6884" s="1"/>
      <c r="U6884" s="1"/>
      <c r="V6884" s="1"/>
      <c r="W6884" s="1"/>
      <c r="X6884" s="1"/>
      <c r="Y6884" s="1"/>
      <c r="AB6884" s="1"/>
      <c r="AC6884" s="1"/>
      <c r="AD6884" s="1"/>
      <c r="AE6884" s="1"/>
      <c r="AF6884" s="1"/>
      <c r="AG6884" s="1"/>
      <c r="AH6884" s="1"/>
      <c r="AI6884" s="1"/>
      <c r="AJ6884" s="1"/>
      <c r="AK6884" s="1"/>
      <c r="AL6884" s="1"/>
      <c r="AM6884" s="1"/>
    </row>
    <row r="6885" spans="16:39" x14ac:dyDescent="0.25">
      <c r="P6885" s="49"/>
      <c r="Q6885" s="1"/>
      <c r="S6885" s="1"/>
      <c r="T6885" s="1"/>
      <c r="U6885" s="1"/>
      <c r="V6885" s="1"/>
      <c r="W6885" s="1"/>
      <c r="X6885" s="1"/>
      <c r="Y6885" s="1"/>
      <c r="AB6885" s="1"/>
      <c r="AC6885" s="1"/>
      <c r="AD6885" s="1"/>
      <c r="AE6885" s="1"/>
      <c r="AF6885" s="1"/>
      <c r="AG6885" s="1"/>
      <c r="AH6885" s="1"/>
      <c r="AI6885" s="1"/>
      <c r="AJ6885" s="1"/>
      <c r="AK6885" s="1"/>
      <c r="AL6885" s="1"/>
      <c r="AM6885" s="1"/>
    </row>
    <row r="6886" spans="16:39" x14ac:dyDescent="0.25">
      <c r="P6886" s="49"/>
      <c r="Q6886" s="1"/>
      <c r="S6886" s="1"/>
      <c r="T6886" s="1"/>
      <c r="U6886" s="1"/>
      <c r="V6886" s="1"/>
      <c r="W6886" s="1"/>
      <c r="X6886" s="1"/>
      <c r="Y6886" s="1"/>
      <c r="AB6886" s="1"/>
      <c r="AC6886" s="1"/>
      <c r="AD6886" s="1"/>
      <c r="AE6886" s="1"/>
      <c r="AF6886" s="1"/>
      <c r="AG6886" s="1"/>
      <c r="AH6886" s="1"/>
      <c r="AI6886" s="1"/>
      <c r="AJ6886" s="1"/>
      <c r="AK6886" s="1"/>
      <c r="AL6886" s="1"/>
      <c r="AM6886" s="1"/>
    </row>
    <row r="6887" spans="16:39" x14ac:dyDescent="0.25">
      <c r="P6887" s="49"/>
      <c r="Q6887" s="1"/>
      <c r="S6887" s="1"/>
      <c r="T6887" s="1"/>
      <c r="U6887" s="1"/>
      <c r="V6887" s="1"/>
      <c r="W6887" s="1"/>
      <c r="X6887" s="1"/>
      <c r="Y6887" s="1"/>
      <c r="AB6887" s="1"/>
      <c r="AC6887" s="1"/>
      <c r="AD6887" s="1"/>
      <c r="AE6887" s="1"/>
      <c r="AF6887" s="1"/>
      <c r="AG6887" s="1"/>
      <c r="AH6887" s="1"/>
      <c r="AI6887" s="1"/>
      <c r="AJ6887" s="1"/>
      <c r="AK6887" s="1"/>
      <c r="AL6887" s="1"/>
      <c r="AM6887" s="1"/>
    </row>
    <row r="6888" spans="16:39" x14ac:dyDescent="0.25">
      <c r="P6888" s="49"/>
      <c r="Q6888" s="1"/>
      <c r="S6888" s="1"/>
      <c r="T6888" s="1"/>
      <c r="U6888" s="1"/>
      <c r="V6888" s="1"/>
      <c r="W6888" s="1"/>
      <c r="X6888" s="1"/>
      <c r="Y6888" s="1"/>
      <c r="AB6888" s="1"/>
      <c r="AC6888" s="1"/>
      <c r="AD6888" s="1"/>
      <c r="AE6888" s="1"/>
      <c r="AF6888" s="1"/>
      <c r="AG6888" s="1"/>
      <c r="AH6888" s="1"/>
      <c r="AI6888" s="1"/>
      <c r="AJ6888" s="1"/>
      <c r="AK6888" s="1"/>
      <c r="AL6888" s="1"/>
      <c r="AM6888" s="1"/>
    </row>
    <row r="6889" spans="16:39" x14ac:dyDescent="0.25">
      <c r="P6889" s="49"/>
      <c r="Q6889" s="1"/>
      <c r="S6889" s="1"/>
      <c r="T6889" s="1"/>
      <c r="U6889" s="1"/>
      <c r="V6889" s="1"/>
      <c r="W6889" s="1"/>
      <c r="X6889" s="1"/>
      <c r="Y6889" s="1"/>
      <c r="AB6889" s="1"/>
      <c r="AC6889" s="1"/>
      <c r="AD6889" s="1"/>
      <c r="AE6889" s="1"/>
      <c r="AF6889" s="1"/>
      <c r="AG6889" s="1"/>
      <c r="AH6889" s="1"/>
      <c r="AI6889" s="1"/>
      <c r="AJ6889" s="1"/>
      <c r="AK6889" s="1"/>
      <c r="AL6889" s="1"/>
      <c r="AM6889" s="1"/>
    </row>
    <row r="6890" spans="16:39" x14ac:dyDescent="0.25">
      <c r="P6890" s="49"/>
      <c r="Q6890" s="1"/>
      <c r="S6890" s="1"/>
      <c r="T6890" s="1"/>
      <c r="U6890" s="1"/>
      <c r="V6890" s="1"/>
      <c r="W6890" s="1"/>
      <c r="X6890" s="1"/>
      <c r="Y6890" s="1"/>
      <c r="AB6890" s="1"/>
      <c r="AC6890" s="1"/>
      <c r="AD6890" s="1"/>
      <c r="AE6890" s="1"/>
      <c r="AF6890" s="1"/>
      <c r="AG6890" s="1"/>
      <c r="AH6890" s="1"/>
      <c r="AI6890" s="1"/>
      <c r="AJ6890" s="1"/>
      <c r="AK6890" s="1"/>
      <c r="AL6890" s="1"/>
      <c r="AM6890" s="1"/>
    </row>
    <row r="6891" spans="16:39" x14ac:dyDescent="0.25">
      <c r="P6891" s="49"/>
      <c r="Q6891" s="1"/>
      <c r="S6891" s="1"/>
      <c r="T6891" s="1"/>
      <c r="U6891" s="1"/>
      <c r="V6891" s="1"/>
      <c r="W6891" s="1"/>
      <c r="X6891" s="1"/>
      <c r="Y6891" s="1"/>
      <c r="AB6891" s="1"/>
      <c r="AC6891" s="1"/>
      <c r="AD6891" s="1"/>
      <c r="AE6891" s="1"/>
      <c r="AF6891" s="1"/>
      <c r="AG6891" s="1"/>
      <c r="AH6891" s="1"/>
      <c r="AI6891" s="1"/>
      <c r="AJ6891" s="1"/>
      <c r="AK6891" s="1"/>
      <c r="AL6891" s="1"/>
      <c r="AM6891" s="1"/>
    </row>
    <row r="6892" spans="16:39" x14ac:dyDescent="0.25">
      <c r="P6892" s="49"/>
      <c r="Q6892" s="1"/>
      <c r="S6892" s="1"/>
      <c r="T6892" s="1"/>
      <c r="U6892" s="1"/>
      <c r="V6892" s="1"/>
      <c r="W6892" s="1"/>
      <c r="X6892" s="1"/>
      <c r="Y6892" s="1"/>
      <c r="AB6892" s="1"/>
      <c r="AC6892" s="1"/>
      <c r="AD6892" s="1"/>
      <c r="AE6892" s="1"/>
      <c r="AF6892" s="1"/>
      <c r="AG6892" s="1"/>
      <c r="AH6892" s="1"/>
      <c r="AI6892" s="1"/>
      <c r="AJ6892" s="1"/>
      <c r="AK6892" s="1"/>
      <c r="AL6892" s="1"/>
      <c r="AM6892" s="1"/>
    </row>
    <row r="6893" spans="16:39" x14ac:dyDescent="0.25">
      <c r="P6893" s="49"/>
      <c r="Q6893" s="1"/>
      <c r="S6893" s="1"/>
      <c r="T6893" s="1"/>
      <c r="U6893" s="1"/>
      <c r="V6893" s="1"/>
      <c r="W6893" s="1"/>
      <c r="X6893" s="1"/>
      <c r="Y6893" s="1"/>
      <c r="AB6893" s="1"/>
      <c r="AC6893" s="1"/>
      <c r="AD6893" s="1"/>
      <c r="AE6893" s="1"/>
      <c r="AF6893" s="1"/>
      <c r="AG6893" s="1"/>
      <c r="AH6893" s="1"/>
      <c r="AI6893" s="1"/>
      <c r="AJ6893" s="1"/>
      <c r="AK6893" s="1"/>
      <c r="AL6893" s="1"/>
      <c r="AM6893" s="1"/>
    </row>
    <row r="6894" spans="16:39" x14ac:dyDescent="0.25">
      <c r="P6894" s="49"/>
      <c r="Q6894" s="1"/>
      <c r="S6894" s="1"/>
      <c r="T6894" s="1"/>
      <c r="U6894" s="1"/>
      <c r="V6894" s="1"/>
      <c r="W6894" s="1"/>
      <c r="X6894" s="1"/>
      <c r="Y6894" s="1"/>
      <c r="AB6894" s="1"/>
      <c r="AC6894" s="1"/>
      <c r="AD6894" s="1"/>
      <c r="AE6894" s="1"/>
      <c r="AF6894" s="1"/>
      <c r="AG6894" s="1"/>
      <c r="AH6894" s="1"/>
      <c r="AI6894" s="1"/>
      <c r="AJ6894" s="1"/>
      <c r="AK6894" s="1"/>
      <c r="AL6894" s="1"/>
      <c r="AM6894" s="1"/>
    </row>
    <row r="6895" spans="16:39" x14ac:dyDescent="0.25">
      <c r="P6895" s="49"/>
      <c r="Q6895" s="1"/>
      <c r="S6895" s="1"/>
      <c r="T6895" s="1"/>
      <c r="U6895" s="1"/>
      <c r="V6895" s="1"/>
      <c r="W6895" s="1"/>
      <c r="X6895" s="1"/>
      <c r="Y6895" s="1"/>
      <c r="AB6895" s="1"/>
      <c r="AC6895" s="1"/>
      <c r="AD6895" s="1"/>
      <c r="AE6895" s="1"/>
      <c r="AF6895" s="1"/>
      <c r="AG6895" s="1"/>
      <c r="AH6895" s="1"/>
      <c r="AI6895" s="1"/>
      <c r="AJ6895" s="1"/>
      <c r="AK6895" s="1"/>
      <c r="AL6895" s="1"/>
      <c r="AM6895" s="1"/>
    </row>
    <row r="6896" spans="16:39" x14ac:dyDescent="0.25">
      <c r="P6896" s="49"/>
      <c r="Q6896" s="1"/>
      <c r="S6896" s="1"/>
      <c r="T6896" s="1"/>
      <c r="U6896" s="1"/>
      <c r="V6896" s="1"/>
      <c r="W6896" s="1"/>
      <c r="X6896" s="1"/>
      <c r="Y6896" s="1"/>
      <c r="AB6896" s="1"/>
      <c r="AC6896" s="1"/>
      <c r="AD6896" s="1"/>
      <c r="AE6896" s="1"/>
      <c r="AF6896" s="1"/>
      <c r="AG6896" s="1"/>
      <c r="AH6896" s="1"/>
      <c r="AI6896" s="1"/>
      <c r="AJ6896" s="1"/>
      <c r="AK6896" s="1"/>
      <c r="AL6896" s="1"/>
      <c r="AM6896" s="1"/>
    </row>
    <row r="6897" spans="16:39" x14ac:dyDescent="0.25">
      <c r="P6897" s="49"/>
      <c r="Q6897" s="1"/>
      <c r="S6897" s="1"/>
      <c r="T6897" s="1"/>
      <c r="U6897" s="1"/>
      <c r="V6897" s="1"/>
      <c r="W6897" s="1"/>
      <c r="X6897" s="1"/>
      <c r="Y6897" s="1"/>
      <c r="AB6897" s="1"/>
      <c r="AC6897" s="1"/>
      <c r="AD6897" s="1"/>
      <c r="AE6897" s="1"/>
      <c r="AF6897" s="1"/>
      <c r="AG6897" s="1"/>
      <c r="AH6897" s="1"/>
      <c r="AI6897" s="1"/>
      <c r="AJ6897" s="1"/>
      <c r="AK6897" s="1"/>
      <c r="AL6897" s="1"/>
      <c r="AM6897" s="1"/>
    </row>
    <row r="6898" spans="16:39" x14ac:dyDescent="0.25">
      <c r="P6898" s="49"/>
      <c r="Q6898" s="1"/>
      <c r="S6898" s="1"/>
      <c r="T6898" s="1"/>
      <c r="U6898" s="1"/>
      <c r="V6898" s="1"/>
      <c r="W6898" s="1"/>
      <c r="X6898" s="1"/>
      <c r="Y6898" s="1"/>
      <c r="AB6898" s="1"/>
      <c r="AC6898" s="1"/>
      <c r="AD6898" s="1"/>
      <c r="AE6898" s="1"/>
      <c r="AF6898" s="1"/>
      <c r="AG6898" s="1"/>
      <c r="AH6898" s="1"/>
      <c r="AI6898" s="1"/>
      <c r="AJ6898" s="1"/>
      <c r="AK6898" s="1"/>
      <c r="AL6898" s="1"/>
      <c r="AM6898" s="1"/>
    </row>
    <row r="6899" spans="16:39" x14ac:dyDescent="0.25">
      <c r="P6899" s="49"/>
      <c r="Q6899" s="1"/>
      <c r="S6899" s="1"/>
      <c r="T6899" s="1"/>
      <c r="U6899" s="1"/>
      <c r="V6899" s="1"/>
      <c r="W6899" s="1"/>
      <c r="X6899" s="1"/>
      <c r="Y6899" s="1"/>
      <c r="AB6899" s="1"/>
      <c r="AC6899" s="1"/>
      <c r="AD6899" s="1"/>
      <c r="AE6899" s="1"/>
      <c r="AF6899" s="1"/>
      <c r="AG6899" s="1"/>
      <c r="AH6899" s="1"/>
      <c r="AI6899" s="1"/>
      <c r="AJ6899" s="1"/>
      <c r="AK6899" s="1"/>
      <c r="AL6899" s="1"/>
      <c r="AM6899" s="1"/>
    </row>
    <row r="6900" spans="16:39" x14ac:dyDescent="0.25">
      <c r="P6900" s="49"/>
      <c r="Q6900" s="1"/>
      <c r="S6900" s="1"/>
      <c r="T6900" s="1"/>
      <c r="U6900" s="1"/>
      <c r="V6900" s="1"/>
      <c r="W6900" s="1"/>
      <c r="X6900" s="1"/>
      <c r="Y6900" s="1"/>
      <c r="AB6900" s="1"/>
      <c r="AC6900" s="1"/>
      <c r="AD6900" s="1"/>
      <c r="AE6900" s="1"/>
      <c r="AF6900" s="1"/>
      <c r="AG6900" s="1"/>
      <c r="AH6900" s="1"/>
      <c r="AI6900" s="1"/>
      <c r="AJ6900" s="1"/>
      <c r="AK6900" s="1"/>
      <c r="AL6900" s="1"/>
      <c r="AM6900" s="1"/>
    </row>
    <row r="6901" spans="16:39" x14ac:dyDescent="0.25">
      <c r="P6901" s="49"/>
      <c r="Q6901" s="1"/>
      <c r="S6901" s="1"/>
      <c r="T6901" s="1"/>
      <c r="U6901" s="1"/>
      <c r="V6901" s="1"/>
      <c r="W6901" s="1"/>
      <c r="X6901" s="1"/>
      <c r="Y6901" s="1"/>
      <c r="AB6901" s="1"/>
      <c r="AC6901" s="1"/>
      <c r="AD6901" s="1"/>
      <c r="AE6901" s="1"/>
      <c r="AF6901" s="1"/>
      <c r="AG6901" s="1"/>
      <c r="AH6901" s="1"/>
      <c r="AI6901" s="1"/>
      <c r="AJ6901" s="1"/>
      <c r="AK6901" s="1"/>
      <c r="AL6901" s="1"/>
      <c r="AM6901" s="1"/>
    </row>
    <row r="6902" spans="16:39" x14ac:dyDescent="0.25">
      <c r="P6902" s="49"/>
      <c r="Q6902" s="1"/>
      <c r="S6902" s="1"/>
      <c r="T6902" s="1"/>
      <c r="U6902" s="1"/>
      <c r="V6902" s="1"/>
      <c r="W6902" s="1"/>
      <c r="X6902" s="1"/>
      <c r="Y6902" s="1"/>
      <c r="AB6902" s="1"/>
      <c r="AC6902" s="1"/>
      <c r="AD6902" s="1"/>
      <c r="AE6902" s="1"/>
      <c r="AF6902" s="1"/>
      <c r="AG6902" s="1"/>
      <c r="AH6902" s="1"/>
      <c r="AI6902" s="1"/>
      <c r="AJ6902" s="1"/>
      <c r="AK6902" s="1"/>
      <c r="AL6902" s="1"/>
      <c r="AM6902" s="1"/>
    </row>
    <row r="6903" spans="16:39" x14ac:dyDescent="0.25">
      <c r="P6903" s="49"/>
      <c r="Q6903" s="1"/>
      <c r="S6903" s="1"/>
      <c r="T6903" s="1"/>
      <c r="U6903" s="1"/>
      <c r="V6903" s="1"/>
      <c r="W6903" s="1"/>
      <c r="X6903" s="1"/>
      <c r="Y6903" s="1"/>
      <c r="AB6903" s="1"/>
      <c r="AC6903" s="1"/>
      <c r="AD6903" s="1"/>
      <c r="AE6903" s="1"/>
      <c r="AF6903" s="1"/>
      <c r="AG6903" s="1"/>
      <c r="AH6903" s="1"/>
      <c r="AI6903" s="1"/>
      <c r="AJ6903" s="1"/>
      <c r="AK6903" s="1"/>
      <c r="AL6903" s="1"/>
      <c r="AM6903" s="1"/>
    </row>
    <row r="6904" spans="16:39" x14ac:dyDescent="0.25">
      <c r="P6904" s="49"/>
      <c r="Q6904" s="1"/>
      <c r="S6904" s="1"/>
      <c r="T6904" s="1"/>
      <c r="U6904" s="1"/>
      <c r="V6904" s="1"/>
      <c r="W6904" s="1"/>
      <c r="X6904" s="1"/>
      <c r="Y6904" s="1"/>
      <c r="AB6904" s="1"/>
      <c r="AC6904" s="1"/>
      <c r="AD6904" s="1"/>
      <c r="AE6904" s="1"/>
      <c r="AF6904" s="1"/>
      <c r="AG6904" s="1"/>
      <c r="AH6904" s="1"/>
      <c r="AI6904" s="1"/>
      <c r="AJ6904" s="1"/>
      <c r="AK6904" s="1"/>
      <c r="AL6904" s="1"/>
      <c r="AM6904" s="1"/>
    </row>
    <row r="6905" spans="16:39" x14ac:dyDescent="0.25">
      <c r="P6905" s="49"/>
      <c r="Q6905" s="1"/>
      <c r="S6905" s="1"/>
      <c r="T6905" s="1"/>
      <c r="U6905" s="1"/>
      <c r="V6905" s="1"/>
      <c r="W6905" s="1"/>
      <c r="X6905" s="1"/>
      <c r="Y6905" s="1"/>
      <c r="AB6905" s="1"/>
      <c r="AC6905" s="1"/>
      <c r="AD6905" s="1"/>
      <c r="AE6905" s="1"/>
      <c r="AF6905" s="1"/>
      <c r="AG6905" s="1"/>
      <c r="AH6905" s="1"/>
      <c r="AI6905" s="1"/>
      <c r="AJ6905" s="1"/>
      <c r="AK6905" s="1"/>
      <c r="AL6905" s="1"/>
      <c r="AM6905" s="1"/>
    </row>
    <row r="6906" spans="16:39" x14ac:dyDescent="0.25">
      <c r="P6906" s="49"/>
      <c r="Q6906" s="1"/>
      <c r="S6906" s="1"/>
      <c r="T6906" s="1"/>
      <c r="U6906" s="1"/>
      <c r="V6906" s="1"/>
      <c r="W6906" s="1"/>
      <c r="X6906" s="1"/>
      <c r="Y6906" s="1"/>
      <c r="AB6906" s="1"/>
      <c r="AC6906" s="1"/>
      <c r="AD6906" s="1"/>
      <c r="AE6906" s="1"/>
      <c r="AF6906" s="1"/>
      <c r="AG6906" s="1"/>
      <c r="AH6906" s="1"/>
      <c r="AI6906" s="1"/>
      <c r="AJ6906" s="1"/>
      <c r="AK6906" s="1"/>
      <c r="AL6906" s="1"/>
      <c r="AM6906" s="1"/>
    </row>
    <row r="6907" spans="16:39" x14ac:dyDescent="0.25">
      <c r="P6907" s="49"/>
      <c r="Q6907" s="1"/>
      <c r="S6907" s="1"/>
      <c r="T6907" s="1"/>
      <c r="U6907" s="1"/>
      <c r="V6907" s="1"/>
      <c r="W6907" s="1"/>
      <c r="X6907" s="1"/>
      <c r="Y6907" s="1"/>
      <c r="AB6907" s="1"/>
      <c r="AC6907" s="1"/>
      <c r="AD6907" s="1"/>
      <c r="AE6907" s="1"/>
      <c r="AF6907" s="1"/>
      <c r="AG6907" s="1"/>
      <c r="AH6907" s="1"/>
      <c r="AI6907" s="1"/>
      <c r="AJ6907" s="1"/>
      <c r="AK6907" s="1"/>
      <c r="AL6907" s="1"/>
      <c r="AM6907" s="1"/>
    </row>
    <row r="6908" spans="16:39" x14ac:dyDescent="0.25">
      <c r="P6908" s="49"/>
      <c r="Q6908" s="1"/>
      <c r="S6908" s="1"/>
      <c r="T6908" s="1"/>
      <c r="U6908" s="1"/>
      <c r="V6908" s="1"/>
      <c r="W6908" s="1"/>
      <c r="X6908" s="1"/>
      <c r="Y6908" s="1"/>
      <c r="AB6908" s="1"/>
      <c r="AC6908" s="1"/>
      <c r="AD6908" s="1"/>
      <c r="AE6908" s="1"/>
      <c r="AF6908" s="1"/>
      <c r="AG6908" s="1"/>
      <c r="AH6908" s="1"/>
      <c r="AI6908" s="1"/>
      <c r="AJ6908" s="1"/>
      <c r="AK6908" s="1"/>
      <c r="AL6908" s="1"/>
      <c r="AM6908" s="1"/>
    </row>
    <row r="6909" spans="16:39" x14ac:dyDescent="0.25">
      <c r="P6909" s="49"/>
      <c r="Q6909" s="1"/>
      <c r="S6909" s="1"/>
      <c r="T6909" s="1"/>
      <c r="U6909" s="1"/>
      <c r="V6909" s="1"/>
      <c r="W6909" s="1"/>
      <c r="X6909" s="1"/>
      <c r="Y6909" s="1"/>
      <c r="AB6909" s="1"/>
      <c r="AC6909" s="1"/>
      <c r="AD6909" s="1"/>
      <c r="AE6909" s="1"/>
      <c r="AF6909" s="1"/>
      <c r="AG6909" s="1"/>
      <c r="AH6909" s="1"/>
      <c r="AI6909" s="1"/>
      <c r="AJ6909" s="1"/>
      <c r="AK6909" s="1"/>
      <c r="AL6909" s="1"/>
      <c r="AM6909" s="1"/>
    </row>
    <row r="6910" spans="16:39" x14ac:dyDescent="0.25">
      <c r="P6910" s="49"/>
      <c r="Q6910" s="1"/>
      <c r="S6910" s="1"/>
      <c r="T6910" s="1"/>
      <c r="U6910" s="1"/>
      <c r="V6910" s="1"/>
      <c r="W6910" s="1"/>
      <c r="X6910" s="1"/>
      <c r="Y6910" s="1"/>
      <c r="AB6910" s="1"/>
      <c r="AC6910" s="1"/>
      <c r="AD6910" s="1"/>
      <c r="AE6910" s="1"/>
      <c r="AF6910" s="1"/>
      <c r="AG6910" s="1"/>
      <c r="AH6910" s="1"/>
      <c r="AI6910" s="1"/>
      <c r="AJ6910" s="1"/>
      <c r="AK6910" s="1"/>
      <c r="AL6910" s="1"/>
      <c r="AM6910" s="1"/>
    </row>
    <row r="6911" spans="16:39" x14ac:dyDescent="0.25">
      <c r="P6911" s="49"/>
      <c r="Q6911" s="1"/>
      <c r="S6911" s="1"/>
      <c r="T6911" s="1"/>
      <c r="U6911" s="1"/>
      <c r="V6911" s="1"/>
      <c r="W6911" s="1"/>
      <c r="X6911" s="1"/>
      <c r="Y6911" s="1"/>
      <c r="AB6911" s="1"/>
      <c r="AC6911" s="1"/>
      <c r="AD6911" s="1"/>
      <c r="AE6911" s="1"/>
      <c r="AF6911" s="1"/>
      <c r="AG6911" s="1"/>
      <c r="AH6911" s="1"/>
      <c r="AI6911" s="1"/>
      <c r="AJ6911" s="1"/>
      <c r="AK6911" s="1"/>
      <c r="AL6911" s="1"/>
      <c r="AM6911" s="1"/>
    </row>
    <row r="6912" spans="16:39" x14ac:dyDescent="0.25">
      <c r="P6912" s="49"/>
      <c r="Q6912" s="1"/>
      <c r="S6912" s="1"/>
      <c r="T6912" s="1"/>
      <c r="U6912" s="1"/>
      <c r="V6912" s="1"/>
      <c r="W6912" s="1"/>
      <c r="X6912" s="1"/>
      <c r="Y6912" s="1"/>
      <c r="AB6912" s="1"/>
      <c r="AC6912" s="1"/>
      <c r="AD6912" s="1"/>
      <c r="AE6912" s="1"/>
      <c r="AF6912" s="1"/>
      <c r="AG6912" s="1"/>
      <c r="AH6912" s="1"/>
      <c r="AI6912" s="1"/>
      <c r="AJ6912" s="1"/>
      <c r="AK6912" s="1"/>
      <c r="AL6912" s="1"/>
      <c r="AM6912" s="1"/>
    </row>
    <row r="6913" spans="16:39" x14ac:dyDescent="0.25">
      <c r="P6913" s="49"/>
      <c r="Q6913" s="1"/>
      <c r="S6913" s="1"/>
      <c r="T6913" s="1"/>
      <c r="U6913" s="1"/>
      <c r="V6913" s="1"/>
      <c r="W6913" s="1"/>
      <c r="X6913" s="1"/>
      <c r="Y6913" s="1"/>
      <c r="AB6913" s="1"/>
      <c r="AC6913" s="1"/>
      <c r="AD6913" s="1"/>
      <c r="AE6913" s="1"/>
      <c r="AF6913" s="1"/>
      <c r="AG6913" s="1"/>
      <c r="AH6913" s="1"/>
      <c r="AI6913" s="1"/>
      <c r="AJ6913" s="1"/>
      <c r="AK6913" s="1"/>
      <c r="AL6913" s="1"/>
      <c r="AM6913" s="1"/>
    </row>
    <row r="6914" spans="16:39" x14ac:dyDescent="0.25">
      <c r="P6914" s="49"/>
      <c r="Q6914" s="1"/>
      <c r="S6914" s="1"/>
      <c r="T6914" s="1"/>
      <c r="U6914" s="1"/>
      <c r="V6914" s="1"/>
      <c r="W6914" s="1"/>
      <c r="X6914" s="1"/>
      <c r="Y6914" s="1"/>
      <c r="AB6914" s="1"/>
      <c r="AC6914" s="1"/>
      <c r="AD6914" s="1"/>
      <c r="AE6914" s="1"/>
      <c r="AF6914" s="1"/>
      <c r="AG6914" s="1"/>
      <c r="AH6914" s="1"/>
      <c r="AI6914" s="1"/>
      <c r="AJ6914" s="1"/>
      <c r="AK6914" s="1"/>
      <c r="AL6914" s="1"/>
      <c r="AM6914" s="1"/>
    </row>
    <row r="6915" spans="16:39" x14ac:dyDescent="0.25">
      <c r="P6915" s="49"/>
      <c r="Q6915" s="1"/>
      <c r="S6915" s="1"/>
      <c r="T6915" s="1"/>
      <c r="U6915" s="1"/>
      <c r="V6915" s="1"/>
      <c r="W6915" s="1"/>
      <c r="X6915" s="1"/>
      <c r="Y6915" s="1"/>
      <c r="AB6915" s="1"/>
      <c r="AC6915" s="1"/>
      <c r="AD6915" s="1"/>
      <c r="AE6915" s="1"/>
      <c r="AF6915" s="1"/>
      <c r="AG6915" s="1"/>
      <c r="AH6915" s="1"/>
      <c r="AI6915" s="1"/>
      <c r="AJ6915" s="1"/>
      <c r="AK6915" s="1"/>
      <c r="AL6915" s="1"/>
      <c r="AM6915" s="1"/>
    </row>
    <row r="6916" spans="16:39" x14ac:dyDescent="0.25">
      <c r="P6916" s="49"/>
      <c r="Q6916" s="1"/>
      <c r="S6916" s="1"/>
      <c r="T6916" s="1"/>
      <c r="U6916" s="1"/>
      <c r="V6916" s="1"/>
      <c r="W6916" s="1"/>
      <c r="X6916" s="1"/>
      <c r="Y6916" s="1"/>
      <c r="AB6916" s="1"/>
      <c r="AC6916" s="1"/>
      <c r="AD6916" s="1"/>
      <c r="AE6916" s="1"/>
      <c r="AF6916" s="1"/>
      <c r="AG6916" s="1"/>
      <c r="AH6916" s="1"/>
      <c r="AI6916" s="1"/>
      <c r="AJ6916" s="1"/>
      <c r="AK6916" s="1"/>
      <c r="AL6916" s="1"/>
      <c r="AM6916" s="1"/>
    </row>
    <row r="6917" spans="16:39" x14ac:dyDescent="0.25">
      <c r="P6917" s="49"/>
      <c r="Q6917" s="1"/>
      <c r="S6917" s="1"/>
      <c r="T6917" s="1"/>
      <c r="U6917" s="1"/>
      <c r="V6917" s="1"/>
      <c r="W6917" s="1"/>
      <c r="X6917" s="1"/>
      <c r="Y6917" s="1"/>
      <c r="AB6917" s="1"/>
      <c r="AC6917" s="1"/>
      <c r="AD6917" s="1"/>
      <c r="AE6917" s="1"/>
      <c r="AF6917" s="1"/>
      <c r="AG6917" s="1"/>
      <c r="AH6917" s="1"/>
      <c r="AI6917" s="1"/>
      <c r="AJ6917" s="1"/>
      <c r="AK6917" s="1"/>
      <c r="AL6917" s="1"/>
      <c r="AM6917" s="1"/>
    </row>
    <row r="6918" spans="16:39" x14ac:dyDescent="0.25">
      <c r="P6918" s="49"/>
      <c r="Q6918" s="1"/>
      <c r="S6918" s="1"/>
      <c r="T6918" s="1"/>
      <c r="U6918" s="1"/>
      <c r="V6918" s="1"/>
      <c r="W6918" s="1"/>
      <c r="X6918" s="1"/>
      <c r="Y6918" s="1"/>
      <c r="AB6918" s="1"/>
      <c r="AC6918" s="1"/>
      <c r="AD6918" s="1"/>
      <c r="AE6918" s="1"/>
      <c r="AF6918" s="1"/>
      <c r="AG6918" s="1"/>
      <c r="AH6918" s="1"/>
      <c r="AI6918" s="1"/>
      <c r="AJ6918" s="1"/>
      <c r="AK6918" s="1"/>
      <c r="AL6918" s="1"/>
      <c r="AM6918" s="1"/>
    </row>
    <row r="6919" spans="16:39" x14ac:dyDescent="0.25">
      <c r="P6919" s="49"/>
      <c r="Q6919" s="1"/>
      <c r="S6919" s="1"/>
      <c r="T6919" s="1"/>
      <c r="U6919" s="1"/>
      <c r="V6919" s="1"/>
      <c r="W6919" s="1"/>
      <c r="X6919" s="1"/>
      <c r="Y6919" s="1"/>
      <c r="AB6919" s="1"/>
      <c r="AC6919" s="1"/>
      <c r="AD6919" s="1"/>
      <c r="AE6919" s="1"/>
      <c r="AF6919" s="1"/>
      <c r="AG6919" s="1"/>
      <c r="AH6919" s="1"/>
      <c r="AI6919" s="1"/>
      <c r="AJ6919" s="1"/>
      <c r="AK6919" s="1"/>
      <c r="AL6919" s="1"/>
      <c r="AM6919" s="1"/>
    </row>
    <row r="6920" spans="16:39" x14ac:dyDescent="0.25">
      <c r="P6920" s="49"/>
      <c r="Q6920" s="1"/>
      <c r="S6920" s="1"/>
      <c r="T6920" s="1"/>
      <c r="U6920" s="1"/>
      <c r="V6920" s="1"/>
      <c r="W6920" s="1"/>
      <c r="X6920" s="1"/>
      <c r="Y6920" s="1"/>
      <c r="AB6920" s="1"/>
      <c r="AC6920" s="1"/>
      <c r="AD6920" s="1"/>
      <c r="AE6920" s="1"/>
      <c r="AF6920" s="1"/>
      <c r="AG6920" s="1"/>
      <c r="AH6920" s="1"/>
      <c r="AI6920" s="1"/>
      <c r="AJ6920" s="1"/>
      <c r="AK6920" s="1"/>
      <c r="AL6920" s="1"/>
      <c r="AM6920" s="1"/>
    </row>
    <row r="6921" spans="16:39" x14ac:dyDescent="0.25">
      <c r="P6921" s="49"/>
      <c r="Q6921" s="1"/>
      <c r="S6921" s="1"/>
      <c r="T6921" s="1"/>
      <c r="U6921" s="1"/>
      <c r="V6921" s="1"/>
      <c r="W6921" s="1"/>
      <c r="X6921" s="1"/>
      <c r="Y6921" s="1"/>
      <c r="AB6921" s="1"/>
      <c r="AC6921" s="1"/>
      <c r="AD6921" s="1"/>
      <c r="AE6921" s="1"/>
      <c r="AF6921" s="1"/>
      <c r="AG6921" s="1"/>
      <c r="AH6921" s="1"/>
      <c r="AI6921" s="1"/>
      <c r="AJ6921" s="1"/>
      <c r="AK6921" s="1"/>
      <c r="AL6921" s="1"/>
      <c r="AM6921" s="1"/>
    </row>
    <row r="6922" spans="16:39" x14ac:dyDescent="0.25">
      <c r="P6922" s="49"/>
      <c r="Q6922" s="1"/>
      <c r="S6922" s="1"/>
      <c r="T6922" s="1"/>
      <c r="U6922" s="1"/>
      <c r="V6922" s="1"/>
      <c r="W6922" s="1"/>
      <c r="X6922" s="1"/>
      <c r="Y6922" s="1"/>
      <c r="AB6922" s="1"/>
      <c r="AC6922" s="1"/>
      <c r="AD6922" s="1"/>
      <c r="AE6922" s="1"/>
      <c r="AF6922" s="1"/>
      <c r="AG6922" s="1"/>
      <c r="AH6922" s="1"/>
      <c r="AI6922" s="1"/>
      <c r="AJ6922" s="1"/>
      <c r="AK6922" s="1"/>
      <c r="AL6922" s="1"/>
      <c r="AM6922" s="1"/>
    </row>
    <row r="6923" spans="16:39" x14ac:dyDescent="0.25">
      <c r="P6923" s="49"/>
      <c r="Q6923" s="1"/>
      <c r="S6923" s="1"/>
      <c r="T6923" s="1"/>
      <c r="U6923" s="1"/>
      <c r="V6923" s="1"/>
      <c r="W6923" s="1"/>
      <c r="X6923" s="1"/>
      <c r="Y6923" s="1"/>
      <c r="AB6923" s="1"/>
      <c r="AC6923" s="1"/>
      <c r="AD6923" s="1"/>
      <c r="AE6923" s="1"/>
      <c r="AF6923" s="1"/>
      <c r="AG6923" s="1"/>
      <c r="AH6923" s="1"/>
      <c r="AI6923" s="1"/>
      <c r="AJ6923" s="1"/>
      <c r="AK6923" s="1"/>
      <c r="AL6923" s="1"/>
      <c r="AM6923" s="1"/>
    </row>
    <row r="6924" spans="16:39" x14ac:dyDescent="0.25">
      <c r="P6924" s="49"/>
      <c r="Q6924" s="1"/>
      <c r="S6924" s="1"/>
      <c r="T6924" s="1"/>
      <c r="U6924" s="1"/>
      <c r="V6924" s="1"/>
      <c r="W6924" s="1"/>
      <c r="X6924" s="1"/>
      <c r="Y6924" s="1"/>
      <c r="AB6924" s="1"/>
      <c r="AC6924" s="1"/>
      <c r="AD6924" s="1"/>
      <c r="AE6924" s="1"/>
      <c r="AF6924" s="1"/>
      <c r="AG6924" s="1"/>
      <c r="AH6924" s="1"/>
      <c r="AI6924" s="1"/>
      <c r="AJ6924" s="1"/>
      <c r="AK6924" s="1"/>
      <c r="AL6924" s="1"/>
      <c r="AM6924" s="1"/>
    </row>
    <row r="6925" spans="16:39" x14ac:dyDescent="0.25">
      <c r="P6925" s="49"/>
      <c r="Q6925" s="1"/>
      <c r="S6925" s="1"/>
      <c r="T6925" s="1"/>
      <c r="U6925" s="1"/>
      <c r="V6925" s="1"/>
      <c r="W6925" s="1"/>
      <c r="X6925" s="1"/>
      <c r="Y6925" s="1"/>
      <c r="AB6925" s="1"/>
      <c r="AC6925" s="1"/>
      <c r="AD6925" s="1"/>
      <c r="AE6925" s="1"/>
      <c r="AF6925" s="1"/>
      <c r="AG6925" s="1"/>
      <c r="AH6925" s="1"/>
      <c r="AI6925" s="1"/>
      <c r="AJ6925" s="1"/>
      <c r="AK6925" s="1"/>
      <c r="AL6925" s="1"/>
      <c r="AM6925" s="1"/>
    </row>
    <row r="6926" spans="16:39" x14ac:dyDescent="0.25">
      <c r="P6926" s="49"/>
      <c r="Q6926" s="1"/>
      <c r="S6926" s="1"/>
      <c r="T6926" s="1"/>
      <c r="U6926" s="1"/>
      <c r="V6926" s="1"/>
      <c r="W6926" s="1"/>
      <c r="X6926" s="1"/>
      <c r="Y6926" s="1"/>
      <c r="AB6926" s="1"/>
      <c r="AC6926" s="1"/>
      <c r="AD6926" s="1"/>
      <c r="AE6926" s="1"/>
      <c r="AF6926" s="1"/>
      <c r="AG6926" s="1"/>
      <c r="AH6926" s="1"/>
      <c r="AI6926" s="1"/>
      <c r="AJ6926" s="1"/>
      <c r="AK6926" s="1"/>
      <c r="AL6926" s="1"/>
      <c r="AM6926" s="1"/>
    </row>
    <row r="6927" spans="16:39" x14ac:dyDescent="0.25">
      <c r="P6927" s="49"/>
      <c r="Q6927" s="1"/>
      <c r="S6927" s="1"/>
      <c r="T6927" s="1"/>
      <c r="U6927" s="1"/>
      <c r="V6927" s="1"/>
      <c r="W6927" s="1"/>
      <c r="X6927" s="1"/>
      <c r="Y6927" s="1"/>
      <c r="AB6927" s="1"/>
      <c r="AC6927" s="1"/>
      <c r="AD6927" s="1"/>
      <c r="AE6927" s="1"/>
      <c r="AF6927" s="1"/>
      <c r="AG6927" s="1"/>
      <c r="AH6927" s="1"/>
      <c r="AI6927" s="1"/>
      <c r="AJ6927" s="1"/>
      <c r="AK6927" s="1"/>
      <c r="AL6927" s="1"/>
      <c r="AM6927" s="1"/>
    </row>
    <row r="6928" spans="16:39" x14ac:dyDescent="0.25">
      <c r="P6928" s="49"/>
      <c r="Q6928" s="1"/>
      <c r="S6928" s="1"/>
      <c r="T6928" s="1"/>
      <c r="U6928" s="1"/>
      <c r="V6928" s="1"/>
      <c r="W6928" s="1"/>
      <c r="X6928" s="1"/>
      <c r="Y6928" s="1"/>
      <c r="AB6928" s="1"/>
      <c r="AC6928" s="1"/>
      <c r="AD6928" s="1"/>
      <c r="AE6928" s="1"/>
      <c r="AF6928" s="1"/>
      <c r="AG6928" s="1"/>
      <c r="AH6928" s="1"/>
      <c r="AI6928" s="1"/>
      <c r="AJ6928" s="1"/>
      <c r="AK6928" s="1"/>
      <c r="AL6928" s="1"/>
      <c r="AM6928" s="1"/>
    </row>
    <row r="6929" spans="16:39" x14ac:dyDescent="0.25">
      <c r="P6929" s="49"/>
      <c r="Q6929" s="1"/>
      <c r="S6929" s="1"/>
      <c r="T6929" s="1"/>
      <c r="U6929" s="1"/>
      <c r="V6929" s="1"/>
      <c r="W6929" s="1"/>
      <c r="X6929" s="1"/>
      <c r="Y6929" s="1"/>
      <c r="AB6929" s="1"/>
      <c r="AC6929" s="1"/>
      <c r="AD6929" s="1"/>
      <c r="AE6929" s="1"/>
      <c r="AF6929" s="1"/>
      <c r="AG6929" s="1"/>
      <c r="AH6929" s="1"/>
      <c r="AI6929" s="1"/>
      <c r="AJ6929" s="1"/>
      <c r="AK6929" s="1"/>
      <c r="AL6929" s="1"/>
      <c r="AM6929" s="1"/>
    </row>
    <row r="6930" spans="16:39" x14ac:dyDescent="0.25">
      <c r="P6930" s="49"/>
      <c r="Q6930" s="1"/>
      <c r="S6930" s="1"/>
      <c r="T6930" s="1"/>
      <c r="U6930" s="1"/>
      <c r="V6930" s="1"/>
      <c r="W6930" s="1"/>
      <c r="X6930" s="1"/>
      <c r="Y6930" s="1"/>
      <c r="AB6930" s="1"/>
      <c r="AC6930" s="1"/>
      <c r="AD6930" s="1"/>
      <c r="AE6930" s="1"/>
      <c r="AF6930" s="1"/>
      <c r="AG6930" s="1"/>
      <c r="AH6930" s="1"/>
      <c r="AI6930" s="1"/>
      <c r="AJ6930" s="1"/>
      <c r="AK6930" s="1"/>
      <c r="AL6930" s="1"/>
      <c r="AM6930" s="1"/>
    </row>
    <row r="6931" spans="16:39" x14ac:dyDescent="0.25">
      <c r="P6931" s="49"/>
      <c r="Q6931" s="1"/>
      <c r="S6931" s="1"/>
      <c r="T6931" s="1"/>
      <c r="U6931" s="1"/>
      <c r="V6931" s="1"/>
      <c r="W6931" s="1"/>
      <c r="X6931" s="1"/>
      <c r="Y6931" s="1"/>
      <c r="AB6931" s="1"/>
      <c r="AC6931" s="1"/>
      <c r="AD6931" s="1"/>
      <c r="AE6931" s="1"/>
      <c r="AF6931" s="1"/>
      <c r="AG6931" s="1"/>
      <c r="AH6931" s="1"/>
      <c r="AI6931" s="1"/>
      <c r="AJ6931" s="1"/>
      <c r="AK6931" s="1"/>
      <c r="AL6931" s="1"/>
      <c r="AM6931" s="1"/>
    </row>
    <row r="6932" spans="16:39" x14ac:dyDescent="0.25">
      <c r="P6932" s="49"/>
      <c r="Q6932" s="1"/>
      <c r="S6932" s="1"/>
      <c r="T6932" s="1"/>
      <c r="U6932" s="1"/>
      <c r="V6932" s="1"/>
      <c r="W6932" s="1"/>
      <c r="X6932" s="1"/>
      <c r="Y6932" s="1"/>
      <c r="AB6932" s="1"/>
      <c r="AC6932" s="1"/>
      <c r="AD6932" s="1"/>
      <c r="AE6932" s="1"/>
      <c r="AF6932" s="1"/>
      <c r="AG6932" s="1"/>
      <c r="AH6932" s="1"/>
      <c r="AI6932" s="1"/>
      <c r="AJ6932" s="1"/>
      <c r="AK6932" s="1"/>
      <c r="AL6932" s="1"/>
      <c r="AM6932" s="1"/>
    </row>
    <row r="6933" spans="16:39" x14ac:dyDescent="0.25">
      <c r="P6933" s="49"/>
      <c r="Q6933" s="1"/>
      <c r="S6933" s="1"/>
      <c r="T6933" s="1"/>
      <c r="U6933" s="1"/>
      <c r="V6933" s="1"/>
      <c r="W6933" s="1"/>
      <c r="X6933" s="1"/>
      <c r="Y6933" s="1"/>
      <c r="AB6933" s="1"/>
      <c r="AC6933" s="1"/>
      <c r="AD6933" s="1"/>
      <c r="AE6933" s="1"/>
      <c r="AF6933" s="1"/>
      <c r="AG6933" s="1"/>
      <c r="AH6933" s="1"/>
      <c r="AI6933" s="1"/>
      <c r="AJ6933" s="1"/>
      <c r="AK6933" s="1"/>
      <c r="AL6933" s="1"/>
      <c r="AM6933" s="1"/>
    </row>
    <row r="6934" spans="16:39" x14ac:dyDescent="0.25">
      <c r="P6934" s="49"/>
      <c r="Q6934" s="1"/>
      <c r="S6934" s="1"/>
      <c r="T6934" s="1"/>
      <c r="U6934" s="1"/>
      <c r="V6934" s="1"/>
      <c r="W6934" s="1"/>
      <c r="X6934" s="1"/>
      <c r="Y6934" s="1"/>
      <c r="AB6934" s="1"/>
      <c r="AC6934" s="1"/>
      <c r="AD6934" s="1"/>
      <c r="AE6934" s="1"/>
      <c r="AF6934" s="1"/>
      <c r="AG6934" s="1"/>
      <c r="AH6934" s="1"/>
      <c r="AI6934" s="1"/>
      <c r="AJ6934" s="1"/>
      <c r="AK6934" s="1"/>
      <c r="AL6934" s="1"/>
      <c r="AM6934" s="1"/>
    </row>
    <row r="6935" spans="16:39" x14ac:dyDescent="0.25">
      <c r="P6935" s="49"/>
      <c r="Q6935" s="1"/>
      <c r="S6935" s="1"/>
      <c r="T6935" s="1"/>
      <c r="U6935" s="1"/>
      <c r="V6935" s="1"/>
      <c r="W6935" s="1"/>
      <c r="X6935" s="1"/>
      <c r="Y6935" s="1"/>
      <c r="AB6935" s="1"/>
      <c r="AC6935" s="1"/>
      <c r="AD6935" s="1"/>
      <c r="AE6935" s="1"/>
      <c r="AF6935" s="1"/>
      <c r="AG6935" s="1"/>
      <c r="AH6935" s="1"/>
      <c r="AI6935" s="1"/>
      <c r="AJ6935" s="1"/>
      <c r="AK6935" s="1"/>
      <c r="AL6935" s="1"/>
      <c r="AM6935" s="1"/>
    </row>
    <row r="6936" spans="16:39" x14ac:dyDescent="0.25">
      <c r="P6936" s="49"/>
      <c r="Q6936" s="1"/>
      <c r="S6936" s="1"/>
      <c r="T6936" s="1"/>
      <c r="U6936" s="1"/>
      <c r="V6936" s="1"/>
      <c r="W6936" s="1"/>
      <c r="X6936" s="1"/>
      <c r="Y6936" s="1"/>
      <c r="AB6936" s="1"/>
      <c r="AC6936" s="1"/>
      <c r="AD6936" s="1"/>
      <c r="AE6936" s="1"/>
      <c r="AF6936" s="1"/>
      <c r="AG6936" s="1"/>
      <c r="AH6936" s="1"/>
      <c r="AI6936" s="1"/>
      <c r="AJ6936" s="1"/>
      <c r="AK6936" s="1"/>
      <c r="AL6936" s="1"/>
      <c r="AM6936" s="1"/>
    </row>
    <row r="6937" spans="16:39" x14ac:dyDescent="0.25">
      <c r="P6937" s="49"/>
      <c r="Q6937" s="1"/>
      <c r="S6937" s="1"/>
      <c r="T6937" s="1"/>
      <c r="U6937" s="1"/>
      <c r="V6937" s="1"/>
      <c r="W6937" s="1"/>
      <c r="X6937" s="1"/>
      <c r="Y6937" s="1"/>
      <c r="AB6937" s="1"/>
      <c r="AC6937" s="1"/>
      <c r="AD6937" s="1"/>
      <c r="AE6937" s="1"/>
      <c r="AF6937" s="1"/>
      <c r="AG6937" s="1"/>
      <c r="AH6937" s="1"/>
      <c r="AI6937" s="1"/>
      <c r="AJ6937" s="1"/>
      <c r="AK6937" s="1"/>
      <c r="AL6937" s="1"/>
      <c r="AM6937" s="1"/>
    </row>
    <row r="6938" spans="16:39" x14ac:dyDescent="0.25">
      <c r="P6938" s="49"/>
      <c r="Q6938" s="1"/>
      <c r="S6938" s="1"/>
      <c r="T6938" s="1"/>
      <c r="U6938" s="1"/>
      <c r="V6938" s="1"/>
      <c r="W6938" s="1"/>
      <c r="X6938" s="1"/>
      <c r="Y6938" s="1"/>
      <c r="AB6938" s="1"/>
      <c r="AC6938" s="1"/>
      <c r="AD6938" s="1"/>
      <c r="AE6938" s="1"/>
      <c r="AF6938" s="1"/>
      <c r="AG6938" s="1"/>
      <c r="AH6938" s="1"/>
      <c r="AI6938" s="1"/>
      <c r="AJ6938" s="1"/>
      <c r="AK6938" s="1"/>
      <c r="AL6938" s="1"/>
      <c r="AM6938" s="1"/>
    </row>
    <row r="6939" spans="16:39" x14ac:dyDescent="0.25">
      <c r="P6939" s="49"/>
      <c r="Q6939" s="1"/>
      <c r="S6939" s="1"/>
      <c r="T6939" s="1"/>
      <c r="U6939" s="1"/>
      <c r="V6939" s="1"/>
      <c r="W6939" s="1"/>
      <c r="X6939" s="1"/>
      <c r="Y6939" s="1"/>
      <c r="AB6939" s="1"/>
      <c r="AC6939" s="1"/>
      <c r="AD6939" s="1"/>
      <c r="AE6939" s="1"/>
      <c r="AF6939" s="1"/>
      <c r="AG6939" s="1"/>
      <c r="AH6939" s="1"/>
      <c r="AI6939" s="1"/>
      <c r="AJ6939" s="1"/>
      <c r="AK6939" s="1"/>
      <c r="AL6939" s="1"/>
      <c r="AM6939" s="1"/>
    </row>
    <row r="6940" spans="16:39" x14ac:dyDescent="0.25">
      <c r="P6940" s="49"/>
      <c r="Q6940" s="1"/>
      <c r="S6940" s="1"/>
      <c r="T6940" s="1"/>
      <c r="U6940" s="1"/>
      <c r="V6940" s="1"/>
      <c r="W6940" s="1"/>
      <c r="X6940" s="1"/>
      <c r="Y6940" s="1"/>
      <c r="AB6940" s="1"/>
      <c r="AC6940" s="1"/>
      <c r="AD6940" s="1"/>
      <c r="AE6940" s="1"/>
      <c r="AF6940" s="1"/>
      <c r="AG6940" s="1"/>
      <c r="AH6940" s="1"/>
      <c r="AI6940" s="1"/>
      <c r="AJ6940" s="1"/>
      <c r="AK6940" s="1"/>
      <c r="AL6940" s="1"/>
      <c r="AM6940" s="1"/>
    </row>
    <row r="6941" spans="16:39" x14ac:dyDescent="0.25">
      <c r="P6941" s="49"/>
      <c r="Q6941" s="1"/>
      <c r="S6941" s="1"/>
      <c r="T6941" s="1"/>
      <c r="U6941" s="1"/>
      <c r="V6941" s="1"/>
      <c r="W6941" s="1"/>
      <c r="X6941" s="1"/>
      <c r="Y6941" s="1"/>
      <c r="AB6941" s="1"/>
      <c r="AC6941" s="1"/>
      <c r="AD6941" s="1"/>
      <c r="AE6941" s="1"/>
      <c r="AF6941" s="1"/>
      <c r="AG6941" s="1"/>
      <c r="AH6941" s="1"/>
      <c r="AI6941" s="1"/>
      <c r="AJ6941" s="1"/>
      <c r="AK6941" s="1"/>
      <c r="AL6941" s="1"/>
      <c r="AM6941" s="1"/>
    </row>
    <row r="6942" spans="16:39" x14ac:dyDescent="0.25">
      <c r="P6942" s="49"/>
      <c r="Q6942" s="1"/>
      <c r="S6942" s="1"/>
      <c r="T6942" s="1"/>
      <c r="U6942" s="1"/>
      <c r="V6942" s="1"/>
      <c r="W6942" s="1"/>
      <c r="X6942" s="1"/>
      <c r="Y6942" s="1"/>
      <c r="AB6942" s="1"/>
      <c r="AC6942" s="1"/>
      <c r="AD6942" s="1"/>
      <c r="AE6942" s="1"/>
      <c r="AF6942" s="1"/>
      <c r="AG6942" s="1"/>
      <c r="AH6942" s="1"/>
      <c r="AI6942" s="1"/>
      <c r="AJ6942" s="1"/>
      <c r="AK6942" s="1"/>
      <c r="AL6942" s="1"/>
      <c r="AM6942" s="1"/>
    </row>
    <row r="6943" spans="16:39" x14ac:dyDescent="0.25">
      <c r="P6943" s="49"/>
      <c r="Q6943" s="1"/>
      <c r="S6943" s="1"/>
      <c r="T6943" s="1"/>
      <c r="U6943" s="1"/>
      <c r="V6943" s="1"/>
      <c r="W6943" s="1"/>
      <c r="X6943" s="1"/>
      <c r="Y6943" s="1"/>
      <c r="AB6943" s="1"/>
      <c r="AC6943" s="1"/>
      <c r="AD6943" s="1"/>
      <c r="AE6943" s="1"/>
      <c r="AF6943" s="1"/>
      <c r="AG6943" s="1"/>
      <c r="AH6943" s="1"/>
      <c r="AI6943" s="1"/>
      <c r="AJ6943" s="1"/>
      <c r="AK6943" s="1"/>
      <c r="AL6943" s="1"/>
      <c r="AM6943" s="1"/>
    </row>
    <row r="6944" spans="16:39" x14ac:dyDescent="0.25">
      <c r="P6944" s="49"/>
      <c r="Q6944" s="1"/>
      <c r="S6944" s="1"/>
      <c r="T6944" s="1"/>
      <c r="U6944" s="1"/>
      <c r="V6944" s="1"/>
      <c r="W6944" s="1"/>
      <c r="X6944" s="1"/>
      <c r="Y6944" s="1"/>
      <c r="AB6944" s="1"/>
      <c r="AC6944" s="1"/>
      <c r="AD6944" s="1"/>
      <c r="AE6944" s="1"/>
      <c r="AF6944" s="1"/>
      <c r="AG6944" s="1"/>
      <c r="AH6944" s="1"/>
      <c r="AI6944" s="1"/>
      <c r="AJ6944" s="1"/>
      <c r="AK6944" s="1"/>
      <c r="AL6944" s="1"/>
      <c r="AM6944" s="1"/>
    </row>
    <row r="6945" spans="16:39" x14ac:dyDescent="0.25">
      <c r="P6945" s="49"/>
      <c r="Q6945" s="1"/>
      <c r="S6945" s="1"/>
      <c r="T6945" s="1"/>
      <c r="U6945" s="1"/>
      <c r="V6945" s="1"/>
      <c r="W6945" s="1"/>
      <c r="X6945" s="1"/>
      <c r="Y6945" s="1"/>
      <c r="AB6945" s="1"/>
      <c r="AC6945" s="1"/>
      <c r="AD6945" s="1"/>
      <c r="AE6945" s="1"/>
      <c r="AF6945" s="1"/>
      <c r="AG6945" s="1"/>
      <c r="AH6945" s="1"/>
      <c r="AI6945" s="1"/>
      <c r="AJ6945" s="1"/>
      <c r="AK6945" s="1"/>
      <c r="AL6945" s="1"/>
      <c r="AM6945" s="1"/>
    </row>
    <row r="6946" spans="16:39" x14ac:dyDescent="0.25">
      <c r="P6946" s="49"/>
      <c r="Q6946" s="1"/>
      <c r="S6946" s="1"/>
      <c r="T6946" s="1"/>
      <c r="U6946" s="1"/>
      <c r="V6946" s="1"/>
      <c r="W6946" s="1"/>
      <c r="X6946" s="1"/>
      <c r="Y6946" s="1"/>
      <c r="AB6946" s="1"/>
      <c r="AC6946" s="1"/>
      <c r="AD6946" s="1"/>
      <c r="AE6946" s="1"/>
      <c r="AF6946" s="1"/>
      <c r="AG6946" s="1"/>
      <c r="AH6946" s="1"/>
      <c r="AI6946" s="1"/>
      <c r="AJ6946" s="1"/>
      <c r="AK6946" s="1"/>
      <c r="AL6946" s="1"/>
      <c r="AM6946" s="1"/>
    </row>
    <row r="6947" spans="16:39" x14ac:dyDescent="0.25">
      <c r="P6947" s="49"/>
      <c r="Q6947" s="1"/>
      <c r="S6947" s="1"/>
      <c r="T6947" s="1"/>
      <c r="U6947" s="1"/>
      <c r="V6947" s="1"/>
      <c r="W6947" s="1"/>
      <c r="X6947" s="1"/>
      <c r="Y6947" s="1"/>
      <c r="AB6947" s="1"/>
      <c r="AC6947" s="1"/>
      <c r="AD6947" s="1"/>
      <c r="AE6947" s="1"/>
      <c r="AF6947" s="1"/>
      <c r="AG6947" s="1"/>
      <c r="AH6947" s="1"/>
      <c r="AI6947" s="1"/>
      <c r="AJ6947" s="1"/>
      <c r="AK6947" s="1"/>
      <c r="AL6947" s="1"/>
      <c r="AM6947" s="1"/>
    </row>
    <row r="6948" spans="16:39" x14ac:dyDescent="0.25">
      <c r="P6948" s="49"/>
      <c r="Q6948" s="1"/>
      <c r="S6948" s="1"/>
      <c r="T6948" s="1"/>
      <c r="U6948" s="1"/>
      <c r="V6948" s="1"/>
      <c r="W6948" s="1"/>
      <c r="X6948" s="1"/>
      <c r="Y6948" s="1"/>
      <c r="AB6948" s="1"/>
      <c r="AC6948" s="1"/>
      <c r="AD6948" s="1"/>
      <c r="AE6948" s="1"/>
      <c r="AF6948" s="1"/>
      <c r="AG6948" s="1"/>
      <c r="AH6948" s="1"/>
      <c r="AI6948" s="1"/>
      <c r="AJ6948" s="1"/>
      <c r="AK6948" s="1"/>
      <c r="AL6948" s="1"/>
      <c r="AM6948" s="1"/>
    </row>
    <row r="6949" spans="16:39" x14ac:dyDescent="0.25">
      <c r="P6949" s="49"/>
      <c r="Q6949" s="1"/>
      <c r="S6949" s="1"/>
      <c r="T6949" s="1"/>
      <c r="U6949" s="1"/>
      <c r="V6949" s="1"/>
      <c r="W6949" s="1"/>
      <c r="X6949" s="1"/>
      <c r="Y6949" s="1"/>
      <c r="AB6949" s="1"/>
      <c r="AC6949" s="1"/>
      <c r="AD6949" s="1"/>
      <c r="AE6949" s="1"/>
      <c r="AF6949" s="1"/>
      <c r="AG6949" s="1"/>
      <c r="AH6949" s="1"/>
      <c r="AI6949" s="1"/>
      <c r="AJ6949" s="1"/>
      <c r="AK6949" s="1"/>
      <c r="AL6949" s="1"/>
      <c r="AM6949" s="1"/>
    </row>
    <row r="6950" spans="16:39" x14ac:dyDescent="0.25">
      <c r="P6950" s="49"/>
      <c r="Q6950" s="1"/>
      <c r="S6950" s="1"/>
      <c r="T6950" s="1"/>
      <c r="U6950" s="1"/>
      <c r="V6950" s="1"/>
      <c r="W6950" s="1"/>
      <c r="X6950" s="1"/>
      <c r="Y6950" s="1"/>
      <c r="AB6950" s="1"/>
      <c r="AC6950" s="1"/>
      <c r="AD6950" s="1"/>
      <c r="AE6950" s="1"/>
      <c r="AF6950" s="1"/>
      <c r="AG6950" s="1"/>
      <c r="AH6950" s="1"/>
      <c r="AI6950" s="1"/>
      <c r="AJ6950" s="1"/>
      <c r="AK6950" s="1"/>
      <c r="AL6950" s="1"/>
      <c r="AM6950" s="1"/>
    </row>
    <row r="6951" spans="16:39" x14ac:dyDescent="0.25">
      <c r="P6951" s="49"/>
      <c r="Q6951" s="1"/>
      <c r="S6951" s="1"/>
      <c r="T6951" s="1"/>
      <c r="U6951" s="1"/>
      <c r="V6951" s="1"/>
      <c r="W6951" s="1"/>
      <c r="X6951" s="1"/>
      <c r="Y6951" s="1"/>
      <c r="AB6951" s="1"/>
      <c r="AC6951" s="1"/>
      <c r="AD6951" s="1"/>
      <c r="AE6951" s="1"/>
      <c r="AF6951" s="1"/>
      <c r="AG6951" s="1"/>
      <c r="AH6951" s="1"/>
      <c r="AI6951" s="1"/>
      <c r="AJ6951" s="1"/>
      <c r="AK6951" s="1"/>
      <c r="AL6951" s="1"/>
      <c r="AM6951" s="1"/>
    </row>
    <row r="6952" spans="16:39" x14ac:dyDescent="0.25">
      <c r="P6952" s="49"/>
      <c r="Q6952" s="1"/>
      <c r="S6952" s="1"/>
      <c r="T6952" s="1"/>
      <c r="U6952" s="1"/>
      <c r="V6952" s="1"/>
      <c r="W6952" s="1"/>
      <c r="X6952" s="1"/>
      <c r="Y6952" s="1"/>
      <c r="AB6952" s="1"/>
      <c r="AC6952" s="1"/>
      <c r="AD6952" s="1"/>
      <c r="AE6952" s="1"/>
      <c r="AF6952" s="1"/>
      <c r="AG6952" s="1"/>
      <c r="AH6952" s="1"/>
      <c r="AI6952" s="1"/>
      <c r="AJ6952" s="1"/>
      <c r="AK6952" s="1"/>
      <c r="AL6952" s="1"/>
      <c r="AM6952" s="1"/>
    </row>
    <row r="6953" spans="16:39" x14ac:dyDescent="0.25">
      <c r="P6953" s="49"/>
      <c r="Q6953" s="1"/>
      <c r="S6953" s="1"/>
      <c r="T6953" s="1"/>
      <c r="U6953" s="1"/>
      <c r="V6953" s="1"/>
      <c r="W6953" s="1"/>
      <c r="X6953" s="1"/>
      <c r="Y6953" s="1"/>
      <c r="AB6953" s="1"/>
      <c r="AC6953" s="1"/>
      <c r="AD6953" s="1"/>
      <c r="AE6953" s="1"/>
      <c r="AF6953" s="1"/>
      <c r="AG6953" s="1"/>
      <c r="AH6953" s="1"/>
      <c r="AI6953" s="1"/>
      <c r="AJ6953" s="1"/>
      <c r="AK6953" s="1"/>
      <c r="AL6953" s="1"/>
      <c r="AM6953" s="1"/>
    </row>
    <row r="6954" spans="16:39" x14ac:dyDescent="0.25">
      <c r="P6954" s="49"/>
      <c r="Q6954" s="1"/>
      <c r="S6954" s="1"/>
      <c r="T6954" s="1"/>
      <c r="U6954" s="1"/>
      <c r="V6954" s="1"/>
      <c r="W6954" s="1"/>
      <c r="X6954" s="1"/>
      <c r="Y6954" s="1"/>
      <c r="AB6954" s="1"/>
      <c r="AC6954" s="1"/>
      <c r="AD6954" s="1"/>
      <c r="AE6954" s="1"/>
      <c r="AF6954" s="1"/>
      <c r="AG6954" s="1"/>
      <c r="AH6954" s="1"/>
      <c r="AI6954" s="1"/>
      <c r="AJ6954" s="1"/>
      <c r="AK6954" s="1"/>
      <c r="AL6954" s="1"/>
      <c r="AM6954" s="1"/>
    </row>
    <row r="6955" spans="16:39" x14ac:dyDescent="0.25">
      <c r="P6955" s="49"/>
      <c r="Q6955" s="1"/>
      <c r="S6955" s="1"/>
      <c r="T6955" s="1"/>
      <c r="U6955" s="1"/>
      <c r="V6955" s="1"/>
      <c r="W6955" s="1"/>
      <c r="X6955" s="1"/>
      <c r="Y6955" s="1"/>
      <c r="AB6955" s="1"/>
      <c r="AC6955" s="1"/>
      <c r="AD6955" s="1"/>
      <c r="AE6955" s="1"/>
      <c r="AF6955" s="1"/>
      <c r="AG6955" s="1"/>
      <c r="AH6955" s="1"/>
      <c r="AI6955" s="1"/>
      <c r="AJ6955" s="1"/>
      <c r="AK6955" s="1"/>
      <c r="AL6955" s="1"/>
      <c r="AM6955" s="1"/>
    </row>
    <row r="6956" spans="16:39" x14ac:dyDescent="0.25">
      <c r="P6956" s="49"/>
      <c r="Q6956" s="1"/>
      <c r="S6956" s="1"/>
      <c r="T6956" s="1"/>
      <c r="U6956" s="1"/>
      <c r="V6956" s="1"/>
      <c r="W6956" s="1"/>
      <c r="X6956" s="1"/>
      <c r="Y6956" s="1"/>
      <c r="AB6956" s="1"/>
      <c r="AC6956" s="1"/>
      <c r="AD6956" s="1"/>
      <c r="AE6956" s="1"/>
      <c r="AF6956" s="1"/>
      <c r="AG6956" s="1"/>
      <c r="AH6956" s="1"/>
      <c r="AI6956" s="1"/>
      <c r="AJ6956" s="1"/>
      <c r="AK6956" s="1"/>
      <c r="AL6956" s="1"/>
      <c r="AM6956" s="1"/>
    </row>
    <row r="6957" spans="16:39" x14ac:dyDescent="0.25">
      <c r="P6957" s="49"/>
      <c r="Q6957" s="1"/>
      <c r="S6957" s="1"/>
      <c r="T6957" s="1"/>
      <c r="U6957" s="1"/>
      <c r="V6957" s="1"/>
      <c r="W6957" s="1"/>
      <c r="X6957" s="1"/>
      <c r="Y6957" s="1"/>
      <c r="AB6957" s="1"/>
      <c r="AC6957" s="1"/>
      <c r="AD6957" s="1"/>
      <c r="AE6957" s="1"/>
      <c r="AF6957" s="1"/>
      <c r="AG6957" s="1"/>
      <c r="AH6957" s="1"/>
      <c r="AI6957" s="1"/>
      <c r="AJ6957" s="1"/>
      <c r="AK6957" s="1"/>
      <c r="AL6957" s="1"/>
      <c r="AM6957" s="1"/>
    </row>
    <row r="6958" spans="16:39" x14ac:dyDescent="0.25">
      <c r="P6958" s="49"/>
      <c r="Q6958" s="1"/>
      <c r="S6958" s="1"/>
      <c r="T6958" s="1"/>
      <c r="U6958" s="1"/>
      <c r="V6958" s="1"/>
      <c r="W6958" s="1"/>
      <c r="X6958" s="1"/>
      <c r="Y6958" s="1"/>
      <c r="AB6958" s="1"/>
      <c r="AC6958" s="1"/>
      <c r="AD6958" s="1"/>
      <c r="AE6958" s="1"/>
      <c r="AF6958" s="1"/>
      <c r="AG6958" s="1"/>
      <c r="AH6958" s="1"/>
      <c r="AI6958" s="1"/>
      <c r="AJ6958" s="1"/>
      <c r="AK6958" s="1"/>
      <c r="AL6958" s="1"/>
      <c r="AM6958" s="1"/>
    </row>
    <row r="6959" spans="16:39" x14ac:dyDescent="0.25">
      <c r="P6959" s="49"/>
      <c r="Q6959" s="1"/>
      <c r="S6959" s="1"/>
      <c r="T6959" s="1"/>
      <c r="U6959" s="1"/>
      <c r="V6959" s="1"/>
      <c r="W6959" s="1"/>
      <c r="X6959" s="1"/>
      <c r="Y6959" s="1"/>
      <c r="AB6959" s="1"/>
      <c r="AC6959" s="1"/>
      <c r="AD6959" s="1"/>
      <c r="AE6959" s="1"/>
      <c r="AF6959" s="1"/>
      <c r="AG6959" s="1"/>
      <c r="AH6959" s="1"/>
      <c r="AI6959" s="1"/>
      <c r="AJ6959" s="1"/>
      <c r="AK6959" s="1"/>
      <c r="AL6959" s="1"/>
      <c r="AM6959" s="1"/>
    </row>
    <row r="6960" spans="16:39" x14ac:dyDescent="0.25">
      <c r="P6960" s="49"/>
      <c r="Q6960" s="1"/>
      <c r="S6960" s="1"/>
      <c r="T6960" s="1"/>
      <c r="U6960" s="1"/>
      <c r="V6960" s="1"/>
      <c r="W6960" s="1"/>
      <c r="X6960" s="1"/>
      <c r="Y6960" s="1"/>
      <c r="AB6960" s="1"/>
      <c r="AC6960" s="1"/>
      <c r="AD6960" s="1"/>
      <c r="AE6960" s="1"/>
      <c r="AF6960" s="1"/>
      <c r="AG6960" s="1"/>
      <c r="AH6960" s="1"/>
      <c r="AI6960" s="1"/>
      <c r="AJ6960" s="1"/>
      <c r="AK6960" s="1"/>
      <c r="AL6960" s="1"/>
      <c r="AM6960" s="1"/>
    </row>
    <row r="6961" spans="16:39" x14ac:dyDescent="0.25">
      <c r="P6961" s="49"/>
      <c r="Q6961" s="1"/>
      <c r="S6961" s="1"/>
      <c r="T6961" s="1"/>
      <c r="U6961" s="1"/>
      <c r="V6961" s="1"/>
      <c r="W6961" s="1"/>
      <c r="X6961" s="1"/>
      <c r="Y6961" s="1"/>
      <c r="AB6961" s="1"/>
      <c r="AC6961" s="1"/>
      <c r="AD6961" s="1"/>
      <c r="AE6961" s="1"/>
      <c r="AF6961" s="1"/>
      <c r="AG6961" s="1"/>
      <c r="AH6961" s="1"/>
      <c r="AI6961" s="1"/>
      <c r="AJ6961" s="1"/>
      <c r="AK6961" s="1"/>
      <c r="AL6961" s="1"/>
      <c r="AM6961" s="1"/>
    </row>
    <row r="6962" spans="16:39" x14ac:dyDescent="0.25">
      <c r="P6962" s="49"/>
      <c r="Q6962" s="1"/>
      <c r="S6962" s="1"/>
      <c r="T6962" s="1"/>
      <c r="U6962" s="1"/>
      <c r="V6962" s="1"/>
      <c r="W6962" s="1"/>
      <c r="X6962" s="1"/>
      <c r="Y6962" s="1"/>
      <c r="AB6962" s="1"/>
      <c r="AC6962" s="1"/>
      <c r="AD6962" s="1"/>
      <c r="AE6962" s="1"/>
      <c r="AF6962" s="1"/>
      <c r="AG6962" s="1"/>
      <c r="AH6962" s="1"/>
      <c r="AI6962" s="1"/>
      <c r="AJ6962" s="1"/>
      <c r="AK6962" s="1"/>
      <c r="AL6962" s="1"/>
      <c r="AM6962" s="1"/>
    </row>
    <row r="6963" spans="16:39" x14ac:dyDescent="0.25">
      <c r="P6963" s="49"/>
      <c r="Q6963" s="1"/>
      <c r="S6963" s="1"/>
      <c r="T6963" s="1"/>
      <c r="U6963" s="1"/>
      <c r="V6963" s="1"/>
      <c r="W6963" s="1"/>
      <c r="X6963" s="1"/>
      <c r="Y6963" s="1"/>
      <c r="AB6963" s="1"/>
      <c r="AC6963" s="1"/>
      <c r="AD6963" s="1"/>
      <c r="AE6963" s="1"/>
      <c r="AF6963" s="1"/>
      <c r="AG6963" s="1"/>
      <c r="AH6963" s="1"/>
      <c r="AI6963" s="1"/>
      <c r="AJ6963" s="1"/>
      <c r="AK6963" s="1"/>
      <c r="AL6963" s="1"/>
      <c r="AM6963" s="1"/>
    </row>
    <row r="6964" spans="16:39" x14ac:dyDescent="0.25">
      <c r="P6964" s="49"/>
      <c r="Q6964" s="1"/>
      <c r="S6964" s="1"/>
      <c r="T6964" s="1"/>
      <c r="U6964" s="1"/>
      <c r="V6964" s="1"/>
      <c r="W6964" s="1"/>
      <c r="X6964" s="1"/>
      <c r="Y6964" s="1"/>
      <c r="AB6964" s="1"/>
      <c r="AC6964" s="1"/>
      <c r="AD6964" s="1"/>
      <c r="AE6964" s="1"/>
      <c r="AF6964" s="1"/>
      <c r="AG6964" s="1"/>
      <c r="AH6964" s="1"/>
      <c r="AI6964" s="1"/>
      <c r="AJ6964" s="1"/>
      <c r="AK6964" s="1"/>
      <c r="AL6964" s="1"/>
      <c r="AM6964" s="1"/>
    </row>
    <row r="6965" spans="16:39" x14ac:dyDescent="0.25">
      <c r="P6965" s="49"/>
      <c r="Q6965" s="1"/>
      <c r="S6965" s="1"/>
      <c r="T6965" s="1"/>
      <c r="U6965" s="1"/>
      <c r="V6965" s="1"/>
      <c r="W6965" s="1"/>
      <c r="X6965" s="1"/>
      <c r="Y6965" s="1"/>
      <c r="AB6965" s="1"/>
      <c r="AC6965" s="1"/>
      <c r="AD6965" s="1"/>
      <c r="AE6965" s="1"/>
      <c r="AF6965" s="1"/>
      <c r="AG6965" s="1"/>
      <c r="AH6965" s="1"/>
      <c r="AI6965" s="1"/>
      <c r="AJ6965" s="1"/>
      <c r="AK6965" s="1"/>
      <c r="AL6965" s="1"/>
      <c r="AM6965" s="1"/>
    </row>
    <row r="6966" spans="16:39" x14ac:dyDescent="0.25">
      <c r="P6966" s="49"/>
      <c r="Q6966" s="1"/>
      <c r="S6966" s="1"/>
      <c r="T6966" s="1"/>
      <c r="U6966" s="1"/>
      <c r="V6966" s="1"/>
      <c r="W6966" s="1"/>
      <c r="X6966" s="1"/>
      <c r="Y6966" s="1"/>
      <c r="AB6966" s="1"/>
      <c r="AC6966" s="1"/>
      <c r="AD6966" s="1"/>
      <c r="AE6966" s="1"/>
      <c r="AF6966" s="1"/>
      <c r="AG6966" s="1"/>
      <c r="AH6966" s="1"/>
      <c r="AI6966" s="1"/>
      <c r="AJ6966" s="1"/>
      <c r="AK6966" s="1"/>
      <c r="AL6966" s="1"/>
      <c r="AM6966" s="1"/>
    </row>
    <row r="6967" spans="16:39" x14ac:dyDescent="0.25">
      <c r="P6967" s="49"/>
      <c r="Q6967" s="1"/>
      <c r="S6967" s="1"/>
      <c r="T6967" s="1"/>
      <c r="U6967" s="1"/>
      <c r="V6967" s="1"/>
      <c r="W6967" s="1"/>
      <c r="X6967" s="1"/>
      <c r="Y6967" s="1"/>
      <c r="AB6967" s="1"/>
      <c r="AC6967" s="1"/>
      <c r="AD6967" s="1"/>
      <c r="AE6967" s="1"/>
      <c r="AF6967" s="1"/>
      <c r="AG6967" s="1"/>
      <c r="AH6967" s="1"/>
      <c r="AI6967" s="1"/>
      <c r="AJ6967" s="1"/>
      <c r="AK6967" s="1"/>
      <c r="AL6967" s="1"/>
      <c r="AM6967" s="1"/>
    </row>
    <row r="6968" spans="16:39" x14ac:dyDescent="0.25">
      <c r="P6968" s="49"/>
      <c r="Q6968" s="1"/>
      <c r="S6968" s="1"/>
      <c r="T6968" s="1"/>
      <c r="U6968" s="1"/>
      <c r="V6968" s="1"/>
      <c r="W6968" s="1"/>
      <c r="X6968" s="1"/>
      <c r="Y6968" s="1"/>
      <c r="AB6968" s="1"/>
      <c r="AC6968" s="1"/>
      <c r="AD6968" s="1"/>
      <c r="AE6968" s="1"/>
      <c r="AF6968" s="1"/>
      <c r="AG6968" s="1"/>
      <c r="AH6968" s="1"/>
      <c r="AI6968" s="1"/>
      <c r="AJ6968" s="1"/>
      <c r="AK6968" s="1"/>
      <c r="AL6968" s="1"/>
      <c r="AM6968" s="1"/>
    </row>
    <row r="6969" spans="16:39" x14ac:dyDescent="0.25">
      <c r="P6969" s="49"/>
      <c r="Q6969" s="1"/>
      <c r="S6969" s="1"/>
      <c r="T6969" s="1"/>
      <c r="U6969" s="1"/>
      <c r="V6969" s="1"/>
      <c r="W6969" s="1"/>
      <c r="X6969" s="1"/>
      <c r="Y6969" s="1"/>
      <c r="AB6969" s="1"/>
      <c r="AC6969" s="1"/>
      <c r="AD6969" s="1"/>
      <c r="AE6969" s="1"/>
      <c r="AF6969" s="1"/>
      <c r="AG6969" s="1"/>
      <c r="AH6969" s="1"/>
      <c r="AI6969" s="1"/>
      <c r="AJ6969" s="1"/>
      <c r="AK6969" s="1"/>
      <c r="AL6969" s="1"/>
      <c r="AM6969" s="1"/>
    </row>
    <row r="6970" spans="16:39" x14ac:dyDescent="0.25">
      <c r="P6970" s="49"/>
      <c r="Q6970" s="1"/>
      <c r="S6970" s="1"/>
      <c r="T6970" s="1"/>
      <c r="U6970" s="1"/>
      <c r="V6970" s="1"/>
      <c r="W6970" s="1"/>
      <c r="X6970" s="1"/>
      <c r="Y6970" s="1"/>
      <c r="AB6970" s="1"/>
      <c r="AC6970" s="1"/>
      <c r="AD6970" s="1"/>
      <c r="AE6970" s="1"/>
      <c r="AF6970" s="1"/>
      <c r="AG6970" s="1"/>
      <c r="AH6970" s="1"/>
      <c r="AI6970" s="1"/>
      <c r="AJ6970" s="1"/>
      <c r="AK6970" s="1"/>
      <c r="AL6970" s="1"/>
      <c r="AM6970" s="1"/>
    </row>
    <row r="6971" spans="16:39" x14ac:dyDescent="0.25">
      <c r="P6971" s="49"/>
      <c r="Q6971" s="1"/>
      <c r="S6971" s="1"/>
      <c r="T6971" s="1"/>
      <c r="U6971" s="1"/>
      <c r="V6971" s="1"/>
      <c r="W6971" s="1"/>
      <c r="X6971" s="1"/>
      <c r="Y6971" s="1"/>
      <c r="AB6971" s="1"/>
      <c r="AC6971" s="1"/>
      <c r="AD6971" s="1"/>
      <c r="AE6971" s="1"/>
      <c r="AF6971" s="1"/>
      <c r="AG6971" s="1"/>
      <c r="AH6971" s="1"/>
      <c r="AI6971" s="1"/>
      <c r="AJ6971" s="1"/>
      <c r="AK6971" s="1"/>
      <c r="AL6971" s="1"/>
      <c r="AM6971" s="1"/>
    </row>
    <row r="6972" spans="16:39" x14ac:dyDescent="0.25">
      <c r="P6972" s="49"/>
      <c r="Q6972" s="1"/>
      <c r="S6972" s="1"/>
      <c r="T6972" s="1"/>
      <c r="U6972" s="1"/>
      <c r="V6972" s="1"/>
      <c r="W6972" s="1"/>
      <c r="X6972" s="1"/>
      <c r="Y6972" s="1"/>
      <c r="AB6972" s="1"/>
      <c r="AC6972" s="1"/>
      <c r="AD6972" s="1"/>
      <c r="AE6972" s="1"/>
      <c r="AF6972" s="1"/>
      <c r="AG6972" s="1"/>
      <c r="AH6972" s="1"/>
      <c r="AI6972" s="1"/>
      <c r="AJ6972" s="1"/>
      <c r="AK6972" s="1"/>
      <c r="AL6972" s="1"/>
      <c r="AM6972" s="1"/>
    </row>
    <row r="6973" spans="16:39" x14ac:dyDescent="0.25">
      <c r="P6973" s="49"/>
      <c r="Q6973" s="1"/>
      <c r="S6973" s="1"/>
      <c r="T6973" s="1"/>
      <c r="U6973" s="1"/>
      <c r="V6973" s="1"/>
      <c r="W6973" s="1"/>
      <c r="X6973" s="1"/>
      <c r="Y6973" s="1"/>
      <c r="AB6973" s="1"/>
      <c r="AC6973" s="1"/>
      <c r="AD6973" s="1"/>
      <c r="AE6973" s="1"/>
      <c r="AF6973" s="1"/>
      <c r="AG6973" s="1"/>
      <c r="AH6973" s="1"/>
      <c r="AI6973" s="1"/>
      <c r="AJ6973" s="1"/>
      <c r="AK6973" s="1"/>
      <c r="AL6973" s="1"/>
      <c r="AM6973" s="1"/>
    </row>
    <row r="6974" spans="16:39" x14ac:dyDescent="0.25">
      <c r="P6974" s="49"/>
      <c r="Q6974" s="1"/>
      <c r="S6974" s="1"/>
      <c r="T6974" s="1"/>
      <c r="U6974" s="1"/>
      <c r="V6974" s="1"/>
      <c r="W6974" s="1"/>
      <c r="X6974" s="1"/>
      <c r="Y6974" s="1"/>
      <c r="AB6974" s="1"/>
      <c r="AC6974" s="1"/>
      <c r="AD6974" s="1"/>
      <c r="AE6974" s="1"/>
      <c r="AF6974" s="1"/>
      <c r="AG6974" s="1"/>
      <c r="AH6974" s="1"/>
      <c r="AI6974" s="1"/>
      <c r="AJ6974" s="1"/>
      <c r="AK6974" s="1"/>
      <c r="AL6974" s="1"/>
      <c r="AM6974" s="1"/>
    </row>
    <row r="6975" spans="16:39" x14ac:dyDescent="0.25">
      <c r="P6975" s="49"/>
      <c r="Q6975" s="1"/>
      <c r="S6975" s="1"/>
      <c r="T6975" s="1"/>
      <c r="U6975" s="1"/>
      <c r="V6975" s="1"/>
      <c r="W6975" s="1"/>
      <c r="X6975" s="1"/>
      <c r="Y6975" s="1"/>
      <c r="AB6975" s="1"/>
      <c r="AC6975" s="1"/>
      <c r="AD6975" s="1"/>
      <c r="AE6975" s="1"/>
      <c r="AF6975" s="1"/>
      <c r="AG6975" s="1"/>
      <c r="AH6975" s="1"/>
      <c r="AI6975" s="1"/>
      <c r="AJ6975" s="1"/>
      <c r="AK6975" s="1"/>
      <c r="AL6975" s="1"/>
      <c r="AM6975" s="1"/>
    </row>
    <row r="6976" spans="16:39" x14ac:dyDescent="0.25">
      <c r="P6976" s="49"/>
      <c r="Q6976" s="1"/>
      <c r="S6976" s="1"/>
      <c r="T6976" s="1"/>
      <c r="U6976" s="1"/>
      <c r="V6976" s="1"/>
      <c r="W6976" s="1"/>
      <c r="X6976" s="1"/>
      <c r="Y6976" s="1"/>
      <c r="AB6976" s="1"/>
      <c r="AC6976" s="1"/>
      <c r="AD6976" s="1"/>
      <c r="AE6976" s="1"/>
      <c r="AF6976" s="1"/>
      <c r="AG6976" s="1"/>
      <c r="AH6976" s="1"/>
      <c r="AI6976" s="1"/>
      <c r="AJ6976" s="1"/>
      <c r="AK6976" s="1"/>
      <c r="AL6976" s="1"/>
      <c r="AM6976" s="1"/>
    </row>
    <row r="6977" spans="16:39" x14ac:dyDescent="0.25">
      <c r="P6977" s="49"/>
      <c r="Q6977" s="1"/>
      <c r="S6977" s="1"/>
      <c r="T6977" s="1"/>
      <c r="U6977" s="1"/>
      <c r="V6977" s="1"/>
      <c r="W6977" s="1"/>
      <c r="X6977" s="1"/>
      <c r="Y6977" s="1"/>
      <c r="AB6977" s="1"/>
      <c r="AC6977" s="1"/>
      <c r="AD6977" s="1"/>
      <c r="AE6977" s="1"/>
      <c r="AF6977" s="1"/>
      <c r="AG6977" s="1"/>
      <c r="AH6977" s="1"/>
      <c r="AI6977" s="1"/>
      <c r="AJ6977" s="1"/>
      <c r="AK6977" s="1"/>
      <c r="AL6977" s="1"/>
      <c r="AM6977" s="1"/>
    </row>
    <row r="6978" spans="16:39" x14ac:dyDescent="0.25">
      <c r="P6978" s="49"/>
      <c r="Q6978" s="1"/>
      <c r="S6978" s="1"/>
      <c r="T6978" s="1"/>
      <c r="U6978" s="1"/>
      <c r="V6978" s="1"/>
      <c r="W6978" s="1"/>
      <c r="X6978" s="1"/>
      <c r="Y6978" s="1"/>
      <c r="AB6978" s="1"/>
      <c r="AC6978" s="1"/>
      <c r="AD6978" s="1"/>
      <c r="AE6978" s="1"/>
      <c r="AF6978" s="1"/>
      <c r="AG6978" s="1"/>
      <c r="AH6978" s="1"/>
      <c r="AI6978" s="1"/>
      <c r="AJ6978" s="1"/>
      <c r="AK6978" s="1"/>
      <c r="AL6978" s="1"/>
      <c r="AM6978" s="1"/>
    </row>
    <row r="6979" spans="16:39" x14ac:dyDescent="0.25">
      <c r="P6979" s="49"/>
      <c r="Q6979" s="1"/>
      <c r="S6979" s="1"/>
      <c r="T6979" s="1"/>
      <c r="U6979" s="1"/>
      <c r="V6979" s="1"/>
      <c r="W6979" s="1"/>
      <c r="X6979" s="1"/>
      <c r="Y6979" s="1"/>
      <c r="AB6979" s="1"/>
      <c r="AC6979" s="1"/>
      <c r="AD6979" s="1"/>
      <c r="AE6979" s="1"/>
      <c r="AF6979" s="1"/>
      <c r="AG6979" s="1"/>
      <c r="AH6979" s="1"/>
      <c r="AI6979" s="1"/>
      <c r="AJ6979" s="1"/>
      <c r="AK6979" s="1"/>
      <c r="AL6979" s="1"/>
      <c r="AM6979" s="1"/>
    </row>
    <row r="6980" spans="16:39" x14ac:dyDescent="0.25">
      <c r="P6980" s="49"/>
      <c r="Q6980" s="1"/>
      <c r="S6980" s="1"/>
      <c r="T6980" s="1"/>
      <c r="U6980" s="1"/>
      <c r="V6980" s="1"/>
      <c r="W6980" s="1"/>
      <c r="X6980" s="1"/>
      <c r="Y6980" s="1"/>
      <c r="AB6980" s="1"/>
      <c r="AC6980" s="1"/>
      <c r="AD6980" s="1"/>
      <c r="AE6980" s="1"/>
      <c r="AF6980" s="1"/>
      <c r="AG6980" s="1"/>
      <c r="AH6980" s="1"/>
      <c r="AI6980" s="1"/>
      <c r="AJ6980" s="1"/>
      <c r="AK6980" s="1"/>
      <c r="AL6980" s="1"/>
      <c r="AM6980" s="1"/>
    </row>
    <row r="6981" spans="16:39" x14ac:dyDescent="0.25">
      <c r="P6981" s="49"/>
      <c r="Q6981" s="1"/>
      <c r="S6981" s="1"/>
      <c r="T6981" s="1"/>
      <c r="U6981" s="1"/>
      <c r="V6981" s="1"/>
      <c r="W6981" s="1"/>
      <c r="X6981" s="1"/>
      <c r="Y6981" s="1"/>
      <c r="AB6981" s="1"/>
      <c r="AC6981" s="1"/>
      <c r="AD6981" s="1"/>
      <c r="AE6981" s="1"/>
      <c r="AF6981" s="1"/>
      <c r="AG6981" s="1"/>
      <c r="AH6981" s="1"/>
      <c r="AI6981" s="1"/>
      <c r="AJ6981" s="1"/>
      <c r="AK6981" s="1"/>
      <c r="AL6981" s="1"/>
      <c r="AM6981" s="1"/>
    </row>
    <row r="6982" spans="16:39" x14ac:dyDescent="0.25">
      <c r="P6982" s="49"/>
      <c r="Q6982" s="1"/>
      <c r="S6982" s="1"/>
      <c r="T6982" s="1"/>
      <c r="U6982" s="1"/>
      <c r="V6982" s="1"/>
      <c r="W6982" s="1"/>
      <c r="X6982" s="1"/>
      <c r="Y6982" s="1"/>
      <c r="AB6982" s="1"/>
      <c r="AC6982" s="1"/>
      <c r="AD6982" s="1"/>
      <c r="AE6982" s="1"/>
      <c r="AF6982" s="1"/>
      <c r="AG6982" s="1"/>
      <c r="AH6982" s="1"/>
      <c r="AI6982" s="1"/>
      <c r="AJ6982" s="1"/>
      <c r="AK6982" s="1"/>
      <c r="AL6982" s="1"/>
      <c r="AM6982" s="1"/>
    </row>
    <row r="6983" spans="16:39" x14ac:dyDescent="0.25">
      <c r="P6983" s="49"/>
      <c r="Q6983" s="1"/>
      <c r="S6983" s="1"/>
      <c r="T6983" s="1"/>
      <c r="U6983" s="1"/>
      <c r="V6983" s="1"/>
      <c r="W6983" s="1"/>
      <c r="X6983" s="1"/>
      <c r="Y6983" s="1"/>
      <c r="AB6983" s="1"/>
      <c r="AC6983" s="1"/>
      <c r="AD6983" s="1"/>
      <c r="AE6983" s="1"/>
      <c r="AF6983" s="1"/>
      <c r="AG6983" s="1"/>
      <c r="AH6983" s="1"/>
      <c r="AI6983" s="1"/>
      <c r="AJ6983" s="1"/>
      <c r="AK6983" s="1"/>
      <c r="AL6983" s="1"/>
      <c r="AM6983" s="1"/>
    </row>
    <row r="6984" spans="16:39" x14ac:dyDescent="0.25">
      <c r="P6984" s="49"/>
      <c r="Q6984" s="1"/>
      <c r="S6984" s="1"/>
      <c r="T6984" s="1"/>
      <c r="U6984" s="1"/>
      <c r="V6984" s="1"/>
      <c r="W6984" s="1"/>
      <c r="X6984" s="1"/>
      <c r="Y6984" s="1"/>
      <c r="AB6984" s="1"/>
      <c r="AC6984" s="1"/>
      <c r="AD6984" s="1"/>
      <c r="AE6984" s="1"/>
      <c r="AF6984" s="1"/>
      <c r="AG6984" s="1"/>
      <c r="AH6984" s="1"/>
      <c r="AI6984" s="1"/>
      <c r="AJ6984" s="1"/>
      <c r="AK6984" s="1"/>
      <c r="AL6984" s="1"/>
      <c r="AM6984" s="1"/>
    </row>
    <row r="6985" spans="16:39" x14ac:dyDescent="0.25">
      <c r="P6985" s="49"/>
      <c r="Q6985" s="1"/>
      <c r="S6985" s="1"/>
      <c r="T6985" s="1"/>
      <c r="U6985" s="1"/>
      <c r="V6985" s="1"/>
      <c r="W6985" s="1"/>
      <c r="X6985" s="1"/>
      <c r="Y6985" s="1"/>
      <c r="AB6985" s="1"/>
      <c r="AC6985" s="1"/>
      <c r="AD6985" s="1"/>
      <c r="AE6985" s="1"/>
      <c r="AF6985" s="1"/>
      <c r="AG6985" s="1"/>
      <c r="AH6985" s="1"/>
      <c r="AI6985" s="1"/>
      <c r="AJ6985" s="1"/>
      <c r="AK6985" s="1"/>
      <c r="AL6985" s="1"/>
      <c r="AM6985" s="1"/>
    </row>
    <row r="6986" spans="16:39" x14ac:dyDescent="0.25">
      <c r="P6986" s="49"/>
      <c r="Q6986" s="1"/>
      <c r="S6986" s="1"/>
      <c r="T6986" s="1"/>
      <c r="U6986" s="1"/>
      <c r="V6986" s="1"/>
      <c r="W6986" s="1"/>
      <c r="X6986" s="1"/>
      <c r="Y6986" s="1"/>
      <c r="AB6986" s="1"/>
      <c r="AC6986" s="1"/>
      <c r="AD6986" s="1"/>
      <c r="AE6986" s="1"/>
      <c r="AF6986" s="1"/>
      <c r="AG6986" s="1"/>
      <c r="AH6986" s="1"/>
      <c r="AI6986" s="1"/>
      <c r="AJ6986" s="1"/>
      <c r="AK6986" s="1"/>
      <c r="AL6986" s="1"/>
      <c r="AM6986" s="1"/>
    </row>
    <row r="6987" spans="16:39" x14ac:dyDescent="0.25">
      <c r="P6987" s="49"/>
      <c r="Q6987" s="1"/>
      <c r="S6987" s="1"/>
      <c r="T6987" s="1"/>
      <c r="U6987" s="1"/>
      <c r="V6987" s="1"/>
      <c r="W6987" s="1"/>
      <c r="X6987" s="1"/>
      <c r="Y6987" s="1"/>
      <c r="AB6987" s="1"/>
      <c r="AC6987" s="1"/>
      <c r="AD6987" s="1"/>
      <c r="AE6987" s="1"/>
      <c r="AF6987" s="1"/>
      <c r="AG6987" s="1"/>
      <c r="AH6987" s="1"/>
      <c r="AI6987" s="1"/>
      <c r="AJ6987" s="1"/>
      <c r="AK6987" s="1"/>
      <c r="AL6987" s="1"/>
      <c r="AM6987" s="1"/>
    </row>
    <row r="6988" spans="16:39" x14ac:dyDescent="0.25">
      <c r="P6988" s="49"/>
      <c r="Q6988" s="1"/>
      <c r="S6988" s="1"/>
      <c r="T6988" s="1"/>
      <c r="U6988" s="1"/>
      <c r="V6988" s="1"/>
      <c r="W6988" s="1"/>
      <c r="X6988" s="1"/>
      <c r="Y6988" s="1"/>
      <c r="AB6988" s="1"/>
      <c r="AC6988" s="1"/>
      <c r="AD6988" s="1"/>
      <c r="AE6988" s="1"/>
      <c r="AF6988" s="1"/>
      <c r="AG6988" s="1"/>
      <c r="AH6988" s="1"/>
      <c r="AI6988" s="1"/>
      <c r="AJ6988" s="1"/>
      <c r="AK6988" s="1"/>
      <c r="AL6988" s="1"/>
      <c r="AM6988" s="1"/>
    </row>
    <row r="6989" spans="16:39" x14ac:dyDescent="0.25">
      <c r="P6989" s="49"/>
      <c r="Q6989" s="1"/>
      <c r="S6989" s="1"/>
      <c r="T6989" s="1"/>
      <c r="U6989" s="1"/>
      <c r="V6989" s="1"/>
      <c r="W6989" s="1"/>
      <c r="X6989" s="1"/>
      <c r="Y6989" s="1"/>
      <c r="AB6989" s="1"/>
      <c r="AC6989" s="1"/>
      <c r="AD6989" s="1"/>
      <c r="AE6989" s="1"/>
      <c r="AF6989" s="1"/>
      <c r="AG6989" s="1"/>
      <c r="AH6989" s="1"/>
      <c r="AI6989" s="1"/>
      <c r="AJ6989" s="1"/>
      <c r="AK6989" s="1"/>
      <c r="AL6989" s="1"/>
      <c r="AM6989" s="1"/>
    </row>
    <row r="6990" spans="16:39" x14ac:dyDescent="0.25">
      <c r="P6990" s="49"/>
      <c r="Q6990" s="1"/>
      <c r="S6990" s="1"/>
      <c r="T6990" s="1"/>
      <c r="U6990" s="1"/>
      <c r="V6990" s="1"/>
      <c r="W6990" s="1"/>
      <c r="X6990" s="1"/>
      <c r="Y6990" s="1"/>
      <c r="AB6990" s="1"/>
      <c r="AC6990" s="1"/>
      <c r="AD6990" s="1"/>
      <c r="AE6990" s="1"/>
      <c r="AF6990" s="1"/>
      <c r="AG6990" s="1"/>
      <c r="AH6990" s="1"/>
      <c r="AI6990" s="1"/>
      <c r="AJ6990" s="1"/>
      <c r="AK6990" s="1"/>
      <c r="AL6990" s="1"/>
      <c r="AM6990" s="1"/>
    </row>
    <row r="6991" spans="16:39" x14ac:dyDescent="0.25">
      <c r="P6991" s="49"/>
      <c r="Q6991" s="1"/>
      <c r="S6991" s="1"/>
      <c r="T6991" s="1"/>
      <c r="U6991" s="1"/>
      <c r="V6991" s="1"/>
      <c r="W6991" s="1"/>
      <c r="X6991" s="1"/>
      <c r="Y6991" s="1"/>
      <c r="AB6991" s="1"/>
      <c r="AC6991" s="1"/>
      <c r="AD6991" s="1"/>
      <c r="AE6991" s="1"/>
      <c r="AF6991" s="1"/>
      <c r="AG6991" s="1"/>
      <c r="AH6991" s="1"/>
      <c r="AI6991" s="1"/>
      <c r="AJ6991" s="1"/>
      <c r="AK6991" s="1"/>
      <c r="AL6991" s="1"/>
      <c r="AM6991" s="1"/>
    </row>
    <row r="6992" spans="16:39" x14ac:dyDescent="0.25">
      <c r="P6992" s="49"/>
      <c r="Q6992" s="1"/>
      <c r="S6992" s="1"/>
      <c r="T6992" s="1"/>
      <c r="U6992" s="1"/>
      <c r="V6992" s="1"/>
      <c r="W6992" s="1"/>
      <c r="X6992" s="1"/>
      <c r="Y6992" s="1"/>
      <c r="AB6992" s="1"/>
      <c r="AC6992" s="1"/>
      <c r="AD6992" s="1"/>
      <c r="AE6992" s="1"/>
      <c r="AF6992" s="1"/>
      <c r="AG6992" s="1"/>
      <c r="AH6992" s="1"/>
      <c r="AI6992" s="1"/>
      <c r="AJ6992" s="1"/>
      <c r="AK6992" s="1"/>
      <c r="AL6992" s="1"/>
      <c r="AM6992" s="1"/>
    </row>
    <row r="6993" spans="16:39" x14ac:dyDescent="0.25">
      <c r="P6993" s="49"/>
      <c r="Q6993" s="1"/>
      <c r="S6993" s="1"/>
      <c r="T6993" s="1"/>
      <c r="U6993" s="1"/>
      <c r="V6993" s="1"/>
      <c r="W6993" s="1"/>
      <c r="X6993" s="1"/>
      <c r="Y6993" s="1"/>
      <c r="AB6993" s="1"/>
      <c r="AC6993" s="1"/>
      <c r="AD6993" s="1"/>
      <c r="AE6993" s="1"/>
      <c r="AF6993" s="1"/>
      <c r="AG6993" s="1"/>
      <c r="AH6993" s="1"/>
      <c r="AI6993" s="1"/>
      <c r="AJ6993" s="1"/>
      <c r="AK6993" s="1"/>
      <c r="AL6993" s="1"/>
      <c r="AM6993" s="1"/>
    </row>
    <row r="6994" spans="16:39" x14ac:dyDescent="0.25">
      <c r="P6994" s="49"/>
      <c r="Q6994" s="1"/>
      <c r="S6994" s="1"/>
      <c r="T6994" s="1"/>
      <c r="U6994" s="1"/>
      <c r="V6994" s="1"/>
      <c r="W6994" s="1"/>
      <c r="X6994" s="1"/>
      <c r="Y6994" s="1"/>
      <c r="AB6994" s="1"/>
      <c r="AC6994" s="1"/>
      <c r="AD6994" s="1"/>
      <c r="AE6994" s="1"/>
      <c r="AF6994" s="1"/>
      <c r="AG6994" s="1"/>
      <c r="AH6994" s="1"/>
      <c r="AI6994" s="1"/>
      <c r="AJ6994" s="1"/>
      <c r="AK6994" s="1"/>
      <c r="AL6994" s="1"/>
      <c r="AM6994" s="1"/>
    </row>
    <row r="6995" spans="16:39" x14ac:dyDescent="0.25">
      <c r="P6995" s="49"/>
      <c r="Q6995" s="1"/>
      <c r="S6995" s="1"/>
      <c r="T6995" s="1"/>
      <c r="U6995" s="1"/>
      <c r="V6995" s="1"/>
      <c r="W6995" s="1"/>
      <c r="X6995" s="1"/>
      <c r="Y6995" s="1"/>
      <c r="AB6995" s="1"/>
      <c r="AC6995" s="1"/>
      <c r="AD6995" s="1"/>
      <c r="AE6995" s="1"/>
      <c r="AF6995" s="1"/>
      <c r="AG6995" s="1"/>
      <c r="AH6995" s="1"/>
      <c r="AI6995" s="1"/>
      <c r="AJ6995" s="1"/>
      <c r="AK6995" s="1"/>
      <c r="AL6995" s="1"/>
      <c r="AM6995" s="1"/>
    </row>
    <row r="6996" spans="16:39" x14ac:dyDescent="0.25">
      <c r="P6996" s="49"/>
      <c r="Q6996" s="1"/>
      <c r="S6996" s="1"/>
      <c r="T6996" s="1"/>
      <c r="U6996" s="1"/>
      <c r="V6996" s="1"/>
      <c r="W6996" s="1"/>
      <c r="X6996" s="1"/>
      <c r="Y6996" s="1"/>
      <c r="AB6996" s="1"/>
      <c r="AC6996" s="1"/>
      <c r="AD6996" s="1"/>
      <c r="AE6996" s="1"/>
      <c r="AF6996" s="1"/>
      <c r="AG6996" s="1"/>
      <c r="AH6996" s="1"/>
      <c r="AI6996" s="1"/>
      <c r="AJ6996" s="1"/>
      <c r="AK6996" s="1"/>
      <c r="AL6996" s="1"/>
      <c r="AM6996" s="1"/>
    </row>
    <row r="6997" spans="16:39" x14ac:dyDescent="0.25">
      <c r="P6997" s="49"/>
      <c r="Q6997" s="1"/>
      <c r="S6997" s="1"/>
      <c r="T6997" s="1"/>
      <c r="U6997" s="1"/>
      <c r="V6997" s="1"/>
      <c r="W6997" s="1"/>
      <c r="X6997" s="1"/>
      <c r="Y6997" s="1"/>
      <c r="AB6997" s="1"/>
      <c r="AC6997" s="1"/>
      <c r="AD6997" s="1"/>
      <c r="AE6997" s="1"/>
      <c r="AF6997" s="1"/>
      <c r="AG6997" s="1"/>
      <c r="AH6997" s="1"/>
      <c r="AI6997" s="1"/>
      <c r="AJ6997" s="1"/>
      <c r="AK6997" s="1"/>
      <c r="AL6997" s="1"/>
      <c r="AM6997" s="1"/>
    </row>
    <row r="6998" spans="16:39" x14ac:dyDescent="0.25">
      <c r="P6998" s="49"/>
      <c r="Q6998" s="1"/>
      <c r="S6998" s="1"/>
      <c r="T6998" s="1"/>
      <c r="U6998" s="1"/>
      <c r="V6998" s="1"/>
      <c r="W6998" s="1"/>
      <c r="X6998" s="1"/>
      <c r="Y6998" s="1"/>
      <c r="AB6998" s="1"/>
      <c r="AC6998" s="1"/>
      <c r="AD6998" s="1"/>
      <c r="AE6998" s="1"/>
      <c r="AF6998" s="1"/>
      <c r="AG6998" s="1"/>
      <c r="AH6998" s="1"/>
      <c r="AI6998" s="1"/>
      <c r="AJ6998" s="1"/>
      <c r="AK6998" s="1"/>
      <c r="AL6998" s="1"/>
      <c r="AM6998" s="1"/>
    </row>
    <row r="6999" spans="16:39" x14ac:dyDescent="0.25">
      <c r="P6999" s="49"/>
      <c r="Q6999" s="1"/>
      <c r="S6999" s="1"/>
      <c r="T6999" s="1"/>
      <c r="U6999" s="1"/>
      <c r="V6999" s="1"/>
      <c r="W6999" s="1"/>
      <c r="X6999" s="1"/>
      <c r="Y6999" s="1"/>
      <c r="AB6999" s="1"/>
      <c r="AC6999" s="1"/>
      <c r="AD6999" s="1"/>
      <c r="AE6999" s="1"/>
      <c r="AF6999" s="1"/>
      <c r="AG6999" s="1"/>
      <c r="AH6999" s="1"/>
      <c r="AI6999" s="1"/>
      <c r="AJ6999" s="1"/>
      <c r="AK6999" s="1"/>
      <c r="AL6999" s="1"/>
      <c r="AM6999" s="1"/>
    </row>
    <row r="7000" spans="16:39" x14ac:dyDescent="0.25">
      <c r="P7000" s="49"/>
      <c r="Q7000" s="1"/>
      <c r="S7000" s="1"/>
      <c r="T7000" s="1"/>
      <c r="U7000" s="1"/>
      <c r="V7000" s="1"/>
      <c r="W7000" s="1"/>
      <c r="X7000" s="1"/>
      <c r="Y7000" s="1"/>
      <c r="AB7000" s="1"/>
      <c r="AC7000" s="1"/>
      <c r="AD7000" s="1"/>
      <c r="AE7000" s="1"/>
      <c r="AF7000" s="1"/>
      <c r="AG7000" s="1"/>
      <c r="AH7000" s="1"/>
      <c r="AI7000" s="1"/>
      <c r="AJ7000" s="1"/>
      <c r="AK7000" s="1"/>
      <c r="AL7000" s="1"/>
      <c r="AM7000" s="1"/>
    </row>
    <row r="7001" spans="16:39" x14ac:dyDescent="0.25">
      <c r="P7001" s="49"/>
      <c r="Q7001" s="1"/>
      <c r="S7001" s="1"/>
      <c r="T7001" s="1"/>
      <c r="U7001" s="1"/>
      <c r="V7001" s="1"/>
      <c r="W7001" s="1"/>
      <c r="X7001" s="1"/>
      <c r="Y7001" s="1"/>
      <c r="AB7001" s="1"/>
      <c r="AC7001" s="1"/>
      <c r="AD7001" s="1"/>
      <c r="AE7001" s="1"/>
      <c r="AF7001" s="1"/>
      <c r="AG7001" s="1"/>
      <c r="AH7001" s="1"/>
      <c r="AI7001" s="1"/>
      <c r="AJ7001" s="1"/>
      <c r="AK7001" s="1"/>
      <c r="AL7001" s="1"/>
      <c r="AM7001" s="1"/>
    </row>
    <row r="7002" spans="16:39" x14ac:dyDescent="0.25">
      <c r="P7002" s="49"/>
      <c r="Q7002" s="1"/>
      <c r="S7002" s="1"/>
      <c r="T7002" s="1"/>
      <c r="U7002" s="1"/>
      <c r="V7002" s="1"/>
      <c r="W7002" s="1"/>
      <c r="X7002" s="1"/>
      <c r="Y7002" s="1"/>
      <c r="AB7002" s="1"/>
      <c r="AC7002" s="1"/>
      <c r="AD7002" s="1"/>
      <c r="AE7002" s="1"/>
      <c r="AF7002" s="1"/>
      <c r="AG7002" s="1"/>
      <c r="AH7002" s="1"/>
      <c r="AI7002" s="1"/>
      <c r="AJ7002" s="1"/>
      <c r="AK7002" s="1"/>
      <c r="AL7002" s="1"/>
      <c r="AM7002" s="1"/>
    </row>
    <row r="7003" spans="16:39" x14ac:dyDescent="0.25">
      <c r="P7003" s="49"/>
      <c r="Q7003" s="1"/>
      <c r="S7003" s="1"/>
      <c r="T7003" s="1"/>
      <c r="U7003" s="1"/>
      <c r="V7003" s="1"/>
      <c r="W7003" s="1"/>
      <c r="X7003" s="1"/>
      <c r="Y7003" s="1"/>
      <c r="AB7003" s="1"/>
      <c r="AC7003" s="1"/>
      <c r="AD7003" s="1"/>
      <c r="AE7003" s="1"/>
      <c r="AF7003" s="1"/>
      <c r="AG7003" s="1"/>
      <c r="AH7003" s="1"/>
      <c r="AI7003" s="1"/>
      <c r="AJ7003" s="1"/>
      <c r="AK7003" s="1"/>
      <c r="AL7003" s="1"/>
      <c r="AM7003" s="1"/>
    </row>
    <row r="7004" spans="16:39" x14ac:dyDescent="0.25">
      <c r="P7004" s="49"/>
      <c r="Q7004" s="1"/>
      <c r="S7004" s="1"/>
      <c r="T7004" s="1"/>
      <c r="U7004" s="1"/>
      <c r="V7004" s="1"/>
      <c r="W7004" s="1"/>
      <c r="X7004" s="1"/>
      <c r="Y7004" s="1"/>
      <c r="AB7004" s="1"/>
      <c r="AC7004" s="1"/>
      <c r="AD7004" s="1"/>
      <c r="AE7004" s="1"/>
      <c r="AF7004" s="1"/>
      <c r="AG7004" s="1"/>
      <c r="AH7004" s="1"/>
      <c r="AI7004" s="1"/>
      <c r="AJ7004" s="1"/>
      <c r="AK7004" s="1"/>
      <c r="AL7004" s="1"/>
      <c r="AM7004" s="1"/>
    </row>
    <row r="7005" spans="16:39" x14ac:dyDescent="0.25">
      <c r="P7005" s="49"/>
      <c r="Q7005" s="1"/>
      <c r="S7005" s="1"/>
      <c r="T7005" s="1"/>
      <c r="U7005" s="1"/>
      <c r="V7005" s="1"/>
      <c r="W7005" s="1"/>
      <c r="X7005" s="1"/>
      <c r="Y7005" s="1"/>
      <c r="AB7005" s="1"/>
      <c r="AC7005" s="1"/>
      <c r="AD7005" s="1"/>
      <c r="AE7005" s="1"/>
      <c r="AF7005" s="1"/>
      <c r="AG7005" s="1"/>
      <c r="AH7005" s="1"/>
      <c r="AI7005" s="1"/>
      <c r="AJ7005" s="1"/>
      <c r="AK7005" s="1"/>
      <c r="AL7005" s="1"/>
      <c r="AM7005" s="1"/>
    </row>
    <row r="7006" spans="16:39" x14ac:dyDescent="0.25">
      <c r="P7006" s="49"/>
      <c r="Q7006" s="1"/>
      <c r="S7006" s="1"/>
      <c r="T7006" s="1"/>
      <c r="U7006" s="1"/>
      <c r="V7006" s="1"/>
      <c r="W7006" s="1"/>
      <c r="X7006" s="1"/>
      <c r="Y7006" s="1"/>
      <c r="AB7006" s="1"/>
      <c r="AC7006" s="1"/>
      <c r="AD7006" s="1"/>
      <c r="AE7006" s="1"/>
      <c r="AF7006" s="1"/>
      <c r="AG7006" s="1"/>
      <c r="AH7006" s="1"/>
      <c r="AI7006" s="1"/>
      <c r="AJ7006" s="1"/>
      <c r="AK7006" s="1"/>
      <c r="AL7006" s="1"/>
      <c r="AM7006" s="1"/>
    </row>
    <row r="7007" spans="16:39" x14ac:dyDescent="0.25">
      <c r="P7007" s="49"/>
      <c r="Q7007" s="1"/>
      <c r="S7007" s="1"/>
      <c r="T7007" s="1"/>
      <c r="U7007" s="1"/>
      <c r="V7007" s="1"/>
      <c r="W7007" s="1"/>
      <c r="X7007" s="1"/>
      <c r="Y7007" s="1"/>
      <c r="AB7007" s="1"/>
      <c r="AC7007" s="1"/>
      <c r="AD7007" s="1"/>
      <c r="AE7007" s="1"/>
      <c r="AF7007" s="1"/>
      <c r="AG7007" s="1"/>
      <c r="AH7007" s="1"/>
      <c r="AI7007" s="1"/>
      <c r="AJ7007" s="1"/>
      <c r="AK7007" s="1"/>
      <c r="AL7007" s="1"/>
      <c r="AM7007" s="1"/>
    </row>
    <row r="7008" spans="16:39" x14ac:dyDescent="0.25">
      <c r="P7008" s="49"/>
      <c r="Q7008" s="1"/>
      <c r="S7008" s="1"/>
      <c r="T7008" s="1"/>
      <c r="U7008" s="1"/>
      <c r="V7008" s="1"/>
      <c r="W7008" s="1"/>
      <c r="X7008" s="1"/>
      <c r="Y7008" s="1"/>
      <c r="AB7008" s="1"/>
      <c r="AC7008" s="1"/>
      <c r="AD7008" s="1"/>
      <c r="AE7008" s="1"/>
      <c r="AF7008" s="1"/>
      <c r="AG7008" s="1"/>
      <c r="AH7008" s="1"/>
      <c r="AI7008" s="1"/>
      <c r="AJ7008" s="1"/>
      <c r="AK7008" s="1"/>
      <c r="AL7008" s="1"/>
      <c r="AM7008" s="1"/>
    </row>
    <row r="7009" spans="16:39" x14ac:dyDescent="0.25">
      <c r="P7009" s="49"/>
      <c r="Q7009" s="1"/>
      <c r="S7009" s="1"/>
      <c r="T7009" s="1"/>
      <c r="U7009" s="1"/>
      <c r="V7009" s="1"/>
      <c r="W7009" s="1"/>
      <c r="X7009" s="1"/>
      <c r="Y7009" s="1"/>
      <c r="AB7009" s="1"/>
      <c r="AC7009" s="1"/>
      <c r="AD7009" s="1"/>
      <c r="AE7009" s="1"/>
      <c r="AF7009" s="1"/>
      <c r="AG7009" s="1"/>
      <c r="AH7009" s="1"/>
      <c r="AI7009" s="1"/>
      <c r="AJ7009" s="1"/>
      <c r="AK7009" s="1"/>
      <c r="AL7009" s="1"/>
      <c r="AM7009" s="1"/>
    </row>
    <row r="7010" spans="16:39" x14ac:dyDescent="0.25">
      <c r="P7010" s="49"/>
      <c r="Q7010" s="1"/>
      <c r="S7010" s="1"/>
      <c r="T7010" s="1"/>
      <c r="U7010" s="1"/>
      <c r="V7010" s="1"/>
      <c r="W7010" s="1"/>
      <c r="X7010" s="1"/>
      <c r="Y7010" s="1"/>
      <c r="AB7010" s="1"/>
      <c r="AC7010" s="1"/>
      <c r="AD7010" s="1"/>
      <c r="AE7010" s="1"/>
      <c r="AF7010" s="1"/>
      <c r="AG7010" s="1"/>
      <c r="AH7010" s="1"/>
      <c r="AI7010" s="1"/>
      <c r="AJ7010" s="1"/>
      <c r="AK7010" s="1"/>
      <c r="AL7010" s="1"/>
      <c r="AM7010" s="1"/>
    </row>
    <row r="7011" spans="16:39" x14ac:dyDescent="0.25">
      <c r="P7011" s="49"/>
      <c r="Q7011" s="1"/>
      <c r="S7011" s="1"/>
      <c r="T7011" s="1"/>
      <c r="U7011" s="1"/>
      <c r="V7011" s="1"/>
      <c r="W7011" s="1"/>
      <c r="X7011" s="1"/>
      <c r="Y7011" s="1"/>
      <c r="AB7011" s="1"/>
      <c r="AC7011" s="1"/>
      <c r="AD7011" s="1"/>
      <c r="AE7011" s="1"/>
      <c r="AF7011" s="1"/>
      <c r="AG7011" s="1"/>
      <c r="AH7011" s="1"/>
      <c r="AI7011" s="1"/>
      <c r="AJ7011" s="1"/>
      <c r="AK7011" s="1"/>
      <c r="AL7011" s="1"/>
      <c r="AM7011" s="1"/>
    </row>
    <row r="7012" spans="16:39" x14ac:dyDescent="0.25">
      <c r="P7012" s="49"/>
      <c r="Q7012" s="1"/>
      <c r="S7012" s="1"/>
      <c r="T7012" s="1"/>
      <c r="U7012" s="1"/>
      <c r="V7012" s="1"/>
      <c r="W7012" s="1"/>
      <c r="X7012" s="1"/>
      <c r="Y7012" s="1"/>
      <c r="AB7012" s="1"/>
      <c r="AC7012" s="1"/>
      <c r="AD7012" s="1"/>
      <c r="AE7012" s="1"/>
      <c r="AF7012" s="1"/>
      <c r="AG7012" s="1"/>
      <c r="AH7012" s="1"/>
      <c r="AI7012" s="1"/>
      <c r="AJ7012" s="1"/>
      <c r="AK7012" s="1"/>
      <c r="AL7012" s="1"/>
      <c r="AM7012" s="1"/>
    </row>
    <row r="7013" spans="16:39" x14ac:dyDescent="0.25">
      <c r="P7013" s="49"/>
      <c r="Q7013" s="1"/>
      <c r="S7013" s="1"/>
      <c r="T7013" s="1"/>
      <c r="U7013" s="1"/>
      <c r="V7013" s="1"/>
      <c r="W7013" s="1"/>
      <c r="X7013" s="1"/>
      <c r="Y7013" s="1"/>
      <c r="AB7013" s="1"/>
      <c r="AC7013" s="1"/>
      <c r="AD7013" s="1"/>
      <c r="AE7013" s="1"/>
      <c r="AF7013" s="1"/>
      <c r="AG7013" s="1"/>
      <c r="AH7013" s="1"/>
      <c r="AI7013" s="1"/>
      <c r="AJ7013" s="1"/>
      <c r="AK7013" s="1"/>
      <c r="AL7013" s="1"/>
      <c r="AM7013" s="1"/>
    </row>
    <row r="7014" spans="16:39" x14ac:dyDescent="0.25">
      <c r="P7014" s="49"/>
      <c r="Q7014" s="1"/>
      <c r="S7014" s="1"/>
      <c r="T7014" s="1"/>
      <c r="U7014" s="1"/>
      <c r="V7014" s="1"/>
      <c r="W7014" s="1"/>
      <c r="X7014" s="1"/>
      <c r="Y7014" s="1"/>
      <c r="AB7014" s="1"/>
      <c r="AC7014" s="1"/>
      <c r="AD7014" s="1"/>
      <c r="AE7014" s="1"/>
      <c r="AF7014" s="1"/>
      <c r="AG7014" s="1"/>
      <c r="AH7014" s="1"/>
      <c r="AI7014" s="1"/>
      <c r="AJ7014" s="1"/>
      <c r="AK7014" s="1"/>
      <c r="AL7014" s="1"/>
      <c r="AM7014" s="1"/>
    </row>
    <row r="7015" spans="16:39" x14ac:dyDescent="0.25">
      <c r="P7015" s="49"/>
      <c r="Q7015" s="1"/>
      <c r="S7015" s="1"/>
      <c r="T7015" s="1"/>
      <c r="U7015" s="1"/>
      <c r="V7015" s="1"/>
      <c r="W7015" s="1"/>
      <c r="X7015" s="1"/>
      <c r="Y7015" s="1"/>
      <c r="AB7015" s="1"/>
      <c r="AC7015" s="1"/>
      <c r="AD7015" s="1"/>
      <c r="AE7015" s="1"/>
      <c r="AF7015" s="1"/>
      <c r="AG7015" s="1"/>
      <c r="AH7015" s="1"/>
      <c r="AI7015" s="1"/>
      <c r="AJ7015" s="1"/>
      <c r="AK7015" s="1"/>
      <c r="AL7015" s="1"/>
      <c r="AM7015" s="1"/>
    </row>
    <row r="7016" spans="16:39" x14ac:dyDescent="0.25">
      <c r="P7016" s="49"/>
      <c r="Q7016" s="1"/>
      <c r="S7016" s="1"/>
      <c r="T7016" s="1"/>
      <c r="U7016" s="1"/>
      <c r="V7016" s="1"/>
      <c r="W7016" s="1"/>
      <c r="X7016" s="1"/>
      <c r="Y7016" s="1"/>
      <c r="AB7016" s="1"/>
      <c r="AC7016" s="1"/>
      <c r="AD7016" s="1"/>
      <c r="AE7016" s="1"/>
      <c r="AF7016" s="1"/>
      <c r="AG7016" s="1"/>
      <c r="AH7016" s="1"/>
      <c r="AI7016" s="1"/>
      <c r="AJ7016" s="1"/>
      <c r="AK7016" s="1"/>
      <c r="AL7016" s="1"/>
      <c r="AM7016" s="1"/>
    </row>
    <row r="7017" spans="16:39" x14ac:dyDescent="0.25">
      <c r="P7017" s="49"/>
      <c r="Q7017" s="1"/>
      <c r="S7017" s="1"/>
      <c r="T7017" s="1"/>
      <c r="U7017" s="1"/>
      <c r="V7017" s="1"/>
      <c r="W7017" s="1"/>
      <c r="X7017" s="1"/>
      <c r="Y7017" s="1"/>
      <c r="AB7017" s="1"/>
      <c r="AC7017" s="1"/>
      <c r="AD7017" s="1"/>
      <c r="AE7017" s="1"/>
      <c r="AF7017" s="1"/>
      <c r="AG7017" s="1"/>
      <c r="AH7017" s="1"/>
      <c r="AI7017" s="1"/>
      <c r="AJ7017" s="1"/>
      <c r="AK7017" s="1"/>
      <c r="AL7017" s="1"/>
      <c r="AM7017" s="1"/>
    </row>
    <row r="7018" spans="16:39" x14ac:dyDescent="0.25">
      <c r="P7018" s="49"/>
      <c r="Q7018" s="1"/>
      <c r="S7018" s="1"/>
      <c r="T7018" s="1"/>
      <c r="U7018" s="1"/>
      <c r="V7018" s="1"/>
      <c r="W7018" s="1"/>
      <c r="X7018" s="1"/>
      <c r="Y7018" s="1"/>
      <c r="AB7018" s="1"/>
      <c r="AC7018" s="1"/>
      <c r="AD7018" s="1"/>
      <c r="AE7018" s="1"/>
      <c r="AF7018" s="1"/>
      <c r="AG7018" s="1"/>
      <c r="AH7018" s="1"/>
      <c r="AI7018" s="1"/>
      <c r="AJ7018" s="1"/>
      <c r="AK7018" s="1"/>
      <c r="AL7018" s="1"/>
      <c r="AM7018" s="1"/>
    </row>
    <row r="7019" spans="16:39" x14ac:dyDescent="0.25">
      <c r="P7019" s="49"/>
      <c r="Q7019" s="1"/>
      <c r="S7019" s="1"/>
      <c r="T7019" s="1"/>
      <c r="U7019" s="1"/>
      <c r="V7019" s="1"/>
      <c r="W7019" s="1"/>
      <c r="X7019" s="1"/>
      <c r="Y7019" s="1"/>
      <c r="AB7019" s="1"/>
      <c r="AC7019" s="1"/>
      <c r="AD7019" s="1"/>
      <c r="AE7019" s="1"/>
      <c r="AF7019" s="1"/>
      <c r="AG7019" s="1"/>
      <c r="AH7019" s="1"/>
      <c r="AI7019" s="1"/>
      <c r="AJ7019" s="1"/>
      <c r="AK7019" s="1"/>
      <c r="AL7019" s="1"/>
      <c r="AM7019" s="1"/>
    </row>
    <row r="7020" spans="16:39" x14ac:dyDescent="0.25">
      <c r="P7020" s="49"/>
      <c r="Q7020" s="1"/>
      <c r="S7020" s="1"/>
      <c r="T7020" s="1"/>
      <c r="U7020" s="1"/>
      <c r="V7020" s="1"/>
      <c r="W7020" s="1"/>
      <c r="X7020" s="1"/>
      <c r="Y7020" s="1"/>
      <c r="AB7020" s="1"/>
      <c r="AC7020" s="1"/>
      <c r="AD7020" s="1"/>
      <c r="AE7020" s="1"/>
      <c r="AF7020" s="1"/>
      <c r="AG7020" s="1"/>
      <c r="AH7020" s="1"/>
      <c r="AI7020" s="1"/>
      <c r="AJ7020" s="1"/>
      <c r="AK7020" s="1"/>
      <c r="AL7020" s="1"/>
      <c r="AM7020" s="1"/>
    </row>
    <row r="7021" spans="16:39" x14ac:dyDescent="0.25">
      <c r="P7021" s="49"/>
      <c r="Q7021" s="1"/>
      <c r="S7021" s="1"/>
      <c r="T7021" s="1"/>
      <c r="U7021" s="1"/>
      <c r="V7021" s="1"/>
      <c r="W7021" s="1"/>
      <c r="X7021" s="1"/>
      <c r="Y7021" s="1"/>
      <c r="AB7021" s="1"/>
      <c r="AC7021" s="1"/>
      <c r="AD7021" s="1"/>
      <c r="AE7021" s="1"/>
      <c r="AF7021" s="1"/>
      <c r="AG7021" s="1"/>
      <c r="AH7021" s="1"/>
      <c r="AI7021" s="1"/>
      <c r="AJ7021" s="1"/>
      <c r="AK7021" s="1"/>
      <c r="AL7021" s="1"/>
      <c r="AM7021" s="1"/>
    </row>
    <row r="7022" spans="16:39" x14ac:dyDescent="0.25">
      <c r="P7022" s="49"/>
      <c r="Q7022" s="1"/>
      <c r="S7022" s="1"/>
      <c r="T7022" s="1"/>
      <c r="U7022" s="1"/>
      <c r="V7022" s="1"/>
      <c r="W7022" s="1"/>
      <c r="X7022" s="1"/>
      <c r="Y7022" s="1"/>
      <c r="AB7022" s="1"/>
      <c r="AC7022" s="1"/>
      <c r="AD7022" s="1"/>
      <c r="AE7022" s="1"/>
      <c r="AF7022" s="1"/>
      <c r="AG7022" s="1"/>
      <c r="AH7022" s="1"/>
      <c r="AI7022" s="1"/>
      <c r="AJ7022" s="1"/>
      <c r="AK7022" s="1"/>
      <c r="AL7022" s="1"/>
      <c r="AM7022" s="1"/>
    </row>
    <row r="7023" spans="16:39" x14ac:dyDescent="0.25">
      <c r="P7023" s="49"/>
      <c r="Q7023" s="1"/>
      <c r="S7023" s="1"/>
      <c r="T7023" s="1"/>
      <c r="U7023" s="1"/>
      <c r="V7023" s="1"/>
      <c r="W7023" s="1"/>
      <c r="X7023" s="1"/>
      <c r="Y7023" s="1"/>
      <c r="AB7023" s="1"/>
      <c r="AC7023" s="1"/>
      <c r="AD7023" s="1"/>
      <c r="AE7023" s="1"/>
      <c r="AF7023" s="1"/>
      <c r="AG7023" s="1"/>
      <c r="AH7023" s="1"/>
      <c r="AI7023" s="1"/>
      <c r="AJ7023" s="1"/>
      <c r="AK7023" s="1"/>
      <c r="AL7023" s="1"/>
      <c r="AM7023" s="1"/>
    </row>
    <row r="7024" spans="16:39" x14ac:dyDescent="0.25">
      <c r="P7024" s="49"/>
      <c r="Q7024" s="1"/>
      <c r="S7024" s="1"/>
      <c r="T7024" s="1"/>
      <c r="U7024" s="1"/>
      <c r="V7024" s="1"/>
      <c r="W7024" s="1"/>
      <c r="X7024" s="1"/>
      <c r="Y7024" s="1"/>
      <c r="AB7024" s="1"/>
      <c r="AC7024" s="1"/>
      <c r="AD7024" s="1"/>
      <c r="AE7024" s="1"/>
      <c r="AF7024" s="1"/>
      <c r="AG7024" s="1"/>
      <c r="AH7024" s="1"/>
      <c r="AI7024" s="1"/>
      <c r="AJ7024" s="1"/>
      <c r="AK7024" s="1"/>
      <c r="AL7024" s="1"/>
      <c r="AM7024" s="1"/>
    </row>
    <row r="7025" spans="16:39" x14ac:dyDescent="0.25">
      <c r="P7025" s="49"/>
      <c r="Q7025" s="1"/>
      <c r="S7025" s="1"/>
      <c r="T7025" s="1"/>
      <c r="U7025" s="1"/>
      <c r="V7025" s="1"/>
      <c r="W7025" s="1"/>
      <c r="X7025" s="1"/>
      <c r="Y7025" s="1"/>
      <c r="AB7025" s="1"/>
      <c r="AC7025" s="1"/>
      <c r="AD7025" s="1"/>
      <c r="AE7025" s="1"/>
      <c r="AF7025" s="1"/>
      <c r="AG7025" s="1"/>
      <c r="AH7025" s="1"/>
      <c r="AI7025" s="1"/>
      <c r="AJ7025" s="1"/>
      <c r="AK7025" s="1"/>
      <c r="AL7025" s="1"/>
      <c r="AM7025" s="1"/>
    </row>
    <row r="7026" spans="16:39" x14ac:dyDescent="0.25">
      <c r="P7026" s="49"/>
      <c r="Q7026" s="1"/>
      <c r="S7026" s="1"/>
      <c r="T7026" s="1"/>
      <c r="U7026" s="1"/>
      <c r="V7026" s="1"/>
      <c r="W7026" s="1"/>
      <c r="X7026" s="1"/>
      <c r="Y7026" s="1"/>
      <c r="AB7026" s="1"/>
      <c r="AC7026" s="1"/>
      <c r="AD7026" s="1"/>
      <c r="AE7026" s="1"/>
      <c r="AF7026" s="1"/>
      <c r="AG7026" s="1"/>
      <c r="AH7026" s="1"/>
      <c r="AI7026" s="1"/>
      <c r="AJ7026" s="1"/>
      <c r="AK7026" s="1"/>
      <c r="AL7026" s="1"/>
      <c r="AM7026" s="1"/>
    </row>
    <row r="7027" spans="16:39" x14ac:dyDescent="0.25">
      <c r="P7027" s="49"/>
      <c r="Q7027" s="1"/>
      <c r="S7027" s="1"/>
      <c r="T7027" s="1"/>
      <c r="U7027" s="1"/>
      <c r="V7027" s="1"/>
      <c r="W7027" s="1"/>
      <c r="X7027" s="1"/>
      <c r="Y7027" s="1"/>
      <c r="AB7027" s="1"/>
      <c r="AC7027" s="1"/>
      <c r="AD7027" s="1"/>
      <c r="AE7027" s="1"/>
      <c r="AF7027" s="1"/>
      <c r="AG7027" s="1"/>
      <c r="AH7027" s="1"/>
      <c r="AI7027" s="1"/>
      <c r="AJ7027" s="1"/>
      <c r="AK7027" s="1"/>
      <c r="AL7027" s="1"/>
      <c r="AM7027" s="1"/>
    </row>
    <row r="7028" spans="16:39" x14ac:dyDescent="0.25">
      <c r="P7028" s="49"/>
      <c r="Q7028" s="1"/>
      <c r="S7028" s="1"/>
      <c r="T7028" s="1"/>
      <c r="U7028" s="1"/>
      <c r="V7028" s="1"/>
      <c r="W7028" s="1"/>
      <c r="X7028" s="1"/>
      <c r="Y7028" s="1"/>
      <c r="AB7028" s="1"/>
      <c r="AC7028" s="1"/>
      <c r="AD7028" s="1"/>
      <c r="AE7028" s="1"/>
      <c r="AF7028" s="1"/>
      <c r="AG7028" s="1"/>
      <c r="AH7028" s="1"/>
      <c r="AI7028" s="1"/>
      <c r="AJ7028" s="1"/>
      <c r="AK7028" s="1"/>
      <c r="AL7028" s="1"/>
      <c r="AM7028" s="1"/>
    </row>
    <row r="7029" spans="16:39" x14ac:dyDescent="0.25">
      <c r="P7029" s="49"/>
      <c r="Q7029" s="1"/>
      <c r="S7029" s="1"/>
      <c r="T7029" s="1"/>
      <c r="U7029" s="1"/>
      <c r="V7029" s="1"/>
      <c r="W7029" s="1"/>
      <c r="X7029" s="1"/>
      <c r="Y7029" s="1"/>
      <c r="AB7029" s="1"/>
      <c r="AC7029" s="1"/>
      <c r="AD7029" s="1"/>
      <c r="AE7029" s="1"/>
      <c r="AF7029" s="1"/>
      <c r="AG7029" s="1"/>
      <c r="AH7029" s="1"/>
      <c r="AI7029" s="1"/>
      <c r="AJ7029" s="1"/>
      <c r="AK7029" s="1"/>
      <c r="AL7029" s="1"/>
      <c r="AM7029" s="1"/>
    </row>
    <row r="7030" spans="16:39" x14ac:dyDescent="0.25">
      <c r="P7030" s="49"/>
      <c r="Q7030" s="1"/>
      <c r="S7030" s="1"/>
      <c r="T7030" s="1"/>
      <c r="U7030" s="1"/>
      <c r="V7030" s="1"/>
      <c r="W7030" s="1"/>
      <c r="X7030" s="1"/>
      <c r="Y7030" s="1"/>
      <c r="AB7030" s="1"/>
      <c r="AC7030" s="1"/>
      <c r="AD7030" s="1"/>
      <c r="AE7030" s="1"/>
      <c r="AF7030" s="1"/>
      <c r="AG7030" s="1"/>
      <c r="AH7030" s="1"/>
      <c r="AI7030" s="1"/>
      <c r="AJ7030" s="1"/>
      <c r="AK7030" s="1"/>
      <c r="AL7030" s="1"/>
      <c r="AM7030" s="1"/>
    </row>
    <row r="7031" spans="16:39" x14ac:dyDescent="0.25">
      <c r="P7031" s="49"/>
      <c r="Q7031" s="1"/>
      <c r="S7031" s="1"/>
      <c r="T7031" s="1"/>
      <c r="U7031" s="1"/>
      <c r="V7031" s="1"/>
      <c r="W7031" s="1"/>
      <c r="X7031" s="1"/>
      <c r="Y7031" s="1"/>
      <c r="AB7031" s="1"/>
      <c r="AC7031" s="1"/>
      <c r="AD7031" s="1"/>
      <c r="AE7031" s="1"/>
      <c r="AF7031" s="1"/>
      <c r="AG7031" s="1"/>
      <c r="AH7031" s="1"/>
      <c r="AI7031" s="1"/>
      <c r="AJ7031" s="1"/>
      <c r="AK7031" s="1"/>
      <c r="AL7031" s="1"/>
      <c r="AM7031" s="1"/>
    </row>
    <row r="7032" spans="16:39" x14ac:dyDescent="0.25">
      <c r="P7032" s="49"/>
      <c r="Q7032" s="1"/>
      <c r="S7032" s="1"/>
      <c r="T7032" s="1"/>
      <c r="U7032" s="1"/>
      <c r="V7032" s="1"/>
      <c r="W7032" s="1"/>
      <c r="X7032" s="1"/>
      <c r="Y7032" s="1"/>
      <c r="AB7032" s="1"/>
      <c r="AC7032" s="1"/>
      <c r="AD7032" s="1"/>
      <c r="AE7032" s="1"/>
      <c r="AF7032" s="1"/>
      <c r="AG7032" s="1"/>
      <c r="AH7032" s="1"/>
      <c r="AI7032" s="1"/>
      <c r="AJ7032" s="1"/>
      <c r="AK7032" s="1"/>
      <c r="AL7032" s="1"/>
      <c r="AM7032" s="1"/>
    </row>
    <row r="7033" spans="16:39" x14ac:dyDescent="0.25">
      <c r="P7033" s="49"/>
      <c r="Q7033" s="1"/>
      <c r="S7033" s="1"/>
      <c r="T7033" s="1"/>
      <c r="U7033" s="1"/>
      <c r="V7033" s="1"/>
      <c r="W7033" s="1"/>
      <c r="X7033" s="1"/>
      <c r="Y7033" s="1"/>
      <c r="AB7033" s="1"/>
      <c r="AC7033" s="1"/>
      <c r="AD7033" s="1"/>
      <c r="AE7033" s="1"/>
      <c r="AF7033" s="1"/>
      <c r="AG7033" s="1"/>
      <c r="AH7033" s="1"/>
      <c r="AI7033" s="1"/>
      <c r="AJ7033" s="1"/>
      <c r="AK7033" s="1"/>
      <c r="AL7033" s="1"/>
      <c r="AM7033" s="1"/>
    </row>
    <row r="7034" spans="16:39" x14ac:dyDescent="0.25">
      <c r="P7034" s="49"/>
      <c r="Q7034" s="1"/>
      <c r="S7034" s="1"/>
      <c r="T7034" s="1"/>
      <c r="U7034" s="1"/>
      <c r="V7034" s="1"/>
      <c r="W7034" s="1"/>
      <c r="X7034" s="1"/>
      <c r="Y7034" s="1"/>
      <c r="AB7034" s="1"/>
      <c r="AC7034" s="1"/>
      <c r="AD7034" s="1"/>
      <c r="AE7034" s="1"/>
      <c r="AF7034" s="1"/>
      <c r="AG7034" s="1"/>
      <c r="AH7034" s="1"/>
      <c r="AI7034" s="1"/>
      <c r="AJ7034" s="1"/>
      <c r="AK7034" s="1"/>
      <c r="AL7034" s="1"/>
      <c r="AM7034" s="1"/>
    </row>
    <row r="7035" spans="16:39" x14ac:dyDescent="0.25">
      <c r="P7035" s="49"/>
      <c r="Q7035" s="1"/>
      <c r="S7035" s="1"/>
      <c r="T7035" s="1"/>
      <c r="U7035" s="1"/>
      <c r="V7035" s="1"/>
      <c r="W7035" s="1"/>
      <c r="X7035" s="1"/>
      <c r="Y7035" s="1"/>
      <c r="AB7035" s="1"/>
      <c r="AC7035" s="1"/>
      <c r="AD7035" s="1"/>
      <c r="AE7035" s="1"/>
      <c r="AF7035" s="1"/>
      <c r="AG7035" s="1"/>
      <c r="AH7035" s="1"/>
      <c r="AI7035" s="1"/>
      <c r="AJ7035" s="1"/>
      <c r="AK7035" s="1"/>
      <c r="AL7035" s="1"/>
      <c r="AM7035" s="1"/>
    </row>
    <row r="7036" spans="16:39" x14ac:dyDescent="0.25">
      <c r="P7036" s="49"/>
      <c r="Q7036" s="1"/>
      <c r="S7036" s="1"/>
      <c r="T7036" s="1"/>
      <c r="U7036" s="1"/>
      <c r="V7036" s="1"/>
      <c r="W7036" s="1"/>
      <c r="X7036" s="1"/>
      <c r="Y7036" s="1"/>
      <c r="AB7036" s="1"/>
      <c r="AC7036" s="1"/>
      <c r="AD7036" s="1"/>
      <c r="AE7036" s="1"/>
      <c r="AF7036" s="1"/>
      <c r="AG7036" s="1"/>
      <c r="AH7036" s="1"/>
      <c r="AI7036" s="1"/>
      <c r="AJ7036" s="1"/>
      <c r="AK7036" s="1"/>
      <c r="AL7036" s="1"/>
      <c r="AM7036" s="1"/>
    </row>
    <row r="7037" spans="16:39" x14ac:dyDescent="0.25">
      <c r="P7037" s="49"/>
      <c r="Q7037" s="1"/>
      <c r="S7037" s="1"/>
      <c r="T7037" s="1"/>
      <c r="U7037" s="1"/>
      <c r="V7037" s="1"/>
      <c r="W7037" s="1"/>
      <c r="X7037" s="1"/>
      <c r="Y7037" s="1"/>
      <c r="AB7037" s="1"/>
      <c r="AC7037" s="1"/>
      <c r="AD7037" s="1"/>
      <c r="AE7037" s="1"/>
      <c r="AF7037" s="1"/>
      <c r="AG7037" s="1"/>
      <c r="AH7037" s="1"/>
      <c r="AI7037" s="1"/>
      <c r="AJ7037" s="1"/>
      <c r="AK7037" s="1"/>
      <c r="AL7037" s="1"/>
      <c r="AM7037" s="1"/>
    </row>
    <row r="7038" spans="16:39" x14ac:dyDescent="0.25">
      <c r="P7038" s="49"/>
      <c r="Q7038" s="1"/>
      <c r="S7038" s="1"/>
      <c r="T7038" s="1"/>
      <c r="U7038" s="1"/>
      <c r="V7038" s="1"/>
      <c r="W7038" s="1"/>
      <c r="X7038" s="1"/>
      <c r="Y7038" s="1"/>
      <c r="AB7038" s="1"/>
      <c r="AC7038" s="1"/>
      <c r="AD7038" s="1"/>
      <c r="AE7038" s="1"/>
      <c r="AF7038" s="1"/>
      <c r="AG7038" s="1"/>
      <c r="AH7038" s="1"/>
      <c r="AI7038" s="1"/>
      <c r="AJ7038" s="1"/>
      <c r="AK7038" s="1"/>
      <c r="AL7038" s="1"/>
      <c r="AM7038" s="1"/>
    </row>
    <row r="7039" spans="16:39" x14ac:dyDescent="0.25">
      <c r="P7039" s="49"/>
      <c r="Q7039" s="1"/>
      <c r="S7039" s="1"/>
      <c r="T7039" s="1"/>
      <c r="U7039" s="1"/>
      <c r="V7039" s="1"/>
      <c r="W7039" s="1"/>
      <c r="X7039" s="1"/>
      <c r="Y7039" s="1"/>
      <c r="AB7039" s="1"/>
      <c r="AC7039" s="1"/>
      <c r="AD7039" s="1"/>
      <c r="AE7039" s="1"/>
      <c r="AF7039" s="1"/>
      <c r="AG7039" s="1"/>
      <c r="AH7039" s="1"/>
      <c r="AI7039" s="1"/>
      <c r="AJ7039" s="1"/>
      <c r="AK7039" s="1"/>
      <c r="AL7039" s="1"/>
      <c r="AM7039" s="1"/>
    </row>
    <row r="7040" spans="16:39" x14ac:dyDescent="0.25">
      <c r="P7040" s="49"/>
      <c r="Q7040" s="1"/>
      <c r="S7040" s="1"/>
      <c r="T7040" s="1"/>
      <c r="U7040" s="1"/>
      <c r="V7040" s="1"/>
      <c r="W7040" s="1"/>
      <c r="X7040" s="1"/>
      <c r="Y7040" s="1"/>
      <c r="AB7040" s="1"/>
      <c r="AC7040" s="1"/>
      <c r="AD7040" s="1"/>
      <c r="AE7040" s="1"/>
      <c r="AF7040" s="1"/>
      <c r="AG7040" s="1"/>
      <c r="AH7040" s="1"/>
      <c r="AI7040" s="1"/>
      <c r="AJ7040" s="1"/>
      <c r="AK7040" s="1"/>
      <c r="AL7040" s="1"/>
      <c r="AM7040" s="1"/>
    </row>
    <row r="7041" spans="16:39" x14ac:dyDescent="0.25">
      <c r="P7041" s="49"/>
      <c r="Q7041" s="1"/>
      <c r="S7041" s="1"/>
      <c r="T7041" s="1"/>
      <c r="U7041" s="1"/>
      <c r="V7041" s="1"/>
      <c r="W7041" s="1"/>
      <c r="X7041" s="1"/>
      <c r="Y7041" s="1"/>
      <c r="AB7041" s="1"/>
      <c r="AC7041" s="1"/>
      <c r="AD7041" s="1"/>
      <c r="AE7041" s="1"/>
      <c r="AF7041" s="1"/>
      <c r="AG7041" s="1"/>
      <c r="AH7041" s="1"/>
      <c r="AI7041" s="1"/>
      <c r="AJ7041" s="1"/>
      <c r="AK7041" s="1"/>
      <c r="AL7041" s="1"/>
      <c r="AM7041" s="1"/>
    </row>
    <row r="7042" spans="16:39" x14ac:dyDescent="0.25">
      <c r="P7042" s="49"/>
      <c r="Q7042" s="1"/>
      <c r="S7042" s="1"/>
      <c r="T7042" s="1"/>
      <c r="U7042" s="1"/>
      <c r="V7042" s="1"/>
      <c r="W7042" s="1"/>
      <c r="X7042" s="1"/>
      <c r="Y7042" s="1"/>
      <c r="AB7042" s="1"/>
      <c r="AC7042" s="1"/>
      <c r="AD7042" s="1"/>
      <c r="AE7042" s="1"/>
      <c r="AF7042" s="1"/>
      <c r="AG7042" s="1"/>
      <c r="AH7042" s="1"/>
      <c r="AI7042" s="1"/>
      <c r="AJ7042" s="1"/>
      <c r="AK7042" s="1"/>
      <c r="AL7042" s="1"/>
      <c r="AM7042" s="1"/>
    </row>
    <row r="7043" spans="16:39" x14ac:dyDescent="0.25">
      <c r="P7043" s="49"/>
      <c r="Q7043" s="1"/>
      <c r="S7043" s="1"/>
      <c r="T7043" s="1"/>
      <c r="U7043" s="1"/>
      <c r="V7043" s="1"/>
      <c r="W7043" s="1"/>
      <c r="X7043" s="1"/>
      <c r="Y7043" s="1"/>
      <c r="AB7043" s="1"/>
      <c r="AC7043" s="1"/>
      <c r="AD7043" s="1"/>
      <c r="AE7043" s="1"/>
      <c r="AF7043" s="1"/>
      <c r="AG7043" s="1"/>
      <c r="AH7043" s="1"/>
      <c r="AI7043" s="1"/>
      <c r="AJ7043" s="1"/>
      <c r="AK7043" s="1"/>
      <c r="AL7043" s="1"/>
      <c r="AM7043" s="1"/>
    </row>
    <row r="7044" spans="16:39" x14ac:dyDescent="0.25">
      <c r="P7044" s="49"/>
      <c r="Q7044" s="1"/>
      <c r="S7044" s="1"/>
      <c r="T7044" s="1"/>
      <c r="U7044" s="1"/>
      <c r="V7044" s="1"/>
      <c r="W7044" s="1"/>
      <c r="X7044" s="1"/>
      <c r="Y7044" s="1"/>
      <c r="AB7044" s="1"/>
      <c r="AC7044" s="1"/>
      <c r="AD7044" s="1"/>
      <c r="AE7044" s="1"/>
      <c r="AF7044" s="1"/>
      <c r="AG7044" s="1"/>
      <c r="AH7044" s="1"/>
      <c r="AI7044" s="1"/>
      <c r="AJ7044" s="1"/>
      <c r="AK7044" s="1"/>
      <c r="AL7044" s="1"/>
      <c r="AM7044" s="1"/>
    </row>
    <row r="7045" spans="16:39" x14ac:dyDescent="0.25">
      <c r="P7045" s="49"/>
      <c r="Q7045" s="1"/>
      <c r="S7045" s="1"/>
      <c r="T7045" s="1"/>
      <c r="U7045" s="1"/>
      <c r="V7045" s="1"/>
      <c r="W7045" s="1"/>
      <c r="X7045" s="1"/>
      <c r="Y7045" s="1"/>
      <c r="AB7045" s="1"/>
      <c r="AC7045" s="1"/>
      <c r="AD7045" s="1"/>
      <c r="AE7045" s="1"/>
      <c r="AF7045" s="1"/>
      <c r="AG7045" s="1"/>
      <c r="AH7045" s="1"/>
      <c r="AI7045" s="1"/>
      <c r="AJ7045" s="1"/>
      <c r="AK7045" s="1"/>
      <c r="AL7045" s="1"/>
      <c r="AM7045" s="1"/>
    </row>
    <row r="7046" spans="16:39" x14ac:dyDescent="0.25">
      <c r="P7046" s="49"/>
      <c r="Q7046" s="1"/>
      <c r="S7046" s="1"/>
      <c r="T7046" s="1"/>
      <c r="U7046" s="1"/>
      <c r="V7046" s="1"/>
      <c r="W7046" s="1"/>
      <c r="X7046" s="1"/>
      <c r="Y7046" s="1"/>
      <c r="AB7046" s="1"/>
      <c r="AC7046" s="1"/>
      <c r="AD7046" s="1"/>
      <c r="AE7046" s="1"/>
      <c r="AF7046" s="1"/>
      <c r="AG7046" s="1"/>
      <c r="AH7046" s="1"/>
      <c r="AI7046" s="1"/>
      <c r="AJ7046" s="1"/>
      <c r="AK7046" s="1"/>
      <c r="AL7046" s="1"/>
      <c r="AM7046" s="1"/>
    </row>
    <row r="7047" spans="16:39" x14ac:dyDescent="0.25">
      <c r="P7047" s="49"/>
      <c r="Q7047" s="1"/>
      <c r="S7047" s="1"/>
      <c r="T7047" s="1"/>
      <c r="U7047" s="1"/>
      <c r="V7047" s="1"/>
      <c r="W7047" s="1"/>
      <c r="X7047" s="1"/>
      <c r="Y7047" s="1"/>
      <c r="AB7047" s="1"/>
      <c r="AC7047" s="1"/>
      <c r="AD7047" s="1"/>
      <c r="AE7047" s="1"/>
      <c r="AF7047" s="1"/>
      <c r="AG7047" s="1"/>
      <c r="AH7047" s="1"/>
      <c r="AI7047" s="1"/>
      <c r="AJ7047" s="1"/>
      <c r="AK7047" s="1"/>
      <c r="AL7047" s="1"/>
      <c r="AM7047" s="1"/>
    </row>
    <row r="7048" spans="16:39" x14ac:dyDescent="0.25">
      <c r="P7048" s="49"/>
      <c r="Q7048" s="1"/>
      <c r="S7048" s="1"/>
      <c r="T7048" s="1"/>
      <c r="U7048" s="1"/>
      <c r="V7048" s="1"/>
      <c r="W7048" s="1"/>
      <c r="X7048" s="1"/>
      <c r="Y7048" s="1"/>
      <c r="AB7048" s="1"/>
      <c r="AC7048" s="1"/>
      <c r="AD7048" s="1"/>
      <c r="AE7048" s="1"/>
      <c r="AF7048" s="1"/>
      <c r="AG7048" s="1"/>
      <c r="AH7048" s="1"/>
      <c r="AI7048" s="1"/>
      <c r="AJ7048" s="1"/>
      <c r="AK7048" s="1"/>
      <c r="AL7048" s="1"/>
      <c r="AM7048" s="1"/>
    </row>
    <row r="7049" spans="16:39" x14ac:dyDescent="0.25">
      <c r="P7049" s="49"/>
      <c r="Q7049" s="1"/>
      <c r="S7049" s="1"/>
      <c r="T7049" s="1"/>
      <c r="U7049" s="1"/>
      <c r="V7049" s="1"/>
      <c r="W7049" s="1"/>
      <c r="X7049" s="1"/>
      <c r="Y7049" s="1"/>
      <c r="AB7049" s="1"/>
      <c r="AC7049" s="1"/>
      <c r="AD7049" s="1"/>
      <c r="AE7049" s="1"/>
      <c r="AF7049" s="1"/>
      <c r="AG7049" s="1"/>
      <c r="AH7049" s="1"/>
      <c r="AI7049" s="1"/>
      <c r="AJ7049" s="1"/>
      <c r="AK7049" s="1"/>
      <c r="AL7049" s="1"/>
      <c r="AM7049" s="1"/>
    </row>
    <row r="7050" spans="16:39" x14ac:dyDescent="0.25">
      <c r="P7050" s="49"/>
      <c r="Q7050" s="1"/>
      <c r="S7050" s="1"/>
      <c r="T7050" s="1"/>
      <c r="U7050" s="1"/>
      <c r="V7050" s="1"/>
      <c r="W7050" s="1"/>
      <c r="X7050" s="1"/>
      <c r="Y7050" s="1"/>
      <c r="AB7050" s="1"/>
      <c r="AC7050" s="1"/>
      <c r="AD7050" s="1"/>
      <c r="AE7050" s="1"/>
      <c r="AF7050" s="1"/>
      <c r="AG7050" s="1"/>
      <c r="AH7050" s="1"/>
      <c r="AI7050" s="1"/>
      <c r="AJ7050" s="1"/>
      <c r="AK7050" s="1"/>
      <c r="AL7050" s="1"/>
      <c r="AM7050" s="1"/>
    </row>
    <row r="7051" spans="16:39" x14ac:dyDescent="0.25">
      <c r="P7051" s="49"/>
      <c r="Q7051" s="1"/>
      <c r="S7051" s="1"/>
      <c r="T7051" s="1"/>
      <c r="U7051" s="1"/>
      <c r="V7051" s="1"/>
      <c r="W7051" s="1"/>
      <c r="X7051" s="1"/>
      <c r="Y7051" s="1"/>
      <c r="AB7051" s="1"/>
      <c r="AC7051" s="1"/>
      <c r="AD7051" s="1"/>
      <c r="AE7051" s="1"/>
      <c r="AF7051" s="1"/>
      <c r="AG7051" s="1"/>
      <c r="AH7051" s="1"/>
      <c r="AI7051" s="1"/>
      <c r="AJ7051" s="1"/>
      <c r="AK7051" s="1"/>
      <c r="AL7051" s="1"/>
      <c r="AM7051" s="1"/>
    </row>
    <row r="7052" spans="16:39" x14ac:dyDescent="0.25">
      <c r="P7052" s="49"/>
      <c r="Q7052" s="1"/>
      <c r="S7052" s="1"/>
      <c r="T7052" s="1"/>
      <c r="U7052" s="1"/>
      <c r="V7052" s="1"/>
      <c r="W7052" s="1"/>
      <c r="X7052" s="1"/>
      <c r="Y7052" s="1"/>
      <c r="AB7052" s="1"/>
      <c r="AC7052" s="1"/>
      <c r="AD7052" s="1"/>
      <c r="AE7052" s="1"/>
      <c r="AF7052" s="1"/>
      <c r="AG7052" s="1"/>
      <c r="AH7052" s="1"/>
      <c r="AI7052" s="1"/>
      <c r="AJ7052" s="1"/>
      <c r="AK7052" s="1"/>
      <c r="AL7052" s="1"/>
      <c r="AM7052" s="1"/>
    </row>
    <row r="7053" spans="16:39" x14ac:dyDescent="0.25">
      <c r="P7053" s="49"/>
      <c r="Q7053" s="1"/>
      <c r="S7053" s="1"/>
      <c r="T7053" s="1"/>
      <c r="U7053" s="1"/>
      <c r="V7053" s="1"/>
      <c r="W7053" s="1"/>
      <c r="X7053" s="1"/>
      <c r="Y7053" s="1"/>
      <c r="AB7053" s="1"/>
      <c r="AC7053" s="1"/>
      <c r="AD7053" s="1"/>
      <c r="AE7053" s="1"/>
      <c r="AF7053" s="1"/>
      <c r="AG7053" s="1"/>
      <c r="AH7053" s="1"/>
      <c r="AI7053" s="1"/>
      <c r="AJ7053" s="1"/>
      <c r="AK7053" s="1"/>
      <c r="AL7053" s="1"/>
      <c r="AM7053" s="1"/>
    </row>
    <row r="7054" spans="16:39" x14ac:dyDescent="0.25">
      <c r="P7054" s="49"/>
      <c r="Q7054" s="1"/>
      <c r="S7054" s="1"/>
      <c r="T7054" s="1"/>
      <c r="U7054" s="1"/>
      <c r="V7054" s="1"/>
      <c r="W7054" s="1"/>
      <c r="X7054" s="1"/>
      <c r="Y7054" s="1"/>
      <c r="AB7054" s="1"/>
      <c r="AC7054" s="1"/>
      <c r="AD7054" s="1"/>
      <c r="AE7054" s="1"/>
      <c r="AF7054" s="1"/>
      <c r="AG7054" s="1"/>
      <c r="AH7054" s="1"/>
      <c r="AI7054" s="1"/>
      <c r="AJ7054" s="1"/>
      <c r="AK7054" s="1"/>
      <c r="AL7054" s="1"/>
      <c r="AM7054" s="1"/>
    </row>
    <row r="7055" spans="16:39" x14ac:dyDescent="0.25">
      <c r="P7055" s="49"/>
      <c r="Q7055" s="1"/>
      <c r="S7055" s="1"/>
      <c r="T7055" s="1"/>
      <c r="U7055" s="1"/>
      <c r="V7055" s="1"/>
      <c r="W7055" s="1"/>
      <c r="X7055" s="1"/>
      <c r="Y7055" s="1"/>
      <c r="AB7055" s="1"/>
      <c r="AC7055" s="1"/>
      <c r="AD7055" s="1"/>
      <c r="AE7055" s="1"/>
      <c r="AF7055" s="1"/>
      <c r="AG7055" s="1"/>
      <c r="AH7055" s="1"/>
      <c r="AI7055" s="1"/>
      <c r="AJ7055" s="1"/>
      <c r="AK7055" s="1"/>
      <c r="AL7055" s="1"/>
      <c r="AM7055" s="1"/>
    </row>
    <row r="7056" spans="16:39" x14ac:dyDescent="0.25">
      <c r="P7056" s="49"/>
      <c r="Q7056" s="1"/>
      <c r="S7056" s="1"/>
      <c r="T7056" s="1"/>
      <c r="U7056" s="1"/>
      <c r="V7056" s="1"/>
      <c r="W7056" s="1"/>
      <c r="X7056" s="1"/>
      <c r="Y7056" s="1"/>
      <c r="AB7056" s="1"/>
      <c r="AC7056" s="1"/>
      <c r="AD7056" s="1"/>
      <c r="AE7056" s="1"/>
      <c r="AF7056" s="1"/>
      <c r="AG7056" s="1"/>
      <c r="AH7056" s="1"/>
      <c r="AI7056" s="1"/>
      <c r="AJ7056" s="1"/>
      <c r="AK7056" s="1"/>
      <c r="AL7056" s="1"/>
      <c r="AM7056" s="1"/>
    </row>
    <row r="7057" spans="16:39" x14ac:dyDescent="0.25">
      <c r="P7057" s="49"/>
      <c r="Q7057" s="1"/>
      <c r="S7057" s="1"/>
      <c r="T7057" s="1"/>
      <c r="U7057" s="1"/>
      <c r="V7057" s="1"/>
      <c r="W7057" s="1"/>
      <c r="X7057" s="1"/>
      <c r="Y7057" s="1"/>
      <c r="AB7057" s="1"/>
      <c r="AC7057" s="1"/>
      <c r="AD7057" s="1"/>
      <c r="AE7057" s="1"/>
      <c r="AF7057" s="1"/>
      <c r="AG7057" s="1"/>
      <c r="AH7057" s="1"/>
      <c r="AI7057" s="1"/>
      <c r="AJ7057" s="1"/>
      <c r="AK7057" s="1"/>
      <c r="AL7057" s="1"/>
      <c r="AM7057" s="1"/>
    </row>
    <row r="7058" spans="16:39" x14ac:dyDescent="0.25">
      <c r="P7058" s="49"/>
      <c r="Q7058" s="1"/>
      <c r="S7058" s="1"/>
      <c r="T7058" s="1"/>
      <c r="U7058" s="1"/>
      <c r="V7058" s="1"/>
      <c r="W7058" s="1"/>
      <c r="X7058" s="1"/>
      <c r="Y7058" s="1"/>
      <c r="AB7058" s="1"/>
      <c r="AC7058" s="1"/>
      <c r="AD7058" s="1"/>
      <c r="AE7058" s="1"/>
      <c r="AF7058" s="1"/>
      <c r="AG7058" s="1"/>
      <c r="AH7058" s="1"/>
      <c r="AI7058" s="1"/>
      <c r="AJ7058" s="1"/>
      <c r="AK7058" s="1"/>
      <c r="AL7058" s="1"/>
      <c r="AM7058" s="1"/>
    </row>
    <row r="7059" spans="16:39" x14ac:dyDescent="0.25">
      <c r="P7059" s="49"/>
      <c r="Q7059" s="1"/>
      <c r="S7059" s="1"/>
      <c r="T7059" s="1"/>
      <c r="U7059" s="1"/>
      <c r="V7059" s="1"/>
      <c r="W7059" s="1"/>
      <c r="X7059" s="1"/>
      <c r="Y7059" s="1"/>
      <c r="AB7059" s="1"/>
      <c r="AC7059" s="1"/>
      <c r="AD7059" s="1"/>
      <c r="AE7059" s="1"/>
      <c r="AF7059" s="1"/>
      <c r="AG7059" s="1"/>
      <c r="AH7059" s="1"/>
      <c r="AI7059" s="1"/>
      <c r="AJ7059" s="1"/>
      <c r="AK7059" s="1"/>
      <c r="AL7059" s="1"/>
      <c r="AM7059" s="1"/>
    </row>
    <row r="7060" spans="16:39" x14ac:dyDescent="0.25">
      <c r="P7060" s="49"/>
      <c r="Q7060" s="1"/>
      <c r="S7060" s="1"/>
      <c r="T7060" s="1"/>
      <c r="U7060" s="1"/>
      <c r="V7060" s="1"/>
      <c r="W7060" s="1"/>
      <c r="X7060" s="1"/>
      <c r="Y7060" s="1"/>
      <c r="AB7060" s="1"/>
      <c r="AC7060" s="1"/>
      <c r="AD7060" s="1"/>
      <c r="AE7060" s="1"/>
      <c r="AF7060" s="1"/>
      <c r="AG7060" s="1"/>
      <c r="AH7060" s="1"/>
      <c r="AI7060" s="1"/>
      <c r="AJ7060" s="1"/>
      <c r="AK7060" s="1"/>
      <c r="AL7060" s="1"/>
      <c r="AM7060" s="1"/>
    </row>
    <row r="7061" spans="16:39" x14ac:dyDescent="0.25">
      <c r="P7061" s="49"/>
      <c r="Q7061" s="1"/>
      <c r="S7061" s="1"/>
      <c r="T7061" s="1"/>
      <c r="U7061" s="1"/>
      <c r="V7061" s="1"/>
      <c r="W7061" s="1"/>
      <c r="X7061" s="1"/>
      <c r="Y7061" s="1"/>
      <c r="AB7061" s="1"/>
      <c r="AC7061" s="1"/>
      <c r="AD7061" s="1"/>
      <c r="AE7061" s="1"/>
      <c r="AF7061" s="1"/>
      <c r="AG7061" s="1"/>
      <c r="AH7061" s="1"/>
      <c r="AI7061" s="1"/>
      <c r="AJ7061" s="1"/>
      <c r="AK7061" s="1"/>
      <c r="AL7061" s="1"/>
      <c r="AM7061" s="1"/>
    </row>
    <row r="7062" spans="16:39" x14ac:dyDescent="0.25">
      <c r="P7062" s="49"/>
      <c r="Q7062" s="1"/>
      <c r="S7062" s="1"/>
      <c r="T7062" s="1"/>
      <c r="U7062" s="1"/>
      <c r="V7062" s="1"/>
      <c r="W7062" s="1"/>
      <c r="X7062" s="1"/>
      <c r="Y7062" s="1"/>
      <c r="AB7062" s="1"/>
      <c r="AC7062" s="1"/>
      <c r="AD7062" s="1"/>
      <c r="AE7062" s="1"/>
      <c r="AF7062" s="1"/>
      <c r="AG7062" s="1"/>
      <c r="AH7062" s="1"/>
      <c r="AI7062" s="1"/>
      <c r="AJ7062" s="1"/>
      <c r="AK7062" s="1"/>
      <c r="AL7062" s="1"/>
      <c r="AM7062" s="1"/>
    </row>
    <row r="7063" spans="16:39" x14ac:dyDescent="0.25">
      <c r="P7063" s="49"/>
      <c r="Q7063" s="1"/>
      <c r="S7063" s="1"/>
      <c r="T7063" s="1"/>
      <c r="U7063" s="1"/>
      <c r="V7063" s="1"/>
      <c r="W7063" s="1"/>
      <c r="X7063" s="1"/>
      <c r="Y7063" s="1"/>
      <c r="AB7063" s="1"/>
      <c r="AC7063" s="1"/>
      <c r="AD7063" s="1"/>
      <c r="AE7063" s="1"/>
      <c r="AF7063" s="1"/>
      <c r="AG7063" s="1"/>
      <c r="AH7063" s="1"/>
      <c r="AI7063" s="1"/>
      <c r="AJ7063" s="1"/>
      <c r="AK7063" s="1"/>
      <c r="AL7063" s="1"/>
      <c r="AM7063" s="1"/>
    </row>
    <row r="7064" spans="16:39" x14ac:dyDescent="0.25">
      <c r="P7064" s="49"/>
      <c r="Q7064" s="1"/>
      <c r="S7064" s="1"/>
      <c r="T7064" s="1"/>
      <c r="U7064" s="1"/>
      <c r="V7064" s="1"/>
      <c r="W7064" s="1"/>
      <c r="X7064" s="1"/>
      <c r="Y7064" s="1"/>
      <c r="AB7064" s="1"/>
      <c r="AC7064" s="1"/>
      <c r="AD7064" s="1"/>
      <c r="AE7064" s="1"/>
      <c r="AF7064" s="1"/>
      <c r="AG7064" s="1"/>
      <c r="AH7064" s="1"/>
      <c r="AI7064" s="1"/>
      <c r="AJ7064" s="1"/>
      <c r="AK7064" s="1"/>
      <c r="AL7064" s="1"/>
      <c r="AM7064" s="1"/>
    </row>
    <row r="7065" spans="16:39" x14ac:dyDescent="0.25">
      <c r="P7065" s="49"/>
      <c r="Q7065" s="1"/>
      <c r="S7065" s="1"/>
      <c r="T7065" s="1"/>
      <c r="U7065" s="1"/>
      <c r="V7065" s="1"/>
      <c r="W7065" s="1"/>
      <c r="X7065" s="1"/>
      <c r="Y7065" s="1"/>
      <c r="AB7065" s="1"/>
      <c r="AC7065" s="1"/>
      <c r="AD7065" s="1"/>
      <c r="AE7065" s="1"/>
      <c r="AF7065" s="1"/>
      <c r="AG7065" s="1"/>
      <c r="AH7065" s="1"/>
      <c r="AI7065" s="1"/>
      <c r="AJ7065" s="1"/>
      <c r="AK7065" s="1"/>
      <c r="AL7065" s="1"/>
      <c r="AM7065" s="1"/>
    </row>
    <row r="7066" spans="16:39" x14ac:dyDescent="0.25">
      <c r="P7066" s="49"/>
      <c r="Q7066" s="1"/>
      <c r="S7066" s="1"/>
      <c r="T7066" s="1"/>
      <c r="U7066" s="1"/>
      <c r="V7066" s="1"/>
      <c r="W7066" s="1"/>
      <c r="X7066" s="1"/>
      <c r="Y7066" s="1"/>
      <c r="AB7066" s="1"/>
      <c r="AC7066" s="1"/>
      <c r="AD7066" s="1"/>
      <c r="AE7066" s="1"/>
      <c r="AF7066" s="1"/>
      <c r="AG7066" s="1"/>
      <c r="AH7066" s="1"/>
      <c r="AI7066" s="1"/>
      <c r="AJ7066" s="1"/>
      <c r="AK7066" s="1"/>
      <c r="AL7066" s="1"/>
      <c r="AM7066" s="1"/>
    </row>
    <row r="7067" spans="16:39" x14ac:dyDescent="0.25">
      <c r="P7067" s="49"/>
      <c r="Q7067" s="1"/>
      <c r="S7067" s="1"/>
      <c r="T7067" s="1"/>
      <c r="U7067" s="1"/>
      <c r="V7067" s="1"/>
      <c r="W7067" s="1"/>
      <c r="X7067" s="1"/>
      <c r="Y7067" s="1"/>
      <c r="AB7067" s="1"/>
      <c r="AC7067" s="1"/>
      <c r="AD7067" s="1"/>
      <c r="AE7067" s="1"/>
      <c r="AF7067" s="1"/>
      <c r="AG7067" s="1"/>
      <c r="AH7067" s="1"/>
      <c r="AI7067" s="1"/>
      <c r="AJ7067" s="1"/>
      <c r="AK7067" s="1"/>
      <c r="AL7067" s="1"/>
      <c r="AM7067" s="1"/>
    </row>
    <row r="7068" spans="16:39" x14ac:dyDescent="0.25">
      <c r="P7068" s="49"/>
      <c r="Q7068" s="1"/>
      <c r="S7068" s="1"/>
      <c r="T7068" s="1"/>
      <c r="U7068" s="1"/>
      <c r="V7068" s="1"/>
      <c r="W7068" s="1"/>
      <c r="X7068" s="1"/>
      <c r="Y7068" s="1"/>
      <c r="AB7068" s="1"/>
      <c r="AC7068" s="1"/>
      <c r="AD7068" s="1"/>
      <c r="AE7068" s="1"/>
      <c r="AF7068" s="1"/>
      <c r="AG7068" s="1"/>
      <c r="AH7068" s="1"/>
      <c r="AI7068" s="1"/>
      <c r="AJ7068" s="1"/>
      <c r="AK7068" s="1"/>
      <c r="AL7068" s="1"/>
      <c r="AM7068" s="1"/>
    </row>
    <row r="7069" spans="16:39" x14ac:dyDescent="0.25">
      <c r="P7069" s="49"/>
      <c r="Q7069" s="1"/>
      <c r="S7069" s="1"/>
      <c r="T7069" s="1"/>
      <c r="U7069" s="1"/>
      <c r="V7069" s="1"/>
      <c r="W7069" s="1"/>
      <c r="X7069" s="1"/>
      <c r="Y7069" s="1"/>
      <c r="AB7069" s="1"/>
      <c r="AC7069" s="1"/>
      <c r="AD7069" s="1"/>
      <c r="AE7069" s="1"/>
      <c r="AF7069" s="1"/>
      <c r="AG7069" s="1"/>
      <c r="AH7069" s="1"/>
      <c r="AI7069" s="1"/>
      <c r="AJ7069" s="1"/>
      <c r="AK7069" s="1"/>
      <c r="AL7069" s="1"/>
      <c r="AM7069" s="1"/>
    </row>
    <row r="7070" spans="16:39" x14ac:dyDescent="0.25">
      <c r="P7070" s="49"/>
      <c r="Q7070" s="1"/>
      <c r="S7070" s="1"/>
      <c r="T7070" s="1"/>
      <c r="U7070" s="1"/>
      <c r="V7070" s="1"/>
      <c r="W7070" s="1"/>
      <c r="X7070" s="1"/>
      <c r="Y7070" s="1"/>
      <c r="AB7070" s="1"/>
      <c r="AC7070" s="1"/>
      <c r="AD7070" s="1"/>
      <c r="AE7070" s="1"/>
      <c r="AF7070" s="1"/>
      <c r="AG7070" s="1"/>
      <c r="AH7070" s="1"/>
      <c r="AI7070" s="1"/>
      <c r="AJ7070" s="1"/>
      <c r="AK7070" s="1"/>
      <c r="AL7070" s="1"/>
      <c r="AM7070" s="1"/>
    </row>
    <row r="7071" spans="16:39" x14ac:dyDescent="0.25">
      <c r="P7071" s="49"/>
      <c r="Q7071" s="1"/>
      <c r="S7071" s="1"/>
      <c r="T7071" s="1"/>
      <c r="U7071" s="1"/>
      <c r="V7071" s="1"/>
      <c r="W7071" s="1"/>
      <c r="X7071" s="1"/>
      <c r="Y7071" s="1"/>
      <c r="AB7071" s="1"/>
      <c r="AC7071" s="1"/>
      <c r="AD7071" s="1"/>
      <c r="AE7071" s="1"/>
      <c r="AF7071" s="1"/>
      <c r="AG7071" s="1"/>
      <c r="AH7071" s="1"/>
      <c r="AI7071" s="1"/>
      <c r="AJ7071" s="1"/>
      <c r="AK7071" s="1"/>
      <c r="AL7071" s="1"/>
      <c r="AM7071" s="1"/>
    </row>
    <row r="7072" spans="16:39" x14ac:dyDescent="0.25">
      <c r="P7072" s="49"/>
      <c r="Q7072" s="1"/>
      <c r="S7072" s="1"/>
      <c r="T7072" s="1"/>
      <c r="U7072" s="1"/>
      <c r="V7072" s="1"/>
      <c r="W7072" s="1"/>
      <c r="X7072" s="1"/>
      <c r="Y7072" s="1"/>
      <c r="AB7072" s="1"/>
      <c r="AC7072" s="1"/>
      <c r="AD7072" s="1"/>
      <c r="AE7072" s="1"/>
      <c r="AF7072" s="1"/>
      <c r="AG7072" s="1"/>
      <c r="AH7072" s="1"/>
      <c r="AI7072" s="1"/>
      <c r="AJ7072" s="1"/>
      <c r="AK7072" s="1"/>
      <c r="AL7072" s="1"/>
      <c r="AM7072" s="1"/>
    </row>
    <row r="7073" spans="16:39" x14ac:dyDescent="0.25">
      <c r="P7073" s="49"/>
      <c r="Q7073" s="1"/>
      <c r="S7073" s="1"/>
      <c r="T7073" s="1"/>
      <c r="U7073" s="1"/>
      <c r="V7073" s="1"/>
      <c r="W7073" s="1"/>
      <c r="X7073" s="1"/>
      <c r="Y7073" s="1"/>
      <c r="AB7073" s="1"/>
      <c r="AC7073" s="1"/>
      <c r="AD7073" s="1"/>
      <c r="AE7073" s="1"/>
      <c r="AF7073" s="1"/>
      <c r="AG7073" s="1"/>
      <c r="AH7073" s="1"/>
      <c r="AI7073" s="1"/>
      <c r="AJ7073" s="1"/>
      <c r="AK7073" s="1"/>
      <c r="AL7073" s="1"/>
      <c r="AM7073" s="1"/>
    </row>
    <row r="7074" spans="16:39" x14ac:dyDescent="0.25">
      <c r="P7074" s="49"/>
      <c r="Q7074" s="1"/>
      <c r="S7074" s="1"/>
      <c r="T7074" s="1"/>
      <c r="U7074" s="1"/>
      <c r="V7074" s="1"/>
      <c r="W7074" s="1"/>
      <c r="X7074" s="1"/>
      <c r="Y7074" s="1"/>
      <c r="AB7074" s="1"/>
      <c r="AC7074" s="1"/>
      <c r="AD7074" s="1"/>
      <c r="AE7074" s="1"/>
      <c r="AF7074" s="1"/>
      <c r="AG7074" s="1"/>
      <c r="AH7074" s="1"/>
      <c r="AI7074" s="1"/>
      <c r="AJ7074" s="1"/>
      <c r="AK7074" s="1"/>
      <c r="AL7074" s="1"/>
      <c r="AM7074" s="1"/>
    </row>
    <row r="7075" spans="16:39" x14ac:dyDescent="0.25">
      <c r="P7075" s="49"/>
      <c r="Q7075" s="1"/>
      <c r="S7075" s="1"/>
      <c r="T7075" s="1"/>
      <c r="U7075" s="1"/>
      <c r="V7075" s="1"/>
      <c r="W7075" s="1"/>
      <c r="X7075" s="1"/>
      <c r="Y7075" s="1"/>
      <c r="AB7075" s="1"/>
      <c r="AC7075" s="1"/>
      <c r="AD7075" s="1"/>
      <c r="AE7075" s="1"/>
      <c r="AF7075" s="1"/>
      <c r="AG7075" s="1"/>
      <c r="AH7075" s="1"/>
      <c r="AI7075" s="1"/>
      <c r="AJ7075" s="1"/>
      <c r="AK7075" s="1"/>
      <c r="AL7075" s="1"/>
      <c r="AM7075" s="1"/>
    </row>
    <row r="7076" spans="16:39" x14ac:dyDescent="0.25">
      <c r="P7076" s="49"/>
      <c r="Q7076" s="1"/>
      <c r="S7076" s="1"/>
      <c r="T7076" s="1"/>
      <c r="U7076" s="1"/>
      <c r="V7076" s="1"/>
      <c r="W7076" s="1"/>
      <c r="X7076" s="1"/>
      <c r="Y7076" s="1"/>
      <c r="AB7076" s="1"/>
      <c r="AC7076" s="1"/>
      <c r="AD7076" s="1"/>
      <c r="AE7076" s="1"/>
      <c r="AF7076" s="1"/>
      <c r="AG7076" s="1"/>
      <c r="AH7076" s="1"/>
      <c r="AI7076" s="1"/>
      <c r="AJ7076" s="1"/>
      <c r="AK7076" s="1"/>
      <c r="AL7076" s="1"/>
      <c r="AM7076" s="1"/>
    </row>
    <row r="7077" spans="16:39" x14ac:dyDescent="0.25">
      <c r="P7077" s="49"/>
      <c r="Q7077" s="1"/>
      <c r="S7077" s="1"/>
      <c r="T7077" s="1"/>
      <c r="U7077" s="1"/>
      <c r="V7077" s="1"/>
      <c r="W7077" s="1"/>
      <c r="X7077" s="1"/>
      <c r="Y7077" s="1"/>
      <c r="AB7077" s="1"/>
      <c r="AC7077" s="1"/>
      <c r="AD7077" s="1"/>
      <c r="AE7077" s="1"/>
      <c r="AF7077" s="1"/>
      <c r="AG7077" s="1"/>
      <c r="AH7077" s="1"/>
      <c r="AI7077" s="1"/>
      <c r="AJ7077" s="1"/>
      <c r="AK7077" s="1"/>
      <c r="AL7077" s="1"/>
      <c r="AM7077" s="1"/>
    </row>
    <row r="7078" spans="16:39" x14ac:dyDescent="0.25">
      <c r="P7078" s="49"/>
      <c r="Q7078" s="1"/>
      <c r="S7078" s="1"/>
      <c r="T7078" s="1"/>
      <c r="U7078" s="1"/>
      <c r="V7078" s="1"/>
      <c r="W7078" s="1"/>
      <c r="X7078" s="1"/>
      <c r="Y7078" s="1"/>
      <c r="AB7078" s="1"/>
      <c r="AC7078" s="1"/>
      <c r="AD7078" s="1"/>
      <c r="AE7078" s="1"/>
      <c r="AF7078" s="1"/>
      <c r="AG7078" s="1"/>
      <c r="AH7078" s="1"/>
      <c r="AI7078" s="1"/>
      <c r="AJ7078" s="1"/>
      <c r="AK7078" s="1"/>
      <c r="AL7078" s="1"/>
      <c r="AM7078" s="1"/>
    </row>
    <row r="7079" spans="16:39" x14ac:dyDescent="0.25">
      <c r="P7079" s="49"/>
      <c r="Q7079" s="1"/>
      <c r="S7079" s="1"/>
      <c r="T7079" s="1"/>
      <c r="U7079" s="1"/>
      <c r="V7079" s="1"/>
      <c r="W7079" s="1"/>
      <c r="X7079" s="1"/>
      <c r="Y7079" s="1"/>
      <c r="AB7079" s="1"/>
      <c r="AC7079" s="1"/>
      <c r="AD7079" s="1"/>
      <c r="AE7079" s="1"/>
      <c r="AF7079" s="1"/>
      <c r="AG7079" s="1"/>
      <c r="AH7079" s="1"/>
      <c r="AI7079" s="1"/>
      <c r="AJ7079" s="1"/>
      <c r="AK7079" s="1"/>
      <c r="AL7079" s="1"/>
      <c r="AM7079" s="1"/>
    </row>
    <row r="7080" spans="16:39" x14ac:dyDescent="0.25">
      <c r="P7080" s="49"/>
      <c r="Q7080" s="1"/>
      <c r="S7080" s="1"/>
      <c r="T7080" s="1"/>
      <c r="U7080" s="1"/>
      <c r="V7080" s="1"/>
      <c r="W7080" s="1"/>
      <c r="X7080" s="1"/>
      <c r="Y7080" s="1"/>
      <c r="AB7080" s="1"/>
      <c r="AC7080" s="1"/>
      <c r="AD7080" s="1"/>
      <c r="AE7080" s="1"/>
      <c r="AF7080" s="1"/>
      <c r="AG7080" s="1"/>
      <c r="AH7080" s="1"/>
      <c r="AI7080" s="1"/>
      <c r="AJ7080" s="1"/>
      <c r="AK7080" s="1"/>
      <c r="AL7080" s="1"/>
      <c r="AM7080" s="1"/>
    </row>
    <row r="7081" spans="16:39" x14ac:dyDescent="0.25">
      <c r="P7081" s="49"/>
      <c r="Q7081" s="1"/>
      <c r="S7081" s="1"/>
      <c r="T7081" s="1"/>
      <c r="U7081" s="1"/>
      <c r="V7081" s="1"/>
      <c r="W7081" s="1"/>
      <c r="X7081" s="1"/>
      <c r="Y7081" s="1"/>
      <c r="AB7081" s="1"/>
      <c r="AC7081" s="1"/>
      <c r="AD7081" s="1"/>
      <c r="AE7081" s="1"/>
      <c r="AF7081" s="1"/>
      <c r="AG7081" s="1"/>
      <c r="AH7081" s="1"/>
      <c r="AI7081" s="1"/>
      <c r="AJ7081" s="1"/>
      <c r="AK7081" s="1"/>
      <c r="AL7081" s="1"/>
      <c r="AM7081" s="1"/>
    </row>
    <row r="7082" spans="16:39" x14ac:dyDescent="0.25">
      <c r="P7082" s="49"/>
      <c r="Q7082" s="1"/>
      <c r="S7082" s="1"/>
      <c r="T7082" s="1"/>
      <c r="U7082" s="1"/>
      <c r="V7082" s="1"/>
      <c r="W7082" s="1"/>
      <c r="X7082" s="1"/>
      <c r="Y7082" s="1"/>
      <c r="AB7082" s="1"/>
      <c r="AC7082" s="1"/>
      <c r="AD7082" s="1"/>
      <c r="AE7082" s="1"/>
      <c r="AF7082" s="1"/>
      <c r="AG7082" s="1"/>
      <c r="AH7082" s="1"/>
      <c r="AI7082" s="1"/>
      <c r="AJ7082" s="1"/>
      <c r="AK7082" s="1"/>
      <c r="AL7082" s="1"/>
      <c r="AM7082" s="1"/>
    </row>
    <row r="7083" spans="16:39" x14ac:dyDescent="0.25">
      <c r="P7083" s="49"/>
      <c r="Q7083" s="1"/>
      <c r="S7083" s="1"/>
      <c r="T7083" s="1"/>
      <c r="U7083" s="1"/>
      <c r="V7083" s="1"/>
      <c r="W7083" s="1"/>
      <c r="X7083" s="1"/>
      <c r="Y7083" s="1"/>
      <c r="AB7083" s="1"/>
      <c r="AC7083" s="1"/>
      <c r="AD7083" s="1"/>
      <c r="AE7083" s="1"/>
      <c r="AF7083" s="1"/>
      <c r="AG7083" s="1"/>
      <c r="AH7083" s="1"/>
      <c r="AI7083" s="1"/>
      <c r="AJ7083" s="1"/>
      <c r="AK7083" s="1"/>
      <c r="AL7083" s="1"/>
      <c r="AM7083" s="1"/>
    </row>
    <row r="7084" spans="16:39" x14ac:dyDescent="0.25">
      <c r="P7084" s="49"/>
      <c r="Q7084" s="1"/>
      <c r="S7084" s="1"/>
      <c r="T7084" s="1"/>
      <c r="U7084" s="1"/>
      <c r="V7084" s="1"/>
      <c r="W7084" s="1"/>
      <c r="X7084" s="1"/>
      <c r="Y7084" s="1"/>
      <c r="AB7084" s="1"/>
      <c r="AC7084" s="1"/>
      <c r="AD7084" s="1"/>
      <c r="AE7084" s="1"/>
      <c r="AF7084" s="1"/>
      <c r="AG7084" s="1"/>
      <c r="AH7084" s="1"/>
      <c r="AI7084" s="1"/>
      <c r="AJ7084" s="1"/>
      <c r="AK7084" s="1"/>
      <c r="AL7084" s="1"/>
      <c r="AM7084" s="1"/>
    </row>
    <row r="7085" spans="16:39" x14ac:dyDescent="0.25">
      <c r="P7085" s="49"/>
      <c r="Q7085" s="1"/>
      <c r="S7085" s="1"/>
      <c r="T7085" s="1"/>
      <c r="U7085" s="1"/>
      <c r="V7085" s="1"/>
      <c r="W7085" s="1"/>
      <c r="X7085" s="1"/>
      <c r="Y7085" s="1"/>
      <c r="AB7085" s="1"/>
      <c r="AC7085" s="1"/>
      <c r="AD7085" s="1"/>
      <c r="AE7085" s="1"/>
      <c r="AF7085" s="1"/>
      <c r="AG7085" s="1"/>
      <c r="AH7085" s="1"/>
      <c r="AI7085" s="1"/>
      <c r="AJ7085" s="1"/>
      <c r="AK7085" s="1"/>
      <c r="AL7085" s="1"/>
      <c r="AM7085" s="1"/>
    </row>
    <row r="7086" spans="16:39" x14ac:dyDescent="0.25">
      <c r="P7086" s="49"/>
      <c r="Q7086" s="1"/>
      <c r="S7086" s="1"/>
      <c r="T7086" s="1"/>
      <c r="U7086" s="1"/>
      <c r="V7086" s="1"/>
      <c r="W7086" s="1"/>
      <c r="X7086" s="1"/>
      <c r="Y7086" s="1"/>
      <c r="AB7086" s="1"/>
      <c r="AC7086" s="1"/>
      <c r="AD7086" s="1"/>
      <c r="AE7086" s="1"/>
      <c r="AF7086" s="1"/>
      <c r="AG7086" s="1"/>
      <c r="AH7086" s="1"/>
      <c r="AI7086" s="1"/>
      <c r="AJ7086" s="1"/>
      <c r="AK7086" s="1"/>
      <c r="AL7086" s="1"/>
      <c r="AM7086" s="1"/>
    </row>
    <row r="7087" spans="16:39" x14ac:dyDescent="0.25">
      <c r="P7087" s="49"/>
      <c r="Q7087" s="1"/>
      <c r="S7087" s="1"/>
      <c r="T7087" s="1"/>
      <c r="U7087" s="1"/>
      <c r="V7087" s="1"/>
      <c r="W7087" s="1"/>
      <c r="X7087" s="1"/>
      <c r="Y7087" s="1"/>
      <c r="AB7087" s="1"/>
      <c r="AC7087" s="1"/>
      <c r="AD7087" s="1"/>
      <c r="AE7087" s="1"/>
      <c r="AF7087" s="1"/>
      <c r="AG7087" s="1"/>
      <c r="AH7087" s="1"/>
      <c r="AI7087" s="1"/>
      <c r="AJ7087" s="1"/>
      <c r="AK7087" s="1"/>
      <c r="AL7087" s="1"/>
      <c r="AM7087" s="1"/>
    </row>
    <row r="7088" spans="16:39" x14ac:dyDescent="0.25">
      <c r="P7088" s="49"/>
      <c r="Q7088" s="1"/>
      <c r="S7088" s="1"/>
      <c r="T7088" s="1"/>
      <c r="U7088" s="1"/>
      <c r="V7088" s="1"/>
      <c r="W7088" s="1"/>
      <c r="X7088" s="1"/>
      <c r="Y7088" s="1"/>
      <c r="AB7088" s="1"/>
      <c r="AC7088" s="1"/>
      <c r="AD7088" s="1"/>
      <c r="AE7088" s="1"/>
      <c r="AF7088" s="1"/>
      <c r="AG7088" s="1"/>
      <c r="AH7088" s="1"/>
      <c r="AI7088" s="1"/>
      <c r="AJ7088" s="1"/>
      <c r="AK7088" s="1"/>
      <c r="AL7088" s="1"/>
      <c r="AM7088" s="1"/>
    </row>
    <row r="7089" spans="16:39" x14ac:dyDescent="0.25">
      <c r="P7089" s="49"/>
      <c r="Q7089" s="1"/>
      <c r="S7089" s="1"/>
      <c r="T7089" s="1"/>
      <c r="U7089" s="1"/>
      <c r="V7089" s="1"/>
      <c r="W7089" s="1"/>
      <c r="X7089" s="1"/>
      <c r="Y7089" s="1"/>
      <c r="AB7089" s="1"/>
      <c r="AC7089" s="1"/>
      <c r="AD7089" s="1"/>
      <c r="AE7089" s="1"/>
      <c r="AF7089" s="1"/>
      <c r="AG7089" s="1"/>
      <c r="AH7089" s="1"/>
      <c r="AI7089" s="1"/>
      <c r="AJ7089" s="1"/>
      <c r="AK7089" s="1"/>
      <c r="AL7089" s="1"/>
      <c r="AM7089" s="1"/>
    </row>
    <row r="7090" spans="16:39" x14ac:dyDescent="0.25">
      <c r="P7090" s="49"/>
      <c r="Q7090" s="1"/>
      <c r="S7090" s="1"/>
      <c r="T7090" s="1"/>
      <c r="U7090" s="1"/>
      <c r="V7090" s="1"/>
      <c r="W7090" s="1"/>
      <c r="X7090" s="1"/>
      <c r="Y7090" s="1"/>
      <c r="AB7090" s="1"/>
      <c r="AC7090" s="1"/>
      <c r="AD7090" s="1"/>
      <c r="AE7090" s="1"/>
      <c r="AF7090" s="1"/>
      <c r="AG7090" s="1"/>
      <c r="AH7090" s="1"/>
      <c r="AI7090" s="1"/>
      <c r="AJ7090" s="1"/>
      <c r="AK7090" s="1"/>
      <c r="AL7090" s="1"/>
      <c r="AM7090" s="1"/>
    </row>
    <row r="7091" spans="16:39" x14ac:dyDescent="0.25">
      <c r="P7091" s="49"/>
      <c r="Q7091" s="1"/>
      <c r="S7091" s="1"/>
      <c r="T7091" s="1"/>
      <c r="U7091" s="1"/>
      <c r="V7091" s="1"/>
      <c r="W7091" s="1"/>
      <c r="X7091" s="1"/>
      <c r="Y7091" s="1"/>
      <c r="AB7091" s="1"/>
      <c r="AC7091" s="1"/>
      <c r="AD7091" s="1"/>
      <c r="AE7091" s="1"/>
      <c r="AF7091" s="1"/>
      <c r="AG7091" s="1"/>
      <c r="AH7091" s="1"/>
      <c r="AI7091" s="1"/>
      <c r="AJ7091" s="1"/>
      <c r="AK7091" s="1"/>
      <c r="AL7091" s="1"/>
      <c r="AM7091" s="1"/>
    </row>
    <row r="7092" spans="16:39" x14ac:dyDescent="0.25">
      <c r="P7092" s="49"/>
      <c r="Q7092" s="1"/>
      <c r="S7092" s="1"/>
      <c r="T7092" s="1"/>
      <c r="U7092" s="1"/>
      <c r="V7092" s="1"/>
      <c r="W7092" s="1"/>
      <c r="X7092" s="1"/>
      <c r="Y7092" s="1"/>
      <c r="AB7092" s="1"/>
      <c r="AC7092" s="1"/>
      <c r="AD7092" s="1"/>
      <c r="AE7092" s="1"/>
      <c r="AF7092" s="1"/>
      <c r="AG7092" s="1"/>
      <c r="AH7092" s="1"/>
      <c r="AI7092" s="1"/>
      <c r="AJ7092" s="1"/>
      <c r="AK7092" s="1"/>
      <c r="AL7092" s="1"/>
      <c r="AM7092" s="1"/>
    </row>
    <row r="7093" spans="16:39" x14ac:dyDescent="0.25">
      <c r="P7093" s="49"/>
      <c r="Q7093" s="1"/>
      <c r="S7093" s="1"/>
      <c r="T7093" s="1"/>
      <c r="U7093" s="1"/>
      <c r="V7093" s="1"/>
      <c r="W7093" s="1"/>
      <c r="X7093" s="1"/>
      <c r="Y7093" s="1"/>
      <c r="AB7093" s="1"/>
      <c r="AC7093" s="1"/>
      <c r="AD7093" s="1"/>
      <c r="AE7093" s="1"/>
      <c r="AF7093" s="1"/>
      <c r="AG7093" s="1"/>
      <c r="AH7093" s="1"/>
      <c r="AI7093" s="1"/>
      <c r="AJ7093" s="1"/>
      <c r="AK7093" s="1"/>
      <c r="AL7093" s="1"/>
      <c r="AM7093" s="1"/>
    </row>
    <row r="7094" spans="16:39" x14ac:dyDescent="0.25">
      <c r="P7094" s="49"/>
      <c r="Q7094" s="1"/>
      <c r="S7094" s="1"/>
      <c r="T7094" s="1"/>
      <c r="U7094" s="1"/>
      <c r="V7094" s="1"/>
      <c r="W7094" s="1"/>
      <c r="X7094" s="1"/>
      <c r="Y7094" s="1"/>
      <c r="AB7094" s="1"/>
      <c r="AC7094" s="1"/>
      <c r="AD7094" s="1"/>
      <c r="AE7094" s="1"/>
      <c r="AF7094" s="1"/>
      <c r="AG7094" s="1"/>
      <c r="AH7094" s="1"/>
      <c r="AI7094" s="1"/>
      <c r="AJ7094" s="1"/>
      <c r="AK7094" s="1"/>
      <c r="AL7094" s="1"/>
      <c r="AM7094" s="1"/>
    </row>
    <row r="7095" spans="16:39" x14ac:dyDescent="0.25">
      <c r="P7095" s="49"/>
      <c r="Q7095" s="1"/>
      <c r="S7095" s="1"/>
      <c r="T7095" s="1"/>
      <c r="U7095" s="1"/>
      <c r="V7095" s="1"/>
      <c r="W7095" s="1"/>
      <c r="X7095" s="1"/>
      <c r="Y7095" s="1"/>
      <c r="AB7095" s="1"/>
      <c r="AC7095" s="1"/>
      <c r="AD7095" s="1"/>
      <c r="AE7095" s="1"/>
      <c r="AF7095" s="1"/>
      <c r="AG7095" s="1"/>
      <c r="AH7095" s="1"/>
      <c r="AI7095" s="1"/>
      <c r="AJ7095" s="1"/>
      <c r="AK7095" s="1"/>
      <c r="AL7095" s="1"/>
      <c r="AM7095" s="1"/>
    </row>
    <row r="7096" spans="16:39" x14ac:dyDescent="0.25">
      <c r="P7096" s="49"/>
      <c r="Q7096" s="1"/>
      <c r="S7096" s="1"/>
      <c r="T7096" s="1"/>
      <c r="U7096" s="1"/>
      <c r="V7096" s="1"/>
      <c r="W7096" s="1"/>
      <c r="X7096" s="1"/>
      <c r="Y7096" s="1"/>
      <c r="AB7096" s="1"/>
      <c r="AC7096" s="1"/>
      <c r="AD7096" s="1"/>
      <c r="AE7096" s="1"/>
      <c r="AF7096" s="1"/>
      <c r="AG7096" s="1"/>
      <c r="AH7096" s="1"/>
      <c r="AI7096" s="1"/>
      <c r="AJ7096" s="1"/>
      <c r="AK7096" s="1"/>
      <c r="AL7096" s="1"/>
      <c r="AM7096" s="1"/>
    </row>
    <row r="7097" spans="16:39" x14ac:dyDescent="0.25">
      <c r="P7097" s="49"/>
      <c r="Q7097" s="1"/>
      <c r="S7097" s="1"/>
      <c r="T7097" s="1"/>
      <c r="U7097" s="1"/>
      <c r="V7097" s="1"/>
      <c r="W7097" s="1"/>
      <c r="X7097" s="1"/>
      <c r="Y7097" s="1"/>
      <c r="AB7097" s="1"/>
      <c r="AC7097" s="1"/>
      <c r="AD7097" s="1"/>
      <c r="AE7097" s="1"/>
      <c r="AF7097" s="1"/>
      <c r="AG7097" s="1"/>
      <c r="AH7097" s="1"/>
      <c r="AI7097" s="1"/>
      <c r="AJ7097" s="1"/>
      <c r="AK7097" s="1"/>
      <c r="AL7097" s="1"/>
      <c r="AM7097" s="1"/>
    </row>
    <row r="7098" spans="16:39" x14ac:dyDescent="0.25">
      <c r="P7098" s="49"/>
      <c r="Q7098" s="1"/>
      <c r="S7098" s="1"/>
      <c r="T7098" s="1"/>
      <c r="U7098" s="1"/>
      <c r="V7098" s="1"/>
      <c r="W7098" s="1"/>
      <c r="X7098" s="1"/>
      <c r="Y7098" s="1"/>
      <c r="AB7098" s="1"/>
      <c r="AC7098" s="1"/>
      <c r="AD7098" s="1"/>
      <c r="AE7098" s="1"/>
      <c r="AF7098" s="1"/>
      <c r="AG7098" s="1"/>
      <c r="AH7098" s="1"/>
      <c r="AI7098" s="1"/>
      <c r="AJ7098" s="1"/>
      <c r="AK7098" s="1"/>
      <c r="AL7098" s="1"/>
      <c r="AM7098" s="1"/>
    </row>
    <row r="7099" spans="16:39" x14ac:dyDescent="0.25">
      <c r="P7099" s="49"/>
      <c r="Q7099" s="1"/>
      <c r="S7099" s="1"/>
      <c r="T7099" s="1"/>
      <c r="U7099" s="1"/>
      <c r="V7099" s="1"/>
      <c r="W7099" s="1"/>
      <c r="X7099" s="1"/>
      <c r="Y7099" s="1"/>
      <c r="AB7099" s="1"/>
      <c r="AC7099" s="1"/>
      <c r="AD7099" s="1"/>
      <c r="AE7099" s="1"/>
      <c r="AF7099" s="1"/>
      <c r="AG7099" s="1"/>
      <c r="AH7099" s="1"/>
      <c r="AI7099" s="1"/>
      <c r="AJ7099" s="1"/>
      <c r="AK7099" s="1"/>
      <c r="AL7099" s="1"/>
      <c r="AM7099" s="1"/>
    </row>
    <row r="7100" spans="16:39" x14ac:dyDescent="0.25">
      <c r="P7100" s="49"/>
      <c r="Q7100" s="1"/>
      <c r="S7100" s="1"/>
      <c r="T7100" s="1"/>
      <c r="U7100" s="1"/>
      <c r="V7100" s="1"/>
      <c r="W7100" s="1"/>
      <c r="X7100" s="1"/>
      <c r="Y7100" s="1"/>
      <c r="AB7100" s="1"/>
      <c r="AC7100" s="1"/>
      <c r="AD7100" s="1"/>
      <c r="AE7100" s="1"/>
      <c r="AF7100" s="1"/>
      <c r="AG7100" s="1"/>
      <c r="AH7100" s="1"/>
      <c r="AI7100" s="1"/>
      <c r="AJ7100" s="1"/>
      <c r="AK7100" s="1"/>
      <c r="AL7100" s="1"/>
      <c r="AM7100" s="1"/>
    </row>
    <row r="7101" spans="16:39" x14ac:dyDescent="0.25">
      <c r="P7101" s="49"/>
      <c r="Q7101" s="1"/>
      <c r="S7101" s="1"/>
      <c r="T7101" s="1"/>
      <c r="U7101" s="1"/>
      <c r="V7101" s="1"/>
      <c r="W7101" s="1"/>
      <c r="X7101" s="1"/>
      <c r="Y7101" s="1"/>
      <c r="AB7101" s="1"/>
      <c r="AC7101" s="1"/>
      <c r="AD7101" s="1"/>
      <c r="AE7101" s="1"/>
      <c r="AF7101" s="1"/>
      <c r="AG7101" s="1"/>
      <c r="AH7101" s="1"/>
      <c r="AI7101" s="1"/>
      <c r="AJ7101" s="1"/>
      <c r="AK7101" s="1"/>
      <c r="AL7101" s="1"/>
      <c r="AM7101" s="1"/>
    </row>
    <row r="7102" spans="16:39" x14ac:dyDescent="0.25">
      <c r="P7102" s="49"/>
      <c r="Q7102" s="1"/>
      <c r="S7102" s="1"/>
      <c r="T7102" s="1"/>
      <c r="U7102" s="1"/>
      <c r="V7102" s="1"/>
      <c r="W7102" s="1"/>
      <c r="X7102" s="1"/>
      <c r="Y7102" s="1"/>
      <c r="AB7102" s="1"/>
      <c r="AC7102" s="1"/>
      <c r="AD7102" s="1"/>
      <c r="AE7102" s="1"/>
      <c r="AF7102" s="1"/>
      <c r="AG7102" s="1"/>
      <c r="AH7102" s="1"/>
      <c r="AI7102" s="1"/>
      <c r="AJ7102" s="1"/>
      <c r="AK7102" s="1"/>
      <c r="AL7102" s="1"/>
      <c r="AM7102" s="1"/>
    </row>
    <row r="7103" spans="16:39" x14ac:dyDescent="0.25">
      <c r="P7103" s="49"/>
      <c r="Q7103" s="1"/>
      <c r="S7103" s="1"/>
      <c r="T7103" s="1"/>
      <c r="U7103" s="1"/>
      <c r="V7103" s="1"/>
      <c r="W7103" s="1"/>
      <c r="X7103" s="1"/>
      <c r="Y7103" s="1"/>
      <c r="AB7103" s="1"/>
      <c r="AC7103" s="1"/>
      <c r="AD7103" s="1"/>
      <c r="AE7103" s="1"/>
      <c r="AF7103" s="1"/>
      <c r="AG7103" s="1"/>
      <c r="AH7103" s="1"/>
      <c r="AI7103" s="1"/>
      <c r="AJ7103" s="1"/>
      <c r="AK7103" s="1"/>
      <c r="AL7103" s="1"/>
      <c r="AM7103" s="1"/>
    </row>
    <row r="7104" spans="16:39" x14ac:dyDescent="0.25">
      <c r="P7104" s="49"/>
      <c r="Q7104" s="1"/>
      <c r="S7104" s="1"/>
      <c r="T7104" s="1"/>
      <c r="U7104" s="1"/>
      <c r="V7104" s="1"/>
      <c r="W7104" s="1"/>
      <c r="X7104" s="1"/>
      <c r="Y7104" s="1"/>
      <c r="AB7104" s="1"/>
      <c r="AC7104" s="1"/>
      <c r="AD7104" s="1"/>
      <c r="AE7104" s="1"/>
      <c r="AF7104" s="1"/>
      <c r="AG7104" s="1"/>
      <c r="AH7104" s="1"/>
      <c r="AI7104" s="1"/>
      <c r="AJ7104" s="1"/>
      <c r="AK7104" s="1"/>
      <c r="AL7104" s="1"/>
      <c r="AM7104" s="1"/>
    </row>
    <row r="7105" spans="16:39" x14ac:dyDescent="0.25">
      <c r="P7105" s="49"/>
      <c r="Q7105" s="1"/>
      <c r="S7105" s="1"/>
      <c r="T7105" s="1"/>
      <c r="U7105" s="1"/>
      <c r="V7105" s="1"/>
      <c r="W7105" s="1"/>
      <c r="X7105" s="1"/>
      <c r="Y7105" s="1"/>
      <c r="AB7105" s="1"/>
      <c r="AC7105" s="1"/>
      <c r="AD7105" s="1"/>
      <c r="AE7105" s="1"/>
      <c r="AF7105" s="1"/>
      <c r="AG7105" s="1"/>
      <c r="AH7105" s="1"/>
      <c r="AI7105" s="1"/>
      <c r="AJ7105" s="1"/>
      <c r="AK7105" s="1"/>
      <c r="AL7105" s="1"/>
      <c r="AM7105" s="1"/>
    </row>
    <row r="7106" spans="16:39" x14ac:dyDescent="0.25">
      <c r="P7106" s="49"/>
      <c r="Q7106" s="1"/>
      <c r="S7106" s="1"/>
      <c r="T7106" s="1"/>
      <c r="U7106" s="1"/>
      <c r="V7106" s="1"/>
      <c r="W7106" s="1"/>
      <c r="X7106" s="1"/>
      <c r="Y7106" s="1"/>
      <c r="AB7106" s="1"/>
      <c r="AC7106" s="1"/>
      <c r="AD7106" s="1"/>
      <c r="AE7106" s="1"/>
      <c r="AF7106" s="1"/>
      <c r="AG7106" s="1"/>
      <c r="AH7106" s="1"/>
      <c r="AI7106" s="1"/>
      <c r="AJ7106" s="1"/>
      <c r="AK7106" s="1"/>
      <c r="AL7106" s="1"/>
      <c r="AM7106" s="1"/>
    </row>
    <row r="7107" spans="16:39" x14ac:dyDescent="0.25">
      <c r="P7107" s="49"/>
      <c r="Q7107" s="1"/>
      <c r="S7107" s="1"/>
      <c r="T7107" s="1"/>
      <c r="U7107" s="1"/>
      <c r="V7107" s="1"/>
      <c r="W7107" s="1"/>
      <c r="X7107" s="1"/>
      <c r="Y7107" s="1"/>
      <c r="AB7107" s="1"/>
      <c r="AC7107" s="1"/>
      <c r="AD7107" s="1"/>
      <c r="AE7107" s="1"/>
      <c r="AF7107" s="1"/>
      <c r="AG7107" s="1"/>
      <c r="AH7107" s="1"/>
      <c r="AI7107" s="1"/>
      <c r="AJ7107" s="1"/>
      <c r="AK7107" s="1"/>
      <c r="AL7107" s="1"/>
      <c r="AM7107" s="1"/>
    </row>
    <row r="7108" spans="16:39" x14ac:dyDescent="0.25">
      <c r="P7108" s="49"/>
      <c r="Q7108" s="1"/>
      <c r="S7108" s="1"/>
      <c r="T7108" s="1"/>
      <c r="U7108" s="1"/>
      <c r="V7108" s="1"/>
      <c r="W7108" s="1"/>
      <c r="X7108" s="1"/>
      <c r="Y7108" s="1"/>
      <c r="AB7108" s="1"/>
      <c r="AC7108" s="1"/>
      <c r="AD7108" s="1"/>
      <c r="AE7108" s="1"/>
      <c r="AF7108" s="1"/>
      <c r="AG7108" s="1"/>
      <c r="AH7108" s="1"/>
      <c r="AI7108" s="1"/>
      <c r="AJ7108" s="1"/>
      <c r="AK7108" s="1"/>
      <c r="AL7108" s="1"/>
      <c r="AM7108" s="1"/>
    </row>
    <row r="7109" spans="16:39" x14ac:dyDescent="0.25">
      <c r="P7109" s="49"/>
      <c r="Q7109" s="1"/>
      <c r="S7109" s="1"/>
      <c r="T7109" s="1"/>
      <c r="U7109" s="1"/>
      <c r="V7109" s="1"/>
      <c r="W7109" s="1"/>
      <c r="X7109" s="1"/>
      <c r="Y7109" s="1"/>
      <c r="AB7109" s="1"/>
      <c r="AC7109" s="1"/>
      <c r="AD7109" s="1"/>
      <c r="AE7109" s="1"/>
      <c r="AF7109" s="1"/>
      <c r="AG7109" s="1"/>
      <c r="AH7109" s="1"/>
      <c r="AI7109" s="1"/>
      <c r="AJ7109" s="1"/>
      <c r="AK7109" s="1"/>
      <c r="AL7109" s="1"/>
      <c r="AM7109" s="1"/>
    </row>
    <row r="7110" spans="16:39" x14ac:dyDescent="0.25">
      <c r="P7110" s="49"/>
      <c r="Q7110" s="1"/>
      <c r="S7110" s="1"/>
      <c r="T7110" s="1"/>
      <c r="U7110" s="1"/>
      <c r="V7110" s="1"/>
      <c r="W7110" s="1"/>
      <c r="X7110" s="1"/>
      <c r="Y7110" s="1"/>
      <c r="AB7110" s="1"/>
      <c r="AC7110" s="1"/>
      <c r="AD7110" s="1"/>
      <c r="AE7110" s="1"/>
      <c r="AF7110" s="1"/>
      <c r="AG7110" s="1"/>
      <c r="AH7110" s="1"/>
      <c r="AI7110" s="1"/>
      <c r="AJ7110" s="1"/>
      <c r="AK7110" s="1"/>
      <c r="AL7110" s="1"/>
      <c r="AM7110" s="1"/>
    </row>
    <row r="7111" spans="16:39" x14ac:dyDescent="0.25">
      <c r="P7111" s="49"/>
      <c r="Q7111" s="1"/>
      <c r="S7111" s="1"/>
      <c r="T7111" s="1"/>
      <c r="U7111" s="1"/>
      <c r="V7111" s="1"/>
      <c r="W7111" s="1"/>
      <c r="X7111" s="1"/>
      <c r="Y7111" s="1"/>
      <c r="AB7111" s="1"/>
      <c r="AC7111" s="1"/>
      <c r="AD7111" s="1"/>
      <c r="AE7111" s="1"/>
      <c r="AF7111" s="1"/>
      <c r="AG7111" s="1"/>
      <c r="AH7111" s="1"/>
      <c r="AI7111" s="1"/>
      <c r="AJ7111" s="1"/>
      <c r="AK7111" s="1"/>
      <c r="AL7111" s="1"/>
      <c r="AM7111" s="1"/>
    </row>
    <row r="7112" spans="16:39" x14ac:dyDescent="0.25">
      <c r="P7112" s="49"/>
      <c r="Q7112" s="1"/>
      <c r="S7112" s="1"/>
      <c r="T7112" s="1"/>
      <c r="U7112" s="1"/>
      <c r="V7112" s="1"/>
      <c r="W7112" s="1"/>
      <c r="X7112" s="1"/>
      <c r="Y7112" s="1"/>
      <c r="AB7112" s="1"/>
      <c r="AC7112" s="1"/>
      <c r="AD7112" s="1"/>
      <c r="AE7112" s="1"/>
      <c r="AF7112" s="1"/>
      <c r="AG7112" s="1"/>
      <c r="AH7112" s="1"/>
      <c r="AI7112" s="1"/>
      <c r="AJ7112" s="1"/>
      <c r="AK7112" s="1"/>
      <c r="AL7112" s="1"/>
      <c r="AM7112" s="1"/>
    </row>
    <row r="7113" spans="16:39" x14ac:dyDescent="0.25">
      <c r="P7113" s="49"/>
      <c r="Q7113" s="1"/>
      <c r="S7113" s="1"/>
      <c r="T7113" s="1"/>
      <c r="U7113" s="1"/>
      <c r="V7113" s="1"/>
      <c r="W7113" s="1"/>
      <c r="X7113" s="1"/>
      <c r="Y7113" s="1"/>
      <c r="AB7113" s="1"/>
      <c r="AC7113" s="1"/>
      <c r="AD7113" s="1"/>
      <c r="AE7113" s="1"/>
      <c r="AF7113" s="1"/>
      <c r="AG7113" s="1"/>
      <c r="AH7113" s="1"/>
      <c r="AI7113" s="1"/>
      <c r="AJ7113" s="1"/>
      <c r="AK7113" s="1"/>
      <c r="AL7113" s="1"/>
      <c r="AM7113" s="1"/>
    </row>
    <row r="7114" spans="16:39" x14ac:dyDescent="0.25">
      <c r="P7114" s="49"/>
      <c r="Q7114" s="1"/>
      <c r="S7114" s="1"/>
      <c r="T7114" s="1"/>
      <c r="U7114" s="1"/>
      <c r="V7114" s="1"/>
      <c r="W7114" s="1"/>
      <c r="X7114" s="1"/>
      <c r="Y7114" s="1"/>
      <c r="AB7114" s="1"/>
      <c r="AC7114" s="1"/>
      <c r="AD7114" s="1"/>
      <c r="AE7114" s="1"/>
      <c r="AF7114" s="1"/>
      <c r="AG7114" s="1"/>
      <c r="AH7114" s="1"/>
      <c r="AI7114" s="1"/>
      <c r="AJ7114" s="1"/>
      <c r="AK7114" s="1"/>
      <c r="AL7114" s="1"/>
      <c r="AM7114" s="1"/>
    </row>
    <row r="7115" spans="16:39" x14ac:dyDescent="0.25">
      <c r="P7115" s="49"/>
      <c r="Q7115" s="1"/>
      <c r="S7115" s="1"/>
      <c r="T7115" s="1"/>
      <c r="U7115" s="1"/>
      <c r="V7115" s="1"/>
      <c r="W7115" s="1"/>
      <c r="X7115" s="1"/>
      <c r="Y7115" s="1"/>
      <c r="AB7115" s="1"/>
      <c r="AC7115" s="1"/>
      <c r="AD7115" s="1"/>
      <c r="AE7115" s="1"/>
      <c r="AF7115" s="1"/>
      <c r="AG7115" s="1"/>
      <c r="AH7115" s="1"/>
      <c r="AI7115" s="1"/>
      <c r="AJ7115" s="1"/>
      <c r="AK7115" s="1"/>
      <c r="AL7115" s="1"/>
      <c r="AM7115" s="1"/>
    </row>
    <row r="7116" spans="16:39" x14ac:dyDescent="0.25">
      <c r="P7116" s="49"/>
      <c r="Q7116" s="1"/>
      <c r="S7116" s="1"/>
      <c r="T7116" s="1"/>
      <c r="U7116" s="1"/>
      <c r="V7116" s="1"/>
      <c r="W7116" s="1"/>
      <c r="X7116" s="1"/>
      <c r="Y7116" s="1"/>
      <c r="AB7116" s="1"/>
      <c r="AC7116" s="1"/>
      <c r="AD7116" s="1"/>
      <c r="AE7116" s="1"/>
      <c r="AF7116" s="1"/>
      <c r="AG7116" s="1"/>
      <c r="AH7116" s="1"/>
      <c r="AI7116" s="1"/>
      <c r="AJ7116" s="1"/>
      <c r="AK7116" s="1"/>
      <c r="AL7116" s="1"/>
      <c r="AM7116" s="1"/>
    </row>
    <row r="7117" spans="16:39" x14ac:dyDescent="0.25">
      <c r="P7117" s="49"/>
      <c r="Q7117" s="1"/>
      <c r="S7117" s="1"/>
      <c r="T7117" s="1"/>
      <c r="U7117" s="1"/>
      <c r="V7117" s="1"/>
      <c r="W7117" s="1"/>
      <c r="X7117" s="1"/>
      <c r="Y7117" s="1"/>
      <c r="AB7117" s="1"/>
      <c r="AC7117" s="1"/>
      <c r="AD7117" s="1"/>
      <c r="AE7117" s="1"/>
      <c r="AF7117" s="1"/>
      <c r="AG7117" s="1"/>
      <c r="AH7117" s="1"/>
      <c r="AI7117" s="1"/>
      <c r="AJ7117" s="1"/>
      <c r="AK7117" s="1"/>
      <c r="AL7117" s="1"/>
      <c r="AM7117" s="1"/>
    </row>
    <row r="7118" spans="16:39" x14ac:dyDescent="0.25">
      <c r="P7118" s="49"/>
      <c r="Q7118" s="1"/>
      <c r="S7118" s="1"/>
      <c r="T7118" s="1"/>
      <c r="U7118" s="1"/>
      <c r="V7118" s="1"/>
      <c r="W7118" s="1"/>
      <c r="X7118" s="1"/>
      <c r="Y7118" s="1"/>
      <c r="AB7118" s="1"/>
      <c r="AC7118" s="1"/>
      <c r="AD7118" s="1"/>
      <c r="AE7118" s="1"/>
      <c r="AF7118" s="1"/>
      <c r="AG7118" s="1"/>
      <c r="AH7118" s="1"/>
      <c r="AI7118" s="1"/>
      <c r="AJ7118" s="1"/>
      <c r="AK7118" s="1"/>
      <c r="AL7118" s="1"/>
      <c r="AM7118" s="1"/>
    </row>
    <row r="7119" spans="16:39" x14ac:dyDescent="0.25">
      <c r="P7119" s="49"/>
      <c r="Q7119" s="1"/>
      <c r="S7119" s="1"/>
      <c r="T7119" s="1"/>
      <c r="U7119" s="1"/>
      <c r="V7119" s="1"/>
      <c r="W7119" s="1"/>
      <c r="X7119" s="1"/>
      <c r="Y7119" s="1"/>
      <c r="AB7119" s="1"/>
      <c r="AC7119" s="1"/>
      <c r="AD7119" s="1"/>
      <c r="AE7119" s="1"/>
      <c r="AF7119" s="1"/>
      <c r="AG7119" s="1"/>
      <c r="AH7119" s="1"/>
      <c r="AI7119" s="1"/>
      <c r="AJ7119" s="1"/>
      <c r="AK7119" s="1"/>
      <c r="AL7119" s="1"/>
      <c r="AM7119" s="1"/>
    </row>
    <row r="7120" spans="16:39" x14ac:dyDescent="0.25">
      <c r="P7120" s="49"/>
      <c r="Q7120" s="1"/>
      <c r="S7120" s="1"/>
      <c r="T7120" s="1"/>
      <c r="U7120" s="1"/>
      <c r="V7120" s="1"/>
      <c r="W7120" s="1"/>
      <c r="X7120" s="1"/>
      <c r="Y7120" s="1"/>
      <c r="AB7120" s="1"/>
      <c r="AC7120" s="1"/>
      <c r="AD7120" s="1"/>
      <c r="AE7120" s="1"/>
      <c r="AF7120" s="1"/>
      <c r="AG7120" s="1"/>
      <c r="AH7120" s="1"/>
      <c r="AI7120" s="1"/>
      <c r="AJ7120" s="1"/>
      <c r="AK7120" s="1"/>
      <c r="AL7120" s="1"/>
      <c r="AM7120" s="1"/>
    </row>
    <row r="7121" spans="16:39" x14ac:dyDescent="0.25">
      <c r="P7121" s="49"/>
      <c r="Q7121" s="1"/>
      <c r="S7121" s="1"/>
      <c r="T7121" s="1"/>
      <c r="U7121" s="1"/>
      <c r="V7121" s="1"/>
      <c r="W7121" s="1"/>
      <c r="X7121" s="1"/>
      <c r="Y7121" s="1"/>
      <c r="AB7121" s="1"/>
      <c r="AC7121" s="1"/>
      <c r="AD7121" s="1"/>
      <c r="AE7121" s="1"/>
      <c r="AF7121" s="1"/>
      <c r="AG7121" s="1"/>
      <c r="AH7121" s="1"/>
      <c r="AI7121" s="1"/>
      <c r="AJ7121" s="1"/>
      <c r="AK7121" s="1"/>
      <c r="AL7121" s="1"/>
      <c r="AM7121" s="1"/>
    </row>
    <row r="7122" spans="16:39" x14ac:dyDescent="0.25">
      <c r="P7122" s="49"/>
      <c r="Q7122" s="1"/>
      <c r="S7122" s="1"/>
      <c r="T7122" s="1"/>
      <c r="U7122" s="1"/>
      <c r="V7122" s="1"/>
      <c r="W7122" s="1"/>
      <c r="X7122" s="1"/>
      <c r="Y7122" s="1"/>
      <c r="AB7122" s="1"/>
      <c r="AC7122" s="1"/>
      <c r="AD7122" s="1"/>
      <c r="AE7122" s="1"/>
      <c r="AF7122" s="1"/>
      <c r="AG7122" s="1"/>
      <c r="AH7122" s="1"/>
      <c r="AI7122" s="1"/>
      <c r="AJ7122" s="1"/>
      <c r="AK7122" s="1"/>
      <c r="AL7122" s="1"/>
      <c r="AM7122" s="1"/>
    </row>
    <row r="7123" spans="16:39" x14ac:dyDescent="0.25">
      <c r="P7123" s="49"/>
      <c r="Q7123" s="1"/>
      <c r="S7123" s="1"/>
      <c r="T7123" s="1"/>
      <c r="U7123" s="1"/>
      <c r="V7123" s="1"/>
      <c r="W7123" s="1"/>
      <c r="X7123" s="1"/>
      <c r="Y7123" s="1"/>
      <c r="AB7123" s="1"/>
      <c r="AC7123" s="1"/>
      <c r="AD7123" s="1"/>
      <c r="AE7123" s="1"/>
      <c r="AF7123" s="1"/>
      <c r="AG7123" s="1"/>
      <c r="AH7123" s="1"/>
      <c r="AI7123" s="1"/>
      <c r="AJ7123" s="1"/>
      <c r="AK7123" s="1"/>
      <c r="AL7123" s="1"/>
      <c r="AM7123" s="1"/>
    </row>
    <row r="7124" spans="16:39" x14ac:dyDescent="0.25">
      <c r="P7124" s="49"/>
      <c r="Q7124" s="1"/>
      <c r="S7124" s="1"/>
      <c r="T7124" s="1"/>
      <c r="U7124" s="1"/>
      <c r="V7124" s="1"/>
      <c r="W7124" s="1"/>
      <c r="X7124" s="1"/>
      <c r="Y7124" s="1"/>
      <c r="AB7124" s="1"/>
      <c r="AC7124" s="1"/>
      <c r="AD7124" s="1"/>
      <c r="AE7124" s="1"/>
      <c r="AF7124" s="1"/>
      <c r="AG7124" s="1"/>
      <c r="AH7124" s="1"/>
      <c r="AI7124" s="1"/>
      <c r="AJ7124" s="1"/>
      <c r="AK7124" s="1"/>
      <c r="AL7124" s="1"/>
      <c r="AM7124" s="1"/>
    </row>
    <row r="7125" spans="16:39" x14ac:dyDescent="0.25">
      <c r="P7125" s="49"/>
      <c r="Q7125" s="1"/>
      <c r="S7125" s="1"/>
      <c r="T7125" s="1"/>
      <c r="U7125" s="1"/>
      <c r="V7125" s="1"/>
      <c r="W7125" s="1"/>
      <c r="X7125" s="1"/>
      <c r="Y7125" s="1"/>
      <c r="AB7125" s="1"/>
      <c r="AC7125" s="1"/>
      <c r="AD7125" s="1"/>
      <c r="AE7125" s="1"/>
      <c r="AF7125" s="1"/>
      <c r="AG7125" s="1"/>
      <c r="AH7125" s="1"/>
      <c r="AI7125" s="1"/>
      <c r="AJ7125" s="1"/>
      <c r="AK7125" s="1"/>
      <c r="AL7125" s="1"/>
      <c r="AM7125" s="1"/>
    </row>
    <row r="7126" spans="16:39" x14ac:dyDescent="0.25">
      <c r="P7126" s="49"/>
      <c r="Q7126" s="1"/>
      <c r="S7126" s="1"/>
      <c r="T7126" s="1"/>
      <c r="U7126" s="1"/>
      <c r="V7126" s="1"/>
      <c r="W7126" s="1"/>
      <c r="X7126" s="1"/>
      <c r="Y7126" s="1"/>
      <c r="AB7126" s="1"/>
      <c r="AC7126" s="1"/>
      <c r="AD7126" s="1"/>
      <c r="AE7126" s="1"/>
      <c r="AF7126" s="1"/>
      <c r="AG7126" s="1"/>
      <c r="AH7126" s="1"/>
      <c r="AI7126" s="1"/>
      <c r="AJ7126" s="1"/>
      <c r="AK7126" s="1"/>
      <c r="AL7126" s="1"/>
      <c r="AM7126" s="1"/>
    </row>
    <row r="7127" spans="16:39" x14ac:dyDescent="0.25">
      <c r="P7127" s="49"/>
      <c r="Q7127" s="1"/>
      <c r="S7127" s="1"/>
      <c r="T7127" s="1"/>
      <c r="U7127" s="1"/>
      <c r="V7127" s="1"/>
      <c r="W7127" s="1"/>
      <c r="X7127" s="1"/>
      <c r="Y7127" s="1"/>
      <c r="AB7127" s="1"/>
      <c r="AC7127" s="1"/>
      <c r="AD7127" s="1"/>
      <c r="AE7127" s="1"/>
      <c r="AF7127" s="1"/>
      <c r="AG7127" s="1"/>
      <c r="AH7127" s="1"/>
      <c r="AI7127" s="1"/>
      <c r="AJ7127" s="1"/>
      <c r="AK7127" s="1"/>
      <c r="AL7127" s="1"/>
      <c r="AM7127" s="1"/>
    </row>
    <row r="7128" spans="16:39" x14ac:dyDescent="0.25">
      <c r="P7128" s="49"/>
      <c r="Q7128" s="1"/>
      <c r="S7128" s="1"/>
      <c r="T7128" s="1"/>
      <c r="U7128" s="1"/>
      <c r="V7128" s="1"/>
      <c r="W7128" s="1"/>
      <c r="X7128" s="1"/>
      <c r="Y7128" s="1"/>
      <c r="AB7128" s="1"/>
      <c r="AC7128" s="1"/>
      <c r="AD7128" s="1"/>
      <c r="AE7128" s="1"/>
      <c r="AF7128" s="1"/>
      <c r="AG7128" s="1"/>
      <c r="AH7128" s="1"/>
      <c r="AI7128" s="1"/>
      <c r="AJ7128" s="1"/>
      <c r="AK7128" s="1"/>
      <c r="AL7128" s="1"/>
      <c r="AM7128" s="1"/>
    </row>
    <row r="7129" spans="16:39" x14ac:dyDescent="0.25">
      <c r="P7129" s="49"/>
      <c r="Q7129" s="1"/>
      <c r="S7129" s="1"/>
      <c r="T7129" s="1"/>
      <c r="U7129" s="1"/>
      <c r="V7129" s="1"/>
      <c r="W7129" s="1"/>
      <c r="X7129" s="1"/>
      <c r="Y7129" s="1"/>
      <c r="AB7129" s="1"/>
      <c r="AC7129" s="1"/>
      <c r="AD7129" s="1"/>
      <c r="AE7129" s="1"/>
      <c r="AF7129" s="1"/>
      <c r="AG7129" s="1"/>
      <c r="AH7129" s="1"/>
      <c r="AI7129" s="1"/>
      <c r="AJ7129" s="1"/>
      <c r="AK7129" s="1"/>
      <c r="AL7129" s="1"/>
      <c r="AM7129" s="1"/>
    </row>
    <row r="7130" spans="16:39" x14ac:dyDescent="0.25">
      <c r="P7130" s="49"/>
      <c r="Q7130" s="1"/>
      <c r="S7130" s="1"/>
      <c r="T7130" s="1"/>
      <c r="U7130" s="1"/>
      <c r="V7130" s="1"/>
      <c r="W7130" s="1"/>
      <c r="X7130" s="1"/>
      <c r="Y7130" s="1"/>
      <c r="AB7130" s="1"/>
      <c r="AC7130" s="1"/>
      <c r="AD7130" s="1"/>
      <c r="AE7130" s="1"/>
      <c r="AF7130" s="1"/>
      <c r="AG7130" s="1"/>
      <c r="AH7130" s="1"/>
      <c r="AI7130" s="1"/>
      <c r="AJ7130" s="1"/>
      <c r="AK7130" s="1"/>
      <c r="AL7130" s="1"/>
      <c r="AM7130" s="1"/>
    </row>
    <row r="7131" spans="16:39" x14ac:dyDescent="0.25">
      <c r="P7131" s="49"/>
      <c r="Q7131" s="1"/>
      <c r="S7131" s="1"/>
      <c r="T7131" s="1"/>
      <c r="U7131" s="1"/>
      <c r="V7131" s="1"/>
      <c r="W7131" s="1"/>
      <c r="X7131" s="1"/>
      <c r="Y7131" s="1"/>
      <c r="AB7131" s="1"/>
      <c r="AC7131" s="1"/>
      <c r="AD7131" s="1"/>
      <c r="AE7131" s="1"/>
      <c r="AF7131" s="1"/>
      <c r="AG7131" s="1"/>
      <c r="AH7131" s="1"/>
      <c r="AI7131" s="1"/>
      <c r="AJ7131" s="1"/>
      <c r="AK7131" s="1"/>
      <c r="AL7131" s="1"/>
      <c r="AM7131" s="1"/>
    </row>
    <row r="7132" spans="16:39" x14ac:dyDescent="0.25">
      <c r="P7132" s="49"/>
      <c r="Q7132" s="1"/>
      <c r="S7132" s="1"/>
      <c r="T7132" s="1"/>
      <c r="U7132" s="1"/>
      <c r="V7132" s="1"/>
      <c r="W7132" s="1"/>
      <c r="X7132" s="1"/>
      <c r="Y7132" s="1"/>
      <c r="AB7132" s="1"/>
      <c r="AC7132" s="1"/>
      <c r="AD7132" s="1"/>
      <c r="AE7132" s="1"/>
      <c r="AF7132" s="1"/>
      <c r="AG7132" s="1"/>
      <c r="AH7132" s="1"/>
      <c r="AI7132" s="1"/>
      <c r="AJ7132" s="1"/>
      <c r="AK7132" s="1"/>
      <c r="AL7132" s="1"/>
      <c r="AM7132" s="1"/>
    </row>
    <row r="7133" spans="16:39" x14ac:dyDescent="0.25">
      <c r="P7133" s="49"/>
      <c r="Q7133" s="1"/>
      <c r="S7133" s="1"/>
      <c r="T7133" s="1"/>
      <c r="U7133" s="1"/>
      <c r="V7133" s="1"/>
      <c r="W7133" s="1"/>
      <c r="X7133" s="1"/>
      <c r="Y7133" s="1"/>
      <c r="AB7133" s="1"/>
      <c r="AC7133" s="1"/>
      <c r="AD7133" s="1"/>
      <c r="AE7133" s="1"/>
      <c r="AF7133" s="1"/>
      <c r="AG7133" s="1"/>
      <c r="AH7133" s="1"/>
      <c r="AI7133" s="1"/>
      <c r="AJ7133" s="1"/>
      <c r="AK7133" s="1"/>
      <c r="AL7133" s="1"/>
      <c r="AM7133" s="1"/>
    </row>
    <row r="7134" spans="16:39" x14ac:dyDescent="0.25">
      <c r="P7134" s="49"/>
      <c r="Q7134" s="1"/>
      <c r="S7134" s="1"/>
      <c r="T7134" s="1"/>
      <c r="U7134" s="1"/>
      <c r="V7134" s="1"/>
      <c r="W7134" s="1"/>
      <c r="X7134" s="1"/>
      <c r="Y7134" s="1"/>
      <c r="AB7134" s="1"/>
      <c r="AC7134" s="1"/>
      <c r="AD7134" s="1"/>
      <c r="AE7134" s="1"/>
      <c r="AF7134" s="1"/>
      <c r="AG7134" s="1"/>
      <c r="AH7134" s="1"/>
      <c r="AI7134" s="1"/>
      <c r="AJ7134" s="1"/>
      <c r="AK7134" s="1"/>
      <c r="AL7134" s="1"/>
      <c r="AM7134" s="1"/>
    </row>
    <row r="7135" spans="16:39" x14ac:dyDescent="0.25">
      <c r="P7135" s="49"/>
      <c r="Q7135" s="1"/>
      <c r="S7135" s="1"/>
      <c r="T7135" s="1"/>
      <c r="U7135" s="1"/>
      <c r="V7135" s="1"/>
      <c r="W7135" s="1"/>
      <c r="X7135" s="1"/>
      <c r="Y7135" s="1"/>
      <c r="AB7135" s="1"/>
      <c r="AC7135" s="1"/>
      <c r="AD7135" s="1"/>
      <c r="AE7135" s="1"/>
      <c r="AF7135" s="1"/>
      <c r="AG7135" s="1"/>
      <c r="AH7135" s="1"/>
      <c r="AI7135" s="1"/>
      <c r="AJ7135" s="1"/>
      <c r="AK7135" s="1"/>
      <c r="AL7135" s="1"/>
      <c r="AM7135" s="1"/>
    </row>
    <row r="7136" spans="16:39" x14ac:dyDescent="0.25">
      <c r="P7136" s="49"/>
      <c r="Q7136" s="1"/>
      <c r="S7136" s="1"/>
      <c r="T7136" s="1"/>
      <c r="U7136" s="1"/>
      <c r="V7136" s="1"/>
      <c r="W7136" s="1"/>
      <c r="X7136" s="1"/>
      <c r="Y7136" s="1"/>
      <c r="AB7136" s="1"/>
      <c r="AC7136" s="1"/>
      <c r="AD7136" s="1"/>
      <c r="AE7136" s="1"/>
      <c r="AF7136" s="1"/>
      <c r="AG7136" s="1"/>
      <c r="AH7136" s="1"/>
      <c r="AI7136" s="1"/>
      <c r="AJ7136" s="1"/>
      <c r="AK7136" s="1"/>
      <c r="AL7136" s="1"/>
      <c r="AM7136" s="1"/>
    </row>
    <row r="7137" spans="16:39" x14ac:dyDescent="0.25">
      <c r="P7137" s="49"/>
      <c r="Q7137" s="1"/>
      <c r="S7137" s="1"/>
      <c r="T7137" s="1"/>
      <c r="U7137" s="1"/>
      <c r="V7137" s="1"/>
      <c r="W7137" s="1"/>
      <c r="X7137" s="1"/>
      <c r="Y7137" s="1"/>
      <c r="AB7137" s="1"/>
      <c r="AC7137" s="1"/>
      <c r="AD7137" s="1"/>
      <c r="AE7137" s="1"/>
      <c r="AF7137" s="1"/>
      <c r="AG7137" s="1"/>
      <c r="AH7137" s="1"/>
      <c r="AI7137" s="1"/>
      <c r="AJ7137" s="1"/>
      <c r="AK7137" s="1"/>
      <c r="AL7137" s="1"/>
      <c r="AM7137" s="1"/>
    </row>
    <row r="7138" spans="16:39" x14ac:dyDescent="0.25">
      <c r="P7138" s="49"/>
      <c r="Q7138" s="1"/>
      <c r="S7138" s="1"/>
      <c r="T7138" s="1"/>
      <c r="U7138" s="1"/>
      <c r="V7138" s="1"/>
      <c r="W7138" s="1"/>
      <c r="X7138" s="1"/>
      <c r="Y7138" s="1"/>
      <c r="AB7138" s="1"/>
      <c r="AC7138" s="1"/>
      <c r="AD7138" s="1"/>
      <c r="AE7138" s="1"/>
      <c r="AF7138" s="1"/>
      <c r="AG7138" s="1"/>
      <c r="AH7138" s="1"/>
      <c r="AI7138" s="1"/>
      <c r="AJ7138" s="1"/>
      <c r="AK7138" s="1"/>
      <c r="AL7138" s="1"/>
      <c r="AM7138" s="1"/>
    </row>
    <row r="7139" spans="16:39" x14ac:dyDescent="0.25">
      <c r="P7139" s="49"/>
      <c r="Q7139" s="1"/>
      <c r="S7139" s="1"/>
      <c r="T7139" s="1"/>
      <c r="U7139" s="1"/>
      <c r="V7139" s="1"/>
      <c r="W7139" s="1"/>
      <c r="X7139" s="1"/>
      <c r="Y7139" s="1"/>
      <c r="AB7139" s="1"/>
      <c r="AC7139" s="1"/>
      <c r="AD7139" s="1"/>
      <c r="AE7139" s="1"/>
      <c r="AF7139" s="1"/>
      <c r="AG7139" s="1"/>
      <c r="AH7139" s="1"/>
      <c r="AI7139" s="1"/>
      <c r="AJ7139" s="1"/>
      <c r="AK7139" s="1"/>
      <c r="AL7139" s="1"/>
      <c r="AM7139" s="1"/>
    </row>
    <row r="7140" spans="16:39" x14ac:dyDescent="0.25">
      <c r="P7140" s="49"/>
      <c r="Q7140" s="1"/>
      <c r="S7140" s="1"/>
      <c r="T7140" s="1"/>
      <c r="U7140" s="1"/>
      <c r="V7140" s="1"/>
      <c r="W7140" s="1"/>
      <c r="X7140" s="1"/>
      <c r="Y7140" s="1"/>
      <c r="AB7140" s="1"/>
      <c r="AC7140" s="1"/>
      <c r="AD7140" s="1"/>
      <c r="AE7140" s="1"/>
      <c r="AF7140" s="1"/>
      <c r="AG7140" s="1"/>
      <c r="AH7140" s="1"/>
      <c r="AI7140" s="1"/>
      <c r="AJ7140" s="1"/>
      <c r="AK7140" s="1"/>
      <c r="AL7140" s="1"/>
      <c r="AM7140" s="1"/>
    </row>
    <row r="7141" spans="16:39" x14ac:dyDescent="0.25">
      <c r="P7141" s="49"/>
      <c r="Q7141" s="1"/>
      <c r="S7141" s="1"/>
      <c r="T7141" s="1"/>
      <c r="U7141" s="1"/>
      <c r="V7141" s="1"/>
      <c r="W7141" s="1"/>
      <c r="X7141" s="1"/>
      <c r="Y7141" s="1"/>
      <c r="AB7141" s="1"/>
      <c r="AC7141" s="1"/>
      <c r="AD7141" s="1"/>
      <c r="AE7141" s="1"/>
      <c r="AF7141" s="1"/>
      <c r="AG7141" s="1"/>
      <c r="AH7141" s="1"/>
      <c r="AI7141" s="1"/>
      <c r="AJ7141" s="1"/>
      <c r="AK7141" s="1"/>
      <c r="AL7141" s="1"/>
      <c r="AM7141" s="1"/>
    </row>
    <row r="7142" spans="16:39" x14ac:dyDescent="0.25">
      <c r="P7142" s="49"/>
      <c r="Q7142" s="1"/>
      <c r="S7142" s="1"/>
      <c r="T7142" s="1"/>
      <c r="U7142" s="1"/>
      <c r="V7142" s="1"/>
      <c r="W7142" s="1"/>
      <c r="X7142" s="1"/>
      <c r="Y7142" s="1"/>
      <c r="AB7142" s="1"/>
      <c r="AC7142" s="1"/>
      <c r="AD7142" s="1"/>
      <c r="AE7142" s="1"/>
      <c r="AF7142" s="1"/>
      <c r="AG7142" s="1"/>
      <c r="AH7142" s="1"/>
      <c r="AI7142" s="1"/>
      <c r="AJ7142" s="1"/>
      <c r="AK7142" s="1"/>
      <c r="AL7142" s="1"/>
      <c r="AM7142" s="1"/>
    </row>
    <row r="7143" spans="16:39" x14ac:dyDescent="0.25">
      <c r="P7143" s="49"/>
      <c r="Q7143" s="1"/>
      <c r="S7143" s="1"/>
      <c r="T7143" s="1"/>
      <c r="U7143" s="1"/>
      <c r="V7143" s="1"/>
      <c r="W7143" s="1"/>
      <c r="X7143" s="1"/>
      <c r="Y7143" s="1"/>
      <c r="AB7143" s="1"/>
      <c r="AC7143" s="1"/>
      <c r="AD7143" s="1"/>
      <c r="AE7143" s="1"/>
      <c r="AF7143" s="1"/>
      <c r="AG7143" s="1"/>
      <c r="AH7143" s="1"/>
      <c r="AI7143" s="1"/>
      <c r="AJ7143" s="1"/>
      <c r="AK7143" s="1"/>
      <c r="AL7143" s="1"/>
      <c r="AM7143" s="1"/>
    </row>
    <row r="7144" spans="16:39" x14ac:dyDescent="0.25">
      <c r="P7144" s="49"/>
      <c r="Q7144" s="1"/>
      <c r="S7144" s="1"/>
      <c r="T7144" s="1"/>
      <c r="U7144" s="1"/>
      <c r="V7144" s="1"/>
      <c r="W7144" s="1"/>
      <c r="X7144" s="1"/>
      <c r="Y7144" s="1"/>
      <c r="AB7144" s="1"/>
      <c r="AC7144" s="1"/>
      <c r="AD7144" s="1"/>
      <c r="AE7144" s="1"/>
      <c r="AF7144" s="1"/>
      <c r="AG7144" s="1"/>
      <c r="AH7144" s="1"/>
      <c r="AI7144" s="1"/>
      <c r="AJ7144" s="1"/>
      <c r="AK7144" s="1"/>
      <c r="AL7144" s="1"/>
      <c r="AM7144" s="1"/>
    </row>
    <row r="7145" spans="16:39" x14ac:dyDescent="0.25">
      <c r="P7145" s="49"/>
      <c r="Q7145" s="1"/>
      <c r="S7145" s="1"/>
      <c r="T7145" s="1"/>
      <c r="U7145" s="1"/>
      <c r="V7145" s="1"/>
      <c r="W7145" s="1"/>
      <c r="X7145" s="1"/>
      <c r="Y7145" s="1"/>
      <c r="AB7145" s="1"/>
      <c r="AC7145" s="1"/>
      <c r="AD7145" s="1"/>
      <c r="AE7145" s="1"/>
      <c r="AF7145" s="1"/>
      <c r="AG7145" s="1"/>
      <c r="AH7145" s="1"/>
      <c r="AI7145" s="1"/>
      <c r="AJ7145" s="1"/>
      <c r="AK7145" s="1"/>
      <c r="AL7145" s="1"/>
      <c r="AM7145" s="1"/>
    </row>
    <row r="7146" spans="16:39" x14ac:dyDescent="0.25">
      <c r="P7146" s="49"/>
      <c r="Q7146" s="1"/>
      <c r="S7146" s="1"/>
      <c r="T7146" s="1"/>
      <c r="U7146" s="1"/>
      <c r="V7146" s="1"/>
      <c r="W7146" s="1"/>
      <c r="X7146" s="1"/>
      <c r="Y7146" s="1"/>
      <c r="AB7146" s="1"/>
      <c r="AC7146" s="1"/>
      <c r="AD7146" s="1"/>
      <c r="AE7146" s="1"/>
      <c r="AF7146" s="1"/>
      <c r="AG7146" s="1"/>
      <c r="AH7146" s="1"/>
      <c r="AI7146" s="1"/>
      <c r="AJ7146" s="1"/>
      <c r="AK7146" s="1"/>
      <c r="AL7146" s="1"/>
      <c r="AM7146" s="1"/>
    </row>
    <row r="7147" spans="16:39" x14ac:dyDescent="0.25">
      <c r="P7147" s="49"/>
      <c r="Q7147" s="1"/>
      <c r="S7147" s="1"/>
      <c r="T7147" s="1"/>
      <c r="U7147" s="1"/>
      <c r="V7147" s="1"/>
      <c r="W7147" s="1"/>
      <c r="X7147" s="1"/>
      <c r="Y7147" s="1"/>
      <c r="AB7147" s="1"/>
      <c r="AC7147" s="1"/>
      <c r="AD7147" s="1"/>
      <c r="AE7147" s="1"/>
      <c r="AF7147" s="1"/>
      <c r="AG7147" s="1"/>
      <c r="AH7147" s="1"/>
      <c r="AI7147" s="1"/>
      <c r="AJ7147" s="1"/>
      <c r="AK7147" s="1"/>
      <c r="AL7147" s="1"/>
      <c r="AM7147" s="1"/>
    </row>
    <row r="7148" spans="16:39" x14ac:dyDescent="0.25">
      <c r="P7148" s="49"/>
      <c r="Q7148" s="1"/>
      <c r="S7148" s="1"/>
      <c r="T7148" s="1"/>
      <c r="U7148" s="1"/>
      <c r="V7148" s="1"/>
      <c r="W7148" s="1"/>
      <c r="X7148" s="1"/>
      <c r="Y7148" s="1"/>
      <c r="AB7148" s="1"/>
      <c r="AC7148" s="1"/>
      <c r="AD7148" s="1"/>
      <c r="AE7148" s="1"/>
      <c r="AF7148" s="1"/>
      <c r="AG7148" s="1"/>
      <c r="AH7148" s="1"/>
      <c r="AI7148" s="1"/>
      <c r="AJ7148" s="1"/>
      <c r="AK7148" s="1"/>
      <c r="AL7148" s="1"/>
      <c r="AM7148" s="1"/>
    </row>
    <row r="7149" spans="16:39" x14ac:dyDescent="0.25">
      <c r="P7149" s="49"/>
      <c r="Q7149" s="1"/>
      <c r="S7149" s="1"/>
      <c r="T7149" s="1"/>
      <c r="U7149" s="1"/>
      <c r="V7149" s="1"/>
      <c r="W7149" s="1"/>
      <c r="X7149" s="1"/>
      <c r="Y7149" s="1"/>
      <c r="AB7149" s="1"/>
      <c r="AC7149" s="1"/>
      <c r="AD7149" s="1"/>
      <c r="AE7149" s="1"/>
      <c r="AF7149" s="1"/>
      <c r="AG7149" s="1"/>
      <c r="AH7149" s="1"/>
      <c r="AI7149" s="1"/>
      <c r="AJ7149" s="1"/>
      <c r="AK7149" s="1"/>
      <c r="AL7149" s="1"/>
      <c r="AM7149" s="1"/>
    </row>
    <row r="7150" spans="16:39" x14ac:dyDescent="0.25">
      <c r="P7150" s="49"/>
      <c r="Q7150" s="1"/>
      <c r="S7150" s="1"/>
      <c r="T7150" s="1"/>
      <c r="U7150" s="1"/>
      <c r="V7150" s="1"/>
      <c r="W7150" s="1"/>
      <c r="X7150" s="1"/>
      <c r="Y7150" s="1"/>
      <c r="AB7150" s="1"/>
      <c r="AC7150" s="1"/>
      <c r="AD7150" s="1"/>
      <c r="AE7150" s="1"/>
      <c r="AF7150" s="1"/>
      <c r="AG7150" s="1"/>
      <c r="AH7150" s="1"/>
      <c r="AI7150" s="1"/>
      <c r="AJ7150" s="1"/>
      <c r="AK7150" s="1"/>
      <c r="AL7150" s="1"/>
      <c r="AM7150" s="1"/>
    </row>
    <row r="7151" spans="16:39" x14ac:dyDescent="0.25">
      <c r="P7151" s="49"/>
      <c r="Q7151" s="1"/>
      <c r="S7151" s="1"/>
      <c r="T7151" s="1"/>
      <c r="U7151" s="1"/>
      <c r="V7151" s="1"/>
      <c r="W7151" s="1"/>
      <c r="X7151" s="1"/>
      <c r="Y7151" s="1"/>
      <c r="AB7151" s="1"/>
      <c r="AC7151" s="1"/>
      <c r="AD7151" s="1"/>
      <c r="AE7151" s="1"/>
      <c r="AF7151" s="1"/>
      <c r="AG7151" s="1"/>
      <c r="AH7151" s="1"/>
      <c r="AI7151" s="1"/>
      <c r="AJ7151" s="1"/>
      <c r="AK7151" s="1"/>
      <c r="AL7151" s="1"/>
      <c r="AM7151" s="1"/>
    </row>
    <row r="7152" spans="16:39" x14ac:dyDescent="0.25">
      <c r="P7152" s="49"/>
      <c r="Q7152" s="1"/>
      <c r="S7152" s="1"/>
      <c r="T7152" s="1"/>
      <c r="U7152" s="1"/>
      <c r="V7152" s="1"/>
      <c r="W7152" s="1"/>
      <c r="X7152" s="1"/>
      <c r="Y7152" s="1"/>
      <c r="AB7152" s="1"/>
      <c r="AC7152" s="1"/>
      <c r="AD7152" s="1"/>
      <c r="AE7152" s="1"/>
      <c r="AF7152" s="1"/>
      <c r="AG7152" s="1"/>
      <c r="AH7152" s="1"/>
      <c r="AI7152" s="1"/>
      <c r="AJ7152" s="1"/>
      <c r="AK7152" s="1"/>
      <c r="AL7152" s="1"/>
      <c r="AM7152" s="1"/>
    </row>
    <row r="7153" spans="16:39" x14ac:dyDescent="0.25">
      <c r="P7153" s="49"/>
      <c r="Q7153" s="1"/>
      <c r="S7153" s="1"/>
      <c r="T7153" s="1"/>
      <c r="U7153" s="1"/>
      <c r="V7153" s="1"/>
      <c r="W7153" s="1"/>
      <c r="X7153" s="1"/>
      <c r="Y7153" s="1"/>
      <c r="AB7153" s="1"/>
      <c r="AC7153" s="1"/>
      <c r="AD7153" s="1"/>
      <c r="AE7153" s="1"/>
      <c r="AF7153" s="1"/>
      <c r="AG7153" s="1"/>
      <c r="AH7153" s="1"/>
      <c r="AI7153" s="1"/>
      <c r="AJ7153" s="1"/>
      <c r="AK7153" s="1"/>
      <c r="AL7153" s="1"/>
      <c r="AM7153" s="1"/>
    </row>
    <row r="7154" spans="16:39" x14ac:dyDescent="0.25">
      <c r="P7154" s="49"/>
      <c r="Q7154" s="1"/>
      <c r="S7154" s="1"/>
      <c r="T7154" s="1"/>
      <c r="U7154" s="1"/>
      <c r="V7154" s="1"/>
      <c r="W7154" s="1"/>
      <c r="X7154" s="1"/>
      <c r="Y7154" s="1"/>
      <c r="AB7154" s="1"/>
      <c r="AC7154" s="1"/>
      <c r="AD7154" s="1"/>
      <c r="AE7154" s="1"/>
      <c r="AF7154" s="1"/>
      <c r="AG7154" s="1"/>
      <c r="AH7154" s="1"/>
      <c r="AI7154" s="1"/>
      <c r="AJ7154" s="1"/>
      <c r="AK7154" s="1"/>
      <c r="AL7154" s="1"/>
      <c r="AM7154" s="1"/>
    </row>
    <row r="7155" spans="16:39" x14ac:dyDescent="0.25">
      <c r="P7155" s="49"/>
      <c r="Q7155" s="1"/>
      <c r="S7155" s="1"/>
      <c r="T7155" s="1"/>
      <c r="U7155" s="1"/>
      <c r="V7155" s="1"/>
      <c r="W7155" s="1"/>
      <c r="X7155" s="1"/>
      <c r="Y7155" s="1"/>
      <c r="AB7155" s="1"/>
      <c r="AC7155" s="1"/>
      <c r="AD7155" s="1"/>
      <c r="AE7155" s="1"/>
      <c r="AF7155" s="1"/>
      <c r="AG7155" s="1"/>
      <c r="AH7155" s="1"/>
      <c r="AI7155" s="1"/>
      <c r="AJ7155" s="1"/>
      <c r="AK7155" s="1"/>
      <c r="AL7155" s="1"/>
      <c r="AM7155" s="1"/>
    </row>
    <row r="7156" spans="16:39" x14ac:dyDescent="0.25">
      <c r="P7156" s="49"/>
      <c r="Q7156" s="1"/>
      <c r="S7156" s="1"/>
      <c r="T7156" s="1"/>
      <c r="U7156" s="1"/>
      <c r="V7156" s="1"/>
      <c r="W7156" s="1"/>
      <c r="X7156" s="1"/>
      <c r="Y7156" s="1"/>
      <c r="AB7156" s="1"/>
      <c r="AC7156" s="1"/>
      <c r="AD7156" s="1"/>
      <c r="AE7156" s="1"/>
      <c r="AF7156" s="1"/>
      <c r="AG7156" s="1"/>
      <c r="AH7156" s="1"/>
      <c r="AI7156" s="1"/>
      <c r="AJ7156" s="1"/>
      <c r="AK7156" s="1"/>
      <c r="AL7156" s="1"/>
      <c r="AM7156" s="1"/>
    </row>
    <row r="7157" spans="16:39" x14ac:dyDescent="0.25">
      <c r="P7157" s="49"/>
      <c r="Q7157" s="1"/>
      <c r="S7157" s="1"/>
      <c r="T7157" s="1"/>
      <c r="U7157" s="1"/>
      <c r="V7157" s="1"/>
      <c r="W7157" s="1"/>
      <c r="X7157" s="1"/>
      <c r="Y7157" s="1"/>
      <c r="AB7157" s="1"/>
      <c r="AC7157" s="1"/>
      <c r="AD7157" s="1"/>
      <c r="AE7157" s="1"/>
      <c r="AF7157" s="1"/>
      <c r="AG7157" s="1"/>
      <c r="AH7157" s="1"/>
      <c r="AI7157" s="1"/>
      <c r="AJ7157" s="1"/>
      <c r="AK7157" s="1"/>
      <c r="AL7157" s="1"/>
      <c r="AM7157" s="1"/>
    </row>
    <row r="7158" spans="16:39" x14ac:dyDescent="0.25">
      <c r="P7158" s="49"/>
      <c r="Q7158" s="1"/>
      <c r="S7158" s="1"/>
      <c r="T7158" s="1"/>
      <c r="U7158" s="1"/>
      <c r="V7158" s="1"/>
      <c r="W7158" s="1"/>
      <c r="X7158" s="1"/>
      <c r="Y7158" s="1"/>
      <c r="AB7158" s="1"/>
      <c r="AC7158" s="1"/>
      <c r="AD7158" s="1"/>
      <c r="AE7158" s="1"/>
      <c r="AF7158" s="1"/>
      <c r="AG7158" s="1"/>
      <c r="AH7158" s="1"/>
      <c r="AI7158" s="1"/>
      <c r="AJ7158" s="1"/>
      <c r="AK7158" s="1"/>
      <c r="AL7158" s="1"/>
      <c r="AM7158" s="1"/>
    </row>
    <row r="7159" spans="16:39" x14ac:dyDescent="0.25">
      <c r="P7159" s="49"/>
      <c r="Q7159" s="1"/>
      <c r="S7159" s="1"/>
      <c r="T7159" s="1"/>
      <c r="U7159" s="1"/>
      <c r="V7159" s="1"/>
      <c r="W7159" s="1"/>
      <c r="X7159" s="1"/>
      <c r="Y7159" s="1"/>
      <c r="AB7159" s="1"/>
      <c r="AC7159" s="1"/>
      <c r="AD7159" s="1"/>
      <c r="AE7159" s="1"/>
      <c r="AF7159" s="1"/>
      <c r="AG7159" s="1"/>
      <c r="AH7159" s="1"/>
      <c r="AI7159" s="1"/>
      <c r="AJ7159" s="1"/>
      <c r="AK7159" s="1"/>
      <c r="AL7159" s="1"/>
      <c r="AM7159" s="1"/>
    </row>
    <row r="7160" spans="16:39" x14ac:dyDescent="0.25">
      <c r="P7160" s="49"/>
      <c r="Q7160" s="1"/>
      <c r="S7160" s="1"/>
      <c r="T7160" s="1"/>
      <c r="U7160" s="1"/>
      <c r="V7160" s="1"/>
      <c r="W7160" s="1"/>
      <c r="X7160" s="1"/>
      <c r="Y7160" s="1"/>
      <c r="AB7160" s="1"/>
      <c r="AC7160" s="1"/>
      <c r="AD7160" s="1"/>
      <c r="AE7160" s="1"/>
      <c r="AF7160" s="1"/>
      <c r="AG7160" s="1"/>
      <c r="AH7160" s="1"/>
      <c r="AI7160" s="1"/>
      <c r="AJ7160" s="1"/>
      <c r="AK7160" s="1"/>
      <c r="AL7160" s="1"/>
      <c r="AM7160" s="1"/>
    </row>
    <row r="7161" spans="16:39" x14ac:dyDescent="0.25">
      <c r="P7161" s="49"/>
      <c r="Q7161" s="1"/>
      <c r="S7161" s="1"/>
      <c r="T7161" s="1"/>
      <c r="U7161" s="1"/>
      <c r="V7161" s="1"/>
      <c r="W7161" s="1"/>
      <c r="X7161" s="1"/>
      <c r="Y7161" s="1"/>
      <c r="AB7161" s="1"/>
      <c r="AC7161" s="1"/>
      <c r="AD7161" s="1"/>
      <c r="AE7161" s="1"/>
      <c r="AF7161" s="1"/>
      <c r="AG7161" s="1"/>
      <c r="AH7161" s="1"/>
      <c r="AI7161" s="1"/>
      <c r="AJ7161" s="1"/>
      <c r="AK7161" s="1"/>
      <c r="AL7161" s="1"/>
      <c r="AM7161" s="1"/>
    </row>
    <row r="7162" spans="16:39" x14ac:dyDescent="0.25">
      <c r="P7162" s="49"/>
      <c r="Q7162" s="1"/>
      <c r="S7162" s="1"/>
      <c r="T7162" s="1"/>
      <c r="U7162" s="1"/>
      <c r="V7162" s="1"/>
      <c r="W7162" s="1"/>
      <c r="X7162" s="1"/>
      <c r="Y7162" s="1"/>
      <c r="AB7162" s="1"/>
      <c r="AC7162" s="1"/>
      <c r="AD7162" s="1"/>
      <c r="AE7162" s="1"/>
      <c r="AF7162" s="1"/>
      <c r="AG7162" s="1"/>
      <c r="AH7162" s="1"/>
      <c r="AI7162" s="1"/>
      <c r="AJ7162" s="1"/>
      <c r="AK7162" s="1"/>
      <c r="AL7162" s="1"/>
      <c r="AM7162" s="1"/>
    </row>
    <row r="7163" spans="16:39" x14ac:dyDescent="0.25">
      <c r="P7163" s="49"/>
      <c r="Q7163" s="1"/>
      <c r="S7163" s="1"/>
      <c r="T7163" s="1"/>
      <c r="U7163" s="1"/>
      <c r="V7163" s="1"/>
      <c r="W7163" s="1"/>
      <c r="X7163" s="1"/>
      <c r="Y7163" s="1"/>
      <c r="AB7163" s="1"/>
      <c r="AC7163" s="1"/>
      <c r="AD7163" s="1"/>
      <c r="AE7163" s="1"/>
      <c r="AF7163" s="1"/>
      <c r="AG7163" s="1"/>
      <c r="AH7163" s="1"/>
      <c r="AI7163" s="1"/>
      <c r="AJ7163" s="1"/>
      <c r="AK7163" s="1"/>
      <c r="AL7163" s="1"/>
      <c r="AM7163" s="1"/>
    </row>
    <row r="7164" spans="16:39" x14ac:dyDescent="0.25">
      <c r="P7164" s="49"/>
      <c r="Q7164" s="1"/>
      <c r="S7164" s="1"/>
      <c r="T7164" s="1"/>
      <c r="U7164" s="1"/>
      <c r="V7164" s="1"/>
      <c r="W7164" s="1"/>
      <c r="X7164" s="1"/>
      <c r="Y7164" s="1"/>
      <c r="AB7164" s="1"/>
      <c r="AC7164" s="1"/>
      <c r="AD7164" s="1"/>
      <c r="AE7164" s="1"/>
      <c r="AF7164" s="1"/>
      <c r="AG7164" s="1"/>
      <c r="AH7164" s="1"/>
      <c r="AI7164" s="1"/>
      <c r="AJ7164" s="1"/>
      <c r="AK7164" s="1"/>
      <c r="AL7164" s="1"/>
      <c r="AM7164" s="1"/>
    </row>
    <row r="7165" spans="16:39" x14ac:dyDescent="0.25">
      <c r="P7165" s="49"/>
      <c r="Q7165" s="1"/>
      <c r="S7165" s="1"/>
      <c r="T7165" s="1"/>
      <c r="U7165" s="1"/>
      <c r="V7165" s="1"/>
      <c r="W7165" s="1"/>
      <c r="X7165" s="1"/>
      <c r="Y7165" s="1"/>
      <c r="AB7165" s="1"/>
      <c r="AC7165" s="1"/>
      <c r="AD7165" s="1"/>
      <c r="AE7165" s="1"/>
      <c r="AF7165" s="1"/>
      <c r="AG7165" s="1"/>
      <c r="AH7165" s="1"/>
      <c r="AI7165" s="1"/>
      <c r="AJ7165" s="1"/>
      <c r="AK7165" s="1"/>
      <c r="AL7165" s="1"/>
      <c r="AM7165" s="1"/>
    </row>
    <row r="7166" spans="16:39" x14ac:dyDescent="0.25">
      <c r="P7166" s="49"/>
      <c r="Q7166" s="1"/>
      <c r="S7166" s="1"/>
      <c r="T7166" s="1"/>
      <c r="U7166" s="1"/>
      <c r="V7166" s="1"/>
      <c r="W7166" s="1"/>
      <c r="X7166" s="1"/>
      <c r="Y7166" s="1"/>
      <c r="AB7166" s="1"/>
      <c r="AC7166" s="1"/>
      <c r="AD7166" s="1"/>
      <c r="AE7166" s="1"/>
      <c r="AF7166" s="1"/>
      <c r="AG7166" s="1"/>
      <c r="AH7166" s="1"/>
      <c r="AI7166" s="1"/>
      <c r="AJ7166" s="1"/>
      <c r="AK7166" s="1"/>
      <c r="AL7166" s="1"/>
      <c r="AM7166" s="1"/>
    </row>
    <row r="7167" spans="16:39" x14ac:dyDescent="0.25">
      <c r="P7167" s="49"/>
      <c r="Q7167" s="1"/>
      <c r="S7167" s="1"/>
      <c r="T7167" s="1"/>
      <c r="U7167" s="1"/>
      <c r="V7167" s="1"/>
      <c r="W7167" s="1"/>
      <c r="X7167" s="1"/>
      <c r="Y7167" s="1"/>
      <c r="AB7167" s="1"/>
      <c r="AC7167" s="1"/>
      <c r="AD7167" s="1"/>
      <c r="AE7167" s="1"/>
      <c r="AF7167" s="1"/>
      <c r="AG7167" s="1"/>
      <c r="AH7167" s="1"/>
      <c r="AI7167" s="1"/>
      <c r="AJ7167" s="1"/>
      <c r="AK7167" s="1"/>
      <c r="AL7167" s="1"/>
      <c r="AM7167" s="1"/>
    </row>
    <row r="7168" spans="16:39" x14ac:dyDescent="0.25">
      <c r="P7168" s="49"/>
      <c r="Q7168" s="1"/>
      <c r="S7168" s="1"/>
      <c r="T7168" s="1"/>
      <c r="U7168" s="1"/>
      <c r="V7168" s="1"/>
      <c r="W7168" s="1"/>
      <c r="X7168" s="1"/>
      <c r="Y7168" s="1"/>
      <c r="AB7168" s="1"/>
      <c r="AC7168" s="1"/>
      <c r="AD7168" s="1"/>
      <c r="AE7168" s="1"/>
      <c r="AF7168" s="1"/>
      <c r="AG7168" s="1"/>
      <c r="AH7168" s="1"/>
      <c r="AI7168" s="1"/>
      <c r="AJ7168" s="1"/>
      <c r="AK7168" s="1"/>
      <c r="AL7168" s="1"/>
      <c r="AM7168" s="1"/>
    </row>
    <row r="7169" spans="16:39" x14ac:dyDescent="0.25">
      <c r="P7169" s="49"/>
      <c r="Q7169" s="1"/>
      <c r="S7169" s="1"/>
      <c r="T7169" s="1"/>
      <c r="U7169" s="1"/>
      <c r="V7169" s="1"/>
      <c r="W7169" s="1"/>
      <c r="X7169" s="1"/>
      <c r="Y7169" s="1"/>
      <c r="AB7169" s="1"/>
      <c r="AC7169" s="1"/>
      <c r="AD7169" s="1"/>
      <c r="AE7169" s="1"/>
      <c r="AF7169" s="1"/>
      <c r="AG7169" s="1"/>
      <c r="AH7169" s="1"/>
      <c r="AI7169" s="1"/>
      <c r="AJ7169" s="1"/>
      <c r="AK7169" s="1"/>
      <c r="AL7169" s="1"/>
      <c r="AM7169" s="1"/>
    </row>
    <row r="7170" spans="16:39" x14ac:dyDescent="0.25">
      <c r="P7170" s="49"/>
      <c r="Q7170" s="1"/>
      <c r="S7170" s="1"/>
      <c r="T7170" s="1"/>
      <c r="U7170" s="1"/>
      <c r="V7170" s="1"/>
      <c r="W7170" s="1"/>
      <c r="X7170" s="1"/>
      <c r="Y7170" s="1"/>
      <c r="AB7170" s="1"/>
      <c r="AC7170" s="1"/>
      <c r="AD7170" s="1"/>
      <c r="AE7170" s="1"/>
      <c r="AF7170" s="1"/>
      <c r="AG7170" s="1"/>
      <c r="AH7170" s="1"/>
      <c r="AI7170" s="1"/>
      <c r="AJ7170" s="1"/>
      <c r="AK7170" s="1"/>
      <c r="AL7170" s="1"/>
      <c r="AM7170" s="1"/>
    </row>
    <row r="7171" spans="16:39" x14ac:dyDescent="0.25">
      <c r="P7171" s="49"/>
      <c r="Q7171" s="1"/>
      <c r="S7171" s="1"/>
      <c r="T7171" s="1"/>
      <c r="U7171" s="1"/>
      <c r="V7171" s="1"/>
      <c r="W7171" s="1"/>
      <c r="X7171" s="1"/>
      <c r="Y7171" s="1"/>
      <c r="AB7171" s="1"/>
      <c r="AC7171" s="1"/>
      <c r="AD7171" s="1"/>
      <c r="AE7171" s="1"/>
      <c r="AF7171" s="1"/>
      <c r="AG7171" s="1"/>
      <c r="AH7171" s="1"/>
      <c r="AI7171" s="1"/>
      <c r="AJ7171" s="1"/>
      <c r="AK7171" s="1"/>
      <c r="AL7171" s="1"/>
      <c r="AM7171" s="1"/>
    </row>
    <row r="7172" spans="16:39" x14ac:dyDescent="0.25">
      <c r="P7172" s="49"/>
      <c r="Q7172" s="1"/>
      <c r="S7172" s="1"/>
      <c r="T7172" s="1"/>
      <c r="U7172" s="1"/>
      <c r="V7172" s="1"/>
      <c r="W7172" s="1"/>
      <c r="X7172" s="1"/>
      <c r="Y7172" s="1"/>
      <c r="AB7172" s="1"/>
      <c r="AC7172" s="1"/>
      <c r="AD7172" s="1"/>
      <c r="AE7172" s="1"/>
      <c r="AF7172" s="1"/>
      <c r="AG7172" s="1"/>
      <c r="AH7172" s="1"/>
      <c r="AI7172" s="1"/>
      <c r="AJ7172" s="1"/>
      <c r="AK7172" s="1"/>
      <c r="AL7172" s="1"/>
      <c r="AM7172" s="1"/>
    </row>
    <row r="7173" spans="16:39" x14ac:dyDescent="0.25">
      <c r="P7173" s="49"/>
      <c r="Q7173" s="1"/>
      <c r="S7173" s="1"/>
      <c r="T7173" s="1"/>
      <c r="U7173" s="1"/>
      <c r="V7173" s="1"/>
      <c r="W7173" s="1"/>
      <c r="X7173" s="1"/>
      <c r="Y7173" s="1"/>
      <c r="AB7173" s="1"/>
      <c r="AC7173" s="1"/>
      <c r="AD7173" s="1"/>
      <c r="AE7173" s="1"/>
      <c r="AF7173" s="1"/>
      <c r="AG7173" s="1"/>
      <c r="AH7173" s="1"/>
      <c r="AI7173" s="1"/>
      <c r="AJ7173" s="1"/>
      <c r="AK7173" s="1"/>
      <c r="AL7173" s="1"/>
      <c r="AM7173" s="1"/>
    </row>
    <row r="7174" spans="16:39" x14ac:dyDescent="0.25">
      <c r="P7174" s="49"/>
      <c r="Q7174" s="1"/>
      <c r="S7174" s="1"/>
      <c r="T7174" s="1"/>
      <c r="U7174" s="1"/>
      <c r="V7174" s="1"/>
      <c r="W7174" s="1"/>
      <c r="X7174" s="1"/>
      <c r="Y7174" s="1"/>
      <c r="AB7174" s="1"/>
      <c r="AC7174" s="1"/>
      <c r="AD7174" s="1"/>
      <c r="AE7174" s="1"/>
      <c r="AF7174" s="1"/>
      <c r="AG7174" s="1"/>
      <c r="AH7174" s="1"/>
      <c r="AI7174" s="1"/>
      <c r="AJ7174" s="1"/>
      <c r="AK7174" s="1"/>
      <c r="AL7174" s="1"/>
      <c r="AM7174" s="1"/>
    </row>
    <row r="7175" spans="16:39" x14ac:dyDescent="0.25">
      <c r="P7175" s="49"/>
      <c r="Q7175" s="1"/>
      <c r="S7175" s="1"/>
      <c r="T7175" s="1"/>
      <c r="U7175" s="1"/>
      <c r="V7175" s="1"/>
      <c r="W7175" s="1"/>
      <c r="X7175" s="1"/>
      <c r="Y7175" s="1"/>
      <c r="AB7175" s="1"/>
      <c r="AC7175" s="1"/>
      <c r="AD7175" s="1"/>
      <c r="AE7175" s="1"/>
      <c r="AF7175" s="1"/>
      <c r="AG7175" s="1"/>
      <c r="AH7175" s="1"/>
      <c r="AI7175" s="1"/>
      <c r="AJ7175" s="1"/>
      <c r="AK7175" s="1"/>
      <c r="AL7175" s="1"/>
      <c r="AM7175" s="1"/>
    </row>
    <row r="7176" spans="16:39" x14ac:dyDescent="0.25">
      <c r="P7176" s="49"/>
      <c r="Q7176" s="1"/>
      <c r="S7176" s="1"/>
      <c r="T7176" s="1"/>
      <c r="U7176" s="1"/>
      <c r="V7176" s="1"/>
      <c r="W7176" s="1"/>
      <c r="X7176" s="1"/>
      <c r="Y7176" s="1"/>
      <c r="AB7176" s="1"/>
      <c r="AC7176" s="1"/>
      <c r="AD7176" s="1"/>
      <c r="AE7176" s="1"/>
      <c r="AF7176" s="1"/>
      <c r="AG7176" s="1"/>
      <c r="AH7176" s="1"/>
      <c r="AI7176" s="1"/>
      <c r="AJ7176" s="1"/>
      <c r="AK7176" s="1"/>
      <c r="AL7176" s="1"/>
      <c r="AM7176" s="1"/>
    </row>
    <row r="7177" spans="16:39" x14ac:dyDescent="0.25">
      <c r="P7177" s="49"/>
      <c r="Q7177" s="1"/>
      <c r="S7177" s="1"/>
      <c r="T7177" s="1"/>
      <c r="U7177" s="1"/>
      <c r="V7177" s="1"/>
      <c r="W7177" s="1"/>
      <c r="X7177" s="1"/>
      <c r="Y7177" s="1"/>
      <c r="AB7177" s="1"/>
      <c r="AC7177" s="1"/>
      <c r="AD7177" s="1"/>
      <c r="AE7177" s="1"/>
      <c r="AF7177" s="1"/>
      <c r="AG7177" s="1"/>
      <c r="AH7177" s="1"/>
      <c r="AI7177" s="1"/>
      <c r="AJ7177" s="1"/>
      <c r="AK7177" s="1"/>
      <c r="AL7177" s="1"/>
      <c r="AM7177" s="1"/>
    </row>
    <row r="7178" spans="16:39" x14ac:dyDescent="0.25">
      <c r="P7178" s="49"/>
      <c r="Q7178" s="1"/>
      <c r="S7178" s="1"/>
      <c r="T7178" s="1"/>
      <c r="U7178" s="1"/>
      <c r="V7178" s="1"/>
      <c r="W7178" s="1"/>
      <c r="X7178" s="1"/>
      <c r="Y7178" s="1"/>
      <c r="AB7178" s="1"/>
      <c r="AC7178" s="1"/>
      <c r="AD7178" s="1"/>
      <c r="AE7178" s="1"/>
      <c r="AF7178" s="1"/>
      <c r="AG7178" s="1"/>
      <c r="AH7178" s="1"/>
      <c r="AI7178" s="1"/>
      <c r="AJ7178" s="1"/>
      <c r="AK7178" s="1"/>
      <c r="AL7178" s="1"/>
      <c r="AM7178" s="1"/>
    </row>
    <row r="7179" spans="16:39" x14ac:dyDescent="0.25">
      <c r="P7179" s="49"/>
      <c r="Q7179" s="1"/>
      <c r="S7179" s="1"/>
      <c r="T7179" s="1"/>
      <c r="U7179" s="1"/>
      <c r="V7179" s="1"/>
      <c r="W7179" s="1"/>
      <c r="X7179" s="1"/>
      <c r="Y7179" s="1"/>
      <c r="AB7179" s="1"/>
      <c r="AC7179" s="1"/>
      <c r="AD7179" s="1"/>
      <c r="AE7179" s="1"/>
      <c r="AF7179" s="1"/>
      <c r="AG7179" s="1"/>
      <c r="AH7179" s="1"/>
      <c r="AI7179" s="1"/>
      <c r="AJ7179" s="1"/>
      <c r="AK7179" s="1"/>
      <c r="AL7179" s="1"/>
      <c r="AM7179" s="1"/>
    </row>
    <row r="7180" spans="16:39" x14ac:dyDescent="0.25">
      <c r="P7180" s="49"/>
      <c r="Q7180" s="1"/>
      <c r="S7180" s="1"/>
      <c r="T7180" s="1"/>
      <c r="U7180" s="1"/>
      <c r="V7180" s="1"/>
      <c r="W7180" s="1"/>
      <c r="X7180" s="1"/>
      <c r="Y7180" s="1"/>
      <c r="AB7180" s="1"/>
      <c r="AC7180" s="1"/>
      <c r="AD7180" s="1"/>
      <c r="AE7180" s="1"/>
      <c r="AF7180" s="1"/>
      <c r="AG7180" s="1"/>
      <c r="AH7180" s="1"/>
      <c r="AI7180" s="1"/>
      <c r="AJ7180" s="1"/>
      <c r="AK7180" s="1"/>
      <c r="AL7180" s="1"/>
      <c r="AM7180" s="1"/>
    </row>
    <row r="7181" spans="16:39" x14ac:dyDescent="0.25">
      <c r="P7181" s="49"/>
      <c r="Q7181" s="1"/>
      <c r="S7181" s="1"/>
      <c r="T7181" s="1"/>
      <c r="U7181" s="1"/>
      <c r="V7181" s="1"/>
      <c r="W7181" s="1"/>
      <c r="X7181" s="1"/>
      <c r="Y7181" s="1"/>
      <c r="AB7181" s="1"/>
      <c r="AC7181" s="1"/>
      <c r="AD7181" s="1"/>
      <c r="AE7181" s="1"/>
      <c r="AF7181" s="1"/>
      <c r="AG7181" s="1"/>
      <c r="AH7181" s="1"/>
      <c r="AI7181" s="1"/>
      <c r="AJ7181" s="1"/>
      <c r="AK7181" s="1"/>
      <c r="AL7181" s="1"/>
      <c r="AM7181" s="1"/>
    </row>
    <row r="7182" spans="16:39" x14ac:dyDescent="0.25">
      <c r="P7182" s="49"/>
      <c r="Q7182" s="1"/>
      <c r="S7182" s="1"/>
      <c r="T7182" s="1"/>
      <c r="U7182" s="1"/>
      <c r="V7182" s="1"/>
      <c r="W7182" s="1"/>
      <c r="X7182" s="1"/>
      <c r="Y7182" s="1"/>
      <c r="AB7182" s="1"/>
      <c r="AC7182" s="1"/>
      <c r="AD7182" s="1"/>
      <c r="AE7182" s="1"/>
      <c r="AF7182" s="1"/>
      <c r="AG7182" s="1"/>
      <c r="AH7182" s="1"/>
      <c r="AI7182" s="1"/>
      <c r="AJ7182" s="1"/>
      <c r="AK7182" s="1"/>
      <c r="AL7182" s="1"/>
      <c r="AM7182" s="1"/>
    </row>
    <row r="7183" spans="16:39" x14ac:dyDescent="0.25">
      <c r="P7183" s="49"/>
      <c r="Q7183" s="1"/>
      <c r="S7183" s="1"/>
      <c r="T7183" s="1"/>
      <c r="U7183" s="1"/>
      <c r="V7183" s="1"/>
      <c r="W7183" s="1"/>
      <c r="X7183" s="1"/>
      <c r="Y7183" s="1"/>
      <c r="AB7183" s="1"/>
      <c r="AC7183" s="1"/>
      <c r="AD7183" s="1"/>
      <c r="AE7183" s="1"/>
      <c r="AF7183" s="1"/>
      <c r="AG7183" s="1"/>
      <c r="AH7183" s="1"/>
      <c r="AI7183" s="1"/>
      <c r="AJ7183" s="1"/>
      <c r="AK7183" s="1"/>
      <c r="AL7183" s="1"/>
      <c r="AM7183" s="1"/>
    </row>
    <row r="7184" spans="16:39" x14ac:dyDescent="0.25">
      <c r="P7184" s="49"/>
      <c r="Q7184" s="1"/>
      <c r="S7184" s="1"/>
      <c r="T7184" s="1"/>
      <c r="U7184" s="1"/>
      <c r="V7184" s="1"/>
      <c r="W7184" s="1"/>
      <c r="X7184" s="1"/>
      <c r="Y7184" s="1"/>
      <c r="AB7184" s="1"/>
      <c r="AC7184" s="1"/>
      <c r="AD7184" s="1"/>
      <c r="AE7184" s="1"/>
      <c r="AF7184" s="1"/>
      <c r="AG7184" s="1"/>
      <c r="AH7184" s="1"/>
      <c r="AI7184" s="1"/>
      <c r="AJ7184" s="1"/>
      <c r="AK7184" s="1"/>
      <c r="AL7184" s="1"/>
      <c r="AM7184" s="1"/>
    </row>
    <row r="7185" spans="16:39" x14ac:dyDescent="0.25">
      <c r="P7185" s="49"/>
      <c r="Q7185" s="1"/>
      <c r="S7185" s="1"/>
      <c r="T7185" s="1"/>
      <c r="U7185" s="1"/>
      <c r="V7185" s="1"/>
      <c r="W7185" s="1"/>
      <c r="X7185" s="1"/>
      <c r="Y7185" s="1"/>
      <c r="AB7185" s="1"/>
      <c r="AC7185" s="1"/>
      <c r="AD7185" s="1"/>
      <c r="AE7185" s="1"/>
      <c r="AF7185" s="1"/>
      <c r="AG7185" s="1"/>
      <c r="AH7185" s="1"/>
      <c r="AI7185" s="1"/>
      <c r="AJ7185" s="1"/>
      <c r="AK7185" s="1"/>
      <c r="AL7185" s="1"/>
      <c r="AM7185" s="1"/>
    </row>
    <row r="7186" spans="16:39" x14ac:dyDescent="0.25">
      <c r="P7186" s="49"/>
      <c r="Q7186" s="1"/>
      <c r="S7186" s="1"/>
      <c r="T7186" s="1"/>
      <c r="U7186" s="1"/>
      <c r="V7186" s="1"/>
      <c r="W7186" s="1"/>
      <c r="X7186" s="1"/>
      <c r="Y7186" s="1"/>
      <c r="AB7186" s="1"/>
      <c r="AC7186" s="1"/>
      <c r="AD7186" s="1"/>
      <c r="AE7186" s="1"/>
      <c r="AF7186" s="1"/>
      <c r="AG7186" s="1"/>
      <c r="AH7186" s="1"/>
      <c r="AI7186" s="1"/>
      <c r="AJ7186" s="1"/>
      <c r="AK7186" s="1"/>
      <c r="AL7186" s="1"/>
      <c r="AM7186" s="1"/>
    </row>
    <row r="7187" spans="16:39" x14ac:dyDescent="0.25">
      <c r="P7187" s="49"/>
      <c r="Q7187" s="1"/>
      <c r="S7187" s="1"/>
      <c r="T7187" s="1"/>
      <c r="U7187" s="1"/>
      <c r="V7187" s="1"/>
      <c r="W7187" s="1"/>
      <c r="X7187" s="1"/>
      <c r="Y7187" s="1"/>
      <c r="AB7187" s="1"/>
      <c r="AC7187" s="1"/>
      <c r="AD7187" s="1"/>
      <c r="AE7187" s="1"/>
      <c r="AF7187" s="1"/>
      <c r="AG7187" s="1"/>
      <c r="AH7187" s="1"/>
      <c r="AI7187" s="1"/>
      <c r="AJ7187" s="1"/>
      <c r="AK7187" s="1"/>
      <c r="AL7187" s="1"/>
      <c r="AM7187" s="1"/>
    </row>
    <row r="7188" spans="16:39" x14ac:dyDescent="0.25">
      <c r="P7188" s="49"/>
      <c r="Q7188" s="1"/>
      <c r="S7188" s="1"/>
      <c r="T7188" s="1"/>
      <c r="U7188" s="1"/>
      <c r="V7188" s="1"/>
      <c r="W7188" s="1"/>
      <c r="X7188" s="1"/>
      <c r="Y7188" s="1"/>
      <c r="AB7188" s="1"/>
      <c r="AC7188" s="1"/>
      <c r="AD7188" s="1"/>
      <c r="AE7188" s="1"/>
      <c r="AF7188" s="1"/>
      <c r="AG7188" s="1"/>
      <c r="AH7188" s="1"/>
      <c r="AI7188" s="1"/>
      <c r="AJ7188" s="1"/>
      <c r="AK7188" s="1"/>
      <c r="AL7188" s="1"/>
      <c r="AM7188" s="1"/>
    </row>
    <row r="7189" spans="16:39" x14ac:dyDescent="0.25">
      <c r="P7189" s="49"/>
      <c r="Q7189" s="1"/>
      <c r="S7189" s="1"/>
      <c r="T7189" s="1"/>
      <c r="U7189" s="1"/>
      <c r="V7189" s="1"/>
      <c r="W7189" s="1"/>
      <c r="X7189" s="1"/>
      <c r="Y7189" s="1"/>
      <c r="AB7189" s="1"/>
      <c r="AC7189" s="1"/>
      <c r="AD7189" s="1"/>
      <c r="AE7189" s="1"/>
      <c r="AF7189" s="1"/>
      <c r="AG7189" s="1"/>
      <c r="AH7189" s="1"/>
      <c r="AI7189" s="1"/>
      <c r="AJ7189" s="1"/>
      <c r="AK7189" s="1"/>
      <c r="AL7189" s="1"/>
      <c r="AM7189" s="1"/>
    </row>
    <row r="7190" spans="16:39" x14ac:dyDescent="0.25">
      <c r="P7190" s="49"/>
      <c r="Q7190" s="1"/>
      <c r="S7190" s="1"/>
      <c r="T7190" s="1"/>
      <c r="U7190" s="1"/>
      <c r="V7190" s="1"/>
      <c r="W7190" s="1"/>
      <c r="X7190" s="1"/>
      <c r="Y7190" s="1"/>
      <c r="AB7190" s="1"/>
      <c r="AC7190" s="1"/>
      <c r="AD7190" s="1"/>
      <c r="AE7190" s="1"/>
      <c r="AF7190" s="1"/>
      <c r="AG7190" s="1"/>
      <c r="AH7190" s="1"/>
      <c r="AI7190" s="1"/>
      <c r="AJ7190" s="1"/>
      <c r="AK7190" s="1"/>
      <c r="AL7190" s="1"/>
      <c r="AM7190" s="1"/>
    </row>
    <row r="7191" spans="16:39" x14ac:dyDescent="0.25">
      <c r="P7191" s="49"/>
      <c r="Q7191" s="1"/>
      <c r="S7191" s="1"/>
      <c r="T7191" s="1"/>
      <c r="U7191" s="1"/>
      <c r="V7191" s="1"/>
      <c r="W7191" s="1"/>
      <c r="X7191" s="1"/>
      <c r="Y7191" s="1"/>
      <c r="AB7191" s="1"/>
      <c r="AC7191" s="1"/>
      <c r="AD7191" s="1"/>
      <c r="AE7191" s="1"/>
      <c r="AF7191" s="1"/>
      <c r="AG7191" s="1"/>
      <c r="AH7191" s="1"/>
      <c r="AI7191" s="1"/>
      <c r="AJ7191" s="1"/>
      <c r="AK7191" s="1"/>
      <c r="AL7191" s="1"/>
      <c r="AM7191" s="1"/>
    </row>
    <row r="7192" spans="16:39" x14ac:dyDescent="0.25">
      <c r="P7192" s="49"/>
      <c r="Q7192" s="1"/>
      <c r="S7192" s="1"/>
      <c r="T7192" s="1"/>
      <c r="U7192" s="1"/>
      <c r="V7192" s="1"/>
      <c r="W7192" s="1"/>
      <c r="X7192" s="1"/>
      <c r="Y7192" s="1"/>
      <c r="AB7192" s="1"/>
      <c r="AC7192" s="1"/>
      <c r="AD7192" s="1"/>
      <c r="AE7192" s="1"/>
      <c r="AF7192" s="1"/>
      <c r="AG7192" s="1"/>
      <c r="AH7192" s="1"/>
      <c r="AI7192" s="1"/>
      <c r="AJ7192" s="1"/>
      <c r="AK7192" s="1"/>
      <c r="AL7192" s="1"/>
      <c r="AM7192" s="1"/>
    </row>
    <row r="7193" spans="16:39" x14ac:dyDescent="0.25">
      <c r="P7193" s="49"/>
      <c r="Q7193" s="1"/>
      <c r="S7193" s="1"/>
      <c r="T7193" s="1"/>
      <c r="U7193" s="1"/>
      <c r="V7193" s="1"/>
      <c r="W7193" s="1"/>
      <c r="X7193" s="1"/>
      <c r="Y7193" s="1"/>
      <c r="AB7193" s="1"/>
      <c r="AC7193" s="1"/>
      <c r="AD7193" s="1"/>
      <c r="AE7193" s="1"/>
      <c r="AF7193" s="1"/>
      <c r="AG7193" s="1"/>
      <c r="AH7193" s="1"/>
      <c r="AI7193" s="1"/>
      <c r="AJ7193" s="1"/>
      <c r="AK7193" s="1"/>
      <c r="AL7193" s="1"/>
      <c r="AM7193" s="1"/>
    </row>
    <row r="7194" spans="16:39" x14ac:dyDescent="0.25">
      <c r="P7194" s="49"/>
      <c r="Q7194" s="1"/>
      <c r="S7194" s="1"/>
      <c r="T7194" s="1"/>
      <c r="U7194" s="1"/>
      <c r="V7194" s="1"/>
      <c r="W7194" s="1"/>
      <c r="X7194" s="1"/>
      <c r="Y7194" s="1"/>
      <c r="AB7194" s="1"/>
      <c r="AC7194" s="1"/>
      <c r="AD7194" s="1"/>
      <c r="AE7194" s="1"/>
      <c r="AF7194" s="1"/>
      <c r="AG7194" s="1"/>
      <c r="AH7194" s="1"/>
      <c r="AI7194" s="1"/>
      <c r="AJ7194" s="1"/>
      <c r="AK7194" s="1"/>
      <c r="AL7194" s="1"/>
      <c r="AM7194" s="1"/>
    </row>
    <row r="7195" spans="16:39" x14ac:dyDescent="0.25">
      <c r="P7195" s="49"/>
      <c r="Q7195" s="1"/>
      <c r="S7195" s="1"/>
      <c r="T7195" s="1"/>
      <c r="U7195" s="1"/>
      <c r="V7195" s="1"/>
      <c r="W7195" s="1"/>
      <c r="X7195" s="1"/>
      <c r="Y7195" s="1"/>
      <c r="AB7195" s="1"/>
      <c r="AC7195" s="1"/>
      <c r="AD7195" s="1"/>
      <c r="AE7195" s="1"/>
      <c r="AF7195" s="1"/>
      <c r="AG7195" s="1"/>
      <c r="AH7195" s="1"/>
      <c r="AI7195" s="1"/>
      <c r="AJ7195" s="1"/>
      <c r="AK7195" s="1"/>
      <c r="AL7195" s="1"/>
      <c r="AM7195" s="1"/>
    </row>
    <row r="7196" spans="16:39" x14ac:dyDescent="0.25">
      <c r="P7196" s="49"/>
      <c r="Q7196" s="1"/>
      <c r="S7196" s="1"/>
      <c r="T7196" s="1"/>
      <c r="U7196" s="1"/>
      <c r="V7196" s="1"/>
      <c r="W7196" s="1"/>
      <c r="X7196" s="1"/>
      <c r="Y7196" s="1"/>
      <c r="AB7196" s="1"/>
      <c r="AC7196" s="1"/>
      <c r="AD7196" s="1"/>
      <c r="AE7196" s="1"/>
      <c r="AF7196" s="1"/>
      <c r="AG7196" s="1"/>
      <c r="AH7196" s="1"/>
      <c r="AI7196" s="1"/>
      <c r="AJ7196" s="1"/>
      <c r="AK7196" s="1"/>
      <c r="AL7196" s="1"/>
      <c r="AM7196" s="1"/>
    </row>
    <row r="7197" spans="16:39" x14ac:dyDescent="0.25">
      <c r="P7197" s="49"/>
      <c r="Q7197" s="1"/>
      <c r="S7197" s="1"/>
      <c r="T7197" s="1"/>
      <c r="U7197" s="1"/>
      <c r="V7197" s="1"/>
      <c r="W7197" s="1"/>
      <c r="X7197" s="1"/>
      <c r="Y7197" s="1"/>
      <c r="AB7197" s="1"/>
      <c r="AC7197" s="1"/>
      <c r="AD7197" s="1"/>
      <c r="AE7197" s="1"/>
      <c r="AF7197" s="1"/>
      <c r="AG7197" s="1"/>
      <c r="AH7197" s="1"/>
      <c r="AI7197" s="1"/>
      <c r="AJ7197" s="1"/>
      <c r="AK7197" s="1"/>
      <c r="AL7197" s="1"/>
      <c r="AM7197" s="1"/>
    </row>
    <row r="7198" spans="16:39" x14ac:dyDescent="0.25">
      <c r="P7198" s="49"/>
      <c r="Q7198" s="1"/>
      <c r="S7198" s="1"/>
      <c r="T7198" s="1"/>
      <c r="U7198" s="1"/>
      <c r="V7198" s="1"/>
      <c r="W7198" s="1"/>
      <c r="X7198" s="1"/>
      <c r="Y7198" s="1"/>
      <c r="AB7198" s="1"/>
      <c r="AC7198" s="1"/>
      <c r="AD7198" s="1"/>
      <c r="AE7198" s="1"/>
      <c r="AF7198" s="1"/>
      <c r="AG7198" s="1"/>
      <c r="AH7198" s="1"/>
      <c r="AI7198" s="1"/>
      <c r="AJ7198" s="1"/>
      <c r="AK7198" s="1"/>
      <c r="AL7198" s="1"/>
      <c r="AM7198" s="1"/>
    </row>
    <row r="7199" spans="16:39" x14ac:dyDescent="0.25">
      <c r="P7199" s="49"/>
      <c r="Q7199" s="1"/>
      <c r="S7199" s="1"/>
      <c r="T7199" s="1"/>
      <c r="U7199" s="1"/>
      <c r="V7199" s="1"/>
      <c r="W7199" s="1"/>
      <c r="X7199" s="1"/>
      <c r="Y7199" s="1"/>
      <c r="AB7199" s="1"/>
      <c r="AC7199" s="1"/>
      <c r="AD7199" s="1"/>
      <c r="AE7199" s="1"/>
      <c r="AF7199" s="1"/>
      <c r="AG7199" s="1"/>
      <c r="AH7199" s="1"/>
      <c r="AI7199" s="1"/>
      <c r="AJ7199" s="1"/>
      <c r="AK7199" s="1"/>
      <c r="AL7199" s="1"/>
      <c r="AM7199" s="1"/>
    </row>
    <row r="7200" spans="16:39" x14ac:dyDescent="0.25">
      <c r="P7200" s="49"/>
      <c r="Q7200" s="1"/>
      <c r="S7200" s="1"/>
      <c r="T7200" s="1"/>
      <c r="U7200" s="1"/>
      <c r="V7200" s="1"/>
      <c r="W7200" s="1"/>
      <c r="X7200" s="1"/>
      <c r="Y7200" s="1"/>
      <c r="AB7200" s="1"/>
      <c r="AC7200" s="1"/>
      <c r="AD7200" s="1"/>
      <c r="AE7200" s="1"/>
      <c r="AF7200" s="1"/>
      <c r="AG7200" s="1"/>
      <c r="AH7200" s="1"/>
      <c r="AI7200" s="1"/>
      <c r="AJ7200" s="1"/>
      <c r="AK7200" s="1"/>
      <c r="AL7200" s="1"/>
      <c r="AM7200" s="1"/>
    </row>
    <row r="7201" spans="16:39" x14ac:dyDescent="0.25">
      <c r="P7201" s="49"/>
      <c r="Q7201" s="1"/>
      <c r="S7201" s="1"/>
      <c r="T7201" s="1"/>
      <c r="U7201" s="1"/>
      <c r="V7201" s="1"/>
      <c r="W7201" s="1"/>
      <c r="X7201" s="1"/>
      <c r="Y7201" s="1"/>
      <c r="AB7201" s="1"/>
      <c r="AC7201" s="1"/>
      <c r="AD7201" s="1"/>
      <c r="AE7201" s="1"/>
      <c r="AF7201" s="1"/>
      <c r="AG7201" s="1"/>
      <c r="AH7201" s="1"/>
      <c r="AI7201" s="1"/>
      <c r="AJ7201" s="1"/>
      <c r="AK7201" s="1"/>
      <c r="AL7201" s="1"/>
      <c r="AM7201" s="1"/>
    </row>
    <row r="7202" spans="16:39" x14ac:dyDescent="0.25">
      <c r="P7202" s="49"/>
      <c r="Q7202" s="1"/>
      <c r="S7202" s="1"/>
      <c r="T7202" s="1"/>
      <c r="U7202" s="1"/>
      <c r="V7202" s="1"/>
      <c r="W7202" s="1"/>
      <c r="X7202" s="1"/>
      <c r="Y7202" s="1"/>
      <c r="AB7202" s="1"/>
      <c r="AC7202" s="1"/>
      <c r="AD7202" s="1"/>
      <c r="AE7202" s="1"/>
      <c r="AF7202" s="1"/>
      <c r="AG7202" s="1"/>
      <c r="AH7202" s="1"/>
      <c r="AI7202" s="1"/>
      <c r="AJ7202" s="1"/>
      <c r="AK7202" s="1"/>
      <c r="AL7202" s="1"/>
      <c r="AM7202" s="1"/>
    </row>
    <row r="7203" spans="16:39" x14ac:dyDescent="0.25">
      <c r="P7203" s="49"/>
      <c r="Q7203" s="1"/>
      <c r="S7203" s="1"/>
      <c r="T7203" s="1"/>
      <c r="U7203" s="1"/>
      <c r="V7203" s="1"/>
      <c r="W7203" s="1"/>
      <c r="X7203" s="1"/>
      <c r="Y7203" s="1"/>
      <c r="AB7203" s="1"/>
      <c r="AC7203" s="1"/>
      <c r="AD7203" s="1"/>
      <c r="AE7203" s="1"/>
      <c r="AF7203" s="1"/>
      <c r="AG7203" s="1"/>
      <c r="AH7203" s="1"/>
      <c r="AI7203" s="1"/>
      <c r="AJ7203" s="1"/>
      <c r="AK7203" s="1"/>
      <c r="AL7203" s="1"/>
      <c r="AM7203" s="1"/>
    </row>
    <row r="7204" spans="16:39" x14ac:dyDescent="0.25">
      <c r="P7204" s="49"/>
      <c r="Q7204" s="1"/>
      <c r="S7204" s="1"/>
      <c r="T7204" s="1"/>
      <c r="U7204" s="1"/>
      <c r="V7204" s="1"/>
      <c r="W7204" s="1"/>
      <c r="X7204" s="1"/>
      <c r="Y7204" s="1"/>
      <c r="AB7204" s="1"/>
      <c r="AC7204" s="1"/>
      <c r="AD7204" s="1"/>
      <c r="AE7204" s="1"/>
      <c r="AF7204" s="1"/>
      <c r="AG7204" s="1"/>
      <c r="AH7204" s="1"/>
      <c r="AI7204" s="1"/>
      <c r="AJ7204" s="1"/>
      <c r="AK7204" s="1"/>
      <c r="AL7204" s="1"/>
      <c r="AM7204" s="1"/>
    </row>
    <row r="7205" spans="16:39" x14ac:dyDescent="0.25">
      <c r="P7205" s="49"/>
      <c r="Q7205" s="1"/>
      <c r="S7205" s="1"/>
      <c r="T7205" s="1"/>
      <c r="U7205" s="1"/>
      <c r="V7205" s="1"/>
      <c r="W7205" s="1"/>
      <c r="X7205" s="1"/>
      <c r="Y7205" s="1"/>
      <c r="AB7205" s="1"/>
      <c r="AC7205" s="1"/>
      <c r="AD7205" s="1"/>
      <c r="AE7205" s="1"/>
      <c r="AF7205" s="1"/>
      <c r="AG7205" s="1"/>
      <c r="AH7205" s="1"/>
      <c r="AI7205" s="1"/>
      <c r="AJ7205" s="1"/>
      <c r="AK7205" s="1"/>
      <c r="AL7205" s="1"/>
      <c r="AM7205" s="1"/>
    </row>
    <row r="7206" spans="16:39" x14ac:dyDescent="0.25">
      <c r="P7206" s="49"/>
      <c r="Q7206" s="1"/>
      <c r="S7206" s="1"/>
      <c r="T7206" s="1"/>
      <c r="U7206" s="1"/>
      <c r="V7206" s="1"/>
      <c r="W7206" s="1"/>
      <c r="X7206" s="1"/>
      <c r="Y7206" s="1"/>
      <c r="AB7206" s="1"/>
      <c r="AC7206" s="1"/>
      <c r="AD7206" s="1"/>
      <c r="AE7206" s="1"/>
      <c r="AF7206" s="1"/>
      <c r="AG7206" s="1"/>
      <c r="AH7206" s="1"/>
      <c r="AI7206" s="1"/>
      <c r="AJ7206" s="1"/>
      <c r="AK7206" s="1"/>
      <c r="AL7206" s="1"/>
      <c r="AM7206" s="1"/>
    </row>
    <row r="7207" spans="16:39" x14ac:dyDescent="0.25">
      <c r="P7207" s="49"/>
      <c r="Q7207" s="1"/>
      <c r="S7207" s="1"/>
      <c r="T7207" s="1"/>
      <c r="U7207" s="1"/>
      <c r="V7207" s="1"/>
      <c r="W7207" s="1"/>
      <c r="X7207" s="1"/>
      <c r="Y7207" s="1"/>
      <c r="AB7207" s="1"/>
      <c r="AC7207" s="1"/>
      <c r="AD7207" s="1"/>
      <c r="AE7207" s="1"/>
      <c r="AF7207" s="1"/>
      <c r="AG7207" s="1"/>
      <c r="AH7207" s="1"/>
      <c r="AI7207" s="1"/>
      <c r="AJ7207" s="1"/>
      <c r="AK7207" s="1"/>
      <c r="AL7207" s="1"/>
      <c r="AM7207" s="1"/>
    </row>
    <row r="7208" spans="16:39" x14ac:dyDescent="0.25">
      <c r="P7208" s="49"/>
      <c r="Q7208" s="1"/>
      <c r="S7208" s="1"/>
      <c r="T7208" s="1"/>
      <c r="U7208" s="1"/>
      <c r="V7208" s="1"/>
      <c r="W7208" s="1"/>
      <c r="X7208" s="1"/>
      <c r="Y7208" s="1"/>
      <c r="AB7208" s="1"/>
      <c r="AC7208" s="1"/>
      <c r="AD7208" s="1"/>
      <c r="AE7208" s="1"/>
      <c r="AF7208" s="1"/>
      <c r="AG7208" s="1"/>
      <c r="AH7208" s="1"/>
      <c r="AI7208" s="1"/>
      <c r="AJ7208" s="1"/>
      <c r="AK7208" s="1"/>
      <c r="AL7208" s="1"/>
      <c r="AM7208" s="1"/>
    </row>
    <row r="7209" spans="16:39" x14ac:dyDescent="0.25">
      <c r="P7209" s="49"/>
      <c r="Q7209" s="1"/>
      <c r="S7209" s="1"/>
      <c r="T7209" s="1"/>
      <c r="U7209" s="1"/>
      <c r="V7209" s="1"/>
      <c r="W7209" s="1"/>
      <c r="X7209" s="1"/>
      <c r="Y7209" s="1"/>
      <c r="AB7209" s="1"/>
      <c r="AC7209" s="1"/>
      <c r="AD7209" s="1"/>
      <c r="AE7209" s="1"/>
      <c r="AF7209" s="1"/>
      <c r="AG7209" s="1"/>
      <c r="AH7209" s="1"/>
      <c r="AI7209" s="1"/>
      <c r="AJ7209" s="1"/>
      <c r="AK7209" s="1"/>
      <c r="AL7209" s="1"/>
      <c r="AM7209" s="1"/>
    </row>
    <row r="7210" spans="16:39" x14ac:dyDescent="0.25">
      <c r="P7210" s="49"/>
      <c r="Q7210" s="1"/>
      <c r="S7210" s="1"/>
      <c r="T7210" s="1"/>
      <c r="U7210" s="1"/>
      <c r="V7210" s="1"/>
      <c r="W7210" s="1"/>
      <c r="X7210" s="1"/>
      <c r="Y7210" s="1"/>
      <c r="AB7210" s="1"/>
      <c r="AC7210" s="1"/>
      <c r="AD7210" s="1"/>
      <c r="AE7210" s="1"/>
      <c r="AF7210" s="1"/>
      <c r="AG7210" s="1"/>
      <c r="AH7210" s="1"/>
      <c r="AI7210" s="1"/>
      <c r="AJ7210" s="1"/>
      <c r="AK7210" s="1"/>
      <c r="AL7210" s="1"/>
      <c r="AM7210" s="1"/>
    </row>
    <row r="7211" spans="16:39" x14ac:dyDescent="0.25">
      <c r="P7211" s="49"/>
      <c r="Q7211" s="1"/>
      <c r="S7211" s="1"/>
      <c r="T7211" s="1"/>
      <c r="U7211" s="1"/>
      <c r="V7211" s="1"/>
      <c r="W7211" s="1"/>
      <c r="X7211" s="1"/>
      <c r="Y7211" s="1"/>
      <c r="AB7211" s="1"/>
      <c r="AC7211" s="1"/>
      <c r="AD7211" s="1"/>
      <c r="AE7211" s="1"/>
      <c r="AF7211" s="1"/>
      <c r="AG7211" s="1"/>
      <c r="AH7211" s="1"/>
      <c r="AI7211" s="1"/>
      <c r="AJ7211" s="1"/>
      <c r="AK7211" s="1"/>
      <c r="AL7211" s="1"/>
      <c r="AM7211" s="1"/>
    </row>
    <row r="7212" spans="16:39" x14ac:dyDescent="0.25">
      <c r="P7212" s="49"/>
      <c r="Q7212" s="1"/>
      <c r="S7212" s="1"/>
      <c r="T7212" s="1"/>
      <c r="U7212" s="1"/>
      <c r="V7212" s="1"/>
      <c r="W7212" s="1"/>
      <c r="X7212" s="1"/>
      <c r="Y7212" s="1"/>
      <c r="AB7212" s="1"/>
      <c r="AC7212" s="1"/>
      <c r="AD7212" s="1"/>
      <c r="AE7212" s="1"/>
      <c r="AF7212" s="1"/>
      <c r="AG7212" s="1"/>
      <c r="AH7212" s="1"/>
      <c r="AI7212" s="1"/>
      <c r="AJ7212" s="1"/>
      <c r="AK7212" s="1"/>
      <c r="AL7212" s="1"/>
      <c r="AM7212" s="1"/>
    </row>
    <row r="7213" spans="16:39" x14ac:dyDescent="0.25">
      <c r="P7213" s="49"/>
      <c r="Q7213" s="1"/>
      <c r="S7213" s="1"/>
      <c r="T7213" s="1"/>
      <c r="U7213" s="1"/>
      <c r="V7213" s="1"/>
      <c r="W7213" s="1"/>
      <c r="X7213" s="1"/>
      <c r="Y7213" s="1"/>
      <c r="AB7213" s="1"/>
      <c r="AC7213" s="1"/>
      <c r="AD7213" s="1"/>
      <c r="AE7213" s="1"/>
      <c r="AF7213" s="1"/>
      <c r="AG7213" s="1"/>
      <c r="AH7213" s="1"/>
      <c r="AI7213" s="1"/>
      <c r="AJ7213" s="1"/>
      <c r="AK7213" s="1"/>
      <c r="AL7213" s="1"/>
      <c r="AM7213" s="1"/>
    </row>
    <row r="7214" spans="16:39" x14ac:dyDescent="0.25">
      <c r="P7214" s="49"/>
      <c r="Q7214" s="1"/>
      <c r="S7214" s="1"/>
      <c r="T7214" s="1"/>
      <c r="U7214" s="1"/>
      <c r="V7214" s="1"/>
      <c r="W7214" s="1"/>
      <c r="X7214" s="1"/>
      <c r="Y7214" s="1"/>
      <c r="AB7214" s="1"/>
      <c r="AC7214" s="1"/>
      <c r="AD7214" s="1"/>
      <c r="AE7214" s="1"/>
      <c r="AF7214" s="1"/>
      <c r="AG7214" s="1"/>
      <c r="AH7214" s="1"/>
      <c r="AI7214" s="1"/>
      <c r="AJ7214" s="1"/>
      <c r="AK7214" s="1"/>
      <c r="AL7214" s="1"/>
      <c r="AM7214" s="1"/>
    </row>
    <row r="7215" spans="16:39" x14ac:dyDescent="0.25">
      <c r="P7215" s="49"/>
      <c r="Q7215" s="1"/>
      <c r="S7215" s="1"/>
      <c r="T7215" s="1"/>
      <c r="U7215" s="1"/>
      <c r="V7215" s="1"/>
      <c r="W7215" s="1"/>
      <c r="X7215" s="1"/>
      <c r="Y7215" s="1"/>
      <c r="AB7215" s="1"/>
      <c r="AC7215" s="1"/>
      <c r="AD7215" s="1"/>
      <c r="AE7215" s="1"/>
      <c r="AF7215" s="1"/>
      <c r="AG7215" s="1"/>
      <c r="AH7215" s="1"/>
      <c r="AI7215" s="1"/>
      <c r="AJ7215" s="1"/>
      <c r="AK7215" s="1"/>
      <c r="AL7215" s="1"/>
      <c r="AM7215" s="1"/>
    </row>
    <row r="7216" spans="16:39" x14ac:dyDescent="0.25">
      <c r="P7216" s="49"/>
      <c r="Q7216" s="1"/>
      <c r="S7216" s="1"/>
      <c r="T7216" s="1"/>
      <c r="U7216" s="1"/>
      <c r="V7216" s="1"/>
      <c r="W7216" s="1"/>
      <c r="X7216" s="1"/>
      <c r="Y7216" s="1"/>
      <c r="AB7216" s="1"/>
      <c r="AC7216" s="1"/>
      <c r="AD7216" s="1"/>
      <c r="AE7216" s="1"/>
      <c r="AF7216" s="1"/>
      <c r="AG7216" s="1"/>
      <c r="AH7216" s="1"/>
      <c r="AI7216" s="1"/>
      <c r="AJ7216" s="1"/>
      <c r="AK7216" s="1"/>
      <c r="AL7216" s="1"/>
      <c r="AM7216" s="1"/>
    </row>
    <row r="7217" spans="16:39" x14ac:dyDescent="0.25">
      <c r="P7217" s="49"/>
      <c r="Q7217" s="1"/>
      <c r="S7217" s="1"/>
      <c r="T7217" s="1"/>
      <c r="U7217" s="1"/>
      <c r="V7217" s="1"/>
      <c r="W7217" s="1"/>
      <c r="X7217" s="1"/>
      <c r="Y7217" s="1"/>
      <c r="AB7217" s="1"/>
      <c r="AC7217" s="1"/>
      <c r="AD7217" s="1"/>
      <c r="AE7217" s="1"/>
      <c r="AF7217" s="1"/>
      <c r="AG7217" s="1"/>
      <c r="AH7217" s="1"/>
      <c r="AI7217" s="1"/>
      <c r="AJ7217" s="1"/>
      <c r="AK7217" s="1"/>
      <c r="AL7217" s="1"/>
      <c r="AM7217" s="1"/>
    </row>
    <row r="7218" spans="16:39" x14ac:dyDescent="0.25">
      <c r="P7218" s="49"/>
      <c r="Q7218" s="1"/>
      <c r="S7218" s="1"/>
      <c r="T7218" s="1"/>
      <c r="U7218" s="1"/>
      <c r="V7218" s="1"/>
      <c r="W7218" s="1"/>
      <c r="X7218" s="1"/>
      <c r="Y7218" s="1"/>
      <c r="AB7218" s="1"/>
      <c r="AC7218" s="1"/>
      <c r="AD7218" s="1"/>
      <c r="AE7218" s="1"/>
      <c r="AF7218" s="1"/>
      <c r="AG7218" s="1"/>
      <c r="AH7218" s="1"/>
      <c r="AI7218" s="1"/>
      <c r="AJ7218" s="1"/>
      <c r="AK7218" s="1"/>
      <c r="AL7218" s="1"/>
      <c r="AM7218" s="1"/>
    </row>
    <row r="7219" spans="16:39" x14ac:dyDescent="0.25">
      <c r="P7219" s="49"/>
      <c r="Q7219" s="1"/>
      <c r="S7219" s="1"/>
      <c r="T7219" s="1"/>
      <c r="U7219" s="1"/>
      <c r="V7219" s="1"/>
      <c r="W7219" s="1"/>
      <c r="X7219" s="1"/>
      <c r="Y7219" s="1"/>
      <c r="AB7219" s="1"/>
      <c r="AC7219" s="1"/>
      <c r="AD7219" s="1"/>
      <c r="AE7219" s="1"/>
      <c r="AF7219" s="1"/>
      <c r="AG7219" s="1"/>
      <c r="AH7219" s="1"/>
      <c r="AI7219" s="1"/>
      <c r="AJ7219" s="1"/>
      <c r="AK7219" s="1"/>
      <c r="AL7219" s="1"/>
      <c r="AM7219" s="1"/>
    </row>
    <row r="7220" spans="16:39" x14ac:dyDescent="0.25">
      <c r="P7220" s="49"/>
      <c r="Q7220" s="1"/>
      <c r="S7220" s="1"/>
      <c r="T7220" s="1"/>
      <c r="U7220" s="1"/>
      <c r="V7220" s="1"/>
      <c r="W7220" s="1"/>
      <c r="X7220" s="1"/>
      <c r="Y7220" s="1"/>
      <c r="AB7220" s="1"/>
      <c r="AC7220" s="1"/>
      <c r="AD7220" s="1"/>
      <c r="AE7220" s="1"/>
      <c r="AF7220" s="1"/>
      <c r="AG7220" s="1"/>
      <c r="AH7220" s="1"/>
      <c r="AI7220" s="1"/>
      <c r="AJ7220" s="1"/>
      <c r="AK7220" s="1"/>
      <c r="AL7220" s="1"/>
      <c r="AM7220" s="1"/>
    </row>
    <row r="7221" spans="16:39" x14ac:dyDescent="0.25">
      <c r="P7221" s="49"/>
      <c r="Q7221" s="1"/>
      <c r="S7221" s="1"/>
      <c r="T7221" s="1"/>
      <c r="U7221" s="1"/>
      <c r="V7221" s="1"/>
      <c r="W7221" s="1"/>
      <c r="X7221" s="1"/>
      <c r="Y7221" s="1"/>
      <c r="AB7221" s="1"/>
      <c r="AC7221" s="1"/>
      <c r="AD7221" s="1"/>
      <c r="AE7221" s="1"/>
      <c r="AF7221" s="1"/>
      <c r="AG7221" s="1"/>
      <c r="AH7221" s="1"/>
      <c r="AI7221" s="1"/>
      <c r="AJ7221" s="1"/>
      <c r="AK7221" s="1"/>
      <c r="AL7221" s="1"/>
      <c r="AM7221" s="1"/>
    </row>
    <row r="7222" spans="16:39" x14ac:dyDescent="0.25">
      <c r="P7222" s="49"/>
      <c r="Q7222" s="1"/>
      <c r="S7222" s="1"/>
      <c r="T7222" s="1"/>
      <c r="U7222" s="1"/>
      <c r="V7222" s="1"/>
      <c r="W7222" s="1"/>
      <c r="X7222" s="1"/>
      <c r="Y7222" s="1"/>
      <c r="AB7222" s="1"/>
      <c r="AC7222" s="1"/>
      <c r="AD7222" s="1"/>
      <c r="AE7222" s="1"/>
      <c r="AF7222" s="1"/>
      <c r="AG7222" s="1"/>
      <c r="AH7222" s="1"/>
      <c r="AI7222" s="1"/>
      <c r="AJ7222" s="1"/>
      <c r="AK7222" s="1"/>
      <c r="AL7222" s="1"/>
      <c r="AM7222" s="1"/>
    </row>
    <row r="7223" spans="16:39" x14ac:dyDescent="0.25">
      <c r="P7223" s="49"/>
      <c r="Q7223" s="1"/>
      <c r="S7223" s="1"/>
      <c r="T7223" s="1"/>
      <c r="U7223" s="1"/>
      <c r="V7223" s="1"/>
      <c r="W7223" s="1"/>
      <c r="X7223" s="1"/>
      <c r="Y7223" s="1"/>
      <c r="AB7223" s="1"/>
      <c r="AC7223" s="1"/>
      <c r="AD7223" s="1"/>
      <c r="AE7223" s="1"/>
      <c r="AF7223" s="1"/>
      <c r="AG7223" s="1"/>
      <c r="AH7223" s="1"/>
      <c r="AI7223" s="1"/>
      <c r="AJ7223" s="1"/>
      <c r="AK7223" s="1"/>
      <c r="AL7223" s="1"/>
      <c r="AM7223" s="1"/>
    </row>
    <row r="7224" spans="16:39" x14ac:dyDescent="0.25">
      <c r="P7224" s="49"/>
      <c r="Q7224" s="1"/>
      <c r="S7224" s="1"/>
      <c r="T7224" s="1"/>
      <c r="U7224" s="1"/>
      <c r="V7224" s="1"/>
      <c r="W7224" s="1"/>
      <c r="X7224" s="1"/>
      <c r="Y7224" s="1"/>
      <c r="AB7224" s="1"/>
      <c r="AC7224" s="1"/>
      <c r="AD7224" s="1"/>
      <c r="AE7224" s="1"/>
      <c r="AF7224" s="1"/>
      <c r="AG7224" s="1"/>
      <c r="AH7224" s="1"/>
      <c r="AI7224" s="1"/>
      <c r="AJ7224" s="1"/>
      <c r="AK7224" s="1"/>
      <c r="AL7224" s="1"/>
      <c r="AM7224" s="1"/>
    </row>
    <row r="7225" spans="16:39" x14ac:dyDescent="0.25">
      <c r="P7225" s="49"/>
      <c r="Q7225" s="1"/>
      <c r="S7225" s="1"/>
      <c r="T7225" s="1"/>
      <c r="U7225" s="1"/>
      <c r="V7225" s="1"/>
      <c r="W7225" s="1"/>
      <c r="X7225" s="1"/>
      <c r="Y7225" s="1"/>
      <c r="AB7225" s="1"/>
      <c r="AC7225" s="1"/>
      <c r="AD7225" s="1"/>
      <c r="AE7225" s="1"/>
      <c r="AF7225" s="1"/>
      <c r="AG7225" s="1"/>
      <c r="AH7225" s="1"/>
      <c r="AI7225" s="1"/>
      <c r="AJ7225" s="1"/>
      <c r="AK7225" s="1"/>
      <c r="AL7225" s="1"/>
      <c r="AM7225" s="1"/>
    </row>
    <row r="7226" spans="16:39" x14ac:dyDescent="0.25">
      <c r="P7226" s="49"/>
      <c r="Q7226" s="1"/>
      <c r="S7226" s="1"/>
      <c r="T7226" s="1"/>
      <c r="U7226" s="1"/>
      <c r="V7226" s="1"/>
      <c r="W7226" s="1"/>
      <c r="X7226" s="1"/>
      <c r="Y7226" s="1"/>
      <c r="AB7226" s="1"/>
      <c r="AC7226" s="1"/>
      <c r="AD7226" s="1"/>
      <c r="AE7226" s="1"/>
      <c r="AF7226" s="1"/>
      <c r="AG7226" s="1"/>
      <c r="AH7226" s="1"/>
      <c r="AI7226" s="1"/>
      <c r="AJ7226" s="1"/>
      <c r="AK7226" s="1"/>
      <c r="AL7226" s="1"/>
      <c r="AM7226" s="1"/>
    </row>
    <row r="7227" spans="16:39" x14ac:dyDescent="0.25">
      <c r="P7227" s="49"/>
      <c r="Q7227" s="1"/>
      <c r="S7227" s="1"/>
      <c r="T7227" s="1"/>
      <c r="U7227" s="1"/>
      <c r="V7227" s="1"/>
      <c r="W7227" s="1"/>
      <c r="X7227" s="1"/>
      <c r="Y7227" s="1"/>
      <c r="AB7227" s="1"/>
      <c r="AC7227" s="1"/>
      <c r="AD7227" s="1"/>
      <c r="AE7227" s="1"/>
      <c r="AF7227" s="1"/>
      <c r="AG7227" s="1"/>
      <c r="AH7227" s="1"/>
      <c r="AI7227" s="1"/>
      <c r="AJ7227" s="1"/>
      <c r="AK7227" s="1"/>
      <c r="AL7227" s="1"/>
      <c r="AM7227" s="1"/>
    </row>
    <row r="7228" spans="16:39" x14ac:dyDescent="0.25">
      <c r="P7228" s="49"/>
      <c r="Q7228" s="1"/>
      <c r="S7228" s="1"/>
      <c r="T7228" s="1"/>
      <c r="U7228" s="1"/>
      <c r="V7228" s="1"/>
      <c r="W7228" s="1"/>
      <c r="X7228" s="1"/>
      <c r="Y7228" s="1"/>
      <c r="AB7228" s="1"/>
      <c r="AC7228" s="1"/>
      <c r="AD7228" s="1"/>
      <c r="AE7228" s="1"/>
      <c r="AF7228" s="1"/>
      <c r="AG7228" s="1"/>
      <c r="AH7228" s="1"/>
      <c r="AI7228" s="1"/>
      <c r="AJ7228" s="1"/>
      <c r="AK7228" s="1"/>
      <c r="AL7228" s="1"/>
      <c r="AM7228" s="1"/>
    </row>
    <row r="7229" spans="16:39" x14ac:dyDescent="0.25">
      <c r="P7229" s="49"/>
      <c r="Q7229" s="1"/>
      <c r="S7229" s="1"/>
      <c r="T7229" s="1"/>
      <c r="U7229" s="1"/>
      <c r="V7229" s="1"/>
      <c r="W7229" s="1"/>
      <c r="X7229" s="1"/>
      <c r="Y7229" s="1"/>
      <c r="AB7229" s="1"/>
      <c r="AC7229" s="1"/>
      <c r="AD7229" s="1"/>
      <c r="AE7229" s="1"/>
      <c r="AF7229" s="1"/>
      <c r="AG7229" s="1"/>
      <c r="AH7229" s="1"/>
      <c r="AI7229" s="1"/>
      <c r="AJ7229" s="1"/>
      <c r="AK7229" s="1"/>
      <c r="AL7229" s="1"/>
      <c r="AM7229" s="1"/>
    </row>
    <row r="7230" spans="16:39" x14ac:dyDescent="0.25">
      <c r="P7230" s="49"/>
      <c r="Q7230" s="1"/>
      <c r="S7230" s="1"/>
      <c r="T7230" s="1"/>
      <c r="U7230" s="1"/>
      <c r="V7230" s="1"/>
      <c r="W7230" s="1"/>
      <c r="X7230" s="1"/>
      <c r="Y7230" s="1"/>
      <c r="AB7230" s="1"/>
      <c r="AC7230" s="1"/>
      <c r="AD7230" s="1"/>
      <c r="AE7230" s="1"/>
      <c r="AF7230" s="1"/>
      <c r="AG7230" s="1"/>
      <c r="AH7230" s="1"/>
      <c r="AI7230" s="1"/>
      <c r="AJ7230" s="1"/>
      <c r="AK7230" s="1"/>
      <c r="AL7230" s="1"/>
      <c r="AM7230" s="1"/>
    </row>
    <row r="7231" spans="16:39" x14ac:dyDescent="0.25">
      <c r="P7231" s="49"/>
      <c r="Q7231" s="1"/>
      <c r="S7231" s="1"/>
      <c r="T7231" s="1"/>
      <c r="U7231" s="1"/>
      <c r="V7231" s="1"/>
      <c r="W7231" s="1"/>
      <c r="X7231" s="1"/>
      <c r="Y7231" s="1"/>
      <c r="AB7231" s="1"/>
      <c r="AC7231" s="1"/>
      <c r="AD7231" s="1"/>
      <c r="AE7231" s="1"/>
      <c r="AF7231" s="1"/>
      <c r="AG7231" s="1"/>
      <c r="AH7231" s="1"/>
      <c r="AI7231" s="1"/>
      <c r="AJ7231" s="1"/>
      <c r="AK7231" s="1"/>
      <c r="AL7231" s="1"/>
      <c r="AM7231" s="1"/>
    </row>
    <row r="7232" spans="16:39" x14ac:dyDescent="0.25">
      <c r="P7232" s="49"/>
      <c r="Q7232" s="1"/>
      <c r="S7232" s="1"/>
      <c r="T7232" s="1"/>
      <c r="U7232" s="1"/>
      <c r="V7232" s="1"/>
      <c r="W7232" s="1"/>
      <c r="X7232" s="1"/>
      <c r="Y7232" s="1"/>
      <c r="AB7232" s="1"/>
      <c r="AC7232" s="1"/>
      <c r="AD7232" s="1"/>
      <c r="AE7232" s="1"/>
      <c r="AF7232" s="1"/>
      <c r="AG7232" s="1"/>
      <c r="AH7232" s="1"/>
      <c r="AI7232" s="1"/>
      <c r="AJ7232" s="1"/>
      <c r="AK7232" s="1"/>
      <c r="AL7232" s="1"/>
      <c r="AM7232" s="1"/>
    </row>
    <row r="7233" spans="16:39" x14ac:dyDescent="0.25">
      <c r="P7233" s="49"/>
      <c r="Q7233" s="1"/>
      <c r="S7233" s="1"/>
      <c r="T7233" s="1"/>
      <c r="U7233" s="1"/>
      <c r="V7233" s="1"/>
      <c r="W7233" s="1"/>
      <c r="X7233" s="1"/>
      <c r="Y7233" s="1"/>
      <c r="AB7233" s="1"/>
      <c r="AC7233" s="1"/>
      <c r="AD7233" s="1"/>
      <c r="AE7233" s="1"/>
      <c r="AF7233" s="1"/>
      <c r="AG7233" s="1"/>
      <c r="AH7233" s="1"/>
      <c r="AI7233" s="1"/>
      <c r="AJ7233" s="1"/>
      <c r="AK7233" s="1"/>
      <c r="AL7233" s="1"/>
      <c r="AM7233" s="1"/>
    </row>
    <row r="7234" spans="16:39" x14ac:dyDescent="0.25">
      <c r="P7234" s="49"/>
      <c r="Q7234" s="1"/>
      <c r="S7234" s="1"/>
      <c r="T7234" s="1"/>
      <c r="U7234" s="1"/>
      <c r="V7234" s="1"/>
      <c r="W7234" s="1"/>
      <c r="X7234" s="1"/>
      <c r="Y7234" s="1"/>
      <c r="AB7234" s="1"/>
      <c r="AC7234" s="1"/>
      <c r="AD7234" s="1"/>
      <c r="AE7234" s="1"/>
      <c r="AF7234" s="1"/>
      <c r="AG7234" s="1"/>
      <c r="AH7234" s="1"/>
      <c r="AI7234" s="1"/>
      <c r="AJ7234" s="1"/>
      <c r="AK7234" s="1"/>
      <c r="AL7234" s="1"/>
      <c r="AM7234" s="1"/>
    </row>
    <row r="7235" spans="16:39" x14ac:dyDescent="0.25">
      <c r="P7235" s="49"/>
      <c r="Q7235" s="1"/>
      <c r="S7235" s="1"/>
      <c r="T7235" s="1"/>
      <c r="U7235" s="1"/>
      <c r="V7235" s="1"/>
      <c r="W7235" s="1"/>
      <c r="X7235" s="1"/>
      <c r="Y7235" s="1"/>
      <c r="AB7235" s="1"/>
      <c r="AC7235" s="1"/>
      <c r="AD7235" s="1"/>
      <c r="AE7235" s="1"/>
      <c r="AF7235" s="1"/>
      <c r="AG7235" s="1"/>
      <c r="AH7235" s="1"/>
      <c r="AI7235" s="1"/>
      <c r="AJ7235" s="1"/>
      <c r="AK7235" s="1"/>
      <c r="AL7235" s="1"/>
      <c r="AM7235" s="1"/>
    </row>
    <row r="7236" spans="16:39" x14ac:dyDescent="0.25">
      <c r="P7236" s="49"/>
      <c r="Q7236" s="1"/>
      <c r="S7236" s="1"/>
      <c r="T7236" s="1"/>
      <c r="U7236" s="1"/>
      <c r="V7236" s="1"/>
      <c r="W7236" s="1"/>
      <c r="X7236" s="1"/>
      <c r="Y7236" s="1"/>
      <c r="AB7236" s="1"/>
      <c r="AC7236" s="1"/>
      <c r="AD7236" s="1"/>
      <c r="AE7236" s="1"/>
      <c r="AF7236" s="1"/>
      <c r="AG7236" s="1"/>
      <c r="AH7236" s="1"/>
      <c r="AI7236" s="1"/>
      <c r="AJ7236" s="1"/>
      <c r="AK7236" s="1"/>
      <c r="AL7236" s="1"/>
      <c r="AM7236" s="1"/>
    </row>
    <row r="7237" spans="16:39" x14ac:dyDescent="0.25">
      <c r="P7237" s="49"/>
      <c r="Q7237" s="1"/>
      <c r="S7237" s="1"/>
      <c r="T7237" s="1"/>
      <c r="U7237" s="1"/>
      <c r="V7237" s="1"/>
      <c r="W7237" s="1"/>
      <c r="X7237" s="1"/>
      <c r="Y7237" s="1"/>
      <c r="AB7237" s="1"/>
      <c r="AC7237" s="1"/>
      <c r="AD7237" s="1"/>
      <c r="AE7237" s="1"/>
      <c r="AF7237" s="1"/>
      <c r="AG7237" s="1"/>
      <c r="AH7237" s="1"/>
      <c r="AI7237" s="1"/>
      <c r="AJ7237" s="1"/>
      <c r="AK7237" s="1"/>
      <c r="AL7237" s="1"/>
      <c r="AM7237" s="1"/>
    </row>
    <row r="7238" spans="16:39" x14ac:dyDescent="0.25">
      <c r="P7238" s="49"/>
      <c r="Q7238" s="1"/>
      <c r="S7238" s="1"/>
      <c r="T7238" s="1"/>
      <c r="U7238" s="1"/>
      <c r="V7238" s="1"/>
      <c r="W7238" s="1"/>
      <c r="X7238" s="1"/>
      <c r="Y7238" s="1"/>
      <c r="AB7238" s="1"/>
      <c r="AC7238" s="1"/>
      <c r="AD7238" s="1"/>
      <c r="AE7238" s="1"/>
      <c r="AF7238" s="1"/>
      <c r="AG7238" s="1"/>
      <c r="AH7238" s="1"/>
      <c r="AI7238" s="1"/>
      <c r="AJ7238" s="1"/>
      <c r="AK7238" s="1"/>
      <c r="AL7238" s="1"/>
      <c r="AM7238" s="1"/>
    </row>
    <row r="7239" spans="16:39" x14ac:dyDescent="0.25">
      <c r="P7239" s="49"/>
      <c r="Q7239" s="1"/>
      <c r="S7239" s="1"/>
      <c r="T7239" s="1"/>
      <c r="U7239" s="1"/>
      <c r="V7239" s="1"/>
      <c r="W7239" s="1"/>
      <c r="X7239" s="1"/>
      <c r="Y7239" s="1"/>
      <c r="AB7239" s="1"/>
      <c r="AC7239" s="1"/>
      <c r="AD7239" s="1"/>
      <c r="AE7239" s="1"/>
      <c r="AF7239" s="1"/>
      <c r="AG7239" s="1"/>
      <c r="AH7239" s="1"/>
      <c r="AI7239" s="1"/>
      <c r="AJ7239" s="1"/>
      <c r="AK7239" s="1"/>
      <c r="AL7239" s="1"/>
      <c r="AM7239" s="1"/>
    </row>
    <row r="7240" spans="16:39" x14ac:dyDescent="0.25">
      <c r="P7240" s="49"/>
      <c r="Q7240" s="1"/>
      <c r="S7240" s="1"/>
      <c r="T7240" s="1"/>
      <c r="U7240" s="1"/>
      <c r="V7240" s="1"/>
      <c r="W7240" s="1"/>
      <c r="X7240" s="1"/>
      <c r="Y7240" s="1"/>
      <c r="AB7240" s="1"/>
      <c r="AC7240" s="1"/>
      <c r="AD7240" s="1"/>
      <c r="AE7240" s="1"/>
      <c r="AF7240" s="1"/>
      <c r="AG7240" s="1"/>
      <c r="AH7240" s="1"/>
      <c r="AI7240" s="1"/>
      <c r="AJ7240" s="1"/>
      <c r="AK7240" s="1"/>
      <c r="AL7240" s="1"/>
      <c r="AM7240" s="1"/>
    </row>
    <row r="7241" spans="16:39" x14ac:dyDescent="0.25">
      <c r="P7241" s="49"/>
      <c r="Q7241" s="1"/>
      <c r="S7241" s="1"/>
      <c r="T7241" s="1"/>
      <c r="U7241" s="1"/>
      <c r="V7241" s="1"/>
      <c r="W7241" s="1"/>
      <c r="X7241" s="1"/>
      <c r="Y7241" s="1"/>
      <c r="AB7241" s="1"/>
      <c r="AC7241" s="1"/>
      <c r="AD7241" s="1"/>
      <c r="AE7241" s="1"/>
      <c r="AF7241" s="1"/>
      <c r="AG7241" s="1"/>
      <c r="AH7241" s="1"/>
      <c r="AI7241" s="1"/>
      <c r="AJ7241" s="1"/>
      <c r="AK7241" s="1"/>
      <c r="AL7241" s="1"/>
      <c r="AM7241" s="1"/>
    </row>
    <row r="7242" spans="16:39" x14ac:dyDescent="0.25">
      <c r="P7242" s="49"/>
      <c r="Q7242" s="1"/>
      <c r="S7242" s="1"/>
      <c r="T7242" s="1"/>
      <c r="U7242" s="1"/>
      <c r="V7242" s="1"/>
      <c r="W7242" s="1"/>
      <c r="X7242" s="1"/>
      <c r="Y7242" s="1"/>
      <c r="AB7242" s="1"/>
      <c r="AC7242" s="1"/>
      <c r="AD7242" s="1"/>
      <c r="AE7242" s="1"/>
      <c r="AF7242" s="1"/>
      <c r="AG7242" s="1"/>
      <c r="AH7242" s="1"/>
      <c r="AI7242" s="1"/>
      <c r="AJ7242" s="1"/>
      <c r="AK7242" s="1"/>
      <c r="AL7242" s="1"/>
      <c r="AM7242" s="1"/>
    </row>
    <row r="7243" spans="16:39" x14ac:dyDescent="0.25">
      <c r="P7243" s="49"/>
      <c r="Q7243" s="1"/>
      <c r="S7243" s="1"/>
      <c r="T7243" s="1"/>
      <c r="U7243" s="1"/>
      <c r="V7243" s="1"/>
      <c r="W7243" s="1"/>
      <c r="X7243" s="1"/>
      <c r="Y7243" s="1"/>
      <c r="AB7243" s="1"/>
      <c r="AC7243" s="1"/>
      <c r="AD7243" s="1"/>
      <c r="AE7243" s="1"/>
      <c r="AF7243" s="1"/>
      <c r="AG7243" s="1"/>
      <c r="AH7243" s="1"/>
      <c r="AI7243" s="1"/>
      <c r="AJ7243" s="1"/>
      <c r="AK7243" s="1"/>
      <c r="AL7243" s="1"/>
      <c r="AM7243" s="1"/>
    </row>
    <row r="7244" spans="16:39" x14ac:dyDescent="0.25">
      <c r="P7244" s="49"/>
      <c r="Q7244" s="1"/>
      <c r="S7244" s="1"/>
      <c r="T7244" s="1"/>
      <c r="U7244" s="1"/>
      <c r="V7244" s="1"/>
      <c r="W7244" s="1"/>
      <c r="X7244" s="1"/>
      <c r="Y7244" s="1"/>
      <c r="AB7244" s="1"/>
      <c r="AC7244" s="1"/>
      <c r="AD7244" s="1"/>
      <c r="AE7244" s="1"/>
      <c r="AF7244" s="1"/>
      <c r="AG7244" s="1"/>
      <c r="AH7244" s="1"/>
      <c r="AI7244" s="1"/>
      <c r="AJ7244" s="1"/>
      <c r="AK7244" s="1"/>
      <c r="AL7244" s="1"/>
      <c r="AM7244" s="1"/>
    </row>
    <row r="7245" spans="16:39" x14ac:dyDescent="0.25">
      <c r="P7245" s="49"/>
      <c r="Q7245" s="1"/>
      <c r="S7245" s="1"/>
      <c r="T7245" s="1"/>
      <c r="U7245" s="1"/>
      <c r="V7245" s="1"/>
      <c r="W7245" s="1"/>
      <c r="X7245" s="1"/>
      <c r="Y7245" s="1"/>
      <c r="AB7245" s="1"/>
      <c r="AC7245" s="1"/>
      <c r="AD7245" s="1"/>
      <c r="AE7245" s="1"/>
      <c r="AF7245" s="1"/>
      <c r="AG7245" s="1"/>
      <c r="AH7245" s="1"/>
      <c r="AI7245" s="1"/>
      <c r="AJ7245" s="1"/>
      <c r="AK7245" s="1"/>
      <c r="AL7245" s="1"/>
      <c r="AM7245" s="1"/>
    </row>
    <row r="7246" spans="16:39" x14ac:dyDescent="0.25">
      <c r="P7246" s="49"/>
      <c r="Q7246" s="1"/>
      <c r="S7246" s="1"/>
      <c r="T7246" s="1"/>
      <c r="U7246" s="1"/>
      <c r="V7246" s="1"/>
      <c r="W7246" s="1"/>
      <c r="X7246" s="1"/>
      <c r="Y7246" s="1"/>
      <c r="AB7246" s="1"/>
      <c r="AC7246" s="1"/>
      <c r="AD7246" s="1"/>
      <c r="AE7246" s="1"/>
      <c r="AF7246" s="1"/>
      <c r="AG7246" s="1"/>
      <c r="AH7246" s="1"/>
      <c r="AI7246" s="1"/>
      <c r="AJ7246" s="1"/>
      <c r="AK7246" s="1"/>
      <c r="AL7246" s="1"/>
      <c r="AM7246" s="1"/>
    </row>
    <row r="7247" spans="16:39" x14ac:dyDescent="0.25">
      <c r="P7247" s="49"/>
      <c r="Q7247" s="1"/>
      <c r="S7247" s="1"/>
      <c r="T7247" s="1"/>
      <c r="U7247" s="1"/>
      <c r="V7247" s="1"/>
      <c r="W7247" s="1"/>
      <c r="X7247" s="1"/>
      <c r="Y7247" s="1"/>
      <c r="AB7247" s="1"/>
      <c r="AC7247" s="1"/>
      <c r="AD7247" s="1"/>
      <c r="AE7247" s="1"/>
      <c r="AF7247" s="1"/>
      <c r="AG7247" s="1"/>
      <c r="AH7247" s="1"/>
      <c r="AI7247" s="1"/>
      <c r="AJ7247" s="1"/>
      <c r="AK7247" s="1"/>
      <c r="AL7247" s="1"/>
      <c r="AM7247" s="1"/>
    </row>
    <row r="7248" spans="16:39" x14ac:dyDescent="0.25">
      <c r="P7248" s="49"/>
      <c r="Q7248" s="1"/>
      <c r="S7248" s="1"/>
      <c r="T7248" s="1"/>
      <c r="U7248" s="1"/>
      <c r="V7248" s="1"/>
      <c r="W7248" s="1"/>
      <c r="X7248" s="1"/>
      <c r="Y7248" s="1"/>
      <c r="AB7248" s="1"/>
      <c r="AC7248" s="1"/>
      <c r="AD7248" s="1"/>
      <c r="AE7248" s="1"/>
      <c r="AF7248" s="1"/>
      <c r="AG7248" s="1"/>
      <c r="AH7248" s="1"/>
      <c r="AI7248" s="1"/>
      <c r="AJ7248" s="1"/>
      <c r="AK7248" s="1"/>
      <c r="AL7248" s="1"/>
      <c r="AM7248" s="1"/>
    </row>
    <row r="7249" spans="16:39" x14ac:dyDescent="0.25">
      <c r="P7249" s="49"/>
      <c r="Q7249" s="1"/>
      <c r="S7249" s="1"/>
      <c r="T7249" s="1"/>
      <c r="U7249" s="1"/>
      <c r="V7249" s="1"/>
      <c r="W7249" s="1"/>
      <c r="X7249" s="1"/>
      <c r="Y7249" s="1"/>
      <c r="AB7249" s="1"/>
      <c r="AC7249" s="1"/>
      <c r="AD7249" s="1"/>
      <c r="AE7249" s="1"/>
      <c r="AF7249" s="1"/>
      <c r="AG7249" s="1"/>
      <c r="AH7249" s="1"/>
      <c r="AI7249" s="1"/>
      <c r="AJ7249" s="1"/>
      <c r="AK7249" s="1"/>
      <c r="AL7249" s="1"/>
      <c r="AM7249" s="1"/>
    </row>
    <row r="7250" spans="16:39" x14ac:dyDescent="0.25">
      <c r="P7250" s="49"/>
      <c r="Q7250" s="1"/>
      <c r="S7250" s="1"/>
      <c r="T7250" s="1"/>
      <c r="U7250" s="1"/>
      <c r="V7250" s="1"/>
      <c r="W7250" s="1"/>
      <c r="X7250" s="1"/>
      <c r="Y7250" s="1"/>
      <c r="AB7250" s="1"/>
      <c r="AC7250" s="1"/>
      <c r="AD7250" s="1"/>
      <c r="AE7250" s="1"/>
      <c r="AF7250" s="1"/>
      <c r="AG7250" s="1"/>
      <c r="AH7250" s="1"/>
      <c r="AI7250" s="1"/>
      <c r="AJ7250" s="1"/>
      <c r="AK7250" s="1"/>
      <c r="AL7250" s="1"/>
      <c r="AM7250" s="1"/>
    </row>
    <row r="7251" spans="16:39" x14ac:dyDescent="0.25">
      <c r="P7251" s="49"/>
      <c r="Q7251" s="1"/>
      <c r="S7251" s="1"/>
      <c r="T7251" s="1"/>
      <c r="U7251" s="1"/>
      <c r="V7251" s="1"/>
      <c r="W7251" s="1"/>
      <c r="X7251" s="1"/>
      <c r="Y7251" s="1"/>
      <c r="AB7251" s="1"/>
      <c r="AC7251" s="1"/>
      <c r="AD7251" s="1"/>
      <c r="AE7251" s="1"/>
      <c r="AF7251" s="1"/>
      <c r="AG7251" s="1"/>
      <c r="AH7251" s="1"/>
      <c r="AI7251" s="1"/>
      <c r="AJ7251" s="1"/>
      <c r="AK7251" s="1"/>
      <c r="AL7251" s="1"/>
      <c r="AM7251" s="1"/>
    </row>
    <row r="7252" spans="16:39" x14ac:dyDescent="0.25">
      <c r="P7252" s="49"/>
      <c r="Q7252" s="1"/>
      <c r="S7252" s="1"/>
      <c r="T7252" s="1"/>
      <c r="U7252" s="1"/>
      <c r="V7252" s="1"/>
      <c r="W7252" s="1"/>
      <c r="X7252" s="1"/>
      <c r="Y7252" s="1"/>
      <c r="AB7252" s="1"/>
      <c r="AC7252" s="1"/>
      <c r="AD7252" s="1"/>
      <c r="AE7252" s="1"/>
      <c r="AF7252" s="1"/>
      <c r="AG7252" s="1"/>
      <c r="AH7252" s="1"/>
      <c r="AI7252" s="1"/>
      <c r="AJ7252" s="1"/>
      <c r="AK7252" s="1"/>
      <c r="AL7252" s="1"/>
      <c r="AM7252" s="1"/>
    </row>
    <row r="7253" spans="16:39" x14ac:dyDescent="0.25">
      <c r="P7253" s="49"/>
      <c r="Q7253" s="1"/>
      <c r="S7253" s="1"/>
      <c r="T7253" s="1"/>
      <c r="U7253" s="1"/>
      <c r="V7253" s="1"/>
      <c r="W7253" s="1"/>
      <c r="X7253" s="1"/>
      <c r="Y7253" s="1"/>
      <c r="AB7253" s="1"/>
      <c r="AC7253" s="1"/>
      <c r="AD7253" s="1"/>
      <c r="AE7253" s="1"/>
      <c r="AF7253" s="1"/>
      <c r="AG7253" s="1"/>
      <c r="AH7253" s="1"/>
      <c r="AI7253" s="1"/>
      <c r="AJ7253" s="1"/>
      <c r="AK7253" s="1"/>
      <c r="AL7253" s="1"/>
      <c r="AM7253" s="1"/>
    </row>
    <row r="7254" spans="16:39" x14ac:dyDescent="0.25">
      <c r="P7254" s="49"/>
      <c r="Q7254" s="1"/>
      <c r="S7254" s="1"/>
      <c r="T7254" s="1"/>
      <c r="U7254" s="1"/>
      <c r="V7254" s="1"/>
      <c r="W7254" s="1"/>
      <c r="X7254" s="1"/>
      <c r="Y7254" s="1"/>
      <c r="AB7254" s="1"/>
      <c r="AC7254" s="1"/>
      <c r="AD7254" s="1"/>
      <c r="AE7254" s="1"/>
      <c r="AF7254" s="1"/>
      <c r="AG7254" s="1"/>
      <c r="AH7254" s="1"/>
      <c r="AI7254" s="1"/>
      <c r="AJ7254" s="1"/>
      <c r="AK7254" s="1"/>
      <c r="AL7254" s="1"/>
      <c r="AM7254" s="1"/>
    </row>
    <row r="7255" spans="16:39" x14ac:dyDescent="0.25">
      <c r="P7255" s="49"/>
      <c r="Q7255" s="1"/>
      <c r="S7255" s="1"/>
      <c r="T7255" s="1"/>
      <c r="U7255" s="1"/>
      <c r="V7255" s="1"/>
      <c r="W7255" s="1"/>
      <c r="X7255" s="1"/>
      <c r="Y7255" s="1"/>
      <c r="AB7255" s="1"/>
      <c r="AC7255" s="1"/>
      <c r="AD7255" s="1"/>
      <c r="AE7255" s="1"/>
      <c r="AF7255" s="1"/>
      <c r="AG7255" s="1"/>
      <c r="AH7255" s="1"/>
      <c r="AI7255" s="1"/>
      <c r="AJ7255" s="1"/>
      <c r="AK7255" s="1"/>
      <c r="AL7255" s="1"/>
      <c r="AM7255" s="1"/>
    </row>
    <row r="7256" spans="16:39" x14ac:dyDescent="0.25">
      <c r="P7256" s="49"/>
      <c r="Q7256" s="1"/>
      <c r="S7256" s="1"/>
      <c r="T7256" s="1"/>
      <c r="U7256" s="1"/>
      <c r="V7256" s="1"/>
      <c r="W7256" s="1"/>
      <c r="X7256" s="1"/>
      <c r="Y7256" s="1"/>
      <c r="AB7256" s="1"/>
      <c r="AC7256" s="1"/>
      <c r="AD7256" s="1"/>
      <c r="AE7256" s="1"/>
      <c r="AF7256" s="1"/>
      <c r="AG7256" s="1"/>
      <c r="AH7256" s="1"/>
      <c r="AI7256" s="1"/>
      <c r="AJ7256" s="1"/>
      <c r="AK7256" s="1"/>
      <c r="AL7256" s="1"/>
      <c r="AM7256" s="1"/>
    </row>
    <row r="7257" spans="16:39" x14ac:dyDescent="0.25">
      <c r="P7257" s="49"/>
      <c r="Q7257" s="1"/>
      <c r="S7257" s="1"/>
      <c r="T7257" s="1"/>
      <c r="U7257" s="1"/>
      <c r="V7257" s="1"/>
      <c r="W7257" s="1"/>
      <c r="X7257" s="1"/>
      <c r="Y7257" s="1"/>
      <c r="AB7257" s="1"/>
      <c r="AC7257" s="1"/>
      <c r="AD7257" s="1"/>
      <c r="AE7257" s="1"/>
      <c r="AF7257" s="1"/>
      <c r="AG7257" s="1"/>
      <c r="AH7257" s="1"/>
      <c r="AI7257" s="1"/>
      <c r="AJ7257" s="1"/>
      <c r="AK7257" s="1"/>
      <c r="AL7257" s="1"/>
      <c r="AM7257" s="1"/>
    </row>
    <row r="7258" spans="16:39" x14ac:dyDescent="0.25">
      <c r="P7258" s="49"/>
      <c r="Q7258" s="1"/>
      <c r="S7258" s="1"/>
      <c r="T7258" s="1"/>
      <c r="U7258" s="1"/>
      <c r="V7258" s="1"/>
      <c r="W7258" s="1"/>
      <c r="X7258" s="1"/>
      <c r="Y7258" s="1"/>
      <c r="AB7258" s="1"/>
      <c r="AC7258" s="1"/>
      <c r="AD7258" s="1"/>
      <c r="AE7258" s="1"/>
      <c r="AF7258" s="1"/>
      <c r="AG7258" s="1"/>
      <c r="AH7258" s="1"/>
      <c r="AI7258" s="1"/>
      <c r="AJ7258" s="1"/>
      <c r="AK7258" s="1"/>
      <c r="AL7258" s="1"/>
      <c r="AM7258" s="1"/>
    </row>
    <row r="7259" spans="16:39" x14ac:dyDescent="0.25">
      <c r="P7259" s="49"/>
      <c r="Q7259" s="1"/>
      <c r="S7259" s="1"/>
      <c r="T7259" s="1"/>
      <c r="U7259" s="1"/>
      <c r="V7259" s="1"/>
      <c r="W7259" s="1"/>
      <c r="X7259" s="1"/>
      <c r="Y7259" s="1"/>
      <c r="AB7259" s="1"/>
      <c r="AC7259" s="1"/>
      <c r="AD7259" s="1"/>
      <c r="AE7259" s="1"/>
      <c r="AF7259" s="1"/>
      <c r="AG7259" s="1"/>
      <c r="AH7259" s="1"/>
      <c r="AI7259" s="1"/>
      <c r="AJ7259" s="1"/>
      <c r="AK7259" s="1"/>
      <c r="AL7259" s="1"/>
      <c r="AM7259" s="1"/>
    </row>
    <row r="7260" spans="16:39" x14ac:dyDescent="0.25">
      <c r="P7260" s="49"/>
      <c r="Q7260" s="1"/>
      <c r="S7260" s="1"/>
      <c r="T7260" s="1"/>
      <c r="U7260" s="1"/>
      <c r="V7260" s="1"/>
      <c r="W7260" s="1"/>
      <c r="X7260" s="1"/>
      <c r="Y7260" s="1"/>
      <c r="AB7260" s="1"/>
      <c r="AC7260" s="1"/>
      <c r="AD7260" s="1"/>
      <c r="AE7260" s="1"/>
      <c r="AF7260" s="1"/>
      <c r="AG7260" s="1"/>
      <c r="AH7260" s="1"/>
      <c r="AI7260" s="1"/>
      <c r="AJ7260" s="1"/>
      <c r="AK7260" s="1"/>
      <c r="AL7260" s="1"/>
      <c r="AM7260" s="1"/>
    </row>
    <row r="7261" spans="16:39" x14ac:dyDescent="0.25">
      <c r="P7261" s="49"/>
      <c r="Q7261" s="1"/>
      <c r="S7261" s="1"/>
      <c r="T7261" s="1"/>
      <c r="U7261" s="1"/>
      <c r="V7261" s="1"/>
      <c r="W7261" s="1"/>
      <c r="X7261" s="1"/>
      <c r="Y7261" s="1"/>
      <c r="AB7261" s="1"/>
      <c r="AC7261" s="1"/>
      <c r="AD7261" s="1"/>
      <c r="AE7261" s="1"/>
      <c r="AF7261" s="1"/>
      <c r="AG7261" s="1"/>
      <c r="AH7261" s="1"/>
      <c r="AI7261" s="1"/>
      <c r="AJ7261" s="1"/>
      <c r="AK7261" s="1"/>
      <c r="AL7261" s="1"/>
      <c r="AM7261" s="1"/>
    </row>
    <row r="7262" spans="16:39" x14ac:dyDescent="0.25">
      <c r="P7262" s="49"/>
      <c r="Q7262" s="1"/>
      <c r="S7262" s="1"/>
      <c r="T7262" s="1"/>
      <c r="U7262" s="1"/>
      <c r="V7262" s="1"/>
      <c r="W7262" s="1"/>
      <c r="X7262" s="1"/>
      <c r="Y7262" s="1"/>
      <c r="AB7262" s="1"/>
      <c r="AC7262" s="1"/>
      <c r="AD7262" s="1"/>
      <c r="AE7262" s="1"/>
      <c r="AF7262" s="1"/>
      <c r="AG7262" s="1"/>
      <c r="AH7262" s="1"/>
      <c r="AI7262" s="1"/>
      <c r="AJ7262" s="1"/>
      <c r="AK7262" s="1"/>
      <c r="AL7262" s="1"/>
      <c r="AM7262" s="1"/>
    </row>
    <row r="7263" spans="16:39" x14ac:dyDescent="0.25">
      <c r="P7263" s="49"/>
      <c r="Q7263" s="1"/>
      <c r="S7263" s="1"/>
      <c r="T7263" s="1"/>
      <c r="U7263" s="1"/>
      <c r="V7263" s="1"/>
      <c r="W7263" s="1"/>
      <c r="X7263" s="1"/>
      <c r="Y7263" s="1"/>
      <c r="AB7263" s="1"/>
      <c r="AC7263" s="1"/>
      <c r="AD7263" s="1"/>
      <c r="AE7263" s="1"/>
      <c r="AF7263" s="1"/>
      <c r="AG7263" s="1"/>
      <c r="AH7263" s="1"/>
      <c r="AI7263" s="1"/>
      <c r="AJ7263" s="1"/>
      <c r="AK7263" s="1"/>
      <c r="AL7263" s="1"/>
      <c r="AM7263" s="1"/>
    </row>
    <row r="7264" spans="16:39" x14ac:dyDescent="0.25">
      <c r="P7264" s="49"/>
      <c r="Q7264" s="1"/>
      <c r="S7264" s="1"/>
      <c r="T7264" s="1"/>
      <c r="U7264" s="1"/>
      <c r="V7264" s="1"/>
      <c r="W7264" s="1"/>
      <c r="X7264" s="1"/>
      <c r="Y7264" s="1"/>
      <c r="AB7264" s="1"/>
      <c r="AC7264" s="1"/>
      <c r="AD7264" s="1"/>
      <c r="AE7264" s="1"/>
      <c r="AF7264" s="1"/>
      <c r="AG7264" s="1"/>
      <c r="AH7264" s="1"/>
      <c r="AI7264" s="1"/>
      <c r="AJ7264" s="1"/>
      <c r="AK7264" s="1"/>
      <c r="AL7264" s="1"/>
      <c r="AM7264" s="1"/>
    </row>
    <row r="7265" spans="16:39" x14ac:dyDescent="0.25">
      <c r="P7265" s="49"/>
      <c r="Q7265" s="1"/>
      <c r="S7265" s="1"/>
      <c r="T7265" s="1"/>
      <c r="U7265" s="1"/>
      <c r="V7265" s="1"/>
      <c r="W7265" s="1"/>
      <c r="X7265" s="1"/>
      <c r="Y7265" s="1"/>
      <c r="AB7265" s="1"/>
      <c r="AC7265" s="1"/>
      <c r="AD7265" s="1"/>
      <c r="AE7265" s="1"/>
      <c r="AF7265" s="1"/>
      <c r="AG7265" s="1"/>
      <c r="AH7265" s="1"/>
      <c r="AI7265" s="1"/>
      <c r="AJ7265" s="1"/>
      <c r="AK7265" s="1"/>
      <c r="AL7265" s="1"/>
      <c r="AM7265" s="1"/>
    </row>
    <row r="7266" spans="16:39" x14ac:dyDescent="0.25">
      <c r="P7266" s="49"/>
      <c r="Q7266" s="1"/>
      <c r="S7266" s="1"/>
      <c r="T7266" s="1"/>
      <c r="U7266" s="1"/>
      <c r="V7266" s="1"/>
      <c r="W7266" s="1"/>
      <c r="X7266" s="1"/>
      <c r="Y7266" s="1"/>
      <c r="AB7266" s="1"/>
      <c r="AC7266" s="1"/>
      <c r="AD7266" s="1"/>
      <c r="AE7266" s="1"/>
      <c r="AF7266" s="1"/>
      <c r="AG7266" s="1"/>
      <c r="AH7266" s="1"/>
      <c r="AI7266" s="1"/>
      <c r="AJ7266" s="1"/>
      <c r="AK7266" s="1"/>
      <c r="AL7266" s="1"/>
      <c r="AM7266" s="1"/>
    </row>
    <row r="7267" spans="16:39" x14ac:dyDescent="0.25">
      <c r="P7267" s="49"/>
      <c r="Q7267" s="1"/>
      <c r="S7267" s="1"/>
      <c r="T7267" s="1"/>
      <c r="U7267" s="1"/>
      <c r="V7267" s="1"/>
      <c r="W7267" s="1"/>
      <c r="X7267" s="1"/>
      <c r="Y7267" s="1"/>
      <c r="AB7267" s="1"/>
      <c r="AC7267" s="1"/>
      <c r="AD7267" s="1"/>
      <c r="AE7267" s="1"/>
      <c r="AF7267" s="1"/>
      <c r="AG7267" s="1"/>
      <c r="AH7267" s="1"/>
      <c r="AI7267" s="1"/>
      <c r="AJ7267" s="1"/>
      <c r="AK7267" s="1"/>
      <c r="AL7267" s="1"/>
      <c r="AM7267" s="1"/>
    </row>
    <row r="7268" spans="16:39" x14ac:dyDescent="0.25">
      <c r="P7268" s="49"/>
      <c r="Q7268" s="1"/>
      <c r="S7268" s="1"/>
      <c r="T7268" s="1"/>
      <c r="U7268" s="1"/>
      <c r="V7268" s="1"/>
      <c r="W7268" s="1"/>
      <c r="X7268" s="1"/>
      <c r="Y7268" s="1"/>
      <c r="AB7268" s="1"/>
      <c r="AC7268" s="1"/>
      <c r="AD7268" s="1"/>
      <c r="AE7268" s="1"/>
      <c r="AF7268" s="1"/>
      <c r="AG7268" s="1"/>
      <c r="AH7268" s="1"/>
      <c r="AI7268" s="1"/>
      <c r="AJ7268" s="1"/>
      <c r="AK7268" s="1"/>
      <c r="AL7268" s="1"/>
      <c r="AM7268" s="1"/>
    </row>
    <row r="7269" spans="16:39" x14ac:dyDescent="0.25">
      <c r="P7269" s="49"/>
      <c r="Q7269" s="1"/>
      <c r="S7269" s="1"/>
      <c r="T7269" s="1"/>
      <c r="U7269" s="1"/>
      <c r="V7269" s="1"/>
      <c r="W7269" s="1"/>
      <c r="X7269" s="1"/>
      <c r="Y7269" s="1"/>
      <c r="AB7269" s="1"/>
      <c r="AC7269" s="1"/>
      <c r="AD7269" s="1"/>
      <c r="AE7269" s="1"/>
      <c r="AF7269" s="1"/>
      <c r="AG7269" s="1"/>
      <c r="AH7269" s="1"/>
      <c r="AI7269" s="1"/>
      <c r="AJ7269" s="1"/>
      <c r="AK7269" s="1"/>
      <c r="AL7269" s="1"/>
      <c r="AM7269" s="1"/>
    </row>
    <row r="7270" spans="16:39" x14ac:dyDescent="0.25">
      <c r="P7270" s="49"/>
      <c r="Q7270" s="1"/>
      <c r="S7270" s="1"/>
      <c r="T7270" s="1"/>
      <c r="U7270" s="1"/>
      <c r="V7270" s="1"/>
      <c r="W7270" s="1"/>
      <c r="X7270" s="1"/>
      <c r="Y7270" s="1"/>
      <c r="AB7270" s="1"/>
      <c r="AC7270" s="1"/>
      <c r="AD7270" s="1"/>
      <c r="AE7270" s="1"/>
      <c r="AF7270" s="1"/>
      <c r="AG7270" s="1"/>
      <c r="AH7270" s="1"/>
      <c r="AI7270" s="1"/>
      <c r="AJ7270" s="1"/>
      <c r="AK7270" s="1"/>
      <c r="AL7270" s="1"/>
      <c r="AM7270" s="1"/>
    </row>
    <row r="7271" spans="16:39" x14ac:dyDescent="0.25">
      <c r="P7271" s="49"/>
      <c r="Q7271" s="1"/>
      <c r="S7271" s="1"/>
      <c r="T7271" s="1"/>
      <c r="U7271" s="1"/>
      <c r="V7271" s="1"/>
      <c r="W7271" s="1"/>
      <c r="X7271" s="1"/>
      <c r="Y7271" s="1"/>
      <c r="AB7271" s="1"/>
      <c r="AC7271" s="1"/>
      <c r="AD7271" s="1"/>
      <c r="AE7271" s="1"/>
      <c r="AF7271" s="1"/>
      <c r="AG7271" s="1"/>
      <c r="AH7271" s="1"/>
      <c r="AI7271" s="1"/>
      <c r="AJ7271" s="1"/>
      <c r="AK7271" s="1"/>
      <c r="AL7271" s="1"/>
      <c r="AM7271" s="1"/>
    </row>
    <row r="7272" spans="16:39" x14ac:dyDescent="0.25">
      <c r="P7272" s="49"/>
      <c r="Q7272" s="1"/>
      <c r="S7272" s="1"/>
      <c r="T7272" s="1"/>
      <c r="U7272" s="1"/>
      <c r="V7272" s="1"/>
      <c r="W7272" s="1"/>
      <c r="X7272" s="1"/>
      <c r="Y7272" s="1"/>
      <c r="AB7272" s="1"/>
      <c r="AC7272" s="1"/>
      <c r="AD7272" s="1"/>
      <c r="AE7272" s="1"/>
      <c r="AF7272" s="1"/>
      <c r="AG7272" s="1"/>
      <c r="AH7272" s="1"/>
      <c r="AI7272" s="1"/>
      <c r="AJ7272" s="1"/>
      <c r="AK7272" s="1"/>
      <c r="AL7272" s="1"/>
      <c r="AM7272" s="1"/>
    </row>
    <row r="7273" spans="16:39" x14ac:dyDescent="0.25">
      <c r="P7273" s="49"/>
      <c r="Q7273" s="1"/>
      <c r="S7273" s="1"/>
      <c r="T7273" s="1"/>
      <c r="U7273" s="1"/>
      <c r="V7273" s="1"/>
      <c r="W7273" s="1"/>
      <c r="X7273" s="1"/>
      <c r="Y7273" s="1"/>
      <c r="AB7273" s="1"/>
      <c r="AC7273" s="1"/>
      <c r="AD7273" s="1"/>
      <c r="AE7273" s="1"/>
      <c r="AF7273" s="1"/>
      <c r="AG7273" s="1"/>
      <c r="AH7273" s="1"/>
      <c r="AI7273" s="1"/>
      <c r="AJ7273" s="1"/>
      <c r="AK7273" s="1"/>
      <c r="AL7273" s="1"/>
      <c r="AM7273" s="1"/>
    </row>
    <row r="7274" spans="16:39" x14ac:dyDescent="0.25">
      <c r="P7274" s="49"/>
      <c r="Q7274" s="1"/>
      <c r="S7274" s="1"/>
      <c r="T7274" s="1"/>
      <c r="U7274" s="1"/>
      <c r="V7274" s="1"/>
      <c r="W7274" s="1"/>
      <c r="X7274" s="1"/>
      <c r="Y7274" s="1"/>
      <c r="AB7274" s="1"/>
      <c r="AC7274" s="1"/>
      <c r="AD7274" s="1"/>
      <c r="AE7274" s="1"/>
      <c r="AF7274" s="1"/>
      <c r="AG7274" s="1"/>
      <c r="AH7274" s="1"/>
      <c r="AI7274" s="1"/>
      <c r="AJ7274" s="1"/>
      <c r="AK7274" s="1"/>
      <c r="AL7274" s="1"/>
      <c r="AM7274" s="1"/>
    </row>
    <row r="7275" spans="16:39" x14ac:dyDescent="0.25">
      <c r="P7275" s="49"/>
      <c r="Q7275" s="1"/>
      <c r="S7275" s="1"/>
      <c r="T7275" s="1"/>
      <c r="U7275" s="1"/>
      <c r="V7275" s="1"/>
      <c r="W7275" s="1"/>
      <c r="X7275" s="1"/>
      <c r="Y7275" s="1"/>
      <c r="AB7275" s="1"/>
      <c r="AC7275" s="1"/>
      <c r="AD7275" s="1"/>
      <c r="AE7275" s="1"/>
      <c r="AF7275" s="1"/>
      <c r="AG7275" s="1"/>
      <c r="AH7275" s="1"/>
      <c r="AI7275" s="1"/>
      <c r="AJ7275" s="1"/>
      <c r="AK7275" s="1"/>
      <c r="AL7275" s="1"/>
      <c r="AM7275" s="1"/>
    </row>
    <row r="7276" spans="16:39" x14ac:dyDescent="0.25">
      <c r="P7276" s="49"/>
      <c r="Q7276" s="1"/>
      <c r="S7276" s="1"/>
      <c r="T7276" s="1"/>
      <c r="U7276" s="1"/>
      <c r="V7276" s="1"/>
      <c r="W7276" s="1"/>
      <c r="X7276" s="1"/>
      <c r="Y7276" s="1"/>
      <c r="AB7276" s="1"/>
      <c r="AC7276" s="1"/>
      <c r="AD7276" s="1"/>
      <c r="AE7276" s="1"/>
      <c r="AF7276" s="1"/>
      <c r="AG7276" s="1"/>
      <c r="AH7276" s="1"/>
      <c r="AI7276" s="1"/>
      <c r="AJ7276" s="1"/>
      <c r="AK7276" s="1"/>
      <c r="AL7276" s="1"/>
      <c r="AM7276" s="1"/>
    </row>
    <row r="7277" spans="16:39" x14ac:dyDescent="0.25">
      <c r="P7277" s="49"/>
      <c r="Q7277" s="1"/>
      <c r="S7277" s="1"/>
      <c r="T7277" s="1"/>
      <c r="U7277" s="1"/>
      <c r="V7277" s="1"/>
      <c r="W7277" s="1"/>
      <c r="X7277" s="1"/>
      <c r="Y7277" s="1"/>
      <c r="AB7277" s="1"/>
      <c r="AC7277" s="1"/>
      <c r="AD7277" s="1"/>
      <c r="AE7277" s="1"/>
      <c r="AF7277" s="1"/>
      <c r="AG7277" s="1"/>
      <c r="AH7277" s="1"/>
      <c r="AI7277" s="1"/>
      <c r="AJ7277" s="1"/>
      <c r="AK7277" s="1"/>
      <c r="AL7277" s="1"/>
      <c r="AM7277" s="1"/>
    </row>
    <row r="7278" spans="16:39" x14ac:dyDescent="0.25">
      <c r="P7278" s="49"/>
      <c r="Q7278" s="1"/>
      <c r="S7278" s="1"/>
      <c r="T7278" s="1"/>
      <c r="U7278" s="1"/>
      <c r="V7278" s="1"/>
      <c r="W7278" s="1"/>
      <c r="X7278" s="1"/>
      <c r="Y7278" s="1"/>
      <c r="AB7278" s="1"/>
      <c r="AC7278" s="1"/>
      <c r="AD7278" s="1"/>
      <c r="AE7278" s="1"/>
      <c r="AF7278" s="1"/>
      <c r="AG7278" s="1"/>
      <c r="AH7278" s="1"/>
      <c r="AI7278" s="1"/>
      <c r="AJ7278" s="1"/>
      <c r="AK7278" s="1"/>
      <c r="AL7278" s="1"/>
      <c r="AM7278" s="1"/>
    </row>
    <row r="7279" spans="16:39" x14ac:dyDescent="0.25">
      <c r="P7279" s="49"/>
      <c r="Q7279" s="1"/>
      <c r="S7279" s="1"/>
      <c r="T7279" s="1"/>
      <c r="U7279" s="1"/>
      <c r="V7279" s="1"/>
      <c r="W7279" s="1"/>
      <c r="X7279" s="1"/>
      <c r="Y7279" s="1"/>
      <c r="AB7279" s="1"/>
      <c r="AC7279" s="1"/>
      <c r="AD7279" s="1"/>
      <c r="AE7279" s="1"/>
      <c r="AF7279" s="1"/>
      <c r="AG7279" s="1"/>
      <c r="AH7279" s="1"/>
      <c r="AI7279" s="1"/>
      <c r="AJ7279" s="1"/>
      <c r="AK7279" s="1"/>
      <c r="AL7279" s="1"/>
      <c r="AM7279" s="1"/>
    </row>
    <row r="7280" spans="16:39" x14ac:dyDescent="0.25">
      <c r="P7280" s="49"/>
      <c r="Q7280" s="1"/>
      <c r="S7280" s="1"/>
      <c r="T7280" s="1"/>
      <c r="U7280" s="1"/>
      <c r="V7280" s="1"/>
      <c r="W7280" s="1"/>
      <c r="X7280" s="1"/>
      <c r="Y7280" s="1"/>
      <c r="AB7280" s="1"/>
      <c r="AC7280" s="1"/>
      <c r="AD7280" s="1"/>
      <c r="AE7280" s="1"/>
      <c r="AF7280" s="1"/>
      <c r="AG7280" s="1"/>
      <c r="AH7280" s="1"/>
      <c r="AI7280" s="1"/>
      <c r="AJ7280" s="1"/>
      <c r="AK7280" s="1"/>
      <c r="AL7280" s="1"/>
      <c r="AM7280" s="1"/>
    </row>
    <row r="7281" spans="16:39" x14ac:dyDescent="0.25">
      <c r="P7281" s="49"/>
      <c r="Q7281" s="1"/>
      <c r="S7281" s="1"/>
      <c r="T7281" s="1"/>
      <c r="U7281" s="1"/>
      <c r="V7281" s="1"/>
      <c r="W7281" s="1"/>
      <c r="X7281" s="1"/>
      <c r="Y7281" s="1"/>
      <c r="AB7281" s="1"/>
      <c r="AC7281" s="1"/>
      <c r="AD7281" s="1"/>
      <c r="AE7281" s="1"/>
      <c r="AF7281" s="1"/>
      <c r="AG7281" s="1"/>
      <c r="AH7281" s="1"/>
      <c r="AI7281" s="1"/>
      <c r="AJ7281" s="1"/>
      <c r="AK7281" s="1"/>
      <c r="AL7281" s="1"/>
      <c r="AM7281" s="1"/>
    </row>
    <row r="7282" spans="16:39" x14ac:dyDescent="0.25">
      <c r="P7282" s="49"/>
      <c r="Q7282" s="1"/>
      <c r="S7282" s="1"/>
      <c r="T7282" s="1"/>
      <c r="U7282" s="1"/>
      <c r="V7282" s="1"/>
      <c r="W7282" s="1"/>
      <c r="X7282" s="1"/>
      <c r="Y7282" s="1"/>
      <c r="AB7282" s="1"/>
      <c r="AC7282" s="1"/>
      <c r="AD7282" s="1"/>
      <c r="AE7282" s="1"/>
      <c r="AF7282" s="1"/>
      <c r="AG7282" s="1"/>
      <c r="AH7282" s="1"/>
      <c r="AI7282" s="1"/>
      <c r="AJ7282" s="1"/>
      <c r="AK7282" s="1"/>
      <c r="AL7282" s="1"/>
      <c r="AM7282" s="1"/>
    </row>
    <row r="7283" spans="16:39" x14ac:dyDescent="0.25">
      <c r="P7283" s="49"/>
      <c r="Q7283" s="1"/>
      <c r="S7283" s="1"/>
      <c r="T7283" s="1"/>
      <c r="U7283" s="1"/>
      <c r="V7283" s="1"/>
      <c r="W7283" s="1"/>
      <c r="X7283" s="1"/>
      <c r="Y7283" s="1"/>
      <c r="AB7283" s="1"/>
      <c r="AC7283" s="1"/>
      <c r="AD7283" s="1"/>
      <c r="AE7283" s="1"/>
      <c r="AF7283" s="1"/>
      <c r="AG7283" s="1"/>
      <c r="AH7283" s="1"/>
      <c r="AI7283" s="1"/>
      <c r="AJ7283" s="1"/>
      <c r="AK7283" s="1"/>
      <c r="AL7283" s="1"/>
      <c r="AM7283" s="1"/>
    </row>
    <row r="7284" spans="16:39" x14ac:dyDescent="0.25">
      <c r="P7284" s="49"/>
      <c r="Q7284" s="1"/>
      <c r="S7284" s="1"/>
      <c r="T7284" s="1"/>
      <c r="U7284" s="1"/>
      <c r="V7284" s="1"/>
      <c r="W7284" s="1"/>
      <c r="X7284" s="1"/>
      <c r="Y7284" s="1"/>
      <c r="AB7284" s="1"/>
      <c r="AC7284" s="1"/>
      <c r="AD7284" s="1"/>
      <c r="AE7284" s="1"/>
      <c r="AF7284" s="1"/>
      <c r="AG7284" s="1"/>
      <c r="AH7284" s="1"/>
      <c r="AI7284" s="1"/>
      <c r="AJ7284" s="1"/>
      <c r="AK7284" s="1"/>
      <c r="AL7284" s="1"/>
      <c r="AM7284" s="1"/>
    </row>
    <row r="7285" spans="16:39" x14ac:dyDescent="0.25">
      <c r="P7285" s="49"/>
      <c r="Q7285" s="1"/>
      <c r="S7285" s="1"/>
      <c r="T7285" s="1"/>
      <c r="U7285" s="1"/>
      <c r="V7285" s="1"/>
      <c r="W7285" s="1"/>
      <c r="X7285" s="1"/>
      <c r="Y7285" s="1"/>
      <c r="AB7285" s="1"/>
      <c r="AC7285" s="1"/>
      <c r="AD7285" s="1"/>
      <c r="AE7285" s="1"/>
      <c r="AF7285" s="1"/>
      <c r="AG7285" s="1"/>
      <c r="AH7285" s="1"/>
      <c r="AI7285" s="1"/>
      <c r="AJ7285" s="1"/>
      <c r="AK7285" s="1"/>
      <c r="AL7285" s="1"/>
      <c r="AM7285" s="1"/>
    </row>
    <row r="7286" spans="16:39" x14ac:dyDescent="0.25">
      <c r="P7286" s="49"/>
      <c r="Q7286" s="1"/>
      <c r="S7286" s="1"/>
      <c r="T7286" s="1"/>
      <c r="U7286" s="1"/>
      <c r="V7286" s="1"/>
      <c r="W7286" s="1"/>
      <c r="X7286" s="1"/>
      <c r="Y7286" s="1"/>
      <c r="AB7286" s="1"/>
      <c r="AC7286" s="1"/>
      <c r="AD7286" s="1"/>
      <c r="AE7286" s="1"/>
      <c r="AF7286" s="1"/>
      <c r="AG7286" s="1"/>
      <c r="AH7286" s="1"/>
      <c r="AI7286" s="1"/>
      <c r="AJ7286" s="1"/>
      <c r="AK7286" s="1"/>
      <c r="AL7286" s="1"/>
      <c r="AM7286" s="1"/>
    </row>
    <row r="7287" spans="16:39" x14ac:dyDescent="0.25">
      <c r="P7287" s="49"/>
      <c r="Q7287" s="1"/>
      <c r="S7287" s="1"/>
      <c r="T7287" s="1"/>
      <c r="U7287" s="1"/>
      <c r="V7287" s="1"/>
      <c r="W7287" s="1"/>
      <c r="X7287" s="1"/>
      <c r="Y7287" s="1"/>
      <c r="AB7287" s="1"/>
      <c r="AC7287" s="1"/>
      <c r="AD7287" s="1"/>
      <c r="AE7287" s="1"/>
      <c r="AF7287" s="1"/>
      <c r="AG7287" s="1"/>
      <c r="AH7287" s="1"/>
      <c r="AI7287" s="1"/>
      <c r="AJ7287" s="1"/>
      <c r="AK7287" s="1"/>
      <c r="AL7287" s="1"/>
      <c r="AM7287" s="1"/>
    </row>
    <row r="7288" spans="16:39" x14ac:dyDescent="0.25">
      <c r="P7288" s="49"/>
      <c r="Q7288" s="1"/>
      <c r="S7288" s="1"/>
      <c r="T7288" s="1"/>
      <c r="U7288" s="1"/>
      <c r="V7288" s="1"/>
      <c r="W7288" s="1"/>
      <c r="X7288" s="1"/>
      <c r="Y7288" s="1"/>
      <c r="AB7288" s="1"/>
      <c r="AC7288" s="1"/>
      <c r="AD7288" s="1"/>
      <c r="AE7288" s="1"/>
      <c r="AF7288" s="1"/>
      <c r="AG7288" s="1"/>
      <c r="AH7288" s="1"/>
      <c r="AI7288" s="1"/>
      <c r="AJ7288" s="1"/>
      <c r="AK7288" s="1"/>
      <c r="AL7288" s="1"/>
      <c r="AM7288" s="1"/>
    </row>
    <row r="7289" spans="16:39" x14ac:dyDescent="0.25">
      <c r="P7289" s="49"/>
      <c r="Q7289" s="1"/>
      <c r="S7289" s="1"/>
      <c r="T7289" s="1"/>
      <c r="U7289" s="1"/>
      <c r="V7289" s="1"/>
      <c r="W7289" s="1"/>
      <c r="X7289" s="1"/>
      <c r="Y7289" s="1"/>
      <c r="AB7289" s="1"/>
      <c r="AC7289" s="1"/>
      <c r="AD7289" s="1"/>
      <c r="AE7289" s="1"/>
      <c r="AF7289" s="1"/>
      <c r="AG7289" s="1"/>
      <c r="AH7289" s="1"/>
      <c r="AI7289" s="1"/>
      <c r="AJ7289" s="1"/>
      <c r="AK7289" s="1"/>
      <c r="AL7289" s="1"/>
      <c r="AM7289" s="1"/>
    </row>
    <row r="7290" spans="16:39" x14ac:dyDescent="0.25">
      <c r="P7290" s="49"/>
      <c r="Q7290" s="1"/>
      <c r="S7290" s="1"/>
      <c r="T7290" s="1"/>
      <c r="U7290" s="1"/>
      <c r="V7290" s="1"/>
      <c r="W7290" s="1"/>
      <c r="X7290" s="1"/>
      <c r="Y7290" s="1"/>
      <c r="AB7290" s="1"/>
      <c r="AC7290" s="1"/>
      <c r="AD7290" s="1"/>
      <c r="AE7290" s="1"/>
      <c r="AF7290" s="1"/>
      <c r="AG7290" s="1"/>
      <c r="AH7290" s="1"/>
      <c r="AI7290" s="1"/>
      <c r="AJ7290" s="1"/>
      <c r="AK7290" s="1"/>
      <c r="AL7290" s="1"/>
      <c r="AM7290" s="1"/>
    </row>
    <row r="7291" spans="16:39" x14ac:dyDescent="0.25">
      <c r="P7291" s="49"/>
      <c r="Q7291" s="1"/>
      <c r="S7291" s="1"/>
      <c r="T7291" s="1"/>
      <c r="U7291" s="1"/>
      <c r="V7291" s="1"/>
      <c r="W7291" s="1"/>
      <c r="X7291" s="1"/>
      <c r="Y7291" s="1"/>
      <c r="AB7291" s="1"/>
      <c r="AC7291" s="1"/>
      <c r="AD7291" s="1"/>
      <c r="AE7291" s="1"/>
      <c r="AF7291" s="1"/>
      <c r="AG7291" s="1"/>
      <c r="AH7291" s="1"/>
      <c r="AI7291" s="1"/>
      <c r="AJ7291" s="1"/>
      <c r="AK7291" s="1"/>
      <c r="AL7291" s="1"/>
      <c r="AM7291" s="1"/>
    </row>
    <row r="7292" spans="16:39" x14ac:dyDescent="0.25">
      <c r="P7292" s="49"/>
      <c r="Q7292" s="1"/>
      <c r="S7292" s="1"/>
      <c r="T7292" s="1"/>
      <c r="U7292" s="1"/>
      <c r="V7292" s="1"/>
      <c r="W7292" s="1"/>
      <c r="X7292" s="1"/>
      <c r="Y7292" s="1"/>
      <c r="AB7292" s="1"/>
      <c r="AC7292" s="1"/>
      <c r="AD7292" s="1"/>
      <c r="AE7292" s="1"/>
      <c r="AF7292" s="1"/>
      <c r="AG7292" s="1"/>
      <c r="AH7292" s="1"/>
      <c r="AI7292" s="1"/>
      <c r="AJ7292" s="1"/>
      <c r="AK7292" s="1"/>
      <c r="AL7292" s="1"/>
      <c r="AM7292" s="1"/>
    </row>
    <row r="7293" spans="16:39" x14ac:dyDescent="0.25">
      <c r="P7293" s="49"/>
      <c r="Q7293" s="1"/>
      <c r="S7293" s="1"/>
      <c r="T7293" s="1"/>
      <c r="U7293" s="1"/>
      <c r="V7293" s="1"/>
      <c r="W7293" s="1"/>
      <c r="X7293" s="1"/>
      <c r="Y7293" s="1"/>
      <c r="AB7293" s="1"/>
      <c r="AC7293" s="1"/>
      <c r="AD7293" s="1"/>
      <c r="AE7293" s="1"/>
      <c r="AF7293" s="1"/>
      <c r="AG7293" s="1"/>
      <c r="AH7293" s="1"/>
      <c r="AI7293" s="1"/>
      <c r="AJ7293" s="1"/>
      <c r="AK7293" s="1"/>
      <c r="AL7293" s="1"/>
      <c r="AM7293" s="1"/>
    </row>
    <row r="7294" spans="16:39" x14ac:dyDescent="0.25">
      <c r="P7294" s="49"/>
      <c r="Q7294" s="1"/>
      <c r="S7294" s="1"/>
      <c r="T7294" s="1"/>
      <c r="U7294" s="1"/>
      <c r="V7294" s="1"/>
      <c r="W7294" s="1"/>
      <c r="X7294" s="1"/>
      <c r="Y7294" s="1"/>
      <c r="AB7294" s="1"/>
      <c r="AC7294" s="1"/>
      <c r="AD7294" s="1"/>
      <c r="AE7294" s="1"/>
      <c r="AF7294" s="1"/>
      <c r="AG7294" s="1"/>
      <c r="AH7294" s="1"/>
      <c r="AI7294" s="1"/>
      <c r="AJ7294" s="1"/>
      <c r="AK7294" s="1"/>
      <c r="AL7294" s="1"/>
      <c r="AM7294" s="1"/>
    </row>
    <row r="7295" spans="16:39" x14ac:dyDescent="0.25">
      <c r="P7295" s="49"/>
      <c r="Q7295" s="1"/>
      <c r="S7295" s="1"/>
      <c r="T7295" s="1"/>
      <c r="U7295" s="1"/>
      <c r="V7295" s="1"/>
      <c r="W7295" s="1"/>
      <c r="X7295" s="1"/>
      <c r="Y7295" s="1"/>
      <c r="AB7295" s="1"/>
      <c r="AC7295" s="1"/>
      <c r="AD7295" s="1"/>
      <c r="AE7295" s="1"/>
      <c r="AF7295" s="1"/>
      <c r="AG7295" s="1"/>
      <c r="AH7295" s="1"/>
      <c r="AI7295" s="1"/>
      <c r="AJ7295" s="1"/>
      <c r="AK7295" s="1"/>
      <c r="AL7295" s="1"/>
      <c r="AM7295" s="1"/>
    </row>
    <row r="7296" spans="16:39" x14ac:dyDescent="0.25">
      <c r="P7296" s="49"/>
      <c r="Q7296" s="1"/>
      <c r="S7296" s="1"/>
      <c r="T7296" s="1"/>
      <c r="U7296" s="1"/>
      <c r="V7296" s="1"/>
      <c r="W7296" s="1"/>
      <c r="X7296" s="1"/>
      <c r="Y7296" s="1"/>
      <c r="AB7296" s="1"/>
      <c r="AC7296" s="1"/>
      <c r="AD7296" s="1"/>
      <c r="AE7296" s="1"/>
      <c r="AF7296" s="1"/>
      <c r="AG7296" s="1"/>
      <c r="AH7296" s="1"/>
      <c r="AI7296" s="1"/>
      <c r="AJ7296" s="1"/>
      <c r="AK7296" s="1"/>
      <c r="AL7296" s="1"/>
      <c r="AM7296" s="1"/>
    </row>
    <row r="7297" spans="16:39" x14ac:dyDescent="0.25">
      <c r="P7297" s="49"/>
      <c r="Q7297" s="1"/>
      <c r="S7297" s="1"/>
      <c r="T7297" s="1"/>
      <c r="U7297" s="1"/>
      <c r="V7297" s="1"/>
      <c r="W7297" s="1"/>
      <c r="X7297" s="1"/>
      <c r="Y7297" s="1"/>
      <c r="AB7297" s="1"/>
      <c r="AC7297" s="1"/>
      <c r="AD7297" s="1"/>
      <c r="AE7297" s="1"/>
      <c r="AF7297" s="1"/>
      <c r="AG7297" s="1"/>
      <c r="AH7297" s="1"/>
      <c r="AI7297" s="1"/>
      <c r="AJ7297" s="1"/>
      <c r="AK7297" s="1"/>
      <c r="AL7297" s="1"/>
      <c r="AM7297" s="1"/>
    </row>
    <row r="7298" spans="16:39" x14ac:dyDescent="0.25">
      <c r="P7298" s="49"/>
      <c r="Q7298" s="1"/>
      <c r="S7298" s="1"/>
      <c r="T7298" s="1"/>
      <c r="U7298" s="1"/>
      <c r="V7298" s="1"/>
      <c r="W7298" s="1"/>
      <c r="X7298" s="1"/>
      <c r="Y7298" s="1"/>
      <c r="AB7298" s="1"/>
      <c r="AC7298" s="1"/>
      <c r="AD7298" s="1"/>
      <c r="AE7298" s="1"/>
      <c r="AF7298" s="1"/>
      <c r="AG7298" s="1"/>
      <c r="AH7298" s="1"/>
      <c r="AI7298" s="1"/>
      <c r="AJ7298" s="1"/>
      <c r="AK7298" s="1"/>
      <c r="AL7298" s="1"/>
      <c r="AM7298" s="1"/>
    </row>
    <row r="7299" spans="16:39" x14ac:dyDescent="0.25">
      <c r="P7299" s="49"/>
      <c r="Q7299" s="1"/>
      <c r="S7299" s="1"/>
      <c r="T7299" s="1"/>
      <c r="U7299" s="1"/>
      <c r="V7299" s="1"/>
      <c r="W7299" s="1"/>
      <c r="X7299" s="1"/>
      <c r="Y7299" s="1"/>
      <c r="AB7299" s="1"/>
      <c r="AC7299" s="1"/>
      <c r="AD7299" s="1"/>
      <c r="AE7299" s="1"/>
      <c r="AF7299" s="1"/>
      <c r="AG7299" s="1"/>
      <c r="AH7299" s="1"/>
      <c r="AI7299" s="1"/>
      <c r="AJ7299" s="1"/>
      <c r="AK7299" s="1"/>
      <c r="AL7299" s="1"/>
      <c r="AM7299" s="1"/>
    </row>
    <row r="7300" spans="16:39" x14ac:dyDescent="0.25">
      <c r="P7300" s="49"/>
      <c r="Q7300" s="1"/>
      <c r="S7300" s="1"/>
      <c r="T7300" s="1"/>
      <c r="U7300" s="1"/>
      <c r="V7300" s="1"/>
      <c r="W7300" s="1"/>
      <c r="X7300" s="1"/>
      <c r="Y7300" s="1"/>
      <c r="AB7300" s="1"/>
      <c r="AC7300" s="1"/>
      <c r="AD7300" s="1"/>
      <c r="AE7300" s="1"/>
      <c r="AF7300" s="1"/>
      <c r="AG7300" s="1"/>
      <c r="AH7300" s="1"/>
      <c r="AI7300" s="1"/>
      <c r="AJ7300" s="1"/>
      <c r="AK7300" s="1"/>
      <c r="AL7300" s="1"/>
      <c r="AM7300" s="1"/>
    </row>
    <row r="7301" spans="16:39" x14ac:dyDescent="0.25">
      <c r="P7301" s="49"/>
      <c r="Q7301" s="1"/>
      <c r="S7301" s="1"/>
      <c r="T7301" s="1"/>
      <c r="U7301" s="1"/>
      <c r="V7301" s="1"/>
      <c r="W7301" s="1"/>
      <c r="X7301" s="1"/>
      <c r="Y7301" s="1"/>
      <c r="AB7301" s="1"/>
      <c r="AC7301" s="1"/>
      <c r="AD7301" s="1"/>
      <c r="AE7301" s="1"/>
      <c r="AF7301" s="1"/>
      <c r="AG7301" s="1"/>
      <c r="AH7301" s="1"/>
      <c r="AI7301" s="1"/>
      <c r="AJ7301" s="1"/>
      <c r="AK7301" s="1"/>
      <c r="AL7301" s="1"/>
      <c r="AM7301" s="1"/>
    </row>
    <row r="7302" spans="16:39" x14ac:dyDescent="0.25">
      <c r="P7302" s="49"/>
      <c r="Q7302" s="1"/>
      <c r="S7302" s="1"/>
      <c r="T7302" s="1"/>
      <c r="U7302" s="1"/>
      <c r="V7302" s="1"/>
      <c r="W7302" s="1"/>
      <c r="X7302" s="1"/>
      <c r="Y7302" s="1"/>
      <c r="AB7302" s="1"/>
      <c r="AC7302" s="1"/>
      <c r="AD7302" s="1"/>
      <c r="AE7302" s="1"/>
      <c r="AF7302" s="1"/>
      <c r="AG7302" s="1"/>
      <c r="AH7302" s="1"/>
      <c r="AI7302" s="1"/>
      <c r="AJ7302" s="1"/>
      <c r="AK7302" s="1"/>
      <c r="AL7302" s="1"/>
      <c r="AM7302" s="1"/>
    </row>
    <row r="7303" spans="16:39" x14ac:dyDescent="0.25">
      <c r="P7303" s="49"/>
      <c r="Q7303" s="1"/>
      <c r="S7303" s="1"/>
      <c r="T7303" s="1"/>
      <c r="U7303" s="1"/>
      <c r="V7303" s="1"/>
      <c r="W7303" s="1"/>
      <c r="X7303" s="1"/>
      <c r="Y7303" s="1"/>
      <c r="AB7303" s="1"/>
      <c r="AC7303" s="1"/>
      <c r="AD7303" s="1"/>
      <c r="AE7303" s="1"/>
      <c r="AF7303" s="1"/>
      <c r="AG7303" s="1"/>
      <c r="AH7303" s="1"/>
      <c r="AI7303" s="1"/>
      <c r="AJ7303" s="1"/>
      <c r="AK7303" s="1"/>
      <c r="AL7303" s="1"/>
      <c r="AM7303" s="1"/>
    </row>
    <row r="7304" spans="16:39" x14ac:dyDescent="0.25">
      <c r="P7304" s="49"/>
      <c r="Q7304" s="1"/>
      <c r="S7304" s="1"/>
      <c r="T7304" s="1"/>
      <c r="U7304" s="1"/>
      <c r="V7304" s="1"/>
      <c r="W7304" s="1"/>
      <c r="X7304" s="1"/>
      <c r="Y7304" s="1"/>
      <c r="AB7304" s="1"/>
      <c r="AC7304" s="1"/>
      <c r="AD7304" s="1"/>
      <c r="AE7304" s="1"/>
      <c r="AF7304" s="1"/>
      <c r="AG7304" s="1"/>
      <c r="AH7304" s="1"/>
      <c r="AI7304" s="1"/>
      <c r="AJ7304" s="1"/>
      <c r="AK7304" s="1"/>
      <c r="AL7304" s="1"/>
      <c r="AM7304" s="1"/>
    </row>
    <row r="7305" spans="16:39" x14ac:dyDescent="0.25">
      <c r="P7305" s="49"/>
      <c r="Q7305" s="1"/>
      <c r="S7305" s="1"/>
      <c r="T7305" s="1"/>
      <c r="U7305" s="1"/>
      <c r="V7305" s="1"/>
      <c r="W7305" s="1"/>
      <c r="X7305" s="1"/>
      <c r="Y7305" s="1"/>
      <c r="AB7305" s="1"/>
      <c r="AC7305" s="1"/>
      <c r="AD7305" s="1"/>
      <c r="AE7305" s="1"/>
      <c r="AF7305" s="1"/>
      <c r="AG7305" s="1"/>
      <c r="AH7305" s="1"/>
      <c r="AI7305" s="1"/>
      <c r="AJ7305" s="1"/>
      <c r="AK7305" s="1"/>
      <c r="AL7305" s="1"/>
      <c r="AM7305" s="1"/>
    </row>
    <row r="7306" spans="16:39" x14ac:dyDescent="0.25">
      <c r="P7306" s="49"/>
      <c r="Q7306" s="1"/>
      <c r="S7306" s="1"/>
      <c r="T7306" s="1"/>
      <c r="U7306" s="1"/>
      <c r="V7306" s="1"/>
      <c r="W7306" s="1"/>
      <c r="X7306" s="1"/>
      <c r="Y7306" s="1"/>
      <c r="AB7306" s="1"/>
      <c r="AC7306" s="1"/>
      <c r="AD7306" s="1"/>
      <c r="AE7306" s="1"/>
      <c r="AF7306" s="1"/>
      <c r="AG7306" s="1"/>
      <c r="AH7306" s="1"/>
      <c r="AI7306" s="1"/>
      <c r="AJ7306" s="1"/>
      <c r="AK7306" s="1"/>
      <c r="AL7306" s="1"/>
      <c r="AM7306" s="1"/>
    </row>
    <row r="7307" spans="16:39" x14ac:dyDescent="0.25">
      <c r="P7307" s="49"/>
      <c r="Q7307" s="1"/>
      <c r="S7307" s="1"/>
      <c r="T7307" s="1"/>
      <c r="U7307" s="1"/>
      <c r="V7307" s="1"/>
      <c r="W7307" s="1"/>
      <c r="X7307" s="1"/>
      <c r="Y7307" s="1"/>
      <c r="AB7307" s="1"/>
      <c r="AC7307" s="1"/>
      <c r="AD7307" s="1"/>
      <c r="AE7307" s="1"/>
      <c r="AF7307" s="1"/>
      <c r="AG7307" s="1"/>
      <c r="AH7307" s="1"/>
      <c r="AI7307" s="1"/>
      <c r="AJ7307" s="1"/>
      <c r="AK7307" s="1"/>
      <c r="AL7307" s="1"/>
      <c r="AM7307" s="1"/>
    </row>
    <row r="7308" spans="16:39" x14ac:dyDescent="0.25">
      <c r="P7308" s="49"/>
      <c r="Q7308" s="1"/>
      <c r="S7308" s="1"/>
      <c r="T7308" s="1"/>
      <c r="U7308" s="1"/>
      <c r="V7308" s="1"/>
      <c r="W7308" s="1"/>
      <c r="X7308" s="1"/>
      <c r="Y7308" s="1"/>
      <c r="AB7308" s="1"/>
      <c r="AC7308" s="1"/>
      <c r="AD7308" s="1"/>
      <c r="AE7308" s="1"/>
      <c r="AF7308" s="1"/>
      <c r="AG7308" s="1"/>
      <c r="AH7308" s="1"/>
      <c r="AI7308" s="1"/>
      <c r="AJ7308" s="1"/>
      <c r="AK7308" s="1"/>
      <c r="AL7308" s="1"/>
      <c r="AM7308" s="1"/>
    </row>
    <row r="7309" spans="16:39" x14ac:dyDescent="0.25">
      <c r="P7309" s="49"/>
      <c r="Q7309" s="1"/>
      <c r="S7309" s="1"/>
      <c r="T7309" s="1"/>
      <c r="U7309" s="1"/>
      <c r="V7309" s="1"/>
      <c r="W7309" s="1"/>
      <c r="X7309" s="1"/>
      <c r="Y7309" s="1"/>
      <c r="AB7309" s="1"/>
      <c r="AC7309" s="1"/>
      <c r="AD7309" s="1"/>
      <c r="AE7309" s="1"/>
      <c r="AF7309" s="1"/>
      <c r="AG7309" s="1"/>
      <c r="AH7309" s="1"/>
      <c r="AI7309" s="1"/>
      <c r="AJ7309" s="1"/>
      <c r="AK7309" s="1"/>
      <c r="AL7309" s="1"/>
      <c r="AM7309" s="1"/>
    </row>
    <row r="7310" spans="16:39" x14ac:dyDescent="0.25">
      <c r="P7310" s="49"/>
      <c r="Q7310" s="1"/>
      <c r="S7310" s="1"/>
      <c r="T7310" s="1"/>
      <c r="U7310" s="1"/>
      <c r="V7310" s="1"/>
      <c r="W7310" s="1"/>
      <c r="X7310" s="1"/>
      <c r="Y7310" s="1"/>
      <c r="AB7310" s="1"/>
      <c r="AC7310" s="1"/>
      <c r="AD7310" s="1"/>
      <c r="AE7310" s="1"/>
      <c r="AF7310" s="1"/>
      <c r="AG7310" s="1"/>
      <c r="AH7310" s="1"/>
      <c r="AI7310" s="1"/>
      <c r="AJ7310" s="1"/>
      <c r="AK7310" s="1"/>
      <c r="AL7310" s="1"/>
      <c r="AM7310" s="1"/>
    </row>
    <row r="7311" spans="16:39" x14ac:dyDescent="0.25">
      <c r="P7311" s="49"/>
      <c r="Q7311" s="1"/>
      <c r="S7311" s="1"/>
      <c r="T7311" s="1"/>
      <c r="U7311" s="1"/>
      <c r="V7311" s="1"/>
      <c r="W7311" s="1"/>
      <c r="X7311" s="1"/>
      <c r="Y7311" s="1"/>
      <c r="AB7311" s="1"/>
      <c r="AC7311" s="1"/>
      <c r="AD7311" s="1"/>
      <c r="AE7311" s="1"/>
      <c r="AF7311" s="1"/>
      <c r="AG7311" s="1"/>
      <c r="AH7311" s="1"/>
      <c r="AI7311" s="1"/>
      <c r="AJ7311" s="1"/>
      <c r="AK7311" s="1"/>
      <c r="AL7311" s="1"/>
      <c r="AM7311" s="1"/>
    </row>
    <row r="7312" spans="16:39" x14ac:dyDescent="0.25">
      <c r="P7312" s="49"/>
      <c r="Q7312" s="1"/>
      <c r="S7312" s="1"/>
      <c r="T7312" s="1"/>
      <c r="U7312" s="1"/>
      <c r="V7312" s="1"/>
      <c r="W7312" s="1"/>
      <c r="X7312" s="1"/>
      <c r="Y7312" s="1"/>
      <c r="AB7312" s="1"/>
      <c r="AC7312" s="1"/>
      <c r="AD7312" s="1"/>
      <c r="AE7312" s="1"/>
      <c r="AF7312" s="1"/>
      <c r="AG7312" s="1"/>
      <c r="AH7312" s="1"/>
      <c r="AI7312" s="1"/>
      <c r="AJ7312" s="1"/>
      <c r="AK7312" s="1"/>
      <c r="AL7312" s="1"/>
      <c r="AM7312" s="1"/>
    </row>
    <row r="7313" spans="16:39" x14ac:dyDescent="0.25">
      <c r="P7313" s="49"/>
      <c r="Q7313" s="1"/>
      <c r="S7313" s="1"/>
      <c r="T7313" s="1"/>
      <c r="U7313" s="1"/>
      <c r="V7313" s="1"/>
      <c r="W7313" s="1"/>
      <c r="X7313" s="1"/>
      <c r="Y7313" s="1"/>
      <c r="AB7313" s="1"/>
      <c r="AC7313" s="1"/>
      <c r="AD7313" s="1"/>
      <c r="AE7313" s="1"/>
      <c r="AF7313" s="1"/>
      <c r="AG7313" s="1"/>
      <c r="AH7313" s="1"/>
      <c r="AI7313" s="1"/>
      <c r="AJ7313" s="1"/>
      <c r="AK7313" s="1"/>
      <c r="AL7313" s="1"/>
      <c r="AM7313" s="1"/>
    </row>
    <row r="7314" spans="16:39" x14ac:dyDescent="0.25">
      <c r="P7314" s="49"/>
      <c r="Q7314" s="1"/>
      <c r="S7314" s="1"/>
      <c r="T7314" s="1"/>
      <c r="U7314" s="1"/>
      <c r="V7314" s="1"/>
      <c r="W7314" s="1"/>
      <c r="X7314" s="1"/>
      <c r="Y7314" s="1"/>
      <c r="AB7314" s="1"/>
      <c r="AC7314" s="1"/>
      <c r="AD7314" s="1"/>
      <c r="AE7314" s="1"/>
      <c r="AF7314" s="1"/>
      <c r="AG7314" s="1"/>
      <c r="AH7314" s="1"/>
      <c r="AI7314" s="1"/>
      <c r="AJ7314" s="1"/>
      <c r="AK7314" s="1"/>
      <c r="AL7314" s="1"/>
      <c r="AM7314" s="1"/>
    </row>
    <row r="7315" spans="16:39" x14ac:dyDescent="0.25">
      <c r="P7315" s="49"/>
      <c r="Q7315" s="1"/>
      <c r="S7315" s="1"/>
      <c r="T7315" s="1"/>
      <c r="U7315" s="1"/>
      <c r="V7315" s="1"/>
      <c r="W7315" s="1"/>
      <c r="X7315" s="1"/>
      <c r="Y7315" s="1"/>
      <c r="AB7315" s="1"/>
      <c r="AC7315" s="1"/>
      <c r="AD7315" s="1"/>
      <c r="AE7315" s="1"/>
      <c r="AF7315" s="1"/>
      <c r="AG7315" s="1"/>
      <c r="AH7315" s="1"/>
      <c r="AI7315" s="1"/>
      <c r="AJ7315" s="1"/>
      <c r="AK7315" s="1"/>
      <c r="AL7315" s="1"/>
      <c r="AM7315" s="1"/>
    </row>
    <row r="7316" spans="16:39" x14ac:dyDescent="0.25">
      <c r="P7316" s="49"/>
      <c r="Q7316" s="1"/>
      <c r="S7316" s="1"/>
      <c r="T7316" s="1"/>
      <c r="U7316" s="1"/>
      <c r="V7316" s="1"/>
      <c r="W7316" s="1"/>
      <c r="X7316" s="1"/>
      <c r="Y7316" s="1"/>
      <c r="AB7316" s="1"/>
      <c r="AC7316" s="1"/>
      <c r="AD7316" s="1"/>
      <c r="AE7316" s="1"/>
      <c r="AF7316" s="1"/>
      <c r="AG7316" s="1"/>
      <c r="AH7316" s="1"/>
      <c r="AI7316" s="1"/>
      <c r="AJ7316" s="1"/>
      <c r="AK7316" s="1"/>
      <c r="AL7316" s="1"/>
      <c r="AM7316" s="1"/>
    </row>
    <row r="7317" spans="16:39" x14ac:dyDescent="0.25">
      <c r="P7317" s="49"/>
      <c r="Q7317" s="1"/>
      <c r="S7317" s="1"/>
      <c r="T7317" s="1"/>
      <c r="U7317" s="1"/>
      <c r="V7317" s="1"/>
      <c r="W7317" s="1"/>
      <c r="X7317" s="1"/>
      <c r="Y7317" s="1"/>
      <c r="AB7317" s="1"/>
      <c r="AC7317" s="1"/>
      <c r="AD7317" s="1"/>
      <c r="AE7317" s="1"/>
      <c r="AF7317" s="1"/>
      <c r="AG7317" s="1"/>
      <c r="AH7317" s="1"/>
      <c r="AI7317" s="1"/>
      <c r="AJ7317" s="1"/>
      <c r="AK7317" s="1"/>
      <c r="AL7317" s="1"/>
      <c r="AM7317" s="1"/>
    </row>
    <row r="7318" spans="16:39" x14ac:dyDescent="0.25">
      <c r="P7318" s="49"/>
      <c r="Q7318" s="1"/>
      <c r="S7318" s="1"/>
      <c r="T7318" s="1"/>
      <c r="U7318" s="1"/>
      <c r="V7318" s="1"/>
      <c r="W7318" s="1"/>
      <c r="X7318" s="1"/>
      <c r="Y7318" s="1"/>
      <c r="AB7318" s="1"/>
      <c r="AC7318" s="1"/>
      <c r="AD7318" s="1"/>
      <c r="AE7318" s="1"/>
      <c r="AF7318" s="1"/>
      <c r="AG7318" s="1"/>
      <c r="AH7318" s="1"/>
      <c r="AI7318" s="1"/>
      <c r="AJ7318" s="1"/>
      <c r="AK7318" s="1"/>
      <c r="AL7318" s="1"/>
      <c r="AM7318" s="1"/>
    </row>
    <row r="7319" spans="16:39" x14ac:dyDescent="0.25">
      <c r="P7319" s="49"/>
      <c r="Q7319" s="1"/>
      <c r="S7319" s="1"/>
      <c r="T7319" s="1"/>
      <c r="U7319" s="1"/>
      <c r="V7319" s="1"/>
      <c r="W7319" s="1"/>
      <c r="X7319" s="1"/>
      <c r="Y7319" s="1"/>
      <c r="AB7319" s="1"/>
      <c r="AC7319" s="1"/>
      <c r="AD7319" s="1"/>
      <c r="AE7319" s="1"/>
      <c r="AF7319" s="1"/>
      <c r="AG7319" s="1"/>
      <c r="AH7319" s="1"/>
      <c r="AI7319" s="1"/>
      <c r="AJ7319" s="1"/>
      <c r="AK7319" s="1"/>
      <c r="AL7319" s="1"/>
      <c r="AM7319" s="1"/>
    </row>
    <row r="7320" spans="16:39" x14ac:dyDescent="0.25">
      <c r="P7320" s="49"/>
      <c r="Q7320" s="1"/>
      <c r="S7320" s="1"/>
      <c r="T7320" s="1"/>
      <c r="U7320" s="1"/>
      <c r="V7320" s="1"/>
      <c r="W7320" s="1"/>
      <c r="X7320" s="1"/>
      <c r="Y7320" s="1"/>
      <c r="AB7320" s="1"/>
      <c r="AC7320" s="1"/>
      <c r="AD7320" s="1"/>
      <c r="AE7320" s="1"/>
      <c r="AF7320" s="1"/>
      <c r="AG7320" s="1"/>
      <c r="AH7320" s="1"/>
      <c r="AI7320" s="1"/>
      <c r="AJ7320" s="1"/>
      <c r="AK7320" s="1"/>
      <c r="AL7320" s="1"/>
      <c r="AM7320" s="1"/>
    </row>
    <row r="7321" spans="16:39" x14ac:dyDescent="0.25">
      <c r="P7321" s="49"/>
      <c r="Q7321" s="1"/>
      <c r="S7321" s="1"/>
      <c r="T7321" s="1"/>
      <c r="U7321" s="1"/>
      <c r="V7321" s="1"/>
      <c r="W7321" s="1"/>
      <c r="X7321" s="1"/>
      <c r="Y7321" s="1"/>
      <c r="AB7321" s="1"/>
      <c r="AC7321" s="1"/>
      <c r="AD7321" s="1"/>
      <c r="AE7321" s="1"/>
      <c r="AF7321" s="1"/>
      <c r="AG7321" s="1"/>
      <c r="AH7321" s="1"/>
      <c r="AI7321" s="1"/>
      <c r="AJ7321" s="1"/>
      <c r="AK7321" s="1"/>
      <c r="AL7321" s="1"/>
      <c r="AM7321" s="1"/>
    </row>
    <row r="7322" spans="16:39" x14ac:dyDescent="0.25">
      <c r="P7322" s="49"/>
      <c r="Q7322" s="1"/>
      <c r="S7322" s="1"/>
      <c r="T7322" s="1"/>
      <c r="U7322" s="1"/>
      <c r="V7322" s="1"/>
      <c r="W7322" s="1"/>
      <c r="X7322" s="1"/>
      <c r="Y7322" s="1"/>
      <c r="AB7322" s="1"/>
      <c r="AC7322" s="1"/>
      <c r="AD7322" s="1"/>
      <c r="AE7322" s="1"/>
      <c r="AF7322" s="1"/>
      <c r="AG7322" s="1"/>
      <c r="AH7322" s="1"/>
      <c r="AI7322" s="1"/>
      <c r="AJ7322" s="1"/>
      <c r="AK7322" s="1"/>
      <c r="AL7322" s="1"/>
      <c r="AM7322" s="1"/>
    </row>
    <row r="7323" spans="16:39" x14ac:dyDescent="0.25">
      <c r="P7323" s="49"/>
      <c r="Q7323" s="1"/>
      <c r="S7323" s="1"/>
      <c r="T7323" s="1"/>
      <c r="U7323" s="1"/>
      <c r="V7323" s="1"/>
      <c r="W7323" s="1"/>
      <c r="X7323" s="1"/>
      <c r="Y7323" s="1"/>
      <c r="AB7323" s="1"/>
      <c r="AC7323" s="1"/>
      <c r="AD7323" s="1"/>
      <c r="AE7323" s="1"/>
      <c r="AF7323" s="1"/>
      <c r="AG7323" s="1"/>
      <c r="AH7323" s="1"/>
      <c r="AI7323" s="1"/>
      <c r="AJ7323" s="1"/>
      <c r="AK7323" s="1"/>
      <c r="AL7323" s="1"/>
      <c r="AM7323" s="1"/>
    </row>
    <row r="7324" spans="16:39" x14ac:dyDescent="0.25">
      <c r="P7324" s="49"/>
      <c r="Q7324" s="1"/>
      <c r="S7324" s="1"/>
      <c r="T7324" s="1"/>
      <c r="U7324" s="1"/>
      <c r="V7324" s="1"/>
      <c r="W7324" s="1"/>
      <c r="X7324" s="1"/>
      <c r="Y7324" s="1"/>
      <c r="AB7324" s="1"/>
      <c r="AC7324" s="1"/>
      <c r="AD7324" s="1"/>
      <c r="AE7324" s="1"/>
      <c r="AF7324" s="1"/>
      <c r="AG7324" s="1"/>
      <c r="AH7324" s="1"/>
      <c r="AI7324" s="1"/>
      <c r="AJ7324" s="1"/>
      <c r="AK7324" s="1"/>
      <c r="AL7324" s="1"/>
      <c r="AM7324" s="1"/>
    </row>
    <row r="7325" spans="16:39" x14ac:dyDescent="0.25">
      <c r="P7325" s="49"/>
      <c r="Q7325" s="1"/>
      <c r="S7325" s="1"/>
      <c r="T7325" s="1"/>
      <c r="U7325" s="1"/>
      <c r="V7325" s="1"/>
      <c r="W7325" s="1"/>
      <c r="X7325" s="1"/>
      <c r="Y7325" s="1"/>
      <c r="AB7325" s="1"/>
      <c r="AC7325" s="1"/>
      <c r="AD7325" s="1"/>
      <c r="AE7325" s="1"/>
      <c r="AF7325" s="1"/>
      <c r="AG7325" s="1"/>
      <c r="AH7325" s="1"/>
      <c r="AI7325" s="1"/>
      <c r="AJ7325" s="1"/>
      <c r="AK7325" s="1"/>
      <c r="AL7325" s="1"/>
      <c r="AM7325" s="1"/>
    </row>
    <row r="7326" spans="16:39" x14ac:dyDescent="0.25">
      <c r="P7326" s="49"/>
      <c r="Q7326" s="1"/>
      <c r="S7326" s="1"/>
      <c r="T7326" s="1"/>
      <c r="U7326" s="1"/>
      <c r="V7326" s="1"/>
      <c r="W7326" s="1"/>
      <c r="X7326" s="1"/>
      <c r="Y7326" s="1"/>
      <c r="AB7326" s="1"/>
      <c r="AC7326" s="1"/>
      <c r="AD7326" s="1"/>
      <c r="AE7326" s="1"/>
      <c r="AF7326" s="1"/>
      <c r="AG7326" s="1"/>
      <c r="AH7326" s="1"/>
      <c r="AI7326" s="1"/>
      <c r="AJ7326" s="1"/>
      <c r="AK7326" s="1"/>
      <c r="AL7326" s="1"/>
      <c r="AM7326" s="1"/>
    </row>
    <row r="7327" spans="16:39" x14ac:dyDescent="0.25">
      <c r="P7327" s="49"/>
      <c r="Q7327" s="1"/>
      <c r="S7327" s="1"/>
      <c r="T7327" s="1"/>
      <c r="U7327" s="1"/>
      <c r="V7327" s="1"/>
      <c r="W7327" s="1"/>
      <c r="X7327" s="1"/>
      <c r="Y7327" s="1"/>
      <c r="AB7327" s="1"/>
      <c r="AC7327" s="1"/>
      <c r="AD7327" s="1"/>
      <c r="AE7327" s="1"/>
      <c r="AF7327" s="1"/>
      <c r="AG7327" s="1"/>
      <c r="AH7327" s="1"/>
      <c r="AI7327" s="1"/>
      <c r="AJ7327" s="1"/>
      <c r="AK7327" s="1"/>
      <c r="AL7327" s="1"/>
      <c r="AM7327" s="1"/>
    </row>
    <row r="7328" spans="16:39" x14ac:dyDescent="0.25">
      <c r="P7328" s="49"/>
      <c r="Q7328" s="1"/>
      <c r="S7328" s="1"/>
      <c r="T7328" s="1"/>
      <c r="U7328" s="1"/>
      <c r="V7328" s="1"/>
      <c r="W7328" s="1"/>
      <c r="X7328" s="1"/>
      <c r="Y7328" s="1"/>
      <c r="AB7328" s="1"/>
      <c r="AC7328" s="1"/>
      <c r="AD7328" s="1"/>
      <c r="AE7328" s="1"/>
      <c r="AF7328" s="1"/>
      <c r="AG7328" s="1"/>
      <c r="AH7328" s="1"/>
      <c r="AI7328" s="1"/>
      <c r="AJ7328" s="1"/>
      <c r="AK7328" s="1"/>
      <c r="AL7328" s="1"/>
      <c r="AM7328" s="1"/>
    </row>
    <row r="7329" spans="16:39" x14ac:dyDescent="0.25">
      <c r="P7329" s="49"/>
      <c r="Q7329" s="1"/>
      <c r="S7329" s="1"/>
      <c r="T7329" s="1"/>
      <c r="U7329" s="1"/>
      <c r="V7329" s="1"/>
      <c r="W7329" s="1"/>
      <c r="X7329" s="1"/>
      <c r="Y7329" s="1"/>
      <c r="AB7329" s="1"/>
      <c r="AC7329" s="1"/>
      <c r="AD7329" s="1"/>
      <c r="AE7329" s="1"/>
      <c r="AF7329" s="1"/>
      <c r="AG7329" s="1"/>
      <c r="AH7329" s="1"/>
      <c r="AI7329" s="1"/>
      <c r="AJ7329" s="1"/>
      <c r="AK7329" s="1"/>
      <c r="AL7329" s="1"/>
      <c r="AM7329" s="1"/>
    </row>
    <row r="7330" spans="16:39" x14ac:dyDescent="0.25">
      <c r="P7330" s="49"/>
      <c r="Q7330" s="1"/>
      <c r="S7330" s="1"/>
      <c r="T7330" s="1"/>
      <c r="U7330" s="1"/>
      <c r="V7330" s="1"/>
      <c r="W7330" s="1"/>
      <c r="X7330" s="1"/>
      <c r="Y7330" s="1"/>
      <c r="AB7330" s="1"/>
      <c r="AC7330" s="1"/>
      <c r="AD7330" s="1"/>
      <c r="AE7330" s="1"/>
      <c r="AF7330" s="1"/>
      <c r="AG7330" s="1"/>
      <c r="AH7330" s="1"/>
      <c r="AI7330" s="1"/>
      <c r="AJ7330" s="1"/>
      <c r="AK7330" s="1"/>
      <c r="AL7330" s="1"/>
      <c r="AM7330" s="1"/>
    </row>
    <row r="7331" spans="16:39" x14ac:dyDescent="0.25">
      <c r="P7331" s="49"/>
      <c r="Q7331" s="1"/>
      <c r="S7331" s="1"/>
      <c r="T7331" s="1"/>
      <c r="U7331" s="1"/>
      <c r="V7331" s="1"/>
      <c r="W7331" s="1"/>
      <c r="X7331" s="1"/>
      <c r="Y7331" s="1"/>
      <c r="AB7331" s="1"/>
      <c r="AC7331" s="1"/>
      <c r="AD7331" s="1"/>
      <c r="AE7331" s="1"/>
      <c r="AF7331" s="1"/>
      <c r="AG7331" s="1"/>
      <c r="AH7331" s="1"/>
      <c r="AI7331" s="1"/>
      <c r="AJ7331" s="1"/>
      <c r="AK7331" s="1"/>
      <c r="AL7331" s="1"/>
      <c r="AM7331" s="1"/>
    </row>
    <row r="7332" spans="16:39" x14ac:dyDescent="0.25">
      <c r="P7332" s="49"/>
      <c r="Q7332" s="1"/>
      <c r="S7332" s="1"/>
      <c r="T7332" s="1"/>
      <c r="U7332" s="1"/>
      <c r="V7332" s="1"/>
      <c r="W7332" s="1"/>
      <c r="X7332" s="1"/>
      <c r="Y7332" s="1"/>
      <c r="AB7332" s="1"/>
      <c r="AC7332" s="1"/>
      <c r="AD7332" s="1"/>
      <c r="AE7332" s="1"/>
      <c r="AF7332" s="1"/>
      <c r="AG7332" s="1"/>
      <c r="AH7332" s="1"/>
      <c r="AI7332" s="1"/>
      <c r="AJ7332" s="1"/>
      <c r="AK7332" s="1"/>
      <c r="AL7332" s="1"/>
      <c r="AM7332" s="1"/>
    </row>
    <row r="7333" spans="16:39" x14ac:dyDescent="0.25">
      <c r="P7333" s="49"/>
      <c r="Q7333" s="1"/>
      <c r="S7333" s="1"/>
      <c r="T7333" s="1"/>
      <c r="U7333" s="1"/>
      <c r="V7333" s="1"/>
      <c r="W7333" s="1"/>
      <c r="X7333" s="1"/>
      <c r="Y7333" s="1"/>
      <c r="AB7333" s="1"/>
      <c r="AC7333" s="1"/>
      <c r="AD7333" s="1"/>
      <c r="AE7333" s="1"/>
      <c r="AF7333" s="1"/>
      <c r="AG7333" s="1"/>
      <c r="AH7333" s="1"/>
      <c r="AI7333" s="1"/>
      <c r="AJ7333" s="1"/>
      <c r="AK7333" s="1"/>
      <c r="AL7333" s="1"/>
      <c r="AM7333" s="1"/>
    </row>
    <row r="7334" spans="16:39" x14ac:dyDescent="0.25">
      <c r="P7334" s="49"/>
      <c r="Q7334" s="1"/>
      <c r="S7334" s="1"/>
      <c r="T7334" s="1"/>
      <c r="U7334" s="1"/>
      <c r="V7334" s="1"/>
      <c r="W7334" s="1"/>
      <c r="X7334" s="1"/>
      <c r="Y7334" s="1"/>
      <c r="AB7334" s="1"/>
      <c r="AC7334" s="1"/>
      <c r="AD7334" s="1"/>
      <c r="AE7334" s="1"/>
      <c r="AF7334" s="1"/>
      <c r="AG7334" s="1"/>
      <c r="AH7334" s="1"/>
      <c r="AI7334" s="1"/>
      <c r="AJ7334" s="1"/>
      <c r="AK7334" s="1"/>
      <c r="AL7334" s="1"/>
      <c r="AM7334" s="1"/>
    </row>
    <row r="7335" spans="16:39" x14ac:dyDescent="0.25">
      <c r="P7335" s="49"/>
      <c r="Q7335" s="1"/>
      <c r="S7335" s="1"/>
      <c r="T7335" s="1"/>
      <c r="U7335" s="1"/>
      <c r="V7335" s="1"/>
      <c r="W7335" s="1"/>
      <c r="X7335" s="1"/>
      <c r="Y7335" s="1"/>
      <c r="AB7335" s="1"/>
      <c r="AC7335" s="1"/>
      <c r="AD7335" s="1"/>
      <c r="AE7335" s="1"/>
      <c r="AF7335" s="1"/>
      <c r="AG7335" s="1"/>
      <c r="AH7335" s="1"/>
      <c r="AI7335" s="1"/>
      <c r="AJ7335" s="1"/>
      <c r="AK7335" s="1"/>
      <c r="AL7335" s="1"/>
      <c r="AM7335" s="1"/>
    </row>
    <row r="7336" spans="16:39" x14ac:dyDescent="0.25">
      <c r="P7336" s="49"/>
      <c r="Q7336" s="1"/>
      <c r="S7336" s="1"/>
      <c r="T7336" s="1"/>
      <c r="U7336" s="1"/>
      <c r="V7336" s="1"/>
      <c r="W7336" s="1"/>
      <c r="X7336" s="1"/>
      <c r="Y7336" s="1"/>
      <c r="AB7336" s="1"/>
      <c r="AC7336" s="1"/>
      <c r="AD7336" s="1"/>
      <c r="AE7336" s="1"/>
      <c r="AF7336" s="1"/>
      <c r="AG7336" s="1"/>
      <c r="AH7336" s="1"/>
      <c r="AI7336" s="1"/>
      <c r="AJ7336" s="1"/>
      <c r="AK7336" s="1"/>
      <c r="AL7336" s="1"/>
      <c r="AM7336" s="1"/>
    </row>
    <row r="7337" spans="16:39" x14ac:dyDescent="0.25">
      <c r="P7337" s="49"/>
      <c r="Q7337" s="1"/>
      <c r="S7337" s="1"/>
      <c r="T7337" s="1"/>
      <c r="U7337" s="1"/>
      <c r="V7337" s="1"/>
      <c r="W7337" s="1"/>
      <c r="X7337" s="1"/>
      <c r="Y7337" s="1"/>
      <c r="AB7337" s="1"/>
      <c r="AC7337" s="1"/>
      <c r="AD7337" s="1"/>
      <c r="AE7337" s="1"/>
      <c r="AF7337" s="1"/>
      <c r="AG7337" s="1"/>
      <c r="AH7337" s="1"/>
      <c r="AI7337" s="1"/>
      <c r="AJ7337" s="1"/>
      <c r="AK7337" s="1"/>
      <c r="AL7337" s="1"/>
      <c r="AM7337" s="1"/>
    </row>
    <row r="7338" spans="16:39" x14ac:dyDescent="0.25">
      <c r="P7338" s="49"/>
      <c r="Q7338" s="1"/>
      <c r="S7338" s="1"/>
      <c r="T7338" s="1"/>
      <c r="U7338" s="1"/>
      <c r="V7338" s="1"/>
      <c r="W7338" s="1"/>
      <c r="X7338" s="1"/>
      <c r="Y7338" s="1"/>
      <c r="AB7338" s="1"/>
      <c r="AC7338" s="1"/>
      <c r="AD7338" s="1"/>
      <c r="AE7338" s="1"/>
      <c r="AF7338" s="1"/>
      <c r="AG7338" s="1"/>
      <c r="AH7338" s="1"/>
      <c r="AI7338" s="1"/>
      <c r="AJ7338" s="1"/>
      <c r="AK7338" s="1"/>
      <c r="AL7338" s="1"/>
      <c r="AM7338" s="1"/>
    </row>
    <row r="7339" spans="16:39" x14ac:dyDescent="0.25">
      <c r="P7339" s="49"/>
      <c r="Q7339" s="1"/>
      <c r="S7339" s="1"/>
      <c r="T7339" s="1"/>
      <c r="U7339" s="1"/>
      <c r="V7339" s="1"/>
      <c r="W7339" s="1"/>
      <c r="X7339" s="1"/>
      <c r="Y7339" s="1"/>
      <c r="AB7339" s="1"/>
      <c r="AC7339" s="1"/>
      <c r="AD7339" s="1"/>
      <c r="AE7339" s="1"/>
      <c r="AF7339" s="1"/>
      <c r="AG7339" s="1"/>
      <c r="AH7339" s="1"/>
      <c r="AI7339" s="1"/>
      <c r="AJ7339" s="1"/>
      <c r="AK7339" s="1"/>
      <c r="AL7339" s="1"/>
      <c r="AM7339" s="1"/>
    </row>
    <row r="7340" spans="16:39" x14ac:dyDescent="0.25">
      <c r="P7340" s="49"/>
      <c r="Q7340" s="1"/>
      <c r="S7340" s="1"/>
      <c r="T7340" s="1"/>
      <c r="U7340" s="1"/>
      <c r="V7340" s="1"/>
      <c r="W7340" s="1"/>
      <c r="X7340" s="1"/>
      <c r="Y7340" s="1"/>
      <c r="AB7340" s="1"/>
      <c r="AC7340" s="1"/>
      <c r="AD7340" s="1"/>
      <c r="AE7340" s="1"/>
      <c r="AF7340" s="1"/>
      <c r="AG7340" s="1"/>
      <c r="AH7340" s="1"/>
      <c r="AI7340" s="1"/>
      <c r="AJ7340" s="1"/>
      <c r="AK7340" s="1"/>
      <c r="AL7340" s="1"/>
      <c r="AM7340" s="1"/>
    </row>
    <row r="7341" spans="16:39" x14ac:dyDescent="0.25">
      <c r="P7341" s="49"/>
      <c r="Q7341" s="1"/>
      <c r="S7341" s="1"/>
      <c r="T7341" s="1"/>
      <c r="U7341" s="1"/>
      <c r="V7341" s="1"/>
      <c r="W7341" s="1"/>
      <c r="X7341" s="1"/>
      <c r="Y7341" s="1"/>
      <c r="AB7341" s="1"/>
      <c r="AC7341" s="1"/>
      <c r="AD7341" s="1"/>
      <c r="AE7341" s="1"/>
      <c r="AF7341" s="1"/>
      <c r="AG7341" s="1"/>
      <c r="AH7341" s="1"/>
      <c r="AI7341" s="1"/>
      <c r="AJ7341" s="1"/>
      <c r="AK7341" s="1"/>
      <c r="AL7341" s="1"/>
      <c r="AM7341" s="1"/>
    </row>
    <row r="7342" spans="16:39" x14ac:dyDescent="0.25">
      <c r="P7342" s="49"/>
      <c r="Q7342" s="1"/>
      <c r="S7342" s="1"/>
      <c r="T7342" s="1"/>
      <c r="U7342" s="1"/>
      <c r="V7342" s="1"/>
      <c r="W7342" s="1"/>
      <c r="X7342" s="1"/>
      <c r="Y7342" s="1"/>
      <c r="AB7342" s="1"/>
      <c r="AC7342" s="1"/>
      <c r="AD7342" s="1"/>
      <c r="AE7342" s="1"/>
      <c r="AF7342" s="1"/>
      <c r="AG7342" s="1"/>
      <c r="AH7342" s="1"/>
      <c r="AI7342" s="1"/>
      <c r="AJ7342" s="1"/>
      <c r="AK7342" s="1"/>
      <c r="AL7342" s="1"/>
      <c r="AM7342" s="1"/>
    </row>
    <row r="7343" spans="16:39" x14ac:dyDescent="0.25">
      <c r="P7343" s="49"/>
      <c r="Q7343" s="1"/>
      <c r="S7343" s="1"/>
      <c r="T7343" s="1"/>
      <c r="U7343" s="1"/>
      <c r="V7343" s="1"/>
      <c r="W7343" s="1"/>
      <c r="X7343" s="1"/>
      <c r="Y7343" s="1"/>
      <c r="AB7343" s="1"/>
      <c r="AC7343" s="1"/>
      <c r="AD7343" s="1"/>
      <c r="AE7343" s="1"/>
      <c r="AF7343" s="1"/>
      <c r="AG7343" s="1"/>
      <c r="AH7343" s="1"/>
      <c r="AI7343" s="1"/>
      <c r="AJ7343" s="1"/>
      <c r="AK7343" s="1"/>
      <c r="AL7343" s="1"/>
      <c r="AM7343" s="1"/>
    </row>
    <row r="7344" spans="16:39" x14ac:dyDescent="0.25">
      <c r="P7344" s="49"/>
      <c r="Q7344" s="1"/>
      <c r="S7344" s="1"/>
      <c r="T7344" s="1"/>
      <c r="U7344" s="1"/>
      <c r="V7344" s="1"/>
      <c r="W7344" s="1"/>
      <c r="X7344" s="1"/>
      <c r="Y7344" s="1"/>
      <c r="AB7344" s="1"/>
      <c r="AC7344" s="1"/>
      <c r="AD7344" s="1"/>
      <c r="AE7344" s="1"/>
      <c r="AF7344" s="1"/>
      <c r="AG7344" s="1"/>
      <c r="AH7344" s="1"/>
      <c r="AI7344" s="1"/>
      <c r="AJ7344" s="1"/>
      <c r="AK7344" s="1"/>
      <c r="AL7344" s="1"/>
      <c r="AM7344" s="1"/>
    </row>
    <row r="7345" spans="16:39" x14ac:dyDescent="0.25">
      <c r="P7345" s="49"/>
      <c r="Q7345" s="1"/>
      <c r="S7345" s="1"/>
      <c r="T7345" s="1"/>
      <c r="U7345" s="1"/>
      <c r="V7345" s="1"/>
      <c r="W7345" s="1"/>
      <c r="X7345" s="1"/>
      <c r="Y7345" s="1"/>
      <c r="AB7345" s="1"/>
      <c r="AC7345" s="1"/>
      <c r="AD7345" s="1"/>
      <c r="AE7345" s="1"/>
      <c r="AF7345" s="1"/>
      <c r="AG7345" s="1"/>
      <c r="AH7345" s="1"/>
      <c r="AI7345" s="1"/>
      <c r="AJ7345" s="1"/>
      <c r="AK7345" s="1"/>
      <c r="AL7345" s="1"/>
      <c r="AM7345" s="1"/>
    </row>
    <row r="7346" spans="16:39" x14ac:dyDescent="0.25">
      <c r="P7346" s="49"/>
      <c r="Q7346" s="1"/>
      <c r="S7346" s="1"/>
      <c r="T7346" s="1"/>
      <c r="U7346" s="1"/>
      <c r="V7346" s="1"/>
      <c r="W7346" s="1"/>
      <c r="X7346" s="1"/>
      <c r="Y7346" s="1"/>
      <c r="AB7346" s="1"/>
      <c r="AC7346" s="1"/>
      <c r="AD7346" s="1"/>
      <c r="AE7346" s="1"/>
      <c r="AF7346" s="1"/>
      <c r="AG7346" s="1"/>
      <c r="AH7346" s="1"/>
      <c r="AI7346" s="1"/>
      <c r="AJ7346" s="1"/>
      <c r="AK7346" s="1"/>
      <c r="AL7346" s="1"/>
      <c r="AM7346" s="1"/>
    </row>
    <row r="7347" spans="16:39" x14ac:dyDescent="0.25">
      <c r="P7347" s="49"/>
      <c r="Q7347" s="1"/>
      <c r="S7347" s="1"/>
      <c r="T7347" s="1"/>
      <c r="U7347" s="1"/>
      <c r="V7347" s="1"/>
      <c r="W7347" s="1"/>
      <c r="X7347" s="1"/>
      <c r="Y7347" s="1"/>
      <c r="AB7347" s="1"/>
      <c r="AC7347" s="1"/>
      <c r="AD7347" s="1"/>
      <c r="AE7347" s="1"/>
      <c r="AF7347" s="1"/>
      <c r="AG7347" s="1"/>
      <c r="AH7347" s="1"/>
      <c r="AI7347" s="1"/>
      <c r="AJ7347" s="1"/>
      <c r="AK7347" s="1"/>
      <c r="AL7347" s="1"/>
      <c r="AM7347" s="1"/>
    </row>
    <row r="7348" spans="16:39" x14ac:dyDescent="0.25">
      <c r="P7348" s="49"/>
      <c r="Q7348" s="1"/>
      <c r="S7348" s="1"/>
      <c r="T7348" s="1"/>
      <c r="U7348" s="1"/>
      <c r="V7348" s="1"/>
      <c r="W7348" s="1"/>
      <c r="X7348" s="1"/>
      <c r="Y7348" s="1"/>
      <c r="AB7348" s="1"/>
      <c r="AC7348" s="1"/>
      <c r="AD7348" s="1"/>
      <c r="AE7348" s="1"/>
      <c r="AF7348" s="1"/>
      <c r="AG7348" s="1"/>
      <c r="AH7348" s="1"/>
      <c r="AI7348" s="1"/>
      <c r="AJ7348" s="1"/>
      <c r="AK7348" s="1"/>
      <c r="AL7348" s="1"/>
      <c r="AM7348" s="1"/>
    </row>
    <row r="7349" spans="16:39" x14ac:dyDescent="0.25">
      <c r="P7349" s="49"/>
      <c r="Q7349" s="1"/>
      <c r="S7349" s="1"/>
      <c r="T7349" s="1"/>
      <c r="U7349" s="1"/>
      <c r="V7349" s="1"/>
      <c r="W7349" s="1"/>
      <c r="X7349" s="1"/>
      <c r="Y7349" s="1"/>
      <c r="AB7349" s="1"/>
      <c r="AC7349" s="1"/>
      <c r="AD7349" s="1"/>
      <c r="AE7349" s="1"/>
      <c r="AF7349" s="1"/>
      <c r="AG7349" s="1"/>
      <c r="AH7349" s="1"/>
      <c r="AI7349" s="1"/>
      <c r="AJ7349" s="1"/>
      <c r="AK7349" s="1"/>
      <c r="AL7349" s="1"/>
      <c r="AM7349" s="1"/>
    </row>
    <row r="7350" spans="16:39" x14ac:dyDescent="0.25">
      <c r="P7350" s="49"/>
      <c r="Q7350" s="1"/>
      <c r="S7350" s="1"/>
      <c r="T7350" s="1"/>
      <c r="U7350" s="1"/>
      <c r="V7350" s="1"/>
      <c r="W7350" s="1"/>
      <c r="X7350" s="1"/>
      <c r="Y7350" s="1"/>
      <c r="AB7350" s="1"/>
      <c r="AC7350" s="1"/>
      <c r="AD7350" s="1"/>
      <c r="AE7350" s="1"/>
      <c r="AF7350" s="1"/>
      <c r="AG7350" s="1"/>
      <c r="AH7350" s="1"/>
      <c r="AI7350" s="1"/>
      <c r="AJ7350" s="1"/>
      <c r="AK7350" s="1"/>
      <c r="AL7350" s="1"/>
      <c r="AM7350" s="1"/>
    </row>
    <row r="7351" spans="16:39" x14ac:dyDescent="0.25">
      <c r="P7351" s="49"/>
      <c r="Q7351" s="1"/>
      <c r="S7351" s="1"/>
      <c r="T7351" s="1"/>
      <c r="U7351" s="1"/>
      <c r="V7351" s="1"/>
      <c r="W7351" s="1"/>
      <c r="X7351" s="1"/>
      <c r="Y7351" s="1"/>
      <c r="AB7351" s="1"/>
      <c r="AC7351" s="1"/>
      <c r="AD7351" s="1"/>
      <c r="AE7351" s="1"/>
      <c r="AF7351" s="1"/>
      <c r="AG7351" s="1"/>
      <c r="AH7351" s="1"/>
      <c r="AI7351" s="1"/>
      <c r="AJ7351" s="1"/>
      <c r="AK7351" s="1"/>
      <c r="AL7351" s="1"/>
      <c r="AM7351" s="1"/>
    </row>
    <row r="7352" spans="16:39" x14ac:dyDescent="0.25">
      <c r="P7352" s="49"/>
      <c r="Q7352" s="1"/>
      <c r="S7352" s="1"/>
      <c r="T7352" s="1"/>
      <c r="U7352" s="1"/>
      <c r="V7352" s="1"/>
      <c r="W7352" s="1"/>
      <c r="X7352" s="1"/>
      <c r="Y7352" s="1"/>
      <c r="AB7352" s="1"/>
      <c r="AC7352" s="1"/>
      <c r="AD7352" s="1"/>
      <c r="AE7352" s="1"/>
      <c r="AF7352" s="1"/>
      <c r="AG7352" s="1"/>
      <c r="AH7352" s="1"/>
      <c r="AI7352" s="1"/>
      <c r="AJ7352" s="1"/>
      <c r="AK7352" s="1"/>
      <c r="AL7352" s="1"/>
      <c r="AM7352" s="1"/>
    </row>
    <row r="7353" spans="16:39" x14ac:dyDescent="0.25">
      <c r="P7353" s="49"/>
      <c r="Q7353" s="1"/>
      <c r="S7353" s="1"/>
      <c r="T7353" s="1"/>
      <c r="U7353" s="1"/>
      <c r="V7353" s="1"/>
      <c r="W7353" s="1"/>
      <c r="X7353" s="1"/>
      <c r="Y7353" s="1"/>
      <c r="AB7353" s="1"/>
      <c r="AC7353" s="1"/>
      <c r="AD7353" s="1"/>
      <c r="AE7353" s="1"/>
      <c r="AF7353" s="1"/>
      <c r="AG7353" s="1"/>
      <c r="AH7353" s="1"/>
      <c r="AI7353" s="1"/>
      <c r="AJ7353" s="1"/>
      <c r="AK7353" s="1"/>
      <c r="AL7353" s="1"/>
      <c r="AM7353" s="1"/>
    </row>
    <row r="7354" spans="16:39" x14ac:dyDescent="0.25">
      <c r="P7354" s="49"/>
      <c r="Q7354" s="1"/>
      <c r="S7354" s="1"/>
      <c r="T7354" s="1"/>
      <c r="U7354" s="1"/>
      <c r="V7354" s="1"/>
      <c r="W7354" s="1"/>
      <c r="X7354" s="1"/>
      <c r="Y7354" s="1"/>
      <c r="AB7354" s="1"/>
      <c r="AC7354" s="1"/>
      <c r="AD7354" s="1"/>
      <c r="AE7354" s="1"/>
      <c r="AF7354" s="1"/>
      <c r="AG7354" s="1"/>
      <c r="AH7354" s="1"/>
      <c r="AI7354" s="1"/>
      <c r="AJ7354" s="1"/>
      <c r="AK7354" s="1"/>
      <c r="AL7354" s="1"/>
      <c r="AM7354" s="1"/>
    </row>
    <row r="7355" spans="16:39" x14ac:dyDescent="0.25">
      <c r="P7355" s="49"/>
      <c r="Q7355" s="1"/>
      <c r="S7355" s="1"/>
      <c r="T7355" s="1"/>
      <c r="U7355" s="1"/>
      <c r="V7355" s="1"/>
      <c r="W7355" s="1"/>
      <c r="X7355" s="1"/>
      <c r="Y7355" s="1"/>
      <c r="AB7355" s="1"/>
      <c r="AC7355" s="1"/>
      <c r="AD7355" s="1"/>
      <c r="AE7355" s="1"/>
      <c r="AF7355" s="1"/>
      <c r="AG7355" s="1"/>
      <c r="AH7355" s="1"/>
      <c r="AI7355" s="1"/>
      <c r="AJ7355" s="1"/>
      <c r="AK7355" s="1"/>
      <c r="AL7355" s="1"/>
      <c r="AM7355" s="1"/>
    </row>
    <row r="7356" spans="16:39" x14ac:dyDescent="0.25">
      <c r="P7356" s="49"/>
      <c r="Q7356" s="1"/>
      <c r="S7356" s="1"/>
      <c r="T7356" s="1"/>
      <c r="U7356" s="1"/>
      <c r="V7356" s="1"/>
      <c r="W7356" s="1"/>
      <c r="X7356" s="1"/>
      <c r="Y7356" s="1"/>
      <c r="AB7356" s="1"/>
      <c r="AC7356" s="1"/>
      <c r="AD7356" s="1"/>
      <c r="AE7356" s="1"/>
      <c r="AF7356" s="1"/>
      <c r="AG7356" s="1"/>
      <c r="AH7356" s="1"/>
      <c r="AI7356" s="1"/>
      <c r="AJ7356" s="1"/>
      <c r="AK7356" s="1"/>
      <c r="AL7356" s="1"/>
      <c r="AM7356" s="1"/>
    </row>
    <row r="7357" spans="16:39" x14ac:dyDescent="0.25">
      <c r="P7357" s="49"/>
      <c r="Q7357" s="1"/>
      <c r="S7357" s="1"/>
      <c r="T7357" s="1"/>
      <c r="U7357" s="1"/>
      <c r="V7357" s="1"/>
      <c r="W7357" s="1"/>
      <c r="X7357" s="1"/>
      <c r="Y7357" s="1"/>
      <c r="AB7357" s="1"/>
      <c r="AC7357" s="1"/>
      <c r="AD7357" s="1"/>
      <c r="AE7357" s="1"/>
      <c r="AF7357" s="1"/>
      <c r="AG7357" s="1"/>
      <c r="AH7357" s="1"/>
      <c r="AI7357" s="1"/>
      <c r="AJ7357" s="1"/>
      <c r="AK7357" s="1"/>
      <c r="AL7357" s="1"/>
      <c r="AM7357" s="1"/>
    </row>
    <row r="7358" spans="16:39" x14ac:dyDescent="0.25">
      <c r="P7358" s="49"/>
      <c r="Q7358" s="1"/>
      <c r="S7358" s="1"/>
      <c r="T7358" s="1"/>
      <c r="U7358" s="1"/>
      <c r="V7358" s="1"/>
      <c r="W7358" s="1"/>
      <c r="X7358" s="1"/>
      <c r="Y7358" s="1"/>
      <c r="AB7358" s="1"/>
      <c r="AC7358" s="1"/>
      <c r="AD7358" s="1"/>
      <c r="AE7358" s="1"/>
      <c r="AF7358" s="1"/>
      <c r="AG7358" s="1"/>
      <c r="AH7358" s="1"/>
      <c r="AI7358" s="1"/>
      <c r="AJ7358" s="1"/>
      <c r="AK7358" s="1"/>
      <c r="AL7358" s="1"/>
      <c r="AM7358" s="1"/>
    </row>
    <row r="7359" spans="16:39" x14ac:dyDescent="0.25">
      <c r="P7359" s="49"/>
      <c r="Q7359" s="1"/>
      <c r="S7359" s="1"/>
      <c r="T7359" s="1"/>
      <c r="U7359" s="1"/>
      <c r="V7359" s="1"/>
      <c r="W7359" s="1"/>
      <c r="X7359" s="1"/>
      <c r="Y7359" s="1"/>
      <c r="AB7359" s="1"/>
      <c r="AC7359" s="1"/>
      <c r="AD7359" s="1"/>
      <c r="AE7359" s="1"/>
      <c r="AF7359" s="1"/>
      <c r="AG7359" s="1"/>
      <c r="AH7359" s="1"/>
      <c r="AI7359" s="1"/>
      <c r="AJ7359" s="1"/>
      <c r="AK7359" s="1"/>
      <c r="AL7359" s="1"/>
      <c r="AM7359" s="1"/>
    </row>
    <row r="7360" spans="16:39" x14ac:dyDescent="0.25">
      <c r="P7360" s="49"/>
      <c r="Q7360" s="1"/>
      <c r="S7360" s="1"/>
      <c r="T7360" s="1"/>
      <c r="U7360" s="1"/>
      <c r="V7360" s="1"/>
      <c r="W7360" s="1"/>
      <c r="X7360" s="1"/>
      <c r="Y7360" s="1"/>
      <c r="AB7360" s="1"/>
      <c r="AC7360" s="1"/>
      <c r="AD7360" s="1"/>
      <c r="AE7360" s="1"/>
      <c r="AF7360" s="1"/>
      <c r="AG7360" s="1"/>
      <c r="AH7360" s="1"/>
      <c r="AI7360" s="1"/>
      <c r="AJ7360" s="1"/>
      <c r="AK7360" s="1"/>
      <c r="AL7360" s="1"/>
      <c r="AM7360" s="1"/>
    </row>
    <row r="7361" spans="16:39" x14ac:dyDescent="0.25">
      <c r="P7361" s="49"/>
      <c r="Q7361" s="1"/>
      <c r="S7361" s="1"/>
      <c r="T7361" s="1"/>
      <c r="U7361" s="1"/>
      <c r="V7361" s="1"/>
      <c r="W7361" s="1"/>
      <c r="X7361" s="1"/>
      <c r="Y7361" s="1"/>
      <c r="AB7361" s="1"/>
      <c r="AC7361" s="1"/>
      <c r="AD7361" s="1"/>
      <c r="AE7361" s="1"/>
      <c r="AF7361" s="1"/>
      <c r="AG7361" s="1"/>
      <c r="AH7361" s="1"/>
      <c r="AI7361" s="1"/>
      <c r="AJ7361" s="1"/>
      <c r="AK7361" s="1"/>
      <c r="AL7361" s="1"/>
      <c r="AM7361" s="1"/>
    </row>
    <row r="7362" spans="16:39" x14ac:dyDescent="0.25">
      <c r="P7362" s="49"/>
      <c r="Q7362" s="1"/>
      <c r="S7362" s="1"/>
      <c r="T7362" s="1"/>
      <c r="U7362" s="1"/>
      <c r="V7362" s="1"/>
      <c r="W7362" s="1"/>
      <c r="X7362" s="1"/>
      <c r="Y7362" s="1"/>
      <c r="AB7362" s="1"/>
      <c r="AC7362" s="1"/>
      <c r="AD7362" s="1"/>
      <c r="AE7362" s="1"/>
      <c r="AF7362" s="1"/>
      <c r="AG7362" s="1"/>
      <c r="AH7362" s="1"/>
      <c r="AI7362" s="1"/>
      <c r="AJ7362" s="1"/>
      <c r="AK7362" s="1"/>
      <c r="AL7362" s="1"/>
      <c r="AM7362" s="1"/>
    </row>
    <row r="7363" spans="16:39" x14ac:dyDescent="0.25">
      <c r="P7363" s="49"/>
      <c r="Q7363" s="1"/>
      <c r="S7363" s="1"/>
      <c r="T7363" s="1"/>
      <c r="U7363" s="1"/>
      <c r="V7363" s="1"/>
      <c r="W7363" s="1"/>
      <c r="X7363" s="1"/>
      <c r="Y7363" s="1"/>
      <c r="AB7363" s="1"/>
      <c r="AC7363" s="1"/>
      <c r="AD7363" s="1"/>
      <c r="AE7363" s="1"/>
      <c r="AF7363" s="1"/>
      <c r="AG7363" s="1"/>
      <c r="AH7363" s="1"/>
      <c r="AI7363" s="1"/>
      <c r="AJ7363" s="1"/>
      <c r="AK7363" s="1"/>
      <c r="AL7363" s="1"/>
      <c r="AM7363" s="1"/>
    </row>
    <row r="7364" spans="16:39" x14ac:dyDescent="0.25">
      <c r="P7364" s="49"/>
      <c r="Q7364" s="1"/>
      <c r="S7364" s="1"/>
      <c r="T7364" s="1"/>
      <c r="U7364" s="1"/>
      <c r="V7364" s="1"/>
      <c r="W7364" s="1"/>
      <c r="X7364" s="1"/>
      <c r="Y7364" s="1"/>
      <c r="AB7364" s="1"/>
      <c r="AC7364" s="1"/>
      <c r="AD7364" s="1"/>
      <c r="AE7364" s="1"/>
      <c r="AF7364" s="1"/>
      <c r="AG7364" s="1"/>
      <c r="AH7364" s="1"/>
      <c r="AI7364" s="1"/>
      <c r="AJ7364" s="1"/>
      <c r="AK7364" s="1"/>
      <c r="AL7364" s="1"/>
      <c r="AM7364" s="1"/>
    </row>
    <row r="7365" spans="16:39" x14ac:dyDescent="0.25">
      <c r="P7365" s="49"/>
      <c r="Q7365" s="1"/>
      <c r="S7365" s="1"/>
      <c r="T7365" s="1"/>
      <c r="U7365" s="1"/>
      <c r="V7365" s="1"/>
      <c r="W7365" s="1"/>
      <c r="X7365" s="1"/>
      <c r="Y7365" s="1"/>
      <c r="AB7365" s="1"/>
      <c r="AC7365" s="1"/>
      <c r="AD7365" s="1"/>
      <c r="AE7365" s="1"/>
      <c r="AF7365" s="1"/>
      <c r="AG7365" s="1"/>
      <c r="AH7365" s="1"/>
      <c r="AI7365" s="1"/>
      <c r="AJ7365" s="1"/>
      <c r="AK7365" s="1"/>
      <c r="AL7365" s="1"/>
      <c r="AM7365" s="1"/>
    </row>
    <row r="7366" spans="16:39" x14ac:dyDescent="0.25">
      <c r="P7366" s="49"/>
      <c r="Q7366" s="1"/>
      <c r="S7366" s="1"/>
      <c r="T7366" s="1"/>
      <c r="U7366" s="1"/>
      <c r="V7366" s="1"/>
      <c r="W7366" s="1"/>
      <c r="X7366" s="1"/>
      <c r="Y7366" s="1"/>
      <c r="AB7366" s="1"/>
      <c r="AC7366" s="1"/>
      <c r="AD7366" s="1"/>
      <c r="AE7366" s="1"/>
      <c r="AF7366" s="1"/>
      <c r="AG7366" s="1"/>
      <c r="AH7366" s="1"/>
      <c r="AI7366" s="1"/>
      <c r="AJ7366" s="1"/>
      <c r="AK7366" s="1"/>
      <c r="AL7366" s="1"/>
      <c r="AM7366" s="1"/>
    </row>
    <row r="7367" spans="16:39" x14ac:dyDescent="0.25">
      <c r="P7367" s="49"/>
      <c r="Q7367" s="1"/>
      <c r="S7367" s="1"/>
      <c r="T7367" s="1"/>
      <c r="U7367" s="1"/>
      <c r="V7367" s="1"/>
      <c r="W7367" s="1"/>
      <c r="X7367" s="1"/>
      <c r="Y7367" s="1"/>
      <c r="AB7367" s="1"/>
      <c r="AC7367" s="1"/>
      <c r="AD7367" s="1"/>
      <c r="AE7367" s="1"/>
      <c r="AF7367" s="1"/>
      <c r="AG7367" s="1"/>
      <c r="AH7367" s="1"/>
      <c r="AI7367" s="1"/>
      <c r="AJ7367" s="1"/>
      <c r="AK7367" s="1"/>
      <c r="AL7367" s="1"/>
      <c r="AM7367" s="1"/>
    </row>
    <row r="7368" spans="16:39" x14ac:dyDescent="0.25">
      <c r="P7368" s="49"/>
      <c r="Q7368" s="1"/>
      <c r="S7368" s="1"/>
      <c r="T7368" s="1"/>
      <c r="U7368" s="1"/>
      <c r="V7368" s="1"/>
      <c r="W7368" s="1"/>
      <c r="X7368" s="1"/>
      <c r="Y7368" s="1"/>
      <c r="AB7368" s="1"/>
      <c r="AC7368" s="1"/>
      <c r="AD7368" s="1"/>
      <c r="AE7368" s="1"/>
      <c r="AF7368" s="1"/>
      <c r="AG7368" s="1"/>
      <c r="AH7368" s="1"/>
      <c r="AI7368" s="1"/>
      <c r="AJ7368" s="1"/>
      <c r="AK7368" s="1"/>
      <c r="AL7368" s="1"/>
      <c r="AM7368" s="1"/>
    </row>
    <row r="7369" spans="16:39" x14ac:dyDescent="0.25">
      <c r="P7369" s="49"/>
      <c r="Q7369" s="1"/>
      <c r="S7369" s="1"/>
      <c r="T7369" s="1"/>
      <c r="U7369" s="1"/>
      <c r="V7369" s="1"/>
      <c r="W7369" s="1"/>
      <c r="X7369" s="1"/>
      <c r="Y7369" s="1"/>
      <c r="AB7369" s="1"/>
      <c r="AC7369" s="1"/>
      <c r="AD7369" s="1"/>
      <c r="AE7369" s="1"/>
      <c r="AF7369" s="1"/>
      <c r="AG7369" s="1"/>
      <c r="AH7369" s="1"/>
      <c r="AI7369" s="1"/>
      <c r="AJ7369" s="1"/>
      <c r="AK7369" s="1"/>
      <c r="AL7369" s="1"/>
      <c r="AM7369" s="1"/>
    </row>
    <row r="7370" spans="16:39" x14ac:dyDescent="0.25">
      <c r="P7370" s="49"/>
      <c r="Q7370" s="1"/>
      <c r="S7370" s="1"/>
      <c r="T7370" s="1"/>
      <c r="U7370" s="1"/>
      <c r="V7370" s="1"/>
      <c r="W7370" s="1"/>
      <c r="X7370" s="1"/>
      <c r="Y7370" s="1"/>
      <c r="AB7370" s="1"/>
      <c r="AC7370" s="1"/>
      <c r="AD7370" s="1"/>
      <c r="AE7370" s="1"/>
      <c r="AF7370" s="1"/>
      <c r="AG7370" s="1"/>
      <c r="AH7370" s="1"/>
      <c r="AI7370" s="1"/>
      <c r="AJ7370" s="1"/>
      <c r="AK7370" s="1"/>
      <c r="AL7370" s="1"/>
      <c r="AM7370" s="1"/>
    </row>
    <row r="7371" spans="16:39" x14ac:dyDescent="0.25">
      <c r="P7371" s="49"/>
      <c r="Q7371" s="1"/>
      <c r="S7371" s="1"/>
      <c r="T7371" s="1"/>
      <c r="U7371" s="1"/>
      <c r="V7371" s="1"/>
      <c r="W7371" s="1"/>
      <c r="X7371" s="1"/>
      <c r="Y7371" s="1"/>
      <c r="AB7371" s="1"/>
      <c r="AC7371" s="1"/>
      <c r="AD7371" s="1"/>
      <c r="AE7371" s="1"/>
      <c r="AF7371" s="1"/>
      <c r="AG7371" s="1"/>
      <c r="AH7371" s="1"/>
      <c r="AI7371" s="1"/>
      <c r="AJ7371" s="1"/>
      <c r="AK7371" s="1"/>
      <c r="AL7371" s="1"/>
      <c r="AM7371" s="1"/>
    </row>
    <row r="7372" spans="16:39" x14ac:dyDescent="0.25">
      <c r="P7372" s="49"/>
      <c r="Q7372" s="1"/>
      <c r="S7372" s="1"/>
      <c r="T7372" s="1"/>
      <c r="U7372" s="1"/>
      <c r="V7372" s="1"/>
      <c r="W7372" s="1"/>
      <c r="X7372" s="1"/>
      <c r="Y7372" s="1"/>
      <c r="AB7372" s="1"/>
      <c r="AC7372" s="1"/>
      <c r="AD7372" s="1"/>
      <c r="AE7372" s="1"/>
      <c r="AF7372" s="1"/>
      <c r="AG7372" s="1"/>
      <c r="AH7372" s="1"/>
      <c r="AI7372" s="1"/>
      <c r="AJ7372" s="1"/>
      <c r="AK7372" s="1"/>
      <c r="AL7372" s="1"/>
      <c r="AM7372" s="1"/>
    </row>
    <row r="7373" spans="16:39" x14ac:dyDescent="0.25">
      <c r="P7373" s="49"/>
      <c r="Q7373" s="1"/>
      <c r="S7373" s="1"/>
      <c r="T7373" s="1"/>
      <c r="U7373" s="1"/>
      <c r="V7373" s="1"/>
      <c r="W7373" s="1"/>
      <c r="X7373" s="1"/>
      <c r="Y7373" s="1"/>
      <c r="AB7373" s="1"/>
      <c r="AC7373" s="1"/>
      <c r="AD7373" s="1"/>
      <c r="AE7373" s="1"/>
      <c r="AF7373" s="1"/>
      <c r="AG7373" s="1"/>
      <c r="AH7373" s="1"/>
      <c r="AI7373" s="1"/>
      <c r="AJ7373" s="1"/>
      <c r="AK7373" s="1"/>
      <c r="AL7373" s="1"/>
      <c r="AM7373" s="1"/>
    </row>
    <row r="7374" spans="16:39" x14ac:dyDescent="0.25">
      <c r="P7374" s="49"/>
      <c r="Q7374" s="1"/>
      <c r="S7374" s="1"/>
      <c r="T7374" s="1"/>
      <c r="U7374" s="1"/>
      <c r="V7374" s="1"/>
      <c r="W7374" s="1"/>
      <c r="X7374" s="1"/>
      <c r="Y7374" s="1"/>
      <c r="AB7374" s="1"/>
      <c r="AC7374" s="1"/>
      <c r="AD7374" s="1"/>
      <c r="AE7374" s="1"/>
      <c r="AF7374" s="1"/>
      <c r="AG7374" s="1"/>
      <c r="AH7374" s="1"/>
      <c r="AI7374" s="1"/>
      <c r="AJ7374" s="1"/>
      <c r="AK7374" s="1"/>
      <c r="AL7374" s="1"/>
      <c r="AM7374" s="1"/>
    </row>
    <row r="7375" spans="16:39" x14ac:dyDescent="0.25">
      <c r="P7375" s="49"/>
      <c r="Q7375" s="1"/>
      <c r="S7375" s="1"/>
      <c r="T7375" s="1"/>
      <c r="U7375" s="1"/>
      <c r="V7375" s="1"/>
      <c r="W7375" s="1"/>
      <c r="X7375" s="1"/>
      <c r="Y7375" s="1"/>
      <c r="AB7375" s="1"/>
      <c r="AC7375" s="1"/>
      <c r="AD7375" s="1"/>
      <c r="AE7375" s="1"/>
      <c r="AF7375" s="1"/>
      <c r="AG7375" s="1"/>
      <c r="AH7375" s="1"/>
      <c r="AI7375" s="1"/>
      <c r="AJ7375" s="1"/>
      <c r="AK7375" s="1"/>
      <c r="AL7375" s="1"/>
      <c r="AM7375" s="1"/>
    </row>
    <row r="7376" spans="16:39" x14ac:dyDescent="0.25">
      <c r="P7376" s="49"/>
      <c r="Q7376" s="1"/>
      <c r="S7376" s="1"/>
      <c r="T7376" s="1"/>
      <c r="U7376" s="1"/>
      <c r="V7376" s="1"/>
      <c r="W7376" s="1"/>
      <c r="X7376" s="1"/>
      <c r="Y7376" s="1"/>
      <c r="AB7376" s="1"/>
      <c r="AC7376" s="1"/>
      <c r="AD7376" s="1"/>
      <c r="AE7376" s="1"/>
      <c r="AF7376" s="1"/>
      <c r="AG7376" s="1"/>
      <c r="AH7376" s="1"/>
      <c r="AI7376" s="1"/>
      <c r="AJ7376" s="1"/>
      <c r="AK7376" s="1"/>
      <c r="AL7376" s="1"/>
      <c r="AM7376" s="1"/>
    </row>
    <row r="7377" spans="16:39" x14ac:dyDescent="0.25">
      <c r="P7377" s="49"/>
      <c r="Q7377" s="1"/>
      <c r="S7377" s="1"/>
      <c r="T7377" s="1"/>
      <c r="U7377" s="1"/>
      <c r="V7377" s="1"/>
      <c r="W7377" s="1"/>
      <c r="X7377" s="1"/>
      <c r="Y7377" s="1"/>
      <c r="AB7377" s="1"/>
      <c r="AC7377" s="1"/>
      <c r="AD7377" s="1"/>
      <c r="AE7377" s="1"/>
      <c r="AF7377" s="1"/>
      <c r="AG7377" s="1"/>
      <c r="AH7377" s="1"/>
      <c r="AI7377" s="1"/>
      <c r="AJ7377" s="1"/>
      <c r="AK7377" s="1"/>
      <c r="AL7377" s="1"/>
      <c r="AM7377" s="1"/>
    </row>
    <row r="7378" spans="16:39" x14ac:dyDescent="0.25">
      <c r="P7378" s="49"/>
      <c r="Q7378" s="1"/>
      <c r="S7378" s="1"/>
      <c r="T7378" s="1"/>
      <c r="U7378" s="1"/>
      <c r="V7378" s="1"/>
      <c r="W7378" s="1"/>
      <c r="X7378" s="1"/>
      <c r="Y7378" s="1"/>
      <c r="AB7378" s="1"/>
      <c r="AC7378" s="1"/>
      <c r="AD7378" s="1"/>
      <c r="AE7378" s="1"/>
      <c r="AF7378" s="1"/>
      <c r="AG7378" s="1"/>
      <c r="AH7378" s="1"/>
      <c r="AI7378" s="1"/>
      <c r="AJ7378" s="1"/>
      <c r="AK7378" s="1"/>
      <c r="AL7378" s="1"/>
      <c r="AM7378" s="1"/>
    </row>
    <row r="7379" spans="16:39" x14ac:dyDescent="0.25">
      <c r="P7379" s="49"/>
      <c r="Q7379" s="1"/>
      <c r="S7379" s="1"/>
      <c r="T7379" s="1"/>
      <c r="U7379" s="1"/>
      <c r="V7379" s="1"/>
      <c r="W7379" s="1"/>
      <c r="X7379" s="1"/>
      <c r="Y7379" s="1"/>
      <c r="AB7379" s="1"/>
      <c r="AC7379" s="1"/>
      <c r="AD7379" s="1"/>
      <c r="AE7379" s="1"/>
      <c r="AF7379" s="1"/>
      <c r="AG7379" s="1"/>
      <c r="AH7379" s="1"/>
      <c r="AI7379" s="1"/>
      <c r="AJ7379" s="1"/>
      <c r="AK7379" s="1"/>
      <c r="AL7379" s="1"/>
      <c r="AM7379" s="1"/>
    </row>
    <row r="7380" spans="16:39" x14ac:dyDescent="0.25">
      <c r="P7380" s="49"/>
      <c r="Q7380" s="1"/>
      <c r="S7380" s="1"/>
      <c r="T7380" s="1"/>
      <c r="U7380" s="1"/>
      <c r="V7380" s="1"/>
      <c r="W7380" s="1"/>
      <c r="X7380" s="1"/>
      <c r="Y7380" s="1"/>
      <c r="AB7380" s="1"/>
      <c r="AC7380" s="1"/>
      <c r="AD7380" s="1"/>
      <c r="AE7380" s="1"/>
      <c r="AF7380" s="1"/>
      <c r="AG7380" s="1"/>
      <c r="AH7380" s="1"/>
      <c r="AI7380" s="1"/>
      <c r="AJ7380" s="1"/>
      <c r="AK7380" s="1"/>
      <c r="AL7380" s="1"/>
      <c r="AM7380" s="1"/>
    </row>
    <row r="7381" spans="16:39" x14ac:dyDescent="0.25">
      <c r="P7381" s="49"/>
      <c r="Q7381" s="1"/>
      <c r="S7381" s="1"/>
      <c r="T7381" s="1"/>
      <c r="U7381" s="1"/>
      <c r="V7381" s="1"/>
      <c r="W7381" s="1"/>
      <c r="X7381" s="1"/>
      <c r="Y7381" s="1"/>
      <c r="AB7381" s="1"/>
      <c r="AC7381" s="1"/>
      <c r="AD7381" s="1"/>
      <c r="AE7381" s="1"/>
      <c r="AF7381" s="1"/>
      <c r="AG7381" s="1"/>
      <c r="AH7381" s="1"/>
      <c r="AI7381" s="1"/>
      <c r="AJ7381" s="1"/>
      <c r="AK7381" s="1"/>
      <c r="AL7381" s="1"/>
      <c r="AM7381" s="1"/>
    </row>
    <row r="7382" spans="16:39" x14ac:dyDescent="0.25">
      <c r="P7382" s="49"/>
      <c r="Q7382" s="1"/>
      <c r="S7382" s="1"/>
      <c r="T7382" s="1"/>
      <c r="U7382" s="1"/>
      <c r="V7382" s="1"/>
      <c r="W7382" s="1"/>
      <c r="X7382" s="1"/>
      <c r="Y7382" s="1"/>
      <c r="AB7382" s="1"/>
      <c r="AC7382" s="1"/>
      <c r="AD7382" s="1"/>
      <c r="AE7382" s="1"/>
      <c r="AF7382" s="1"/>
      <c r="AG7382" s="1"/>
      <c r="AH7382" s="1"/>
      <c r="AI7382" s="1"/>
      <c r="AJ7382" s="1"/>
      <c r="AK7382" s="1"/>
      <c r="AL7382" s="1"/>
      <c r="AM7382" s="1"/>
    </row>
    <row r="7383" spans="16:39" x14ac:dyDescent="0.25">
      <c r="P7383" s="49"/>
      <c r="Q7383" s="1"/>
      <c r="S7383" s="1"/>
      <c r="T7383" s="1"/>
      <c r="U7383" s="1"/>
      <c r="V7383" s="1"/>
      <c r="W7383" s="1"/>
      <c r="X7383" s="1"/>
      <c r="Y7383" s="1"/>
      <c r="AB7383" s="1"/>
      <c r="AC7383" s="1"/>
      <c r="AD7383" s="1"/>
      <c r="AE7383" s="1"/>
      <c r="AF7383" s="1"/>
      <c r="AG7383" s="1"/>
      <c r="AH7383" s="1"/>
      <c r="AI7383" s="1"/>
      <c r="AJ7383" s="1"/>
      <c r="AK7383" s="1"/>
      <c r="AL7383" s="1"/>
      <c r="AM7383" s="1"/>
    </row>
    <row r="7384" spans="16:39" x14ac:dyDescent="0.25">
      <c r="P7384" s="49"/>
      <c r="Q7384" s="1"/>
      <c r="S7384" s="1"/>
      <c r="T7384" s="1"/>
      <c r="U7384" s="1"/>
      <c r="V7384" s="1"/>
      <c r="W7384" s="1"/>
      <c r="X7384" s="1"/>
      <c r="Y7384" s="1"/>
      <c r="AB7384" s="1"/>
      <c r="AC7384" s="1"/>
      <c r="AD7384" s="1"/>
      <c r="AE7384" s="1"/>
      <c r="AF7384" s="1"/>
      <c r="AG7384" s="1"/>
      <c r="AH7384" s="1"/>
      <c r="AI7384" s="1"/>
      <c r="AJ7384" s="1"/>
      <c r="AK7384" s="1"/>
      <c r="AL7384" s="1"/>
      <c r="AM7384" s="1"/>
    </row>
    <row r="7385" spans="16:39" x14ac:dyDescent="0.25">
      <c r="P7385" s="49"/>
      <c r="Q7385" s="1"/>
      <c r="S7385" s="1"/>
      <c r="T7385" s="1"/>
      <c r="U7385" s="1"/>
      <c r="V7385" s="1"/>
      <c r="W7385" s="1"/>
      <c r="X7385" s="1"/>
      <c r="Y7385" s="1"/>
      <c r="AB7385" s="1"/>
      <c r="AC7385" s="1"/>
      <c r="AD7385" s="1"/>
      <c r="AE7385" s="1"/>
      <c r="AF7385" s="1"/>
      <c r="AG7385" s="1"/>
      <c r="AH7385" s="1"/>
      <c r="AI7385" s="1"/>
      <c r="AJ7385" s="1"/>
      <c r="AK7385" s="1"/>
      <c r="AL7385" s="1"/>
      <c r="AM7385" s="1"/>
    </row>
    <row r="7386" spans="16:39" x14ac:dyDescent="0.25">
      <c r="P7386" s="49"/>
      <c r="Q7386" s="1"/>
      <c r="S7386" s="1"/>
      <c r="T7386" s="1"/>
      <c r="U7386" s="1"/>
      <c r="V7386" s="1"/>
      <c r="W7386" s="1"/>
      <c r="X7386" s="1"/>
      <c r="Y7386" s="1"/>
      <c r="AB7386" s="1"/>
      <c r="AC7386" s="1"/>
      <c r="AD7386" s="1"/>
      <c r="AE7386" s="1"/>
      <c r="AF7386" s="1"/>
      <c r="AG7386" s="1"/>
      <c r="AH7386" s="1"/>
      <c r="AI7386" s="1"/>
      <c r="AJ7386" s="1"/>
      <c r="AK7386" s="1"/>
      <c r="AL7386" s="1"/>
      <c r="AM7386" s="1"/>
    </row>
    <row r="7387" spans="16:39" x14ac:dyDescent="0.25">
      <c r="P7387" s="49"/>
      <c r="Q7387" s="1"/>
      <c r="S7387" s="1"/>
      <c r="T7387" s="1"/>
      <c r="U7387" s="1"/>
      <c r="V7387" s="1"/>
      <c r="W7387" s="1"/>
      <c r="X7387" s="1"/>
      <c r="Y7387" s="1"/>
      <c r="AB7387" s="1"/>
      <c r="AC7387" s="1"/>
      <c r="AD7387" s="1"/>
      <c r="AE7387" s="1"/>
      <c r="AF7387" s="1"/>
      <c r="AG7387" s="1"/>
      <c r="AH7387" s="1"/>
      <c r="AI7387" s="1"/>
      <c r="AJ7387" s="1"/>
      <c r="AK7387" s="1"/>
      <c r="AL7387" s="1"/>
      <c r="AM7387" s="1"/>
    </row>
    <row r="7388" spans="16:39" x14ac:dyDescent="0.25">
      <c r="P7388" s="49"/>
      <c r="Q7388" s="1"/>
      <c r="S7388" s="1"/>
      <c r="T7388" s="1"/>
      <c r="U7388" s="1"/>
      <c r="V7388" s="1"/>
      <c r="W7388" s="1"/>
      <c r="X7388" s="1"/>
      <c r="Y7388" s="1"/>
      <c r="AB7388" s="1"/>
      <c r="AC7388" s="1"/>
      <c r="AD7388" s="1"/>
      <c r="AE7388" s="1"/>
      <c r="AF7388" s="1"/>
      <c r="AG7388" s="1"/>
      <c r="AH7388" s="1"/>
      <c r="AI7388" s="1"/>
      <c r="AJ7388" s="1"/>
      <c r="AK7388" s="1"/>
      <c r="AL7388" s="1"/>
      <c r="AM7388" s="1"/>
    </row>
    <row r="7389" spans="16:39" x14ac:dyDescent="0.25">
      <c r="P7389" s="49"/>
      <c r="Q7389" s="1"/>
      <c r="S7389" s="1"/>
      <c r="T7389" s="1"/>
      <c r="U7389" s="1"/>
      <c r="V7389" s="1"/>
      <c r="W7389" s="1"/>
      <c r="X7389" s="1"/>
      <c r="Y7389" s="1"/>
      <c r="AB7389" s="1"/>
      <c r="AC7389" s="1"/>
      <c r="AD7389" s="1"/>
      <c r="AE7389" s="1"/>
      <c r="AF7389" s="1"/>
      <c r="AG7389" s="1"/>
      <c r="AH7389" s="1"/>
      <c r="AI7389" s="1"/>
      <c r="AJ7389" s="1"/>
      <c r="AK7389" s="1"/>
      <c r="AL7389" s="1"/>
      <c r="AM7389" s="1"/>
    </row>
    <row r="7390" spans="16:39" x14ac:dyDescent="0.25">
      <c r="P7390" s="49"/>
      <c r="Q7390" s="1"/>
      <c r="S7390" s="1"/>
      <c r="T7390" s="1"/>
      <c r="U7390" s="1"/>
      <c r="V7390" s="1"/>
      <c r="W7390" s="1"/>
      <c r="X7390" s="1"/>
      <c r="Y7390" s="1"/>
      <c r="AB7390" s="1"/>
      <c r="AC7390" s="1"/>
      <c r="AD7390" s="1"/>
      <c r="AE7390" s="1"/>
      <c r="AF7390" s="1"/>
      <c r="AG7390" s="1"/>
      <c r="AH7390" s="1"/>
      <c r="AI7390" s="1"/>
      <c r="AJ7390" s="1"/>
      <c r="AK7390" s="1"/>
      <c r="AL7390" s="1"/>
      <c r="AM7390" s="1"/>
    </row>
    <row r="7391" spans="16:39" x14ac:dyDescent="0.25">
      <c r="P7391" s="49"/>
      <c r="Q7391" s="1"/>
      <c r="S7391" s="1"/>
      <c r="T7391" s="1"/>
      <c r="U7391" s="1"/>
      <c r="V7391" s="1"/>
      <c r="W7391" s="1"/>
      <c r="X7391" s="1"/>
      <c r="Y7391" s="1"/>
      <c r="AB7391" s="1"/>
      <c r="AC7391" s="1"/>
      <c r="AD7391" s="1"/>
      <c r="AE7391" s="1"/>
      <c r="AF7391" s="1"/>
      <c r="AG7391" s="1"/>
      <c r="AH7391" s="1"/>
      <c r="AI7391" s="1"/>
      <c r="AJ7391" s="1"/>
      <c r="AK7391" s="1"/>
      <c r="AL7391" s="1"/>
      <c r="AM7391" s="1"/>
    </row>
    <row r="7392" spans="16:39" x14ac:dyDescent="0.25">
      <c r="P7392" s="49"/>
      <c r="Q7392" s="1"/>
      <c r="S7392" s="1"/>
      <c r="T7392" s="1"/>
      <c r="U7392" s="1"/>
      <c r="V7392" s="1"/>
      <c r="W7392" s="1"/>
      <c r="X7392" s="1"/>
      <c r="Y7392" s="1"/>
      <c r="AB7392" s="1"/>
      <c r="AC7392" s="1"/>
      <c r="AD7392" s="1"/>
      <c r="AE7392" s="1"/>
      <c r="AF7392" s="1"/>
      <c r="AG7392" s="1"/>
      <c r="AH7392" s="1"/>
      <c r="AI7392" s="1"/>
      <c r="AJ7392" s="1"/>
      <c r="AK7392" s="1"/>
      <c r="AL7392" s="1"/>
      <c r="AM7392" s="1"/>
    </row>
    <row r="7393" spans="16:39" x14ac:dyDescent="0.25">
      <c r="P7393" s="49"/>
      <c r="Q7393" s="1"/>
      <c r="S7393" s="1"/>
      <c r="T7393" s="1"/>
      <c r="U7393" s="1"/>
      <c r="V7393" s="1"/>
      <c r="W7393" s="1"/>
      <c r="X7393" s="1"/>
      <c r="Y7393" s="1"/>
      <c r="AB7393" s="1"/>
      <c r="AC7393" s="1"/>
      <c r="AD7393" s="1"/>
      <c r="AE7393" s="1"/>
      <c r="AF7393" s="1"/>
      <c r="AG7393" s="1"/>
      <c r="AH7393" s="1"/>
      <c r="AI7393" s="1"/>
      <c r="AJ7393" s="1"/>
      <c r="AK7393" s="1"/>
      <c r="AL7393" s="1"/>
      <c r="AM7393" s="1"/>
    </row>
    <row r="7394" spans="16:39" x14ac:dyDescent="0.25">
      <c r="P7394" s="49"/>
      <c r="Q7394" s="1"/>
      <c r="S7394" s="1"/>
      <c r="T7394" s="1"/>
      <c r="U7394" s="1"/>
      <c r="V7394" s="1"/>
      <c r="W7394" s="1"/>
      <c r="X7394" s="1"/>
      <c r="Y7394" s="1"/>
      <c r="AB7394" s="1"/>
      <c r="AC7394" s="1"/>
      <c r="AD7394" s="1"/>
      <c r="AE7394" s="1"/>
      <c r="AF7394" s="1"/>
      <c r="AG7394" s="1"/>
      <c r="AH7394" s="1"/>
      <c r="AI7394" s="1"/>
      <c r="AJ7394" s="1"/>
      <c r="AK7394" s="1"/>
      <c r="AL7394" s="1"/>
      <c r="AM7394" s="1"/>
    </row>
    <row r="7395" spans="16:39" x14ac:dyDescent="0.25">
      <c r="P7395" s="49"/>
      <c r="Q7395" s="1"/>
      <c r="S7395" s="1"/>
      <c r="T7395" s="1"/>
      <c r="U7395" s="1"/>
      <c r="V7395" s="1"/>
      <c r="W7395" s="1"/>
      <c r="X7395" s="1"/>
      <c r="Y7395" s="1"/>
      <c r="AB7395" s="1"/>
      <c r="AC7395" s="1"/>
      <c r="AD7395" s="1"/>
      <c r="AE7395" s="1"/>
      <c r="AF7395" s="1"/>
      <c r="AG7395" s="1"/>
      <c r="AH7395" s="1"/>
      <c r="AI7395" s="1"/>
      <c r="AJ7395" s="1"/>
      <c r="AK7395" s="1"/>
      <c r="AL7395" s="1"/>
      <c r="AM7395" s="1"/>
    </row>
    <row r="7396" spans="16:39" x14ac:dyDescent="0.25">
      <c r="P7396" s="49"/>
      <c r="Q7396" s="1"/>
      <c r="S7396" s="1"/>
      <c r="T7396" s="1"/>
      <c r="U7396" s="1"/>
      <c r="V7396" s="1"/>
      <c r="W7396" s="1"/>
      <c r="X7396" s="1"/>
      <c r="Y7396" s="1"/>
      <c r="AB7396" s="1"/>
      <c r="AC7396" s="1"/>
      <c r="AD7396" s="1"/>
      <c r="AE7396" s="1"/>
      <c r="AF7396" s="1"/>
      <c r="AG7396" s="1"/>
      <c r="AH7396" s="1"/>
      <c r="AI7396" s="1"/>
      <c r="AJ7396" s="1"/>
      <c r="AK7396" s="1"/>
      <c r="AL7396" s="1"/>
      <c r="AM7396" s="1"/>
    </row>
    <row r="7397" spans="16:39" x14ac:dyDescent="0.25">
      <c r="P7397" s="49"/>
      <c r="Q7397" s="1"/>
      <c r="S7397" s="1"/>
      <c r="T7397" s="1"/>
      <c r="U7397" s="1"/>
      <c r="V7397" s="1"/>
      <c r="W7397" s="1"/>
      <c r="X7397" s="1"/>
      <c r="Y7397" s="1"/>
      <c r="AB7397" s="1"/>
      <c r="AC7397" s="1"/>
      <c r="AD7397" s="1"/>
      <c r="AE7397" s="1"/>
      <c r="AF7397" s="1"/>
      <c r="AG7397" s="1"/>
      <c r="AH7397" s="1"/>
      <c r="AI7397" s="1"/>
      <c r="AJ7397" s="1"/>
      <c r="AK7397" s="1"/>
      <c r="AL7397" s="1"/>
      <c r="AM7397" s="1"/>
    </row>
    <row r="7398" spans="16:39" x14ac:dyDescent="0.25">
      <c r="P7398" s="49"/>
      <c r="Q7398" s="1"/>
      <c r="S7398" s="1"/>
      <c r="T7398" s="1"/>
      <c r="U7398" s="1"/>
      <c r="V7398" s="1"/>
      <c r="W7398" s="1"/>
      <c r="X7398" s="1"/>
      <c r="Y7398" s="1"/>
      <c r="AB7398" s="1"/>
      <c r="AC7398" s="1"/>
      <c r="AD7398" s="1"/>
      <c r="AE7398" s="1"/>
      <c r="AF7398" s="1"/>
      <c r="AG7398" s="1"/>
      <c r="AH7398" s="1"/>
      <c r="AI7398" s="1"/>
      <c r="AJ7398" s="1"/>
      <c r="AK7398" s="1"/>
      <c r="AL7398" s="1"/>
      <c r="AM7398" s="1"/>
    </row>
    <row r="7399" spans="16:39" x14ac:dyDescent="0.25">
      <c r="P7399" s="49"/>
      <c r="Q7399" s="1"/>
      <c r="S7399" s="1"/>
      <c r="T7399" s="1"/>
      <c r="U7399" s="1"/>
      <c r="V7399" s="1"/>
      <c r="W7399" s="1"/>
      <c r="X7399" s="1"/>
      <c r="Y7399" s="1"/>
      <c r="AB7399" s="1"/>
      <c r="AC7399" s="1"/>
      <c r="AD7399" s="1"/>
      <c r="AE7399" s="1"/>
      <c r="AF7399" s="1"/>
      <c r="AG7399" s="1"/>
      <c r="AH7399" s="1"/>
      <c r="AI7399" s="1"/>
      <c r="AJ7399" s="1"/>
      <c r="AK7399" s="1"/>
      <c r="AL7399" s="1"/>
      <c r="AM7399" s="1"/>
    </row>
    <row r="7400" spans="16:39" x14ac:dyDescent="0.25">
      <c r="P7400" s="49"/>
      <c r="Q7400" s="1"/>
      <c r="S7400" s="1"/>
      <c r="T7400" s="1"/>
      <c r="U7400" s="1"/>
      <c r="V7400" s="1"/>
      <c r="W7400" s="1"/>
      <c r="X7400" s="1"/>
      <c r="Y7400" s="1"/>
      <c r="AB7400" s="1"/>
      <c r="AC7400" s="1"/>
      <c r="AD7400" s="1"/>
      <c r="AE7400" s="1"/>
      <c r="AF7400" s="1"/>
      <c r="AG7400" s="1"/>
      <c r="AH7400" s="1"/>
      <c r="AI7400" s="1"/>
      <c r="AJ7400" s="1"/>
      <c r="AK7400" s="1"/>
      <c r="AL7400" s="1"/>
      <c r="AM7400" s="1"/>
    </row>
    <row r="7401" spans="16:39" x14ac:dyDescent="0.25">
      <c r="P7401" s="49"/>
      <c r="Q7401" s="1"/>
      <c r="S7401" s="1"/>
      <c r="T7401" s="1"/>
      <c r="U7401" s="1"/>
      <c r="V7401" s="1"/>
      <c r="W7401" s="1"/>
      <c r="X7401" s="1"/>
      <c r="Y7401" s="1"/>
      <c r="AB7401" s="1"/>
      <c r="AC7401" s="1"/>
      <c r="AD7401" s="1"/>
      <c r="AE7401" s="1"/>
      <c r="AF7401" s="1"/>
      <c r="AG7401" s="1"/>
      <c r="AH7401" s="1"/>
      <c r="AI7401" s="1"/>
      <c r="AJ7401" s="1"/>
      <c r="AK7401" s="1"/>
      <c r="AL7401" s="1"/>
      <c r="AM7401" s="1"/>
    </row>
    <row r="7402" spans="16:39" x14ac:dyDescent="0.25">
      <c r="P7402" s="49"/>
      <c r="Q7402" s="1"/>
      <c r="S7402" s="1"/>
      <c r="T7402" s="1"/>
      <c r="U7402" s="1"/>
      <c r="V7402" s="1"/>
      <c r="W7402" s="1"/>
      <c r="X7402" s="1"/>
      <c r="Y7402" s="1"/>
      <c r="AB7402" s="1"/>
      <c r="AC7402" s="1"/>
      <c r="AD7402" s="1"/>
      <c r="AE7402" s="1"/>
      <c r="AF7402" s="1"/>
      <c r="AG7402" s="1"/>
      <c r="AH7402" s="1"/>
      <c r="AI7402" s="1"/>
      <c r="AJ7402" s="1"/>
      <c r="AK7402" s="1"/>
      <c r="AL7402" s="1"/>
      <c r="AM7402" s="1"/>
    </row>
    <row r="7403" spans="16:39" x14ac:dyDescent="0.25">
      <c r="P7403" s="49"/>
      <c r="Q7403" s="1"/>
      <c r="S7403" s="1"/>
      <c r="T7403" s="1"/>
      <c r="U7403" s="1"/>
      <c r="V7403" s="1"/>
      <c r="W7403" s="1"/>
      <c r="X7403" s="1"/>
      <c r="Y7403" s="1"/>
      <c r="AB7403" s="1"/>
      <c r="AC7403" s="1"/>
      <c r="AD7403" s="1"/>
      <c r="AE7403" s="1"/>
      <c r="AF7403" s="1"/>
      <c r="AG7403" s="1"/>
      <c r="AH7403" s="1"/>
      <c r="AI7403" s="1"/>
      <c r="AJ7403" s="1"/>
      <c r="AK7403" s="1"/>
      <c r="AL7403" s="1"/>
      <c r="AM7403" s="1"/>
    </row>
    <row r="7404" spans="16:39" x14ac:dyDescent="0.25">
      <c r="P7404" s="49"/>
      <c r="Q7404" s="1"/>
      <c r="S7404" s="1"/>
      <c r="T7404" s="1"/>
      <c r="U7404" s="1"/>
      <c r="V7404" s="1"/>
      <c r="W7404" s="1"/>
      <c r="X7404" s="1"/>
      <c r="Y7404" s="1"/>
      <c r="AB7404" s="1"/>
      <c r="AC7404" s="1"/>
      <c r="AD7404" s="1"/>
      <c r="AE7404" s="1"/>
      <c r="AF7404" s="1"/>
      <c r="AG7404" s="1"/>
      <c r="AH7404" s="1"/>
      <c r="AI7404" s="1"/>
      <c r="AJ7404" s="1"/>
      <c r="AK7404" s="1"/>
      <c r="AL7404" s="1"/>
      <c r="AM7404" s="1"/>
    </row>
    <row r="7405" spans="16:39" x14ac:dyDescent="0.25">
      <c r="P7405" s="49"/>
      <c r="Q7405" s="1"/>
      <c r="S7405" s="1"/>
      <c r="T7405" s="1"/>
      <c r="U7405" s="1"/>
      <c r="V7405" s="1"/>
      <c r="W7405" s="1"/>
      <c r="X7405" s="1"/>
      <c r="Y7405" s="1"/>
      <c r="AB7405" s="1"/>
      <c r="AC7405" s="1"/>
      <c r="AD7405" s="1"/>
      <c r="AE7405" s="1"/>
      <c r="AF7405" s="1"/>
      <c r="AG7405" s="1"/>
      <c r="AH7405" s="1"/>
      <c r="AI7405" s="1"/>
      <c r="AJ7405" s="1"/>
      <c r="AK7405" s="1"/>
      <c r="AL7405" s="1"/>
      <c r="AM7405" s="1"/>
    </row>
    <row r="7406" spans="16:39" x14ac:dyDescent="0.25">
      <c r="P7406" s="49"/>
      <c r="Q7406" s="1"/>
      <c r="S7406" s="1"/>
      <c r="T7406" s="1"/>
      <c r="U7406" s="1"/>
      <c r="V7406" s="1"/>
      <c r="W7406" s="1"/>
      <c r="X7406" s="1"/>
      <c r="Y7406" s="1"/>
      <c r="AB7406" s="1"/>
      <c r="AC7406" s="1"/>
      <c r="AD7406" s="1"/>
      <c r="AE7406" s="1"/>
      <c r="AF7406" s="1"/>
      <c r="AG7406" s="1"/>
      <c r="AH7406" s="1"/>
      <c r="AI7406" s="1"/>
      <c r="AJ7406" s="1"/>
      <c r="AK7406" s="1"/>
      <c r="AL7406" s="1"/>
      <c r="AM7406" s="1"/>
    </row>
    <row r="7407" spans="16:39" x14ac:dyDescent="0.25">
      <c r="P7407" s="49"/>
      <c r="Q7407" s="1"/>
      <c r="S7407" s="1"/>
      <c r="T7407" s="1"/>
      <c r="U7407" s="1"/>
      <c r="V7407" s="1"/>
      <c r="W7407" s="1"/>
      <c r="X7407" s="1"/>
      <c r="Y7407" s="1"/>
      <c r="AB7407" s="1"/>
      <c r="AC7407" s="1"/>
      <c r="AD7407" s="1"/>
      <c r="AE7407" s="1"/>
      <c r="AF7407" s="1"/>
      <c r="AG7407" s="1"/>
      <c r="AH7407" s="1"/>
      <c r="AI7407" s="1"/>
      <c r="AJ7407" s="1"/>
      <c r="AK7407" s="1"/>
      <c r="AL7407" s="1"/>
      <c r="AM7407" s="1"/>
    </row>
    <row r="7408" spans="16:39" x14ac:dyDescent="0.25">
      <c r="P7408" s="49"/>
      <c r="Q7408" s="1"/>
      <c r="S7408" s="1"/>
      <c r="T7408" s="1"/>
      <c r="U7408" s="1"/>
      <c r="V7408" s="1"/>
      <c r="W7408" s="1"/>
      <c r="X7408" s="1"/>
      <c r="Y7408" s="1"/>
      <c r="AB7408" s="1"/>
      <c r="AC7408" s="1"/>
      <c r="AD7408" s="1"/>
      <c r="AE7408" s="1"/>
      <c r="AF7408" s="1"/>
      <c r="AG7408" s="1"/>
      <c r="AH7408" s="1"/>
      <c r="AI7408" s="1"/>
      <c r="AJ7408" s="1"/>
      <c r="AK7408" s="1"/>
      <c r="AL7408" s="1"/>
      <c r="AM7408" s="1"/>
    </row>
    <row r="7409" spans="16:39" x14ac:dyDescent="0.25">
      <c r="P7409" s="49"/>
      <c r="Q7409" s="1"/>
      <c r="S7409" s="1"/>
      <c r="T7409" s="1"/>
      <c r="U7409" s="1"/>
      <c r="V7409" s="1"/>
      <c r="W7409" s="1"/>
      <c r="X7409" s="1"/>
      <c r="Y7409" s="1"/>
      <c r="AB7409" s="1"/>
      <c r="AC7409" s="1"/>
      <c r="AD7409" s="1"/>
      <c r="AE7409" s="1"/>
      <c r="AF7409" s="1"/>
      <c r="AG7409" s="1"/>
      <c r="AH7409" s="1"/>
      <c r="AI7409" s="1"/>
      <c r="AJ7409" s="1"/>
      <c r="AK7409" s="1"/>
      <c r="AL7409" s="1"/>
      <c r="AM7409" s="1"/>
    </row>
    <row r="7410" spans="16:39" x14ac:dyDescent="0.25">
      <c r="P7410" s="49"/>
      <c r="Q7410" s="1"/>
      <c r="S7410" s="1"/>
      <c r="T7410" s="1"/>
      <c r="U7410" s="1"/>
      <c r="V7410" s="1"/>
      <c r="W7410" s="1"/>
      <c r="X7410" s="1"/>
      <c r="Y7410" s="1"/>
      <c r="AB7410" s="1"/>
      <c r="AC7410" s="1"/>
      <c r="AD7410" s="1"/>
      <c r="AE7410" s="1"/>
      <c r="AF7410" s="1"/>
      <c r="AG7410" s="1"/>
      <c r="AH7410" s="1"/>
      <c r="AI7410" s="1"/>
      <c r="AJ7410" s="1"/>
      <c r="AK7410" s="1"/>
      <c r="AL7410" s="1"/>
      <c r="AM7410" s="1"/>
    </row>
    <row r="7411" spans="16:39" x14ac:dyDescent="0.25">
      <c r="P7411" s="49"/>
      <c r="Q7411" s="1"/>
      <c r="S7411" s="1"/>
      <c r="T7411" s="1"/>
      <c r="U7411" s="1"/>
      <c r="V7411" s="1"/>
      <c r="W7411" s="1"/>
      <c r="X7411" s="1"/>
      <c r="Y7411" s="1"/>
      <c r="AB7411" s="1"/>
      <c r="AC7411" s="1"/>
      <c r="AD7411" s="1"/>
      <c r="AE7411" s="1"/>
      <c r="AF7411" s="1"/>
      <c r="AG7411" s="1"/>
      <c r="AH7411" s="1"/>
      <c r="AI7411" s="1"/>
      <c r="AJ7411" s="1"/>
      <c r="AK7411" s="1"/>
      <c r="AL7411" s="1"/>
      <c r="AM7411" s="1"/>
    </row>
    <row r="7412" spans="16:39" x14ac:dyDescent="0.25">
      <c r="P7412" s="49"/>
      <c r="Q7412" s="1"/>
      <c r="S7412" s="1"/>
      <c r="T7412" s="1"/>
      <c r="U7412" s="1"/>
      <c r="V7412" s="1"/>
      <c r="W7412" s="1"/>
      <c r="X7412" s="1"/>
      <c r="Y7412" s="1"/>
      <c r="AB7412" s="1"/>
      <c r="AC7412" s="1"/>
      <c r="AD7412" s="1"/>
      <c r="AE7412" s="1"/>
      <c r="AF7412" s="1"/>
      <c r="AG7412" s="1"/>
      <c r="AH7412" s="1"/>
      <c r="AI7412" s="1"/>
      <c r="AJ7412" s="1"/>
      <c r="AK7412" s="1"/>
      <c r="AL7412" s="1"/>
      <c r="AM7412" s="1"/>
    </row>
    <row r="7413" spans="16:39" x14ac:dyDescent="0.25">
      <c r="P7413" s="49"/>
      <c r="Q7413" s="1"/>
      <c r="S7413" s="1"/>
      <c r="T7413" s="1"/>
      <c r="U7413" s="1"/>
      <c r="V7413" s="1"/>
      <c r="W7413" s="1"/>
      <c r="X7413" s="1"/>
      <c r="Y7413" s="1"/>
      <c r="AB7413" s="1"/>
      <c r="AC7413" s="1"/>
      <c r="AD7413" s="1"/>
      <c r="AE7413" s="1"/>
      <c r="AF7413" s="1"/>
      <c r="AG7413" s="1"/>
      <c r="AH7413" s="1"/>
      <c r="AI7413" s="1"/>
      <c r="AJ7413" s="1"/>
      <c r="AK7413" s="1"/>
      <c r="AL7413" s="1"/>
      <c r="AM7413" s="1"/>
    </row>
    <row r="7414" spans="16:39" x14ac:dyDescent="0.25">
      <c r="P7414" s="49"/>
      <c r="Q7414" s="1"/>
      <c r="S7414" s="1"/>
      <c r="T7414" s="1"/>
      <c r="U7414" s="1"/>
      <c r="V7414" s="1"/>
      <c r="W7414" s="1"/>
      <c r="X7414" s="1"/>
      <c r="Y7414" s="1"/>
      <c r="AB7414" s="1"/>
      <c r="AC7414" s="1"/>
      <c r="AD7414" s="1"/>
      <c r="AE7414" s="1"/>
      <c r="AF7414" s="1"/>
      <c r="AG7414" s="1"/>
      <c r="AH7414" s="1"/>
      <c r="AI7414" s="1"/>
      <c r="AJ7414" s="1"/>
      <c r="AK7414" s="1"/>
      <c r="AL7414" s="1"/>
      <c r="AM7414" s="1"/>
    </row>
    <row r="7415" spans="16:39" x14ac:dyDescent="0.25">
      <c r="P7415" s="49"/>
      <c r="Q7415" s="1"/>
      <c r="S7415" s="1"/>
      <c r="T7415" s="1"/>
      <c r="U7415" s="1"/>
      <c r="V7415" s="1"/>
      <c r="W7415" s="1"/>
      <c r="X7415" s="1"/>
      <c r="Y7415" s="1"/>
      <c r="AB7415" s="1"/>
      <c r="AC7415" s="1"/>
      <c r="AD7415" s="1"/>
      <c r="AE7415" s="1"/>
      <c r="AF7415" s="1"/>
      <c r="AG7415" s="1"/>
      <c r="AH7415" s="1"/>
      <c r="AI7415" s="1"/>
      <c r="AJ7415" s="1"/>
      <c r="AK7415" s="1"/>
      <c r="AL7415" s="1"/>
      <c r="AM7415" s="1"/>
    </row>
    <row r="7416" spans="16:39" x14ac:dyDescent="0.25">
      <c r="P7416" s="49"/>
      <c r="Q7416" s="1"/>
      <c r="S7416" s="1"/>
      <c r="T7416" s="1"/>
      <c r="U7416" s="1"/>
      <c r="V7416" s="1"/>
      <c r="W7416" s="1"/>
      <c r="X7416" s="1"/>
      <c r="Y7416" s="1"/>
      <c r="AB7416" s="1"/>
      <c r="AC7416" s="1"/>
      <c r="AD7416" s="1"/>
      <c r="AE7416" s="1"/>
      <c r="AF7416" s="1"/>
      <c r="AG7416" s="1"/>
      <c r="AH7416" s="1"/>
      <c r="AI7416" s="1"/>
      <c r="AJ7416" s="1"/>
      <c r="AK7416" s="1"/>
      <c r="AL7416" s="1"/>
      <c r="AM7416" s="1"/>
    </row>
    <row r="7417" spans="16:39" x14ac:dyDescent="0.25">
      <c r="P7417" s="49"/>
      <c r="Q7417" s="1"/>
      <c r="S7417" s="1"/>
      <c r="T7417" s="1"/>
      <c r="U7417" s="1"/>
      <c r="V7417" s="1"/>
      <c r="W7417" s="1"/>
      <c r="X7417" s="1"/>
      <c r="Y7417" s="1"/>
      <c r="AB7417" s="1"/>
      <c r="AC7417" s="1"/>
      <c r="AD7417" s="1"/>
      <c r="AE7417" s="1"/>
      <c r="AF7417" s="1"/>
      <c r="AG7417" s="1"/>
      <c r="AH7417" s="1"/>
      <c r="AI7417" s="1"/>
      <c r="AJ7417" s="1"/>
      <c r="AK7417" s="1"/>
      <c r="AL7417" s="1"/>
      <c r="AM7417" s="1"/>
    </row>
    <row r="7418" spans="16:39" x14ac:dyDescent="0.25">
      <c r="P7418" s="49"/>
      <c r="Q7418" s="1"/>
      <c r="S7418" s="1"/>
      <c r="T7418" s="1"/>
      <c r="U7418" s="1"/>
      <c r="V7418" s="1"/>
      <c r="W7418" s="1"/>
      <c r="X7418" s="1"/>
      <c r="Y7418" s="1"/>
      <c r="AB7418" s="1"/>
      <c r="AC7418" s="1"/>
      <c r="AD7418" s="1"/>
      <c r="AE7418" s="1"/>
      <c r="AF7418" s="1"/>
      <c r="AG7418" s="1"/>
      <c r="AH7418" s="1"/>
      <c r="AI7418" s="1"/>
      <c r="AJ7418" s="1"/>
      <c r="AK7418" s="1"/>
      <c r="AL7418" s="1"/>
      <c r="AM7418" s="1"/>
    </row>
    <row r="7419" spans="16:39" x14ac:dyDescent="0.25">
      <c r="P7419" s="49"/>
      <c r="Q7419" s="1"/>
      <c r="S7419" s="1"/>
      <c r="T7419" s="1"/>
      <c r="U7419" s="1"/>
      <c r="V7419" s="1"/>
      <c r="W7419" s="1"/>
      <c r="X7419" s="1"/>
      <c r="Y7419" s="1"/>
      <c r="AB7419" s="1"/>
      <c r="AC7419" s="1"/>
      <c r="AD7419" s="1"/>
      <c r="AE7419" s="1"/>
      <c r="AF7419" s="1"/>
      <c r="AG7419" s="1"/>
      <c r="AH7419" s="1"/>
      <c r="AI7419" s="1"/>
      <c r="AJ7419" s="1"/>
      <c r="AK7419" s="1"/>
      <c r="AL7419" s="1"/>
      <c r="AM7419" s="1"/>
    </row>
    <row r="7420" spans="16:39" x14ac:dyDescent="0.25">
      <c r="P7420" s="49"/>
      <c r="Q7420" s="1"/>
      <c r="S7420" s="1"/>
      <c r="T7420" s="1"/>
      <c r="U7420" s="1"/>
      <c r="V7420" s="1"/>
      <c r="W7420" s="1"/>
      <c r="X7420" s="1"/>
      <c r="Y7420" s="1"/>
      <c r="AB7420" s="1"/>
      <c r="AC7420" s="1"/>
      <c r="AD7420" s="1"/>
      <c r="AE7420" s="1"/>
      <c r="AF7420" s="1"/>
      <c r="AG7420" s="1"/>
      <c r="AH7420" s="1"/>
      <c r="AI7420" s="1"/>
      <c r="AJ7420" s="1"/>
      <c r="AK7420" s="1"/>
      <c r="AL7420" s="1"/>
      <c r="AM7420" s="1"/>
    </row>
    <row r="7421" spans="16:39" x14ac:dyDescent="0.25">
      <c r="P7421" s="49"/>
      <c r="Q7421" s="1"/>
      <c r="S7421" s="1"/>
      <c r="T7421" s="1"/>
      <c r="U7421" s="1"/>
      <c r="V7421" s="1"/>
      <c r="W7421" s="1"/>
      <c r="X7421" s="1"/>
      <c r="Y7421" s="1"/>
      <c r="AB7421" s="1"/>
      <c r="AC7421" s="1"/>
      <c r="AD7421" s="1"/>
      <c r="AE7421" s="1"/>
      <c r="AF7421" s="1"/>
      <c r="AG7421" s="1"/>
      <c r="AH7421" s="1"/>
      <c r="AI7421" s="1"/>
      <c r="AJ7421" s="1"/>
      <c r="AK7421" s="1"/>
      <c r="AL7421" s="1"/>
      <c r="AM7421" s="1"/>
    </row>
    <row r="7422" spans="16:39" x14ac:dyDescent="0.25">
      <c r="P7422" s="49"/>
      <c r="Q7422" s="1"/>
      <c r="S7422" s="1"/>
      <c r="T7422" s="1"/>
      <c r="U7422" s="1"/>
      <c r="V7422" s="1"/>
      <c r="W7422" s="1"/>
      <c r="X7422" s="1"/>
      <c r="Y7422" s="1"/>
      <c r="AB7422" s="1"/>
      <c r="AC7422" s="1"/>
      <c r="AD7422" s="1"/>
      <c r="AE7422" s="1"/>
      <c r="AF7422" s="1"/>
      <c r="AG7422" s="1"/>
      <c r="AH7422" s="1"/>
      <c r="AI7422" s="1"/>
      <c r="AJ7422" s="1"/>
      <c r="AK7422" s="1"/>
      <c r="AL7422" s="1"/>
      <c r="AM7422" s="1"/>
    </row>
    <row r="7423" spans="16:39" x14ac:dyDescent="0.25">
      <c r="P7423" s="49"/>
      <c r="Q7423" s="1"/>
      <c r="S7423" s="1"/>
      <c r="T7423" s="1"/>
      <c r="U7423" s="1"/>
      <c r="V7423" s="1"/>
      <c r="W7423" s="1"/>
      <c r="X7423" s="1"/>
      <c r="Y7423" s="1"/>
      <c r="AB7423" s="1"/>
      <c r="AC7423" s="1"/>
      <c r="AD7423" s="1"/>
      <c r="AE7423" s="1"/>
      <c r="AF7423" s="1"/>
      <c r="AG7423" s="1"/>
      <c r="AH7423" s="1"/>
      <c r="AI7423" s="1"/>
      <c r="AJ7423" s="1"/>
      <c r="AK7423" s="1"/>
      <c r="AL7423" s="1"/>
      <c r="AM7423" s="1"/>
    </row>
    <row r="7424" spans="16:39" x14ac:dyDescent="0.25">
      <c r="P7424" s="49"/>
      <c r="Q7424" s="1"/>
      <c r="S7424" s="1"/>
      <c r="T7424" s="1"/>
      <c r="U7424" s="1"/>
      <c r="V7424" s="1"/>
      <c r="W7424" s="1"/>
      <c r="X7424" s="1"/>
      <c r="Y7424" s="1"/>
      <c r="AB7424" s="1"/>
      <c r="AC7424" s="1"/>
      <c r="AD7424" s="1"/>
      <c r="AE7424" s="1"/>
      <c r="AF7424" s="1"/>
      <c r="AG7424" s="1"/>
      <c r="AH7424" s="1"/>
      <c r="AI7424" s="1"/>
      <c r="AJ7424" s="1"/>
      <c r="AK7424" s="1"/>
      <c r="AL7424" s="1"/>
      <c r="AM7424" s="1"/>
    </row>
    <row r="7425" spans="16:39" x14ac:dyDescent="0.25">
      <c r="P7425" s="49"/>
      <c r="Q7425" s="1"/>
      <c r="S7425" s="1"/>
      <c r="T7425" s="1"/>
      <c r="U7425" s="1"/>
      <c r="V7425" s="1"/>
      <c r="W7425" s="1"/>
      <c r="X7425" s="1"/>
      <c r="Y7425" s="1"/>
      <c r="AB7425" s="1"/>
      <c r="AC7425" s="1"/>
      <c r="AD7425" s="1"/>
      <c r="AE7425" s="1"/>
      <c r="AF7425" s="1"/>
      <c r="AG7425" s="1"/>
      <c r="AH7425" s="1"/>
      <c r="AI7425" s="1"/>
      <c r="AJ7425" s="1"/>
      <c r="AK7425" s="1"/>
      <c r="AL7425" s="1"/>
      <c r="AM7425" s="1"/>
    </row>
    <row r="7426" spans="16:39" x14ac:dyDescent="0.25">
      <c r="P7426" s="49"/>
      <c r="Q7426" s="1"/>
      <c r="S7426" s="1"/>
      <c r="T7426" s="1"/>
      <c r="U7426" s="1"/>
      <c r="V7426" s="1"/>
      <c r="W7426" s="1"/>
      <c r="X7426" s="1"/>
      <c r="Y7426" s="1"/>
      <c r="AB7426" s="1"/>
      <c r="AC7426" s="1"/>
      <c r="AD7426" s="1"/>
      <c r="AE7426" s="1"/>
      <c r="AF7426" s="1"/>
      <c r="AG7426" s="1"/>
      <c r="AH7426" s="1"/>
      <c r="AI7426" s="1"/>
      <c r="AJ7426" s="1"/>
      <c r="AK7426" s="1"/>
      <c r="AL7426" s="1"/>
      <c r="AM7426" s="1"/>
    </row>
    <row r="7427" spans="16:39" x14ac:dyDescent="0.25">
      <c r="P7427" s="49"/>
      <c r="Q7427" s="1"/>
      <c r="S7427" s="1"/>
      <c r="T7427" s="1"/>
      <c r="U7427" s="1"/>
      <c r="V7427" s="1"/>
      <c r="W7427" s="1"/>
      <c r="X7427" s="1"/>
      <c r="Y7427" s="1"/>
      <c r="AB7427" s="1"/>
      <c r="AC7427" s="1"/>
      <c r="AD7427" s="1"/>
      <c r="AE7427" s="1"/>
      <c r="AF7427" s="1"/>
      <c r="AG7427" s="1"/>
      <c r="AH7427" s="1"/>
      <c r="AI7427" s="1"/>
      <c r="AJ7427" s="1"/>
      <c r="AK7427" s="1"/>
      <c r="AL7427" s="1"/>
      <c r="AM7427" s="1"/>
    </row>
    <row r="7428" spans="16:39" x14ac:dyDescent="0.25">
      <c r="P7428" s="49"/>
      <c r="Q7428" s="1"/>
      <c r="S7428" s="1"/>
      <c r="T7428" s="1"/>
      <c r="U7428" s="1"/>
      <c r="V7428" s="1"/>
      <c r="W7428" s="1"/>
      <c r="X7428" s="1"/>
      <c r="Y7428" s="1"/>
      <c r="AB7428" s="1"/>
      <c r="AC7428" s="1"/>
      <c r="AD7428" s="1"/>
      <c r="AE7428" s="1"/>
      <c r="AF7428" s="1"/>
      <c r="AG7428" s="1"/>
      <c r="AH7428" s="1"/>
      <c r="AI7428" s="1"/>
      <c r="AJ7428" s="1"/>
      <c r="AK7428" s="1"/>
      <c r="AL7428" s="1"/>
      <c r="AM7428" s="1"/>
    </row>
    <row r="7429" spans="16:39" x14ac:dyDescent="0.25">
      <c r="P7429" s="49"/>
      <c r="Q7429" s="1"/>
      <c r="S7429" s="1"/>
      <c r="T7429" s="1"/>
      <c r="U7429" s="1"/>
      <c r="V7429" s="1"/>
      <c r="W7429" s="1"/>
      <c r="X7429" s="1"/>
      <c r="Y7429" s="1"/>
      <c r="AB7429" s="1"/>
      <c r="AC7429" s="1"/>
      <c r="AD7429" s="1"/>
      <c r="AE7429" s="1"/>
      <c r="AF7429" s="1"/>
      <c r="AG7429" s="1"/>
      <c r="AH7429" s="1"/>
      <c r="AI7429" s="1"/>
      <c r="AJ7429" s="1"/>
      <c r="AK7429" s="1"/>
      <c r="AL7429" s="1"/>
      <c r="AM7429" s="1"/>
    </row>
    <row r="7430" spans="16:39" x14ac:dyDescent="0.25">
      <c r="P7430" s="49"/>
      <c r="Q7430" s="1"/>
      <c r="S7430" s="1"/>
      <c r="T7430" s="1"/>
      <c r="U7430" s="1"/>
      <c r="V7430" s="1"/>
      <c r="W7430" s="1"/>
      <c r="X7430" s="1"/>
      <c r="Y7430" s="1"/>
      <c r="AB7430" s="1"/>
      <c r="AC7430" s="1"/>
      <c r="AD7430" s="1"/>
      <c r="AE7430" s="1"/>
      <c r="AF7430" s="1"/>
      <c r="AG7430" s="1"/>
      <c r="AH7430" s="1"/>
      <c r="AI7430" s="1"/>
      <c r="AJ7430" s="1"/>
      <c r="AK7430" s="1"/>
      <c r="AL7430" s="1"/>
      <c r="AM7430" s="1"/>
    </row>
    <row r="7431" spans="16:39" x14ac:dyDescent="0.25">
      <c r="P7431" s="49"/>
      <c r="Q7431" s="1"/>
      <c r="S7431" s="1"/>
      <c r="T7431" s="1"/>
      <c r="U7431" s="1"/>
      <c r="V7431" s="1"/>
      <c r="W7431" s="1"/>
      <c r="X7431" s="1"/>
      <c r="Y7431" s="1"/>
      <c r="AB7431" s="1"/>
      <c r="AC7431" s="1"/>
      <c r="AD7431" s="1"/>
      <c r="AE7431" s="1"/>
      <c r="AF7431" s="1"/>
      <c r="AG7431" s="1"/>
      <c r="AH7431" s="1"/>
      <c r="AI7431" s="1"/>
      <c r="AJ7431" s="1"/>
      <c r="AK7431" s="1"/>
      <c r="AL7431" s="1"/>
      <c r="AM7431" s="1"/>
    </row>
    <row r="7432" spans="16:39" x14ac:dyDescent="0.25">
      <c r="P7432" s="49"/>
      <c r="Q7432" s="1"/>
      <c r="S7432" s="1"/>
      <c r="T7432" s="1"/>
      <c r="U7432" s="1"/>
      <c r="V7432" s="1"/>
      <c r="W7432" s="1"/>
      <c r="X7432" s="1"/>
      <c r="Y7432" s="1"/>
      <c r="AB7432" s="1"/>
      <c r="AC7432" s="1"/>
      <c r="AD7432" s="1"/>
      <c r="AE7432" s="1"/>
      <c r="AF7432" s="1"/>
      <c r="AG7432" s="1"/>
      <c r="AH7432" s="1"/>
      <c r="AI7432" s="1"/>
      <c r="AJ7432" s="1"/>
      <c r="AK7432" s="1"/>
      <c r="AL7432" s="1"/>
      <c r="AM7432" s="1"/>
    </row>
    <row r="7433" spans="16:39" x14ac:dyDescent="0.25">
      <c r="P7433" s="49"/>
      <c r="Q7433" s="1"/>
      <c r="S7433" s="1"/>
      <c r="T7433" s="1"/>
      <c r="U7433" s="1"/>
      <c r="V7433" s="1"/>
      <c r="W7433" s="1"/>
      <c r="X7433" s="1"/>
      <c r="Y7433" s="1"/>
      <c r="AB7433" s="1"/>
      <c r="AC7433" s="1"/>
      <c r="AD7433" s="1"/>
      <c r="AE7433" s="1"/>
      <c r="AF7433" s="1"/>
      <c r="AG7433" s="1"/>
      <c r="AH7433" s="1"/>
      <c r="AI7433" s="1"/>
      <c r="AJ7433" s="1"/>
      <c r="AK7433" s="1"/>
      <c r="AL7433" s="1"/>
      <c r="AM7433" s="1"/>
    </row>
    <row r="7434" spans="16:39" x14ac:dyDescent="0.25">
      <c r="P7434" s="49"/>
      <c r="Q7434" s="1"/>
      <c r="S7434" s="1"/>
      <c r="T7434" s="1"/>
      <c r="U7434" s="1"/>
      <c r="V7434" s="1"/>
      <c r="W7434" s="1"/>
      <c r="X7434" s="1"/>
      <c r="Y7434" s="1"/>
      <c r="AB7434" s="1"/>
      <c r="AC7434" s="1"/>
      <c r="AD7434" s="1"/>
      <c r="AE7434" s="1"/>
      <c r="AF7434" s="1"/>
      <c r="AG7434" s="1"/>
      <c r="AH7434" s="1"/>
      <c r="AI7434" s="1"/>
      <c r="AJ7434" s="1"/>
      <c r="AK7434" s="1"/>
      <c r="AL7434" s="1"/>
      <c r="AM7434" s="1"/>
    </row>
    <row r="7435" spans="16:39" x14ac:dyDescent="0.25">
      <c r="P7435" s="49"/>
      <c r="Q7435" s="1"/>
      <c r="S7435" s="1"/>
      <c r="T7435" s="1"/>
      <c r="U7435" s="1"/>
      <c r="V7435" s="1"/>
      <c r="W7435" s="1"/>
      <c r="X7435" s="1"/>
      <c r="Y7435" s="1"/>
      <c r="AB7435" s="1"/>
      <c r="AC7435" s="1"/>
      <c r="AD7435" s="1"/>
      <c r="AE7435" s="1"/>
      <c r="AF7435" s="1"/>
      <c r="AG7435" s="1"/>
      <c r="AH7435" s="1"/>
      <c r="AI7435" s="1"/>
      <c r="AJ7435" s="1"/>
      <c r="AK7435" s="1"/>
      <c r="AL7435" s="1"/>
      <c r="AM7435" s="1"/>
    </row>
    <row r="7436" spans="16:39" x14ac:dyDescent="0.25">
      <c r="P7436" s="49"/>
      <c r="Q7436" s="1"/>
      <c r="S7436" s="1"/>
      <c r="T7436" s="1"/>
      <c r="U7436" s="1"/>
      <c r="V7436" s="1"/>
      <c r="W7436" s="1"/>
      <c r="X7436" s="1"/>
      <c r="Y7436" s="1"/>
      <c r="AB7436" s="1"/>
      <c r="AC7436" s="1"/>
      <c r="AD7436" s="1"/>
      <c r="AE7436" s="1"/>
      <c r="AF7436" s="1"/>
      <c r="AG7436" s="1"/>
      <c r="AH7436" s="1"/>
      <c r="AI7436" s="1"/>
      <c r="AJ7436" s="1"/>
      <c r="AK7436" s="1"/>
      <c r="AL7436" s="1"/>
      <c r="AM7436" s="1"/>
    </row>
    <row r="7437" spans="16:39" x14ac:dyDescent="0.25">
      <c r="P7437" s="49"/>
      <c r="Q7437" s="1"/>
      <c r="S7437" s="1"/>
      <c r="T7437" s="1"/>
      <c r="U7437" s="1"/>
      <c r="V7437" s="1"/>
      <c r="W7437" s="1"/>
      <c r="X7437" s="1"/>
      <c r="Y7437" s="1"/>
      <c r="AB7437" s="1"/>
      <c r="AC7437" s="1"/>
      <c r="AD7437" s="1"/>
      <c r="AE7437" s="1"/>
      <c r="AF7437" s="1"/>
      <c r="AG7437" s="1"/>
      <c r="AH7437" s="1"/>
      <c r="AI7437" s="1"/>
      <c r="AJ7437" s="1"/>
      <c r="AK7437" s="1"/>
      <c r="AL7437" s="1"/>
      <c r="AM7437" s="1"/>
    </row>
    <row r="7438" spans="16:39" x14ac:dyDescent="0.25">
      <c r="P7438" s="49"/>
      <c r="Q7438" s="1"/>
      <c r="S7438" s="1"/>
      <c r="T7438" s="1"/>
      <c r="U7438" s="1"/>
      <c r="V7438" s="1"/>
      <c r="W7438" s="1"/>
      <c r="X7438" s="1"/>
      <c r="Y7438" s="1"/>
      <c r="AB7438" s="1"/>
      <c r="AC7438" s="1"/>
      <c r="AD7438" s="1"/>
      <c r="AE7438" s="1"/>
      <c r="AF7438" s="1"/>
      <c r="AG7438" s="1"/>
      <c r="AH7438" s="1"/>
      <c r="AI7438" s="1"/>
      <c r="AJ7438" s="1"/>
      <c r="AK7438" s="1"/>
      <c r="AL7438" s="1"/>
      <c r="AM7438" s="1"/>
    </row>
    <row r="7439" spans="16:39" x14ac:dyDescent="0.25">
      <c r="P7439" s="49"/>
      <c r="Q7439" s="1"/>
      <c r="S7439" s="1"/>
      <c r="T7439" s="1"/>
      <c r="U7439" s="1"/>
      <c r="V7439" s="1"/>
      <c r="W7439" s="1"/>
      <c r="X7439" s="1"/>
      <c r="Y7439" s="1"/>
      <c r="AB7439" s="1"/>
      <c r="AC7439" s="1"/>
      <c r="AD7439" s="1"/>
      <c r="AE7439" s="1"/>
      <c r="AF7439" s="1"/>
      <c r="AG7439" s="1"/>
      <c r="AH7439" s="1"/>
      <c r="AI7439" s="1"/>
      <c r="AJ7439" s="1"/>
      <c r="AK7439" s="1"/>
      <c r="AL7439" s="1"/>
      <c r="AM7439" s="1"/>
    </row>
    <row r="7440" spans="16:39" x14ac:dyDescent="0.25">
      <c r="P7440" s="49"/>
      <c r="Q7440" s="1"/>
      <c r="S7440" s="1"/>
      <c r="T7440" s="1"/>
      <c r="U7440" s="1"/>
      <c r="V7440" s="1"/>
      <c r="W7440" s="1"/>
      <c r="X7440" s="1"/>
      <c r="Y7440" s="1"/>
      <c r="AB7440" s="1"/>
      <c r="AC7440" s="1"/>
      <c r="AD7440" s="1"/>
      <c r="AE7440" s="1"/>
      <c r="AF7440" s="1"/>
      <c r="AG7440" s="1"/>
      <c r="AH7440" s="1"/>
      <c r="AI7440" s="1"/>
      <c r="AJ7440" s="1"/>
      <c r="AK7440" s="1"/>
      <c r="AL7440" s="1"/>
      <c r="AM7440" s="1"/>
    </row>
    <row r="7441" spans="16:39" x14ac:dyDescent="0.25">
      <c r="P7441" s="49"/>
      <c r="Q7441" s="1"/>
      <c r="S7441" s="1"/>
      <c r="T7441" s="1"/>
      <c r="U7441" s="1"/>
      <c r="V7441" s="1"/>
      <c r="W7441" s="1"/>
      <c r="X7441" s="1"/>
      <c r="Y7441" s="1"/>
      <c r="AB7441" s="1"/>
      <c r="AC7441" s="1"/>
      <c r="AD7441" s="1"/>
      <c r="AE7441" s="1"/>
      <c r="AF7441" s="1"/>
      <c r="AG7441" s="1"/>
      <c r="AH7441" s="1"/>
      <c r="AI7441" s="1"/>
      <c r="AJ7441" s="1"/>
      <c r="AK7441" s="1"/>
      <c r="AL7441" s="1"/>
      <c r="AM7441" s="1"/>
    </row>
    <row r="7442" spans="16:39" x14ac:dyDescent="0.25">
      <c r="P7442" s="49"/>
      <c r="Q7442" s="1"/>
      <c r="S7442" s="1"/>
      <c r="T7442" s="1"/>
      <c r="U7442" s="1"/>
      <c r="V7442" s="1"/>
      <c r="W7442" s="1"/>
      <c r="X7442" s="1"/>
      <c r="Y7442" s="1"/>
      <c r="AB7442" s="1"/>
      <c r="AC7442" s="1"/>
      <c r="AD7442" s="1"/>
      <c r="AE7442" s="1"/>
      <c r="AF7442" s="1"/>
      <c r="AG7442" s="1"/>
      <c r="AH7442" s="1"/>
      <c r="AI7442" s="1"/>
      <c r="AJ7442" s="1"/>
      <c r="AK7442" s="1"/>
      <c r="AL7442" s="1"/>
      <c r="AM7442" s="1"/>
    </row>
    <row r="7443" spans="16:39" x14ac:dyDescent="0.25">
      <c r="P7443" s="49"/>
      <c r="Q7443" s="1"/>
      <c r="S7443" s="1"/>
      <c r="T7443" s="1"/>
      <c r="U7443" s="1"/>
      <c r="V7443" s="1"/>
      <c r="W7443" s="1"/>
      <c r="X7443" s="1"/>
      <c r="Y7443" s="1"/>
      <c r="AB7443" s="1"/>
      <c r="AC7443" s="1"/>
      <c r="AD7443" s="1"/>
      <c r="AE7443" s="1"/>
      <c r="AF7443" s="1"/>
      <c r="AG7443" s="1"/>
      <c r="AH7443" s="1"/>
      <c r="AI7443" s="1"/>
      <c r="AJ7443" s="1"/>
      <c r="AK7443" s="1"/>
      <c r="AL7443" s="1"/>
      <c r="AM7443" s="1"/>
    </row>
    <row r="7444" spans="16:39" x14ac:dyDescent="0.25">
      <c r="P7444" s="49"/>
      <c r="Q7444" s="1"/>
      <c r="S7444" s="1"/>
      <c r="T7444" s="1"/>
      <c r="U7444" s="1"/>
      <c r="V7444" s="1"/>
      <c r="W7444" s="1"/>
      <c r="X7444" s="1"/>
      <c r="Y7444" s="1"/>
      <c r="AB7444" s="1"/>
      <c r="AC7444" s="1"/>
      <c r="AD7444" s="1"/>
      <c r="AE7444" s="1"/>
      <c r="AF7444" s="1"/>
      <c r="AG7444" s="1"/>
      <c r="AH7444" s="1"/>
      <c r="AI7444" s="1"/>
      <c r="AJ7444" s="1"/>
      <c r="AK7444" s="1"/>
      <c r="AL7444" s="1"/>
      <c r="AM7444" s="1"/>
    </row>
    <row r="7445" spans="16:39" x14ac:dyDescent="0.25">
      <c r="P7445" s="49"/>
      <c r="Q7445" s="1"/>
      <c r="S7445" s="1"/>
      <c r="T7445" s="1"/>
      <c r="U7445" s="1"/>
      <c r="V7445" s="1"/>
      <c r="W7445" s="1"/>
      <c r="X7445" s="1"/>
      <c r="Y7445" s="1"/>
      <c r="AB7445" s="1"/>
      <c r="AC7445" s="1"/>
      <c r="AD7445" s="1"/>
      <c r="AE7445" s="1"/>
      <c r="AF7445" s="1"/>
      <c r="AG7445" s="1"/>
      <c r="AH7445" s="1"/>
      <c r="AI7445" s="1"/>
      <c r="AJ7445" s="1"/>
      <c r="AK7445" s="1"/>
      <c r="AL7445" s="1"/>
      <c r="AM7445" s="1"/>
    </row>
    <row r="7446" spans="16:39" x14ac:dyDescent="0.25">
      <c r="P7446" s="49"/>
      <c r="Q7446" s="1"/>
      <c r="S7446" s="1"/>
      <c r="T7446" s="1"/>
      <c r="U7446" s="1"/>
      <c r="V7446" s="1"/>
      <c r="W7446" s="1"/>
      <c r="X7446" s="1"/>
      <c r="Y7446" s="1"/>
      <c r="AB7446" s="1"/>
      <c r="AC7446" s="1"/>
      <c r="AD7446" s="1"/>
      <c r="AE7446" s="1"/>
      <c r="AF7446" s="1"/>
      <c r="AG7446" s="1"/>
      <c r="AH7446" s="1"/>
      <c r="AI7446" s="1"/>
      <c r="AJ7446" s="1"/>
      <c r="AK7446" s="1"/>
      <c r="AL7446" s="1"/>
      <c r="AM7446" s="1"/>
    </row>
    <row r="7447" spans="16:39" x14ac:dyDescent="0.25">
      <c r="P7447" s="49"/>
      <c r="Q7447" s="1"/>
      <c r="S7447" s="1"/>
      <c r="T7447" s="1"/>
      <c r="U7447" s="1"/>
      <c r="V7447" s="1"/>
      <c r="W7447" s="1"/>
      <c r="X7447" s="1"/>
      <c r="Y7447" s="1"/>
      <c r="AB7447" s="1"/>
      <c r="AC7447" s="1"/>
      <c r="AD7447" s="1"/>
      <c r="AE7447" s="1"/>
      <c r="AF7447" s="1"/>
      <c r="AG7447" s="1"/>
      <c r="AH7447" s="1"/>
      <c r="AI7447" s="1"/>
      <c r="AJ7447" s="1"/>
      <c r="AK7447" s="1"/>
      <c r="AL7447" s="1"/>
      <c r="AM7447" s="1"/>
    </row>
    <row r="7448" spans="16:39" x14ac:dyDescent="0.25">
      <c r="P7448" s="49"/>
      <c r="Q7448" s="1"/>
      <c r="S7448" s="1"/>
      <c r="T7448" s="1"/>
      <c r="U7448" s="1"/>
      <c r="V7448" s="1"/>
      <c r="W7448" s="1"/>
      <c r="X7448" s="1"/>
      <c r="Y7448" s="1"/>
      <c r="AB7448" s="1"/>
      <c r="AC7448" s="1"/>
      <c r="AD7448" s="1"/>
      <c r="AE7448" s="1"/>
      <c r="AF7448" s="1"/>
      <c r="AG7448" s="1"/>
      <c r="AH7448" s="1"/>
      <c r="AI7448" s="1"/>
      <c r="AJ7448" s="1"/>
      <c r="AK7448" s="1"/>
      <c r="AL7448" s="1"/>
      <c r="AM7448" s="1"/>
    </row>
    <row r="7449" spans="16:39" x14ac:dyDescent="0.25">
      <c r="P7449" s="49"/>
      <c r="Q7449" s="1"/>
      <c r="S7449" s="1"/>
      <c r="T7449" s="1"/>
      <c r="U7449" s="1"/>
      <c r="V7449" s="1"/>
      <c r="W7449" s="1"/>
      <c r="X7449" s="1"/>
      <c r="Y7449" s="1"/>
      <c r="AB7449" s="1"/>
      <c r="AC7449" s="1"/>
      <c r="AD7449" s="1"/>
      <c r="AE7449" s="1"/>
      <c r="AF7449" s="1"/>
      <c r="AG7449" s="1"/>
      <c r="AH7449" s="1"/>
      <c r="AI7449" s="1"/>
      <c r="AJ7449" s="1"/>
      <c r="AK7449" s="1"/>
      <c r="AL7449" s="1"/>
      <c r="AM7449" s="1"/>
    </row>
    <row r="7450" spans="16:39" x14ac:dyDescent="0.25">
      <c r="P7450" s="49"/>
      <c r="Q7450" s="1"/>
      <c r="S7450" s="1"/>
      <c r="T7450" s="1"/>
      <c r="U7450" s="1"/>
      <c r="V7450" s="1"/>
      <c r="W7450" s="1"/>
      <c r="X7450" s="1"/>
      <c r="Y7450" s="1"/>
      <c r="AB7450" s="1"/>
      <c r="AC7450" s="1"/>
      <c r="AD7450" s="1"/>
      <c r="AE7450" s="1"/>
      <c r="AF7450" s="1"/>
      <c r="AG7450" s="1"/>
      <c r="AH7450" s="1"/>
      <c r="AI7450" s="1"/>
      <c r="AJ7450" s="1"/>
      <c r="AK7450" s="1"/>
      <c r="AL7450" s="1"/>
      <c r="AM7450" s="1"/>
    </row>
    <row r="7451" spans="16:39" x14ac:dyDescent="0.25">
      <c r="P7451" s="49"/>
      <c r="Q7451" s="1"/>
      <c r="S7451" s="1"/>
      <c r="T7451" s="1"/>
      <c r="U7451" s="1"/>
      <c r="V7451" s="1"/>
      <c r="W7451" s="1"/>
      <c r="X7451" s="1"/>
      <c r="Y7451" s="1"/>
      <c r="AB7451" s="1"/>
      <c r="AC7451" s="1"/>
      <c r="AD7451" s="1"/>
      <c r="AE7451" s="1"/>
      <c r="AF7451" s="1"/>
      <c r="AG7451" s="1"/>
      <c r="AH7451" s="1"/>
      <c r="AI7451" s="1"/>
      <c r="AJ7451" s="1"/>
      <c r="AK7451" s="1"/>
      <c r="AL7451" s="1"/>
      <c r="AM7451" s="1"/>
    </row>
    <row r="7452" spans="16:39" x14ac:dyDescent="0.25">
      <c r="P7452" s="49"/>
      <c r="Q7452" s="1"/>
      <c r="S7452" s="1"/>
      <c r="T7452" s="1"/>
      <c r="U7452" s="1"/>
      <c r="V7452" s="1"/>
      <c r="W7452" s="1"/>
      <c r="X7452" s="1"/>
      <c r="Y7452" s="1"/>
      <c r="AB7452" s="1"/>
      <c r="AC7452" s="1"/>
      <c r="AD7452" s="1"/>
      <c r="AE7452" s="1"/>
      <c r="AF7452" s="1"/>
      <c r="AG7452" s="1"/>
      <c r="AH7452" s="1"/>
      <c r="AI7452" s="1"/>
      <c r="AJ7452" s="1"/>
      <c r="AK7452" s="1"/>
      <c r="AL7452" s="1"/>
      <c r="AM7452" s="1"/>
    </row>
    <row r="7453" spans="16:39" x14ac:dyDescent="0.25">
      <c r="P7453" s="49"/>
      <c r="Q7453" s="1"/>
      <c r="S7453" s="1"/>
      <c r="T7453" s="1"/>
      <c r="U7453" s="1"/>
      <c r="V7453" s="1"/>
      <c r="W7453" s="1"/>
      <c r="X7453" s="1"/>
      <c r="Y7453" s="1"/>
      <c r="AB7453" s="1"/>
      <c r="AC7453" s="1"/>
      <c r="AD7453" s="1"/>
      <c r="AE7453" s="1"/>
      <c r="AF7453" s="1"/>
      <c r="AG7453" s="1"/>
      <c r="AH7453" s="1"/>
      <c r="AI7453" s="1"/>
      <c r="AJ7453" s="1"/>
      <c r="AK7453" s="1"/>
      <c r="AL7453" s="1"/>
      <c r="AM7453" s="1"/>
    </row>
    <row r="7454" spans="16:39" x14ac:dyDescent="0.25">
      <c r="P7454" s="49"/>
      <c r="Q7454" s="1"/>
      <c r="S7454" s="1"/>
      <c r="T7454" s="1"/>
      <c r="U7454" s="1"/>
      <c r="V7454" s="1"/>
      <c r="W7454" s="1"/>
      <c r="X7454" s="1"/>
      <c r="Y7454" s="1"/>
      <c r="AB7454" s="1"/>
      <c r="AC7454" s="1"/>
      <c r="AD7454" s="1"/>
      <c r="AE7454" s="1"/>
      <c r="AF7454" s="1"/>
      <c r="AG7454" s="1"/>
      <c r="AH7454" s="1"/>
      <c r="AI7454" s="1"/>
      <c r="AJ7454" s="1"/>
      <c r="AK7454" s="1"/>
      <c r="AL7454" s="1"/>
      <c r="AM7454" s="1"/>
    </row>
    <row r="7455" spans="16:39" x14ac:dyDescent="0.25">
      <c r="P7455" s="49"/>
      <c r="Q7455" s="1"/>
      <c r="S7455" s="1"/>
      <c r="T7455" s="1"/>
      <c r="U7455" s="1"/>
      <c r="V7455" s="1"/>
      <c r="W7455" s="1"/>
      <c r="X7455" s="1"/>
      <c r="Y7455" s="1"/>
      <c r="AB7455" s="1"/>
      <c r="AC7455" s="1"/>
      <c r="AD7455" s="1"/>
      <c r="AE7455" s="1"/>
      <c r="AF7455" s="1"/>
      <c r="AG7455" s="1"/>
      <c r="AH7455" s="1"/>
      <c r="AI7455" s="1"/>
      <c r="AJ7455" s="1"/>
      <c r="AK7455" s="1"/>
      <c r="AL7455" s="1"/>
      <c r="AM7455" s="1"/>
    </row>
    <row r="7456" spans="16:39" x14ac:dyDescent="0.25">
      <c r="P7456" s="49"/>
      <c r="Q7456" s="1"/>
      <c r="S7456" s="1"/>
      <c r="T7456" s="1"/>
      <c r="U7456" s="1"/>
      <c r="V7456" s="1"/>
      <c r="W7456" s="1"/>
      <c r="X7456" s="1"/>
      <c r="Y7456" s="1"/>
      <c r="AB7456" s="1"/>
      <c r="AC7456" s="1"/>
      <c r="AD7456" s="1"/>
      <c r="AE7456" s="1"/>
      <c r="AF7456" s="1"/>
      <c r="AG7456" s="1"/>
      <c r="AH7456" s="1"/>
      <c r="AI7456" s="1"/>
      <c r="AJ7456" s="1"/>
      <c r="AK7456" s="1"/>
      <c r="AL7456" s="1"/>
      <c r="AM7456" s="1"/>
    </row>
    <row r="7457" spans="16:39" x14ac:dyDescent="0.25">
      <c r="P7457" s="49"/>
      <c r="Q7457" s="1"/>
      <c r="S7457" s="1"/>
      <c r="T7457" s="1"/>
      <c r="U7457" s="1"/>
      <c r="V7457" s="1"/>
      <c r="W7457" s="1"/>
      <c r="X7457" s="1"/>
      <c r="Y7457" s="1"/>
      <c r="AB7457" s="1"/>
      <c r="AC7457" s="1"/>
      <c r="AD7457" s="1"/>
      <c r="AE7457" s="1"/>
      <c r="AF7457" s="1"/>
      <c r="AG7457" s="1"/>
      <c r="AH7457" s="1"/>
      <c r="AI7457" s="1"/>
      <c r="AJ7457" s="1"/>
      <c r="AK7457" s="1"/>
      <c r="AL7457" s="1"/>
      <c r="AM7457" s="1"/>
    </row>
    <row r="7458" spans="16:39" x14ac:dyDescent="0.25">
      <c r="P7458" s="49"/>
      <c r="Q7458" s="1"/>
      <c r="S7458" s="1"/>
      <c r="T7458" s="1"/>
      <c r="U7458" s="1"/>
      <c r="V7458" s="1"/>
      <c r="W7458" s="1"/>
      <c r="X7458" s="1"/>
      <c r="Y7458" s="1"/>
      <c r="AB7458" s="1"/>
      <c r="AC7458" s="1"/>
      <c r="AD7458" s="1"/>
      <c r="AE7458" s="1"/>
      <c r="AF7458" s="1"/>
      <c r="AG7458" s="1"/>
      <c r="AH7458" s="1"/>
      <c r="AI7458" s="1"/>
      <c r="AJ7458" s="1"/>
      <c r="AK7458" s="1"/>
      <c r="AL7458" s="1"/>
      <c r="AM7458" s="1"/>
    </row>
    <row r="7459" spans="16:39" x14ac:dyDescent="0.25">
      <c r="P7459" s="49"/>
      <c r="Q7459" s="1"/>
      <c r="S7459" s="1"/>
      <c r="T7459" s="1"/>
      <c r="U7459" s="1"/>
      <c r="V7459" s="1"/>
      <c r="W7459" s="1"/>
      <c r="X7459" s="1"/>
      <c r="Y7459" s="1"/>
      <c r="AB7459" s="1"/>
      <c r="AC7459" s="1"/>
      <c r="AD7459" s="1"/>
      <c r="AE7459" s="1"/>
      <c r="AF7459" s="1"/>
      <c r="AG7459" s="1"/>
      <c r="AH7459" s="1"/>
      <c r="AI7459" s="1"/>
      <c r="AJ7459" s="1"/>
      <c r="AK7459" s="1"/>
      <c r="AL7459" s="1"/>
      <c r="AM7459" s="1"/>
    </row>
    <row r="7460" spans="16:39" x14ac:dyDescent="0.25">
      <c r="P7460" s="49"/>
      <c r="Q7460" s="1"/>
      <c r="S7460" s="1"/>
      <c r="T7460" s="1"/>
      <c r="U7460" s="1"/>
      <c r="V7460" s="1"/>
      <c r="W7460" s="1"/>
      <c r="X7460" s="1"/>
      <c r="Y7460" s="1"/>
      <c r="AB7460" s="1"/>
      <c r="AC7460" s="1"/>
      <c r="AD7460" s="1"/>
      <c r="AE7460" s="1"/>
      <c r="AF7460" s="1"/>
      <c r="AG7460" s="1"/>
      <c r="AH7460" s="1"/>
      <c r="AI7460" s="1"/>
      <c r="AJ7460" s="1"/>
      <c r="AK7460" s="1"/>
      <c r="AL7460" s="1"/>
      <c r="AM7460" s="1"/>
    </row>
    <row r="7461" spans="16:39" x14ac:dyDescent="0.25">
      <c r="P7461" s="49"/>
      <c r="Q7461" s="1"/>
      <c r="S7461" s="1"/>
      <c r="T7461" s="1"/>
      <c r="U7461" s="1"/>
      <c r="V7461" s="1"/>
      <c r="W7461" s="1"/>
      <c r="X7461" s="1"/>
      <c r="Y7461" s="1"/>
      <c r="AB7461" s="1"/>
      <c r="AC7461" s="1"/>
      <c r="AD7461" s="1"/>
      <c r="AE7461" s="1"/>
      <c r="AF7461" s="1"/>
      <c r="AG7461" s="1"/>
      <c r="AH7461" s="1"/>
      <c r="AI7461" s="1"/>
      <c r="AJ7461" s="1"/>
      <c r="AK7461" s="1"/>
      <c r="AL7461" s="1"/>
      <c r="AM7461" s="1"/>
    </row>
    <row r="7462" spans="16:39" x14ac:dyDescent="0.25">
      <c r="P7462" s="49"/>
      <c r="Q7462" s="1"/>
      <c r="S7462" s="1"/>
      <c r="T7462" s="1"/>
      <c r="U7462" s="1"/>
      <c r="V7462" s="1"/>
      <c r="W7462" s="1"/>
      <c r="X7462" s="1"/>
      <c r="Y7462" s="1"/>
      <c r="AB7462" s="1"/>
      <c r="AC7462" s="1"/>
      <c r="AD7462" s="1"/>
      <c r="AE7462" s="1"/>
      <c r="AF7462" s="1"/>
      <c r="AG7462" s="1"/>
      <c r="AH7462" s="1"/>
      <c r="AI7462" s="1"/>
      <c r="AJ7462" s="1"/>
      <c r="AK7462" s="1"/>
      <c r="AL7462" s="1"/>
      <c r="AM7462" s="1"/>
    </row>
    <row r="7463" spans="16:39" x14ac:dyDescent="0.25">
      <c r="P7463" s="49"/>
      <c r="Q7463" s="1"/>
      <c r="S7463" s="1"/>
      <c r="T7463" s="1"/>
      <c r="U7463" s="1"/>
      <c r="V7463" s="1"/>
      <c r="W7463" s="1"/>
      <c r="X7463" s="1"/>
      <c r="Y7463" s="1"/>
      <c r="AB7463" s="1"/>
      <c r="AC7463" s="1"/>
      <c r="AD7463" s="1"/>
      <c r="AE7463" s="1"/>
      <c r="AF7463" s="1"/>
      <c r="AG7463" s="1"/>
      <c r="AH7463" s="1"/>
      <c r="AI7463" s="1"/>
      <c r="AJ7463" s="1"/>
      <c r="AK7463" s="1"/>
      <c r="AL7463" s="1"/>
      <c r="AM7463" s="1"/>
    </row>
    <row r="7464" spans="16:39" x14ac:dyDescent="0.25">
      <c r="P7464" s="49"/>
      <c r="Q7464" s="1"/>
      <c r="S7464" s="1"/>
      <c r="T7464" s="1"/>
      <c r="U7464" s="1"/>
      <c r="V7464" s="1"/>
      <c r="W7464" s="1"/>
      <c r="X7464" s="1"/>
      <c r="Y7464" s="1"/>
      <c r="AB7464" s="1"/>
      <c r="AC7464" s="1"/>
      <c r="AD7464" s="1"/>
      <c r="AE7464" s="1"/>
      <c r="AF7464" s="1"/>
      <c r="AG7464" s="1"/>
      <c r="AH7464" s="1"/>
      <c r="AI7464" s="1"/>
      <c r="AJ7464" s="1"/>
      <c r="AK7464" s="1"/>
      <c r="AL7464" s="1"/>
      <c r="AM7464" s="1"/>
    </row>
    <row r="7465" spans="16:39" x14ac:dyDescent="0.25">
      <c r="P7465" s="49"/>
      <c r="Q7465" s="1"/>
      <c r="S7465" s="1"/>
      <c r="T7465" s="1"/>
      <c r="U7465" s="1"/>
      <c r="V7465" s="1"/>
      <c r="W7465" s="1"/>
      <c r="X7465" s="1"/>
      <c r="Y7465" s="1"/>
      <c r="AB7465" s="1"/>
      <c r="AC7465" s="1"/>
      <c r="AD7465" s="1"/>
      <c r="AE7465" s="1"/>
      <c r="AF7465" s="1"/>
      <c r="AG7465" s="1"/>
      <c r="AH7465" s="1"/>
      <c r="AI7465" s="1"/>
      <c r="AJ7465" s="1"/>
      <c r="AK7465" s="1"/>
      <c r="AL7465" s="1"/>
      <c r="AM7465" s="1"/>
    </row>
    <row r="7466" spans="16:39" x14ac:dyDescent="0.25">
      <c r="P7466" s="49"/>
      <c r="Q7466" s="1"/>
      <c r="S7466" s="1"/>
      <c r="T7466" s="1"/>
      <c r="U7466" s="1"/>
      <c r="V7466" s="1"/>
      <c r="W7466" s="1"/>
      <c r="X7466" s="1"/>
      <c r="Y7466" s="1"/>
      <c r="AB7466" s="1"/>
      <c r="AC7466" s="1"/>
      <c r="AD7466" s="1"/>
      <c r="AE7466" s="1"/>
      <c r="AF7466" s="1"/>
      <c r="AG7466" s="1"/>
      <c r="AH7466" s="1"/>
      <c r="AI7466" s="1"/>
      <c r="AJ7466" s="1"/>
      <c r="AK7466" s="1"/>
      <c r="AL7466" s="1"/>
      <c r="AM7466" s="1"/>
    </row>
    <row r="7467" spans="16:39" x14ac:dyDescent="0.25">
      <c r="P7467" s="49"/>
      <c r="Q7467" s="1"/>
      <c r="S7467" s="1"/>
      <c r="T7467" s="1"/>
      <c r="U7467" s="1"/>
      <c r="V7467" s="1"/>
      <c r="W7467" s="1"/>
      <c r="X7467" s="1"/>
      <c r="Y7467" s="1"/>
      <c r="AB7467" s="1"/>
      <c r="AC7467" s="1"/>
      <c r="AD7467" s="1"/>
      <c r="AE7467" s="1"/>
      <c r="AF7467" s="1"/>
      <c r="AG7467" s="1"/>
      <c r="AH7467" s="1"/>
      <c r="AI7467" s="1"/>
      <c r="AJ7467" s="1"/>
      <c r="AK7467" s="1"/>
      <c r="AL7467" s="1"/>
      <c r="AM7467" s="1"/>
    </row>
    <row r="7468" spans="16:39" x14ac:dyDescent="0.25">
      <c r="P7468" s="49"/>
      <c r="Q7468" s="1"/>
      <c r="S7468" s="1"/>
      <c r="T7468" s="1"/>
      <c r="U7468" s="1"/>
      <c r="V7468" s="1"/>
      <c r="W7468" s="1"/>
      <c r="X7468" s="1"/>
      <c r="Y7468" s="1"/>
      <c r="AB7468" s="1"/>
      <c r="AC7468" s="1"/>
      <c r="AD7468" s="1"/>
      <c r="AE7468" s="1"/>
      <c r="AF7468" s="1"/>
      <c r="AG7468" s="1"/>
      <c r="AH7468" s="1"/>
      <c r="AI7468" s="1"/>
      <c r="AJ7468" s="1"/>
      <c r="AK7468" s="1"/>
      <c r="AL7468" s="1"/>
      <c r="AM7468" s="1"/>
    </row>
    <row r="7469" spans="16:39" x14ac:dyDescent="0.25">
      <c r="P7469" s="49"/>
      <c r="Q7469" s="1"/>
      <c r="S7469" s="1"/>
      <c r="T7469" s="1"/>
      <c r="U7469" s="1"/>
      <c r="V7469" s="1"/>
      <c r="W7469" s="1"/>
      <c r="X7469" s="1"/>
      <c r="Y7469" s="1"/>
      <c r="AB7469" s="1"/>
      <c r="AC7469" s="1"/>
      <c r="AD7469" s="1"/>
      <c r="AE7469" s="1"/>
      <c r="AF7469" s="1"/>
      <c r="AG7469" s="1"/>
      <c r="AH7469" s="1"/>
      <c r="AI7469" s="1"/>
      <c r="AJ7469" s="1"/>
      <c r="AK7469" s="1"/>
      <c r="AL7469" s="1"/>
      <c r="AM7469" s="1"/>
    </row>
    <row r="7470" spans="16:39" x14ac:dyDescent="0.25">
      <c r="P7470" s="49"/>
      <c r="Q7470" s="1"/>
      <c r="S7470" s="1"/>
      <c r="T7470" s="1"/>
      <c r="U7470" s="1"/>
      <c r="V7470" s="1"/>
      <c r="W7470" s="1"/>
      <c r="X7470" s="1"/>
      <c r="Y7470" s="1"/>
      <c r="AB7470" s="1"/>
      <c r="AC7470" s="1"/>
      <c r="AD7470" s="1"/>
      <c r="AE7470" s="1"/>
      <c r="AF7470" s="1"/>
      <c r="AG7470" s="1"/>
      <c r="AH7470" s="1"/>
      <c r="AI7470" s="1"/>
      <c r="AJ7470" s="1"/>
      <c r="AK7470" s="1"/>
      <c r="AL7470" s="1"/>
      <c r="AM7470" s="1"/>
    </row>
    <row r="7471" spans="16:39" x14ac:dyDescent="0.25">
      <c r="P7471" s="49"/>
      <c r="Q7471" s="1"/>
      <c r="S7471" s="1"/>
      <c r="T7471" s="1"/>
      <c r="U7471" s="1"/>
      <c r="V7471" s="1"/>
      <c r="W7471" s="1"/>
      <c r="X7471" s="1"/>
      <c r="Y7471" s="1"/>
      <c r="AB7471" s="1"/>
      <c r="AC7471" s="1"/>
      <c r="AD7471" s="1"/>
      <c r="AE7471" s="1"/>
      <c r="AF7471" s="1"/>
      <c r="AG7471" s="1"/>
      <c r="AH7471" s="1"/>
      <c r="AI7471" s="1"/>
      <c r="AJ7471" s="1"/>
      <c r="AK7471" s="1"/>
      <c r="AL7471" s="1"/>
      <c r="AM7471" s="1"/>
    </row>
    <row r="7472" spans="16:39" x14ac:dyDescent="0.25">
      <c r="P7472" s="49"/>
      <c r="Q7472" s="1"/>
      <c r="S7472" s="1"/>
      <c r="T7472" s="1"/>
      <c r="U7472" s="1"/>
      <c r="V7472" s="1"/>
      <c r="W7472" s="1"/>
      <c r="X7472" s="1"/>
      <c r="Y7472" s="1"/>
      <c r="AB7472" s="1"/>
      <c r="AC7472" s="1"/>
      <c r="AD7472" s="1"/>
      <c r="AE7472" s="1"/>
      <c r="AF7472" s="1"/>
      <c r="AG7472" s="1"/>
      <c r="AH7472" s="1"/>
      <c r="AI7472" s="1"/>
      <c r="AJ7472" s="1"/>
      <c r="AK7472" s="1"/>
      <c r="AL7472" s="1"/>
      <c r="AM7472" s="1"/>
    </row>
    <row r="7473" spans="16:39" x14ac:dyDescent="0.25">
      <c r="P7473" s="49"/>
      <c r="Q7473" s="1"/>
      <c r="S7473" s="1"/>
      <c r="T7473" s="1"/>
      <c r="U7473" s="1"/>
      <c r="V7473" s="1"/>
      <c r="W7473" s="1"/>
      <c r="X7473" s="1"/>
      <c r="Y7473" s="1"/>
      <c r="AB7473" s="1"/>
      <c r="AC7473" s="1"/>
      <c r="AD7473" s="1"/>
      <c r="AE7473" s="1"/>
      <c r="AF7473" s="1"/>
      <c r="AG7473" s="1"/>
      <c r="AH7473" s="1"/>
      <c r="AI7473" s="1"/>
      <c r="AJ7473" s="1"/>
      <c r="AK7473" s="1"/>
      <c r="AL7473" s="1"/>
      <c r="AM7473" s="1"/>
    </row>
    <row r="7474" spans="16:39" x14ac:dyDescent="0.25">
      <c r="P7474" s="49"/>
      <c r="Q7474" s="1"/>
      <c r="S7474" s="1"/>
      <c r="T7474" s="1"/>
      <c r="U7474" s="1"/>
      <c r="V7474" s="1"/>
      <c r="W7474" s="1"/>
      <c r="X7474" s="1"/>
      <c r="Y7474" s="1"/>
      <c r="AB7474" s="1"/>
      <c r="AC7474" s="1"/>
      <c r="AD7474" s="1"/>
      <c r="AE7474" s="1"/>
      <c r="AF7474" s="1"/>
      <c r="AG7474" s="1"/>
      <c r="AH7474" s="1"/>
      <c r="AI7474" s="1"/>
      <c r="AJ7474" s="1"/>
      <c r="AK7474" s="1"/>
      <c r="AL7474" s="1"/>
      <c r="AM7474" s="1"/>
    </row>
    <row r="7475" spans="16:39" x14ac:dyDescent="0.25">
      <c r="P7475" s="49"/>
      <c r="Q7475" s="1"/>
      <c r="S7475" s="1"/>
      <c r="T7475" s="1"/>
      <c r="U7475" s="1"/>
      <c r="V7475" s="1"/>
      <c r="W7475" s="1"/>
      <c r="X7475" s="1"/>
      <c r="Y7475" s="1"/>
      <c r="AB7475" s="1"/>
      <c r="AC7475" s="1"/>
      <c r="AD7475" s="1"/>
      <c r="AE7475" s="1"/>
      <c r="AF7475" s="1"/>
      <c r="AG7475" s="1"/>
      <c r="AH7475" s="1"/>
      <c r="AI7475" s="1"/>
      <c r="AJ7475" s="1"/>
      <c r="AK7475" s="1"/>
      <c r="AL7475" s="1"/>
      <c r="AM7475" s="1"/>
    </row>
    <row r="7476" spans="16:39" x14ac:dyDescent="0.25">
      <c r="P7476" s="49"/>
      <c r="Q7476" s="1"/>
      <c r="S7476" s="1"/>
      <c r="T7476" s="1"/>
      <c r="U7476" s="1"/>
      <c r="V7476" s="1"/>
      <c r="W7476" s="1"/>
      <c r="X7476" s="1"/>
      <c r="Y7476" s="1"/>
      <c r="AB7476" s="1"/>
      <c r="AC7476" s="1"/>
      <c r="AD7476" s="1"/>
      <c r="AE7476" s="1"/>
      <c r="AF7476" s="1"/>
      <c r="AG7476" s="1"/>
      <c r="AH7476" s="1"/>
      <c r="AI7476" s="1"/>
      <c r="AJ7476" s="1"/>
      <c r="AK7476" s="1"/>
      <c r="AL7476" s="1"/>
      <c r="AM7476" s="1"/>
    </row>
    <row r="7477" spans="16:39" x14ac:dyDescent="0.25">
      <c r="P7477" s="49"/>
      <c r="Q7477" s="1"/>
      <c r="S7477" s="1"/>
      <c r="T7477" s="1"/>
      <c r="U7477" s="1"/>
      <c r="V7477" s="1"/>
      <c r="W7477" s="1"/>
      <c r="X7477" s="1"/>
      <c r="Y7477" s="1"/>
      <c r="AB7477" s="1"/>
      <c r="AC7477" s="1"/>
      <c r="AD7477" s="1"/>
      <c r="AE7477" s="1"/>
      <c r="AF7477" s="1"/>
      <c r="AG7477" s="1"/>
      <c r="AH7477" s="1"/>
      <c r="AI7477" s="1"/>
      <c r="AJ7477" s="1"/>
      <c r="AK7477" s="1"/>
      <c r="AL7477" s="1"/>
      <c r="AM7477" s="1"/>
    </row>
    <row r="7478" spans="16:39" x14ac:dyDescent="0.25">
      <c r="P7478" s="49"/>
      <c r="Q7478" s="1"/>
      <c r="S7478" s="1"/>
      <c r="T7478" s="1"/>
      <c r="U7478" s="1"/>
      <c r="V7478" s="1"/>
      <c r="W7478" s="1"/>
      <c r="X7478" s="1"/>
      <c r="Y7478" s="1"/>
      <c r="AB7478" s="1"/>
      <c r="AC7478" s="1"/>
      <c r="AD7478" s="1"/>
      <c r="AE7478" s="1"/>
      <c r="AF7478" s="1"/>
      <c r="AG7478" s="1"/>
      <c r="AH7478" s="1"/>
      <c r="AI7478" s="1"/>
      <c r="AJ7478" s="1"/>
      <c r="AK7478" s="1"/>
      <c r="AL7478" s="1"/>
      <c r="AM7478" s="1"/>
    </row>
    <row r="7479" spans="16:39" x14ac:dyDescent="0.25">
      <c r="P7479" s="49"/>
      <c r="Q7479" s="1"/>
      <c r="S7479" s="1"/>
      <c r="T7479" s="1"/>
      <c r="U7479" s="1"/>
      <c r="V7479" s="1"/>
      <c r="W7479" s="1"/>
      <c r="X7479" s="1"/>
      <c r="Y7479" s="1"/>
      <c r="AB7479" s="1"/>
      <c r="AC7479" s="1"/>
      <c r="AD7479" s="1"/>
      <c r="AE7479" s="1"/>
      <c r="AF7479" s="1"/>
      <c r="AG7479" s="1"/>
      <c r="AH7479" s="1"/>
      <c r="AI7479" s="1"/>
      <c r="AJ7479" s="1"/>
      <c r="AK7479" s="1"/>
      <c r="AL7479" s="1"/>
      <c r="AM7479" s="1"/>
    </row>
    <row r="7480" spans="16:39" x14ac:dyDescent="0.25">
      <c r="P7480" s="49"/>
      <c r="Q7480" s="1"/>
      <c r="S7480" s="1"/>
      <c r="T7480" s="1"/>
      <c r="U7480" s="1"/>
      <c r="V7480" s="1"/>
      <c r="W7480" s="1"/>
      <c r="X7480" s="1"/>
      <c r="Y7480" s="1"/>
      <c r="AB7480" s="1"/>
      <c r="AC7480" s="1"/>
      <c r="AD7480" s="1"/>
      <c r="AE7480" s="1"/>
      <c r="AF7480" s="1"/>
      <c r="AG7480" s="1"/>
      <c r="AH7480" s="1"/>
      <c r="AI7480" s="1"/>
      <c r="AJ7480" s="1"/>
      <c r="AK7480" s="1"/>
      <c r="AL7480" s="1"/>
      <c r="AM7480" s="1"/>
    </row>
    <row r="7481" spans="16:39" x14ac:dyDescent="0.25">
      <c r="P7481" s="49"/>
      <c r="Q7481" s="1"/>
      <c r="S7481" s="1"/>
      <c r="T7481" s="1"/>
      <c r="U7481" s="1"/>
      <c r="V7481" s="1"/>
      <c r="W7481" s="1"/>
      <c r="X7481" s="1"/>
      <c r="Y7481" s="1"/>
      <c r="AB7481" s="1"/>
      <c r="AC7481" s="1"/>
      <c r="AD7481" s="1"/>
      <c r="AE7481" s="1"/>
      <c r="AF7481" s="1"/>
      <c r="AG7481" s="1"/>
      <c r="AH7481" s="1"/>
      <c r="AI7481" s="1"/>
      <c r="AJ7481" s="1"/>
      <c r="AK7481" s="1"/>
      <c r="AL7481" s="1"/>
      <c r="AM7481" s="1"/>
    </row>
    <row r="7482" spans="16:39" x14ac:dyDescent="0.25">
      <c r="P7482" s="49"/>
      <c r="Q7482" s="1"/>
      <c r="S7482" s="1"/>
      <c r="T7482" s="1"/>
      <c r="U7482" s="1"/>
      <c r="V7482" s="1"/>
      <c r="W7482" s="1"/>
      <c r="X7482" s="1"/>
      <c r="Y7482" s="1"/>
      <c r="AB7482" s="1"/>
      <c r="AC7482" s="1"/>
      <c r="AD7482" s="1"/>
      <c r="AE7482" s="1"/>
      <c r="AF7482" s="1"/>
      <c r="AG7482" s="1"/>
      <c r="AH7482" s="1"/>
      <c r="AI7482" s="1"/>
      <c r="AJ7482" s="1"/>
      <c r="AK7482" s="1"/>
      <c r="AL7482" s="1"/>
      <c r="AM7482" s="1"/>
    </row>
    <row r="7483" spans="16:39" x14ac:dyDescent="0.25">
      <c r="P7483" s="49"/>
      <c r="Q7483" s="1"/>
      <c r="S7483" s="1"/>
      <c r="T7483" s="1"/>
      <c r="U7483" s="1"/>
      <c r="V7483" s="1"/>
      <c r="W7483" s="1"/>
      <c r="X7483" s="1"/>
      <c r="Y7483" s="1"/>
      <c r="AB7483" s="1"/>
      <c r="AC7483" s="1"/>
      <c r="AD7483" s="1"/>
      <c r="AE7483" s="1"/>
      <c r="AF7483" s="1"/>
      <c r="AG7483" s="1"/>
      <c r="AH7483" s="1"/>
      <c r="AI7483" s="1"/>
      <c r="AJ7483" s="1"/>
      <c r="AK7483" s="1"/>
      <c r="AL7483" s="1"/>
      <c r="AM7483" s="1"/>
    </row>
    <row r="7484" spans="16:39" x14ac:dyDescent="0.25">
      <c r="P7484" s="49"/>
      <c r="Q7484" s="1"/>
      <c r="S7484" s="1"/>
      <c r="T7484" s="1"/>
      <c r="U7484" s="1"/>
      <c r="V7484" s="1"/>
      <c r="W7484" s="1"/>
      <c r="X7484" s="1"/>
      <c r="Y7484" s="1"/>
      <c r="AB7484" s="1"/>
      <c r="AC7484" s="1"/>
      <c r="AD7484" s="1"/>
      <c r="AE7484" s="1"/>
      <c r="AF7484" s="1"/>
      <c r="AG7484" s="1"/>
      <c r="AH7484" s="1"/>
      <c r="AI7484" s="1"/>
      <c r="AJ7484" s="1"/>
      <c r="AK7484" s="1"/>
      <c r="AL7484" s="1"/>
      <c r="AM7484" s="1"/>
    </row>
    <row r="7485" spans="16:39" x14ac:dyDescent="0.25">
      <c r="P7485" s="49"/>
      <c r="Q7485" s="1"/>
      <c r="S7485" s="1"/>
      <c r="T7485" s="1"/>
      <c r="U7485" s="1"/>
      <c r="V7485" s="1"/>
      <c r="W7485" s="1"/>
      <c r="X7485" s="1"/>
      <c r="Y7485" s="1"/>
      <c r="AB7485" s="1"/>
      <c r="AC7485" s="1"/>
      <c r="AD7485" s="1"/>
      <c r="AE7485" s="1"/>
      <c r="AF7485" s="1"/>
      <c r="AG7485" s="1"/>
      <c r="AH7485" s="1"/>
      <c r="AI7485" s="1"/>
      <c r="AJ7485" s="1"/>
      <c r="AK7485" s="1"/>
      <c r="AL7485" s="1"/>
      <c r="AM7485" s="1"/>
    </row>
    <row r="7486" spans="16:39" x14ac:dyDescent="0.25">
      <c r="P7486" s="49"/>
      <c r="Q7486" s="1"/>
      <c r="S7486" s="1"/>
      <c r="T7486" s="1"/>
      <c r="U7486" s="1"/>
      <c r="V7486" s="1"/>
      <c r="W7486" s="1"/>
      <c r="X7486" s="1"/>
      <c r="Y7486" s="1"/>
      <c r="AB7486" s="1"/>
      <c r="AC7486" s="1"/>
      <c r="AD7486" s="1"/>
      <c r="AE7486" s="1"/>
      <c r="AF7486" s="1"/>
      <c r="AG7486" s="1"/>
      <c r="AH7486" s="1"/>
      <c r="AI7486" s="1"/>
      <c r="AJ7486" s="1"/>
      <c r="AK7486" s="1"/>
      <c r="AL7486" s="1"/>
      <c r="AM7486" s="1"/>
    </row>
    <row r="7487" spans="16:39" x14ac:dyDescent="0.25">
      <c r="P7487" s="49"/>
      <c r="Q7487" s="1"/>
      <c r="S7487" s="1"/>
      <c r="T7487" s="1"/>
      <c r="U7487" s="1"/>
      <c r="V7487" s="1"/>
      <c r="W7487" s="1"/>
      <c r="X7487" s="1"/>
      <c r="Y7487" s="1"/>
      <c r="AB7487" s="1"/>
      <c r="AC7487" s="1"/>
      <c r="AD7487" s="1"/>
      <c r="AE7487" s="1"/>
      <c r="AF7487" s="1"/>
      <c r="AG7487" s="1"/>
      <c r="AH7487" s="1"/>
      <c r="AI7487" s="1"/>
      <c r="AJ7487" s="1"/>
      <c r="AK7487" s="1"/>
      <c r="AL7487" s="1"/>
      <c r="AM7487" s="1"/>
    </row>
    <row r="7488" spans="16:39" x14ac:dyDescent="0.25">
      <c r="P7488" s="49"/>
      <c r="Q7488" s="1"/>
      <c r="S7488" s="1"/>
      <c r="T7488" s="1"/>
      <c r="U7488" s="1"/>
      <c r="V7488" s="1"/>
      <c r="W7488" s="1"/>
      <c r="X7488" s="1"/>
      <c r="Y7488" s="1"/>
      <c r="AB7488" s="1"/>
      <c r="AC7488" s="1"/>
      <c r="AD7488" s="1"/>
      <c r="AE7488" s="1"/>
      <c r="AF7488" s="1"/>
      <c r="AG7488" s="1"/>
      <c r="AH7488" s="1"/>
      <c r="AI7488" s="1"/>
      <c r="AJ7488" s="1"/>
      <c r="AK7488" s="1"/>
      <c r="AL7488" s="1"/>
      <c r="AM7488" s="1"/>
    </row>
    <row r="7489" spans="16:39" x14ac:dyDescent="0.25">
      <c r="P7489" s="49"/>
      <c r="Q7489" s="1"/>
      <c r="S7489" s="1"/>
      <c r="T7489" s="1"/>
      <c r="U7489" s="1"/>
      <c r="V7489" s="1"/>
      <c r="W7489" s="1"/>
      <c r="X7489" s="1"/>
      <c r="Y7489" s="1"/>
      <c r="AB7489" s="1"/>
      <c r="AC7489" s="1"/>
      <c r="AD7489" s="1"/>
      <c r="AE7489" s="1"/>
      <c r="AF7489" s="1"/>
      <c r="AG7489" s="1"/>
      <c r="AH7489" s="1"/>
      <c r="AI7489" s="1"/>
      <c r="AJ7489" s="1"/>
      <c r="AK7489" s="1"/>
      <c r="AL7489" s="1"/>
      <c r="AM7489" s="1"/>
    </row>
    <row r="7490" spans="16:39" x14ac:dyDescent="0.25">
      <c r="P7490" s="49"/>
      <c r="Q7490" s="1"/>
      <c r="S7490" s="1"/>
      <c r="T7490" s="1"/>
      <c r="U7490" s="1"/>
      <c r="V7490" s="1"/>
      <c r="W7490" s="1"/>
      <c r="X7490" s="1"/>
      <c r="Y7490" s="1"/>
      <c r="AB7490" s="1"/>
      <c r="AC7490" s="1"/>
      <c r="AD7490" s="1"/>
      <c r="AE7490" s="1"/>
      <c r="AF7490" s="1"/>
      <c r="AG7490" s="1"/>
      <c r="AH7490" s="1"/>
      <c r="AI7490" s="1"/>
      <c r="AJ7490" s="1"/>
      <c r="AK7490" s="1"/>
      <c r="AL7490" s="1"/>
      <c r="AM7490" s="1"/>
    </row>
    <row r="7491" spans="16:39" x14ac:dyDescent="0.25">
      <c r="P7491" s="49"/>
      <c r="Q7491" s="1"/>
      <c r="S7491" s="1"/>
      <c r="T7491" s="1"/>
      <c r="U7491" s="1"/>
      <c r="V7491" s="1"/>
      <c r="W7491" s="1"/>
      <c r="X7491" s="1"/>
      <c r="Y7491" s="1"/>
      <c r="AB7491" s="1"/>
      <c r="AC7491" s="1"/>
      <c r="AD7491" s="1"/>
      <c r="AE7491" s="1"/>
      <c r="AF7491" s="1"/>
      <c r="AG7491" s="1"/>
      <c r="AH7491" s="1"/>
      <c r="AI7491" s="1"/>
      <c r="AJ7491" s="1"/>
      <c r="AK7491" s="1"/>
      <c r="AL7491" s="1"/>
      <c r="AM7491" s="1"/>
    </row>
    <row r="7492" spans="16:39" x14ac:dyDescent="0.25">
      <c r="P7492" s="49"/>
      <c r="Q7492" s="1"/>
      <c r="S7492" s="1"/>
      <c r="T7492" s="1"/>
      <c r="U7492" s="1"/>
      <c r="V7492" s="1"/>
      <c r="W7492" s="1"/>
      <c r="X7492" s="1"/>
      <c r="Y7492" s="1"/>
      <c r="AB7492" s="1"/>
      <c r="AC7492" s="1"/>
      <c r="AD7492" s="1"/>
      <c r="AE7492" s="1"/>
      <c r="AF7492" s="1"/>
      <c r="AG7492" s="1"/>
      <c r="AH7492" s="1"/>
      <c r="AI7492" s="1"/>
      <c r="AJ7492" s="1"/>
      <c r="AK7492" s="1"/>
      <c r="AL7492" s="1"/>
      <c r="AM7492" s="1"/>
    </row>
    <row r="7493" spans="16:39" x14ac:dyDescent="0.25">
      <c r="P7493" s="49"/>
      <c r="Q7493" s="1"/>
      <c r="S7493" s="1"/>
      <c r="T7493" s="1"/>
      <c r="U7493" s="1"/>
      <c r="V7493" s="1"/>
      <c r="W7493" s="1"/>
      <c r="X7493" s="1"/>
      <c r="Y7493" s="1"/>
      <c r="AB7493" s="1"/>
      <c r="AC7493" s="1"/>
      <c r="AD7493" s="1"/>
      <c r="AE7493" s="1"/>
      <c r="AF7493" s="1"/>
      <c r="AG7493" s="1"/>
      <c r="AH7493" s="1"/>
      <c r="AI7493" s="1"/>
      <c r="AJ7493" s="1"/>
      <c r="AK7493" s="1"/>
      <c r="AL7493" s="1"/>
      <c r="AM7493" s="1"/>
    </row>
    <row r="7494" spans="16:39" x14ac:dyDescent="0.25">
      <c r="P7494" s="49"/>
      <c r="Q7494" s="1"/>
      <c r="S7494" s="1"/>
      <c r="T7494" s="1"/>
      <c r="U7494" s="1"/>
      <c r="V7494" s="1"/>
      <c r="W7494" s="1"/>
      <c r="X7494" s="1"/>
      <c r="Y7494" s="1"/>
      <c r="AB7494" s="1"/>
      <c r="AC7494" s="1"/>
      <c r="AD7494" s="1"/>
      <c r="AE7494" s="1"/>
      <c r="AF7494" s="1"/>
      <c r="AG7494" s="1"/>
      <c r="AH7494" s="1"/>
      <c r="AI7494" s="1"/>
      <c r="AJ7494" s="1"/>
      <c r="AK7494" s="1"/>
      <c r="AL7494" s="1"/>
      <c r="AM7494" s="1"/>
    </row>
    <row r="7495" spans="16:39" x14ac:dyDescent="0.25">
      <c r="P7495" s="49"/>
      <c r="Q7495" s="1"/>
      <c r="S7495" s="1"/>
      <c r="T7495" s="1"/>
      <c r="U7495" s="1"/>
      <c r="V7495" s="1"/>
      <c r="W7495" s="1"/>
      <c r="X7495" s="1"/>
      <c r="Y7495" s="1"/>
      <c r="AB7495" s="1"/>
      <c r="AC7495" s="1"/>
      <c r="AD7495" s="1"/>
      <c r="AE7495" s="1"/>
      <c r="AF7495" s="1"/>
      <c r="AG7495" s="1"/>
      <c r="AH7495" s="1"/>
      <c r="AI7495" s="1"/>
      <c r="AJ7495" s="1"/>
      <c r="AK7495" s="1"/>
      <c r="AL7495" s="1"/>
      <c r="AM7495" s="1"/>
    </row>
    <row r="7496" spans="16:39" x14ac:dyDescent="0.25">
      <c r="P7496" s="49"/>
      <c r="Q7496" s="1"/>
      <c r="S7496" s="1"/>
      <c r="T7496" s="1"/>
      <c r="U7496" s="1"/>
      <c r="V7496" s="1"/>
      <c r="W7496" s="1"/>
      <c r="X7496" s="1"/>
      <c r="Y7496" s="1"/>
      <c r="AB7496" s="1"/>
      <c r="AC7496" s="1"/>
      <c r="AD7496" s="1"/>
      <c r="AE7496" s="1"/>
      <c r="AF7496" s="1"/>
      <c r="AG7496" s="1"/>
      <c r="AH7496" s="1"/>
      <c r="AI7496" s="1"/>
      <c r="AJ7496" s="1"/>
      <c r="AK7496" s="1"/>
      <c r="AL7496" s="1"/>
      <c r="AM7496" s="1"/>
    </row>
    <row r="7497" spans="16:39" x14ac:dyDescent="0.25">
      <c r="P7497" s="49"/>
      <c r="Q7497" s="1"/>
      <c r="S7497" s="1"/>
      <c r="T7497" s="1"/>
      <c r="U7497" s="1"/>
      <c r="V7497" s="1"/>
      <c r="W7497" s="1"/>
      <c r="X7497" s="1"/>
      <c r="Y7497" s="1"/>
      <c r="AB7497" s="1"/>
      <c r="AC7497" s="1"/>
      <c r="AD7497" s="1"/>
      <c r="AE7497" s="1"/>
      <c r="AF7497" s="1"/>
      <c r="AG7497" s="1"/>
      <c r="AH7497" s="1"/>
      <c r="AI7497" s="1"/>
      <c r="AJ7497" s="1"/>
      <c r="AK7497" s="1"/>
      <c r="AL7497" s="1"/>
      <c r="AM7497" s="1"/>
    </row>
    <row r="7498" spans="16:39" x14ac:dyDescent="0.25">
      <c r="P7498" s="49"/>
      <c r="Q7498" s="1"/>
      <c r="S7498" s="1"/>
      <c r="T7498" s="1"/>
      <c r="U7498" s="1"/>
      <c r="V7498" s="1"/>
      <c r="W7498" s="1"/>
      <c r="X7498" s="1"/>
      <c r="Y7498" s="1"/>
      <c r="AB7498" s="1"/>
      <c r="AC7498" s="1"/>
      <c r="AD7498" s="1"/>
      <c r="AE7498" s="1"/>
      <c r="AF7498" s="1"/>
      <c r="AG7498" s="1"/>
      <c r="AH7498" s="1"/>
      <c r="AI7498" s="1"/>
      <c r="AJ7498" s="1"/>
      <c r="AK7498" s="1"/>
      <c r="AL7498" s="1"/>
      <c r="AM7498" s="1"/>
    </row>
    <row r="7499" spans="16:39" x14ac:dyDescent="0.25">
      <c r="P7499" s="49"/>
      <c r="Q7499" s="1"/>
      <c r="S7499" s="1"/>
      <c r="T7499" s="1"/>
      <c r="U7499" s="1"/>
      <c r="V7499" s="1"/>
      <c r="W7499" s="1"/>
      <c r="X7499" s="1"/>
      <c r="Y7499" s="1"/>
      <c r="AB7499" s="1"/>
      <c r="AC7499" s="1"/>
      <c r="AD7499" s="1"/>
      <c r="AE7499" s="1"/>
      <c r="AF7499" s="1"/>
      <c r="AG7499" s="1"/>
      <c r="AH7499" s="1"/>
      <c r="AI7499" s="1"/>
      <c r="AJ7499" s="1"/>
      <c r="AK7499" s="1"/>
      <c r="AL7499" s="1"/>
      <c r="AM7499" s="1"/>
    </row>
    <row r="7500" spans="16:39" x14ac:dyDescent="0.25">
      <c r="P7500" s="49"/>
      <c r="Q7500" s="1"/>
      <c r="S7500" s="1"/>
      <c r="T7500" s="1"/>
      <c r="U7500" s="1"/>
      <c r="V7500" s="1"/>
      <c r="W7500" s="1"/>
      <c r="X7500" s="1"/>
      <c r="Y7500" s="1"/>
      <c r="AB7500" s="1"/>
      <c r="AC7500" s="1"/>
      <c r="AD7500" s="1"/>
      <c r="AE7500" s="1"/>
      <c r="AF7500" s="1"/>
      <c r="AG7500" s="1"/>
      <c r="AH7500" s="1"/>
      <c r="AI7500" s="1"/>
      <c r="AJ7500" s="1"/>
      <c r="AK7500" s="1"/>
      <c r="AL7500" s="1"/>
      <c r="AM7500" s="1"/>
    </row>
    <row r="7501" spans="16:39" x14ac:dyDescent="0.25">
      <c r="P7501" s="49"/>
      <c r="Q7501" s="1"/>
      <c r="S7501" s="1"/>
      <c r="T7501" s="1"/>
      <c r="U7501" s="1"/>
      <c r="V7501" s="1"/>
      <c r="W7501" s="1"/>
      <c r="X7501" s="1"/>
      <c r="Y7501" s="1"/>
      <c r="AB7501" s="1"/>
      <c r="AC7501" s="1"/>
      <c r="AD7501" s="1"/>
      <c r="AE7501" s="1"/>
      <c r="AF7501" s="1"/>
      <c r="AG7501" s="1"/>
      <c r="AH7501" s="1"/>
      <c r="AI7501" s="1"/>
      <c r="AJ7501" s="1"/>
      <c r="AK7501" s="1"/>
      <c r="AL7501" s="1"/>
      <c r="AM7501" s="1"/>
    </row>
    <row r="7502" spans="16:39" x14ac:dyDescent="0.25">
      <c r="P7502" s="49"/>
      <c r="Q7502" s="1"/>
      <c r="S7502" s="1"/>
      <c r="T7502" s="1"/>
      <c r="U7502" s="1"/>
      <c r="V7502" s="1"/>
      <c r="W7502" s="1"/>
      <c r="X7502" s="1"/>
      <c r="Y7502" s="1"/>
      <c r="AB7502" s="1"/>
      <c r="AC7502" s="1"/>
      <c r="AD7502" s="1"/>
      <c r="AE7502" s="1"/>
      <c r="AF7502" s="1"/>
      <c r="AG7502" s="1"/>
      <c r="AH7502" s="1"/>
      <c r="AI7502" s="1"/>
      <c r="AJ7502" s="1"/>
      <c r="AK7502" s="1"/>
      <c r="AL7502" s="1"/>
      <c r="AM7502" s="1"/>
    </row>
    <row r="7503" spans="16:39" x14ac:dyDescent="0.25">
      <c r="P7503" s="49"/>
      <c r="Q7503" s="1"/>
      <c r="S7503" s="1"/>
      <c r="T7503" s="1"/>
      <c r="U7503" s="1"/>
      <c r="V7503" s="1"/>
      <c r="W7503" s="1"/>
      <c r="X7503" s="1"/>
      <c r="Y7503" s="1"/>
      <c r="AB7503" s="1"/>
      <c r="AC7503" s="1"/>
      <c r="AD7503" s="1"/>
      <c r="AE7503" s="1"/>
      <c r="AF7503" s="1"/>
      <c r="AG7503" s="1"/>
      <c r="AH7503" s="1"/>
      <c r="AI7503" s="1"/>
      <c r="AJ7503" s="1"/>
      <c r="AK7503" s="1"/>
      <c r="AL7503" s="1"/>
      <c r="AM7503" s="1"/>
    </row>
    <row r="7504" spans="16:39" x14ac:dyDescent="0.25">
      <c r="P7504" s="49"/>
      <c r="Q7504" s="1"/>
      <c r="S7504" s="1"/>
      <c r="T7504" s="1"/>
      <c r="U7504" s="1"/>
      <c r="V7504" s="1"/>
      <c r="W7504" s="1"/>
      <c r="X7504" s="1"/>
      <c r="Y7504" s="1"/>
      <c r="AB7504" s="1"/>
      <c r="AC7504" s="1"/>
      <c r="AD7504" s="1"/>
      <c r="AE7504" s="1"/>
      <c r="AF7504" s="1"/>
      <c r="AG7504" s="1"/>
      <c r="AH7504" s="1"/>
      <c r="AI7504" s="1"/>
      <c r="AJ7504" s="1"/>
      <c r="AK7504" s="1"/>
      <c r="AL7504" s="1"/>
      <c r="AM7504" s="1"/>
    </row>
    <row r="7505" spans="16:39" x14ac:dyDescent="0.25">
      <c r="P7505" s="49"/>
      <c r="Q7505" s="1"/>
      <c r="S7505" s="1"/>
      <c r="T7505" s="1"/>
      <c r="U7505" s="1"/>
      <c r="V7505" s="1"/>
      <c r="W7505" s="1"/>
      <c r="X7505" s="1"/>
      <c r="Y7505" s="1"/>
      <c r="AB7505" s="1"/>
      <c r="AC7505" s="1"/>
      <c r="AD7505" s="1"/>
      <c r="AE7505" s="1"/>
      <c r="AF7505" s="1"/>
      <c r="AG7505" s="1"/>
      <c r="AH7505" s="1"/>
      <c r="AI7505" s="1"/>
      <c r="AJ7505" s="1"/>
      <c r="AK7505" s="1"/>
      <c r="AL7505" s="1"/>
      <c r="AM7505" s="1"/>
    </row>
    <row r="7506" spans="16:39" x14ac:dyDescent="0.25">
      <c r="P7506" s="49"/>
      <c r="Q7506" s="1"/>
      <c r="S7506" s="1"/>
      <c r="T7506" s="1"/>
      <c r="U7506" s="1"/>
      <c r="V7506" s="1"/>
      <c r="W7506" s="1"/>
      <c r="X7506" s="1"/>
      <c r="Y7506" s="1"/>
      <c r="AB7506" s="1"/>
      <c r="AC7506" s="1"/>
      <c r="AD7506" s="1"/>
      <c r="AE7506" s="1"/>
      <c r="AF7506" s="1"/>
      <c r="AG7506" s="1"/>
      <c r="AH7506" s="1"/>
      <c r="AI7506" s="1"/>
      <c r="AJ7506" s="1"/>
      <c r="AK7506" s="1"/>
      <c r="AL7506" s="1"/>
      <c r="AM7506" s="1"/>
    </row>
    <row r="7507" spans="16:39" x14ac:dyDescent="0.25">
      <c r="P7507" s="49"/>
      <c r="Q7507" s="1"/>
      <c r="S7507" s="1"/>
      <c r="T7507" s="1"/>
      <c r="U7507" s="1"/>
      <c r="V7507" s="1"/>
      <c r="W7507" s="1"/>
      <c r="X7507" s="1"/>
      <c r="Y7507" s="1"/>
      <c r="AB7507" s="1"/>
      <c r="AC7507" s="1"/>
      <c r="AD7507" s="1"/>
      <c r="AE7507" s="1"/>
      <c r="AF7507" s="1"/>
      <c r="AG7507" s="1"/>
      <c r="AH7507" s="1"/>
      <c r="AI7507" s="1"/>
      <c r="AJ7507" s="1"/>
      <c r="AK7507" s="1"/>
      <c r="AL7507" s="1"/>
      <c r="AM7507" s="1"/>
    </row>
    <row r="7508" spans="16:39" x14ac:dyDescent="0.25">
      <c r="P7508" s="49"/>
      <c r="Q7508" s="1"/>
      <c r="S7508" s="1"/>
      <c r="T7508" s="1"/>
      <c r="U7508" s="1"/>
      <c r="V7508" s="1"/>
      <c r="W7508" s="1"/>
      <c r="X7508" s="1"/>
      <c r="Y7508" s="1"/>
      <c r="AB7508" s="1"/>
      <c r="AC7508" s="1"/>
      <c r="AD7508" s="1"/>
      <c r="AE7508" s="1"/>
      <c r="AF7508" s="1"/>
      <c r="AG7508" s="1"/>
      <c r="AH7508" s="1"/>
      <c r="AI7508" s="1"/>
      <c r="AJ7508" s="1"/>
      <c r="AK7508" s="1"/>
      <c r="AL7508" s="1"/>
      <c r="AM7508" s="1"/>
    </row>
    <row r="7509" spans="16:39" x14ac:dyDescent="0.25">
      <c r="P7509" s="49"/>
      <c r="Q7509" s="1"/>
      <c r="S7509" s="1"/>
      <c r="T7509" s="1"/>
      <c r="U7509" s="1"/>
      <c r="V7509" s="1"/>
      <c r="W7509" s="1"/>
      <c r="X7509" s="1"/>
      <c r="Y7509" s="1"/>
      <c r="AB7509" s="1"/>
      <c r="AC7509" s="1"/>
      <c r="AD7509" s="1"/>
      <c r="AE7509" s="1"/>
      <c r="AF7509" s="1"/>
      <c r="AG7509" s="1"/>
      <c r="AH7509" s="1"/>
      <c r="AI7509" s="1"/>
      <c r="AJ7509" s="1"/>
      <c r="AK7509" s="1"/>
      <c r="AL7509" s="1"/>
      <c r="AM7509" s="1"/>
    </row>
    <row r="7510" spans="16:39" x14ac:dyDescent="0.25">
      <c r="P7510" s="49"/>
      <c r="Q7510" s="1"/>
      <c r="S7510" s="1"/>
      <c r="T7510" s="1"/>
      <c r="U7510" s="1"/>
      <c r="V7510" s="1"/>
      <c r="W7510" s="1"/>
      <c r="X7510" s="1"/>
      <c r="Y7510" s="1"/>
      <c r="AB7510" s="1"/>
      <c r="AC7510" s="1"/>
      <c r="AD7510" s="1"/>
      <c r="AE7510" s="1"/>
      <c r="AF7510" s="1"/>
      <c r="AG7510" s="1"/>
      <c r="AH7510" s="1"/>
      <c r="AI7510" s="1"/>
      <c r="AJ7510" s="1"/>
      <c r="AK7510" s="1"/>
      <c r="AL7510" s="1"/>
      <c r="AM7510" s="1"/>
    </row>
    <row r="7511" spans="16:39" x14ac:dyDescent="0.25">
      <c r="P7511" s="49"/>
      <c r="Q7511" s="1"/>
      <c r="S7511" s="1"/>
      <c r="T7511" s="1"/>
      <c r="U7511" s="1"/>
      <c r="V7511" s="1"/>
      <c r="W7511" s="1"/>
      <c r="X7511" s="1"/>
      <c r="Y7511" s="1"/>
      <c r="AB7511" s="1"/>
      <c r="AC7511" s="1"/>
      <c r="AD7511" s="1"/>
      <c r="AE7511" s="1"/>
      <c r="AF7511" s="1"/>
      <c r="AG7511" s="1"/>
      <c r="AH7511" s="1"/>
      <c r="AI7511" s="1"/>
      <c r="AJ7511" s="1"/>
      <c r="AK7511" s="1"/>
      <c r="AL7511" s="1"/>
      <c r="AM7511" s="1"/>
    </row>
    <row r="7512" spans="16:39" x14ac:dyDescent="0.25">
      <c r="P7512" s="49"/>
      <c r="Q7512" s="1"/>
      <c r="S7512" s="1"/>
      <c r="T7512" s="1"/>
      <c r="U7512" s="1"/>
      <c r="V7512" s="1"/>
      <c r="W7512" s="1"/>
      <c r="X7512" s="1"/>
      <c r="Y7512" s="1"/>
      <c r="AB7512" s="1"/>
      <c r="AC7512" s="1"/>
      <c r="AD7512" s="1"/>
      <c r="AE7512" s="1"/>
      <c r="AF7512" s="1"/>
      <c r="AG7512" s="1"/>
      <c r="AH7512" s="1"/>
      <c r="AI7512" s="1"/>
      <c r="AJ7512" s="1"/>
      <c r="AK7512" s="1"/>
      <c r="AL7512" s="1"/>
      <c r="AM7512" s="1"/>
    </row>
    <row r="7513" spans="16:39" x14ac:dyDescent="0.25">
      <c r="P7513" s="49"/>
      <c r="Q7513" s="1"/>
      <c r="S7513" s="1"/>
      <c r="T7513" s="1"/>
      <c r="U7513" s="1"/>
      <c r="V7513" s="1"/>
      <c r="W7513" s="1"/>
      <c r="X7513" s="1"/>
      <c r="Y7513" s="1"/>
      <c r="AB7513" s="1"/>
      <c r="AC7513" s="1"/>
      <c r="AD7513" s="1"/>
      <c r="AE7513" s="1"/>
      <c r="AF7513" s="1"/>
      <c r="AG7513" s="1"/>
      <c r="AH7513" s="1"/>
      <c r="AI7513" s="1"/>
      <c r="AJ7513" s="1"/>
      <c r="AK7513" s="1"/>
      <c r="AL7513" s="1"/>
      <c r="AM7513" s="1"/>
    </row>
    <row r="7514" spans="16:39" x14ac:dyDescent="0.25">
      <c r="P7514" s="49"/>
      <c r="Q7514" s="1"/>
      <c r="S7514" s="1"/>
      <c r="T7514" s="1"/>
      <c r="U7514" s="1"/>
      <c r="V7514" s="1"/>
      <c r="W7514" s="1"/>
      <c r="X7514" s="1"/>
      <c r="Y7514" s="1"/>
      <c r="AB7514" s="1"/>
      <c r="AC7514" s="1"/>
      <c r="AD7514" s="1"/>
      <c r="AE7514" s="1"/>
      <c r="AF7514" s="1"/>
      <c r="AG7514" s="1"/>
      <c r="AH7514" s="1"/>
      <c r="AI7514" s="1"/>
      <c r="AJ7514" s="1"/>
      <c r="AK7514" s="1"/>
      <c r="AL7514" s="1"/>
      <c r="AM7514" s="1"/>
    </row>
    <row r="7515" spans="16:39" x14ac:dyDescent="0.25">
      <c r="P7515" s="49"/>
      <c r="Q7515" s="1"/>
      <c r="S7515" s="1"/>
      <c r="T7515" s="1"/>
      <c r="U7515" s="1"/>
      <c r="V7515" s="1"/>
      <c r="W7515" s="1"/>
      <c r="X7515" s="1"/>
      <c r="Y7515" s="1"/>
      <c r="AB7515" s="1"/>
      <c r="AC7515" s="1"/>
      <c r="AD7515" s="1"/>
      <c r="AE7515" s="1"/>
      <c r="AF7515" s="1"/>
      <c r="AG7515" s="1"/>
      <c r="AH7515" s="1"/>
      <c r="AI7515" s="1"/>
      <c r="AJ7515" s="1"/>
      <c r="AK7515" s="1"/>
      <c r="AL7515" s="1"/>
      <c r="AM7515" s="1"/>
    </row>
    <row r="7516" spans="16:39" x14ac:dyDescent="0.25">
      <c r="P7516" s="49"/>
      <c r="Q7516" s="1"/>
      <c r="S7516" s="1"/>
      <c r="T7516" s="1"/>
      <c r="U7516" s="1"/>
      <c r="V7516" s="1"/>
      <c r="W7516" s="1"/>
      <c r="X7516" s="1"/>
      <c r="Y7516" s="1"/>
      <c r="AB7516" s="1"/>
      <c r="AC7516" s="1"/>
      <c r="AD7516" s="1"/>
      <c r="AE7516" s="1"/>
      <c r="AF7516" s="1"/>
      <c r="AG7516" s="1"/>
      <c r="AH7516" s="1"/>
      <c r="AI7516" s="1"/>
      <c r="AJ7516" s="1"/>
      <c r="AK7516" s="1"/>
      <c r="AL7516" s="1"/>
      <c r="AM7516" s="1"/>
    </row>
    <row r="7517" spans="16:39" x14ac:dyDescent="0.25">
      <c r="P7517" s="49"/>
      <c r="Q7517" s="1"/>
      <c r="S7517" s="1"/>
      <c r="T7517" s="1"/>
      <c r="U7517" s="1"/>
      <c r="V7517" s="1"/>
      <c r="W7517" s="1"/>
      <c r="X7517" s="1"/>
      <c r="Y7517" s="1"/>
      <c r="AB7517" s="1"/>
      <c r="AC7517" s="1"/>
      <c r="AD7517" s="1"/>
      <c r="AE7517" s="1"/>
      <c r="AF7517" s="1"/>
      <c r="AG7517" s="1"/>
      <c r="AH7517" s="1"/>
      <c r="AI7517" s="1"/>
      <c r="AJ7517" s="1"/>
      <c r="AK7517" s="1"/>
      <c r="AL7517" s="1"/>
      <c r="AM7517" s="1"/>
    </row>
    <row r="7518" spans="16:39" x14ac:dyDescent="0.25">
      <c r="P7518" s="49"/>
      <c r="Q7518" s="1"/>
      <c r="S7518" s="1"/>
      <c r="T7518" s="1"/>
      <c r="U7518" s="1"/>
      <c r="V7518" s="1"/>
      <c r="W7518" s="1"/>
      <c r="X7518" s="1"/>
      <c r="Y7518" s="1"/>
      <c r="AB7518" s="1"/>
      <c r="AC7518" s="1"/>
      <c r="AD7518" s="1"/>
      <c r="AE7518" s="1"/>
      <c r="AF7518" s="1"/>
      <c r="AG7518" s="1"/>
      <c r="AH7518" s="1"/>
      <c r="AI7518" s="1"/>
      <c r="AJ7518" s="1"/>
      <c r="AK7518" s="1"/>
      <c r="AL7518" s="1"/>
      <c r="AM7518" s="1"/>
    </row>
    <row r="7519" spans="16:39" x14ac:dyDescent="0.25">
      <c r="P7519" s="49"/>
      <c r="Q7519" s="1"/>
      <c r="S7519" s="1"/>
      <c r="T7519" s="1"/>
      <c r="U7519" s="1"/>
      <c r="V7519" s="1"/>
      <c r="W7519" s="1"/>
      <c r="X7519" s="1"/>
      <c r="Y7519" s="1"/>
      <c r="AB7519" s="1"/>
      <c r="AC7519" s="1"/>
      <c r="AD7519" s="1"/>
      <c r="AE7519" s="1"/>
      <c r="AF7519" s="1"/>
      <c r="AG7519" s="1"/>
      <c r="AH7519" s="1"/>
      <c r="AI7519" s="1"/>
      <c r="AJ7519" s="1"/>
      <c r="AK7519" s="1"/>
      <c r="AL7519" s="1"/>
      <c r="AM7519" s="1"/>
    </row>
    <row r="7520" spans="16:39" x14ac:dyDescent="0.25">
      <c r="P7520" s="49"/>
      <c r="Q7520" s="1"/>
      <c r="S7520" s="1"/>
      <c r="T7520" s="1"/>
      <c r="U7520" s="1"/>
      <c r="V7520" s="1"/>
      <c r="W7520" s="1"/>
      <c r="X7520" s="1"/>
      <c r="Y7520" s="1"/>
      <c r="AB7520" s="1"/>
      <c r="AC7520" s="1"/>
      <c r="AD7520" s="1"/>
      <c r="AE7520" s="1"/>
      <c r="AF7520" s="1"/>
      <c r="AG7520" s="1"/>
      <c r="AH7520" s="1"/>
      <c r="AI7520" s="1"/>
      <c r="AJ7520" s="1"/>
      <c r="AK7520" s="1"/>
      <c r="AL7520" s="1"/>
      <c r="AM7520" s="1"/>
    </row>
    <row r="7521" spans="16:39" x14ac:dyDescent="0.25">
      <c r="P7521" s="49"/>
      <c r="Q7521" s="1"/>
      <c r="S7521" s="1"/>
      <c r="T7521" s="1"/>
      <c r="U7521" s="1"/>
      <c r="V7521" s="1"/>
      <c r="W7521" s="1"/>
      <c r="X7521" s="1"/>
      <c r="Y7521" s="1"/>
      <c r="AB7521" s="1"/>
      <c r="AC7521" s="1"/>
      <c r="AD7521" s="1"/>
      <c r="AE7521" s="1"/>
      <c r="AF7521" s="1"/>
      <c r="AG7521" s="1"/>
      <c r="AH7521" s="1"/>
      <c r="AI7521" s="1"/>
      <c r="AJ7521" s="1"/>
      <c r="AK7521" s="1"/>
      <c r="AL7521" s="1"/>
      <c r="AM7521" s="1"/>
    </row>
    <row r="7522" spans="16:39" x14ac:dyDescent="0.25">
      <c r="P7522" s="49"/>
      <c r="Q7522" s="1"/>
      <c r="S7522" s="1"/>
      <c r="T7522" s="1"/>
      <c r="U7522" s="1"/>
      <c r="V7522" s="1"/>
      <c r="W7522" s="1"/>
      <c r="X7522" s="1"/>
      <c r="Y7522" s="1"/>
      <c r="AB7522" s="1"/>
      <c r="AC7522" s="1"/>
      <c r="AD7522" s="1"/>
      <c r="AE7522" s="1"/>
      <c r="AF7522" s="1"/>
      <c r="AG7522" s="1"/>
      <c r="AH7522" s="1"/>
      <c r="AI7522" s="1"/>
      <c r="AJ7522" s="1"/>
      <c r="AK7522" s="1"/>
      <c r="AL7522" s="1"/>
      <c r="AM7522" s="1"/>
    </row>
    <row r="7523" spans="16:39" x14ac:dyDescent="0.25">
      <c r="P7523" s="49"/>
      <c r="Q7523" s="1"/>
      <c r="S7523" s="1"/>
      <c r="T7523" s="1"/>
      <c r="U7523" s="1"/>
      <c r="V7523" s="1"/>
      <c r="W7523" s="1"/>
      <c r="X7523" s="1"/>
      <c r="Y7523" s="1"/>
      <c r="AB7523" s="1"/>
      <c r="AC7523" s="1"/>
      <c r="AD7523" s="1"/>
      <c r="AE7523" s="1"/>
      <c r="AF7523" s="1"/>
      <c r="AG7523" s="1"/>
      <c r="AH7523" s="1"/>
      <c r="AI7523" s="1"/>
      <c r="AJ7523" s="1"/>
      <c r="AK7523" s="1"/>
      <c r="AL7523" s="1"/>
      <c r="AM7523" s="1"/>
    </row>
    <row r="7524" spans="16:39" x14ac:dyDescent="0.25">
      <c r="P7524" s="49"/>
      <c r="Q7524" s="1"/>
      <c r="S7524" s="1"/>
      <c r="T7524" s="1"/>
      <c r="U7524" s="1"/>
      <c r="V7524" s="1"/>
      <c r="W7524" s="1"/>
      <c r="X7524" s="1"/>
      <c r="Y7524" s="1"/>
      <c r="AB7524" s="1"/>
      <c r="AC7524" s="1"/>
      <c r="AD7524" s="1"/>
      <c r="AE7524" s="1"/>
      <c r="AF7524" s="1"/>
      <c r="AG7524" s="1"/>
      <c r="AH7524" s="1"/>
      <c r="AI7524" s="1"/>
      <c r="AJ7524" s="1"/>
      <c r="AK7524" s="1"/>
      <c r="AL7524" s="1"/>
      <c r="AM7524" s="1"/>
    </row>
    <row r="7525" spans="16:39" x14ac:dyDescent="0.25">
      <c r="P7525" s="49"/>
      <c r="Q7525" s="1"/>
      <c r="S7525" s="1"/>
      <c r="T7525" s="1"/>
      <c r="U7525" s="1"/>
      <c r="V7525" s="1"/>
      <c r="W7525" s="1"/>
      <c r="X7525" s="1"/>
      <c r="Y7525" s="1"/>
      <c r="AB7525" s="1"/>
      <c r="AC7525" s="1"/>
      <c r="AD7525" s="1"/>
      <c r="AE7525" s="1"/>
      <c r="AF7525" s="1"/>
      <c r="AG7525" s="1"/>
      <c r="AH7525" s="1"/>
      <c r="AI7525" s="1"/>
      <c r="AJ7525" s="1"/>
      <c r="AK7525" s="1"/>
      <c r="AL7525" s="1"/>
      <c r="AM7525" s="1"/>
    </row>
    <row r="7526" spans="16:39" x14ac:dyDescent="0.25">
      <c r="P7526" s="49"/>
      <c r="Q7526" s="1"/>
      <c r="S7526" s="1"/>
      <c r="T7526" s="1"/>
      <c r="U7526" s="1"/>
      <c r="V7526" s="1"/>
      <c r="W7526" s="1"/>
      <c r="X7526" s="1"/>
      <c r="Y7526" s="1"/>
      <c r="AB7526" s="1"/>
      <c r="AC7526" s="1"/>
      <c r="AD7526" s="1"/>
      <c r="AE7526" s="1"/>
      <c r="AF7526" s="1"/>
      <c r="AG7526" s="1"/>
      <c r="AH7526" s="1"/>
      <c r="AI7526" s="1"/>
      <c r="AJ7526" s="1"/>
      <c r="AK7526" s="1"/>
      <c r="AL7526" s="1"/>
      <c r="AM7526" s="1"/>
    </row>
    <row r="7527" spans="16:39" x14ac:dyDescent="0.25">
      <c r="P7527" s="49"/>
      <c r="Q7527" s="1"/>
      <c r="S7527" s="1"/>
      <c r="T7527" s="1"/>
      <c r="U7527" s="1"/>
      <c r="V7527" s="1"/>
      <c r="W7527" s="1"/>
      <c r="X7527" s="1"/>
      <c r="Y7527" s="1"/>
      <c r="AB7527" s="1"/>
      <c r="AC7527" s="1"/>
      <c r="AD7527" s="1"/>
      <c r="AE7527" s="1"/>
      <c r="AF7527" s="1"/>
      <c r="AG7527" s="1"/>
      <c r="AH7527" s="1"/>
      <c r="AI7527" s="1"/>
      <c r="AJ7527" s="1"/>
      <c r="AK7527" s="1"/>
      <c r="AL7527" s="1"/>
      <c r="AM7527" s="1"/>
    </row>
    <row r="7528" spans="16:39" x14ac:dyDescent="0.25">
      <c r="P7528" s="49"/>
      <c r="Q7528" s="1"/>
      <c r="S7528" s="1"/>
      <c r="T7528" s="1"/>
      <c r="U7528" s="1"/>
      <c r="V7528" s="1"/>
      <c r="W7528" s="1"/>
      <c r="X7528" s="1"/>
      <c r="Y7528" s="1"/>
      <c r="AB7528" s="1"/>
      <c r="AC7528" s="1"/>
      <c r="AD7528" s="1"/>
      <c r="AE7528" s="1"/>
      <c r="AF7528" s="1"/>
      <c r="AG7528" s="1"/>
      <c r="AH7528" s="1"/>
      <c r="AI7528" s="1"/>
      <c r="AJ7528" s="1"/>
      <c r="AK7528" s="1"/>
      <c r="AL7528" s="1"/>
      <c r="AM7528" s="1"/>
    </row>
    <row r="7529" spans="16:39" x14ac:dyDescent="0.25">
      <c r="P7529" s="49"/>
      <c r="Q7529" s="1"/>
      <c r="S7529" s="1"/>
      <c r="T7529" s="1"/>
      <c r="U7529" s="1"/>
      <c r="V7529" s="1"/>
      <c r="W7529" s="1"/>
      <c r="X7529" s="1"/>
      <c r="Y7529" s="1"/>
      <c r="AB7529" s="1"/>
      <c r="AC7529" s="1"/>
      <c r="AD7529" s="1"/>
      <c r="AE7529" s="1"/>
      <c r="AF7529" s="1"/>
      <c r="AG7529" s="1"/>
      <c r="AH7529" s="1"/>
      <c r="AI7529" s="1"/>
      <c r="AJ7529" s="1"/>
      <c r="AK7529" s="1"/>
      <c r="AL7529" s="1"/>
      <c r="AM7529" s="1"/>
    </row>
    <row r="7530" spans="16:39" x14ac:dyDescent="0.25">
      <c r="P7530" s="49"/>
      <c r="Q7530" s="1"/>
      <c r="S7530" s="1"/>
      <c r="T7530" s="1"/>
      <c r="U7530" s="1"/>
      <c r="V7530" s="1"/>
      <c r="W7530" s="1"/>
      <c r="X7530" s="1"/>
      <c r="Y7530" s="1"/>
      <c r="AB7530" s="1"/>
      <c r="AC7530" s="1"/>
      <c r="AD7530" s="1"/>
      <c r="AE7530" s="1"/>
      <c r="AF7530" s="1"/>
      <c r="AG7530" s="1"/>
      <c r="AH7530" s="1"/>
      <c r="AI7530" s="1"/>
      <c r="AJ7530" s="1"/>
      <c r="AK7530" s="1"/>
      <c r="AL7530" s="1"/>
      <c r="AM7530" s="1"/>
    </row>
    <row r="7531" spans="16:39" x14ac:dyDescent="0.25">
      <c r="P7531" s="49"/>
      <c r="Q7531" s="1"/>
      <c r="S7531" s="1"/>
      <c r="T7531" s="1"/>
      <c r="U7531" s="1"/>
      <c r="V7531" s="1"/>
      <c r="W7531" s="1"/>
      <c r="X7531" s="1"/>
      <c r="Y7531" s="1"/>
      <c r="AB7531" s="1"/>
      <c r="AC7531" s="1"/>
      <c r="AD7531" s="1"/>
      <c r="AE7531" s="1"/>
      <c r="AF7531" s="1"/>
      <c r="AG7531" s="1"/>
      <c r="AH7531" s="1"/>
      <c r="AI7531" s="1"/>
      <c r="AJ7531" s="1"/>
      <c r="AK7531" s="1"/>
      <c r="AL7531" s="1"/>
      <c r="AM7531" s="1"/>
    </row>
    <row r="7532" spans="16:39" x14ac:dyDescent="0.25">
      <c r="P7532" s="49"/>
      <c r="Q7532" s="1"/>
      <c r="S7532" s="1"/>
      <c r="T7532" s="1"/>
      <c r="U7532" s="1"/>
      <c r="V7532" s="1"/>
      <c r="W7532" s="1"/>
      <c r="X7532" s="1"/>
      <c r="Y7532" s="1"/>
      <c r="AB7532" s="1"/>
      <c r="AC7532" s="1"/>
      <c r="AD7532" s="1"/>
      <c r="AE7532" s="1"/>
      <c r="AF7532" s="1"/>
      <c r="AG7532" s="1"/>
      <c r="AH7532" s="1"/>
      <c r="AI7532" s="1"/>
      <c r="AJ7532" s="1"/>
      <c r="AK7532" s="1"/>
      <c r="AL7532" s="1"/>
      <c r="AM7532" s="1"/>
    </row>
    <row r="7533" spans="16:39" x14ac:dyDescent="0.25">
      <c r="P7533" s="49"/>
      <c r="Q7533" s="1"/>
      <c r="S7533" s="1"/>
      <c r="T7533" s="1"/>
      <c r="U7533" s="1"/>
      <c r="V7533" s="1"/>
      <c r="W7533" s="1"/>
      <c r="X7533" s="1"/>
      <c r="Y7533" s="1"/>
      <c r="AB7533" s="1"/>
      <c r="AC7533" s="1"/>
      <c r="AD7533" s="1"/>
      <c r="AE7533" s="1"/>
      <c r="AF7533" s="1"/>
      <c r="AG7533" s="1"/>
      <c r="AH7533" s="1"/>
      <c r="AI7533" s="1"/>
      <c r="AJ7533" s="1"/>
      <c r="AK7533" s="1"/>
      <c r="AL7533" s="1"/>
      <c r="AM7533" s="1"/>
    </row>
    <row r="7534" spans="16:39" x14ac:dyDescent="0.25">
      <c r="P7534" s="49"/>
      <c r="Q7534" s="1"/>
      <c r="S7534" s="1"/>
      <c r="T7534" s="1"/>
      <c r="U7534" s="1"/>
      <c r="V7534" s="1"/>
      <c r="W7534" s="1"/>
      <c r="X7534" s="1"/>
      <c r="Y7534" s="1"/>
      <c r="AB7534" s="1"/>
      <c r="AC7534" s="1"/>
      <c r="AD7534" s="1"/>
      <c r="AE7534" s="1"/>
      <c r="AF7534" s="1"/>
      <c r="AG7534" s="1"/>
      <c r="AH7534" s="1"/>
      <c r="AI7534" s="1"/>
      <c r="AJ7534" s="1"/>
      <c r="AK7534" s="1"/>
      <c r="AL7534" s="1"/>
      <c r="AM7534" s="1"/>
    </row>
    <row r="7535" spans="16:39" x14ac:dyDescent="0.25">
      <c r="P7535" s="49"/>
      <c r="Q7535" s="1"/>
      <c r="S7535" s="1"/>
      <c r="T7535" s="1"/>
      <c r="U7535" s="1"/>
      <c r="V7535" s="1"/>
      <c r="W7535" s="1"/>
      <c r="X7535" s="1"/>
      <c r="Y7535" s="1"/>
      <c r="AB7535" s="1"/>
      <c r="AC7535" s="1"/>
      <c r="AD7535" s="1"/>
      <c r="AE7535" s="1"/>
      <c r="AF7535" s="1"/>
      <c r="AG7535" s="1"/>
      <c r="AH7535" s="1"/>
      <c r="AI7535" s="1"/>
      <c r="AJ7535" s="1"/>
      <c r="AK7535" s="1"/>
      <c r="AL7535" s="1"/>
      <c r="AM7535" s="1"/>
    </row>
    <row r="7536" spans="16:39" x14ac:dyDescent="0.25">
      <c r="P7536" s="49"/>
      <c r="Q7536" s="1"/>
      <c r="S7536" s="1"/>
      <c r="T7536" s="1"/>
      <c r="U7536" s="1"/>
      <c r="V7536" s="1"/>
      <c r="W7536" s="1"/>
      <c r="X7536" s="1"/>
      <c r="Y7536" s="1"/>
      <c r="AB7536" s="1"/>
      <c r="AC7536" s="1"/>
      <c r="AD7536" s="1"/>
      <c r="AE7536" s="1"/>
      <c r="AF7536" s="1"/>
      <c r="AG7536" s="1"/>
      <c r="AH7536" s="1"/>
      <c r="AI7536" s="1"/>
      <c r="AJ7536" s="1"/>
      <c r="AK7536" s="1"/>
      <c r="AL7536" s="1"/>
      <c r="AM7536" s="1"/>
    </row>
    <row r="7537" spans="16:39" x14ac:dyDescent="0.25">
      <c r="P7537" s="49"/>
      <c r="Q7537" s="1"/>
      <c r="S7537" s="1"/>
      <c r="T7537" s="1"/>
      <c r="U7537" s="1"/>
      <c r="V7537" s="1"/>
      <c r="W7537" s="1"/>
      <c r="X7537" s="1"/>
      <c r="Y7537" s="1"/>
      <c r="AB7537" s="1"/>
      <c r="AC7537" s="1"/>
      <c r="AD7537" s="1"/>
      <c r="AE7537" s="1"/>
      <c r="AF7537" s="1"/>
      <c r="AG7537" s="1"/>
      <c r="AH7537" s="1"/>
      <c r="AI7537" s="1"/>
      <c r="AJ7537" s="1"/>
      <c r="AK7537" s="1"/>
      <c r="AL7537" s="1"/>
      <c r="AM7537" s="1"/>
    </row>
    <row r="7538" spans="16:39" x14ac:dyDescent="0.25">
      <c r="P7538" s="49"/>
      <c r="Q7538" s="1"/>
      <c r="S7538" s="1"/>
      <c r="T7538" s="1"/>
      <c r="U7538" s="1"/>
      <c r="V7538" s="1"/>
      <c r="W7538" s="1"/>
      <c r="X7538" s="1"/>
      <c r="Y7538" s="1"/>
      <c r="AB7538" s="1"/>
      <c r="AC7538" s="1"/>
      <c r="AD7538" s="1"/>
      <c r="AE7538" s="1"/>
      <c r="AF7538" s="1"/>
      <c r="AG7538" s="1"/>
      <c r="AH7538" s="1"/>
      <c r="AI7538" s="1"/>
      <c r="AJ7538" s="1"/>
      <c r="AK7538" s="1"/>
      <c r="AL7538" s="1"/>
      <c r="AM7538" s="1"/>
    </row>
    <row r="7539" spans="16:39" x14ac:dyDescent="0.25">
      <c r="P7539" s="49"/>
      <c r="Q7539" s="1"/>
      <c r="S7539" s="1"/>
      <c r="T7539" s="1"/>
      <c r="U7539" s="1"/>
      <c r="V7539" s="1"/>
      <c r="W7539" s="1"/>
      <c r="X7539" s="1"/>
      <c r="Y7539" s="1"/>
      <c r="AB7539" s="1"/>
      <c r="AC7539" s="1"/>
      <c r="AD7539" s="1"/>
      <c r="AE7539" s="1"/>
      <c r="AF7539" s="1"/>
      <c r="AG7539" s="1"/>
      <c r="AH7539" s="1"/>
      <c r="AI7539" s="1"/>
      <c r="AJ7539" s="1"/>
      <c r="AK7539" s="1"/>
      <c r="AL7539" s="1"/>
      <c r="AM7539" s="1"/>
    </row>
    <row r="7540" spans="16:39" x14ac:dyDescent="0.25">
      <c r="P7540" s="49"/>
      <c r="Q7540" s="1"/>
      <c r="S7540" s="1"/>
      <c r="T7540" s="1"/>
      <c r="U7540" s="1"/>
      <c r="V7540" s="1"/>
      <c r="W7540" s="1"/>
      <c r="X7540" s="1"/>
      <c r="Y7540" s="1"/>
      <c r="AB7540" s="1"/>
      <c r="AC7540" s="1"/>
      <c r="AD7540" s="1"/>
      <c r="AE7540" s="1"/>
      <c r="AF7540" s="1"/>
      <c r="AG7540" s="1"/>
      <c r="AH7540" s="1"/>
      <c r="AI7540" s="1"/>
      <c r="AJ7540" s="1"/>
      <c r="AK7540" s="1"/>
      <c r="AL7540" s="1"/>
      <c r="AM7540" s="1"/>
    </row>
    <row r="7541" spans="16:39" x14ac:dyDescent="0.25">
      <c r="P7541" s="49"/>
      <c r="Q7541" s="1"/>
      <c r="S7541" s="1"/>
      <c r="T7541" s="1"/>
      <c r="U7541" s="1"/>
      <c r="V7541" s="1"/>
      <c r="W7541" s="1"/>
      <c r="X7541" s="1"/>
      <c r="Y7541" s="1"/>
      <c r="AB7541" s="1"/>
      <c r="AC7541" s="1"/>
      <c r="AD7541" s="1"/>
      <c r="AE7541" s="1"/>
      <c r="AF7541" s="1"/>
      <c r="AG7541" s="1"/>
      <c r="AH7541" s="1"/>
      <c r="AI7541" s="1"/>
      <c r="AJ7541" s="1"/>
      <c r="AK7541" s="1"/>
      <c r="AL7541" s="1"/>
      <c r="AM7541" s="1"/>
    </row>
    <row r="7542" spans="16:39" x14ac:dyDescent="0.25">
      <c r="P7542" s="49"/>
      <c r="Q7542" s="1"/>
      <c r="S7542" s="1"/>
      <c r="T7542" s="1"/>
      <c r="U7542" s="1"/>
      <c r="V7542" s="1"/>
      <c r="W7542" s="1"/>
      <c r="X7542" s="1"/>
      <c r="Y7542" s="1"/>
      <c r="AB7542" s="1"/>
      <c r="AC7542" s="1"/>
      <c r="AD7542" s="1"/>
      <c r="AE7542" s="1"/>
      <c r="AF7542" s="1"/>
      <c r="AG7542" s="1"/>
      <c r="AH7542" s="1"/>
      <c r="AI7542" s="1"/>
      <c r="AJ7542" s="1"/>
      <c r="AK7542" s="1"/>
      <c r="AL7542" s="1"/>
      <c r="AM7542" s="1"/>
    </row>
    <row r="7543" spans="16:39" x14ac:dyDescent="0.25">
      <c r="P7543" s="49"/>
      <c r="Q7543" s="1"/>
      <c r="S7543" s="1"/>
      <c r="T7543" s="1"/>
      <c r="U7543" s="1"/>
      <c r="V7543" s="1"/>
      <c r="W7543" s="1"/>
      <c r="X7543" s="1"/>
      <c r="Y7543" s="1"/>
      <c r="AB7543" s="1"/>
      <c r="AC7543" s="1"/>
      <c r="AD7543" s="1"/>
      <c r="AE7543" s="1"/>
      <c r="AF7543" s="1"/>
      <c r="AG7543" s="1"/>
      <c r="AH7543" s="1"/>
      <c r="AI7543" s="1"/>
      <c r="AJ7543" s="1"/>
      <c r="AK7543" s="1"/>
      <c r="AL7543" s="1"/>
      <c r="AM7543" s="1"/>
    </row>
    <row r="7544" spans="16:39" x14ac:dyDescent="0.25">
      <c r="P7544" s="49"/>
      <c r="Q7544" s="1"/>
      <c r="S7544" s="1"/>
      <c r="T7544" s="1"/>
      <c r="U7544" s="1"/>
      <c r="V7544" s="1"/>
      <c r="W7544" s="1"/>
      <c r="X7544" s="1"/>
      <c r="Y7544" s="1"/>
      <c r="AB7544" s="1"/>
      <c r="AC7544" s="1"/>
      <c r="AD7544" s="1"/>
      <c r="AE7544" s="1"/>
      <c r="AF7544" s="1"/>
      <c r="AG7544" s="1"/>
      <c r="AH7544" s="1"/>
      <c r="AI7544" s="1"/>
      <c r="AJ7544" s="1"/>
      <c r="AK7544" s="1"/>
      <c r="AL7544" s="1"/>
      <c r="AM7544" s="1"/>
    </row>
    <row r="7545" spans="16:39" x14ac:dyDescent="0.25">
      <c r="P7545" s="49"/>
      <c r="Q7545" s="1"/>
      <c r="S7545" s="1"/>
      <c r="T7545" s="1"/>
      <c r="U7545" s="1"/>
      <c r="V7545" s="1"/>
      <c r="W7545" s="1"/>
      <c r="X7545" s="1"/>
      <c r="Y7545" s="1"/>
      <c r="AB7545" s="1"/>
      <c r="AC7545" s="1"/>
      <c r="AD7545" s="1"/>
      <c r="AE7545" s="1"/>
      <c r="AF7545" s="1"/>
      <c r="AG7545" s="1"/>
      <c r="AH7545" s="1"/>
      <c r="AI7545" s="1"/>
      <c r="AJ7545" s="1"/>
      <c r="AK7545" s="1"/>
      <c r="AL7545" s="1"/>
      <c r="AM7545" s="1"/>
    </row>
    <row r="7546" spans="16:39" x14ac:dyDescent="0.25">
      <c r="P7546" s="49"/>
      <c r="Q7546" s="1"/>
      <c r="S7546" s="1"/>
      <c r="T7546" s="1"/>
      <c r="U7546" s="1"/>
      <c r="V7546" s="1"/>
      <c r="W7546" s="1"/>
      <c r="X7546" s="1"/>
      <c r="Y7546" s="1"/>
      <c r="AB7546" s="1"/>
      <c r="AC7546" s="1"/>
      <c r="AD7546" s="1"/>
      <c r="AE7546" s="1"/>
      <c r="AF7546" s="1"/>
      <c r="AG7546" s="1"/>
      <c r="AH7546" s="1"/>
      <c r="AI7546" s="1"/>
      <c r="AJ7546" s="1"/>
      <c r="AK7546" s="1"/>
      <c r="AL7546" s="1"/>
      <c r="AM7546" s="1"/>
    </row>
    <row r="7547" spans="16:39" x14ac:dyDescent="0.25">
      <c r="P7547" s="49"/>
      <c r="Q7547" s="1"/>
      <c r="S7547" s="1"/>
      <c r="T7547" s="1"/>
      <c r="U7547" s="1"/>
      <c r="V7547" s="1"/>
      <c r="W7547" s="1"/>
      <c r="X7547" s="1"/>
      <c r="Y7547" s="1"/>
      <c r="AB7547" s="1"/>
      <c r="AC7547" s="1"/>
      <c r="AD7547" s="1"/>
      <c r="AE7547" s="1"/>
      <c r="AF7547" s="1"/>
      <c r="AG7547" s="1"/>
      <c r="AH7547" s="1"/>
      <c r="AI7547" s="1"/>
      <c r="AJ7547" s="1"/>
      <c r="AK7547" s="1"/>
      <c r="AL7547" s="1"/>
      <c r="AM7547" s="1"/>
    </row>
    <row r="7548" spans="16:39" x14ac:dyDescent="0.25">
      <c r="P7548" s="49"/>
      <c r="Q7548" s="1"/>
      <c r="S7548" s="1"/>
      <c r="T7548" s="1"/>
      <c r="U7548" s="1"/>
      <c r="V7548" s="1"/>
      <c r="W7548" s="1"/>
      <c r="X7548" s="1"/>
      <c r="Y7548" s="1"/>
      <c r="AB7548" s="1"/>
      <c r="AC7548" s="1"/>
      <c r="AD7548" s="1"/>
      <c r="AE7548" s="1"/>
      <c r="AF7548" s="1"/>
      <c r="AG7548" s="1"/>
      <c r="AH7548" s="1"/>
      <c r="AI7548" s="1"/>
      <c r="AJ7548" s="1"/>
      <c r="AK7548" s="1"/>
      <c r="AL7548" s="1"/>
      <c r="AM7548" s="1"/>
    </row>
    <row r="7549" spans="16:39" x14ac:dyDescent="0.25">
      <c r="P7549" s="49"/>
      <c r="Q7549" s="1"/>
      <c r="S7549" s="1"/>
      <c r="T7549" s="1"/>
      <c r="U7549" s="1"/>
      <c r="V7549" s="1"/>
      <c r="W7549" s="1"/>
      <c r="X7549" s="1"/>
      <c r="Y7549" s="1"/>
      <c r="AB7549" s="1"/>
      <c r="AC7549" s="1"/>
      <c r="AD7549" s="1"/>
      <c r="AE7549" s="1"/>
      <c r="AF7549" s="1"/>
      <c r="AG7549" s="1"/>
      <c r="AH7549" s="1"/>
      <c r="AI7549" s="1"/>
      <c r="AJ7549" s="1"/>
      <c r="AK7549" s="1"/>
      <c r="AL7549" s="1"/>
      <c r="AM7549" s="1"/>
    </row>
    <row r="7550" spans="16:39" x14ac:dyDescent="0.25">
      <c r="P7550" s="49"/>
      <c r="Q7550" s="1"/>
      <c r="S7550" s="1"/>
      <c r="T7550" s="1"/>
      <c r="U7550" s="1"/>
      <c r="V7550" s="1"/>
      <c r="W7550" s="1"/>
      <c r="X7550" s="1"/>
      <c r="Y7550" s="1"/>
      <c r="AB7550" s="1"/>
      <c r="AC7550" s="1"/>
      <c r="AD7550" s="1"/>
      <c r="AE7550" s="1"/>
      <c r="AF7550" s="1"/>
      <c r="AG7550" s="1"/>
      <c r="AH7550" s="1"/>
      <c r="AI7550" s="1"/>
      <c r="AJ7550" s="1"/>
      <c r="AK7550" s="1"/>
      <c r="AL7550" s="1"/>
      <c r="AM7550" s="1"/>
    </row>
    <row r="7551" spans="16:39" x14ac:dyDescent="0.25">
      <c r="P7551" s="49"/>
      <c r="Q7551" s="1"/>
      <c r="S7551" s="1"/>
      <c r="T7551" s="1"/>
      <c r="U7551" s="1"/>
      <c r="V7551" s="1"/>
      <c r="W7551" s="1"/>
      <c r="X7551" s="1"/>
      <c r="Y7551" s="1"/>
      <c r="AB7551" s="1"/>
      <c r="AC7551" s="1"/>
      <c r="AD7551" s="1"/>
      <c r="AE7551" s="1"/>
      <c r="AF7551" s="1"/>
      <c r="AG7551" s="1"/>
      <c r="AH7551" s="1"/>
      <c r="AI7551" s="1"/>
      <c r="AJ7551" s="1"/>
      <c r="AK7551" s="1"/>
      <c r="AL7551" s="1"/>
      <c r="AM7551" s="1"/>
    </row>
    <row r="7552" spans="16:39" x14ac:dyDescent="0.25">
      <c r="P7552" s="49"/>
      <c r="Q7552" s="1"/>
      <c r="S7552" s="1"/>
      <c r="T7552" s="1"/>
      <c r="U7552" s="1"/>
      <c r="V7552" s="1"/>
      <c r="W7552" s="1"/>
      <c r="X7552" s="1"/>
      <c r="Y7552" s="1"/>
      <c r="AB7552" s="1"/>
      <c r="AC7552" s="1"/>
      <c r="AD7552" s="1"/>
      <c r="AE7552" s="1"/>
      <c r="AF7552" s="1"/>
      <c r="AG7552" s="1"/>
      <c r="AH7552" s="1"/>
      <c r="AI7552" s="1"/>
      <c r="AJ7552" s="1"/>
      <c r="AK7552" s="1"/>
      <c r="AL7552" s="1"/>
      <c r="AM7552" s="1"/>
    </row>
    <row r="7553" spans="16:39" x14ac:dyDescent="0.25">
      <c r="P7553" s="49"/>
      <c r="Q7553" s="1"/>
      <c r="S7553" s="1"/>
      <c r="T7553" s="1"/>
      <c r="U7553" s="1"/>
      <c r="V7553" s="1"/>
      <c r="W7553" s="1"/>
      <c r="X7553" s="1"/>
      <c r="Y7553" s="1"/>
      <c r="AB7553" s="1"/>
      <c r="AC7553" s="1"/>
      <c r="AD7553" s="1"/>
      <c r="AE7553" s="1"/>
      <c r="AF7553" s="1"/>
      <c r="AG7553" s="1"/>
      <c r="AH7553" s="1"/>
      <c r="AI7553" s="1"/>
      <c r="AJ7553" s="1"/>
      <c r="AK7553" s="1"/>
      <c r="AL7553" s="1"/>
      <c r="AM7553" s="1"/>
    </row>
    <row r="7554" spans="16:39" x14ac:dyDescent="0.25">
      <c r="P7554" s="49"/>
      <c r="Q7554" s="1"/>
      <c r="S7554" s="1"/>
      <c r="T7554" s="1"/>
      <c r="U7554" s="1"/>
      <c r="V7554" s="1"/>
      <c r="W7554" s="1"/>
      <c r="X7554" s="1"/>
      <c r="Y7554" s="1"/>
      <c r="AB7554" s="1"/>
      <c r="AC7554" s="1"/>
      <c r="AD7554" s="1"/>
      <c r="AE7554" s="1"/>
      <c r="AF7554" s="1"/>
      <c r="AG7554" s="1"/>
      <c r="AH7554" s="1"/>
      <c r="AI7554" s="1"/>
      <c r="AJ7554" s="1"/>
      <c r="AK7554" s="1"/>
      <c r="AL7554" s="1"/>
      <c r="AM7554" s="1"/>
    </row>
    <row r="7555" spans="16:39" x14ac:dyDescent="0.25">
      <c r="P7555" s="49"/>
      <c r="Q7555" s="1"/>
      <c r="S7555" s="1"/>
      <c r="T7555" s="1"/>
      <c r="U7555" s="1"/>
      <c r="V7555" s="1"/>
      <c r="W7555" s="1"/>
      <c r="X7555" s="1"/>
      <c r="Y7555" s="1"/>
      <c r="AB7555" s="1"/>
      <c r="AC7555" s="1"/>
      <c r="AD7555" s="1"/>
      <c r="AE7555" s="1"/>
      <c r="AF7555" s="1"/>
      <c r="AG7555" s="1"/>
      <c r="AH7555" s="1"/>
      <c r="AI7555" s="1"/>
      <c r="AJ7555" s="1"/>
      <c r="AK7555" s="1"/>
      <c r="AL7555" s="1"/>
      <c r="AM7555" s="1"/>
    </row>
    <row r="7556" spans="16:39" x14ac:dyDescent="0.25">
      <c r="P7556" s="49"/>
      <c r="Q7556" s="1"/>
      <c r="S7556" s="1"/>
      <c r="T7556" s="1"/>
      <c r="U7556" s="1"/>
      <c r="V7556" s="1"/>
      <c r="W7556" s="1"/>
      <c r="X7556" s="1"/>
      <c r="Y7556" s="1"/>
      <c r="AB7556" s="1"/>
      <c r="AC7556" s="1"/>
      <c r="AD7556" s="1"/>
      <c r="AE7556" s="1"/>
      <c r="AF7556" s="1"/>
      <c r="AG7556" s="1"/>
      <c r="AH7556" s="1"/>
      <c r="AI7556" s="1"/>
      <c r="AJ7556" s="1"/>
      <c r="AK7556" s="1"/>
      <c r="AL7556" s="1"/>
      <c r="AM7556" s="1"/>
    </row>
    <row r="7557" spans="16:39" x14ac:dyDescent="0.25">
      <c r="P7557" s="49"/>
      <c r="Q7557" s="1"/>
      <c r="S7557" s="1"/>
      <c r="T7557" s="1"/>
      <c r="U7557" s="1"/>
      <c r="V7557" s="1"/>
      <c r="W7557" s="1"/>
      <c r="X7557" s="1"/>
      <c r="Y7557" s="1"/>
      <c r="AB7557" s="1"/>
      <c r="AC7557" s="1"/>
      <c r="AD7557" s="1"/>
      <c r="AE7557" s="1"/>
      <c r="AF7557" s="1"/>
      <c r="AG7557" s="1"/>
      <c r="AH7557" s="1"/>
      <c r="AI7557" s="1"/>
      <c r="AJ7557" s="1"/>
      <c r="AK7557" s="1"/>
      <c r="AL7557" s="1"/>
      <c r="AM7557" s="1"/>
    </row>
    <row r="7558" spans="16:39" x14ac:dyDescent="0.25">
      <c r="P7558" s="49"/>
      <c r="Q7558" s="1"/>
      <c r="S7558" s="1"/>
      <c r="T7558" s="1"/>
      <c r="U7558" s="1"/>
      <c r="V7558" s="1"/>
      <c r="W7558" s="1"/>
      <c r="X7558" s="1"/>
      <c r="Y7558" s="1"/>
      <c r="AB7558" s="1"/>
      <c r="AC7558" s="1"/>
      <c r="AD7558" s="1"/>
      <c r="AE7558" s="1"/>
      <c r="AF7558" s="1"/>
      <c r="AG7558" s="1"/>
      <c r="AH7558" s="1"/>
      <c r="AI7558" s="1"/>
      <c r="AJ7558" s="1"/>
      <c r="AK7558" s="1"/>
      <c r="AL7558" s="1"/>
      <c r="AM7558" s="1"/>
    </row>
    <row r="7559" spans="16:39" x14ac:dyDescent="0.25">
      <c r="P7559" s="49"/>
      <c r="Q7559" s="1"/>
      <c r="S7559" s="1"/>
      <c r="T7559" s="1"/>
      <c r="U7559" s="1"/>
      <c r="V7559" s="1"/>
      <c r="W7559" s="1"/>
      <c r="X7559" s="1"/>
      <c r="Y7559" s="1"/>
      <c r="AB7559" s="1"/>
      <c r="AC7559" s="1"/>
      <c r="AD7559" s="1"/>
      <c r="AE7559" s="1"/>
      <c r="AF7559" s="1"/>
      <c r="AG7559" s="1"/>
      <c r="AH7559" s="1"/>
      <c r="AI7559" s="1"/>
      <c r="AJ7559" s="1"/>
      <c r="AK7559" s="1"/>
      <c r="AL7559" s="1"/>
      <c r="AM7559" s="1"/>
    </row>
    <row r="7560" spans="16:39" x14ac:dyDescent="0.25">
      <c r="P7560" s="49"/>
      <c r="Q7560" s="1"/>
      <c r="S7560" s="1"/>
      <c r="T7560" s="1"/>
      <c r="U7560" s="1"/>
      <c r="V7560" s="1"/>
      <c r="W7560" s="1"/>
      <c r="X7560" s="1"/>
      <c r="Y7560" s="1"/>
      <c r="AB7560" s="1"/>
      <c r="AC7560" s="1"/>
      <c r="AD7560" s="1"/>
      <c r="AE7560" s="1"/>
      <c r="AF7560" s="1"/>
      <c r="AG7560" s="1"/>
      <c r="AH7560" s="1"/>
      <c r="AI7560" s="1"/>
      <c r="AJ7560" s="1"/>
      <c r="AK7560" s="1"/>
      <c r="AL7560" s="1"/>
      <c r="AM7560" s="1"/>
    </row>
    <row r="7561" spans="16:39" x14ac:dyDescent="0.25">
      <c r="P7561" s="49"/>
      <c r="Q7561" s="1"/>
      <c r="S7561" s="1"/>
      <c r="T7561" s="1"/>
      <c r="U7561" s="1"/>
      <c r="V7561" s="1"/>
      <c r="W7561" s="1"/>
      <c r="X7561" s="1"/>
      <c r="Y7561" s="1"/>
      <c r="AB7561" s="1"/>
      <c r="AC7561" s="1"/>
      <c r="AD7561" s="1"/>
      <c r="AE7561" s="1"/>
      <c r="AF7561" s="1"/>
      <c r="AG7561" s="1"/>
      <c r="AH7561" s="1"/>
      <c r="AI7561" s="1"/>
      <c r="AJ7561" s="1"/>
      <c r="AK7561" s="1"/>
      <c r="AL7561" s="1"/>
      <c r="AM7561" s="1"/>
    </row>
    <row r="7562" spans="16:39" x14ac:dyDescent="0.25">
      <c r="P7562" s="49"/>
      <c r="Q7562" s="1"/>
      <c r="S7562" s="1"/>
      <c r="T7562" s="1"/>
      <c r="U7562" s="1"/>
      <c r="V7562" s="1"/>
      <c r="W7562" s="1"/>
      <c r="X7562" s="1"/>
      <c r="Y7562" s="1"/>
      <c r="AB7562" s="1"/>
      <c r="AC7562" s="1"/>
      <c r="AD7562" s="1"/>
      <c r="AE7562" s="1"/>
      <c r="AF7562" s="1"/>
      <c r="AG7562" s="1"/>
      <c r="AH7562" s="1"/>
      <c r="AI7562" s="1"/>
      <c r="AJ7562" s="1"/>
      <c r="AK7562" s="1"/>
      <c r="AL7562" s="1"/>
      <c r="AM7562" s="1"/>
    </row>
    <row r="7563" spans="16:39" x14ac:dyDescent="0.25">
      <c r="P7563" s="49"/>
      <c r="Q7563" s="1"/>
      <c r="S7563" s="1"/>
      <c r="T7563" s="1"/>
      <c r="U7563" s="1"/>
      <c r="V7563" s="1"/>
      <c r="W7563" s="1"/>
      <c r="X7563" s="1"/>
      <c r="Y7563" s="1"/>
      <c r="AB7563" s="1"/>
      <c r="AC7563" s="1"/>
      <c r="AD7563" s="1"/>
      <c r="AE7563" s="1"/>
      <c r="AF7563" s="1"/>
      <c r="AG7563" s="1"/>
      <c r="AH7563" s="1"/>
      <c r="AI7563" s="1"/>
      <c r="AJ7563" s="1"/>
      <c r="AK7563" s="1"/>
      <c r="AL7563" s="1"/>
      <c r="AM7563" s="1"/>
    </row>
    <row r="7564" spans="16:39" x14ac:dyDescent="0.25">
      <c r="P7564" s="49"/>
      <c r="Q7564" s="1"/>
      <c r="S7564" s="1"/>
      <c r="T7564" s="1"/>
      <c r="U7564" s="1"/>
      <c r="V7564" s="1"/>
      <c r="W7564" s="1"/>
      <c r="X7564" s="1"/>
      <c r="Y7564" s="1"/>
      <c r="AB7564" s="1"/>
      <c r="AC7564" s="1"/>
      <c r="AD7564" s="1"/>
      <c r="AE7564" s="1"/>
      <c r="AF7564" s="1"/>
      <c r="AG7564" s="1"/>
      <c r="AH7564" s="1"/>
      <c r="AI7564" s="1"/>
      <c r="AJ7564" s="1"/>
      <c r="AK7564" s="1"/>
      <c r="AL7564" s="1"/>
      <c r="AM7564" s="1"/>
    </row>
    <row r="7565" spans="16:39" x14ac:dyDescent="0.25">
      <c r="P7565" s="49"/>
      <c r="Q7565" s="1"/>
      <c r="S7565" s="1"/>
      <c r="T7565" s="1"/>
      <c r="U7565" s="1"/>
      <c r="V7565" s="1"/>
      <c r="W7565" s="1"/>
      <c r="X7565" s="1"/>
      <c r="Y7565" s="1"/>
      <c r="AB7565" s="1"/>
      <c r="AC7565" s="1"/>
      <c r="AD7565" s="1"/>
      <c r="AE7565" s="1"/>
      <c r="AF7565" s="1"/>
      <c r="AG7565" s="1"/>
      <c r="AH7565" s="1"/>
      <c r="AI7565" s="1"/>
      <c r="AJ7565" s="1"/>
      <c r="AK7565" s="1"/>
      <c r="AL7565" s="1"/>
      <c r="AM7565" s="1"/>
    </row>
    <row r="7566" spans="16:39" x14ac:dyDescent="0.25">
      <c r="P7566" s="49"/>
      <c r="Q7566" s="1"/>
      <c r="S7566" s="1"/>
      <c r="T7566" s="1"/>
      <c r="U7566" s="1"/>
      <c r="V7566" s="1"/>
      <c r="W7566" s="1"/>
      <c r="X7566" s="1"/>
      <c r="Y7566" s="1"/>
      <c r="AB7566" s="1"/>
      <c r="AC7566" s="1"/>
      <c r="AD7566" s="1"/>
      <c r="AE7566" s="1"/>
      <c r="AF7566" s="1"/>
      <c r="AG7566" s="1"/>
      <c r="AH7566" s="1"/>
      <c r="AI7566" s="1"/>
      <c r="AJ7566" s="1"/>
      <c r="AK7566" s="1"/>
      <c r="AL7566" s="1"/>
      <c r="AM7566" s="1"/>
    </row>
    <row r="7567" spans="16:39" x14ac:dyDescent="0.25">
      <c r="P7567" s="49"/>
      <c r="Q7567" s="1"/>
      <c r="S7567" s="1"/>
      <c r="T7567" s="1"/>
      <c r="U7567" s="1"/>
      <c r="V7567" s="1"/>
      <c r="W7567" s="1"/>
      <c r="X7567" s="1"/>
      <c r="Y7567" s="1"/>
      <c r="AB7567" s="1"/>
      <c r="AC7567" s="1"/>
      <c r="AD7567" s="1"/>
      <c r="AE7567" s="1"/>
      <c r="AF7567" s="1"/>
      <c r="AG7567" s="1"/>
      <c r="AH7567" s="1"/>
      <c r="AI7567" s="1"/>
      <c r="AJ7567" s="1"/>
      <c r="AK7567" s="1"/>
      <c r="AL7567" s="1"/>
      <c r="AM7567" s="1"/>
    </row>
    <row r="7568" spans="16:39" x14ac:dyDescent="0.25">
      <c r="P7568" s="49"/>
      <c r="Q7568" s="1"/>
      <c r="S7568" s="1"/>
      <c r="T7568" s="1"/>
      <c r="U7568" s="1"/>
      <c r="V7568" s="1"/>
      <c r="W7568" s="1"/>
      <c r="X7568" s="1"/>
      <c r="Y7568" s="1"/>
      <c r="AB7568" s="1"/>
      <c r="AC7568" s="1"/>
      <c r="AD7568" s="1"/>
      <c r="AE7568" s="1"/>
      <c r="AF7568" s="1"/>
      <c r="AG7568" s="1"/>
      <c r="AH7568" s="1"/>
      <c r="AI7568" s="1"/>
      <c r="AJ7568" s="1"/>
      <c r="AK7568" s="1"/>
      <c r="AL7568" s="1"/>
      <c r="AM7568" s="1"/>
    </row>
    <row r="7569" spans="16:39" x14ac:dyDescent="0.25">
      <c r="P7569" s="49"/>
      <c r="Q7569" s="1"/>
      <c r="S7569" s="1"/>
      <c r="T7569" s="1"/>
      <c r="U7569" s="1"/>
      <c r="V7569" s="1"/>
      <c r="W7569" s="1"/>
      <c r="X7569" s="1"/>
      <c r="Y7569" s="1"/>
      <c r="AB7569" s="1"/>
      <c r="AC7569" s="1"/>
      <c r="AD7569" s="1"/>
      <c r="AE7569" s="1"/>
      <c r="AF7569" s="1"/>
      <c r="AG7569" s="1"/>
      <c r="AH7569" s="1"/>
      <c r="AI7569" s="1"/>
      <c r="AJ7569" s="1"/>
      <c r="AK7569" s="1"/>
      <c r="AL7569" s="1"/>
      <c r="AM7569" s="1"/>
    </row>
    <row r="7570" spans="16:39" x14ac:dyDescent="0.25">
      <c r="P7570" s="49"/>
      <c r="Q7570" s="1"/>
      <c r="S7570" s="1"/>
      <c r="T7570" s="1"/>
      <c r="U7570" s="1"/>
      <c r="V7570" s="1"/>
      <c r="W7570" s="1"/>
      <c r="X7570" s="1"/>
      <c r="Y7570" s="1"/>
      <c r="AB7570" s="1"/>
      <c r="AC7570" s="1"/>
      <c r="AD7570" s="1"/>
      <c r="AE7570" s="1"/>
      <c r="AF7570" s="1"/>
      <c r="AG7570" s="1"/>
      <c r="AH7570" s="1"/>
      <c r="AI7570" s="1"/>
      <c r="AJ7570" s="1"/>
      <c r="AK7570" s="1"/>
      <c r="AL7570" s="1"/>
      <c r="AM7570" s="1"/>
    </row>
    <row r="7571" spans="16:39" x14ac:dyDescent="0.25">
      <c r="P7571" s="49"/>
      <c r="Q7571" s="1"/>
      <c r="S7571" s="1"/>
      <c r="T7571" s="1"/>
      <c r="U7571" s="1"/>
      <c r="V7571" s="1"/>
      <c r="W7571" s="1"/>
      <c r="X7571" s="1"/>
      <c r="Y7571" s="1"/>
      <c r="AB7571" s="1"/>
      <c r="AC7571" s="1"/>
      <c r="AD7571" s="1"/>
      <c r="AE7571" s="1"/>
      <c r="AF7571" s="1"/>
      <c r="AG7571" s="1"/>
      <c r="AH7571" s="1"/>
      <c r="AI7571" s="1"/>
      <c r="AJ7571" s="1"/>
      <c r="AK7571" s="1"/>
      <c r="AL7571" s="1"/>
      <c r="AM7571" s="1"/>
    </row>
    <row r="7572" spans="16:39" x14ac:dyDescent="0.25">
      <c r="P7572" s="49"/>
      <c r="Q7572" s="1"/>
      <c r="S7572" s="1"/>
      <c r="T7572" s="1"/>
      <c r="U7572" s="1"/>
      <c r="V7572" s="1"/>
      <c r="W7572" s="1"/>
      <c r="X7572" s="1"/>
      <c r="Y7572" s="1"/>
      <c r="AB7572" s="1"/>
      <c r="AC7572" s="1"/>
      <c r="AD7572" s="1"/>
      <c r="AE7572" s="1"/>
      <c r="AF7572" s="1"/>
      <c r="AG7572" s="1"/>
      <c r="AH7572" s="1"/>
      <c r="AI7572" s="1"/>
      <c r="AJ7572" s="1"/>
      <c r="AK7572" s="1"/>
      <c r="AL7572" s="1"/>
      <c r="AM7572" s="1"/>
    </row>
    <row r="7573" spans="16:39" x14ac:dyDescent="0.25">
      <c r="P7573" s="49"/>
      <c r="Q7573" s="1"/>
      <c r="S7573" s="1"/>
      <c r="T7573" s="1"/>
      <c r="U7573" s="1"/>
      <c r="V7573" s="1"/>
      <c r="W7573" s="1"/>
      <c r="X7573" s="1"/>
      <c r="Y7573" s="1"/>
      <c r="AB7573" s="1"/>
      <c r="AC7573" s="1"/>
      <c r="AD7573" s="1"/>
      <c r="AE7573" s="1"/>
      <c r="AF7573" s="1"/>
      <c r="AG7573" s="1"/>
      <c r="AH7573" s="1"/>
      <c r="AI7573" s="1"/>
      <c r="AJ7573" s="1"/>
      <c r="AK7573" s="1"/>
      <c r="AL7573" s="1"/>
      <c r="AM7573" s="1"/>
    </row>
    <row r="7574" spans="16:39" x14ac:dyDescent="0.25">
      <c r="P7574" s="49"/>
      <c r="Q7574" s="1"/>
      <c r="S7574" s="1"/>
      <c r="T7574" s="1"/>
      <c r="U7574" s="1"/>
      <c r="V7574" s="1"/>
      <c r="W7574" s="1"/>
      <c r="X7574" s="1"/>
      <c r="Y7574" s="1"/>
      <c r="AB7574" s="1"/>
      <c r="AC7574" s="1"/>
      <c r="AD7574" s="1"/>
      <c r="AE7574" s="1"/>
      <c r="AF7574" s="1"/>
      <c r="AG7574" s="1"/>
      <c r="AH7574" s="1"/>
      <c r="AI7574" s="1"/>
      <c r="AJ7574" s="1"/>
      <c r="AK7574" s="1"/>
      <c r="AL7574" s="1"/>
      <c r="AM7574" s="1"/>
    </row>
    <row r="7575" spans="16:39" x14ac:dyDescent="0.25">
      <c r="P7575" s="49"/>
      <c r="Q7575" s="1"/>
      <c r="S7575" s="1"/>
      <c r="T7575" s="1"/>
      <c r="U7575" s="1"/>
      <c r="V7575" s="1"/>
      <c r="W7575" s="1"/>
      <c r="X7575" s="1"/>
      <c r="Y7575" s="1"/>
      <c r="AB7575" s="1"/>
      <c r="AC7575" s="1"/>
      <c r="AD7575" s="1"/>
      <c r="AE7575" s="1"/>
      <c r="AF7575" s="1"/>
      <c r="AG7575" s="1"/>
      <c r="AH7575" s="1"/>
      <c r="AI7575" s="1"/>
      <c r="AJ7575" s="1"/>
      <c r="AK7575" s="1"/>
      <c r="AL7575" s="1"/>
      <c r="AM7575" s="1"/>
    </row>
    <row r="7576" spans="16:39" x14ac:dyDescent="0.25">
      <c r="P7576" s="49"/>
      <c r="Q7576" s="1"/>
      <c r="S7576" s="1"/>
      <c r="T7576" s="1"/>
      <c r="U7576" s="1"/>
      <c r="V7576" s="1"/>
      <c r="W7576" s="1"/>
      <c r="X7576" s="1"/>
      <c r="Y7576" s="1"/>
      <c r="AB7576" s="1"/>
      <c r="AC7576" s="1"/>
      <c r="AD7576" s="1"/>
      <c r="AE7576" s="1"/>
      <c r="AF7576" s="1"/>
      <c r="AG7576" s="1"/>
      <c r="AH7576" s="1"/>
      <c r="AI7576" s="1"/>
      <c r="AJ7576" s="1"/>
      <c r="AK7576" s="1"/>
      <c r="AL7576" s="1"/>
      <c r="AM7576" s="1"/>
    </row>
    <row r="7577" spans="16:39" x14ac:dyDescent="0.25">
      <c r="P7577" s="49"/>
      <c r="Q7577" s="1"/>
      <c r="S7577" s="1"/>
      <c r="T7577" s="1"/>
      <c r="U7577" s="1"/>
      <c r="V7577" s="1"/>
      <c r="W7577" s="1"/>
      <c r="X7577" s="1"/>
      <c r="Y7577" s="1"/>
      <c r="AB7577" s="1"/>
      <c r="AC7577" s="1"/>
      <c r="AD7577" s="1"/>
      <c r="AE7577" s="1"/>
      <c r="AF7577" s="1"/>
      <c r="AG7577" s="1"/>
      <c r="AH7577" s="1"/>
      <c r="AI7577" s="1"/>
      <c r="AJ7577" s="1"/>
      <c r="AK7577" s="1"/>
      <c r="AL7577" s="1"/>
      <c r="AM7577" s="1"/>
    </row>
    <row r="7578" spans="16:39" x14ac:dyDescent="0.25">
      <c r="P7578" s="49"/>
      <c r="Q7578" s="1"/>
      <c r="S7578" s="1"/>
      <c r="T7578" s="1"/>
      <c r="U7578" s="1"/>
      <c r="V7578" s="1"/>
      <c r="W7578" s="1"/>
      <c r="X7578" s="1"/>
      <c r="Y7578" s="1"/>
      <c r="AB7578" s="1"/>
      <c r="AC7578" s="1"/>
      <c r="AD7578" s="1"/>
      <c r="AE7578" s="1"/>
      <c r="AF7578" s="1"/>
      <c r="AG7578" s="1"/>
      <c r="AH7578" s="1"/>
      <c r="AI7578" s="1"/>
      <c r="AJ7578" s="1"/>
      <c r="AK7578" s="1"/>
      <c r="AL7578" s="1"/>
      <c r="AM7578" s="1"/>
    </row>
    <row r="7579" spans="16:39" x14ac:dyDescent="0.25">
      <c r="P7579" s="49"/>
      <c r="Q7579" s="1"/>
      <c r="S7579" s="1"/>
      <c r="T7579" s="1"/>
      <c r="U7579" s="1"/>
      <c r="V7579" s="1"/>
      <c r="W7579" s="1"/>
      <c r="X7579" s="1"/>
      <c r="Y7579" s="1"/>
      <c r="AB7579" s="1"/>
      <c r="AC7579" s="1"/>
      <c r="AD7579" s="1"/>
      <c r="AE7579" s="1"/>
      <c r="AF7579" s="1"/>
      <c r="AG7579" s="1"/>
      <c r="AH7579" s="1"/>
      <c r="AI7579" s="1"/>
      <c r="AJ7579" s="1"/>
      <c r="AK7579" s="1"/>
      <c r="AL7579" s="1"/>
      <c r="AM7579" s="1"/>
    </row>
    <row r="7580" spans="16:39" x14ac:dyDescent="0.25">
      <c r="P7580" s="49"/>
      <c r="Q7580" s="1"/>
      <c r="S7580" s="1"/>
      <c r="T7580" s="1"/>
      <c r="U7580" s="1"/>
      <c r="V7580" s="1"/>
      <c r="W7580" s="1"/>
      <c r="X7580" s="1"/>
      <c r="Y7580" s="1"/>
      <c r="AB7580" s="1"/>
      <c r="AC7580" s="1"/>
      <c r="AD7580" s="1"/>
      <c r="AE7580" s="1"/>
      <c r="AF7580" s="1"/>
      <c r="AG7580" s="1"/>
      <c r="AH7580" s="1"/>
      <c r="AI7580" s="1"/>
      <c r="AJ7580" s="1"/>
      <c r="AK7580" s="1"/>
      <c r="AL7580" s="1"/>
      <c r="AM7580" s="1"/>
    </row>
    <row r="7581" spans="16:39" x14ac:dyDescent="0.25">
      <c r="P7581" s="49"/>
      <c r="Q7581" s="1"/>
      <c r="S7581" s="1"/>
      <c r="T7581" s="1"/>
      <c r="U7581" s="1"/>
      <c r="V7581" s="1"/>
      <c r="W7581" s="1"/>
      <c r="X7581" s="1"/>
      <c r="Y7581" s="1"/>
      <c r="AB7581" s="1"/>
      <c r="AC7581" s="1"/>
      <c r="AD7581" s="1"/>
      <c r="AE7581" s="1"/>
      <c r="AF7581" s="1"/>
      <c r="AG7581" s="1"/>
      <c r="AH7581" s="1"/>
      <c r="AI7581" s="1"/>
      <c r="AJ7581" s="1"/>
      <c r="AK7581" s="1"/>
      <c r="AL7581" s="1"/>
      <c r="AM7581" s="1"/>
    </row>
    <row r="7582" spans="16:39" x14ac:dyDescent="0.25">
      <c r="P7582" s="49"/>
      <c r="Q7582" s="1"/>
      <c r="S7582" s="1"/>
      <c r="T7582" s="1"/>
      <c r="U7582" s="1"/>
      <c r="V7582" s="1"/>
      <c r="W7582" s="1"/>
      <c r="X7582" s="1"/>
      <c r="Y7582" s="1"/>
      <c r="AB7582" s="1"/>
      <c r="AC7582" s="1"/>
      <c r="AD7582" s="1"/>
      <c r="AE7582" s="1"/>
      <c r="AF7582" s="1"/>
      <c r="AG7582" s="1"/>
      <c r="AH7582" s="1"/>
      <c r="AI7582" s="1"/>
      <c r="AJ7582" s="1"/>
      <c r="AK7582" s="1"/>
      <c r="AL7582" s="1"/>
      <c r="AM7582" s="1"/>
    </row>
    <row r="7583" spans="16:39" x14ac:dyDescent="0.25">
      <c r="P7583" s="49"/>
      <c r="Q7583" s="1"/>
      <c r="S7583" s="1"/>
      <c r="T7583" s="1"/>
      <c r="U7583" s="1"/>
      <c r="V7583" s="1"/>
      <c r="W7583" s="1"/>
      <c r="X7583" s="1"/>
      <c r="Y7583" s="1"/>
      <c r="AB7583" s="1"/>
      <c r="AC7583" s="1"/>
      <c r="AD7583" s="1"/>
      <c r="AE7583" s="1"/>
      <c r="AF7583" s="1"/>
      <c r="AG7583" s="1"/>
      <c r="AH7583" s="1"/>
      <c r="AI7583" s="1"/>
      <c r="AJ7583" s="1"/>
      <c r="AK7583" s="1"/>
      <c r="AL7583" s="1"/>
      <c r="AM7583" s="1"/>
    </row>
    <row r="7584" spans="16:39" x14ac:dyDescent="0.25">
      <c r="P7584" s="49"/>
      <c r="Q7584" s="1"/>
      <c r="S7584" s="1"/>
      <c r="T7584" s="1"/>
      <c r="U7584" s="1"/>
      <c r="V7584" s="1"/>
      <c r="W7584" s="1"/>
      <c r="X7584" s="1"/>
      <c r="Y7584" s="1"/>
      <c r="AB7584" s="1"/>
      <c r="AC7584" s="1"/>
      <c r="AD7584" s="1"/>
      <c r="AE7584" s="1"/>
      <c r="AF7584" s="1"/>
      <c r="AG7584" s="1"/>
      <c r="AH7584" s="1"/>
      <c r="AI7584" s="1"/>
      <c r="AJ7584" s="1"/>
      <c r="AK7584" s="1"/>
      <c r="AL7584" s="1"/>
      <c r="AM7584" s="1"/>
    </row>
    <row r="7585" spans="16:39" x14ac:dyDescent="0.25">
      <c r="P7585" s="49"/>
      <c r="Q7585" s="1"/>
      <c r="S7585" s="1"/>
      <c r="T7585" s="1"/>
      <c r="U7585" s="1"/>
      <c r="V7585" s="1"/>
      <c r="W7585" s="1"/>
      <c r="X7585" s="1"/>
      <c r="Y7585" s="1"/>
      <c r="AB7585" s="1"/>
      <c r="AC7585" s="1"/>
      <c r="AD7585" s="1"/>
      <c r="AE7585" s="1"/>
      <c r="AF7585" s="1"/>
      <c r="AG7585" s="1"/>
      <c r="AH7585" s="1"/>
      <c r="AI7585" s="1"/>
      <c r="AJ7585" s="1"/>
      <c r="AK7585" s="1"/>
      <c r="AL7585" s="1"/>
      <c r="AM7585" s="1"/>
    </row>
    <row r="7586" spans="16:39" x14ac:dyDescent="0.25">
      <c r="P7586" s="49"/>
      <c r="Q7586" s="1"/>
      <c r="S7586" s="1"/>
      <c r="T7586" s="1"/>
      <c r="U7586" s="1"/>
      <c r="V7586" s="1"/>
      <c r="W7586" s="1"/>
      <c r="X7586" s="1"/>
      <c r="Y7586" s="1"/>
      <c r="AB7586" s="1"/>
      <c r="AC7586" s="1"/>
      <c r="AD7586" s="1"/>
      <c r="AE7586" s="1"/>
      <c r="AF7586" s="1"/>
      <c r="AG7586" s="1"/>
      <c r="AH7586" s="1"/>
      <c r="AI7586" s="1"/>
      <c r="AJ7586" s="1"/>
      <c r="AK7586" s="1"/>
      <c r="AL7586" s="1"/>
      <c r="AM7586" s="1"/>
    </row>
    <row r="7587" spans="16:39" x14ac:dyDescent="0.25">
      <c r="P7587" s="49"/>
      <c r="Q7587" s="1"/>
      <c r="S7587" s="1"/>
      <c r="T7587" s="1"/>
      <c r="U7587" s="1"/>
      <c r="V7587" s="1"/>
      <c r="W7587" s="1"/>
      <c r="X7587" s="1"/>
      <c r="Y7587" s="1"/>
      <c r="AB7587" s="1"/>
      <c r="AC7587" s="1"/>
      <c r="AD7587" s="1"/>
      <c r="AE7587" s="1"/>
      <c r="AF7587" s="1"/>
      <c r="AG7587" s="1"/>
      <c r="AH7587" s="1"/>
      <c r="AI7587" s="1"/>
      <c r="AJ7587" s="1"/>
      <c r="AK7587" s="1"/>
      <c r="AL7587" s="1"/>
      <c r="AM7587" s="1"/>
    </row>
    <row r="7588" spans="16:39" x14ac:dyDescent="0.25">
      <c r="P7588" s="49"/>
      <c r="Q7588" s="1"/>
      <c r="S7588" s="1"/>
      <c r="T7588" s="1"/>
      <c r="U7588" s="1"/>
      <c r="V7588" s="1"/>
      <c r="W7588" s="1"/>
      <c r="X7588" s="1"/>
      <c r="Y7588" s="1"/>
      <c r="AB7588" s="1"/>
      <c r="AC7588" s="1"/>
      <c r="AD7588" s="1"/>
      <c r="AE7588" s="1"/>
      <c r="AF7588" s="1"/>
      <c r="AG7588" s="1"/>
      <c r="AH7588" s="1"/>
      <c r="AI7588" s="1"/>
      <c r="AJ7588" s="1"/>
      <c r="AK7588" s="1"/>
      <c r="AL7588" s="1"/>
      <c r="AM7588" s="1"/>
    </row>
    <row r="7589" spans="16:39" x14ac:dyDescent="0.25">
      <c r="P7589" s="49"/>
      <c r="Q7589" s="1"/>
      <c r="S7589" s="1"/>
      <c r="T7589" s="1"/>
      <c r="U7589" s="1"/>
      <c r="V7589" s="1"/>
      <c r="W7589" s="1"/>
      <c r="X7589" s="1"/>
      <c r="Y7589" s="1"/>
      <c r="AB7589" s="1"/>
      <c r="AC7589" s="1"/>
      <c r="AD7589" s="1"/>
      <c r="AE7589" s="1"/>
      <c r="AF7589" s="1"/>
      <c r="AG7589" s="1"/>
      <c r="AH7589" s="1"/>
      <c r="AI7589" s="1"/>
      <c r="AJ7589" s="1"/>
      <c r="AK7589" s="1"/>
      <c r="AL7589" s="1"/>
      <c r="AM7589" s="1"/>
    </row>
    <row r="7590" spans="16:39" x14ac:dyDescent="0.25">
      <c r="P7590" s="49"/>
      <c r="Q7590" s="1"/>
      <c r="S7590" s="1"/>
      <c r="T7590" s="1"/>
      <c r="U7590" s="1"/>
      <c r="V7590" s="1"/>
      <c r="W7590" s="1"/>
      <c r="X7590" s="1"/>
      <c r="Y7590" s="1"/>
      <c r="AB7590" s="1"/>
      <c r="AC7590" s="1"/>
      <c r="AD7590" s="1"/>
      <c r="AE7590" s="1"/>
      <c r="AF7590" s="1"/>
      <c r="AG7590" s="1"/>
      <c r="AH7590" s="1"/>
      <c r="AI7590" s="1"/>
      <c r="AJ7590" s="1"/>
      <c r="AK7590" s="1"/>
      <c r="AL7590" s="1"/>
      <c r="AM7590" s="1"/>
    </row>
    <row r="7591" spans="16:39" x14ac:dyDescent="0.25">
      <c r="P7591" s="49"/>
      <c r="Q7591" s="1"/>
      <c r="S7591" s="1"/>
      <c r="T7591" s="1"/>
      <c r="U7591" s="1"/>
      <c r="V7591" s="1"/>
      <c r="W7591" s="1"/>
      <c r="X7591" s="1"/>
      <c r="Y7591" s="1"/>
      <c r="AB7591" s="1"/>
      <c r="AC7591" s="1"/>
      <c r="AD7591" s="1"/>
      <c r="AE7591" s="1"/>
      <c r="AF7591" s="1"/>
      <c r="AG7591" s="1"/>
      <c r="AH7591" s="1"/>
      <c r="AI7591" s="1"/>
      <c r="AJ7591" s="1"/>
      <c r="AK7591" s="1"/>
      <c r="AL7591" s="1"/>
      <c r="AM7591" s="1"/>
    </row>
    <row r="7592" spans="16:39" x14ac:dyDescent="0.25">
      <c r="P7592" s="49"/>
      <c r="Q7592" s="1"/>
      <c r="S7592" s="1"/>
      <c r="T7592" s="1"/>
      <c r="U7592" s="1"/>
      <c r="V7592" s="1"/>
      <c r="W7592" s="1"/>
      <c r="X7592" s="1"/>
      <c r="Y7592" s="1"/>
      <c r="AB7592" s="1"/>
      <c r="AC7592" s="1"/>
      <c r="AD7592" s="1"/>
      <c r="AE7592" s="1"/>
      <c r="AF7592" s="1"/>
      <c r="AG7592" s="1"/>
      <c r="AH7592" s="1"/>
      <c r="AI7592" s="1"/>
      <c r="AJ7592" s="1"/>
      <c r="AK7592" s="1"/>
      <c r="AL7592" s="1"/>
      <c r="AM7592" s="1"/>
    </row>
    <row r="7593" spans="16:39" x14ac:dyDescent="0.25">
      <c r="P7593" s="49"/>
      <c r="Q7593" s="1"/>
      <c r="S7593" s="1"/>
      <c r="T7593" s="1"/>
      <c r="U7593" s="1"/>
      <c r="V7593" s="1"/>
      <c r="W7593" s="1"/>
      <c r="X7593" s="1"/>
      <c r="Y7593" s="1"/>
      <c r="AB7593" s="1"/>
      <c r="AC7593" s="1"/>
      <c r="AD7593" s="1"/>
      <c r="AE7593" s="1"/>
      <c r="AF7593" s="1"/>
      <c r="AG7593" s="1"/>
      <c r="AH7593" s="1"/>
      <c r="AI7593" s="1"/>
      <c r="AJ7593" s="1"/>
      <c r="AK7593" s="1"/>
      <c r="AL7593" s="1"/>
      <c r="AM7593" s="1"/>
    </row>
    <row r="7594" spans="16:39" x14ac:dyDescent="0.25">
      <c r="P7594" s="49"/>
      <c r="Q7594" s="1"/>
      <c r="S7594" s="1"/>
      <c r="T7594" s="1"/>
      <c r="U7594" s="1"/>
      <c r="V7594" s="1"/>
      <c r="W7594" s="1"/>
      <c r="X7594" s="1"/>
      <c r="Y7594" s="1"/>
      <c r="AB7594" s="1"/>
      <c r="AC7594" s="1"/>
      <c r="AD7594" s="1"/>
      <c r="AE7594" s="1"/>
      <c r="AF7594" s="1"/>
      <c r="AG7594" s="1"/>
      <c r="AH7594" s="1"/>
      <c r="AI7594" s="1"/>
      <c r="AJ7594" s="1"/>
      <c r="AK7594" s="1"/>
      <c r="AL7594" s="1"/>
      <c r="AM7594" s="1"/>
    </row>
    <row r="7595" spans="16:39" x14ac:dyDescent="0.25">
      <c r="P7595" s="49"/>
      <c r="Q7595" s="1"/>
      <c r="S7595" s="1"/>
      <c r="T7595" s="1"/>
      <c r="U7595" s="1"/>
      <c r="V7595" s="1"/>
      <c r="W7595" s="1"/>
      <c r="X7595" s="1"/>
      <c r="Y7595" s="1"/>
      <c r="AB7595" s="1"/>
      <c r="AC7595" s="1"/>
      <c r="AD7595" s="1"/>
      <c r="AE7595" s="1"/>
      <c r="AF7595" s="1"/>
      <c r="AG7595" s="1"/>
      <c r="AH7595" s="1"/>
      <c r="AI7595" s="1"/>
      <c r="AJ7595" s="1"/>
      <c r="AK7595" s="1"/>
      <c r="AL7595" s="1"/>
      <c r="AM7595" s="1"/>
    </row>
    <row r="7596" spans="16:39" x14ac:dyDescent="0.25">
      <c r="P7596" s="49"/>
      <c r="Q7596" s="1"/>
      <c r="S7596" s="1"/>
      <c r="T7596" s="1"/>
      <c r="U7596" s="1"/>
      <c r="V7596" s="1"/>
      <c r="W7596" s="1"/>
      <c r="X7596" s="1"/>
      <c r="Y7596" s="1"/>
      <c r="AB7596" s="1"/>
      <c r="AC7596" s="1"/>
      <c r="AD7596" s="1"/>
      <c r="AE7596" s="1"/>
      <c r="AF7596" s="1"/>
      <c r="AG7596" s="1"/>
      <c r="AH7596" s="1"/>
      <c r="AI7596" s="1"/>
      <c r="AJ7596" s="1"/>
      <c r="AK7596" s="1"/>
      <c r="AL7596" s="1"/>
      <c r="AM7596" s="1"/>
    </row>
    <row r="7597" spans="16:39" x14ac:dyDescent="0.25">
      <c r="P7597" s="49"/>
      <c r="Q7597" s="1"/>
      <c r="S7597" s="1"/>
      <c r="T7597" s="1"/>
      <c r="U7597" s="1"/>
      <c r="V7597" s="1"/>
      <c r="W7597" s="1"/>
      <c r="X7597" s="1"/>
      <c r="Y7597" s="1"/>
      <c r="AB7597" s="1"/>
      <c r="AC7597" s="1"/>
      <c r="AD7597" s="1"/>
      <c r="AE7597" s="1"/>
      <c r="AF7597" s="1"/>
      <c r="AG7597" s="1"/>
      <c r="AH7597" s="1"/>
      <c r="AI7597" s="1"/>
      <c r="AJ7597" s="1"/>
      <c r="AK7597" s="1"/>
      <c r="AL7597" s="1"/>
      <c r="AM7597" s="1"/>
    </row>
    <row r="7598" spans="16:39" x14ac:dyDescent="0.25">
      <c r="P7598" s="49"/>
      <c r="Q7598" s="1"/>
      <c r="S7598" s="1"/>
      <c r="T7598" s="1"/>
      <c r="U7598" s="1"/>
      <c r="V7598" s="1"/>
      <c r="W7598" s="1"/>
      <c r="X7598" s="1"/>
      <c r="Y7598" s="1"/>
      <c r="AB7598" s="1"/>
      <c r="AC7598" s="1"/>
      <c r="AD7598" s="1"/>
      <c r="AE7598" s="1"/>
      <c r="AF7598" s="1"/>
      <c r="AG7598" s="1"/>
      <c r="AH7598" s="1"/>
      <c r="AI7598" s="1"/>
      <c r="AJ7598" s="1"/>
      <c r="AK7598" s="1"/>
      <c r="AL7598" s="1"/>
      <c r="AM7598" s="1"/>
    </row>
    <row r="7599" spans="16:39" x14ac:dyDescent="0.25">
      <c r="P7599" s="49"/>
      <c r="Q7599" s="1"/>
      <c r="S7599" s="1"/>
      <c r="T7599" s="1"/>
      <c r="U7599" s="1"/>
      <c r="V7599" s="1"/>
      <c r="W7599" s="1"/>
      <c r="X7599" s="1"/>
      <c r="Y7599" s="1"/>
      <c r="AB7599" s="1"/>
      <c r="AC7599" s="1"/>
      <c r="AD7599" s="1"/>
      <c r="AE7599" s="1"/>
      <c r="AF7599" s="1"/>
      <c r="AG7599" s="1"/>
      <c r="AH7599" s="1"/>
      <c r="AI7599" s="1"/>
      <c r="AJ7599" s="1"/>
      <c r="AK7599" s="1"/>
      <c r="AL7599" s="1"/>
      <c r="AM7599" s="1"/>
    </row>
    <row r="7600" spans="16:39" x14ac:dyDescent="0.25">
      <c r="P7600" s="49"/>
      <c r="Q7600" s="1"/>
      <c r="S7600" s="1"/>
      <c r="T7600" s="1"/>
      <c r="U7600" s="1"/>
      <c r="V7600" s="1"/>
      <c r="W7600" s="1"/>
      <c r="X7600" s="1"/>
      <c r="Y7600" s="1"/>
      <c r="AB7600" s="1"/>
      <c r="AC7600" s="1"/>
      <c r="AD7600" s="1"/>
      <c r="AE7600" s="1"/>
      <c r="AF7600" s="1"/>
      <c r="AG7600" s="1"/>
      <c r="AH7600" s="1"/>
      <c r="AI7600" s="1"/>
      <c r="AJ7600" s="1"/>
      <c r="AK7600" s="1"/>
      <c r="AL7600" s="1"/>
      <c r="AM7600" s="1"/>
    </row>
    <row r="7601" spans="16:39" x14ac:dyDescent="0.25">
      <c r="P7601" s="49"/>
      <c r="Q7601" s="1"/>
      <c r="S7601" s="1"/>
      <c r="T7601" s="1"/>
      <c r="U7601" s="1"/>
      <c r="V7601" s="1"/>
      <c r="W7601" s="1"/>
      <c r="X7601" s="1"/>
      <c r="Y7601" s="1"/>
      <c r="AB7601" s="1"/>
      <c r="AC7601" s="1"/>
      <c r="AD7601" s="1"/>
      <c r="AE7601" s="1"/>
      <c r="AF7601" s="1"/>
      <c r="AG7601" s="1"/>
      <c r="AH7601" s="1"/>
      <c r="AI7601" s="1"/>
      <c r="AJ7601" s="1"/>
      <c r="AK7601" s="1"/>
      <c r="AL7601" s="1"/>
      <c r="AM7601" s="1"/>
    </row>
    <row r="7602" spans="16:39" x14ac:dyDescent="0.25">
      <c r="P7602" s="49"/>
      <c r="Q7602" s="1"/>
      <c r="S7602" s="1"/>
      <c r="T7602" s="1"/>
      <c r="U7602" s="1"/>
      <c r="V7602" s="1"/>
      <c r="W7602" s="1"/>
      <c r="X7602" s="1"/>
      <c r="Y7602" s="1"/>
      <c r="AB7602" s="1"/>
      <c r="AC7602" s="1"/>
      <c r="AD7602" s="1"/>
      <c r="AE7602" s="1"/>
      <c r="AF7602" s="1"/>
      <c r="AG7602" s="1"/>
      <c r="AH7602" s="1"/>
      <c r="AI7602" s="1"/>
      <c r="AJ7602" s="1"/>
      <c r="AK7602" s="1"/>
      <c r="AL7602" s="1"/>
      <c r="AM7602" s="1"/>
    </row>
    <row r="7603" spans="16:39" x14ac:dyDescent="0.25">
      <c r="P7603" s="49"/>
      <c r="Q7603" s="1"/>
      <c r="S7603" s="1"/>
      <c r="T7603" s="1"/>
      <c r="U7603" s="1"/>
      <c r="V7603" s="1"/>
      <c r="W7603" s="1"/>
      <c r="X7603" s="1"/>
      <c r="Y7603" s="1"/>
      <c r="AB7603" s="1"/>
      <c r="AC7603" s="1"/>
      <c r="AD7603" s="1"/>
      <c r="AE7603" s="1"/>
      <c r="AF7603" s="1"/>
      <c r="AG7603" s="1"/>
      <c r="AH7603" s="1"/>
      <c r="AI7603" s="1"/>
      <c r="AJ7603" s="1"/>
      <c r="AK7603" s="1"/>
      <c r="AL7603" s="1"/>
      <c r="AM7603" s="1"/>
    </row>
    <row r="7604" spans="16:39" x14ac:dyDescent="0.25">
      <c r="P7604" s="49"/>
      <c r="Q7604" s="1"/>
      <c r="S7604" s="1"/>
      <c r="T7604" s="1"/>
      <c r="U7604" s="1"/>
      <c r="V7604" s="1"/>
      <c r="W7604" s="1"/>
      <c r="X7604" s="1"/>
      <c r="Y7604" s="1"/>
      <c r="AB7604" s="1"/>
      <c r="AC7604" s="1"/>
      <c r="AD7604" s="1"/>
      <c r="AE7604" s="1"/>
      <c r="AF7604" s="1"/>
      <c r="AG7604" s="1"/>
      <c r="AH7604" s="1"/>
      <c r="AI7604" s="1"/>
      <c r="AJ7604" s="1"/>
      <c r="AK7604" s="1"/>
      <c r="AL7604" s="1"/>
      <c r="AM7604" s="1"/>
    </row>
    <row r="7605" spans="16:39" x14ac:dyDescent="0.25">
      <c r="P7605" s="49"/>
      <c r="Q7605" s="1"/>
      <c r="S7605" s="1"/>
      <c r="T7605" s="1"/>
      <c r="U7605" s="1"/>
      <c r="V7605" s="1"/>
      <c r="W7605" s="1"/>
      <c r="X7605" s="1"/>
      <c r="Y7605" s="1"/>
      <c r="AB7605" s="1"/>
      <c r="AC7605" s="1"/>
      <c r="AD7605" s="1"/>
      <c r="AE7605" s="1"/>
      <c r="AF7605" s="1"/>
      <c r="AG7605" s="1"/>
      <c r="AH7605" s="1"/>
      <c r="AI7605" s="1"/>
      <c r="AJ7605" s="1"/>
      <c r="AK7605" s="1"/>
      <c r="AL7605" s="1"/>
      <c r="AM7605" s="1"/>
    </row>
    <row r="7606" spans="16:39" x14ac:dyDescent="0.25">
      <c r="P7606" s="49"/>
      <c r="Q7606" s="1"/>
      <c r="S7606" s="1"/>
      <c r="T7606" s="1"/>
      <c r="U7606" s="1"/>
      <c r="V7606" s="1"/>
      <c r="W7606" s="1"/>
      <c r="X7606" s="1"/>
      <c r="Y7606" s="1"/>
      <c r="AB7606" s="1"/>
      <c r="AC7606" s="1"/>
      <c r="AD7606" s="1"/>
      <c r="AE7606" s="1"/>
      <c r="AF7606" s="1"/>
      <c r="AG7606" s="1"/>
      <c r="AH7606" s="1"/>
      <c r="AI7606" s="1"/>
      <c r="AJ7606" s="1"/>
      <c r="AK7606" s="1"/>
      <c r="AL7606" s="1"/>
      <c r="AM7606" s="1"/>
    </row>
    <row r="7607" spans="16:39" x14ac:dyDescent="0.25">
      <c r="P7607" s="49"/>
      <c r="Q7607" s="1"/>
      <c r="S7607" s="1"/>
      <c r="T7607" s="1"/>
      <c r="U7607" s="1"/>
      <c r="V7607" s="1"/>
      <c r="W7607" s="1"/>
      <c r="X7607" s="1"/>
      <c r="Y7607" s="1"/>
      <c r="AB7607" s="1"/>
      <c r="AC7607" s="1"/>
      <c r="AD7607" s="1"/>
      <c r="AE7607" s="1"/>
      <c r="AF7607" s="1"/>
      <c r="AG7607" s="1"/>
      <c r="AH7607" s="1"/>
      <c r="AI7607" s="1"/>
      <c r="AJ7607" s="1"/>
      <c r="AK7607" s="1"/>
      <c r="AL7607" s="1"/>
      <c r="AM7607" s="1"/>
    </row>
    <row r="7608" spans="16:39" x14ac:dyDescent="0.25">
      <c r="P7608" s="49"/>
      <c r="Q7608" s="1"/>
      <c r="S7608" s="1"/>
      <c r="T7608" s="1"/>
      <c r="U7608" s="1"/>
      <c r="V7608" s="1"/>
      <c r="W7608" s="1"/>
      <c r="X7608" s="1"/>
      <c r="Y7608" s="1"/>
      <c r="AB7608" s="1"/>
      <c r="AC7608" s="1"/>
      <c r="AD7608" s="1"/>
      <c r="AE7608" s="1"/>
      <c r="AF7608" s="1"/>
      <c r="AG7608" s="1"/>
      <c r="AH7608" s="1"/>
      <c r="AI7608" s="1"/>
      <c r="AJ7608" s="1"/>
      <c r="AK7608" s="1"/>
      <c r="AL7608" s="1"/>
      <c r="AM7608" s="1"/>
    </row>
    <row r="7609" spans="16:39" x14ac:dyDescent="0.25">
      <c r="P7609" s="49"/>
      <c r="Q7609" s="1"/>
      <c r="S7609" s="1"/>
      <c r="T7609" s="1"/>
      <c r="U7609" s="1"/>
      <c r="V7609" s="1"/>
      <c r="W7609" s="1"/>
      <c r="X7609" s="1"/>
      <c r="Y7609" s="1"/>
      <c r="AB7609" s="1"/>
      <c r="AC7609" s="1"/>
      <c r="AD7609" s="1"/>
      <c r="AE7609" s="1"/>
      <c r="AF7609" s="1"/>
      <c r="AG7609" s="1"/>
      <c r="AH7609" s="1"/>
      <c r="AI7609" s="1"/>
      <c r="AJ7609" s="1"/>
      <c r="AK7609" s="1"/>
      <c r="AL7609" s="1"/>
      <c r="AM7609" s="1"/>
    </row>
    <row r="7610" spans="16:39" x14ac:dyDescent="0.25">
      <c r="P7610" s="49"/>
      <c r="Q7610" s="1"/>
      <c r="S7610" s="1"/>
      <c r="T7610" s="1"/>
      <c r="U7610" s="1"/>
      <c r="V7610" s="1"/>
      <c r="W7610" s="1"/>
      <c r="X7610" s="1"/>
      <c r="Y7610" s="1"/>
      <c r="AB7610" s="1"/>
      <c r="AC7610" s="1"/>
      <c r="AD7610" s="1"/>
      <c r="AE7610" s="1"/>
      <c r="AF7610" s="1"/>
      <c r="AG7610" s="1"/>
      <c r="AH7610" s="1"/>
      <c r="AI7610" s="1"/>
      <c r="AJ7610" s="1"/>
      <c r="AK7610" s="1"/>
      <c r="AL7610" s="1"/>
      <c r="AM7610" s="1"/>
    </row>
    <row r="7611" spans="16:39" x14ac:dyDescent="0.25">
      <c r="P7611" s="49"/>
      <c r="Q7611" s="1"/>
      <c r="S7611" s="1"/>
      <c r="T7611" s="1"/>
      <c r="U7611" s="1"/>
      <c r="V7611" s="1"/>
      <c r="W7611" s="1"/>
      <c r="X7611" s="1"/>
      <c r="Y7611" s="1"/>
      <c r="AB7611" s="1"/>
      <c r="AC7611" s="1"/>
      <c r="AD7611" s="1"/>
      <c r="AE7611" s="1"/>
      <c r="AF7611" s="1"/>
      <c r="AG7611" s="1"/>
      <c r="AH7611" s="1"/>
      <c r="AI7611" s="1"/>
      <c r="AJ7611" s="1"/>
      <c r="AK7611" s="1"/>
      <c r="AL7611" s="1"/>
      <c r="AM7611" s="1"/>
    </row>
    <row r="7612" spans="16:39" x14ac:dyDescent="0.25">
      <c r="P7612" s="49"/>
      <c r="Q7612" s="1"/>
      <c r="S7612" s="1"/>
      <c r="T7612" s="1"/>
      <c r="U7612" s="1"/>
      <c r="V7612" s="1"/>
      <c r="W7612" s="1"/>
      <c r="X7612" s="1"/>
      <c r="Y7612" s="1"/>
      <c r="AB7612" s="1"/>
      <c r="AC7612" s="1"/>
      <c r="AD7612" s="1"/>
      <c r="AE7612" s="1"/>
      <c r="AF7612" s="1"/>
      <c r="AG7612" s="1"/>
      <c r="AH7612" s="1"/>
      <c r="AI7612" s="1"/>
      <c r="AJ7612" s="1"/>
      <c r="AK7612" s="1"/>
      <c r="AL7612" s="1"/>
      <c r="AM7612" s="1"/>
    </row>
    <row r="7613" spans="16:39" x14ac:dyDescent="0.25">
      <c r="P7613" s="49"/>
      <c r="Q7613" s="1"/>
      <c r="S7613" s="1"/>
      <c r="T7613" s="1"/>
      <c r="U7613" s="1"/>
      <c r="V7613" s="1"/>
      <c r="W7613" s="1"/>
      <c r="X7613" s="1"/>
      <c r="Y7613" s="1"/>
      <c r="AB7613" s="1"/>
      <c r="AC7613" s="1"/>
      <c r="AD7613" s="1"/>
      <c r="AE7613" s="1"/>
      <c r="AF7613" s="1"/>
      <c r="AG7613" s="1"/>
      <c r="AH7613" s="1"/>
      <c r="AI7613" s="1"/>
      <c r="AJ7613" s="1"/>
      <c r="AK7613" s="1"/>
      <c r="AL7613" s="1"/>
      <c r="AM7613" s="1"/>
    </row>
    <row r="7614" spans="16:39" x14ac:dyDescent="0.25">
      <c r="P7614" s="49"/>
      <c r="Q7614" s="1"/>
      <c r="S7614" s="1"/>
      <c r="T7614" s="1"/>
      <c r="U7614" s="1"/>
      <c r="V7614" s="1"/>
      <c r="W7614" s="1"/>
      <c r="X7614" s="1"/>
      <c r="Y7614" s="1"/>
      <c r="AB7614" s="1"/>
      <c r="AC7614" s="1"/>
      <c r="AD7614" s="1"/>
      <c r="AE7614" s="1"/>
      <c r="AF7614" s="1"/>
      <c r="AG7614" s="1"/>
      <c r="AH7614" s="1"/>
      <c r="AI7614" s="1"/>
      <c r="AJ7614" s="1"/>
      <c r="AK7614" s="1"/>
      <c r="AL7614" s="1"/>
      <c r="AM7614" s="1"/>
    </row>
    <row r="7615" spans="16:39" x14ac:dyDescent="0.25">
      <c r="P7615" s="49"/>
      <c r="Q7615" s="1"/>
      <c r="S7615" s="1"/>
      <c r="T7615" s="1"/>
      <c r="U7615" s="1"/>
      <c r="V7615" s="1"/>
      <c r="W7615" s="1"/>
      <c r="X7615" s="1"/>
      <c r="Y7615" s="1"/>
      <c r="AB7615" s="1"/>
      <c r="AC7615" s="1"/>
      <c r="AD7615" s="1"/>
      <c r="AE7615" s="1"/>
      <c r="AF7615" s="1"/>
      <c r="AG7615" s="1"/>
      <c r="AH7615" s="1"/>
      <c r="AI7615" s="1"/>
      <c r="AJ7615" s="1"/>
      <c r="AK7615" s="1"/>
      <c r="AL7615" s="1"/>
      <c r="AM7615" s="1"/>
    </row>
    <row r="7616" spans="16:39" x14ac:dyDescent="0.25">
      <c r="P7616" s="49"/>
      <c r="Q7616" s="1"/>
      <c r="S7616" s="1"/>
      <c r="T7616" s="1"/>
      <c r="U7616" s="1"/>
      <c r="V7616" s="1"/>
      <c r="W7616" s="1"/>
      <c r="X7616" s="1"/>
      <c r="Y7616" s="1"/>
      <c r="AB7616" s="1"/>
      <c r="AC7616" s="1"/>
      <c r="AD7616" s="1"/>
      <c r="AE7616" s="1"/>
      <c r="AF7616" s="1"/>
      <c r="AG7616" s="1"/>
      <c r="AH7616" s="1"/>
      <c r="AI7616" s="1"/>
      <c r="AJ7616" s="1"/>
      <c r="AK7616" s="1"/>
      <c r="AL7616" s="1"/>
      <c r="AM7616" s="1"/>
    </row>
    <row r="7617" spans="16:39" x14ac:dyDescent="0.25">
      <c r="P7617" s="49"/>
      <c r="Q7617" s="1"/>
      <c r="S7617" s="1"/>
      <c r="T7617" s="1"/>
      <c r="U7617" s="1"/>
      <c r="V7617" s="1"/>
      <c r="W7617" s="1"/>
      <c r="X7617" s="1"/>
      <c r="Y7617" s="1"/>
      <c r="AB7617" s="1"/>
      <c r="AC7617" s="1"/>
      <c r="AD7617" s="1"/>
      <c r="AE7617" s="1"/>
      <c r="AF7617" s="1"/>
      <c r="AG7617" s="1"/>
      <c r="AH7617" s="1"/>
      <c r="AI7617" s="1"/>
      <c r="AJ7617" s="1"/>
      <c r="AK7617" s="1"/>
      <c r="AL7617" s="1"/>
      <c r="AM7617" s="1"/>
    </row>
    <row r="7618" spans="16:39" x14ac:dyDescent="0.25">
      <c r="P7618" s="49"/>
      <c r="Q7618" s="1"/>
      <c r="S7618" s="1"/>
      <c r="T7618" s="1"/>
      <c r="U7618" s="1"/>
      <c r="V7618" s="1"/>
      <c r="W7618" s="1"/>
      <c r="X7618" s="1"/>
      <c r="Y7618" s="1"/>
      <c r="AB7618" s="1"/>
      <c r="AC7618" s="1"/>
      <c r="AD7618" s="1"/>
      <c r="AE7618" s="1"/>
      <c r="AF7618" s="1"/>
      <c r="AG7618" s="1"/>
      <c r="AH7618" s="1"/>
      <c r="AI7618" s="1"/>
      <c r="AJ7618" s="1"/>
      <c r="AK7618" s="1"/>
      <c r="AL7618" s="1"/>
      <c r="AM7618" s="1"/>
    </row>
    <row r="7619" spans="16:39" x14ac:dyDescent="0.25">
      <c r="P7619" s="49"/>
      <c r="Q7619" s="1"/>
      <c r="S7619" s="1"/>
      <c r="T7619" s="1"/>
      <c r="U7619" s="1"/>
      <c r="V7619" s="1"/>
      <c r="W7619" s="1"/>
      <c r="X7619" s="1"/>
      <c r="Y7619" s="1"/>
      <c r="AB7619" s="1"/>
      <c r="AC7619" s="1"/>
      <c r="AD7619" s="1"/>
      <c r="AE7619" s="1"/>
      <c r="AF7619" s="1"/>
      <c r="AG7619" s="1"/>
      <c r="AH7619" s="1"/>
      <c r="AI7619" s="1"/>
      <c r="AJ7619" s="1"/>
      <c r="AK7619" s="1"/>
      <c r="AL7619" s="1"/>
      <c r="AM7619" s="1"/>
    </row>
    <row r="7620" spans="16:39" x14ac:dyDescent="0.25">
      <c r="P7620" s="49"/>
      <c r="Q7620" s="1"/>
      <c r="S7620" s="1"/>
      <c r="T7620" s="1"/>
      <c r="U7620" s="1"/>
      <c r="V7620" s="1"/>
      <c r="W7620" s="1"/>
      <c r="X7620" s="1"/>
      <c r="Y7620" s="1"/>
      <c r="AB7620" s="1"/>
      <c r="AC7620" s="1"/>
      <c r="AD7620" s="1"/>
      <c r="AE7620" s="1"/>
      <c r="AF7620" s="1"/>
      <c r="AG7620" s="1"/>
      <c r="AH7620" s="1"/>
      <c r="AI7620" s="1"/>
      <c r="AJ7620" s="1"/>
      <c r="AK7620" s="1"/>
      <c r="AL7620" s="1"/>
      <c r="AM7620" s="1"/>
    </row>
    <row r="7621" spans="16:39" x14ac:dyDescent="0.25">
      <c r="P7621" s="49"/>
      <c r="Q7621" s="1"/>
      <c r="S7621" s="1"/>
      <c r="T7621" s="1"/>
      <c r="U7621" s="1"/>
      <c r="V7621" s="1"/>
      <c r="W7621" s="1"/>
      <c r="X7621" s="1"/>
      <c r="Y7621" s="1"/>
      <c r="AB7621" s="1"/>
      <c r="AC7621" s="1"/>
      <c r="AD7621" s="1"/>
      <c r="AE7621" s="1"/>
      <c r="AF7621" s="1"/>
      <c r="AG7621" s="1"/>
      <c r="AH7621" s="1"/>
      <c r="AI7621" s="1"/>
      <c r="AJ7621" s="1"/>
      <c r="AK7621" s="1"/>
      <c r="AL7621" s="1"/>
      <c r="AM7621" s="1"/>
    </row>
    <row r="7622" spans="16:39" x14ac:dyDescent="0.25">
      <c r="P7622" s="49"/>
      <c r="Q7622" s="1"/>
      <c r="S7622" s="1"/>
      <c r="T7622" s="1"/>
      <c r="U7622" s="1"/>
      <c r="V7622" s="1"/>
      <c r="W7622" s="1"/>
      <c r="X7622" s="1"/>
      <c r="Y7622" s="1"/>
      <c r="AB7622" s="1"/>
      <c r="AC7622" s="1"/>
      <c r="AD7622" s="1"/>
      <c r="AE7622" s="1"/>
      <c r="AF7622" s="1"/>
      <c r="AG7622" s="1"/>
      <c r="AH7622" s="1"/>
      <c r="AI7622" s="1"/>
      <c r="AJ7622" s="1"/>
      <c r="AK7622" s="1"/>
      <c r="AL7622" s="1"/>
      <c r="AM7622" s="1"/>
    </row>
    <row r="7623" spans="16:39" x14ac:dyDescent="0.25">
      <c r="P7623" s="49"/>
      <c r="Q7623" s="1"/>
      <c r="S7623" s="1"/>
      <c r="T7623" s="1"/>
      <c r="U7623" s="1"/>
      <c r="V7623" s="1"/>
      <c r="W7623" s="1"/>
      <c r="X7623" s="1"/>
      <c r="Y7623" s="1"/>
      <c r="AB7623" s="1"/>
      <c r="AC7623" s="1"/>
      <c r="AD7623" s="1"/>
      <c r="AE7623" s="1"/>
      <c r="AF7623" s="1"/>
      <c r="AG7623" s="1"/>
      <c r="AH7623" s="1"/>
      <c r="AI7623" s="1"/>
      <c r="AJ7623" s="1"/>
      <c r="AK7623" s="1"/>
      <c r="AL7623" s="1"/>
      <c r="AM7623" s="1"/>
    </row>
    <row r="7624" spans="16:39" x14ac:dyDescent="0.25">
      <c r="P7624" s="49"/>
      <c r="Q7624" s="1"/>
      <c r="S7624" s="1"/>
      <c r="T7624" s="1"/>
      <c r="U7624" s="1"/>
      <c r="V7624" s="1"/>
      <c r="W7624" s="1"/>
      <c r="X7624" s="1"/>
      <c r="Y7624" s="1"/>
      <c r="AB7624" s="1"/>
      <c r="AC7624" s="1"/>
      <c r="AD7624" s="1"/>
      <c r="AE7624" s="1"/>
      <c r="AF7624" s="1"/>
      <c r="AG7624" s="1"/>
      <c r="AH7624" s="1"/>
      <c r="AI7624" s="1"/>
      <c r="AJ7624" s="1"/>
      <c r="AK7624" s="1"/>
      <c r="AL7624" s="1"/>
      <c r="AM7624" s="1"/>
    </row>
    <row r="7625" spans="16:39" x14ac:dyDescent="0.25">
      <c r="P7625" s="49"/>
      <c r="Q7625" s="1"/>
      <c r="S7625" s="1"/>
      <c r="T7625" s="1"/>
      <c r="U7625" s="1"/>
      <c r="V7625" s="1"/>
      <c r="W7625" s="1"/>
      <c r="X7625" s="1"/>
      <c r="Y7625" s="1"/>
      <c r="AB7625" s="1"/>
      <c r="AC7625" s="1"/>
      <c r="AD7625" s="1"/>
      <c r="AE7625" s="1"/>
      <c r="AF7625" s="1"/>
      <c r="AG7625" s="1"/>
      <c r="AH7625" s="1"/>
      <c r="AI7625" s="1"/>
      <c r="AJ7625" s="1"/>
      <c r="AK7625" s="1"/>
      <c r="AL7625" s="1"/>
      <c r="AM7625" s="1"/>
    </row>
    <row r="7626" spans="16:39" x14ac:dyDescent="0.25">
      <c r="P7626" s="49"/>
      <c r="Q7626" s="1"/>
      <c r="S7626" s="1"/>
      <c r="T7626" s="1"/>
      <c r="U7626" s="1"/>
      <c r="V7626" s="1"/>
      <c r="W7626" s="1"/>
      <c r="X7626" s="1"/>
      <c r="Y7626" s="1"/>
      <c r="AB7626" s="1"/>
      <c r="AC7626" s="1"/>
      <c r="AD7626" s="1"/>
      <c r="AE7626" s="1"/>
      <c r="AF7626" s="1"/>
      <c r="AG7626" s="1"/>
      <c r="AH7626" s="1"/>
      <c r="AI7626" s="1"/>
      <c r="AJ7626" s="1"/>
      <c r="AK7626" s="1"/>
      <c r="AL7626" s="1"/>
      <c r="AM7626" s="1"/>
    </row>
    <row r="7627" spans="16:39" x14ac:dyDescent="0.25">
      <c r="P7627" s="49"/>
      <c r="Q7627" s="1"/>
      <c r="S7627" s="1"/>
      <c r="T7627" s="1"/>
      <c r="U7627" s="1"/>
      <c r="V7627" s="1"/>
      <c r="W7627" s="1"/>
      <c r="X7627" s="1"/>
      <c r="Y7627" s="1"/>
      <c r="AB7627" s="1"/>
      <c r="AC7627" s="1"/>
      <c r="AD7627" s="1"/>
      <c r="AE7627" s="1"/>
      <c r="AF7627" s="1"/>
      <c r="AG7627" s="1"/>
      <c r="AH7627" s="1"/>
      <c r="AI7627" s="1"/>
      <c r="AJ7627" s="1"/>
      <c r="AK7627" s="1"/>
      <c r="AL7627" s="1"/>
      <c r="AM7627" s="1"/>
    </row>
    <row r="7628" spans="16:39" x14ac:dyDescent="0.25">
      <c r="P7628" s="49"/>
      <c r="Q7628" s="1"/>
      <c r="S7628" s="1"/>
      <c r="T7628" s="1"/>
      <c r="U7628" s="1"/>
      <c r="V7628" s="1"/>
      <c r="W7628" s="1"/>
      <c r="X7628" s="1"/>
      <c r="Y7628" s="1"/>
      <c r="AB7628" s="1"/>
      <c r="AC7628" s="1"/>
      <c r="AD7628" s="1"/>
      <c r="AE7628" s="1"/>
      <c r="AF7628" s="1"/>
      <c r="AG7628" s="1"/>
      <c r="AH7628" s="1"/>
      <c r="AI7628" s="1"/>
      <c r="AJ7628" s="1"/>
      <c r="AK7628" s="1"/>
      <c r="AL7628" s="1"/>
      <c r="AM7628" s="1"/>
    </row>
    <row r="7629" spans="16:39" x14ac:dyDescent="0.25">
      <c r="P7629" s="49"/>
      <c r="Q7629" s="1"/>
      <c r="S7629" s="1"/>
      <c r="T7629" s="1"/>
      <c r="U7629" s="1"/>
      <c r="V7629" s="1"/>
      <c r="W7629" s="1"/>
      <c r="X7629" s="1"/>
      <c r="Y7629" s="1"/>
      <c r="AB7629" s="1"/>
      <c r="AC7629" s="1"/>
      <c r="AD7629" s="1"/>
      <c r="AE7629" s="1"/>
      <c r="AF7629" s="1"/>
      <c r="AG7629" s="1"/>
      <c r="AH7629" s="1"/>
      <c r="AI7629" s="1"/>
      <c r="AJ7629" s="1"/>
      <c r="AK7629" s="1"/>
      <c r="AL7629" s="1"/>
      <c r="AM7629" s="1"/>
    </row>
    <row r="7630" spans="16:39" x14ac:dyDescent="0.25">
      <c r="P7630" s="49"/>
      <c r="Q7630" s="1"/>
      <c r="S7630" s="1"/>
      <c r="T7630" s="1"/>
      <c r="U7630" s="1"/>
      <c r="V7630" s="1"/>
      <c r="W7630" s="1"/>
      <c r="X7630" s="1"/>
      <c r="Y7630" s="1"/>
      <c r="AB7630" s="1"/>
      <c r="AC7630" s="1"/>
      <c r="AD7630" s="1"/>
      <c r="AE7630" s="1"/>
      <c r="AF7630" s="1"/>
      <c r="AG7630" s="1"/>
      <c r="AH7630" s="1"/>
      <c r="AI7630" s="1"/>
      <c r="AJ7630" s="1"/>
      <c r="AK7630" s="1"/>
      <c r="AL7630" s="1"/>
      <c r="AM7630" s="1"/>
    </row>
    <row r="7631" spans="16:39" x14ac:dyDescent="0.25">
      <c r="P7631" s="49"/>
      <c r="Q7631" s="1"/>
      <c r="S7631" s="1"/>
      <c r="T7631" s="1"/>
      <c r="U7631" s="1"/>
      <c r="V7631" s="1"/>
      <c r="W7631" s="1"/>
      <c r="X7631" s="1"/>
      <c r="Y7631" s="1"/>
      <c r="AB7631" s="1"/>
      <c r="AC7631" s="1"/>
      <c r="AD7631" s="1"/>
      <c r="AE7631" s="1"/>
      <c r="AF7631" s="1"/>
      <c r="AG7631" s="1"/>
      <c r="AH7631" s="1"/>
      <c r="AI7631" s="1"/>
      <c r="AJ7631" s="1"/>
      <c r="AK7631" s="1"/>
      <c r="AL7631" s="1"/>
      <c r="AM7631" s="1"/>
    </row>
    <row r="7632" spans="16:39" x14ac:dyDescent="0.25">
      <c r="P7632" s="49"/>
      <c r="Q7632" s="1"/>
      <c r="S7632" s="1"/>
      <c r="T7632" s="1"/>
      <c r="U7632" s="1"/>
      <c r="V7632" s="1"/>
      <c r="W7632" s="1"/>
      <c r="X7632" s="1"/>
      <c r="Y7632" s="1"/>
      <c r="AB7632" s="1"/>
      <c r="AC7632" s="1"/>
      <c r="AD7632" s="1"/>
      <c r="AE7632" s="1"/>
      <c r="AF7632" s="1"/>
      <c r="AG7632" s="1"/>
      <c r="AH7632" s="1"/>
      <c r="AI7632" s="1"/>
      <c r="AJ7632" s="1"/>
      <c r="AK7632" s="1"/>
      <c r="AL7632" s="1"/>
      <c r="AM7632" s="1"/>
    </row>
    <row r="7633" spans="16:39" x14ac:dyDescent="0.25">
      <c r="P7633" s="49"/>
      <c r="Q7633" s="1"/>
      <c r="S7633" s="1"/>
      <c r="T7633" s="1"/>
      <c r="U7633" s="1"/>
      <c r="V7633" s="1"/>
      <c r="W7633" s="1"/>
      <c r="X7633" s="1"/>
      <c r="Y7633" s="1"/>
      <c r="AB7633" s="1"/>
      <c r="AC7633" s="1"/>
      <c r="AD7633" s="1"/>
      <c r="AE7633" s="1"/>
      <c r="AF7633" s="1"/>
      <c r="AG7633" s="1"/>
      <c r="AH7633" s="1"/>
      <c r="AI7633" s="1"/>
      <c r="AJ7633" s="1"/>
      <c r="AK7633" s="1"/>
      <c r="AL7633" s="1"/>
      <c r="AM7633" s="1"/>
    </row>
    <row r="7634" spans="16:39" x14ac:dyDescent="0.25">
      <c r="P7634" s="49"/>
      <c r="Q7634" s="1"/>
      <c r="S7634" s="1"/>
      <c r="T7634" s="1"/>
      <c r="U7634" s="1"/>
      <c r="V7634" s="1"/>
      <c r="W7634" s="1"/>
      <c r="X7634" s="1"/>
      <c r="Y7634" s="1"/>
      <c r="AB7634" s="1"/>
      <c r="AC7634" s="1"/>
      <c r="AD7634" s="1"/>
      <c r="AE7634" s="1"/>
      <c r="AF7634" s="1"/>
      <c r="AG7634" s="1"/>
      <c r="AH7634" s="1"/>
      <c r="AI7634" s="1"/>
      <c r="AJ7634" s="1"/>
      <c r="AK7634" s="1"/>
      <c r="AL7634" s="1"/>
      <c r="AM7634" s="1"/>
    </row>
    <row r="7635" spans="16:39" x14ac:dyDescent="0.25">
      <c r="P7635" s="49"/>
      <c r="Q7635" s="1"/>
      <c r="S7635" s="1"/>
      <c r="T7635" s="1"/>
      <c r="U7635" s="1"/>
      <c r="V7635" s="1"/>
      <c r="W7635" s="1"/>
      <c r="X7635" s="1"/>
      <c r="Y7635" s="1"/>
      <c r="AB7635" s="1"/>
      <c r="AC7635" s="1"/>
      <c r="AD7635" s="1"/>
      <c r="AE7635" s="1"/>
      <c r="AF7635" s="1"/>
      <c r="AG7635" s="1"/>
      <c r="AH7635" s="1"/>
      <c r="AI7635" s="1"/>
      <c r="AJ7635" s="1"/>
      <c r="AK7635" s="1"/>
      <c r="AL7635" s="1"/>
      <c r="AM7635" s="1"/>
    </row>
    <row r="7636" spans="16:39" x14ac:dyDescent="0.25">
      <c r="P7636" s="49"/>
      <c r="Q7636" s="1"/>
      <c r="S7636" s="1"/>
      <c r="T7636" s="1"/>
      <c r="U7636" s="1"/>
      <c r="V7636" s="1"/>
      <c r="W7636" s="1"/>
      <c r="X7636" s="1"/>
      <c r="Y7636" s="1"/>
      <c r="AB7636" s="1"/>
      <c r="AC7636" s="1"/>
      <c r="AD7636" s="1"/>
      <c r="AE7636" s="1"/>
      <c r="AF7636" s="1"/>
      <c r="AG7636" s="1"/>
      <c r="AH7636" s="1"/>
      <c r="AI7636" s="1"/>
      <c r="AJ7636" s="1"/>
      <c r="AK7636" s="1"/>
      <c r="AL7636" s="1"/>
      <c r="AM7636" s="1"/>
    </row>
    <row r="7637" spans="16:39" x14ac:dyDescent="0.25">
      <c r="P7637" s="49"/>
      <c r="Q7637" s="1"/>
      <c r="S7637" s="1"/>
      <c r="T7637" s="1"/>
      <c r="U7637" s="1"/>
      <c r="V7637" s="1"/>
      <c r="W7637" s="1"/>
      <c r="X7637" s="1"/>
      <c r="Y7637" s="1"/>
      <c r="AB7637" s="1"/>
      <c r="AC7637" s="1"/>
      <c r="AD7637" s="1"/>
      <c r="AE7637" s="1"/>
      <c r="AF7637" s="1"/>
      <c r="AG7637" s="1"/>
      <c r="AH7637" s="1"/>
      <c r="AI7637" s="1"/>
      <c r="AJ7637" s="1"/>
      <c r="AK7637" s="1"/>
      <c r="AL7637" s="1"/>
      <c r="AM7637" s="1"/>
    </row>
    <row r="7638" spans="16:39" x14ac:dyDescent="0.25">
      <c r="P7638" s="49"/>
      <c r="Q7638" s="1"/>
      <c r="S7638" s="1"/>
      <c r="T7638" s="1"/>
      <c r="U7638" s="1"/>
      <c r="V7638" s="1"/>
      <c r="W7638" s="1"/>
      <c r="X7638" s="1"/>
      <c r="Y7638" s="1"/>
      <c r="AB7638" s="1"/>
      <c r="AC7638" s="1"/>
      <c r="AD7638" s="1"/>
      <c r="AE7638" s="1"/>
      <c r="AF7638" s="1"/>
      <c r="AG7638" s="1"/>
      <c r="AH7638" s="1"/>
      <c r="AI7638" s="1"/>
      <c r="AJ7638" s="1"/>
      <c r="AK7638" s="1"/>
      <c r="AL7638" s="1"/>
      <c r="AM7638" s="1"/>
    </row>
    <row r="7639" spans="16:39" x14ac:dyDescent="0.25">
      <c r="P7639" s="49"/>
      <c r="Q7639" s="1"/>
      <c r="S7639" s="1"/>
      <c r="T7639" s="1"/>
      <c r="U7639" s="1"/>
      <c r="V7639" s="1"/>
      <c r="W7639" s="1"/>
      <c r="X7639" s="1"/>
      <c r="Y7639" s="1"/>
      <c r="AB7639" s="1"/>
      <c r="AC7639" s="1"/>
      <c r="AD7639" s="1"/>
      <c r="AE7639" s="1"/>
      <c r="AF7639" s="1"/>
      <c r="AG7639" s="1"/>
      <c r="AH7639" s="1"/>
      <c r="AI7639" s="1"/>
      <c r="AJ7639" s="1"/>
      <c r="AK7639" s="1"/>
      <c r="AL7639" s="1"/>
      <c r="AM7639" s="1"/>
    </row>
    <row r="7640" spans="16:39" x14ac:dyDescent="0.25">
      <c r="P7640" s="49"/>
      <c r="Q7640" s="1"/>
      <c r="S7640" s="1"/>
      <c r="T7640" s="1"/>
      <c r="U7640" s="1"/>
      <c r="V7640" s="1"/>
      <c r="W7640" s="1"/>
      <c r="X7640" s="1"/>
      <c r="Y7640" s="1"/>
      <c r="AB7640" s="1"/>
      <c r="AC7640" s="1"/>
      <c r="AD7640" s="1"/>
      <c r="AE7640" s="1"/>
      <c r="AF7640" s="1"/>
      <c r="AG7640" s="1"/>
      <c r="AH7640" s="1"/>
      <c r="AI7640" s="1"/>
      <c r="AJ7640" s="1"/>
      <c r="AK7640" s="1"/>
      <c r="AL7640" s="1"/>
      <c r="AM7640" s="1"/>
    </row>
    <row r="7641" spans="16:39" x14ac:dyDescent="0.25">
      <c r="P7641" s="49"/>
      <c r="Q7641" s="1"/>
      <c r="S7641" s="1"/>
      <c r="T7641" s="1"/>
      <c r="U7641" s="1"/>
      <c r="V7641" s="1"/>
      <c r="W7641" s="1"/>
      <c r="X7641" s="1"/>
      <c r="Y7641" s="1"/>
      <c r="AB7641" s="1"/>
      <c r="AC7641" s="1"/>
      <c r="AD7641" s="1"/>
      <c r="AE7641" s="1"/>
      <c r="AF7641" s="1"/>
      <c r="AG7641" s="1"/>
      <c r="AH7641" s="1"/>
      <c r="AI7641" s="1"/>
      <c r="AJ7641" s="1"/>
      <c r="AK7641" s="1"/>
      <c r="AL7641" s="1"/>
      <c r="AM7641" s="1"/>
    </row>
    <row r="7642" spans="16:39" x14ac:dyDescent="0.25">
      <c r="P7642" s="49"/>
      <c r="Q7642" s="1"/>
      <c r="S7642" s="1"/>
      <c r="T7642" s="1"/>
      <c r="U7642" s="1"/>
      <c r="V7642" s="1"/>
      <c r="W7642" s="1"/>
      <c r="X7642" s="1"/>
      <c r="Y7642" s="1"/>
      <c r="AB7642" s="1"/>
      <c r="AC7642" s="1"/>
      <c r="AD7642" s="1"/>
      <c r="AE7642" s="1"/>
      <c r="AF7642" s="1"/>
      <c r="AG7642" s="1"/>
      <c r="AH7642" s="1"/>
      <c r="AI7642" s="1"/>
      <c r="AJ7642" s="1"/>
      <c r="AK7642" s="1"/>
      <c r="AL7642" s="1"/>
      <c r="AM7642" s="1"/>
    </row>
    <row r="7643" spans="16:39" x14ac:dyDescent="0.25">
      <c r="P7643" s="49"/>
      <c r="Q7643" s="1"/>
      <c r="S7643" s="1"/>
      <c r="T7643" s="1"/>
      <c r="U7643" s="1"/>
      <c r="V7643" s="1"/>
      <c r="W7643" s="1"/>
      <c r="X7643" s="1"/>
      <c r="Y7643" s="1"/>
      <c r="AB7643" s="1"/>
      <c r="AC7643" s="1"/>
      <c r="AD7643" s="1"/>
      <c r="AE7643" s="1"/>
      <c r="AF7643" s="1"/>
      <c r="AG7643" s="1"/>
      <c r="AH7643" s="1"/>
      <c r="AI7643" s="1"/>
      <c r="AJ7643" s="1"/>
      <c r="AK7643" s="1"/>
      <c r="AL7643" s="1"/>
      <c r="AM7643" s="1"/>
    </row>
    <row r="7644" spans="16:39" x14ac:dyDescent="0.25">
      <c r="P7644" s="49"/>
      <c r="Q7644" s="1"/>
      <c r="S7644" s="1"/>
      <c r="T7644" s="1"/>
      <c r="U7644" s="1"/>
      <c r="V7644" s="1"/>
      <c r="W7644" s="1"/>
      <c r="X7644" s="1"/>
      <c r="Y7644" s="1"/>
      <c r="AB7644" s="1"/>
      <c r="AC7644" s="1"/>
      <c r="AD7644" s="1"/>
      <c r="AE7644" s="1"/>
      <c r="AF7644" s="1"/>
      <c r="AG7644" s="1"/>
      <c r="AH7644" s="1"/>
      <c r="AI7644" s="1"/>
      <c r="AJ7644" s="1"/>
      <c r="AK7644" s="1"/>
      <c r="AL7644" s="1"/>
      <c r="AM7644" s="1"/>
    </row>
    <row r="7645" spans="16:39" x14ac:dyDescent="0.25">
      <c r="P7645" s="49"/>
      <c r="Q7645" s="1"/>
      <c r="S7645" s="1"/>
      <c r="T7645" s="1"/>
      <c r="U7645" s="1"/>
      <c r="V7645" s="1"/>
      <c r="W7645" s="1"/>
      <c r="X7645" s="1"/>
      <c r="Y7645" s="1"/>
      <c r="AB7645" s="1"/>
      <c r="AC7645" s="1"/>
      <c r="AD7645" s="1"/>
      <c r="AE7645" s="1"/>
      <c r="AF7645" s="1"/>
      <c r="AG7645" s="1"/>
      <c r="AH7645" s="1"/>
      <c r="AI7645" s="1"/>
      <c r="AJ7645" s="1"/>
      <c r="AK7645" s="1"/>
      <c r="AL7645" s="1"/>
      <c r="AM7645" s="1"/>
    </row>
    <row r="7646" spans="16:39" x14ac:dyDescent="0.25">
      <c r="P7646" s="49"/>
      <c r="Q7646" s="1"/>
      <c r="S7646" s="1"/>
      <c r="T7646" s="1"/>
      <c r="U7646" s="1"/>
      <c r="V7646" s="1"/>
      <c r="W7646" s="1"/>
      <c r="X7646" s="1"/>
      <c r="Y7646" s="1"/>
      <c r="AB7646" s="1"/>
      <c r="AC7646" s="1"/>
      <c r="AD7646" s="1"/>
      <c r="AE7646" s="1"/>
      <c r="AF7646" s="1"/>
      <c r="AG7646" s="1"/>
      <c r="AH7646" s="1"/>
      <c r="AI7646" s="1"/>
      <c r="AJ7646" s="1"/>
      <c r="AK7646" s="1"/>
      <c r="AL7646" s="1"/>
      <c r="AM7646" s="1"/>
    </row>
    <row r="7647" spans="16:39" x14ac:dyDescent="0.25">
      <c r="P7647" s="49"/>
      <c r="Q7647" s="1"/>
      <c r="S7647" s="1"/>
      <c r="T7647" s="1"/>
      <c r="U7647" s="1"/>
      <c r="V7647" s="1"/>
      <c r="W7647" s="1"/>
      <c r="X7647" s="1"/>
      <c r="Y7647" s="1"/>
      <c r="AB7647" s="1"/>
      <c r="AC7647" s="1"/>
      <c r="AD7647" s="1"/>
      <c r="AE7647" s="1"/>
      <c r="AF7647" s="1"/>
      <c r="AG7647" s="1"/>
      <c r="AH7647" s="1"/>
      <c r="AI7647" s="1"/>
      <c r="AJ7647" s="1"/>
      <c r="AK7647" s="1"/>
      <c r="AL7647" s="1"/>
      <c r="AM7647" s="1"/>
    </row>
    <row r="7648" spans="16:39" x14ac:dyDescent="0.25">
      <c r="P7648" s="49"/>
      <c r="Q7648" s="1"/>
      <c r="S7648" s="1"/>
      <c r="T7648" s="1"/>
      <c r="U7648" s="1"/>
      <c r="V7648" s="1"/>
      <c r="W7648" s="1"/>
      <c r="X7648" s="1"/>
      <c r="Y7648" s="1"/>
      <c r="AB7648" s="1"/>
      <c r="AC7648" s="1"/>
      <c r="AD7648" s="1"/>
      <c r="AE7648" s="1"/>
      <c r="AF7648" s="1"/>
      <c r="AG7648" s="1"/>
      <c r="AH7648" s="1"/>
      <c r="AI7648" s="1"/>
      <c r="AJ7648" s="1"/>
      <c r="AK7648" s="1"/>
      <c r="AL7648" s="1"/>
      <c r="AM7648" s="1"/>
    </row>
    <row r="7649" spans="16:39" x14ac:dyDescent="0.25">
      <c r="P7649" s="49"/>
      <c r="Q7649" s="1"/>
      <c r="S7649" s="1"/>
      <c r="T7649" s="1"/>
      <c r="U7649" s="1"/>
      <c r="V7649" s="1"/>
      <c r="W7649" s="1"/>
      <c r="X7649" s="1"/>
      <c r="Y7649" s="1"/>
      <c r="AB7649" s="1"/>
      <c r="AC7649" s="1"/>
      <c r="AD7649" s="1"/>
      <c r="AE7649" s="1"/>
      <c r="AF7649" s="1"/>
      <c r="AG7649" s="1"/>
      <c r="AH7649" s="1"/>
      <c r="AI7649" s="1"/>
      <c r="AJ7649" s="1"/>
      <c r="AK7649" s="1"/>
      <c r="AL7649" s="1"/>
      <c r="AM7649" s="1"/>
    </row>
    <row r="7650" spans="16:39" x14ac:dyDescent="0.25">
      <c r="P7650" s="49"/>
      <c r="Q7650" s="1"/>
      <c r="S7650" s="1"/>
      <c r="T7650" s="1"/>
      <c r="U7650" s="1"/>
      <c r="V7650" s="1"/>
      <c r="W7650" s="1"/>
      <c r="X7650" s="1"/>
      <c r="Y7650" s="1"/>
      <c r="AB7650" s="1"/>
      <c r="AC7650" s="1"/>
      <c r="AD7650" s="1"/>
      <c r="AE7650" s="1"/>
      <c r="AF7650" s="1"/>
      <c r="AG7650" s="1"/>
      <c r="AH7650" s="1"/>
      <c r="AI7650" s="1"/>
      <c r="AJ7650" s="1"/>
      <c r="AK7650" s="1"/>
      <c r="AL7650" s="1"/>
      <c r="AM7650" s="1"/>
    </row>
    <row r="7651" spans="16:39" x14ac:dyDescent="0.25">
      <c r="P7651" s="49"/>
      <c r="Q7651" s="1"/>
      <c r="S7651" s="1"/>
      <c r="T7651" s="1"/>
      <c r="U7651" s="1"/>
      <c r="V7651" s="1"/>
      <c r="W7651" s="1"/>
      <c r="X7651" s="1"/>
      <c r="Y7651" s="1"/>
      <c r="AB7651" s="1"/>
      <c r="AC7651" s="1"/>
      <c r="AD7651" s="1"/>
      <c r="AE7651" s="1"/>
      <c r="AF7651" s="1"/>
      <c r="AG7651" s="1"/>
      <c r="AH7651" s="1"/>
      <c r="AI7651" s="1"/>
      <c r="AJ7651" s="1"/>
      <c r="AK7651" s="1"/>
      <c r="AL7651" s="1"/>
      <c r="AM7651" s="1"/>
    </row>
    <row r="7652" spans="16:39" x14ac:dyDescent="0.25">
      <c r="P7652" s="49"/>
      <c r="Q7652" s="1"/>
      <c r="S7652" s="1"/>
      <c r="T7652" s="1"/>
      <c r="U7652" s="1"/>
      <c r="V7652" s="1"/>
      <c r="W7652" s="1"/>
      <c r="X7652" s="1"/>
      <c r="Y7652" s="1"/>
      <c r="AB7652" s="1"/>
      <c r="AC7652" s="1"/>
      <c r="AD7652" s="1"/>
      <c r="AE7652" s="1"/>
      <c r="AF7652" s="1"/>
      <c r="AG7652" s="1"/>
      <c r="AH7652" s="1"/>
      <c r="AI7652" s="1"/>
      <c r="AJ7652" s="1"/>
      <c r="AK7652" s="1"/>
      <c r="AL7652" s="1"/>
      <c r="AM7652" s="1"/>
    </row>
    <row r="7653" spans="16:39" x14ac:dyDescent="0.25">
      <c r="P7653" s="49"/>
      <c r="Q7653" s="1"/>
      <c r="S7653" s="1"/>
      <c r="T7653" s="1"/>
      <c r="U7653" s="1"/>
      <c r="V7653" s="1"/>
      <c r="W7653" s="1"/>
      <c r="X7653" s="1"/>
      <c r="Y7653" s="1"/>
      <c r="AB7653" s="1"/>
      <c r="AC7653" s="1"/>
      <c r="AD7653" s="1"/>
      <c r="AE7653" s="1"/>
      <c r="AF7653" s="1"/>
      <c r="AG7653" s="1"/>
      <c r="AH7653" s="1"/>
      <c r="AI7653" s="1"/>
      <c r="AJ7653" s="1"/>
      <c r="AK7653" s="1"/>
      <c r="AL7653" s="1"/>
      <c r="AM7653" s="1"/>
    </row>
    <row r="7654" spans="16:39" x14ac:dyDescent="0.25">
      <c r="P7654" s="49"/>
      <c r="Q7654" s="1"/>
      <c r="S7654" s="1"/>
      <c r="T7654" s="1"/>
      <c r="U7654" s="1"/>
      <c r="V7654" s="1"/>
      <c r="W7654" s="1"/>
      <c r="X7654" s="1"/>
      <c r="Y7654" s="1"/>
      <c r="AB7654" s="1"/>
      <c r="AC7654" s="1"/>
      <c r="AD7654" s="1"/>
      <c r="AE7654" s="1"/>
      <c r="AF7654" s="1"/>
      <c r="AG7654" s="1"/>
      <c r="AH7654" s="1"/>
      <c r="AI7654" s="1"/>
      <c r="AJ7654" s="1"/>
      <c r="AK7654" s="1"/>
      <c r="AL7654" s="1"/>
      <c r="AM7654" s="1"/>
    </row>
    <row r="7655" spans="16:39" x14ac:dyDescent="0.25">
      <c r="P7655" s="49"/>
      <c r="Q7655" s="1"/>
      <c r="S7655" s="1"/>
      <c r="T7655" s="1"/>
      <c r="U7655" s="1"/>
      <c r="V7655" s="1"/>
      <c r="W7655" s="1"/>
      <c r="X7655" s="1"/>
      <c r="Y7655" s="1"/>
      <c r="AB7655" s="1"/>
      <c r="AC7655" s="1"/>
      <c r="AD7655" s="1"/>
      <c r="AE7655" s="1"/>
      <c r="AF7655" s="1"/>
      <c r="AG7655" s="1"/>
      <c r="AH7655" s="1"/>
      <c r="AI7655" s="1"/>
      <c r="AJ7655" s="1"/>
      <c r="AK7655" s="1"/>
      <c r="AL7655" s="1"/>
      <c r="AM7655" s="1"/>
    </row>
    <row r="7656" spans="16:39" x14ac:dyDescent="0.25">
      <c r="P7656" s="49"/>
      <c r="Q7656" s="1"/>
      <c r="S7656" s="1"/>
      <c r="T7656" s="1"/>
      <c r="U7656" s="1"/>
      <c r="V7656" s="1"/>
      <c r="W7656" s="1"/>
      <c r="X7656" s="1"/>
      <c r="Y7656" s="1"/>
      <c r="AB7656" s="1"/>
      <c r="AC7656" s="1"/>
      <c r="AD7656" s="1"/>
      <c r="AE7656" s="1"/>
      <c r="AF7656" s="1"/>
      <c r="AG7656" s="1"/>
      <c r="AH7656" s="1"/>
      <c r="AI7656" s="1"/>
      <c r="AJ7656" s="1"/>
      <c r="AK7656" s="1"/>
      <c r="AL7656" s="1"/>
      <c r="AM7656" s="1"/>
    </row>
    <row r="7657" spans="16:39" x14ac:dyDescent="0.25">
      <c r="P7657" s="49"/>
      <c r="Q7657" s="1"/>
      <c r="S7657" s="1"/>
      <c r="T7657" s="1"/>
      <c r="U7657" s="1"/>
      <c r="V7657" s="1"/>
      <c r="W7657" s="1"/>
      <c r="X7657" s="1"/>
      <c r="Y7657" s="1"/>
      <c r="AB7657" s="1"/>
      <c r="AC7657" s="1"/>
      <c r="AD7657" s="1"/>
      <c r="AE7657" s="1"/>
      <c r="AF7657" s="1"/>
      <c r="AG7657" s="1"/>
      <c r="AH7657" s="1"/>
      <c r="AI7657" s="1"/>
      <c r="AJ7657" s="1"/>
      <c r="AK7657" s="1"/>
      <c r="AL7657" s="1"/>
      <c r="AM7657" s="1"/>
    </row>
    <row r="7658" spans="16:39" x14ac:dyDescent="0.25">
      <c r="P7658" s="49"/>
      <c r="Q7658" s="1"/>
      <c r="S7658" s="1"/>
      <c r="T7658" s="1"/>
      <c r="U7658" s="1"/>
      <c r="V7658" s="1"/>
      <c r="W7658" s="1"/>
      <c r="X7658" s="1"/>
      <c r="Y7658" s="1"/>
      <c r="AB7658" s="1"/>
      <c r="AC7658" s="1"/>
      <c r="AD7658" s="1"/>
      <c r="AE7658" s="1"/>
      <c r="AF7658" s="1"/>
      <c r="AG7658" s="1"/>
      <c r="AH7658" s="1"/>
      <c r="AI7658" s="1"/>
      <c r="AJ7658" s="1"/>
      <c r="AK7658" s="1"/>
      <c r="AL7658" s="1"/>
      <c r="AM7658" s="1"/>
    </row>
    <row r="7659" spans="16:39" x14ac:dyDescent="0.25">
      <c r="P7659" s="49"/>
      <c r="Q7659" s="1"/>
      <c r="S7659" s="1"/>
      <c r="T7659" s="1"/>
      <c r="U7659" s="1"/>
      <c r="V7659" s="1"/>
      <c r="W7659" s="1"/>
      <c r="X7659" s="1"/>
      <c r="Y7659" s="1"/>
      <c r="AB7659" s="1"/>
      <c r="AC7659" s="1"/>
      <c r="AD7659" s="1"/>
      <c r="AE7659" s="1"/>
      <c r="AF7659" s="1"/>
      <c r="AG7659" s="1"/>
      <c r="AH7659" s="1"/>
      <c r="AI7659" s="1"/>
      <c r="AJ7659" s="1"/>
      <c r="AK7659" s="1"/>
      <c r="AL7659" s="1"/>
      <c r="AM7659" s="1"/>
    </row>
    <row r="7660" spans="16:39" x14ac:dyDescent="0.25">
      <c r="P7660" s="49"/>
      <c r="Q7660" s="1"/>
      <c r="S7660" s="1"/>
      <c r="T7660" s="1"/>
      <c r="U7660" s="1"/>
      <c r="V7660" s="1"/>
      <c r="W7660" s="1"/>
      <c r="X7660" s="1"/>
      <c r="Y7660" s="1"/>
      <c r="AB7660" s="1"/>
      <c r="AC7660" s="1"/>
      <c r="AD7660" s="1"/>
      <c r="AE7660" s="1"/>
      <c r="AF7660" s="1"/>
      <c r="AG7660" s="1"/>
      <c r="AH7660" s="1"/>
      <c r="AI7660" s="1"/>
      <c r="AJ7660" s="1"/>
      <c r="AK7660" s="1"/>
      <c r="AL7660" s="1"/>
      <c r="AM7660" s="1"/>
    </row>
    <row r="7661" spans="16:39" x14ac:dyDescent="0.25">
      <c r="P7661" s="49"/>
      <c r="Q7661" s="1"/>
      <c r="S7661" s="1"/>
      <c r="T7661" s="1"/>
      <c r="U7661" s="1"/>
      <c r="V7661" s="1"/>
      <c r="W7661" s="1"/>
      <c r="X7661" s="1"/>
      <c r="Y7661" s="1"/>
      <c r="AB7661" s="1"/>
      <c r="AC7661" s="1"/>
      <c r="AD7661" s="1"/>
      <c r="AE7661" s="1"/>
      <c r="AF7661" s="1"/>
      <c r="AG7661" s="1"/>
      <c r="AH7661" s="1"/>
      <c r="AI7661" s="1"/>
      <c r="AJ7661" s="1"/>
      <c r="AK7661" s="1"/>
      <c r="AL7661" s="1"/>
      <c r="AM7661" s="1"/>
    </row>
    <row r="7662" spans="16:39" x14ac:dyDescent="0.25">
      <c r="P7662" s="49"/>
      <c r="Q7662" s="1"/>
      <c r="S7662" s="1"/>
      <c r="T7662" s="1"/>
      <c r="U7662" s="1"/>
      <c r="V7662" s="1"/>
      <c r="W7662" s="1"/>
      <c r="X7662" s="1"/>
      <c r="Y7662" s="1"/>
      <c r="AB7662" s="1"/>
      <c r="AC7662" s="1"/>
      <c r="AD7662" s="1"/>
      <c r="AE7662" s="1"/>
      <c r="AF7662" s="1"/>
      <c r="AG7662" s="1"/>
      <c r="AH7662" s="1"/>
      <c r="AI7662" s="1"/>
      <c r="AJ7662" s="1"/>
      <c r="AK7662" s="1"/>
      <c r="AL7662" s="1"/>
      <c r="AM7662" s="1"/>
    </row>
    <row r="7663" spans="16:39" x14ac:dyDescent="0.25">
      <c r="P7663" s="49"/>
      <c r="Q7663" s="1"/>
      <c r="S7663" s="1"/>
      <c r="T7663" s="1"/>
      <c r="U7663" s="1"/>
      <c r="V7663" s="1"/>
      <c r="W7663" s="1"/>
      <c r="X7663" s="1"/>
      <c r="Y7663" s="1"/>
      <c r="AB7663" s="1"/>
      <c r="AC7663" s="1"/>
      <c r="AD7663" s="1"/>
      <c r="AE7663" s="1"/>
      <c r="AF7663" s="1"/>
      <c r="AG7663" s="1"/>
      <c r="AH7663" s="1"/>
      <c r="AI7663" s="1"/>
      <c r="AJ7663" s="1"/>
      <c r="AK7663" s="1"/>
      <c r="AL7663" s="1"/>
      <c r="AM7663" s="1"/>
    </row>
    <row r="7664" spans="16:39" x14ac:dyDescent="0.25">
      <c r="P7664" s="49"/>
      <c r="Q7664" s="1"/>
      <c r="S7664" s="1"/>
      <c r="T7664" s="1"/>
      <c r="U7664" s="1"/>
      <c r="V7664" s="1"/>
      <c r="W7664" s="1"/>
      <c r="X7664" s="1"/>
      <c r="Y7664" s="1"/>
      <c r="AB7664" s="1"/>
      <c r="AC7664" s="1"/>
      <c r="AD7664" s="1"/>
      <c r="AE7664" s="1"/>
      <c r="AF7664" s="1"/>
      <c r="AG7664" s="1"/>
      <c r="AH7664" s="1"/>
      <c r="AI7664" s="1"/>
      <c r="AJ7664" s="1"/>
      <c r="AK7664" s="1"/>
      <c r="AL7664" s="1"/>
      <c r="AM7664" s="1"/>
    </row>
    <row r="7665" spans="16:39" x14ac:dyDescent="0.25">
      <c r="P7665" s="49"/>
      <c r="Q7665" s="1"/>
      <c r="S7665" s="1"/>
      <c r="T7665" s="1"/>
      <c r="U7665" s="1"/>
      <c r="V7665" s="1"/>
      <c r="W7665" s="1"/>
      <c r="X7665" s="1"/>
      <c r="Y7665" s="1"/>
      <c r="AB7665" s="1"/>
      <c r="AC7665" s="1"/>
      <c r="AD7665" s="1"/>
      <c r="AE7665" s="1"/>
      <c r="AF7665" s="1"/>
      <c r="AG7665" s="1"/>
      <c r="AH7665" s="1"/>
      <c r="AI7665" s="1"/>
      <c r="AJ7665" s="1"/>
      <c r="AK7665" s="1"/>
      <c r="AL7665" s="1"/>
      <c r="AM7665" s="1"/>
    </row>
    <row r="7666" spans="16:39" x14ac:dyDescent="0.25">
      <c r="P7666" s="49"/>
      <c r="Q7666" s="1"/>
      <c r="S7666" s="1"/>
      <c r="T7666" s="1"/>
      <c r="U7666" s="1"/>
      <c r="V7666" s="1"/>
      <c r="W7666" s="1"/>
      <c r="X7666" s="1"/>
      <c r="Y7666" s="1"/>
      <c r="AB7666" s="1"/>
      <c r="AC7666" s="1"/>
      <c r="AD7666" s="1"/>
      <c r="AE7666" s="1"/>
      <c r="AF7666" s="1"/>
      <c r="AG7666" s="1"/>
      <c r="AH7666" s="1"/>
      <c r="AI7666" s="1"/>
      <c r="AJ7666" s="1"/>
      <c r="AK7666" s="1"/>
      <c r="AL7666" s="1"/>
      <c r="AM7666" s="1"/>
    </row>
    <row r="7667" spans="16:39" x14ac:dyDescent="0.25">
      <c r="P7667" s="49"/>
      <c r="Q7667" s="1"/>
      <c r="S7667" s="1"/>
      <c r="T7667" s="1"/>
      <c r="U7667" s="1"/>
      <c r="V7667" s="1"/>
      <c r="W7667" s="1"/>
      <c r="X7667" s="1"/>
      <c r="Y7667" s="1"/>
      <c r="AB7667" s="1"/>
      <c r="AC7667" s="1"/>
      <c r="AD7667" s="1"/>
      <c r="AE7667" s="1"/>
      <c r="AF7667" s="1"/>
      <c r="AG7667" s="1"/>
      <c r="AH7667" s="1"/>
      <c r="AI7667" s="1"/>
      <c r="AJ7667" s="1"/>
      <c r="AK7667" s="1"/>
      <c r="AL7667" s="1"/>
      <c r="AM7667" s="1"/>
    </row>
    <row r="7668" spans="16:39" x14ac:dyDescent="0.25">
      <c r="P7668" s="49"/>
      <c r="Q7668" s="1"/>
      <c r="S7668" s="1"/>
      <c r="T7668" s="1"/>
      <c r="U7668" s="1"/>
      <c r="V7668" s="1"/>
      <c r="W7668" s="1"/>
      <c r="X7668" s="1"/>
      <c r="Y7668" s="1"/>
      <c r="AB7668" s="1"/>
      <c r="AC7668" s="1"/>
      <c r="AD7668" s="1"/>
      <c r="AE7668" s="1"/>
      <c r="AF7668" s="1"/>
      <c r="AG7668" s="1"/>
      <c r="AH7668" s="1"/>
      <c r="AI7668" s="1"/>
      <c r="AJ7668" s="1"/>
      <c r="AK7668" s="1"/>
      <c r="AL7668" s="1"/>
      <c r="AM7668" s="1"/>
    </row>
    <row r="7669" spans="16:39" x14ac:dyDescent="0.25">
      <c r="P7669" s="49"/>
      <c r="Q7669" s="1"/>
      <c r="S7669" s="1"/>
      <c r="T7669" s="1"/>
      <c r="U7669" s="1"/>
      <c r="V7669" s="1"/>
      <c r="W7669" s="1"/>
      <c r="X7669" s="1"/>
      <c r="Y7669" s="1"/>
      <c r="AB7669" s="1"/>
      <c r="AC7669" s="1"/>
      <c r="AD7669" s="1"/>
      <c r="AE7669" s="1"/>
      <c r="AF7669" s="1"/>
      <c r="AG7669" s="1"/>
      <c r="AH7669" s="1"/>
      <c r="AI7669" s="1"/>
      <c r="AJ7669" s="1"/>
      <c r="AK7669" s="1"/>
      <c r="AL7669" s="1"/>
      <c r="AM7669" s="1"/>
    </row>
    <row r="7670" spans="16:39" x14ac:dyDescent="0.25">
      <c r="P7670" s="49"/>
      <c r="Q7670" s="1"/>
      <c r="S7670" s="1"/>
      <c r="T7670" s="1"/>
      <c r="U7670" s="1"/>
      <c r="V7670" s="1"/>
      <c r="W7670" s="1"/>
      <c r="X7670" s="1"/>
      <c r="Y7670" s="1"/>
      <c r="AB7670" s="1"/>
      <c r="AC7670" s="1"/>
      <c r="AD7670" s="1"/>
      <c r="AE7670" s="1"/>
      <c r="AF7670" s="1"/>
      <c r="AG7670" s="1"/>
      <c r="AH7670" s="1"/>
      <c r="AI7670" s="1"/>
      <c r="AJ7670" s="1"/>
      <c r="AK7670" s="1"/>
      <c r="AL7670" s="1"/>
      <c r="AM7670" s="1"/>
    </row>
    <row r="7671" spans="16:39" x14ac:dyDescent="0.25">
      <c r="P7671" s="49"/>
      <c r="Q7671" s="1"/>
      <c r="S7671" s="1"/>
      <c r="T7671" s="1"/>
      <c r="U7671" s="1"/>
      <c r="V7671" s="1"/>
      <c r="W7671" s="1"/>
      <c r="X7671" s="1"/>
      <c r="Y7671" s="1"/>
      <c r="AB7671" s="1"/>
      <c r="AC7671" s="1"/>
      <c r="AD7671" s="1"/>
      <c r="AE7671" s="1"/>
      <c r="AF7671" s="1"/>
      <c r="AG7671" s="1"/>
      <c r="AH7671" s="1"/>
      <c r="AI7671" s="1"/>
      <c r="AJ7671" s="1"/>
      <c r="AK7671" s="1"/>
      <c r="AL7671" s="1"/>
      <c r="AM7671" s="1"/>
    </row>
    <row r="7672" spans="16:39" x14ac:dyDescent="0.25">
      <c r="P7672" s="49"/>
      <c r="Q7672" s="1"/>
      <c r="S7672" s="1"/>
      <c r="T7672" s="1"/>
      <c r="U7672" s="1"/>
      <c r="V7672" s="1"/>
      <c r="W7672" s="1"/>
      <c r="X7672" s="1"/>
      <c r="Y7672" s="1"/>
      <c r="AB7672" s="1"/>
      <c r="AC7672" s="1"/>
      <c r="AD7672" s="1"/>
      <c r="AE7672" s="1"/>
      <c r="AF7672" s="1"/>
      <c r="AG7672" s="1"/>
      <c r="AH7672" s="1"/>
      <c r="AI7672" s="1"/>
      <c r="AJ7672" s="1"/>
      <c r="AK7672" s="1"/>
      <c r="AL7672" s="1"/>
      <c r="AM7672" s="1"/>
    </row>
    <row r="7673" spans="16:39" x14ac:dyDescent="0.25">
      <c r="P7673" s="49"/>
      <c r="Q7673" s="1"/>
      <c r="S7673" s="1"/>
      <c r="T7673" s="1"/>
      <c r="U7673" s="1"/>
      <c r="V7673" s="1"/>
      <c r="W7673" s="1"/>
      <c r="X7673" s="1"/>
      <c r="Y7673" s="1"/>
      <c r="AB7673" s="1"/>
      <c r="AC7673" s="1"/>
      <c r="AD7673" s="1"/>
      <c r="AE7673" s="1"/>
      <c r="AF7673" s="1"/>
      <c r="AG7673" s="1"/>
      <c r="AH7673" s="1"/>
      <c r="AI7673" s="1"/>
      <c r="AJ7673" s="1"/>
      <c r="AK7673" s="1"/>
      <c r="AL7673" s="1"/>
      <c r="AM7673" s="1"/>
    </row>
    <row r="7674" spans="16:39" x14ac:dyDescent="0.25">
      <c r="P7674" s="49"/>
      <c r="Q7674" s="1"/>
      <c r="S7674" s="1"/>
      <c r="T7674" s="1"/>
      <c r="U7674" s="1"/>
      <c r="V7674" s="1"/>
      <c r="W7674" s="1"/>
      <c r="X7674" s="1"/>
      <c r="Y7674" s="1"/>
      <c r="AB7674" s="1"/>
      <c r="AC7674" s="1"/>
      <c r="AD7674" s="1"/>
      <c r="AE7674" s="1"/>
      <c r="AF7674" s="1"/>
      <c r="AG7674" s="1"/>
      <c r="AH7674" s="1"/>
      <c r="AI7674" s="1"/>
      <c r="AJ7674" s="1"/>
      <c r="AK7674" s="1"/>
      <c r="AL7674" s="1"/>
      <c r="AM7674" s="1"/>
    </row>
    <row r="7675" spans="16:39" x14ac:dyDescent="0.25">
      <c r="P7675" s="49"/>
      <c r="Q7675" s="1"/>
      <c r="S7675" s="1"/>
      <c r="T7675" s="1"/>
      <c r="U7675" s="1"/>
      <c r="V7675" s="1"/>
      <c r="W7675" s="1"/>
      <c r="X7675" s="1"/>
      <c r="Y7675" s="1"/>
      <c r="AB7675" s="1"/>
      <c r="AC7675" s="1"/>
      <c r="AD7675" s="1"/>
      <c r="AE7675" s="1"/>
      <c r="AF7675" s="1"/>
      <c r="AG7675" s="1"/>
      <c r="AH7675" s="1"/>
      <c r="AI7675" s="1"/>
      <c r="AJ7675" s="1"/>
      <c r="AK7675" s="1"/>
      <c r="AL7675" s="1"/>
      <c r="AM7675" s="1"/>
    </row>
    <row r="7676" spans="16:39" x14ac:dyDescent="0.25">
      <c r="P7676" s="49"/>
      <c r="Q7676" s="1"/>
      <c r="S7676" s="1"/>
      <c r="T7676" s="1"/>
      <c r="U7676" s="1"/>
      <c r="V7676" s="1"/>
      <c r="W7676" s="1"/>
      <c r="X7676" s="1"/>
      <c r="Y7676" s="1"/>
      <c r="AB7676" s="1"/>
      <c r="AC7676" s="1"/>
      <c r="AD7676" s="1"/>
      <c r="AE7676" s="1"/>
      <c r="AF7676" s="1"/>
      <c r="AG7676" s="1"/>
      <c r="AH7676" s="1"/>
      <c r="AI7676" s="1"/>
      <c r="AJ7676" s="1"/>
      <c r="AK7676" s="1"/>
      <c r="AL7676" s="1"/>
      <c r="AM7676" s="1"/>
    </row>
    <row r="7677" spans="16:39" x14ac:dyDescent="0.25">
      <c r="P7677" s="49"/>
      <c r="Q7677" s="1"/>
      <c r="S7677" s="1"/>
      <c r="T7677" s="1"/>
      <c r="U7677" s="1"/>
      <c r="V7677" s="1"/>
      <c r="W7677" s="1"/>
      <c r="X7677" s="1"/>
      <c r="Y7677" s="1"/>
      <c r="AB7677" s="1"/>
      <c r="AC7677" s="1"/>
      <c r="AD7677" s="1"/>
      <c r="AE7677" s="1"/>
      <c r="AF7677" s="1"/>
      <c r="AG7677" s="1"/>
      <c r="AH7677" s="1"/>
      <c r="AI7677" s="1"/>
      <c r="AJ7677" s="1"/>
      <c r="AK7677" s="1"/>
      <c r="AL7677" s="1"/>
      <c r="AM7677" s="1"/>
    </row>
    <row r="7678" spans="16:39" x14ac:dyDescent="0.25">
      <c r="P7678" s="49"/>
      <c r="Q7678" s="1"/>
      <c r="S7678" s="1"/>
      <c r="T7678" s="1"/>
      <c r="U7678" s="1"/>
      <c r="V7678" s="1"/>
      <c r="W7678" s="1"/>
      <c r="X7678" s="1"/>
      <c r="Y7678" s="1"/>
      <c r="AB7678" s="1"/>
      <c r="AC7678" s="1"/>
      <c r="AD7678" s="1"/>
      <c r="AE7678" s="1"/>
      <c r="AF7678" s="1"/>
      <c r="AG7678" s="1"/>
      <c r="AH7678" s="1"/>
      <c r="AI7678" s="1"/>
      <c r="AJ7678" s="1"/>
      <c r="AK7678" s="1"/>
      <c r="AL7678" s="1"/>
      <c r="AM7678" s="1"/>
    </row>
    <row r="7679" spans="16:39" x14ac:dyDescent="0.25">
      <c r="P7679" s="49"/>
      <c r="Q7679" s="1"/>
      <c r="S7679" s="1"/>
      <c r="T7679" s="1"/>
      <c r="U7679" s="1"/>
      <c r="V7679" s="1"/>
      <c r="W7679" s="1"/>
      <c r="X7679" s="1"/>
      <c r="Y7679" s="1"/>
      <c r="AB7679" s="1"/>
      <c r="AC7679" s="1"/>
      <c r="AD7679" s="1"/>
      <c r="AE7679" s="1"/>
      <c r="AF7679" s="1"/>
      <c r="AG7679" s="1"/>
      <c r="AH7679" s="1"/>
      <c r="AI7679" s="1"/>
      <c r="AJ7679" s="1"/>
      <c r="AK7679" s="1"/>
      <c r="AL7679" s="1"/>
      <c r="AM7679" s="1"/>
    </row>
    <row r="7680" spans="16:39" x14ac:dyDescent="0.25">
      <c r="P7680" s="49"/>
      <c r="Q7680" s="1"/>
      <c r="S7680" s="1"/>
      <c r="T7680" s="1"/>
      <c r="U7680" s="1"/>
      <c r="V7680" s="1"/>
      <c r="W7680" s="1"/>
      <c r="X7680" s="1"/>
      <c r="Y7680" s="1"/>
      <c r="AB7680" s="1"/>
      <c r="AC7680" s="1"/>
      <c r="AD7680" s="1"/>
      <c r="AE7680" s="1"/>
      <c r="AF7680" s="1"/>
      <c r="AG7680" s="1"/>
      <c r="AH7680" s="1"/>
      <c r="AI7680" s="1"/>
      <c r="AJ7680" s="1"/>
      <c r="AK7680" s="1"/>
      <c r="AL7680" s="1"/>
      <c r="AM7680" s="1"/>
    </row>
    <row r="7681" spans="16:39" x14ac:dyDescent="0.25">
      <c r="P7681" s="49"/>
      <c r="Q7681" s="1"/>
      <c r="S7681" s="1"/>
      <c r="T7681" s="1"/>
      <c r="U7681" s="1"/>
      <c r="V7681" s="1"/>
      <c r="W7681" s="1"/>
      <c r="X7681" s="1"/>
      <c r="Y7681" s="1"/>
      <c r="AB7681" s="1"/>
      <c r="AC7681" s="1"/>
      <c r="AD7681" s="1"/>
      <c r="AE7681" s="1"/>
      <c r="AF7681" s="1"/>
      <c r="AG7681" s="1"/>
      <c r="AH7681" s="1"/>
      <c r="AI7681" s="1"/>
      <c r="AJ7681" s="1"/>
      <c r="AK7681" s="1"/>
      <c r="AL7681" s="1"/>
      <c r="AM7681" s="1"/>
    </row>
    <row r="7682" spans="16:39" x14ac:dyDescent="0.25">
      <c r="P7682" s="49"/>
      <c r="Q7682" s="1"/>
      <c r="S7682" s="1"/>
      <c r="T7682" s="1"/>
      <c r="U7682" s="1"/>
      <c r="V7682" s="1"/>
      <c r="W7682" s="1"/>
      <c r="X7682" s="1"/>
      <c r="Y7682" s="1"/>
      <c r="AB7682" s="1"/>
      <c r="AC7682" s="1"/>
      <c r="AD7682" s="1"/>
      <c r="AE7682" s="1"/>
      <c r="AF7682" s="1"/>
      <c r="AG7682" s="1"/>
      <c r="AH7682" s="1"/>
      <c r="AI7682" s="1"/>
      <c r="AJ7682" s="1"/>
      <c r="AK7682" s="1"/>
      <c r="AL7682" s="1"/>
      <c r="AM7682" s="1"/>
    </row>
    <row r="7683" spans="16:39" x14ac:dyDescent="0.25">
      <c r="P7683" s="49"/>
      <c r="Q7683" s="1"/>
      <c r="S7683" s="1"/>
      <c r="T7683" s="1"/>
      <c r="U7683" s="1"/>
      <c r="V7683" s="1"/>
      <c r="W7683" s="1"/>
      <c r="X7683" s="1"/>
      <c r="Y7683" s="1"/>
      <c r="AB7683" s="1"/>
      <c r="AC7683" s="1"/>
      <c r="AD7683" s="1"/>
      <c r="AE7683" s="1"/>
      <c r="AF7683" s="1"/>
      <c r="AG7683" s="1"/>
      <c r="AH7683" s="1"/>
      <c r="AI7683" s="1"/>
      <c r="AJ7683" s="1"/>
      <c r="AK7683" s="1"/>
      <c r="AL7683" s="1"/>
      <c r="AM7683" s="1"/>
    </row>
    <row r="7684" spans="16:39" x14ac:dyDescent="0.25">
      <c r="P7684" s="49"/>
      <c r="Q7684" s="1"/>
      <c r="S7684" s="1"/>
      <c r="T7684" s="1"/>
      <c r="U7684" s="1"/>
      <c r="V7684" s="1"/>
      <c r="W7684" s="1"/>
      <c r="X7684" s="1"/>
      <c r="Y7684" s="1"/>
      <c r="AB7684" s="1"/>
      <c r="AC7684" s="1"/>
      <c r="AD7684" s="1"/>
      <c r="AE7684" s="1"/>
      <c r="AF7684" s="1"/>
      <c r="AG7684" s="1"/>
      <c r="AH7684" s="1"/>
      <c r="AI7684" s="1"/>
      <c r="AJ7684" s="1"/>
      <c r="AK7684" s="1"/>
      <c r="AL7684" s="1"/>
      <c r="AM7684" s="1"/>
    </row>
    <row r="7685" spans="16:39" x14ac:dyDescent="0.25">
      <c r="P7685" s="49"/>
      <c r="Q7685" s="1"/>
      <c r="S7685" s="1"/>
      <c r="T7685" s="1"/>
      <c r="U7685" s="1"/>
      <c r="V7685" s="1"/>
      <c r="W7685" s="1"/>
      <c r="X7685" s="1"/>
      <c r="Y7685" s="1"/>
      <c r="AB7685" s="1"/>
      <c r="AC7685" s="1"/>
      <c r="AD7685" s="1"/>
      <c r="AE7685" s="1"/>
      <c r="AF7685" s="1"/>
      <c r="AG7685" s="1"/>
      <c r="AH7685" s="1"/>
      <c r="AI7685" s="1"/>
      <c r="AJ7685" s="1"/>
      <c r="AK7685" s="1"/>
      <c r="AL7685" s="1"/>
      <c r="AM7685" s="1"/>
    </row>
    <row r="7686" spans="16:39" x14ac:dyDescent="0.25">
      <c r="P7686" s="49"/>
      <c r="Q7686" s="1"/>
      <c r="S7686" s="1"/>
      <c r="T7686" s="1"/>
      <c r="U7686" s="1"/>
      <c r="V7686" s="1"/>
      <c r="W7686" s="1"/>
      <c r="X7686" s="1"/>
      <c r="Y7686" s="1"/>
      <c r="AB7686" s="1"/>
      <c r="AC7686" s="1"/>
      <c r="AD7686" s="1"/>
      <c r="AE7686" s="1"/>
      <c r="AF7686" s="1"/>
      <c r="AG7686" s="1"/>
      <c r="AH7686" s="1"/>
      <c r="AI7686" s="1"/>
      <c r="AJ7686" s="1"/>
      <c r="AK7686" s="1"/>
      <c r="AL7686" s="1"/>
      <c r="AM7686" s="1"/>
    </row>
    <row r="7687" spans="16:39" x14ac:dyDescent="0.25">
      <c r="P7687" s="49"/>
      <c r="Q7687" s="1"/>
      <c r="S7687" s="1"/>
      <c r="T7687" s="1"/>
      <c r="U7687" s="1"/>
      <c r="V7687" s="1"/>
      <c r="W7687" s="1"/>
      <c r="X7687" s="1"/>
      <c r="Y7687" s="1"/>
      <c r="AB7687" s="1"/>
      <c r="AC7687" s="1"/>
      <c r="AD7687" s="1"/>
      <c r="AE7687" s="1"/>
      <c r="AF7687" s="1"/>
      <c r="AG7687" s="1"/>
      <c r="AH7687" s="1"/>
      <c r="AI7687" s="1"/>
      <c r="AJ7687" s="1"/>
      <c r="AK7687" s="1"/>
      <c r="AL7687" s="1"/>
      <c r="AM7687" s="1"/>
    </row>
    <row r="7688" spans="16:39" x14ac:dyDescent="0.25">
      <c r="P7688" s="49"/>
      <c r="Q7688" s="1"/>
      <c r="S7688" s="1"/>
      <c r="T7688" s="1"/>
      <c r="U7688" s="1"/>
      <c r="V7688" s="1"/>
      <c r="W7688" s="1"/>
      <c r="X7688" s="1"/>
      <c r="Y7688" s="1"/>
      <c r="AB7688" s="1"/>
      <c r="AC7688" s="1"/>
      <c r="AD7688" s="1"/>
      <c r="AE7688" s="1"/>
      <c r="AF7688" s="1"/>
      <c r="AG7688" s="1"/>
      <c r="AH7688" s="1"/>
      <c r="AI7688" s="1"/>
      <c r="AJ7688" s="1"/>
      <c r="AK7688" s="1"/>
      <c r="AL7688" s="1"/>
      <c r="AM7688" s="1"/>
    </row>
    <row r="7689" spans="16:39" x14ac:dyDescent="0.25">
      <c r="P7689" s="49"/>
      <c r="Q7689" s="1"/>
      <c r="S7689" s="1"/>
      <c r="T7689" s="1"/>
      <c r="U7689" s="1"/>
      <c r="V7689" s="1"/>
      <c r="W7689" s="1"/>
      <c r="X7689" s="1"/>
      <c r="Y7689" s="1"/>
      <c r="AB7689" s="1"/>
      <c r="AC7689" s="1"/>
      <c r="AD7689" s="1"/>
      <c r="AE7689" s="1"/>
      <c r="AF7689" s="1"/>
      <c r="AG7689" s="1"/>
      <c r="AH7689" s="1"/>
      <c r="AI7689" s="1"/>
      <c r="AJ7689" s="1"/>
      <c r="AK7689" s="1"/>
      <c r="AL7689" s="1"/>
      <c r="AM7689" s="1"/>
    </row>
    <row r="7690" spans="16:39" x14ac:dyDescent="0.25">
      <c r="P7690" s="49"/>
      <c r="Q7690" s="1"/>
      <c r="S7690" s="1"/>
      <c r="T7690" s="1"/>
      <c r="U7690" s="1"/>
      <c r="V7690" s="1"/>
      <c r="W7690" s="1"/>
      <c r="X7690" s="1"/>
      <c r="Y7690" s="1"/>
      <c r="AB7690" s="1"/>
      <c r="AC7690" s="1"/>
      <c r="AD7690" s="1"/>
      <c r="AE7690" s="1"/>
      <c r="AF7690" s="1"/>
      <c r="AG7690" s="1"/>
      <c r="AH7690" s="1"/>
      <c r="AI7690" s="1"/>
      <c r="AJ7690" s="1"/>
      <c r="AK7690" s="1"/>
      <c r="AL7690" s="1"/>
      <c r="AM7690" s="1"/>
    </row>
    <row r="7691" spans="16:39" x14ac:dyDescent="0.25">
      <c r="P7691" s="49"/>
      <c r="Q7691" s="1"/>
      <c r="S7691" s="1"/>
      <c r="T7691" s="1"/>
      <c r="U7691" s="1"/>
      <c r="V7691" s="1"/>
      <c r="W7691" s="1"/>
      <c r="X7691" s="1"/>
      <c r="Y7691" s="1"/>
      <c r="AB7691" s="1"/>
      <c r="AC7691" s="1"/>
      <c r="AD7691" s="1"/>
      <c r="AE7691" s="1"/>
      <c r="AF7691" s="1"/>
      <c r="AG7691" s="1"/>
      <c r="AH7691" s="1"/>
      <c r="AI7691" s="1"/>
      <c r="AJ7691" s="1"/>
      <c r="AK7691" s="1"/>
      <c r="AL7691" s="1"/>
      <c r="AM7691" s="1"/>
    </row>
    <row r="7692" spans="16:39" x14ac:dyDescent="0.25">
      <c r="P7692" s="49"/>
      <c r="Q7692" s="1"/>
      <c r="S7692" s="1"/>
      <c r="T7692" s="1"/>
      <c r="U7692" s="1"/>
      <c r="V7692" s="1"/>
      <c r="W7692" s="1"/>
      <c r="X7692" s="1"/>
      <c r="Y7692" s="1"/>
      <c r="AB7692" s="1"/>
      <c r="AC7692" s="1"/>
      <c r="AD7692" s="1"/>
      <c r="AE7692" s="1"/>
      <c r="AF7692" s="1"/>
      <c r="AG7692" s="1"/>
      <c r="AH7692" s="1"/>
      <c r="AI7692" s="1"/>
      <c r="AJ7692" s="1"/>
      <c r="AK7692" s="1"/>
      <c r="AL7692" s="1"/>
      <c r="AM7692" s="1"/>
    </row>
    <row r="7693" spans="16:39" x14ac:dyDescent="0.25">
      <c r="P7693" s="49"/>
      <c r="Q7693" s="1"/>
      <c r="S7693" s="1"/>
      <c r="T7693" s="1"/>
      <c r="U7693" s="1"/>
      <c r="V7693" s="1"/>
      <c r="W7693" s="1"/>
      <c r="X7693" s="1"/>
      <c r="Y7693" s="1"/>
      <c r="AB7693" s="1"/>
      <c r="AC7693" s="1"/>
      <c r="AD7693" s="1"/>
      <c r="AE7693" s="1"/>
      <c r="AF7693" s="1"/>
      <c r="AG7693" s="1"/>
      <c r="AH7693" s="1"/>
      <c r="AI7693" s="1"/>
      <c r="AJ7693" s="1"/>
      <c r="AK7693" s="1"/>
      <c r="AL7693" s="1"/>
      <c r="AM7693" s="1"/>
    </row>
    <row r="7694" spans="16:39" x14ac:dyDescent="0.25">
      <c r="P7694" s="49"/>
      <c r="Q7694" s="1"/>
      <c r="S7694" s="1"/>
      <c r="T7694" s="1"/>
      <c r="U7694" s="1"/>
      <c r="V7694" s="1"/>
      <c r="W7694" s="1"/>
      <c r="X7694" s="1"/>
      <c r="Y7694" s="1"/>
      <c r="AB7694" s="1"/>
      <c r="AC7694" s="1"/>
      <c r="AD7694" s="1"/>
      <c r="AE7694" s="1"/>
      <c r="AF7694" s="1"/>
      <c r="AG7694" s="1"/>
      <c r="AH7694" s="1"/>
      <c r="AI7694" s="1"/>
      <c r="AJ7694" s="1"/>
      <c r="AK7694" s="1"/>
      <c r="AL7694" s="1"/>
      <c r="AM7694" s="1"/>
    </row>
    <row r="7695" spans="16:39" x14ac:dyDescent="0.25">
      <c r="P7695" s="49"/>
      <c r="Q7695" s="1"/>
      <c r="S7695" s="1"/>
      <c r="T7695" s="1"/>
      <c r="U7695" s="1"/>
      <c r="V7695" s="1"/>
      <c r="W7695" s="1"/>
      <c r="X7695" s="1"/>
      <c r="Y7695" s="1"/>
      <c r="AB7695" s="1"/>
      <c r="AC7695" s="1"/>
      <c r="AD7695" s="1"/>
      <c r="AE7695" s="1"/>
      <c r="AF7695" s="1"/>
      <c r="AG7695" s="1"/>
      <c r="AH7695" s="1"/>
      <c r="AI7695" s="1"/>
      <c r="AJ7695" s="1"/>
      <c r="AK7695" s="1"/>
      <c r="AL7695" s="1"/>
      <c r="AM7695" s="1"/>
    </row>
    <row r="7696" spans="16:39" x14ac:dyDescent="0.25">
      <c r="P7696" s="49"/>
      <c r="Q7696" s="1"/>
      <c r="S7696" s="1"/>
      <c r="T7696" s="1"/>
      <c r="U7696" s="1"/>
      <c r="V7696" s="1"/>
      <c r="W7696" s="1"/>
      <c r="X7696" s="1"/>
      <c r="Y7696" s="1"/>
      <c r="AB7696" s="1"/>
      <c r="AC7696" s="1"/>
      <c r="AD7696" s="1"/>
      <c r="AE7696" s="1"/>
      <c r="AF7696" s="1"/>
      <c r="AG7696" s="1"/>
      <c r="AH7696" s="1"/>
      <c r="AI7696" s="1"/>
      <c r="AJ7696" s="1"/>
      <c r="AK7696" s="1"/>
      <c r="AL7696" s="1"/>
      <c r="AM7696" s="1"/>
    </row>
    <row r="7697" spans="16:39" x14ac:dyDescent="0.25">
      <c r="P7697" s="49"/>
      <c r="Q7697" s="1"/>
      <c r="S7697" s="1"/>
      <c r="T7697" s="1"/>
      <c r="U7697" s="1"/>
      <c r="V7697" s="1"/>
      <c r="W7697" s="1"/>
      <c r="X7697" s="1"/>
      <c r="Y7697" s="1"/>
      <c r="AB7697" s="1"/>
      <c r="AC7697" s="1"/>
      <c r="AD7697" s="1"/>
      <c r="AE7697" s="1"/>
      <c r="AF7697" s="1"/>
      <c r="AG7697" s="1"/>
      <c r="AH7697" s="1"/>
      <c r="AI7697" s="1"/>
      <c r="AJ7697" s="1"/>
      <c r="AK7697" s="1"/>
      <c r="AL7697" s="1"/>
      <c r="AM7697" s="1"/>
    </row>
    <row r="7698" spans="16:39" x14ac:dyDescent="0.25">
      <c r="P7698" s="49"/>
      <c r="Q7698" s="1"/>
      <c r="S7698" s="1"/>
      <c r="T7698" s="1"/>
      <c r="U7698" s="1"/>
      <c r="V7698" s="1"/>
      <c r="W7698" s="1"/>
      <c r="X7698" s="1"/>
      <c r="Y7698" s="1"/>
      <c r="AB7698" s="1"/>
      <c r="AC7698" s="1"/>
      <c r="AD7698" s="1"/>
      <c r="AE7698" s="1"/>
      <c r="AF7698" s="1"/>
      <c r="AG7698" s="1"/>
      <c r="AH7698" s="1"/>
      <c r="AI7698" s="1"/>
      <c r="AJ7698" s="1"/>
      <c r="AK7698" s="1"/>
      <c r="AL7698" s="1"/>
      <c r="AM7698" s="1"/>
    </row>
    <row r="7699" spans="16:39" x14ac:dyDescent="0.25">
      <c r="P7699" s="49"/>
      <c r="Q7699" s="1"/>
      <c r="S7699" s="1"/>
      <c r="T7699" s="1"/>
      <c r="U7699" s="1"/>
      <c r="V7699" s="1"/>
      <c r="W7699" s="1"/>
      <c r="X7699" s="1"/>
      <c r="Y7699" s="1"/>
      <c r="AB7699" s="1"/>
      <c r="AC7699" s="1"/>
      <c r="AD7699" s="1"/>
      <c r="AE7699" s="1"/>
      <c r="AF7699" s="1"/>
      <c r="AG7699" s="1"/>
      <c r="AH7699" s="1"/>
      <c r="AI7699" s="1"/>
      <c r="AJ7699" s="1"/>
      <c r="AK7699" s="1"/>
      <c r="AL7699" s="1"/>
      <c r="AM7699" s="1"/>
    </row>
    <row r="7700" spans="16:39" x14ac:dyDescent="0.25">
      <c r="P7700" s="49"/>
      <c r="Q7700" s="1"/>
      <c r="S7700" s="1"/>
      <c r="T7700" s="1"/>
      <c r="U7700" s="1"/>
      <c r="V7700" s="1"/>
      <c r="W7700" s="1"/>
      <c r="X7700" s="1"/>
      <c r="Y7700" s="1"/>
      <c r="AB7700" s="1"/>
      <c r="AC7700" s="1"/>
      <c r="AD7700" s="1"/>
      <c r="AE7700" s="1"/>
      <c r="AF7700" s="1"/>
      <c r="AG7700" s="1"/>
      <c r="AH7700" s="1"/>
      <c r="AI7700" s="1"/>
      <c r="AJ7700" s="1"/>
      <c r="AK7700" s="1"/>
      <c r="AL7700" s="1"/>
      <c r="AM7700" s="1"/>
    </row>
    <row r="7701" spans="16:39" x14ac:dyDescent="0.25">
      <c r="P7701" s="49"/>
      <c r="Q7701" s="1"/>
      <c r="S7701" s="1"/>
      <c r="T7701" s="1"/>
      <c r="U7701" s="1"/>
      <c r="V7701" s="1"/>
      <c r="W7701" s="1"/>
      <c r="X7701" s="1"/>
      <c r="Y7701" s="1"/>
      <c r="AB7701" s="1"/>
      <c r="AC7701" s="1"/>
      <c r="AD7701" s="1"/>
      <c r="AE7701" s="1"/>
      <c r="AF7701" s="1"/>
      <c r="AG7701" s="1"/>
      <c r="AH7701" s="1"/>
      <c r="AI7701" s="1"/>
      <c r="AJ7701" s="1"/>
      <c r="AK7701" s="1"/>
      <c r="AL7701" s="1"/>
      <c r="AM7701" s="1"/>
    </row>
    <row r="7702" spans="16:39" x14ac:dyDescent="0.25">
      <c r="P7702" s="49"/>
      <c r="Q7702" s="1"/>
      <c r="S7702" s="1"/>
      <c r="T7702" s="1"/>
      <c r="U7702" s="1"/>
      <c r="V7702" s="1"/>
      <c r="W7702" s="1"/>
      <c r="X7702" s="1"/>
      <c r="Y7702" s="1"/>
      <c r="AB7702" s="1"/>
      <c r="AC7702" s="1"/>
      <c r="AD7702" s="1"/>
      <c r="AE7702" s="1"/>
      <c r="AF7702" s="1"/>
      <c r="AG7702" s="1"/>
      <c r="AH7702" s="1"/>
      <c r="AI7702" s="1"/>
      <c r="AJ7702" s="1"/>
      <c r="AK7702" s="1"/>
      <c r="AL7702" s="1"/>
      <c r="AM7702" s="1"/>
    </row>
    <row r="7703" spans="16:39" x14ac:dyDescent="0.25">
      <c r="P7703" s="49"/>
      <c r="Q7703" s="1"/>
      <c r="S7703" s="1"/>
      <c r="T7703" s="1"/>
      <c r="U7703" s="1"/>
      <c r="V7703" s="1"/>
      <c r="W7703" s="1"/>
      <c r="X7703" s="1"/>
      <c r="Y7703" s="1"/>
      <c r="AB7703" s="1"/>
      <c r="AC7703" s="1"/>
      <c r="AD7703" s="1"/>
      <c r="AE7703" s="1"/>
      <c r="AF7703" s="1"/>
      <c r="AG7703" s="1"/>
      <c r="AH7703" s="1"/>
      <c r="AI7703" s="1"/>
      <c r="AJ7703" s="1"/>
      <c r="AK7703" s="1"/>
      <c r="AL7703" s="1"/>
      <c r="AM7703" s="1"/>
    </row>
    <row r="7704" spans="16:39" x14ac:dyDescent="0.25">
      <c r="P7704" s="49"/>
      <c r="Q7704" s="1"/>
      <c r="S7704" s="1"/>
      <c r="T7704" s="1"/>
      <c r="U7704" s="1"/>
      <c r="V7704" s="1"/>
      <c r="W7704" s="1"/>
      <c r="X7704" s="1"/>
      <c r="Y7704" s="1"/>
      <c r="AB7704" s="1"/>
      <c r="AC7704" s="1"/>
      <c r="AD7704" s="1"/>
      <c r="AE7704" s="1"/>
      <c r="AF7704" s="1"/>
      <c r="AG7704" s="1"/>
      <c r="AH7704" s="1"/>
      <c r="AI7704" s="1"/>
      <c r="AJ7704" s="1"/>
      <c r="AK7704" s="1"/>
      <c r="AL7704" s="1"/>
      <c r="AM7704" s="1"/>
    </row>
    <row r="7705" spans="16:39" x14ac:dyDescent="0.25">
      <c r="P7705" s="49"/>
      <c r="Q7705" s="1"/>
      <c r="S7705" s="1"/>
      <c r="T7705" s="1"/>
      <c r="U7705" s="1"/>
      <c r="V7705" s="1"/>
      <c r="W7705" s="1"/>
      <c r="X7705" s="1"/>
      <c r="Y7705" s="1"/>
      <c r="AB7705" s="1"/>
      <c r="AC7705" s="1"/>
      <c r="AD7705" s="1"/>
      <c r="AE7705" s="1"/>
      <c r="AF7705" s="1"/>
      <c r="AG7705" s="1"/>
      <c r="AH7705" s="1"/>
      <c r="AI7705" s="1"/>
      <c r="AJ7705" s="1"/>
      <c r="AK7705" s="1"/>
      <c r="AL7705" s="1"/>
      <c r="AM7705" s="1"/>
    </row>
    <row r="7706" spans="16:39" x14ac:dyDescent="0.25">
      <c r="P7706" s="49"/>
      <c r="Q7706" s="1"/>
      <c r="S7706" s="1"/>
      <c r="T7706" s="1"/>
      <c r="U7706" s="1"/>
      <c r="V7706" s="1"/>
      <c r="W7706" s="1"/>
      <c r="X7706" s="1"/>
      <c r="Y7706" s="1"/>
      <c r="AB7706" s="1"/>
      <c r="AC7706" s="1"/>
      <c r="AD7706" s="1"/>
      <c r="AE7706" s="1"/>
      <c r="AF7706" s="1"/>
      <c r="AG7706" s="1"/>
      <c r="AH7706" s="1"/>
      <c r="AI7706" s="1"/>
      <c r="AJ7706" s="1"/>
      <c r="AK7706" s="1"/>
      <c r="AL7706" s="1"/>
      <c r="AM7706" s="1"/>
    </row>
    <row r="7707" spans="16:39" x14ac:dyDescent="0.25">
      <c r="P7707" s="49"/>
      <c r="Q7707" s="1"/>
      <c r="S7707" s="1"/>
      <c r="T7707" s="1"/>
      <c r="U7707" s="1"/>
      <c r="V7707" s="1"/>
      <c r="W7707" s="1"/>
      <c r="X7707" s="1"/>
      <c r="Y7707" s="1"/>
      <c r="AB7707" s="1"/>
      <c r="AC7707" s="1"/>
      <c r="AD7707" s="1"/>
      <c r="AE7707" s="1"/>
      <c r="AF7707" s="1"/>
      <c r="AG7707" s="1"/>
      <c r="AH7707" s="1"/>
      <c r="AI7707" s="1"/>
      <c r="AJ7707" s="1"/>
      <c r="AK7707" s="1"/>
      <c r="AL7707" s="1"/>
      <c r="AM7707" s="1"/>
    </row>
    <row r="7708" spans="16:39" x14ac:dyDescent="0.25">
      <c r="P7708" s="49"/>
      <c r="Q7708" s="1"/>
      <c r="S7708" s="1"/>
      <c r="T7708" s="1"/>
      <c r="U7708" s="1"/>
      <c r="V7708" s="1"/>
      <c r="W7708" s="1"/>
      <c r="X7708" s="1"/>
      <c r="Y7708" s="1"/>
      <c r="AB7708" s="1"/>
      <c r="AC7708" s="1"/>
      <c r="AD7708" s="1"/>
      <c r="AE7708" s="1"/>
      <c r="AF7708" s="1"/>
      <c r="AG7708" s="1"/>
      <c r="AH7708" s="1"/>
      <c r="AI7708" s="1"/>
      <c r="AJ7708" s="1"/>
      <c r="AK7708" s="1"/>
      <c r="AL7708" s="1"/>
      <c r="AM7708" s="1"/>
    </row>
    <row r="7709" spans="16:39" x14ac:dyDescent="0.25">
      <c r="P7709" s="49"/>
      <c r="Q7709" s="1"/>
      <c r="S7709" s="1"/>
      <c r="T7709" s="1"/>
      <c r="U7709" s="1"/>
      <c r="V7709" s="1"/>
      <c r="W7709" s="1"/>
      <c r="X7709" s="1"/>
      <c r="Y7709" s="1"/>
      <c r="AB7709" s="1"/>
      <c r="AC7709" s="1"/>
      <c r="AD7709" s="1"/>
      <c r="AE7709" s="1"/>
      <c r="AF7709" s="1"/>
      <c r="AG7709" s="1"/>
      <c r="AH7709" s="1"/>
      <c r="AI7709" s="1"/>
      <c r="AJ7709" s="1"/>
      <c r="AK7709" s="1"/>
      <c r="AL7709" s="1"/>
      <c r="AM7709" s="1"/>
    </row>
    <row r="7710" spans="16:39" x14ac:dyDescent="0.25">
      <c r="P7710" s="49"/>
      <c r="Q7710" s="1"/>
      <c r="S7710" s="1"/>
      <c r="T7710" s="1"/>
      <c r="U7710" s="1"/>
      <c r="V7710" s="1"/>
      <c r="W7710" s="1"/>
      <c r="X7710" s="1"/>
      <c r="Y7710" s="1"/>
      <c r="AB7710" s="1"/>
      <c r="AC7710" s="1"/>
      <c r="AD7710" s="1"/>
      <c r="AE7710" s="1"/>
      <c r="AF7710" s="1"/>
      <c r="AG7710" s="1"/>
      <c r="AH7710" s="1"/>
      <c r="AI7710" s="1"/>
      <c r="AJ7710" s="1"/>
      <c r="AK7710" s="1"/>
      <c r="AL7710" s="1"/>
      <c r="AM7710" s="1"/>
    </row>
    <row r="7711" spans="16:39" x14ac:dyDescent="0.25">
      <c r="P7711" s="49"/>
      <c r="Q7711" s="1"/>
      <c r="S7711" s="1"/>
      <c r="T7711" s="1"/>
      <c r="U7711" s="1"/>
      <c r="V7711" s="1"/>
      <c r="W7711" s="1"/>
      <c r="X7711" s="1"/>
      <c r="Y7711" s="1"/>
      <c r="AB7711" s="1"/>
      <c r="AC7711" s="1"/>
      <c r="AD7711" s="1"/>
      <c r="AE7711" s="1"/>
      <c r="AF7711" s="1"/>
      <c r="AG7711" s="1"/>
      <c r="AH7711" s="1"/>
      <c r="AI7711" s="1"/>
      <c r="AJ7711" s="1"/>
      <c r="AK7711" s="1"/>
      <c r="AL7711" s="1"/>
      <c r="AM7711" s="1"/>
    </row>
    <row r="7712" spans="16:39" x14ac:dyDescent="0.25">
      <c r="P7712" s="49"/>
      <c r="Q7712" s="1"/>
      <c r="S7712" s="1"/>
      <c r="T7712" s="1"/>
      <c r="U7712" s="1"/>
      <c r="V7712" s="1"/>
      <c r="W7712" s="1"/>
      <c r="X7712" s="1"/>
      <c r="Y7712" s="1"/>
      <c r="AB7712" s="1"/>
      <c r="AC7712" s="1"/>
      <c r="AD7712" s="1"/>
      <c r="AE7712" s="1"/>
      <c r="AF7712" s="1"/>
      <c r="AG7712" s="1"/>
      <c r="AH7712" s="1"/>
      <c r="AI7712" s="1"/>
      <c r="AJ7712" s="1"/>
      <c r="AK7712" s="1"/>
      <c r="AL7712" s="1"/>
      <c r="AM7712" s="1"/>
    </row>
    <row r="7713" spans="16:39" x14ac:dyDescent="0.25">
      <c r="P7713" s="49"/>
      <c r="Q7713" s="1"/>
      <c r="S7713" s="1"/>
      <c r="T7713" s="1"/>
      <c r="U7713" s="1"/>
      <c r="V7713" s="1"/>
      <c r="W7713" s="1"/>
      <c r="X7713" s="1"/>
      <c r="Y7713" s="1"/>
      <c r="AB7713" s="1"/>
      <c r="AC7713" s="1"/>
      <c r="AD7713" s="1"/>
      <c r="AE7713" s="1"/>
      <c r="AF7713" s="1"/>
      <c r="AG7713" s="1"/>
      <c r="AH7713" s="1"/>
      <c r="AI7713" s="1"/>
      <c r="AJ7713" s="1"/>
      <c r="AK7713" s="1"/>
      <c r="AL7713" s="1"/>
      <c r="AM7713" s="1"/>
    </row>
    <row r="7714" spans="16:39" x14ac:dyDescent="0.25">
      <c r="P7714" s="49"/>
      <c r="Q7714" s="1"/>
      <c r="S7714" s="1"/>
      <c r="T7714" s="1"/>
      <c r="U7714" s="1"/>
      <c r="V7714" s="1"/>
      <c r="W7714" s="1"/>
      <c r="X7714" s="1"/>
      <c r="Y7714" s="1"/>
      <c r="AB7714" s="1"/>
      <c r="AC7714" s="1"/>
      <c r="AD7714" s="1"/>
      <c r="AE7714" s="1"/>
      <c r="AF7714" s="1"/>
      <c r="AG7714" s="1"/>
      <c r="AH7714" s="1"/>
      <c r="AI7714" s="1"/>
      <c r="AJ7714" s="1"/>
      <c r="AK7714" s="1"/>
      <c r="AL7714" s="1"/>
      <c r="AM7714" s="1"/>
    </row>
    <row r="7715" spans="16:39" x14ac:dyDescent="0.25">
      <c r="P7715" s="49"/>
      <c r="Q7715" s="1"/>
      <c r="S7715" s="1"/>
      <c r="T7715" s="1"/>
      <c r="U7715" s="1"/>
      <c r="V7715" s="1"/>
      <c r="W7715" s="1"/>
      <c r="X7715" s="1"/>
      <c r="Y7715" s="1"/>
      <c r="AB7715" s="1"/>
      <c r="AC7715" s="1"/>
      <c r="AD7715" s="1"/>
      <c r="AE7715" s="1"/>
      <c r="AF7715" s="1"/>
      <c r="AG7715" s="1"/>
      <c r="AH7715" s="1"/>
      <c r="AI7715" s="1"/>
      <c r="AJ7715" s="1"/>
      <c r="AK7715" s="1"/>
      <c r="AL7715" s="1"/>
      <c r="AM7715" s="1"/>
    </row>
    <row r="7716" spans="16:39" x14ac:dyDescent="0.25">
      <c r="P7716" s="49"/>
      <c r="Q7716" s="1"/>
      <c r="S7716" s="1"/>
      <c r="T7716" s="1"/>
      <c r="U7716" s="1"/>
      <c r="V7716" s="1"/>
      <c r="W7716" s="1"/>
      <c r="X7716" s="1"/>
      <c r="Y7716" s="1"/>
      <c r="AB7716" s="1"/>
      <c r="AC7716" s="1"/>
      <c r="AD7716" s="1"/>
      <c r="AE7716" s="1"/>
      <c r="AF7716" s="1"/>
      <c r="AG7716" s="1"/>
      <c r="AH7716" s="1"/>
      <c r="AI7716" s="1"/>
      <c r="AJ7716" s="1"/>
      <c r="AK7716" s="1"/>
      <c r="AL7716" s="1"/>
      <c r="AM7716" s="1"/>
    </row>
    <row r="7717" spans="16:39" x14ac:dyDescent="0.25">
      <c r="P7717" s="49"/>
      <c r="Q7717" s="1"/>
      <c r="S7717" s="1"/>
      <c r="T7717" s="1"/>
      <c r="U7717" s="1"/>
      <c r="V7717" s="1"/>
      <c r="W7717" s="1"/>
      <c r="X7717" s="1"/>
      <c r="Y7717" s="1"/>
      <c r="AB7717" s="1"/>
      <c r="AC7717" s="1"/>
      <c r="AD7717" s="1"/>
      <c r="AE7717" s="1"/>
      <c r="AF7717" s="1"/>
      <c r="AG7717" s="1"/>
      <c r="AH7717" s="1"/>
      <c r="AI7717" s="1"/>
      <c r="AJ7717" s="1"/>
      <c r="AK7717" s="1"/>
      <c r="AL7717" s="1"/>
      <c r="AM7717" s="1"/>
    </row>
    <row r="7718" spans="16:39" x14ac:dyDescent="0.25">
      <c r="P7718" s="49"/>
      <c r="Q7718" s="1"/>
      <c r="S7718" s="1"/>
      <c r="T7718" s="1"/>
      <c r="U7718" s="1"/>
      <c r="V7718" s="1"/>
      <c r="W7718" s="1"/>
      <c r="X7718" s="1"/>
      <c r="Y7718" s="1"/>
      <c r="AB7718" s="1"/>
      <c r="AC7718" s="1"/>
      <c r="AD7718" s="1"/>
      <c r="AE7718" s="1"/>
      <c r="AF7718" s="1"/>
      <c r="AG7718" s="1"/>
      <c r="AH7718" s="1"/>
      <c r="AI7718" s="1"/>
      <c r="AJ7718" s="1"/>
      <c r="AK7718" s="1"/>
      <c r="AL7718" s="1"/>
      <c r="AM7718" s="1"/>
    </row>
    <row r="7719" spans="16:39" x14ac:dyDescent="0.25">
      <c r="P7719" s="49"/>
      <c r="Q7719" s="1"/>
      <c r="S7719" s="1"/>
      <c r="T7719" s="1"/>
      <c r="U7719" s="1"/>
      <c r="V7719" s="1"/>
      <c r="W7719" s="1"/>
      <c r="X7719" s="1"/>
      <c r="Y7719" s="1"/>
      <c r="AB7719" s="1"/>
      <c r="AC7719" s="1"/>
      <c r="AD7719" s="1"/>
      <c r="AE7719" s="1"/>
      <c r="AF7719" s="1"/>
      <c r="AG7719" s="1"/>
      <c r="AH7719" s="1"/>
      <c r="AI7719" s="1"/>
      <c r="AJ7719" s="1"/>
      <c r="AK7719" s="1"/>
      <c r="AL7719" s="1"/>
      <c r="AM7719" s="1"/>
    </row>
    <row r="7720" spans="16:39" x14ac:dyDescent="0.25">
      <c r="P7720" s="49"/>
      <c r="Q7720" s="1"/>
      <c r="S7720" s="1"/>
      <c r="T7720" s="1"/>
      <c r="U7720" s="1"/>
      <c r="V7720" s="1"/>
      <c r="W7720" s="1"/>
      <c r="X7720" s="1"/>
      <c r="Y7720" s="1"/>
      <c r="AB7720" s="1"/>
      <c r="AC7720" s="1"/>
      <c r="AD7720" s="1"/>
      <c r="AE7720" s="1"/>
      <c r="AF7720" s="1"/>
      <c r="AG7720" s="1"/>
      <c r="AH7720" s="1"/>
      <c r="AI7720" s="1"/>
      <c r="AJ7720" s="1"/>
      <c r="AK7720" s="1"/>
      <c r="AL7720" s="1"/>
      <c r="AM7720" s="1"/>
    </row>
    <row r="7721" spans="16:39" x14ac:dyDescent="0.25">
      <c r="P7721" s="49"/>
      <c r="Q7721" s="1"/>
      <c r="S7721" s="1"/>
      <c r="T7721" s="1"/>
      <c r="U7721" s="1"/>
      <c r="V7721" s="1"/>
      <c r="W7721" s="1"/>
      <c r="X7721" s="1"/>
      <c r="Y7721" s="1"/>
      <c r="AB7721" s="1"/>
      <c r="AC7721" s="1"/>
      <c r="AD7721" s="1"/>
      <c r="AE7721" s="1"/>
      <c r="AF7721" s="1"/>
      <c r="AG7721" s="1"/>
      <c r="AH7721" s="1"/>
      <c r="AI7721" s="1"/>
      <c r="AJ7721" s="1"/>
      <c r="AK7721" s="1"/>
      <c r="AL7721" s="1"/>
      <c r="AM7721" s="1"/>
    </row>
    <row r="7722" spans="16:39" x14ac:dyDescent="0.25">
      <c r="P7722" s="49"/>
      <c r="Q7722" s="1"/>
      <c r="S7722" s="1"/>
      <c r="T7722" s="1"/>
      <c r="U7722" s="1"/>
      <c r="V7722" s="1"/>
      <c r="W7722" s="1"/>
      <c r="X7722" s="1"/>
      <c r="Y7722" s="1"/>
      <c r="AB7722" s="1"/>
      <c r="AC7722" s="1"/>
      <c r="AD7722" s="1"/>
      <c r="AE7722" s="1"/>
      <c r="AF7722" s="1"/>
      <c r="AG7722" s="1"/>
      <c r="AH7722" s="1"/>
      <c r="AI7722" s="1"/>
      <c r="AJ7722" s="1"/>
      <c r="AK7722" s="1"/>
      <c r="AL7722" s="1"/>
      <c r="AM7722" s="1"/>
    </row>
    <row r="7723" spans="16:39" x14ac:dyDescent="0.25">
      <c r="P7723" s="49"/>
      <c r="Q7723" s="1"/>
      <c r="S7723" s="1"/>
      <c r="T7723" s="1"/>
      <c r="U7723" s="1"/>
      <c r="V7723" s="1"/>
      <c r="W7723" s="1"/>
      <c r="X7723" s="1"/>
      <c r="Y7723" s="1"/>
      <c r="AB7723" s="1"/>
      <c r="AC7723" s="1"/>
      <c r="AD7723" s="1"/>
      <c r="AE7723" s="1"/>
      <c r="AF7723" s="1"/>
      <c r="AG7723" s="1"/>
      <c r="AH7723" s="1"/>
      <c r="AI7723" s="1"/>
      <c r="AJ7723" s="1"/>
      <c r="AK7723" s="1"/>
      <c r="AL7723" s="1"/>
      <c r="AM7723" s="1"/>
    </row>
    <row r="7724" spans="16:39" x14ac:dyDescent="0.25">
      <c r="P7724" s="49"/>
      <c r="Q7724" s="1"/>
      <c r="S7724" s="1"/>
      <c r="T7724" s="1"/>
      <c r="U7724" s="1"/>
      <c r="V7724" s="1"/>
      <c r="W7724" s="1"/>
      <c r="X7724" s="1"/>
      <c r="Y7724" s="1"/>
      <c r="AB7724" s="1"/>
      <c r="AC7724" s="1"/>
      <c r="AD7724" s="1"/>
      <c r="AE7724" s="1"/>
      <c r="AF7724" s="1"/>
      <c r="AG7724" s="1"/>
      <c r="AH7724" s="1"/>
      <c r="AI7724" s="1"/>
      <c r="AJ7724" s="1"/>
      <c r="AK7724" s="1"/>
      <c r="AL7724" s="1"/>
      <c r="AM7724" s="1"/>
    </row>
    <row r="7725" spans="16:39" x14ac:dyDescent="0.25">
      <c r="P7725" s="49"/>
      <c r="Q7725" s="1"/>
      <c r="S7725" s="1"/>
      <c r="T7725" s="1"/>
      <c r="U7725" s="1"/>
      <c r="V7725" s="1"/>
      <c r="W7725" s="1"/>
      <c r="X7725" s="1"/>
      <c r="Y7725" s="1"/>
      <c r="AB7725" s="1"/>
      <c r="AC7725" s="1"/>
      <c r="AD7725" s="1"/>
      <c r="AE7725" s="1"/>
      <c r="AF7725" s="1"/>
      <c r="AG7725" s="1"/>
      <c r="AH7725" s="1"/>
      <c r="AI7725" s="1"/>
      <c r="AJ7725" s="1"/>
      <c r="AK7725" s="1"/>
      <c r="AL7725" s="1"/>
      <c r="AM7725" s="1"/>
    </row>
    <row r="7726" spans="16:39" x14ac:dyDescent="0.25">
      <c r="P7726" s="49"/>
      <c r="Q7726" s="1"/>
      <c r="S7726" s="1"/>
      <c r="T7726" s="1"/>
      <c r="U7726" s="1"/>
      <c r="V7726" s="1"/>
      <c r="W7726" s="1"/>
      <c r="X7726" s="1"/>
      <c r="Y7726" s="1"/>
      <c r="AB7726" s="1"/>
      <c r="AC7726" s="1"/>
      <c r="AD7726" s="1"/>
      <c r="AE7726" s="1"/>
      <c r="AF7726" s="1"/>
      <c r="AG7726" s="1"/>
      <c r="AH7726" s="1"/>
      <c r="AI7726" s="1"/>
      <c r="AJ7726" s="1"/>
      <c r="AK7726" s="1"/>
      <c r="AL7726" s="1"/>
      <c r="AM7726" s="1"/>
    </row>
    <row r="7727" spans="16:39" x14ac:dyDescent="0.25">
      <c r="P7727" s="49"/>
      <c r="Q7727" s="1"/>
      <c r="S7727" s="1"/>
      <c r="T7727" s="1"/>
      <c r="U7727" s="1"/>
      <c r="V7727" s="1"/>
      <c r="W7727" s="1"/>
      <c r="X7727" s="1"/>
      <c r="Y7727" s="1"/>
      <c r="AB7727" s="1"/>
      <c r="AC7727" s="1"/>
      <c r="AD7727" s="1"/>
      <c r="AE7727" s="1"/>
      <c r="AF7727" s="1"/>
      <c r="AG7727" s="1"/>
      <c r="AH7727" s="1"/>
      <c r="AI7727" s="1"/>
      <c r="AJ7727" s="1"/>
      <c r="AK7727" s="1"/>
      <c r="AL7727" s="1"/>
      <c r="AM7727" s="1"/>
    </row>
    <row r="7728" spans="16:39" x14ac:dyDescent="0.25">
      <c r="P7728" s="49"/>
      <c r="Q7728" s="1"/>
      <c r="S7728" s="1"/>
      <c r="T7728" s="1"/>
      <c r="U7728" s="1"/>
      <c r="V7728" s="1"/>
      <c r="W7728" s="1"/>
      <c r="X7728" s="1"/>
      <c r="Y7728" s="1"/>
      <c r="AB7728" s="1"/>
      <c r="AC7728" s="1"/>
      <c r="AD7728" s="1"/>
      <c r="AE7728" s="1"/>
      <c r="AF7728" s="1"/>
      <c r="AG7728" s="1"/>
      <c r="AH7728" s="1"/>
      <c r="AI7728" s="1"/>
      <c r="AJ7728" s="1"/>
      <c r="AK7728" s="1"/>
      <c r="AL7728" s="1"/>
      <c r="AM7728" s="1"/>
    </row>
    <row r="7729" spans="16:39" x14ac:dyDescent="0.25">
      <c r="P7729" s="49"/>
      <c r="Q7729" s="1"/>
      <c r="S7729" s="1"/>
      <c r="T7729" s="1"/>
      <c r="U7729" s="1"/>
      <c r="V7729" s="1"/>
      <c r="W7729" s="1"/>
      <c r="X7729" s="1"/>
      <c r="Y7729" s="1"/>
      <c r="AB7729" s="1"/>
      <c r="AC7729" s="1"/>
      <c r="AD7729" s="1"/>
      <c r="AE7729" s="1"/>
      <c r="AF7729" s="1"/>
      <c r="AG7729" s="1"/>
      <c r="AH7729" s="1"/>
      <c r="AI7729" s="1"/>
      <c r="AJ7729" s="1"/>
      <c r="AK7729" s="1"/>
      <c r="AL7729" s="1"/>
      <c r="AM7729" s="1"/>
    </row>
    <row r="7730" spans="16:39" x14ac:dyDescent="0.25">
      <c r="P7730" s="49"/>
      <c r="Q7730" s="1"/>
      <c r="S7730" s="1"/>
      <c r="T7730" s="1"/>
      <c r="U7730" s="1"/>
      <c r="V7730" s="1"/>
      <c r="W7730" s="1"/>
      <c r="X7730" s="1"/>
      <c r="Y7730" s="1"/>
      <c r="AB7730" s="1"/>
      <c r="AC7730" s="1"/>
      <c r="AD7730" s="1"/>
      <c r="AE7730" s="1"/>
      <c r="AF7730" s="1"/>
      <c r="AG7730" s="1"/>
      <c r="AH7730" s="1"/>
      <c r="AI7730" s="1"/>
      <c r="AJ7730" s="1"/>
      <c r="AK7730" s="1"/>
      <c r="AL7730" s="1"/>
      <c r="AM7730" s="1"/>
    </row>
    <row r="7731" spans="16:39" x14ac:dyDescent="0.25">
      <c r="P7731" s="49"/>
      <c r="Q7731" s="1"/>
      <c r="S7731" s="1"/>
      <c r="T7731" s="1"/>
      <c r="U7731" s="1"/>
      <c r="V7731" s="1"/>
      <c r="W7731" s="1"/>
      <c r="X7731" s="1"/>
      <c r="Y7731" s="1"/>
      <c r="AB7731" s="1"/>
      <c r="AC7731" s="1"/>
      <c r="AD7731" s="1"/>
      <c r="AE7731" s="1"/>
      <c r="AF7731" s="1"/>
      <c r="AG7731" s="1"/>
      <c r="AH7731" s="1"/>
      <c r="AI7731" s="1"/>
      <c r="AJ7731" s="1"/>
      <c r="AK7731" s="1"/>
      <c r="AL7731" s="1"/>
      <c r="AM7731" s="1"/>
    </row>
    <row r="7732" spans="16:39" x14ac:dyDescent="0.25">
      <c r="P7732" s="49"/>
      <c r="Q7732" s="1"/>
      <c r="S7732" s="1"/>
      <c r="T7732" s="1"/>
      <c r="U7732" s="1"/>
      <c r="V7732" s="1"/>
      <c r="W7732" s="1"/>
      <c r="X7732" s="1"/>
      <c r="Y7732" s="1"/>
      <c r="AB7732" s="1"/>
      <c r="AC7732" s="1"/>
      <c r="AD7732" s="1"/>
      <c r="AE7732" s="1"/>
      <c r="AF7732" s="1"/>
      <c r="AG7732" s="1"/>
      <c r="AH7732" s="1"/>
      <c r="AI7732" s="1"/>
      <c r="AJ7732" s="1"/>
      <c r="AK7732" s="1"/>
      <c r="AL7732" s="1"/>
      <c r="AM7732" s="1"/>
    </row>
    <row r="7733" spans="16:39" x14ac:dyDescent="0.25">
      <c r="P7733" s="49"/>
      <c r="Q7733" s="1"/>
      <c r="S7733" s="1"/>
      <c r="T7733" s="1"/>
      <c r="U7733" s="1"/>
      <c r="V7733" s="1"/>
      <c r="W7733" s="1"/>
      <c r="X7733" s="1"/>
      <c r="Y7733" s="1"/>
      <c r="AB7733" s="1"/>
      <c r="AC7733" s="1"/>
      <c r="AD7733" s="1"/>
      <c r="AE7733" s="1"/>
      <c r="AF7733" s="1"/>
      <c r="AG7733" s="1"/>
      <c r="AH7733" s="1"/>
      <c r="AI7733" s="1"/>
      <c r="AJ7733" s="1"/>
      <c r="AK7733" s="1"/>
      <c r="AL7733" s="1"/>
      <c r="AM7733" s="1"/>
    </row>
    <row r="7734" spans="16:39" x14ac:dyDescent="0.25">
      <c r="P7734" s="49"/>
      <c r="Q7734" s="1"/>
      <c r="S7734" s="1"/>
      <c r="T7734" s="1"/>
      <c r="U7734" s="1"/>
      <c r="V7734" s="1"/>
      <c r="W7734" s="1"/>
      <c r="X7734" s="1"/>
      <c r="Y7734" s="1"/>
      <c r="AB7734" s="1"/>
      <c r="AC7734" s="1"/>
      <c r="AD7734" s="1"/>
      <c r="AE7734" s="1"/>
      <c r="AF7734" s="1"/>
      <c r="AG7734" s="1"/>
      <c r="AH7734" s="1"/>
      <c r="AI7734" s="1"/>
      <c r="AJ7734" s="1"/>
      <c r="AK7734" s="1"/>
      <c r="AL7734" s="1"/>
      <c r="AM7734" s="1"/>
    </row>
    <row r="7735" spans="16:39" x14ac:dyDescent="0.25">
      <c r="P7735" s="49"/>
      <c r="Q7735" s="1"/>
      <c r="S7735" s="1"/>
      <c r="T7735" s="1"/>
      <c r="U7735" s="1"/>
      <c r="V7735" s="1"/>
      <c r="W7735" s="1"/>
      <c r="X7735" s="1"/>
      <c r="Y7735" s="1"/>
      <c r="AB7735" s="1"/>
      <c r="AC7735" s="1"/>
      <c r="AD7735" s="1"/>
      <c r="AE7735" s="1"/>
      <c r="AF7735" s="1"/>
      <c r="AG7735" s="1"/>
      <c r="AH7735" s="1"/>
      <c r="AI7735" s="1"/>
      <c r="AJ7735" s="1"/>
      <c r="AK7735" s="1"/>
      <c r="AL7735" s="1"/>
      <c r="AM7735" s="1"/>
    </row>
    <row r="7736" spans="16:39" x14ac:dyDescent="0.25">
      <c r="P7736" s="49"/>
      <c r="Q7736" s="1"/>
      <c r="S7736" s="1"/>
      <c r="T7736" s="1"/>
      <c r="U7736" s="1"/>
      <c r="V7736" s="1"/>
      <c r="W7736" s="1"/>
      <c r="X7736" s="1"/>
      <c r="Y7736" s="1"/>
      <c r="AB7736" s="1"/>
      <c r="AC7736" s="1"/>
      <c r="AD7736" s="1"/>
      <c r="AE7736" s="1"/>
      <c r="AF7736" s="1"/>
      <c r="AG7736" s="1"/>
      <c r="AH7736" s="1"/>
      <c r="AI7736" s="1"/>
      <c r="AJ7736" s="1"/>
      <c r="AK7736" s="1"/>
      <c r="AL7736" s="1"/>
      <c r="AM7736" s="1"/>
    </row>
    <row r="7737" spans="16:39" x14ac:dyDescent="0.25">
      <c r="P7737" s="49"/>
      <c r="Q7737" s="1"/>
      <c r="S7737" s="1"/>
      <c r="T7737" s="1"/>
      <c r="U7737" s="1"/>
      <c r="V7737" s="1"/>
      <c r="W7737" s="1"/>
      <c r="X7737" s="1"/>
      <c r="Y7737" s="1"/>
      <c r="AB7737" s="1"/>
      <c r="AC7737" s="1"/>
      <c r="AD7737" s="1"/>
      <c r="AE7737" s="1"/>
      <c r="AF7737" s="1"/>
      <c r="AG7737" s="1"/>
      <c r="AH7737" s="1"/>
      <c r="AI7737" s="1"/>
      <c r="AJ7737" s="1"/>
      <c r="AK7737" s="1"/>
      <c r="AL7737" s="1"/>
      <c r="AM7737" s="1"/>
    </row>
    <row r="7738" spans="16:39" x14ac:dyDescent="0.25">
      <c r="P7738" s="49"/>
      <c r="Q7738" s="1"/>
      <c r="S7738" s="1"/>
      <c r="T7738" s="1"/>
      <c r="U7738" s="1"/>
      <c r="V7738" s="1"/>
      <c r="W7738" s="1"/>
      <c r="X7738" s="1"/>
      <c r="Y7738" s="1"/>
      <c r="AB7738" s="1"/>
      <c r="AC7738" s="1"/>
      <c r="AD7738" s="1"/>
      <c r="AE7738" s="1"/>
      <c r="AF7738" s="1"/>
      <c r="AG7738" s="1"/>
      <c r="AH7738" s="1"/>
      <c r="AI7738" s="1"/>
      <c r="AJ7738" s="1"/>
      <c r="AK7738" s="1"/>
      <c r="AL7738" s="1"/>
      <c r="AM7738" s="1"/>
    </row>
    <row r="7739" spans="16:39" x14ac:dyDescent="0.25">
      <c r="P7739" s="49"/>
      <c r="Q7739" s="1"/>
      <c r="S7739" s="1"/>
      <c r="T7739" s="1"/>
      <c r="U7739" s="1"/>
      <c r="V7739" s="1"/>
      <c r="W7739" s="1"/>
      <c r="X7739" s="1"/>
      <c r="Y7739" s="1"/>
      <c r="AB7739" s="1"/>
      <c r="AC7739" s="1"/>
      <c r="AD7739" s="1"/>
      <c r="AE7739" s="1"/>
      <c r="AF7739" s="1"/>
      <c r="AG7739" s="1"/>
      <c r="AH7739" s="1"/>
      <c r="AI7739" s="1"/>
      <c r="AJ7739" s="1"/>
      <c r="AK7739" s="1"/>
      <c r="AL7739" s="1"/>
      <c r="AM7739" s="1"/>
    </row>
    <row r="7740" spans="16:39" x14ac:dyDescent="0.25">
      <c r="P7740" s="49"/>
      <c r="Q7740" s="1"/>
      <c r="S7740" s="1"/>
      <c r="T7740" s="1"/>
      <c r="U7740" s="1"/>
      <c r="V7740" s="1"/>
      <c r="W7740" s="1"/>
      <c r="X7740" s="1"/>
      <c r="Y7740" s="1"/>
      <c r="AB7740" s="1"/>
      <c r="AC7740" s="1"/>
      <c r="AD7740" s="1"/>
      <c r="AE7740" s="1"/>
      <c r="AF7740" s="1"/>
      <c r="AG7740" s="1"/>
      <c r="AH7740" s="1"/>
      <c r="AI7740" s="1"/>
      <c r="AJ7740" s="1"/>
      <c r="AK7740" s="1"/>
      <c r="AL7740" s="1"/>
      <c r="AM7740" s="1"/>
    </row>
    <row r="7741" spans="16:39" x14ac:dyDescent="0.25">
      <c r="P7741" s="49"/>
      <c r="Q7741" s="1"/>
      <c r="S7741" s="1"/>
      <c r="T7741" s="1"/>
      <c r="U7741" s="1"/>
      <c r="V7741" s="1"/>
      <c r="W7741" s="1"/>
      <c r="X7741" s="1"/>
      <c r="Y7741" s="1"/>
      <c r="AB7741" s="1"/>
      <c r="AC7741" s="1"/>
      <c r="AD7741" s="1"/>
      <c r="AE7741" s="1"/>
      <c r="AF7741" s="1"/>
      <c r="AG7741" s="1"/>
      <c r="AH7741" s="1"/>
      <c r="AI7741" s="1"/>
      <c r="AJ7741" s="1"/>
      <c r="AK7741" s="1"/>
      <c r="AL7741" s="1"/>
      <c r="AM7741" s="1"/>
    </row>
    <row r="7742" spans="16:39" x14ac:dyDescent="0.25">
      <c r="P7742" s="49"/>
      <c r="Q7742" s="1"/>
      <c r="S7742" s="1"/>
      <c r="T7742" s="1"/>
      <c r="U7742" s="1"/>
      <c r="V7742" s="1"/>
      <c r="W7742" s="1"/>
      <c r="X7742" s="1"/>
      <c r="Y7742" s="1"/>
      <c r="AB7742" s="1"/>
      <c r="AC7742" s="1"/>
      <c r="AD7742" s="1"/>
      <c r="AE7742" s="1"/>
      <c r="AF7742" s="1"/>
      <c r="AG7742" s="1"/>
      <c r="AH7742" s="1"/>
      <c r="AI7742" s="1"/>
      <c r="AJ7742" s="1"/>
      <c r="AK7742" s="1"/>
      <c r="AL7742" s="1"/>
      <c r="AM7742" s="1"/>
    </row>
    <row r="7743" spans="16:39" x14ac:dyDescent="0.25">
      <c r="P7743" s="49"/>
      <c r="Q7743" s="1"/>
      <c r="S7743" s="1"/>
      <c r="T7743" s="1"/>
      <c r="U7743" s="1"/>
      <c r="V7743" s="1"/>
      <c r="W7743" s="1"/>
      <c r="X7743" s="1"/>
      <c r="Y7743" s="1"/>
      <c r="AB7743" s="1"/>
      <c r="AC7743" s="1"/>
      <c r="AD7743" s="1"/>
      <c r="AE7743" s="1"/>
      <c r="AF7743" s="1"/>
      <c r="AG7743" s="1"/>
      <c r="AH7743" s="1"/>
      <c r="AI7743" s="1"/>
      <c r="AJ7743" s="1"/>
      <c r="AK7743" s="1"/>
      <c r="AL7743" s="1"/>
      <c r="AM7743" s="1"/>
    </row>
    <row r="7744" spans="16:39" x14ac:dyDescent="0.25">
      <c r="P7744" s="49"/>
      <c r="Q7744" s="1"/>
      <c r="S7744" s="1"/>
      <c r="T7744" s="1"/>
      <c r="U7744" s="1"/>
      <c r="V7744" s="1"/>
      <c r="W7744" s="1"/>
      <c r="X7744" s="1"/>
      <c r="Y7744" s="1"/>
      <c r="AB7744" s="1"/>
      <c r="AC7744" s="1"/>
      <c r="AD7744" s="1"/>
      <c r="AE7744" s="1"/>
      <c r="AF7744" s="1"/>
      <c r="AG7744" s="1"/>
      <c r="AH7744" s="1"/>
      <c r="AI7744" s="1"/>
      <c r="AJ7744" s="1"/>
      <c r="AK7744" s="1"/>
      <c r="AL7744" s="1"/>
      <c r="AM7744" s="1"/>
    </row>
    <row r="7745" spans="16:39" x14ac:dyDescent="0.25">
      <c r="P7745" s="49"/>
      <c r="Q7745" s="1"/>
      <c r="S7745" s="1"/>
      <c r="T7745" s="1"/>
      <c r="U7745" s="1"/>
      <c r="V7745" s="1"/>
      <c r="W7745" s="1"/>
      <c r="X7745" s="1"/>
      <c r="Y7745" s="1"/>
      <c r="AB7745" s="1"/>
      <c r="AC7745" s="1"/>
      <c r="AD7745" s="1"/>
      <c r="AE7745" s="1"/>
      <c r="AF7745" s="1"/>
      <c r="AG7745" s="1"/>
      <c r="AH7745" s="1"/>
      <c r="AI7745" s="1"/>
      <c r="AJ7745" s="1"/>
      <c r="AK7745" s="1"/>
      <c r="AL7745" s="1"/>
      <c r="AM7745" s="1"/>
    </row>
    <row r="7746" spans="16:39" x14ac:dyDescent="0.25">
      <c r="P7746" s="49"/>
      <c r="Q7746" s="1"/>
      <c r="S7746" s="1"/>
      <c r="T7746" s="1"/>
      <c r="U7746" s="1"/>
      <c r="V7746" s="1"/>
      <c r="W7746" s="1"/>
      <c r="X7746" s="1"/>
      <c r="Y7746" s="1"/>
      <c r="AB7746" s="1"/>
      <c r="AC7746" s="1"/>
      <c r="AD7746" s="1"/>
      <c r="AE7746" s="1"/>
      <c r="AF7746" s="1"/>
      <c r="AG7746" s="1"/>
      <c r="AH7746" s="1"/>
      <c r="AI7746" s="1"/>
      <c r="AJ7746" s="1"/>
      <c r="AK7746" s="1"/>
      <c r="AL7746" s="1"/>
      <c r="AM7746" s="1"/>
    </row>
    <row r="7747" spans="16:39" x14ac:dyDescent="0.25">
      <c r="P7747" s="49"/>
      <c r="Q7747" s="1"/>
      <c r="S7747" s="1"/>
      <c r="T7747" s="1"/>
      <c r="U7747" s="1"/>
      <c r="V7747" s="1"/>
      <c r="W7747" s="1"/>
      <c r="X7747" s="1"/>
      <c r="Y7747" s="1"/>
      <c r="AB7747" s="1"/>
      <c r="AC7747" s="1"/>
      <c r="AD7747" s="1"/>
      <c r="AE7747" s="1"/>
      <c r="AF7747" s="1"/>
      <c r="AG7747" s="1"/>
      <c r="AH7747" s="1"/>
      <c r="AI7747" s="1"/>
      <c r="AJ7747" s="1"/>
      <c r="AK7747" s="1"/>
      <c r="AL7747" s="1"/>
      <c r="AM7747" s="1"/>
    </row>
    <row r="7748" spans="16:39" x14ac:dyDescent="0.25">
      <c r="P7748" s="49"/>
      <c r="Q7748" s="1"/>
      <c r="S7748" s="1"/>
      <c r="T7748" s="1"/>
      <c r="U7748" s="1"/>
      <c r="V7748" s="1"/>
      <c r="W7748" s="1"/>
      <c r="X7748" s="1"/>
      <c r="Y7748" s="1"/>
      <c r="AB7748" s="1"/>
      <c r="AC7748" s="1"/>
      <c r="AD7748" s="1"/>
      <c r="AE7748" s="1"/>
      <c r="AF7748" s="1"/>
      <c r="AG7748" s="1"/>
      <c r="AH7748" s="1"/>
      <c r="AI7748" s="1"/>
      <c r="AJ7748" s="1"/>
      <c r="AK7748" s="1"/>
      <c r="AL7748" s="1"/>
      <c r="AM7748" s="1"/>
    </row>
    <row r="7749" spans="16:39" x14ac:dyDescent="0.25">
      <c r="P7749" s="49"/>
      <c r="Q7749" s="1"/>
      <c r="S7749" s="1"/>
      <c r="T7749" s="1"/>
      <c r="U7749" s="1"/>
      <c r="V7749" s="1"/>
      <c r="W7749" s="1"/>
      <c r="X7749" s="1"/>
      <c r="Y7749" s="1"/>
      <c r="AB7749" s="1"/>
      <c r="AC7749" s="1"/>
      <c r="AD7749" s="1"/>
      <c r="AE7749" s="1"/>
      <c r="AF7749" s="1"/>
      <c r="AG7749" s="1"/>
      <c r="AH7749" s="1"/>
      <c r="AI7749" s="1"/>
      <c r="AJ7749" s="1"/>
      <c r="AK7749" s="1"/>
      <c r="AL7749" s="1"/>
      <c r="AM7749" s="1"/>
    </row>
    <row r="7750" spans="16:39" x14ac:dyDescent="0.25">
      <c r="P7750" s="49"/>
      <c r="Q7750" s="1"/>
      <c r="S7750" s="1"/>
      <c r="T7750" s="1"/>
      <c r="U7750" s="1"/>
      <c r="V7750" s="1"/>
      <c r="W7750" s="1"/>
      <c r="X7750" s="1"/>
      <c r="Y7750" s="1"/>
      <c r="AB7750" s="1"/>
      <c r="AC7750" s="1"/>
      <c r="AD7750" s="1"/>
      <c r="AE7750" s="1"/>
      <c r="AF7750" s="1"/>
      <c r="AG7750" s="1"/>
      <c r="AH7750" s="1"/>
      <c r="AI7750" s="1"/>
      <c r="AJ7750" s="1"/>
      <c r="AK7750" s="1"/>
      <c r="AL7750" s="1"/>
      <c r="AM7750" s="1"/>
    </row>
    <row r="7751" spans="16:39" x14ac:dyDescent="0.25">
      <c r="P7751" s="49"/>
      <c r="Q7751" s="1"/>
      <c r="S7751" s="1"/>
      <c r="T7751" s="1"/>
      <c r="U7751" s="1"/>
      <c r="V7751" s="1"/>
      <c r="W7751" s="1"/>
      <c r="X7751" s="1"/>
      <c r="Y7751" s="1"/>
      <c r="AB7751" s="1"/>
      <c r="AC7751" s="1"/>
      <c r="AD7751" s="1"/>
      <c r="AE7751" s="1"/>
      <c r="AF7751" s="1"/>
      <c r="AG7751" s="1"/>
      <c r="AH7751" s="1"/>
      <c r="AI7751" s="1"/>
      <c r="AJ7751" s="1"/>
      <c r="AK7751" s="1"/>
      <c r="AL7751" s="1"/>
      <c r="AM7751" s="1"/>
    </row>
    <row r="7752" spans="16:39" x14ac:dyDescent="0.25">
      <c r="P7752" s="49"/>
      <c r="Q7752" s="1"/>
      <c r="S7752" s="1"/>
      <c r="T7752" s="1"/>
      <c r="U7752" s="1"/>
      <c r="V7752" s="1"/>
      <c r="W7752" s="1"/>
      <c r="X7752" s="1"/>
      <c r="Y7752" s="1"/>
      <c r="AB7752" s="1"/>
      <c r="AC7752" s="1"/>
      <c r="AD7752" s="1"/>
      <c r="AE7752" s="1"/>
      <c r="AF7752" s="1"/>
      <c r="AG7752" s="1"/>
      <c r="AH7752" s="1"/>
      <c r="AI7752" s="1"/>
      <c r="AJ7752" s="1"/>
      <c r="AK7752" s="1"/>
      <c r="AL7752" s="1"/>
      <c r="AM7752" s="1"/>
    </row>
    <row r="7753" spans="16:39" x14ac:dyDescent="0.25">
      <c r="P7753" s="49"/>
      <c r="Q7753" s="1"/>
      <c r="S7753" s="1"/>
      <c r="T7753" s="1"/>
      <c r="U7753" s="1"/>
      <c r="V7753" s="1"/>
      <c r="W7753" s="1"/>
      <c r="X7753" s="1"/>
      <c r="Y7753" s="1"/>
      <c r="AB7753" s="1"/>
      <c r="AC7753" s="1"/>
      <c r="AD7753" s="1"/>
      <c r="AE7753" s="1"/>
      <c r="AF7753" s="1"/>
      <c r="AG7753" s="1"/>
      <c r="AH7753" s="1"/>
      <c r="AI7753" s="1"/>
      <c r="AJ7753" s="1"/>
      <c r="AK7753" s="1"/>
      <c r="AL7753" s="1"/>
      <c r="AM7753" s="1"/>
    </row>
    <row r="7754" spans="16:39" x14ac:dyDescent="0.25">
      <c r="P7754" s="49"/>
      <c r="Q7754" s="1"/>
      <c r="S7754" s="1"/>
      <c r="T7754" s="1"/>
      <c r="U7754" s="1"/>
      <c r="V7754" s="1"/>
      <c r="W7754" s="1"/>
      <c r="X7754" s="1"/>
      <c r="Y7754" s="1"/>
      <c r="AB7754" s="1"/>
      <c r="AC7754" s="1"/>
      <c r="AD7754" s="1"/>
      <c r="AE7754" s="1"/>
      <c r="AF7754" s="1"/>
      <c r="AG7754" s="1"/>
      <c r="AH7754" s="1"/>
      <c r="AI7754" s="1"/>
      <c r="AJ7754" s="1"/>
      <c r="AK7754" s="1"/>
      <c r="AL7754" s="1"/>
      <c r="AM7754" s="1"/>
    </row>
    <row r="7755" spans="16:39" x14ac:dyDescent="0.25">
      <c r="P7755" s="49"/>
      <c r="Q7755" s="1"/>
      <c r="S7755" s="1"/>
      <c r="T7755" s="1"/>
      <c r="U7755" s="1"/>
      <c r="V7755" s="1"/>
      <c r="W7755" s="1"/>
      <c r="X7755" s="1"/>
      <c r="Y7755" s="1"/>
      <c r="AB7755" s="1"/>
      <c r="AC7755" s="1"/>
      <c r="AD7755" s="1"/>
      <c r="AE7755" s="1"/>
      <c r="AF7755" s="1"/>
      <c r="AG7755" s="1"/>
      <c r="AH7755" s="1"/>
      <c r="AI7755" s="1"/>
      <c r="AJ7755" s="1"/>
      <c r="AK7755" s="1"/>
      <c r="AL7755" s="1"/>
      <c r="AM7755" s="1"/>
    </row>
    <row r="7756" spans="16:39" x14ac:dyDescent="0.25">
      <c r="P7756" s="49"/>
      <c r="Q7756" s="1"/>
      <c r="S7756" s="1"/>
      <c r="T7756" s="1"/>
      <c r="U7756" s="1"/>
      <c r="V7756" s="1"/>
      <c r="W7756" s="1"/>
      <c r="X7756" s="1"/>
      <c r="Y7756" s="1"/>
      <c r="AB7756" s="1"/>
      <c r="AC7756" s="1"/>
      <c r="AD7756" s="1"/>
      <c r="AE7756" s="1"/>
      <c r="AF7756" s="1"/>
      <c r="AG7756" s="1"/>
      <c r="AH7756" s="1"/>
      <c r="AI7756" s="1"/>
      <c r="AJ7756" s="1"/>
      <c r="AK7756" s="1"/>
      <c r="AL7756" s="1"/>
      <c r="AM7756" s="1"/>
    </row>
    <row r="7757" spans="16:39" x14ac:dyDescent="0.25">
      <c r="P7757" s="49"/>
      <c r="Q7757" s="1"/>
      <c r="S7757" s="1"/>
      <c r="T7757" s="1"/>
      <c r="U7757" s="1"/>
      <c r="V7757" s="1"/>
      <c r="W7757" s="1"/>
      <c r="X7757" s="1"/>
      <c r="Y7757" s="1"/>
      <c r="AB7757" s="1"/>
      <c r="AC7757" s="1"/>
      <c r="AD7757" s="1"/>
      <c r="AE7757" s="1"/>
      <c r="AF7757" s="1"/>
      <c r="AG7757" s="1"/>
      <c r="AH7757" s="1"/>
      <c r="AI7757" s="1"/>
      <c r="AJ7757" s="1"/>
      <c r="AK7757" s="1"/>
      <c r="AL7757" s="1"/>
      <c r="AM7757" s="1"/>
    </row>
    <row r="7758" spans="16:39" x14ac:dyDescent="0.25">
      <c r="P7758" s="49"/>
      <c r="Q7758" s="1"/>
      <c r="S7758" s="1"/>
      <c r="T7758" s="1"/>
      <c r="U7758" s="1"/>
      <c r="V7758" s="1"/>
      <c r="W7758" s="1"/>
      <c r="X7758" s="1"/>
      <c r="Y7758" s="1"/>
      <c r="AB7758" s="1"/>
      <c r="AC7758" s="1"/>
      <c r="AD7758" s="1"/>
      <c r="AE7758" s="1"/>
      <c r="AF7758" s="1"/>
      <c r="AG7758" s="1"/>
      <c r="AH7758" s="1"/>
      <c r="AI7758" s="1"/>
      <c r="AJ7758" s="1"/>
      <c r="AK7758" s="1"/>
      <c r="AL7758" s="1"/>
      <c r="AM7758" s="1"/>
    </row>
    <row r="7759" spans="16:39" x14ac:dyDescent="0.25">
      <c r="P7759" s="49"/>
      <c r="Q7759" s="1"/>
      <c r="S7759" s="1"/>
      <c r="T7759" s="1"/>
      <c r="U7759" s="1"/>
      <c r="V7759" s="1"/>
      <c r="W7759" s="1"/>
      <c r="X7759" s="1"/>
      <c r="Y7759" s="1"/>
      <c r="AB7759" s="1"/>
      <c r="AC7759" s="1"/>
      <c r="AD7759" s="1"/>
      <c r="AE7759" s="1"/>
      <c r="AF7759" s="1"/>
      <c r="AG7759" s="1"/>
      <c r="AH7759" s="1"/>
      <c r="AI7759" s="1"/>
      <c r="AJ7759" s="1"/>
      <c r="AK7759" s="1"/>
      <c r="AL7759" s="1"/>
      <c r="AM7759" s="1"/>
    </row>
    <row r="7760" spans="16:39" x14ac:dyDescent="0.25">
      <c r="P7760" s="49"/>
      <c r="Q7760" s="1"/>
      <c r="S7760" s="1"/>
      <c r="T7760" s="1"/>
      <c r="U7760" s="1"/>
      <c r="V7760" s="1"/>
      <c r="W7760" s="1"/>
      <c r="X7760" s="1"/>
      <c r="Y7760" s="1"/>
      <c r="AB7760" s="1"/>
      <c r="AC7760" s="1"/>
      <c r="AD7760" s="1"/>
      <c r="AE7760" s="1"/>
      <c r="AF7760" s="1"/>
      <c r="AG7760" s="1"/>
      <c r="AH7760" s="1"/>
      <c r="AI7760" s="1"/>
      <c r="AJ7760" s="1"/>
      <c r="AK7760" s="1"/>
      <c r="AL7760" s="1"/>
      <c r="AM7760" s="1"/>
    </row>
    <row r="7761" spans="16:39" x14ac:dyDescent="0.25">
      <c r="P7761" s="49"/>
      <c r="Q7761" s="1"/>
      <c r="S7761" s="1"/>
      <c r="T7761" s="1"/>
      <c r="U7761" s="1"/>
      <c r="V7761" s="1"/>
      <c r="W7761" s="1"/>
      <c r="X7761" s="1"/>
      <c r="Y7761" s="1"/>
      <c r="AB7761" s="1"/>
      <c r="AC7761" s="1"/>
      <c r="AD7761" s="1"/>
      <c r="AE7761" s="1"/>
      <c r="AF7761" s="1"/>
      <c r="AG7761" s="1"/>
      <c r="AH7761" s="1"/>
      <c r="AI7761" s="1"/>
      <c r="AJ7761" s="1"/>
      <c r="AK7761" s="1"/>
      <c r="AL7761" s="1"/>
      <c r="AM7761" s="1"/>
    </row>
    <row r="7762" spans="16:39" x14ac:dyDescent="0.25">
      <c r="P7762" s="49"/>
      <c r="Q7762" s="1"/>
      <c r="S7762" s="1"/>
      <c r="T7762" s="1"/>
      <c r="U7762" s="1"/>
      <c r="V7762" s="1"/>
      <c r="W7762" s="1"/>
      <c r="X7762" s="1"/>
      <c r="Y7762" s="1"/>
      <c r="AB7762" s="1"/>
      <c r="AC7762" s="1"/>
      <c r="AD7762" s="1"/>
      <c r="AE7762" s="1"/>
      <c r="AF7762" s="1"/>
      <c r="AG7762" s="1"/>
      <c r="AH7762" s="1"/>
      <c r="AI7762" s="1"/>
      <c r="AJ7762" s="1"/>
      <c r="AK7762" s="1"/>
      <c r="AL7762" s="1"/>
      <c r="AM7762" s="1"/>
    </row>
    <row r="7763" spans="16:39" x14ac:dyDescent="0.25">
      <c r="P7763" s="49"/>
      <c r="Q7763" s="1"/>
      <c r="S7763" s="1"/>
      <c r="T7763" s="1"/>
      <c r="U7763" s="1"/>
      <c r="V7763" s="1"/>
      <c r="W7763" s="1"/>
      <c r="X7763" s="1"/>
      <c r="Y7763" s="1"/>
      <c r="AB7763" s="1"/>
      <c r="AC7763" s="1"/>
      <c r="AD7763" s="1"/>
      <c r="AE7763" s="1"/>
      <c r="AF7763" s="1"/>
      <c r="AG7763" s="1"/>
      <c r="AH7763" s="1"/>
      <c r="AI7763" s="1"/>
      <c r="AJ7763" s="1"/>
      <c r="AK7763" s="1"/>
      <c r="AL7763" s="1"/>
      <c r="AM7763" s="1"/>
    </row>
    <row r="7764" spans="16:39" x14ac:dyDescent="0.25">
      <c r="P7764" s="49"/>
      <c r="Q7764" s="1"/>
      <c r="S7764" s="1"/>
      <c r="T7764" s="1"/>
      <c r="U7764" s="1"/>
      <c r="V7764" s="1"/>
      <c r="W7764" s="1"/>
      <c r="X7764" s="1"/>
      <c r="Y7764" s="1"/>
      <c r="AB7764" s="1"/>
      <c r="AC7764" s="1"/>
      <c r="AD7764" s="1"/>
      <c r="AE7764" s="1"/>
      <c r="AF7764" s="1"/>
      <c r="AG7764" s="1"/>
      <c r="AH7764" s="1"/>
      <c r="AI7764" s="1"/>
      <c r="AJ7764" s="1"/>
      <c r="AK7764" s="1"/>
      <c r="AL7764" s="1"/>
      <c r="AM7764" s="1"/>
    </row>
    <row r="7765" spans="16:39" x14ac:dyDescent="0.25">
      <c r="P7765" s="49"/>
      <c r="Q7765" s="1"/>
      <c r="S7765" s="1"/>
      <c r="T7765" s="1"/>
      <c r="U7765" s="1"/>
      <c r="V7765" s="1"/>
      <c r="W7765" s="1"/>
      <c r="X7765" s="1"/>
      <c r="Y7765" s="1"/>
      <c r="AB7765" s="1"/>
      <c r="AC7765" s="1"/>
      <c r="AD7765" s="1"/>
      <c r="AE7765" s="1"/>
      <c r="AF7765" s="1"/>
      <c r="AG7765" s="1"/>
      <c r="AH7765" s="1"/>
      <c r="AI7765" s="1"/>
      <c r="AJ7765" s="1"/>
      <c r="AK7765" s="1"/>
      <c r="AL7765" s="1"/>
      <c r="AM7765" s="1"/>
    </row>
    <row r="7766" spans="16:39" x14ac:dyDescent="0.25">
      <c r="P7766" s="49"/>
      <c r="Q7766" s="1"/>
      <c r="S7766" s="1"/>
      <c r="T7766" s="1"/>
      <c r="U7766" s="1"/>
      <c r="V7766" s="1"/>
      <c r="W7766" s="1"/>
      <c r="X7766" s="1"/>
      <c r="Y7766" s="1"/>
      <c r="AB7766" s="1"/>
      <c r="AC7766" s="1"/>
      <c r="AD7766" s="1"/>
      <c r="AE7766" s="1"/>
      <c r="AF7766" s="1"/>
      <c r="AG7766" s="1"/>
      <c r="AH7766" s="1"/>
      <c r="AI7766" s="1"/>
      <c r="AJ7766" s="1"/>
      <c r="AK7766" s="1"/>
      <c r="AL7766" s="1"/>
      <c r="AM7766" s="1"/>
    </row>
    <row r="7767" spans="16:39" x14ac:dyDescent="0.25">
      <c r="P7767" s="49"/>
      <c r="Q7767" s="1"/>
      <c r="S7767" s="1"/>
      <c r="T7767" s="1"/>
      <c r="U7767" s="1"/>
      <c r="V7767" s="1"/>
      <c r="W7767" s="1"/>
      <c r="X7767" s="1"/>
      <c r="Y7767" s="1"/>
      <c r="AB7767" s="1"/>
      <c r="AC7767" s="1"/>
      <c r="AD7767" s="1"/>
      <c r="AE7767" s="1"/>
      <c r="AF7767" s="1"/>
      <c r="AG7767" s="1"/>
      <c r="AH7767" s="1"/>
      <c r="AI7767" s="1"/>
      <c r="AJ7767" s="1"/>
      <c r="AK7767" s="1"/>
      <c r="AL7767" s="1"/>
      <c r="AM7767" s="1"/>
    </row>
    <row r="7768" spans="16:39" x14ac:dyDescent="0.25">
      <c r="P7768" s="49"/>
      <c r="Q7768" s="1"/>
      <c r="S7768" s="1"/>
      <c r="T7768" s="1"/>
      <c r="U7768" s="1"/>
      <c r="V7768" s="1"/>
      <c r="W7768" s="1"/>
      <c r="X7768" s="1"/>
      <c r="Y7768" s="1"/>
      <c r="AB7768" s="1"/>
      <c r="AC7768" s="1"/>
      <c r="AD7768" s="1"/>
      <c r="AE7768" s="1"/>
      <c r="AF7768" s="1"/>
      <c r="AG7768" s="1"/>
      <c r="AH7768" s="1"/>
      <c r="AI7768" s="1"/>
      <c r="AJ7768" s="1"/>
      <c r="AK7768" s="1"/>
      <c r="AL7768" s="1"/>
      <c r="AM7768" s="1"/>
    </row>
    <row r="7769" spans="16:39" x14ac:dyDescent="0.25">
      <c r="P7769" s="49"/>
      <c r="Q7769" s="1"/>
      <c r="S7769" s="1"/>
      <c r="T7769" s="1"/>
      <c r="U7769" s="1"/>
      <c r="V7769" s="1"/>
      <c r="W7769" s="1"/>
      <c r="X7769" s="1"/>
      <c r="Y7769" s="1"/>
      <c r="AB7769" s="1"/>
      <c r="AC7769" s="1"/>
      <c r="AD7769" s="1"/>
      <c r="AE7769" s="1"/>
      <c r="AF7769" s="1"/>
      <c r="AG7769" s="1"/>
      <c r="AH7769" s="1"/>
      <c r="AI7769" s="1"/>
      <c r="AJ7769" s="1"/>
      <c r="AK7769" s="1"/>
      <c r="AL7769" s="1"/>
      <c r="AM7769" s="1"/>
    </row>
    <row r="7770" spans="16:39" x14ac:dyDescent="0.25">
      <c r="P7770" s="49"/>
      <c r="Q7770" s="1"/>
      <c r="S7770" s="1"/>
      <c r="T7770" s="1"/>
      <c r="U7770" s="1"/>
      <c r="V7770" s="1"/>
      <c r="W7770" s="1"/>
      <c r="X7770" s="1"/>
      <c r="Y7770" s="1"/>
      <c r="AB7770" s="1"/>
      <c r="AC7770" s="1"/>
      <c r="AD7770" s="1"/>
      <c r="AE7770" s="1"/>
      <c r="AF7770" s="1"/>
      <c r="AG7770" s="1"/>
      <c r="AH7770" s="1"/>
      <c r="AI7770" s="1"/>
      <c r="AJ7770" s="1"/>
      <c r="AK7770" s="1"/>
      <c r="AL7770" s="1"/>
      <c r="AM7770" s="1"/>
    </row>
    <row r="7771" spans="16:39" x14ac:dyDescent="0.25">
      <c r="P7771" s="49"/>
      <c r="Q7771" s="1"/>
      <c r="S7771" s="1"/>
      <c r="T7771" s="1"/>
      <c r="U7771" s="1"/>
      <c r="V7771" s="1"/>
      <c r="W7771" s="1"/>
      <c r="X7771" s="1"/>
      <c r="Y7771" s="1"/>
      <c r="AB7771" s="1"/>
      <c r="AC7771" s="1"/>
      <c r="AD7771" s="1"/>
      <c r="AE7771" s="1"/>
      <c r="AF7771" s="1"/>
      <c r="AG7771" s="1"/>
      <c r="AH7771" s="1"/>
      <c r="AI7771" s="1"/>
      <c r="AJ7771" s="1"/>
      <c r="AK7771" s="1"/>
      <c r="AL7771" s="1"/>
      <c r="AM7771" s="1"/>
    </row>
    <row r="7772" spans="16:39" x14ac:dyDescent="0.25">
      <c r="P7772" s="49"/>
      <c r="Q7772" s="1"/>
      <c r="S7772" s="1"/>
      <c r="T7772" s="1"/>
      <c r="U7772" s="1"/>
      <c r="V7772" s="1"/>
      <c r="W7772" s="1"/>
      <c r="X7772" s="1"/>
      <c r="Y7772" s="1"/>
      <c r="AB7772" s="1"/>
      <c r="AC7772" s="1"/>
      <c r="AD7772" s="1"/>
      <c r="AE7772" s="1"/>
      <c r="AF7772" s="1"/>
      <c r="AG7772" s="1"/>
      <c r="AH7772" s="1"/>
      <c r="AI7772" s="1"/>
      <c r="AJ7772" s="1"/>
      <c r="AK7772" s="1"/>
      <c r="AL7772" s="1"/>
      <c r="AM7772" s="1"/>
    </row>
    <row r="7773" spans="16:39" x14ac:dyDescent="0.25">
      <c r="P7773" s="49"/>
      <c r="Q7773" s="1"/>
      <c r="S7773" s="1"/>
      <c r="T7773" s="1"/>
      <c r="U7773" s="1"/>
      <c r="V7773" s="1"/>
      <c r="W7773" s="1"/>
      <c r="X7773" s="1"/>
      <c r="Y7773" s="1"/>
      <c r="AB7773" s="1"/>
      <c r="AC7773" s="1"/>
      <c r="AD7773" s="1"/>
      <c r="AE7773" s="1"/>
      <c r="AF7773" s="1"/>
      <c r="AG7773" s="1"/>
      <c r="AH7773" s="1"/>
      <c r="AI7773" s="1"/>
      <c r="AJ7773" s="1"/>
      <c r="AK7773" s="1"/>
      <c r="AL7773" s="1"/>
      <c r="AM7773" s="1"/>
    </row>
    <row r="7774" spans="16:39" x14ac:dyDescent="0.25">
      <c r="P7774" s="49"/>
      <c r="Q7774" s="1"/>
      <c r="S7774" s="1"/>
      <c r="T7774" s="1"/>
      <c r="U7774" s="1"/>
      <c r="V7774" s="1"/>
      <c r="W7774" s="1"/>
      <c r="X7774" s="1"/>
      <c r="Y7774" s="1"/>
      <c r="AB7774" s="1"/>
      <c r="AC7774" s="1"/>
      <c r="AD7774" s="1"/>
      <c r="AE7774" s="1"/>
      <c r="AF7774" s="1"/>
      <c r="AG7774" s="1"/>
      <c r="AH7774" s="1"/>
      <c r="AI7774" s="1"/>
      <c r="AJ7774" s="1"/>
      <c r="AK7774" s="1"/>
      <c r="AL7774" s="1"/>
      <c r="AM7774" s="1"/>
    </row>
    <row r="7775" spans="16:39" x14ac:dyDescent="0.25">
      <c r="P7775" s="49"/>
      <c r="Q7775" s="1"/>
      <c r="S7775" s="1"/>
      <c r="T7775" s="1"/>
      <c r="U7775" s="1"/>
      <c r="V7775" s="1"/>
      <c r="W7775" s="1"/>
      <c r="X7775" s="1"/>
      <c r="Y7775" s="1"/>
      <c r="AB7775" s="1"/>
      <c r="AC7775" s="1"/>
      <c r="AD7775" s="1"/>
      <c r="AE7775" s="1"/>
      <c r="AF7775" s="1"/>
      <c r="AG7775" s="1"/>
      <c r="AH7775" s="1"/>
      <c r="AI7775" s="1"/>
      <c r="AJ7775" s="1"/>
      <c r="AK7775" s="1"/>
      <c r="AL7775" s="1"/>
      <c r="AM7775" s="1"/>
    </row>
    <row r="7776" spans="16:39" x14ac:dyDescent="0.25">
      <c r="P7776" s="49"/>
      <c r="Q7776" s="1"/>
      <c r="S7776" s="1"/>
      <c r="T7776" s="1"/>
      <c r="U7776" s="1"/>
      <c r="V7776" s="1"/>
      <c r="W7776" s="1"/>
      <c r="X7776" s="1"/>
      <c r="Y7776" s="1"/>
      <c r="AB7776" s="1"/>
      <c r="AC7776" s="1"/>
      <c r="AD7776" s="1"/>
      <c r="AE7776" s="1"/>
      <c r="AF7776" s="1"/>
      <c r="AG7776" s="1"/>
      <c r="AH7776" s="1"/>
      <c r="AI7776" s="1"/>
      <c r="AJ7776" s="1"/>
      <c r="AK7776" s="1"/>
      <c r="AL7776" s="1"/>
      <c r="AM7776" s="1"/>
    </row>
    <row r="7777" spans="16:39" x14ac:dyDescent="0.25">
      <c r="P7777" s="49"/>
      <c r="Q7777" s="1"/>
      <c r="S7777" s="1"/>
      <c r="T7777" s="1"/>
      <c r="U7777" s="1"/>
      <c r="V7777" s="1"/>
      <c r="W7777" s="1"/>
      <c r="X7777" s="1"/>
      <c r="Y7777" s="1"/>
      <c r="AB7777" s="1"/>
      <c r="AC7777" s="1"/>
      <c r="AD7777" s="1"/>
      <c r="AE7777" s="1"/>
      <c r="AF7777" s="1"/>
      <c r="AG7777" s="1"/>
      <c r="AH7777" s="1"/>
      <c r="AI7777" s="1"/>
      <c r="AJ7777" s="1"/>
      <c r="AK7777" s="1"/>
      <c r="AL7777" s="1"/>
      <c r="AM7777" s="1"/>
    </row>
    <row r="7778" spans="16:39" x14ac:dyDescent="0.25">
      <c r="P7778" s="49"/>
      <c r="Q7778" s="1"/>
      <c r="S7778" s="1"/>
      <c r="T7778" s="1"/>
      <c r="U7778" s="1"/>
      <c r="V7778" s="1"/>
      <c r="W7778" s="1"/>
      <c r="X7778" s="1"/>
      <c r="Y7778" s="1"/>
      <c r="AB7778" s="1"/>
      <c r="AC7778" s="1"/>
      <c r="AD7778" s="1"/>
      <c r="AE7778" s="1"/>
      <c r="AF7778" s="1"/>
      <c r="AG7778" s="1"/>
      <c r="AH7778" s="1"/>
      <c r="AI7778" s="1"/>
      <c r="AJ7778" s="1"/>
      <c r="AK7778" s="1"/>
      <c r="AL7778" s="1"/>
      <c r="AM7778" s="1"/>
    </row>
    <row r="7779" spans="16:39" x14ac:dyDescent="0.25">
      <c r="P7779" s="49"/>
      <c r="Q7779" s="1"/>
      <c r="S7779" s="1"/>
      <c r="T7779" s="1"/>
      <c r="U7779" s="1"/>
      <c r="V7779" s="1"/>
      <c r="W7779" s="1"/>
      <c r="X7779" s="1"/>
      <c r="Y7779" s="1"/>
      <c r="AB7779" s="1"/>
      <c r="AC7779" s="1"/>
      <c r="AD7779" s="1"/>
      <c r="AE7779" s="1"/>
      <c r="AF7779" s="1"/>
      <c r="AG7779" s="1"/>
      <c r="AH7779" s="1"/>
      <c r="AI7779" s="1"/>
      <c r="AJ7779" s="1"/>
      <c r="AK7779" s="1"/>
      <c r="AL7779" s="1"/>
      <c r="AM7779" s="1"/>
    </row>
    <row r="7780" spans="16:39" x14ac:dyDescent="0.25">
      <c r="P7780" s="49"/>
      <c r="Q7780" s="1"/>
      <c r="S7780" s="1"/>
      <c r="T7780" s="1"/>
      <c r="U7780" s="1"/>
      <c r="V7780" s="1"/>
      <c r="W7780" s="1"/>
      <c r="X7780" s="1"/>
      <c r="Y7780" s="1"/>
      <c r="AB7780" s="1"/>
      <c r="AC7780" s="1"/>
      <c r="AD7780" s="1"/>
      <c r="AE7780" s="1"/>
      <c r="AF7780" s="1"/>
      <c r="AG7780" s="1"/>
      <c r="AH7780" s="1"/>
      <c r="AI7780" s="1"/>
      <c r="AJ7780" s="1"/>
      <c r="AK7780" s="1"/>
      <c r="AL7780" s="1"/>
      <c r="AM7780" s="1"/>
    </row>
    <row r="7781" spans="16:39" x14ac:dyDescent="0.25">
      <c r="P7781" s="49"/>
      <c r="Q7781" s="1"/>
      <c r="S7781" s="1"/>
      <c r="T7781" s="1"/>
      <c r="U7781" s="1"/>
      <c r="V7781" s="1"/>
      <c r="W7781" s="1"/>
      <c r="X7781" s="1"/>
      <c r="Y7781" s="1"/>
      <c r="AB7781" s="1"/>
      <c r="AC7781" s="1"/>
      <c r="AD7781" s="1"/>
      <c r="AE7781" s="1"/>
      <c r="AF7781" s="1"/>
      <c r="AG7781" s="1"/>
      <c r="AH7781" s="1"/>
      <c r="AI7781" s="1"/>
      <c r="AJ7781" s="1"/>
      <c r="AK7781" s="1"/>
      <c r="AL7781" s="1"/>
      <c r="AM7781" s="1"/>
    </row>
    <row r="7782" spans="16:39" x14ac:dyDescent="0.25">
      <c r="P7782" s="49"/>
      <c r="Q7782" s="1"/>
      <c r="S7782" s="1"/>
      <c r="T7782" s="1"/>
      <c r="U7782" s="1"/>
      <c r="V7782" s="1"/>
      <c r="W7782" s="1"/>
      <c r="X7782" s="1"/>
      <c r="Y7782" s="1"/>
      <c r="AB7782" s="1"/>
      <c r="AC7782" s="1"/>
      <c r="AD7782" s="1"/>
      <c r="AE7782" s="1"/>
      <c r="AF7782" s="1"/>
      <c r="AG7782" s="1"/>
      <c r="AH7782" s="1"/>
      <c r="AI7782" s="1"/>
      <c r="AJ7782" s="1"/>
      <c r="AK7782" s="1"/>
      <c r="AL7782" s="1"/>
      <c r="AM7782" s="1"/>
    </row>
    <row r="7783" spans="16:39" x14ac:dyDescent="0.25">
      <c r="P7783" s="49"/>
      <c r="Q7783" s="1"/>
      <c r="S7783" s="1"/>
      <c r="T7783" s="1"/>
      <c r="U7783" s="1"/>
      <c r="V7783" s="1"/>
      <c r="W7783" s="1"/>
      <c r="X7783" s="1"/>
      <c r="Y7783" s="1"/>
      <c r="AB7783" s="1"/>
      <c r="AC7783" s="1"/>
      <c r="AD7783" s="1"/>
      <c r="AE7783" s="1"/>
      <c r="AF7783" s="1"/>
      <c r="AG7783" s="1"/>
      <c r="AH7783" s="1"/>
      <c r="AI7783" s="1"/>
      <c r="AJ7783" s="1"/>
      <c r="AK7783" s="1"/>
      <c r="AL7783" s="1"/>
      <c r="AM7783" s="1"/>
    </row>
    <row r="7784" spans="16:39" x14ac:dyDescent="0.25">
      <c r="P7784" s="49"/>
      <c r="Q7784" s="1"/>
      <c r="S7784" s="1"/>
      <c r="T7784" s="1"/>
      <c r="U7784" s="1"/>
      <c r="V7784" s="1"/>
      <c r="W7784" s="1"/>
      <c r="X7784" s="1"/>
      <c r="Y7784" s="1"/>
      <c r="AB7784" s="1"/>
      <c r="AC7784" s="1"/>
      <c r="AD7784" s="1"/>
      <c r="AE7784" s="1"/>
      <c r="AF7784" s="1"/>
      <c r="AG7784" s="1"/>
      <c r="AH7784" s="1"/>
      <c r="AI7784" s="1"/>
      <c r="AJ7784" s="1"/>
      <c r="AK7784" s="1"/>
      <c r="AL7784" s="1"/>
      <c r="AM7784" s="1"/>
    </row>
    <row r="7785" spans="16:39" x14ac:dyDescent="0.25">
      <c r="P7785" s="49"/>
      <c r="Q7785" s="1"/>
      <c r="S7785" s="1"/>
      <c r="T7785" s="1"/>
      <c r="U7785" s="1"/>
      <c r="V7785" s="1"/>
      <c r="W7785" s="1"/>
      <c r="X7785" s="1"/>
      <c r="Y7785" s="1"/>
      <c r="AB7785" s="1"/>
      <c r="AC7785" s="1"/>
      <c r="AD7785" s="1"/>
      <c r="AE7785" s="1"/>
      <c r="AF7785" s="1"/>
      <c r="AG7785" s="1"/>
      <c r="AH7785" s="1"/>
      <c r="AI7785" s="1"/>
      <c r="AJ7785" s="1"/>
      <c r="AK7785" s="1"/>
      <c r="AL7785" s="1"/>
      <c r="AM7785" s="1"/>
    </row>
    <row r="7786" spans="16:39" x14ac:dyDescent="0.25">
      <c r="P7786" s="49"/>
      <c r="Q7786" s="1"/>
      <c r="S7786" s="1"/>
      <c r="T7786" s="1"/>
      <c r="U7786" s="1"/>
      <c r="V7786" s="1"/>
      <c r="W7786" s="1"/>
      <c r="X7786" s="1"/>
      <c r="Y7786" s="1"/>
      <c r="AB7786" s="1"/>
      <c r="AC7786" s="1"/>
      <c r="AD7786" s="1"/>
      <c r="AE7786" s="1"/>
      <c r="AF7786" s="1"/>
      <c r="AG7786" s="1"/>
      <c r="AH7786" s="1"/>
      <c r="AI7786" s="1"/>
      <c r="AJ7786" s="1"/>
      <c r="AK7786" s="1"/>
      <c r="AL7786" s="1"/>
      <c r="AM7786" s="1"/>
    </row>
    <row r="7787" spans="16:39" x14ac:dyDescent="0.25">
      <c r="P7787" s="49"/>
      <c r="Q7787" s="1"/>
      <c r="S7787" s="1"/>
      <c r="T7787" s="1"/>
      <c r="U7787" s="1"/>
      <c r="V7787" s="1"/>
      <c r="W7787" s="1"/>
      <c r="X7787" s="1"/>
      <c r="Y7787" s="1"/>
      <c r="AB7787" s="1"/>
      <c r="AC7787" s="1"/>
      <c r="AD7787" s="1"/>
      <c r="AE7787" s="1"/>
      <c r="AF7787" s="1"/>
      <c r="AG7787" s="1"/>
      <c r="AH7787" s="1"/>
      <c r="AI7787" s="1"/>
      <c r="AJ7787" s="1"/>
      <c r="AK7787" s="1"/>
      <c r="AL7787" s="1"/>
      <c r="AM7787" s="1"/>
    </row>
    <row r="7788" spans="16:39" x14ac:dyDescent="0.25">
      <c r="P7788" s="49"/>
      <c r="Q7788" s="1"/>
      <c r="S7788" s="1"/>
      <c r="T7788" s="1"/>
      <c r="U7788" s="1"/>
      <c r="V7788" s="1"/>
      <c r="W7788" s="1"/>
      <c r="X7788" s="1"/>
      <c r="Y7788" s="1"/>
      <c r="AB7788" s="1"/>
      <c r="AC7788" s="1"/>
      <c r="AD7788" s="1"/>
      <c r="AE7788" s="1"/>
      <c r="AF7788" s="1"/>
      <c r="AG7788" s="1"/>
      <c r="AH7788" s="1"/>
      <c r="AI7788" s="1"/>
      <c r="AJ7788" s="1"/>
      <c r="AK7788" s="1"/>
      <c r="AL7788" s="1"/>
      <c r="AM7788" s="1"/>
    </row>
    <row r="7789" spans="16:39" x14ac:dyDescent="0.25">
      <c r="P7789" s="49"/>
      <c r="Q7789" s="1"/>
      <c r="S7789" s="1"/>
      <c r="T7789" s="1"/>
      <c r="U7789" s="1"/>
      <c r="V7789" s="1"/>
      <c r="W7789" s="1"/>
      <c r="X7789" s="1"/>
      <c r="Y7789" s="1"/>
      <c r="AB7789" s="1"/>
      <c r="AC7789" s="1"/>
      <c r="AD7789" s="1"/>
      <c r="AE7789" s="1"/>
      <c r="AF7789" s="1"/>
      <c r="AG7789" s="1"/>
      <c r="AH7789" s="1"/>
      <c r="AI7789" s="1"/>
      <c r="AJ7789" s="1"/>
      <c r="AK7789" s="1"/>
      <c r="AL7789" s="1"/>
      <c r="AM7789" s="1"/>
    </row>
    <row r="7790" spans="16:39" x14ac:dyDescent="0.25">
      <c r="P7790" s="49"/>
      <c r="Q7790" s="1"/>
      <c r="S7790" s="1"/>
      <c r="T7790" s="1"/>
      <c r="U7790" s="1"/>
      <c r="V7790" s="1"/>
      <c r="W7790" s="1"/>
      <c r="X7790" s="1"/>
      <c r="Y7790" s="1"/>
      <c r="AB7790" s="1"/>
      <c r="AC7790" s="1"/>
      <c r="AD7790" s="1"/>
      <c r="AE7790" s="1"/>
      <c r="AF7790" s="1"/>
      <c r="AG7790" s="1"/>
      <c r="AH7790" s="1"/>
      <c r="AI7790" s="1"/>
      <c r="AJ7790" s="1"/>
      <c r="AK7790" s="1"/>
      <c r="AL7790" s="1"/>
      <c r="AM7790" s="1"/>
    </row>
    <row r="7791" spans="16:39" x14ac:dyDescent="0.25">
      <c r="P7791" s="49"/>
      <c r="Q7791" s="1"/>
      <c r="S7791" s="1"/>
      <c r="T7791" s="1"/>
      <c r="U7791" s="1"/>
      <c r="V7791" s="1"/>
      <c r="W7791" s="1"/>
      <c r="X7791" s="1"/>
      <c r="Y7791" s="1"/>
      <c r="AB7791" s="1"/>
      <c r="AC7791" s="1"/>
      <c r="AD7791" s="1"/>
      <c r="AE7791" s="1"/>
      <c r="AF7791" s="1"/>
      <c r="AG7791" s="1"/>
      <c r="AH7791" s="1"/>
      <c r="AI7791" s="1"/>
      <c r="AJ7791" s="1"/>
      <c r="AK7791" s="1"/>
      <c r="AL7791" s="1"/>
      <c r="AM7791" s="1"/>
    </row>
    <row r="7792" spans="16:39" x14ac:dyDescent="0.25">
      <c r="P7792" s="49"/>
      <c r="Q7792" s="1"/>
      <c r="S7792" s="1"/>
      <c r="T7792" s="1"/>
      <c r="U7792" s="1"/>
      <c r="V7792" s="1"/>
      <c r="W7792" s="1"/>
      <c r="X7792" s="1"/>
      <c r="Y7792" s="1"/>
      <c r="AB7792" s="1"/>
      <c r="AC7792" s="1"/>
      <c r="AD7792" s="1"/>
      <c r="AE7792" s="1"/>
      <c r="AF7792" s="1"/>
      <c r="AG7792" s="1"/>
      <c r="AH7792" s="1"/>
      <c r="AI7792" s="1"/>
      <c r="AJ7792" s="1"/>
      <c r="AK7792" s="1"/>
      <c r="AL7792" s="1"/>
      <c r="AM7792" s="1"/>
    </row>
    <row r="7793" spans="16:39" x14ac:dyDescent="0.25">
      <c r="P7793" s="49"/>
      <c r="Q7793" s="1"/>
      <c r="S7793" s="1"/>
      <c r="T7793" s="1"/>
      <c r="U7793" s="1"/>
      <c r="V7793" s="1"/>
      <c r="W7793" s="1"/>
      <c r="X7793" s="1"/>
      <c r="Y7793" s="1"/>
      <c r="AB7793" s="1"/>
      <c r="AC7793" s="1"/>
      <c r="AD7793" s="1"/>
      <c r="AE7793" s="1"/>
      <c r="AF7793" s="1"/>
      <c r="AG7793" s="1"/>
      <c r="AH7793" s="1"/>
      <c r="AI7793" s="1"/>
      <c r="AJ7793" s="1"/>
      <c r="AK7793" s="1"/>
      <c r="AL7793" s="1"/>
      <c r="AM7793" s="1"/>
    </row>
    <row r="7794" spans="16:39" x14ac:dyDescent="0.25">
      <c r="P7794" s="49"/>
      <c r="Q7794" s="1"/>
      <c r="S7794" s="1"/>
      <c r="T7794" s="1"/>
      <c r="U7794" s="1"/>
      <c r="V7794" s="1"/>
      <c r="W7794" s="1"/>
      <c r="X7794" s="1"/>
      <c r="Y7794" s="1"/>
      <c r="AB7794" s="1"/>
      <c r="AC7794" s="1"/>
      <c r="AD7794" s="1"/>
      <c r="AE7794" s="1"/>
      <c r="AF7794" s="1"/>
      <c r="AG7794" s="1"/>
      <c r="AH7794" s="1"/>
      <c r="AI7794" s="1"/>
      <c r="AJ7794" s="1"/>
      <c r="AK7794" s="1"/>
      <c r="AL7794" s="1"/>
      <c r="AM7794" s="1"/>
    </row>
    <row r="7795" spans="16:39" x14ac:dyDescent="0.25">
      <c r="P7795" s="49"/>
      <c r="Q7795" s="1"/>
      <c r="S7795" s="1"/>
      <c r="T7795" s="1"/>
      <c r="U7795" s="1"/>
      <c r="V7795" s="1"/>
      <c r="W7795" s="1"/>
      <c r="X7795" s="1"/>
      <c r="Y7795" s="1"/>
      <c r="AB7795" s="1"/>
      <c r="AC7795" s="1"/>
      <c r="AD7795" s="1"/>
      <c r="AE7795" s="1"/>
      <c r="AF7795" s="1"/>
      <c r="AG7795" s="1"/>
      <c r="AH7795" s="1"/>
      <c r="AI7795" s="1"/>
      <c r="AJ7795" s="1"/>
      <c r="AK7795" s="1"/>
      <c r="AL7795" s="1"/>
      <c r="AM7795" s="1"/>
    </row>
    <row r="7796" spans="16:39" x14ac:dyDescent="0.25">
      <c r="P7796" s="49"/>
      <c r="Q7796" s="1"/>
      <c r="S7796" s="1"/>
      <c r="T7796" s="1"/>
      <c r="U7796" s="1"/>
      <c r="V7796" s="1"/>
      <c r="W7796" s="1"/>
      <c r="X7796" s="1"/>
      <c r="Y7796" s="1"/>
      <c r="AB7796" s="1"/>
      <c r="AC7796" s="1"/>
      <c r="AD7796" s="1"/>
      <c r="AE7796" s="1"/>
      <c r="AF7796" s="1"/>
      <c r="AG7796" s="1"/>
      <c r="AH7796" s="1"/>
      <c r="AI7796" s="1"/>
      <c r="AJ7796" s="1"/>
      <c r="AK7796" s="1"/>
      <c r="AL7796" s="1"/>
      <c r="AM7796" s="1"/>
    </row>
    <row r="7797" spans="16:39" x14ac:dyDescent="0.25">
      <c r="P7797" s="49"/>
      <c r="Q7797" s="1"/>
      <c r="S7797" s="1"/>
      <c r="T7797" s="1"/>
      <c r="U7797" s="1"/>
      <c r="V7797" s="1"/>
      <c r="W7797" s="1"/>
      <c r="X7797" s="1"/>
      <c r="Y7797" s="1"/>
      <c r="AB7797" s="1"/>
      <c r="AC7797" s="1"/>
      <c r="AD7797" s="1"/>
      <c r="AE7797" s="1"/>
      <c r="AF7797" s="1"/>
      <c r="AG7797" s="1"/>
      <c r="AH7797" s="1"/>
      <c r="AI7797" s="1"/>
      <c r="AJ7797" s="1"/>
      <c r="AK7797" s="1"/>
      <c r="AL7797" s="1"/>
      <c r="AM7797" s="1"/>
    </row>
    <row r="7798" spans="16:39" x14ac:dyDescent="0.25">
      <c r="P7798" s="49"/>
      <c r="Q7798" s="1"/>
      <c r="S7798" s="1"/>
      <c r="T7798" s="1"/>
      <c r="U7798" s="1"/>
      <c r="V7798" s="1"/>
      <c r="W7798" s="1"/>
      <c r="X7798" s="1"/>
      <c r="Y7798" s="1"/>
      <c r="AB7798" s="1"/>
      <c r="AC7798" s="1"/>
      <c r="AD7798" s="1"/>
      <c r="AE7798" s="1"/>
      <c r="AF7798" s="1"/>
      <c r="AG7798" s="1"/>
      <c r="AH7798" s="1"/>
      <c r="AI7798" s="1"/>
      <c r="AJ7798" s="1"/>
      <c r="AK7798" s="1"/>
      <c r="AL7798" s="1"/>
      <c r="AM7798" s="1"/>
    </row>
    <row r="7799" spans="16:39" x14ac:dyDescent="0.25">
      <c r="P7799" s="49"/>
      <c r="Q7799" s="1"/>
      <c r="S7799" s="1"/>
      <c r="T7799" s="1"/>
      <c r="U7799" s="1"/>
      <c r="V7799" s="1"/>
      <c r="W7799" s="1"/>
      <c r="X7799" s="1"/>
      <c r="Y7799" s="1"/>
      <c r="AB7799" s="1"/>
      <c r="AC7799" s="1"/>
      <c r="AD7799" s="1"/>
      <c r="AE7799" s="1"/>
      <c r="AF7799" s="1"/>
      <c r="AG7799" s="1"/>
      <c r="AH7799" s="1"/>
      <c r="AI7799" s="1"/>
      <c r="AJ7799" s="1"/>
      <c r="AK7799" s="1"/>
      <c r="AL7799" s="1"/>
      <c r="AM7799" s="1"/>
    </row>
    <row r="7800" spans="16:39" x14ac:dyDescent="0.25">
      <c r="P7800" s="49"/>
      <c r="Q7800" s="1"/>
      <c r="S7800" s="1"/>
      <c r="T7800" s="1"/>
      <c r="U7800" s="1"/>
      <c r="V7800" s="1"/>
      <c r="W7800" s="1"/>
      <c r="X7800" s="1"/>
      <c r="Y7800" s="1"/>
      <c r="AB7800" s="1"/>
      <c r="AC7800" s="1"/>
      <c r="AD7800" s="1"/>
      <c r="AE7800" s="1"/>
      <c r="AF7800" s="1"/>
      <c r="AG7800" s="1"/>
      <c r="AH7800" s="1"/>
      <c r="AI7800" s="1"/>
      <c r="AJ7800" s="1"/>
      <c r="AK7800" s="1"/>
      <c r="AL7800" s="1"/>
      <c r="AM7800" s="1"/>
    </row>
    <row r="7801" spans="16:39" x14ac:dyDescent="0.25">
      <c r="P7801" s="49"/>
      <c r="Q7801" s="1"/>
      <c r="S7801" s="1"/>
      <c r="T7801" s="1"/>
      <c r="U7801" s="1"/>
      <c r="V7801" s="1"/>
      <c r="W7801" s="1"/>
      <c r="X7801" s="1"/>
      <c r="Y7801" s="1"/>
      <c r="AB7801" s="1"/>
      <c r="AC7801" s="1"/>
      <c r="AD7801" s="1"/>
      <c r="AE7801" s="1"/>
      <c r="AF7801" s="1"/>
      <c r="AG7801" s="1"/>
      <c r="AH7801" s="1"/>
      <c r="AI7801" s="1"/>
      <c r="AJ7801" s="1"/>
      <c r="AK7801" s="1"/>
      <c r="AL7801" s="1"/>
      <c r="AM7801" s="1"/>
    </row>
    <row r="7802" spans="16:39" x14ac:dyDescent="0.25">
      <c r="P7802" s="49"/>
      <c r="Q7802" s="1"/>
      <c r="S7802" s="1"/>
      <c r="T7802" s="1"/>
      <c r="U7802" s="1"/>
      <c r="V7802" s="1"/>
      <c r="W7802" s="1"/>
      <c r="X7802" s="1"/>
      <c r="Y7802" s="1"/>
      <c r="AB7802" s="1"/>
      <c r="AC7802" s="1"/>
      <c r="AD7802" s="1"/>
      <c r="AE7802" s="1"/>
      <c r="AF7802" s="1"/>
      <c r="AG7802" s="1"/>
      <c r="AH7802" s="1"/>
      <c r="AI7802" s="1"/>
      <c r="AJ7802" s="1"/>
      <c r="AK7802" s="1"/>
      <c r="AL7802" s="1"/>
      <c r="AM7802" s="1"/>
    </row>
    <row r="7803" spans="16:39" x14ac:dyDescent="0.25">
      <c r="P7803" s="49"/>
      <c r="Q7803" s="1"/>
      <c r="S7803" s="1"/>
      <c r="T7803" s="1"/>
      <c r="U7803" s="1"/>
      <c r="V7803" s="1"/>
      <c r="W7803" s="1"/>
      <c r="X7803" s="1"/>
      <c r="Y7803" s="1"/>
      <c r="AB7803" s="1"/>
      <c r="AC7803" s="1"/>
      <c r="AD7803" s="1"/>
      <c r="AE7803" s="1"/>
      <c r="AF7803" s="1"/>
      <c r="AG7803" s="1"/>
      <c r="AH7803" s="1"/>
      <c r="AI7803" s="1"/>
      <c r="AJ7803" s="1"/>
      <c r="AK7803" s="1"/>
      <c r="AL7803" s="1"/>
      <c r="AM7803" s="1"/>
    </row>
    <row r="7804" spans="16:39" x14ac:dyDescent="0.25">
      <c r="P7804" s="49"/>
      <c r="Q7804" s="1"/>
      <c r="S7804" s="1"/>
      <c r="T7804" s="1"/>
      <c r="U7804" s="1"/>
      <c r="V7804" s="1"/>
      <c r="W7804" s="1"/>
      <c r="X7804" s="1"/>
      <c r="Y7804" s="1"/>
      <c r="AB7804" s="1"/>
      <c r="AC7804" s="1"/>
      <c r="AD7804" s="1"/>
      <c r="AE7804" s="1"/>
      <c r="AF7804" s="1"/>
      <c r="AG7804" s="1"/>
      <c r="AH7804" s="1"/>
      <c r="AI7804" s="1"/>
      <c r="AJ7804" s="1"/>
      <c r="AK7804" s="1"/>
      <c r="AL7804" s="1"/>
      <c r="AM7804" s="1"/>
    </row>
    <row r="7805" spans="16:39" x14ac:dyDescent="0.25">
      <c r="P7805" s="49"/>
      <c r="Q7805" s="1"/>
      <c r="S7805" s="1"/>
      <c r="T7805" s="1"/>
      <c r="U7805" s="1"/>
      <c r="V7805" s="1"/>
      <c r="W7805" s="1"/>
      <c r="X7805" s="1"/>
      <c r="Y7805" s="1"/>
      <c r="AB7805" s="1"/>
      <c r="AC7805" s="1"/>
      <c r="AD7805" s="1"/>
      <c r="AE7805" s="1"/>
      <c r="AF7805" s="1"/>
      <c r="AG7805" s="1"/>
      <c r="AH7805" s="1"/>
      <c r="AI7805" s="1"/>
      <c r="AJ7805" s="1"/>
      <c r="AK7805" s="1"/>
      <c r="AL7805" s="1"/>
      <c r="AM7805" s="1"/>
    </row>
    <row r="7806" spans="16:39" x14ac:dyDescent="0.25">
      <c r="P7806" s="49"/>
      <c r="Q7806" s="1"/>
      <c r="S7806" s="1"/>
      <c r="T7806" s="1"/>
      <c r="U7806" s="1"/>
      <c r="V7806" s="1"/>
      <c r="W7806" s="1"/>
      <c r="X7806" s="1"/>
      <c r="Y7806" s="1"/>
      <c r="AB7806" s="1"/>
      <c r="AC7806" s="1"/>
      <c r="AD7806" s="1"/>
      <c r="AE7806" s="1"/>
      <c r="AF7806" s="1"/>
      <c r="AG7806" s="1"/>
      <c r="AH7806" s="1"/>
      <c r="AI7806" s="1"/>
      <c r="AJ7806" s="1"/>
      <c r="AK7806" s="1"/>
      <c r="AL7806" s="1"/>
      <c r="AM7806" s="1"/>
    </row>
    <row r="7807" spans="16:39" x14ac:dyDescent="0.25">
      <c r="P7807" s="49"/>
      <c r="Q7807" s="1"/>
      <c r="S7807" s="1"/>
      <c r="T7807" s="1"/>
      <c r="U7807" s="1"/>
      <c r="V7807" s="1"/>
      <c r="W7807" s="1"/>
      <c r="X7807" s="1"/>
      <c r="Y7807" s="1"/>
      <c r="AB7807" s="1"/>
      <c r="AC7807" s="1"/>
      <c r="AD7807" s="1"/>
      <c r="AE7807" s="1"/>
      <c r="AF7807" s="1"/>
      <c r="AG7807" s="1"/>
      <c r="AH7807" s="1"/>
      <c r="AI7807" s="1"/>
      <c r="AJ7807" s="1"/>
      <c r="AK7807" s="1"/>
      <c r="AL7807" s="1"/>
      <c r="AM7807" s="1"/>
    </row>
    <row r="7808" spans="16:39" x14ac:dyDescent="0.25">
      <c r="P7808" s="49"/>
      <c r="Q7808" s="1"/>
      <c r="S7808" s="1"/>
      <c r="T7808" s="1"/>
      <c r="U7808" s="1"/>
      <c r="V7808" s="1"/>
      <c r="W7808" s="1"/>
      <c r="X7808" s="1"/>
      <c r="Y7808" s="1"/>
      <c r="AB7808" s="1"/>
      <c r="AC7808" s="1"/>
      <c r="AD7808" s="1"/>
      <c r="AE7808" s="1"/>
      <c r="AF7808" s="1"/>
      <c r="AG7808" s="1"/>
      <c r="AH7808" s="1"/>
      <c r="AI7808" s="1"/>
      <c r="AJ7808" s="1"/>
      <c r="AK7808" s="1"/>
      <c r="AL7808" s="1"/>
      <c r="AM7808" s="1"/>
    </row>
    <row r="7809" spans="16:39" x14ac:dyDescent="0.25">
      <c r="P7809" s="49"/>
      <c r="Q7809" s="1"/>
      <c r="S7809" s="1"/>
      <c r="T7809" s="1"/>
      <c r="U7809" s="1"/>
      <c r="V7809" s="1"/>
      <c r="W7809" s="1"/>
      <c r="X7809" s="1"/>
      <c r="Y7809" s="1"/>
      <c r="AB7809" s="1"/>
      <c r="AC7809" s="1"/>
      <c r="AD7809" s="1"/>
      <c r="AE7809" s="1"/>
      <c r="AF7809" s="1"/>
      <c r="AG7809" s="1"/>
      <c r="AH7809" s="1"/>
      <c r="AI7809" s="1"/>
      <c r="AJ7809" s="1"/>
      <c r="AK7809" s="1"/>
      <c r="AL7809" s="1"/>
      <c r="AM7809" s="1"/>
    </row>
    <row r="7810" spans="16:39" x14ac:dyDescent="0.25">
      <c r="P7810" s="49"/>
      <c r="Q7810" s="1"/>
      <c r="S7810" s="1"/>
      <c r="T7810" s="1"/>
      <c r="U7810" s="1"/>
      <c r="V7810" s="1"/>
      <c r="W7810" s="1"/>
      <c r="X7810" s="1"/>
      <c r="Y7810" s="1"/>
      <c r="AB7810" s="1"/>
      <c r="AC7810" s="1"/>
      <c r="AD7810" s="1"/>
      <c r="AE7810" s="1"/>
      <c r="AF7810" s="1"/>
      <c r="AG7810" s="1"/>
      <c r="AH7810" s="1"/>
      <c r="AI7810" s="1"/>
      <c r="AJ7810" s="1"/>
      <c r="AK7810" s="1"/>
      <c r="AL7810" s="1"/>
      <c r="AM7810" s="1"/>
    </row>
    <row r="7811" spans="16:39" x14ac:dyDescent="0.25">
      <c r="P7811" s="49"/>
      <c r="Q7811" s="1"/>
      <c r="S7811" s="1"/>
      <c r="T7811" s="1"/>
      <c r="U7811" s="1"/>
      <c r="V7811" s="1"/>
      <c r="W7811" s="1"/>
      <c r="X7811" s="1"/>
      <c r="Y7811" s="1"/>
      <c r="AB7811" s="1"/>
      <c r="AC7811" s="1"/>
      <c r="AD7811" s="1"/>
      <c r="AE7811" s="1"/>
      <c r="AF7811" s="1"/>
      <c r="AG7811" s="1"/>
      <c r="AH7811" s="1"/>
      <c r="AI7811" s="1"/>
      <c r="AJ7811" s="1"/>
      <c r="AK7811" s="1"/>
      <c r="AL7811" s="1"/>
      <c r="AM7811" s="1"/>
    </row>
    <row r="7812" spans="16:39" x14ac:dyDescent="0.25">
      <c r="P7812" s="49"/>
      <c r="Q7812" s="1"/>
      <c r="S7812" s="1"/>
      <c r="T7812" s="1"/>
      <c r="U7812" s="1"/>
      <c r="V7812" s="1"/>
      <c r="W7812" s="1"/>
      <c r="X7812" s="1"/>
      <c r="Y7812" s="1"/>
      <c r="AB7812" s="1"/>
      <c r="AC7812" s="1"/>
      <c r="AD7812" s="1"/>
      <c r="AE7812" s="1"/>
      <c r="AF7812" s="1"/>
      <c r="AG7812" s="1"/>
      <c r="AH7812" s="1"/>
      <c r="AI7812" s="1"/>
      <c r="AJ7812" s="1"/>
      <c r="AK7812" s="1"/>
      <c r="AL7812" s="1"/>
      <c r="AM7812" s="1"/>
    </row>
    <row r="7813" spans="16:39" x14ac:dyDescent="0.25">
      <c r="P7813" s="49"/>
      <c r="Q7813" s="1"/>
      <c r="S7813" s="1"/>
      <c r="T7813" s="1"/>
      <c r="U7813" s="1"/>
      <c r="V7813" s="1"/>
      <c r="W7813" s="1"/>
      <c r="X7813" s="1"/>
      <c r="Y7813" s="1"/>
      <c r="AB7813" s="1"/>
      <c r="AC7813" s="1"/>
      <c r="AD7813" s="1"/>
      <c r="AE7813" s="1"/>
      <c r="AF7813" s="1"/>
      <c r="AG7813" s="1"/>
      <c r="AH7813" s="1"/>
      <c r="AI7813" s="1"/>
      <c r="AJ7813" s="1"/>
      <c r="AK7813" s="1"/>
      <c r="AL7813" s="1"/>
      <c r="AM7813" s="1"/>
    </row>
    <row r="7814" spans="16:39" x14ac:dyDescent="0.25">
      <c r="P7814" s="49"/>
      <c r="Q7814" s="1"/>
      <c r="S7814" s="1"/>
      <c r="T7814" s="1"/>
      <c r="U7814" s="1"/>
      <c r="V7814" s="1"/>
      <c r="W7814" s="1"/>
      <c r="X7814" s="1"/>
      <c r="Y7814" s="1"/>
      <c r="AB7814" s="1"/>
      <c r="AC7814" s="1"/>
      <c r="AD7814" s="1"/>
      <c r="AE7814" s="1"/>
      <c r="AF7814" s="1"/>
      <c r="AG7814" s="1"/>
      <c r="AH7814" s="1"/>
      <c r="AI7814" s="1"/>
      <c r="AJ7814" s="1"/>
      <c r="AK7814" s="1"/>
      <c r="AL7814" s="1"/>
      <c r="AM7814" s="1"/>
    </row>
    <row r="7815" spans="16:39" x14ac:dyDescent="0.25">
      <c r="P7815" s="49"/>
      <c r="Q7815" s="1"/>
      <c r="S7815" s="1"/>
      <c r="T7815" s="1"/>
      <c r="U7815" s="1"/>
      <c r="V7815" s="1"/>
      <c r="W7815" s="1"/>
      <c r="X7815" s="1"/>
      <c r="Y7815" s="1"/>
      <c r="AB7815" s="1"/>
      <c r="AC7815" s="1"/>
      <c r="AD7815" s="1"/>
      <c r="AE7815" s="1"/>
      <c r="AF7815" s="1"/>
      <c r="AG7815" s="1"/>
      <c r="AH7815" s="1"/>
      <c r="AI7815" s="1"/>
      <c r="AJ7815" s="1"/>
      <c r="AK7815" s="1"/>
      <c r="AL7815" s="1"/>
      <c r="AM7815" s="1"/>
    </row>
    <row r="7816" spans="16:39" x14ac:dyDescent="0.25">
      <c r="P7816" s="49"/>
      <c r="Q7816" s="1"/>
      <c r="S7816" s="1"/>
      <c r="T7816" s="1"/>
      <c r="U7816" s="1"/>
      <c r="V7816" s="1"/>
      <c r="W7816" s="1"/>
      <c r="X7816" s="1"/>
      <c r="Y7816" s="1"/>
      <c r="AB7816" s="1"/>
      <c r="AC7816" s="1"/>
      <c r="AD7816" s="1"/>
      <c r="AE7816" s="1"/>
      <c r="AF7816" s="1"/>
      <c r="AG7816" s="1"/>
      <c r="AH7816" s="1"/>
      <c r="AI7816" s="1"/>
      <c r="AJ7816" s="1"/>
      <c r="AK7816" s="1"/>
      <c r="AL7816" s="1"/>
      <c r="AM7816" s="1"/>
    </row>
    <row r="7817" spans="16:39" x14ac:dyDescent="0.25">
      <c r="P7817" s="49"/>
      <c r="Q7817" s="1"/>
      <c r="S7817" s="1"/>
      <c r="T7817" s="1"/>
      <c r="U7817" s="1"/>
      <c r="V7817" s="1"/>
      <c r="W7817" s="1"/>
      <c r="X7817" s="1"/>
      <c r="Y7817" s="1"/>
      <c r="AB7817" s="1"/>
      <c r="AC7817" s="1"/>
      <c r="AD7817" s="1"/>
      <c r="AE7817" s="1"/>
      <c r="AF7817" s="1"/>
      <c r="AG7817" s="1"/>
      <c r="AH7817" s="1"/>
      <c r="AI7817" s="1"/>
      <c r="AJ7817" s="1"/>
      <c r="AK7817" s="1"/>
      <c r="AL7817" s="1"/>
      <c r="AM7817" s="1"/>
    </row>
    <row r="7818" spans="16:39" x14ac:dyDescent="0.25">
      <c r="P7818" s="49"/>
      <c r="Q7818" s="1"/>
      <c r="S7818" s="1"/>
      <c r="T7818" s="1"/>
      <c r="U7818" s="1"/>
      <c r="V7818" s="1"/>
      <c r="W7818" s="1"/>
      <c r="X7818" s="1"/>
      <c r="Y7818" s="1"/>
      <c r="AB7818" s="1"/>
      <c r="AC7818" s="1"/>
      <c r="AD7818" s="1"/>
      <c r="AE7818" s="1"/>
      <c r="AF7818" s="1"/>
      <c r="AG7818" s="1"/>
      <c r="AH7818" s="1"/>
      <c r="AI7818" s="1"/>
      <c r="AJ7818" s="1"/>
      <c r="AK7818" s="1"/>
      <c r="AL7818" s="1"/>
      <c r="AM7818" s="1"/>
    </row>
    <row r="7819" spans="16:39" x14ac:dyDescent="0.25">
      <c r="P7819" s="49"/>
      <c r="Q7819" s="1"/>
      <c r="S7819" s="1"/>
      <c r="T7819" s="1"/>
      <c r="U7819" s="1"/>
      <c r="V7819" s="1"/>
      <c r="W7819" s="1"/>
      <c r="X7819" s="1"/>
      <c r="Y7819" s="1"/>
      <c r="AB7819" s="1"/>
      <c r="AC7819" s="1"/>
      <c r="AD7819" s="1"/>
      <c r="AE7819" s="1"/>
      <c r="AF7819" s="1"/>
      <c r="AG7819" s="1"/>
      <c r="AH7819" s="1"/>
      <c r="AI7819" s="1"/>
      <c r="AJ7819" s="1"/>
      <c r="AK7819" s="1"/>
      <c r="AL7819" s="1"/>
      <c r="AM7819" s="1"/>
    </row>
    <row r="7820" spans="16:39" x14ac:dyDescent="0.25">
      <c r="P7820" s="49"/>
      <c r="Q7820" s="1"/>
      <c r="S7820" s="1"/>
      <c r="T7820" s="1"/>
      <c r="U7820" s="1"/>
      <c r="V7820" s="1"/>
      <c r="W7820" s="1"/>
      <c r="X7820" s="1"/>
      <c r="Y7820" s="1"/>
      <c r="AB7820" s="1"/>
      <c r="AC7820" s="1"/>
      <c r="AD7820" s="1"/>
      <c r="AE7820" s="1"/>
      <c r="AF7820" s="1"/>
      <c r="AG7820" s="1"/>
      <c r="AH7820" s="1"/>
      <c r="AI7820" s="1"/>
      <c r="AJ7820" s="1"/>
      <c r="AK7820" s="1"/>
      <c r="AL7820" s="1"/>
      <c r="AM7820" s="1"/>
    </row>
    <row r="7821" spans="16:39" x14ac:dyDescent="0.25">
      <c r="P7821" s="49"/>
      <c r="Q7821" s="1"/>
      <c r="S7821" s="1"/>
      <c r="T7821" s="1"/>
      <c r="U7821" s="1"/>
      <c r="V7821" s="1"/>
      <c r="W7821" s="1"/>
      <c r="X7821" s="1"/>
      <c r="Y7821" s="1"/>
      <c r="AB7821" s="1"/>
      <c r="AC7821" s="1"/>
      <c r="AD7821" s="1"/>
      <c r="AE7821" s="1"/>
      <c r="AF7821" s="1"/>
      <c r="AG7821" s="1"/>
      <c r="AH7821" s="1"/>
      <c r="AI7821" s="1"/>
      <c r="AJ7821" s="1"/>
      <c r="AK7821" s="1"/>
      <c r="AL7821" s="1"/>
      <c r="AM7821" s="1"/>
    </row>
    <row r="7822" spans="16:39" x14ac:dyDescent="0.25">
      <c r="P7822" s="49"/>
      <c r="Q7822" s="1"/>
      <c r="S7822" s="1"/>
      <c r="T7822" s="1"/>
      <c r="U7822" s="1"/>
      <c r="V7822" s="1"/>
      <c r="W7822" s="1"/>
      <c r="X7822" s="1"/>
      <c r="Y7822" s="1"/>
      <c r="AB7822" s="1"/>
      <c r="AC7822" s="1"/>
      <c r="AD7822" s="1"/>
      <c r="AE7822" s="1"/>
      <c r="AF7822" s="1"/>
      <c r="AG7822" s="1"/>
      <c r="AH7822" s="1"/>
      <c r="AI7822" s="1"/>
      <c r="AJ7822" s="1"/>
      <c r="AK7822" s="1"/>
      <c r="AL7822" s="1"/>
      <c r="AM7822" s="1"/>
    </row>
    <row r="7823" spans="16:39" x14ac:dyDescent="0.25">
      <c r="P7823" s="49"/>
      <c r="Q7823" s="1"/>
      <c r="S7823" s="1"/>
      <c r="T7823" s="1"/>
      <c r="U7823" s="1"/>
      <c r="V7823" s="1"/>
      <c r="W7823" s="1"/>
      <c r="X7823" s="1"/>
      <c r="Y7823" s="1"/>
      <c r="AB7823" s="1"/>
      <c r="AC7823" s="1"/>
      <c r="AD7823" s="1"/>
      <c r="AE7823" s="1"/>
      <c r="AF7823" s="1"/>
      <c r="AG7823" s="1"/>
      <c r="AH7823" s="1"/>
      <c r="AI7823" s="1"/>
      <c r="AJ7823" s="1"/>
      <c r="AK7823" s="1"/>
      <c r="AL7823" s="1"/>
      <c r="AM7823" s="1"/>
    </row>
    <row r="7824" spans="16:39" x14ac:dyDescent="0.25">
      <c r="P7824" s="49"/>
      <c r="Q7824" s="1"/>
      <c r="S7824" s="1"/>
      <c r="T7824" s="1"/>
      <c r="U7824" s="1"/>
      <c r="V7824" s="1"/>
      <c r="W7824" s="1"/>
      <c r="X7824" s="1"/>
      <c r="Y7824" s="1"/>
      <c r="AB7824" s="1"/>
      <c r="AC7824" s="1"/>
      <c r="AD7824" s="1"/>
      <c r="AE7824" s="1"/>
      <c r="AF7824" s="1"/>
      <c r="AG7824" s="1"/>
      <c r="AH7824" s="1"/>
      <c r="AI7824" s="1"/>
      <c r="AJ7824" s="1"/>
      <c r="AK7824" s="1"/>
      <c r="AL7824" s="1"/>
      <c r="AM7824" s="1"/>
    </row>
    <row r="7825" spans="16:39" x14ac:dyDescent="0.25">
      <c r="P7825" s="49"/>
      <c r="Q7825" s="1"/>
      <c r="S7825" s="1"/>
      <c r="T7825" s="1"/>
      <c r="U7825" s="1"/>
      <c r="V7825" s="1"/>
      <c r="W7825" s="1"/>
      <c r="X7825" s="1"/>
      <c r="Y7825" s="1"/>
      <c r="AB7825" s="1"/>
      <c r="AC7825" s="1"/>
      <c r="AD7825" s="1"/>
      <c r="AE7825" s="1"/>
      <c r="AF7825" s="1"/>
      <c r="AG7825" s="1"/>
      <c r="AH7825" s="1"/>
      <c r="AI7825" s="1"/>
      <c r="AJ7825" s="1"/>
      <c r="AK7825" s="1"/>
      <c r="AL7825" s="1"/>
      <c r="AM7825" s="1"/>
    </row>
    <row r="7826" spans="16:39" x14ac:dyDescent="0.25">
      <c r="P7826" s="49"/>
      <c r="Q7826" s="1"/>
      <c r="S7826" s="1"/>
      <c r="T7826" s="1"/>
      <c r="U7826" s="1"/>
      <c r="V7826" s="1"/>
      <c r="W7826" s="1"/>
      <c r="X7826" s="1"/>
      <c r="Y7826" s="1"/>
      <c r="AB7826" s="1"/>
      <c r="AC7826" s="1"/>
      <c r="AD7826" s="1"/>
      <c r="AE7826" s="1"/>
      <c r="AF7826" s="1"/>
      <c r="AG7826" s="1"/>
      <c r="AH7826" s="1"/>
      <c r="AI7826" s="1"/>
      <c r="AJ7826" s="1"/>
      <c r="AK7826" s="1"/>
      <c r="AL7826" s="1"/>
      <c r="AM7826" s="1"/>
    </row>
    <row r="7827" spans="16:39" x14ac:dyDescent="0.25">
      <c r="P7827" s="49"/>
      <c r="Q7827" s="1"/>
      <c r="S7827" s="1"/>
      <c r="T7827" s="1"/>
      <c r="U7827" s="1"/>
      <c r="V7827" s="1"/>
      <c r="W7827" s="1"/>
      <c r="X7827" s="1"/>
      <c r="Y7827" s="1"/>
      <c r="AB7827" s="1"/>
      <c r="AC7827" s="1"/>
      <c r="AD7827" s="1"/>
      <c r="AE7827" s="1"/>
      <c r="AF7827" s="1"/>
      <c r="AG7827" s="1"/>
      <c r="AH7827" s="1"/>
      <c r="AI7827" s="1"/>
      <c r="AJ7827" s="1"/>
      <c r="AK7827" s="1"/>
      <c r="AL7827" s="1"/>
      <c r="AM7827" s="1"/>
    </row>
    <row r="7828" spans="16:39" x14ac:dyDescent="0.25">
      <c r="P7828" s="49"/>
      <c r="Q7828" s="1"/>
      <c r="S7828" s="1"/>
      <c r="T7828" s="1"/>
      <c r="U7828" s="1"/>
      <c r="V7828" s="1"/>
      <c r="W7828" s="1"/>
      <c r="X7828" s="1"/>
      <c r="Y7828" s="1"/>
      <c r="AB7828" s="1"/>
      <c r="AC7828" s="1"/>
      <c r="AD7828" s="1"/>
      <c r="AE7828" s="1"/>
      <c r="AF7828" s="1"/>
      <c r="AG7828" s="1"/>
      <c r="AH7828" s="1"/>
      <c r="AI7828" s="1"/>
      <c r="AJ7828" s="1"/>
      <c r="AK7828" s="1"/>
      <c r="AL7828" s="1"/>
      <c r="AM7828" s="1"/>
    </row>
    <row r="7829" spans="16:39" x14ac:dyDescent="0.25">
      <c r="P7829" s="49"/>
      <c r="Q7829" s="1"/>
      <c r="S7829" s="1"/>
      <c r="T7829" s="1"/>
      <c r="U7829" s="1"/>
      <c r="V7829" s="1"/>
      <c r="W7829" s="1"/>
      <c r="X7829" s="1"/>
      <c r="Y7829" s="1"/>
      <c r="AB7829" s="1"/>
      <c r="AC7829" s="1"/>
      <c r="AD7829" s="1"/>
      <c r="AE7829" s="1"/>
      <c r="AF7829" s="1"/>
      <c r="AG7829" s="1"/>
      <c r="AH7829" s="1"/>
      <c r="AI7829" s="1"/>
      <c r="AJ7829" s="1"/>
      <c r="AK7829" s="1"/>
      <c r="AL7829" s="1"/>
      <c r="AM7829" s="1"/>
    </row>
    <row r="7830" spans="16:39" x14ac:dyDescent="0.25">
      <c r="P7830" s="49"/>
      <c r="Q7830" s="1"/>
      <c r="S7830" s="1"/>
      <c r="T7830" s="1"/>
      <c r="U7830" s="1"/>
      <c r="V7830" s="1"/>
      <c r="W7830" s="1"/>
      <c r="X7830" s="1"/>
      <c r="Y7830" s="1"/>
      <c r="AB7830" s="1"/>
      <c r="AC7830" s="1"/>
      <c r="AD7830" s="1"/>
      <c r="AE7830" s="1"/>
      <c r="AF7830" s="1"/>
      <c r="AG7830" s="1"/>
      <c r="AH7830" s="1"/>
      <c r="AI7830" s="1"/>
      <c r="AJ7830" s="1"/>
      <c r="AK7830" s="1"/>
      <c r="AL7830" s="1"/>
      <c r="AM7830" s="1"/>
    </row>
    <row r="7831" spans="16:39" x14ac:dyDescent="0.25">
      <c r="P7831" s="49"/>
      <c r="Q7831" s="1"/>
      <c r="S7831" s="1"/>
      <c r="T7831" s="1"/>
      <c r="U7831" s="1"/>
      <c r="V7831" s="1"/>
      <c r="W7831" s="1"/>
      <c r="X7831" s="1"/>
      <c r="Y7831" s="1"/>
      <c r="AB7831" s="1"/>
      <c r="AC7831" s="1"/>
      <c r="AD7831" s="1"/>
      <c r="AE7831" s="1"/>
      <c r="AF7831" s="1"/>
      <c r="AG7831" s="1"/>
      <c r="AH7831" s="1"/>
      <c r="AI7831" s="1"/>
      <c r="AJ7831" s="1"/>
      <c r="AK7831" s="1"/>
      <c r="AL7831" s="1"/>
      <c r="AM7831" s="1"/>
    </row>
    <row r="7832" spans="16:39" x14ac:dyDescent="0.25">
      <c r="P7832" s="49"/>
      <c r="Q7832" s="1"/>
      <c r="S7832" s="1"/>
      <c r="T7832" s="1"/>
      <c r="U7832" s="1"/>
      <c r="V7832" s="1"/>
      <c r="W7832" s="1"/>
      <c r="X7832" s="1"/>
      <c r="Y7832" s="1"/>
      <c r="AB7832" s="1"/>
      <c r="AC7832" s="1"/>
      <c r="AD7832" s="1"/>
      <c r="AE7832" s="1"/>
      <c r="AF7832" s="1"/>
      <c r="AG7832" s="1"/>
      <c r="AH7832" s="1"/>
      <c r="AI7832" s="1"/>
      <c r="AJ7832" s="1"/>
      <c r="AK7832" s="1"/>
      <c r="AL7832" s="1"/>
      <c r="AM7832" s="1"/>
    </row>
    <row r="7833" spans="16:39" x14ac:dyDescent="0.25">
      <c r="P7833" s="49"/>
      <c r="Q7833" s="1"/>
      <c r="S7833" s="1"/>
      <c r="T7833" s="1"/>
      <c r="U7833" s="1"/>
      <c r="V7833" s="1"/>
      <c r="W7833" s="1"/>
      <c r="X7833" s="1"/>
      <c r="Y7833" s="1"/>
      <c r="AB7833" s="1"/>
      <c r="AC7833" s="1"/>
      <c r="AD7833" s="1"/>
      <c r="AE7833" s="1"/>
      <c r="AF7833" s="1"/>
      <c r="AG7833" s="1"/>
      <c r="AH7833" s="1"/>
      <c r="AI7833" s="1"/>
      <c r="AJ7833" s="1"/>
      <c r="AK7833" s="1"/>
      <c r="AL7833" s="1"/>
      <c r="AM7833" s="1"/>
    </row>
    <row r="7834" spans="16:39" x14ac:dyDescent="0.25">
      <c r="P7834" s="49"/>
      <c r="Q7834" s="1"/>
      <c r="S7834" s="1"/>
      <c r="T7834" s="1"/>
      <c r="U7834" s="1"/>
      <c r="V7834" s="1"/>
      <c r="W7834" s="1"/>
      <c r="X7834" s="1"/>
      <c r="Y7834" s="1"/>
      <c r="AB7834" s="1"/>
      <c r="AC7834" s="1"/>
      <c r="AD7834" s="1"/>
      <c r="AE7834" s="1"/>
      <c r="AF7834" s="1"/>
      <c r="AG7834" s="1"/>
      <c r="AH7834" s="1"/>
      <c r="AI7834" s="1"/>
      <c r="AJ7834" s="1"/>
      <c r="AK7834" s="1"/>
      <c r="AL7834" s="1"/>
      <c r="AM7834" s="1"/>
    </row>
    <row r="7835" spans="16:39" x14ac:dyDescent="0.25">
      <c r="P7835" s="49"/>
      <c r="Q7835" s="1"/>
      <c r="S7835" s="1"/>
      <c r="T7835" s="1"/>
      <c r="U7835" s="1"/>
      <c r="V7835" s="1"/>
      <c r="W7835" s="1"/>
      <c r="X7835" s="1"/>
      <c r="Y7835" s="1"/>
      <c r="AB7835" s="1"/>
      <c r="AC7835" s="1"/>
      <c r="AD7835" s="1"/>
      <c r="AE7835" s="1"/>
      <c r="AF7835" s="1"/>
      <c r="AG7835" s="1"/>
      <c r="AH7835" s="1"/>
      <c r="AI7835" s="1"/>
      <c r="AJ7835" s="1"/>
      <c r="AK7835" s="1"/>
      <c r="AL7835" s="1"/>
      <c r="AM7835" s="1"/>
    </row>
    <row r="7836" spans="16:39" x14ac:dyDescent="0.25">
      <c r="P7836" s="49"/>
      <c r="Q7836" s="1"/>
      <c r="S7836" s="1"/>
      <c r="T7836" s="1"/>
      <c r="U7836" s="1"/>
      <c r="V7836" s="1"/>
      <c r="W7836" s="1"/>
      <c r="X7836" s="1"/>
      <c r="Y7836" s="1"/>
      <c r="AB7836" s="1"/>
      <c r="AC7836" s="1"/>
      <c r="AD7836" s="1"/>
      <c r="AE7836" s="1"/>
      <c r="AF7836" s="1"/>
      <c r="AG7836" s="1"/>
      <c r="AH7836" s="1"/>
      <c r="AI7836" s="1"/>
      <c r="AJ7836" s="1"/>
      <c r="AK7836" s="1"/>
      <c r="AL7836" s="1"/>
      <c r="AM7836" s="1"/>
    </row>
    <row r="7837" spans="16:39" x14ac:dyDescent="0.25">
      <c r="P7837" s="49"/>
      <c r="Q7837" s="1"/>
      <c r="S7837" s="1"/>
      <c r="T7837" s="1"/>
      <c r="U7837" s="1"/>
      <c r="V7837" s="1"/>
      <c r="W7837" s="1"/>
      <c r="X7837" s="1"/>
      <c r="Y7837" s="1"/>
      <c r="AB7837" s="1"/>
      <c r="AC7837" s="1"/>
      <c r="AD7837" s="1"/>
      <c r="AE7837" s="1"/>
      <c r="AF7837" s="1"/>
      <c r="AG7837" s="1"/>
      <c r="AH7837" s="1"/>
      <c r="AI7837" s="1"/>
      <c r="AJ7837" s="1"/>
      <c r="AK7837" s="1"/>
      <c r="AL7837" s="1"/>
      <c r="AM7837" s="1"/>
    </row>
    <row r="7838" spans="16:39" x14ac:dyDescent="0.25">
      <c r="P7838" s="49"/>
      <c r="Q7838" s="1"/>
      <c r="S7838" s="1"/>
      <c r="T7838" s="1"/>
      <c r="U7838" s="1"/>
      <c r="V7838" s="1"/>
      <c r="W7838" s="1"/>
      <c r="X7838" s="1"/>
      <c r="Y7838" s="1"/>
      <c r="AB7838" s="1"/>
      <c r="AC7838" s="1"/>
      <c r="AD7838" s="1"/>
      <c r="AE7838" s="1"/>
      <c r="AF7838" s="1"/>
      <c r="AG7838" s="1"/>
      <c r="AH7838" s="1"/>
      <c r="AI7838" s="1"/>
      <c r="AJ7838" s="1"/>
      <c r="AK7838" s="1"/>
      <c r="AL7838" s="1"/>
      <c r="AM7838" s="1"/>
    </row>
    <row r="7839" spans="16:39" x14ac:dyDescent="0.25">
      <c r="P7839" s="49"/>
      <c r="Q7839" s="1"/>
      <c r="S7839" s="1"/>
      <c r="T7839" s="1"/>
      <c r="U7839" s="1"/>
      <c r="V7839" s="1"/>
      <c r="W7839" s="1"/>
      <c r="X7839" s="1"/>
      <c r="Y7839" s="1"/>
      <c r="AB7839" s="1"/>
      <c r="AC7839" s="1"/>
      <c r="AD7839" s="1"/>
      <c r="AE7839" s="1"/>
      <c r="AF7839" s="1"/>
      <c r="AG7839" s="1"/>
      <c r="AH7839" s="1"/>
      <c r="AI7839" s="1"/>
      <c r="AJ7839" s="1"/>
      <c r="AK7839" s="1"/>
      <c r="AL7839" s="1"/>
      <c r="AM7839" s="1"/>
    </row>
    <row r="7840" spans="16:39" x14ac:dyDescent="0.25">
      <c r="P7840" s="49"/>
      <c r="Q7840" s="1"/>
      <c r="S7840" s="1"/>
      <c r="T7840" s="1"/>
      <c r="U7840" s="1"/>
      <c r="V7840" s="1"/>
      <c r="W7840" s="1"/>
      <c r="X7840" s="1"/>
      <c r="Y7840" s="1"/>
      <c r="AB7840" s="1"/>
      <c r="AC7840" s="1"/>
      <c r="AD7840" s="1"/>
      <c r="AE7840" s="1"/>
      <c r="AF7840" s="1"/>
      <c r="AG7840" s="1"/>
      <c r="AH7840" s="1"/>
      <c r="AI7840" s="1"/>
      <c r="AJ7840" s="1"/>
      <c r="AK7840" s="1"/>
      <c r="AL7840" s="1"/>
      <c r="AM7840" s="1"/>
    </row>
    <row r="7841" spans="16:39" x14ac:dyDescent="0.25">
      <c r="P7841" s="49"/>
      <c r="Q7841" s="1"/>
      <c r="S7841" s="1"/>
      <c r="T7841" s="1"/>
      <c r="U7841" s="1"/>
      <c r="V7841" s="1"/>
      <c r="W7841" s="1"/>
      <c r="X7841" s="1"/>
      <c r="Y7841" s="1"/>
      <c r="AB7841" s="1"/>
      <c r="AC7841" s="1"/>
      <c r="AD7841" s="1"/>
      <c r="AE7841" s="1"/>
      <c r="AF7841" s="1"/>
      <c r="AG7841" s="1"/>
      <c r="AH7841" s="1"/>
      <c r="AI7841" s="1"/>
      <c r="AJ7841" s="1"/>
      <c r="AK7841" s="1"/>
      <c r="AL7841" s="1"/>
      <c r="AM7841" s="1"/>
    </row>
    <row r="7842" spans="16:39" x14ac:dyDescent="0.25">
      <c r="P7842" s="49"/>
      <c r="Q7842" s="1"/>
      <c r="S7842" s="1"/>
      <c r="T7842" s="1"/>
      <c r="U7842" s="1"/>
      <c r="V7842" s="1"/>
      <c r="W7842" s="1"/>
      <c r="X7842" s="1"/>
      <c r="Y7842" s="1"/>
      <c r="AB7842" s="1"/>
      <c r="AC7842" s="1"/>
      <c r="AD7842" s="1"/>
      <c r="AE7842" s="1"/>
      <c r="AF7842" s="1"/>
      <c r="AG7842" s="1"/>
      <c r="AH7842" s="1"/>
      <c r="AI7842" s="1"/>
      <c r="AJ7842" s="1"/>
      <c r="AK7842" s="1"/>
      <c r="AL7842" s="1"/>
      <c r="AM7842" s="1"/>
    </row>
    <row r="7843" spans="16:39" x14ac:dyDescent="0.25">
      <c r="P7843" s="49"/>
      <c r="Q7843" s="1"/>
      <c r="S7843" s="1"/>
      <c r="T7843" s="1"/>
      <c r="U7843" s="1"/>
      <c r="V7843" s="1"/>
      <c r="W7843" s="1"/>
      <c r="X7843" s="1"/>
      <c r="Y7843" s="1"/>
      <c r="AB7843" s="1"/>
      <c r="AC7843" s="1"/>
      <c r="AD7843" s="1"/>
      <c r="AE7843" s="1"/>
      <c r="AF7843" s="1"/>
      <c r="AG7843" s="1"/>
      <c r="AH7843" s="1"/>
      <c r="AI7843" s="1"/>
      <c r="AJ7843" s="1"/>
      <c r="AK7843" s="1"/>
      <c r="AL7843" s="1"/>
      <c r="AM7843" s="1"/>
    </row>
    <row r="7844" spans="16:39" x14ac:dyDescent="0.25">
      <c r="P7844" s="49"/>
      <c r="Q7844" s="1"/>
      <c r="S7844" s="1"/>
      <c r="T7844" s="1"/>
      <c r="U7844" s="1"/>
      <c r="V7844" s="1"/>
      <c r="W7844" s="1"/>
      <c r="X7844" s="1"/>
      <c r="Y7844" s="1"/>
      <c r="AB7844" s="1"/>
      <c r="AC7844" s="1"/>
      <c r="AD7844" s="1"/>
      <c r="AE7844" s="1"/>
      <c r="AF7844" s="1"/>
      <c r="AG7844" s="1"/>
      <c r="AH7844" s="1"/>
      <c r="AI7844" s="1"/>
      <c r="AJ7844" s="1"/>
      <c r="AK7844" s="1"/>
      <c r="AL7844" s="1"/>
      <c r="AM7844" s="1"/>
    </row>
    <row r="7845" spans="16:39" x14ac:dyDescent="0.25">
      <c r="P7845" s="49"/>
      <c r="Q7845" s="1"/>
      <c r="S7845" s="1"/>
      <c r="T7845" s="1"/>
      <c r="U7845" s="1"/>
      <c r="V7845" s="1"/>
      <c r="W7845" s="1"/>
      <c r="X7845" s="1"/>
      <c r="Y7845" s="1"/>
      <c r="AB7845" s="1"/>
      <c r="AC7845" s="1"/>
      <c r="AD7845" s="1"/>
      <c r="AE7845" s="1"/>
      <c r="AF7845" s="1"/>
      <c r="AG7845" s="1"/>
      <c r="AH7845" s="1"/>
      <c r="AI7845" s="1"/>
      <c r="AJ7845" s="1"/>
      <c r="AK7845" s="1"/>
      <c r="AL7845" s="1"/>
      <c r="AM7845" s="1"/>
    </row>
    <row r="7846" spans="16:39" x14ac:dyDescent="0.25">
      <c r="P7846" s="49"/>
      <c r="Q7846" s="1"/>
      <c r="S7846" s="1"/>
      <c r="T7846" s="1"/>
      <c r="U7846" s="1"/>
      <c r="V7846" s="1"/>
      <c r="W7846" s="1"/>
      <c r="X7846" s="1"/>
      <c r="Y7846" s="1"/>
      <c r="AB7846" s="1"/>
      <c r="AC7846" s="1"/>
      <c r="AD7846" s="1"/>
      <c r="AE7846" s="1"/>
      <c r="AF7846" s="1"/>
      <c r="AG7846" s="1"/>
      <c r="AH7846" s="1"/>
      <c r="AI7846" s="1"/>
      <c r="AJ7846" s="1"/>
      <c r="AK7846" s="1"/>
      <c r="AL7846" s="1"/>
      <c r="AM7846" s="1"/>
    </row>
    <row r="7847" spans="16:39" x14ac:dyDescent="0.25">
      <c r="P7847" s="49"/>
      <c r="Q7847" s="1"/>
      <c r="S7847" s="1"/>
      <c r="T7847" s="1"/>
      <c r="U7847" s="1"/>
      <c r="V7847" s="1"/>
      <c r="W7847" s="1"/>
      <c r="X7847" s="1"/>
      <c r="Y7847" s="1"/>
      <c r="AB7847" s="1"/>
      <c r="AC7847" s="1"/>
      <c r="AD7847" s="1"/>
      <c r="AE7847" s="1"/>
      <c r="AF7847" s="1"/>
      <c r="AG7847" s="1"/>
      <c r="AH7847" s="1"/>
      <c r="AI7847" s="1"/>
      <c r="AJ7847" s="1"/>
      <c r="AK7847" s="1"/>
      <c r="AL7847" s="1"/>
      <c r="AM7847" s="1"/>
    </row>
    <row r="7848" spans="16:39" x14ac:dyDescent="0.25">
      <c r="P7848" s="49"/>
      <c r="Q7848" s="1"/>
      <c r="S7848" s="1"/>
      <c r="T7848" s="1"/>
      <c r="U7848" s="1"/>
      <c r="V7848" s="1"/>
      <c r="W7848" s="1"/>
      <c r="X7848" s="1"/>
      <c r="Y7848" s="1"/>
      <c r="AB7848" s="1"/>
      <c r="AC7848" s="1"/>
      <c r="AD7848" s="1"/>
      <c r="AE7848" s="1"/>
      <c r="AF7848" s="1"/>
      <c r="AG7848" s="1"/>
      <c r="AH7848" s="1"/>
      <c r="AI7848" s="1"/>
      <c r="AJ7848" s="1"/>
      <c r="AK7848" s="1"/>
      <c r="AL7848" s="1"/>
      <c r="AM7848" s="1"/>
    </row>
    <row r="7849" spans="16:39" x14ac:dyDescent="0.25">
      <c r="P7849" s="49"/>
      <c r="Q7849" s="1"/>
      <c r="S7849" s="1"/>
      <c r="T7849" s="1"/>
      <c r="U7849" s="1"/>
      <c r="V7849" s="1"/>
      <c r="W7849" s="1"/>
      <c r="X7849" s="1"/>
      <c r="Y7849" s="1"/>
      <c r="AB7849" s="1"/>
      <c r="AC7849" s="1"/>
      <c r="AD7849" s="1"/>
      <c r="AE7849" s="1"/>
      <c r="AF7849" s="1"/>
      <c r="AG7849" s="1"/>
      <c r="AH7849" s="1"/>
      <c r="AI7849" s="1"/>
      <c r="AJ7849" s="1"/>
      <c r="AK7849" s="1"/>
      <c r="AL7849" s="1"/>
      <c r="AM7849" s="1"/>
    </row>
    <row r="7850" spans="16:39" x14ac:dyDescent="0.25">
      <c r="P7850" s="49"/>
      <c r="Q7850" s="1"/>
      <c r="S7850" s="1"/>
      <c r="T7850" s="1"/>
      <c r="U7850" s="1"/>
      <c r="V7850" s="1"/>
      <c r="W7850" s="1"/>
      <c r="X7850" s="1"/>
      <c r="Y7850" s="1"/>
      <c r="AB7850" s="1"/>
      <c r="AC7850" s="1"/>
      <c r="AD7850" s="1"/>
      <c r="AE7850" s="1"/>
      <c r="AF7850" s="1"/>
      <c r="AG7850" s="1"/>
      <c r="AH7850" s="1"/>
      <c r="AI7850" s="1"/>
      <c r="AJ7850" s="1"/>
      <c r="AK7850" s="1"/>
      <c r="AL7850" s="1"/>
      <c r="AM7850" s="1"/>
    </row>
    <row r="7851" spans="16:39" x14ac:dyDescent="0.25">
      <c r="P7851" s="49"/>
      <c r="Q7851" s="1"/>
      <c r="S7851" s="1"/>
      <c r="T7851" s="1"/>
      <c r="U7851" s="1"/>
      <c r="V7851" s="1"/>
      <c r="W7851" s="1"/>
      <c r="X7851" s="1"/>
      <c r="Y7851" s="1"/>
      <c r="AB7851" s="1"/>
      <c r="AC7851" s="1"/>
      <c r="AD7851" s="1"/>
      <c r="AE7851" s="1"/>
      <c r="AF7851" s="1"/>
      <c r="AG7851" s="1"/>
      <c r="AH7851" s="1"/>
      <c r="AI7851" s="1"/>
      <c r="AJ7851" s="1"/>
      <c r="AK7851" s="1"/>
      <c r="AL7851" s="1"/>
      <c r="AM7851" s="1"/>
    </row>
    <row r="7852" spans="16:39" x14ac:dyDescent="0.25">
      <c r="P7852" s="49"/>
      <c r="Q7852" s="1"/>
      <c r="S7852" s="1"/>
      <c r="T7852" s="1"/>
      <c r="U7852" s="1"/>
      <c r="V7852" s="1"/>
      <c r="W7852" s="1"/>
      <c r="X7852" s="1"/>
      <c r="Y7852" s="1"/>
      <c r="AB7852" s="1"/>
      <c r="AC7852" s="1"/>
      <c r="AD7852" s="1"/>
      <c r="AE7852" s="1"/>
      <c r="AF7852" s="1"/>
      <c r="AG7852" s="1"/>
      <c r="AH7852" s="1"/>
      <c r="AI7852" s="1"/>
      <c r="AJ7852" s="1"/>
      <c r="AK7852" s="1"/>
      <c r="AL7852" s="1"/>
      <c r="AM7852" s="1"/>
    </row>
    <row r="7853" spans="16:39" x14ac:dyDescent="0.25">
      <c r="P7853" s="49"/>
      <c r="Q7853" s="1"/>
      <c r="S7853" s="1"/>
      <c r="T7853" s="1"/>
      <c r="U7853" s="1"/>
      <c r="V7853" s="1"/>
      <c r="W7853" s="1"/>
      <c r="X7853" s="1"/>
      <c r="Y7853" s="1"/>
      <c r="AB7853" s="1"/>
      <c r="AC7853" s="1"/>
      <c r="AD7853" s="1"/>
      <c r="AE7853" s="1"/>
      <c r="AF7853" s="1"/>
      <c r="AG7853" s="1"/>
      <c r="AH7853" s="1"/>
      <c r="AI7853" s="1"/>
      <c r="AJ7853" s="1"/>
      <c r="AK7853" s="1"/>
      <c r="AL7853" s="1"/>
      <c r="AM7853" s="1"/>
    </row>
    <row r="7854" spans="16:39" x14ac:dyDescent="0.25">
      <c r="P7854" s="49"/>
      <c r="Q7854" s="1"/>
      <c r="S7854" s="1"/>
      <c r="T7854" s="1"/>
      <c r="U7854" s="1"/>
      <c r="V7854" s="1"/>
      <c r="W7854" s="1"/>
      <c r="X7854" s="1"/>
      <c r="Y7854" s="1"/>
      <c r="AB7854" s="1"/>
      <c r="AC7854" s="1"/>
      <c r="AD7854" s="1"/>
      <c r="AE7854" s="1"/>
      <c r="AF7854" s="1"/>
      <c r="AG7854" s="1"/>
      <c r="AH7854" s="1"/>
      <c r="AI7854" s="1"/>
      <c r="AJ7854" s="1"/>
      <c r="AK7854" s="1"/>
      <c r="AL7854" s="1"/>
      <c r="AM7854" s="1"/>
    </row>
    <row r="7855" spans="16:39" x14ac:dyDescent="0.25">
      <c r="P7855" s="49"/>
      <c r="Q7855" s="1"/>
      <c r="S7855" s="1"/>
      <c r="T7855" s="1"/>
      <c r="U7855" s="1"/>
      <c r="V7855" s="1"/>
      <c r="W7855" s="1"/>
      <c r="X7855" s="1"/>
      <c r="Y7855" s="1"/>
      <c r="AB7855" s="1"/>
      <c r="AC7855" s="1"/>
      <c r="AD7855" s="1"/>
      <c r="AE7855" s="1"/>
      <c r="AF7855" s="1"/>
      <c r="AG7855" s="1"/>
      <c r="AH7855" s="1"/>
      <c r="AI7855" s="1"/>
      <c r="AJ7855" s="1"/>
      <c r="AK7855" s="1"/>
      <c r="AL7855" s="1"/>
      <c r="AM7855" s="1"/>
    </row>
    <row r="7856" spans="16:39" x14ac:dyDescent="0.25">
      <c r="P7856" s="49"/>
      <c r="Q7856" s="1"/>
      <c r="S7856" s="1"/>
      <c r="T7856" s="1"/>
      <c r="U7856" s="1"/>
      <c r="V7856" s="1"/>
      <c r="W7856" s="1"/>
      <c r="X7856" s="1"/>
      <c r="Y7856" s="1"/>
      <c r="AB7856" s="1"/>
      <c r="AC7856" s="1"/>
      <c r="AD7856" s="1"/>
      <c r="AE7856" s="1"/>
      <c r="AF7856" s="1"/>
      <c r="AG7856" s="1"/>
      <c r="AH7856" s="1"/>
      <c r="AI7856" s="1"/>
      <c r="AJ7856" s="1"/>
      <c r="AK7856" s="1"/>
      <c r="AL7856" s="1"/>
      <c r="AM7856" s="1"/>
    </row>
    <row r="7857" spans="16:39" x14ac:dyDescent="0.25">
      <c r="P7857" s="49"/>
      <c r="Q7857" s="1"/>
      <c r="S7857" s="1"/>
      <c r="T7857" s="1"/>
      <c r="U7857" s="1"/>
      <c r="V7857" s="1"/>
      <c r="W7857" s="1"/>
      <c r="X7857" s="1"/>
      <c r="Y7857" s="1"/>
      <c r="AB7857" s="1"/>
      <c r="AC7857" s="1"/>
      <c r="AD7857" s="1"/>
      <c r="AE7857" s="1"/>
      <c r="AF7857" s="1"/>
      <c r="AG7857" s="1"/>
      <c r="AH7857" s="1"/>
      <c r="AI7857" s="1"/>
      <c r="AJ7857" s="1"/>
      <c r="AK7857" s="1"/>
      <c r="AL7857" s="1"/>
      <c r="AM7857" s="1"/>
    </row>
    <row r="7858" spans="16:39" x14ac:dyDescent="0.25">
      <c r="P7858" s="49"/>
      <c r="Q7858" s="1"/>
      <c r="S7858" s="1"/>
      <c r="T7858" s="1"/>
      <c r="U7858" s="1"/>
      <c r="V7858" s="1"/>
      <c r="W7858" s="1"/>
      <c r="X7858" s="1"/>
      <c r="Y7858" s="1"/>
      <c r="AB7858" s="1"/>
      <c r="AC7858" s="1"/>
      <c r="AD7858" s="1"/>
      <c r="AE7858" s="1"/>
      <c r="AF7858" s="1"/>
      <c r="AG7858" s="1"/>
      <c r="AH7858" s="1"/>
      <c r="AI7858" s="1"/>
      <c r="AJ7858" s="1"/>
      <c r="AK7858" s="1"/>
      <c r="AL7858" s="1"/>
      <c r="AM7858" s="1"/>
    </row>
    <row r="7859" spans="16:39" x14ac:dyDescent="0.25">
      <c r="P7859" s="49"/>
      <c r="Q7859" s="1"/>
      <c r="S7859" s="1"/>
      <c r="T7859" s="1"/>
      <c r="U7859" s="1"/>
      <c r="V7859" s="1"/>
      <c r="W7859" s="1"/>
      <c r="X7859" s="1"/>
      <c r="Y7859" s="1"/>
      <c r="AB7859" s="1"/>
      <c r="AC7859" s="1"/>
      <c r="AD7859" s="1"/>
      <c r="AE7859" s="1"/>
      <c r="AF7859" s="1"/>
      <c r="AG7859" s="1"/>
      <c r="AH7859" s="1"/>
      <c r="AI7859" s="1"/>
      <c r="AJ7859" s="1"/>
      <c r="AK7859" s="1"/>
      <c r="AL7859" s="1"/>
      <c r="AM7859" s="1"/>
    </row>
    <row r="7860" spans="16:39" x14ac:dyDescent="0.25">
      <c r="P7860" s="49"/>
      <c r="Q7860" s="1"/>
      <c r="S7860" s="1"/>
      <c r="T7860" s="1"/>
      <c r="U7860" s="1"/>
      <c r="V7860" s="1"/>
      <c r="W7860" s="1"/>
      <c r="X7860" s="1"/>
      <c r="Y7860" s="1"/>
      <c r="AB7860" s="1"/>
      <c r="AC7860" s="1"/>
      <c r="AD7860" s="1"/>
      <c r="AE7860" s="1"/>
      <c r="AF7860" s="1"/>
      <c r="AG7860" s="1"/>
      <c r="AH7860" s="1"/>
      <c r="AI7860" s="1"/>
      <c r="AJ7860" s="1"/>
      <c r="AK7860" s="1"/>
      <c r="AL7860" s="1"/>
      <c r="AM7860" s="1"/>
    </row>
    <row r="7861" spans="16:39" x14ac:dyDescent="0.25">
      <c r="P7861" s="49"/>
      <c r="Q7861" s="1"/>
      <c r="S7861" s="1"/>
      <c r="T7861" s="1"/>
      <c r="U7861" s="1"/>
      <c r="V7861" s="1"/>
      <c r="W7861" s="1"/>
      <c r="X7861" s="1"/>
      <c r="Y7861" s="1"/>
      <c r="AB7861" s="1"/>
      <c r="AC7861" s="1"/>
      <c r="AD7861" s="1"/>
      <c r="AE7861" s="1"/>
      <c r="AF7861" s="1"/>
      <c r="AG7861" s="1"/>
      <c r="AH7861" s="1"/>
      <c r="AI7861" s="1"/>
      <c r="AJ7861" s="1"/>
      <c r="AK7861" s="1"/>
      <c r="AL7861" s="1"/>
      <c r="AM7861" s="1"/>
    </row>
    <row r="7862" spans="16:39" x14ac:dyDescent="0.25">
      <c r="P7862" s="49"/>
      <c r="Q7862" s="1"/>
      <c r="S7862" s="1"/>
      <c r="T7862" s="1"/>
      <c r="U7862" s="1"/>
      <c r="V7862" s="1"/>
      <c r="W7862" s="1"/>
      <c r="X7862" s="1"/>
      <c r="Y7862" s="1"/>
      <c r="AB7862" s="1"/>
      <c r="AC7862" s="1"/>
      <c r="AD7862" s="1"/>
      <c r="AE7862" s="1"/>
      <c r="AF7862" s="1"/>
      <c r="AG7862" s="1"/>
      <c r="AH7862" s="1"/>
      <c r="AI7862" s="1"/>
      <c r="AJ7862" s="1"/>
      <c r="AK7862" s="1"/>
      <c r="AL7862" s="1"/>
      <c r="AM7862" s="1"/>
    </row>
    <row r="7863" spans="16:39" x14ac:dyDescent="0.25">
      <c r="P7863" s="49"/>
      <c r="Q7863" s="1"/>
      <c r="S7863" s="1"/>
      <c r="T7863" s="1"/>
      <c r="U7863" s="1"/>
      <c r="V7863" s="1"/>
      <c r="W7863" s="1"/>
      <c r="X7863" s="1"/>
      <c r="Y7863" s="1"/>
      <c r="AB7863" s="1"/>
      <c r="AC7863" s="1"/>
      <c r="AD7863" s="1"/>
      <c r="AE7863" s="1"/>
      <c r="AF7863" s="1"/>
      <c r="AG7863" s="1"/>
      <c r="AH7863" s="1"/>
      <c r="AI7863" s="1"/>
      <c r="AJ7863" s="1"/>
      <c r="AK7863" s="1"/>
      <c r="AL7863" s="1"/>
      <c r="AM7863" s="1"/>
    </row>
    <row r="7864" spans="16:39" x14ac:dyDescent="0.25">
      <c r="P7864" s="49"/>
      <c r="Q7864" s="1"/>
      <c r="S7864" s="1"/>
      <c r="T7864" s="1"/>
      <c r="U7864" s="1"/>
      <c r="V7864" s="1"/>
      <c r="W7864" s="1"/>
      <c r="X7864" s="1"/>
      <c r="Y7864" s="1"/>
      <c r="AB7864" s="1"/>
      <c r="AC7864" s="1"/>
      <c r="AD7864" s="1"/>
      <c r="AE7864" s="1"/>
      <c r="AF7864" s="1"/>
      <c r="AG7864" s="1"/>
      <c r="AH7864" s="1"/>
      <c r="AI7864" s="1"/>
      <c r="AJ7864" s="1"/>
      <c r="AK7864" s="1"/>
      <c r="AL7864" s="1"/>
      <c r="AM7864" s="1"/>
    </row>
    <row r="7865" spans="16:39" x14ac:dyDescent="0.25">
      <c r="P7865" s="49"/>
      <c r="Q7865" s="1"/>
      <c r="S7865" s="1"/>
      <c r="T7865" s="1"/>
      <c r="U7865" s="1"/>
      <c r="V7865" s="1"/>
      <c r="W7865" s="1"/>
      <c r="X7865" s="1"/>
      <c r="Y7865" s="1"/>
      <c r="AB7865" s="1"/>
      <c r="AC7865" s="1"/>
      <c r="AD7865" s="1"/>
      <c r="AE7865" s="1"/>
      <c r="AF7865" s="1"/>
      <c r="AG7865" s="1"/>
      <c r="AH7865" s="1"/>
      <c r="AI7865" s="1"/>
      <c r="AJ7865" s="1"/>
      <c r="AK7865" s="1"/>
      <c r="AL7865" s="1"/>
      <c r="AM7865" s="1"/>
    </row>
    <row r="7866" spans="16:39" x14ac:dyDescent="0.25">
      <c r="P7866" s="49"/>
      <c r="Q7866" s="1"/>
      <c r="S7866" s="1"/>
      <c r="T7866" s="1"/>
      <c r="U7866" s="1"/>
      <c r="V7866" s="1"/>
      <c r="W7866" s="1"/>
      <c r="X7866" s="1"/>
      <c r="Y7866" s="1"/>
      <c r="AB7866" s="1"/>
      <c r="AC7866" s="1"/>
      <c r="AD7866" s="1"/>
      <c r="AE7866" s="1"/>
      <c r="AF7866" s="1"/>
      <c r="AG7866" s="1"/>
      <c r="AH7866" s="1"/>
      <c r="AI7866" s="1"/>
      <c r="AJ7866" s="1"/>
      <c r="AK7866" s="1"/>
      <c r="AL7866" s="1"/>
      <c r="AM7866" s="1"/>
    </row>
    <row r="7867" spans="16:39" x14ac:dyDescent="0.25">
      <c r="P7867" s="49"/>
      <c r="Q7867" s="1"/>
      <c r="S7867" s="1"/>
      <c r="T7867" s="1"/>
      <c r="U7867" s="1"/>
      <c r="V7867" s="1"/>
      <c r="W7867" s="1"/>
      <c r="X7867" s="1"/>
      <c r="Y7867" s="1"/>
      <c r="AB7867" s="1"/>
      <c r="AC7867" s="1"/>
      <c r="AD7867" s="1"/>
      <c r="AE7867" s="1"/>
      <c r="AF7867" s="1"/>
      <c r="AG7867" s="1"/>
      <c r="AH7867" s="1"/>
      <c r="AI7867" s="1"/>
      <c r="AJ7867" s="1"/>
      <c r="AK7867" s="1"/>
      <c r="AL7867" s="1"/>
      <c r="AM7867" s="1"/>
    </row>
    <row r="7868" spans="16:39" x14ac:dyDescent="0.25">
      <c r="P7868" s="49"/>
      <c r="Q7868" s="1"/>
      <c r="S7868" s="1"/>
      <c r="T7868" s="1"/>
      <c r="U7868" s="1"/>
      <c r="V7868" s="1"/>
      <c r="W7868" s="1"/>
      <c r="X7868" s="1"/>
      <c r="Y7868" s="1"/>
      <c r="AB7868" s="1"/>
      <c r="AC7868" s="1"/>
      <c r="AD7868" s="1"/>
      <c r="AE7868" s="1"/>
      <c r="AF7868" s="1"/>
      <c r="AG7868" s="1"/>
      <c r="AH7868" s="1"/>
      <c r="AI7868" s="1"/>
      <c r="AJ7868" s="1"/>
      <c r="AK7868" s="1"/>
      <c r="AL7868" s="1"/>
      <c r="AM7868" s="1"/>
    </row>
    <row r="7869" spans="16:39" x14ac:dyDescent="0.25">
      <c r="P7869" s="49"/>
      <c r="Q7869" s="1"/>
      <c r="S7869" s="1"/>
      <c r="T7869" s="1"/>
      <c r="U7869" s="1"/>
      <c r="V7869" s="1"/>
      <c r="W7869" s="1"/>
      <c r="X7869" s="1"/>
      <c r="Y7869" s="1"/>
      <c r="AB7869" s="1"/>
      <c r="AC7869" s="1"/>
      <c r="AD7869" s="1"/>
      <c r="AE7869" s="1"/>
      <c r="AF7869" s="1"/>
      <c r="AG7869" s="1"/>
      <c r="AH7869" s="1"/>
      <c r="AI7869" s="1"/>
      <c r="AJ7869" s="1"/>
      <c r="AK7869" s="1"/>
      <c r="AL7869" s="1"/>
      <c r="AM7869" s="1"/>
    </row>
    <row r="7870" spans="16:39" x14ac:dyDescent="0.25">
      <c r="P7870" s="49"/>
      <c r="Q7870" s="1"/>
      <c r="S7870" s="1"/>
      <c r="T7870" s="1"/>
      <c r="U7870" s="1"/>
      <c r="V7870" s="1"/>
      <c r="W7870" s="1"/>
      <c r="X7870" s="1"/>
      <c r="Y7870" s="1"/>
      <c r="AB7870" s="1"/>
      <c r="AC7870" s="1"/>
      <c r="AD7870" s="1"/>
      <c r="AE7870" s="1"/>
      <c r="AF7870" s="1"/>
      <c r="AG7870" s="1"/>
      <c r="AH7870" s="1"/>
      <c r="AI7870" s="1"/>
      <c r="AJ7870" s="1"/>
      <c r="AK7870" s="1"/>
      <c r="AL7870" s="1"/>
      <c r="AM7870" s="1"/>
    </row>
    <row r="7871" spans="16:39" x14ac:dyDescent="0.25">
      <c r="P7871" s="49"/>
      <c r="Q7871" s="1"/>
      <c r="S7871" s="1"/>
      <c r="T7871" s="1"/>
      <c r="U7871" s="1"/>
      <c r="V7871" s="1"/>
      <c r="W7871" s="1"/>
      <c r="X7871" s="1"/>
      <c r="Y7871" s="1"/>
      <c r="AB7871" s="1"/>
      <c r="AC7871" s="1"/>
      <c r="AD7871" s="1"/>
      <c r="AE7871" s="1"/>
      <c r="AF7871" s="1"/>
      <c r="AG7871" s="1"/>
      <c r="AH7871" s="1"/>
      <c r="AI7871" s="1"/>
      <c r="AJ7871" s="1"/>
      <c r="AK7871" s="1"/>
      <c r="AL7871" s="1"/>
      <c r="AM7871" s="1"/>
    </row>
    <row r="7872" spans="16:39" x14ac:dyDescent="0.25">
      <c r="P7872" s="49"/>
      <c r="Q7872" s="1"/>
      <c r="S7872" s="1"/>
      <c r="T7872" s="1"/>
      <c r="U7872" s="1"/>
      <c r="V7872" s="1"/>
      <c r="W7872" s="1"/>
      <c r="X7872" s="1"/>
      <c r="Y7872" s="1"/>
      <c r="AB7872" s="1"/>
      <c r="AC7872" s="1"/>
      <c r="AD7872" s="1"/>
      <c r="AE7872" s="1"/>
      <c r="AF7872" s="1"/>
      <c r="AG7872" s="1"/>
      <c r="AH7872" s="1"/>
      <c r="AI7872" s="1"/>
      <c r="AJ7872" s="1"/>
      <c r="AK7872" s="1"/>
      <c r="AL7872" s="1"/>
      <c r="AM7872" s="1"/>
    </row>
    <row r="7873" spans="16:39" x14ac:dyDescent="0.25">
      <c r="P7873" s="49"/>
      <c r="Q7873" s="1"/>
      <c r="S7873" s="1"/>
      <c r="T7873" s="1"/>
      <c r="U7873" s="1"/>
      <c r="V7873" s="1"/>
      <c r="W7873" s="1"/>
      <c r="X7873" s="1"/>
      <c r="Y7873" s="1"/>
      <c r="AB7873" s="1"/>
      <c r="AC7873" s="1"/>
      <c r="AD7873" s="1"/>
      <c r="AE7873" s="1"/>
      <c r="AF7873" s="1"/>
      <c r="AG7873" s="1"/>
      <c r="AH7873" s="1"/>
      <c r="AI7873" s="1"/>
      <c r="AJ7873" s="1"/>
      <c r="AK7873" s="1"/>
      <c r="AL7873" s="1"/>
      <c r="AM7873" s="1"/>
    </row>
    <row r="7874" spans="16:39" x14ac:dyDescent="0.25">
      <c r="P7874" s="49"/>
      <c r="Q7874" s="1"/>
      <c r="S7874" s="1"/>
      <c r="T7874" s="1"/>
      <c r="U7874" s="1"/>
      <c r="V7874" s="1"/>
      <c r="W7874" s="1"/>
      <c r="X7874" s="1"/>
      <c r="Y7874" s="1"/>
      <c r="AB7874" s="1"/>
      <c r="AC7874" s="1"/>
      <c r="AD7874" s="1"/>
      <c r="AE7874" s="1"/>
      <c r="AF7874" s="1"/>
      <c r="AG7874" s="1"/>
      <c r="AH7874" s="1"/>
      <c r="AI7874" s="1"/>
      <c r="AJ7874" s="1"/>
      <c r="AK7874" s="1"/>
      <c r="AL7874" s="1"/>
      <c r="AM7874" s="1"/>
    </row>
    <row r="7875" spans="16:39" x14ac:dyDescent="0.25">
      <c r="P7875" s="49"/>
      <c r="Q7875" s="1"/>
      <c r="S7875" s="1"/>
      <c r="T7875" s="1"/>
      <c r="U7875" s="1"/>
      <c r="V7875" s="1"/>
      <c r="W7875" s="1"/>
      <c r="X7875" s="1"/>
      <c r="Y7875" s="1"/>
      <c r="AB7875" s="1"/>
      <c r="AC7875" s="1"/>
      <c r="AD7875" s="1"/>
      <c r="AE7875" s="1"/>
      <c r="AF7875" s="1"/>
      <c r="AG7875" s="1"/>
      <c r="AH7875" s="1"/>
      <c r="AI7875" s="1"/>
      <c r="AJ7875" s="1"/>
      <c r="AK7875" s="1"/>
      <c r="AL7875" s="1"/>
      <c r="AM7875" s="1"/>
    </row>
    <row r="7876" spans="16:39" x14ac:dyDescent="0.25">
      <c r="P7876" s="49"/>
      <c r="Q7876" s="1"/>
      <c r="S7876" s="1"/>
      <c r="T7876" s="1"/>
      <c r="U7876" s="1"/>
      <c r="V7876" s="1"/>
      <c r="W7876" s="1"/>
      <c r="X7876" s="1"/>
      <c r="Y7876" s="1"/>
      <c r="AB7876" s="1"/>
      <c r="AC7876" s="1"/>
      <c r="AD7876" s="1"/>
      <c r="AE7876" s="1"/>
      <c r="AF7876" s="1"/>
      <c r="AG7876" s="1"/>
      <c r="AH7876" s="1"/>
      <c r="AI7876" s="1"/>
      <c r="AJ7876" s="1"/>
      <c r="AK7876" s="1"/>
      <c r="AL7876" s="1"/>
      <c r="AM7876" s="1"/>
    </row>
    <row r="7877" spans="16:39" x14ac:dyDescent="0.25">
      <c r="P7877" s="49"/>
      <c r="Q7877" s="1"/>
      <c r="S7877" s="1"/>
      <c r="T7877" s="1"/>
      <c r="U7877" s="1"/>
      <c r="V7877" s="1"/>
      <c r="W7877" s="1"/>
      <c r="X7877" s="1"/>
      <c r="Y7877" s="1"/>
      <c r="AB7877" s="1"/>
      <c r="AC7877" s="1"/>
      <c r="AD7877" s="1"/>
      <c r="AE7877" s="1"/>
      <c r="AF7877" s="1"/>
      <c r="AG7877" s="1"/>
      <c r="AH7877" s="1"/>
      <c r="AI7877" s="1"/>
      <c r="AJ7877" s="1"/>
      <c r="AK7877" s="1"/>
      <c r="AL7877" s="1"/>
      <c r="AM7877" s="1"/>
    </row>
    <row r="7878" spans="16:39" x14ac:dyDescent="0.25">
      <c r="P7878" s="49"/>
      <c r="Q7878" s="1"/>
      <c r="S7878" s="1"/>
      <c r="T7878" s="1"/>
      <c r="U7878" s="1"/>
      <c r="V7878" s="1"/>
      <c r="W7878" s="1"/>
      <c r="X7878" s="1"/>
      <c r="Y7878" s="1"/>
      <c r="AB7878" s="1"/>
      <c r="AC7878" s="1"/>
      <c r="AD7878" s="1"/>
      <c r="AE7878" s="1"/>
      <c r="AF7878" s="1"/>
      <c r="AG7878" s="1"/>
      <c r="AH7878" s="1"/>
      <c r="AI7878" s="1"/>
      <c r="AJ7878" s="1"/>
      <c r="AK7878" s="1"/>
      <c r="AL7878" s="1"/>
      <c r="AM7878" s="1"/>
    </row>
    <row r="7879" spans="16:39" x14ac:dyDescent="0.25">
      <c r="P7879" s="49"/>
      <c r="Q7879" s="1"/>
      <c r="S7879" s="1"/>
      <c r="T7879" s="1"/>
      <c r="U7879" s="1"/>
      <c r="V7879" s="1"/>
      <c r="W7879" s="1"/>
      <c r="X7879" s="1"/>
      <c r="Y7879" s="1"/>
      <c r="AB7879" s="1"/>
      <c r="AC7879" s="1"/>
      <c r="AD7879" s="1"/>
      <c r="AE7879" s="1"/>
      <c r="AF7879" s="1"/>
      <c r="AG7879" s="1"/>
      <c r="AH7879" s="1"/>
      <c r="AI7879" s="1"/>
      <c r="AJ7879" s="1"/>
      <c r="AK7879" s="1"/>
      <c r="AL7879" s="1"/>
      <c r="AM7879" s="1"/>
    </row>
    <row r="7880" spans="16:39" x14ac:dyDescent="0.25">
      <c r="P7880" s="49"/>
      <c r="Q7880" s="1"/>
      <c r="S7880" s="1"/>
      <c r="T7880" s="1"/>
      <c r="U7880" s="1"/>
      <c r="V7880" s="1"/>
      <c r="W7880" s="1"/>
      <c r="X7880" s="1"/>
      <c r="Y7880" s="1"/>
      <c r="AB7880" s="1"/>
      <c r="AC7880" s="1"/>
      <c r="AD7880" s="1"/>
      <c r="AE7880" s="1"/>
      <c r="AF7880" s="1"/>
      <c r="AG7880" s="1"/>
      <c r="AH7880" s="1"/>
      <c r="AI7880" s="1"/>
      <c r="AJ7880" s="1"/>
      <c r="AK7880" s="1"/>
      <c r="AL7880" s="1"/>
      <c r="AM7880" s="1"/>
    </row>
    <row r="7881" spans="16:39" x14ac:dyDescent="0.25">
      <c r="P7881" s="49"/>
      <c r="Q7881" s="1"/>
      <c r="S7881" s="1"/>
      <c r="T7881" s="1"/>
      <c r="U7881" s="1"/>
      <c r="V7881" s="1"/>
      <c r="W7881" s="1"/>
      <c r="X7881" s="1"/>
      <c r="Y7881" s="1"/>
      <c r="AB7881" s="1"/>
      <c r="AC7881" s="1"/>
      <c r="AD7881" s="1"/>
      <c r="AE7881" s="1"/>
      <c r="AF7881" s="1"/>
      <c r="AG7881" s="1"/>
      <c r="AH7881" s="1"/>
      <c r="AI7881" s="1"/>
      <c r="AJ7881" s="1"/>
      <c r="AK7881" s="1"/>
      <c r="AL7881" s="1"/>
      <c r="AM7881" s="1"/>
    </row>
    <row r="7882" spans="16:39" x14ac:dyDescent="0.25">
      <c r="P7882" s="49"/>
      <c r="Q7882" s="1"/>
      <c r="S7882" s="1"/>
      <c r="T7882" s="1"/>
      <c r="U7882" s="1"/>
      <c r="V7882" s="1"/>
      <c r="W7882" s="1"/>
      <c r="X7882" s="1"/>
      <c r="Y7882" s="1"/>
      <c r="AB7882" s="1"/>
      <c r="AC7882" s="1"/>
      <c r="AD7882" s="1"/>
      <c r="AE7882" s="1"/>
      <c r="AF7882" s="1"/>
      <c r="AG7882" s="1"/>
      <c r="AH7882" s="1"/>
      <c r="AI7882" s="1"/>
      <c r="AJ7882" s="1"/>
      <c r="AK7882" s="1"/>
      <c r="AL7882" s="1"/>
      <c r="AM7882" s="1"/>
    </row>
    <row r="7883" spans="16:39" x14ac:dyDescent="0.25">
      <c r="P7883" s="49"/>
      <c r="Q7883" s="1"/>
      <c r="S7883" s="1"/>
      <c r="T7883" s="1"/>
      <c r="U7883" s="1"/>
      <c r="V7883" s="1"/>
      <c r="W7883" s="1"/>
      <c r="X7883" s="1"/>
      <c r="Y7883" s="1"/>
      <c r="AB7883" s="1"/>
      <c r="AC7883" s="1"/>
      <c r="AD7883" s="1"/>
      <c r="AE7883" s="1"/>
      <c r="AF7883" s="1"/>
      <c r="AG7883" s="1"/>
      <c r="AH7883" s="1"/>
      <c r="AI7883" s="1"/>
      <c r="AJ7883" s="1"/>
      <c r="AK7883" s="1"/>
      <c r="AL7883" s="1"/>
      <c r="AM7883" s="1"/>
    </row>
    <row r="7884" spans="16:39" x14ac:dyDescent="0.25">
      <c r="P7884" s="49"/>
      <c r="Q7884" s="1"/>
      <c r="S7884" s="1"/>
      <c r="T7884" s="1"/>
      <c r="U7884" s="1"/>
      <c r="V7884" s="1"/>
      <c r="W7884" s="1"/>
      <c r="X7884" s="1"/>
      <c r="Y7884" s="1"/>
      <c r="AB7884" s="1"/>
      <c r="AC7884" s="1"/>
      <c r="AD7884" s="1"/>
      <c r="AE7884" s="1"/>
      <c r="AF7884" s="1"/>
      <c r="AG7884" s="1"/>
      <c r="AH7884" s="1"/>
      <c r="AI7884" s="1"/>
      <c r="AJ7884" s="1"/>
      <c r="AK7884" s="1"/>
      <c r="AL7884" s="1"/>
      <c r="AM7884" s="1"/>
    </row>
    <row r="7885" spans="16:39" x14ac:dyDescent="0.25">
      <c r="P7885" s="49"/>
      <c r="Q7885" s="1"/>
      <c r="S7885" s="1"/>
      <c r="T7885" s="1"/>
      <c r="U7885" s="1"/>
      <c r="V7885" s="1"/>
      <c r="W7885" s="1"/>
      <c r="X7885" s="1"/>
      <c r="Y7885" s="1"/>
      <c r="AB7885" s="1"/>
      <c r="AC7885" s="1"/>
      <c r="AD7885" s="1"/>
      <c r="AE7885" s="1"/>
      <c r="AF7885" s="1"/>
      <c r="AG7885" s="1"/>
      <c r="AH7885" s="1"/>
      <c r="AI7885" s="1"/>
      <c r="AJ7885" s="1"/>
      <c r="AK7885" s="1"/>
      <c r="AL7885" s="1"/>
      <c r="AM7885" s="1"/>
    </row>
    <row r="7886" spans="16:39" x14ac:dyDescent="0.25">
      <c r="P7886" s="49"/>
      <c r="Q7886" s="1"/>
      <c r="S7886" s="1"/>
      <c r="T7886" s="1"/>
      <c r="U7886" s="1"/>
      <c r="V7886" s="1"/>
      <c r="W7886" s="1"/>
      <c r="X7886" s="1"/>
      <c r="Y7886" s="1"/>
      <c r="AB7886" s="1"/>
      <c r="AC7886" s="1"/>
      <c r="AD7886" s="1"/>
      <c r="AE7886" s="1"/>
      <c r="AF7886" s="1"/>
      <c r="AG7886" s="1"/>
      <c r="AH7886" s="1"/>
      <c r="AI7886" s="1"/>
      <c r="AJ7886" s="1"/>
      <c r="AK7886" s="1"/>
      <c r="AL7886" s="1"/>
      <c r="AM7886" s="1"/>
    </row>
    <row r="7887" spans="16:39" x14ac:dyDescent="0.25">
      <c r="P7887" s="49"/>
      <c r="Q7887" s="1"/>
      <c r="S7887" s="1"/>
      <c r="T7887" s="1"/>
      <c r="U7887" s="1"/>
      <c r="V7887" s="1"/>
      <c r="W7887" s="1"/>
      <c r="X7887" s="1"/>
      <c r="Y7887" s="1"/>
      <c r="AB7887" s="1"/>
      <c r="AC7887" s="1"/>
      <c r="AD7887" s="1"/>
      <c r="AE7887" s="1"/>
      <c r="AF7887" s="1"/>
      <c r="AG7887" s="1"/>
      <c r="AH7887" s="1"/>
      <c r="AI7887" s="1"/>
      <c r="AJ7887" s="1"/>
      <c r="AK7887" s="1"/>
      <c r="AL7887" s="1"/>
      <c r="AM7887" s="1"/>
    </row>
    <row r="7888" spans="16:39" x14ac:dyDescent="0.25">
      <c r="P7888" s="49"/>
      <c r="Q7888" s="1"/>
      <c r="S7888" s="1"/>
      <c r="T7888" s="1"/>
      <c r="U7888" s="1"/>
      <c r="V7888" s="1"/>
      <c r="W7888" s="1"/>
      <c r="X7888" s="1"/>
      <c r="Y7888" s="1"/>
      <c r="AB7888" s="1"/>
      <c r="AC7888" s="1"/>
      <c r="AD7888" s="1"/>
      <c r="AE7888" s="1"/>
      <c r="AF7888" s="1"/>
      <c r="AG7888" s="1"/>
      <c r="AH7888" s="1"/>
      <c r="AI7888" s="1"/>
      <c r="AJ7888" s="1"/>
      <c r="AK7888" s="1"/>
      <c r="AL7888" s="1"/>
      <c r="AM7888" s="1"/>
    </row>
    <row r="7889" spans="16:39" x14ac:dyDescent="0.25">
      <c r="P7889" s="49"/>
      <c r="Q7889" s="1"/>
      <c r="S7889" s="1"/>
      <c r="T7889" s="1"/>
      <c r="U7889" s="1"/>
      <c r="V7889" s="1"/>
      <c r="W7889" s="1"/>
      <c r="X7889" s="1"/>
      <c r="Y7889" s="1"/>
      <c r="AB7889" s="1"/>
      <c r="AC7889" s="1"/>
      <c r="AD7889" s="1"/>
      <c r="AE7889" s="1"/>
      <c r="AF7889" s="1"/>
      <c r="AG7889" s="1"/>
      <c r="AH7889" s="1"/>
      <c r="AI7889" s="1"/>
      <c r="AJ7889" s="1"/>
      <c r="AK7889" s="1"/>
      <c r="AL7889" s="1"/>
      <c r="AM7889" s="1"/>
    </row>
    <row r="7890" spans="16:39" x14ac:dyDescent="0.25">
      <c r="P7890" s="49"/>
      <c r="Q7890" s="1"/>
      <c r="S7890" s="1"/>
      <c r="T7890" s="1"/>
      <c r="U7890" s="1"/>
      <c r="V7890" s="1"/>
      <c r="W7890" s="1"/>
      <c r="X7890" s="1"/>
      <c r="Y7890" s="1"/>
      <c r="AB7890" s="1"/>
      <c r="AC7890" s="1"/>
      <c r="AD7890" s="1"/>
      <c r="AE7890" s="1"/>
      <c r="AF7890" s="1"/>
      <c r="AG7890" s="1"/>
      <c r="AH7890" s="1"/>
      <c r="AI7890" s="1"/>
      <c r="AJ7890" s="1"/>
      <c r="AK7890" s="1"/>
      <c r="AL7890" s="1"/>
      <c r="AM7890" s="1"/>
    </row>
    <row r="7891" spans="16:39" x14ac:dyDescent="0.25">
      <c r="P7891" s="49"/>
      <c r="Q7891" s="1"/>
      <c r="S7891" s="1"/>
      <c r="T7891" s="1"/>
      <c r="U7891" s="1"/>
      <c r="V7891" s="1"/>
      <c r="W7891" s="1"/>
      <c r="X7891" s="1"/>
      <c r="Y7891" s="1"/>
      <c r="AB7891" s="1"/>
      <c r="AC7891" s="1"/>
      <c r="AD7891" s="1"/>
      <c r="AE7891" s="1"/>
      <c r="AF7891" s="1"/>
      <c r="AG7891" s="1"/>
      <c r="AH7891" s="1"/>
      <c r="AI7891" s="1"/>
      <c r="AJ7891" s="1"/>
      <c r="AK7891" s="1"/>
      <c r="AL7891" s="1"/>
      <c r="AM7891" s="1"/>
    </row>
    <row r="7892" spans="16:39" x14ac:dyDescent="0.25">
      <c r="P7892" s="49"/>
      <c r="Q7892" s="1"/>
      <c r="S7892" s="1"/>
      <c r="T7892" s="1"/>
      <c r="U7892" s="1"/>
      <c r="V7892" s="1"/>
      <c r="W7892" s="1"/>
      <c r="X7892" s="1"/>
      <c r="Y7892" s="1"/>
      <c r="AB7892" s="1"/>
      <c r="AC7892" s="1"/>
      <c r="AD7892" s="1"/>
      <c r="AE7892" s="1"/>
      <c r="AF7892" s="1"/>
      <c r="AG7892" s="1"/>
      <c r="AH7892" s="1"/>
      <c r="AI7892" s="1"/>
      <c r="AJ7892" s="1"/>
      <c r="AK7892" s="1"/>
      <c r="AL7892" s="1"/>
      <c r="AM7892" s="1"/>
    </row>
    <row r="7893" spans="16:39" x14ac:dyDescent="0.25">
      <c r="P7893" s="49"/>
      <c r="Q7893" s="1"/>
      <c r="S7893" s="1"/>
      <c r="T7893" s="1"/>
      <c r="U7893" s="1"/>
      <c r="V7893" s="1"/>
      <c r="W7893" s="1"/>
      <c r="X7893" s="1"/>
      <c r="Y7893" s="1"/>
      <c r="AB7893" s="1"/>
      <c r="AC7893" s="1"/>
      <c r="AD7893" s="1"/>
      <c r="AE7893" s="1"/>
      <c r="AF7893" s="1"/>
      <c r="AG7893" s="1"/>
      <c r="AH7893" s="1"/>
      <c r="AI7893" s="1"/>
      <c r="AJ7893" s="1"/>
      <c r="AK7893" s="1"/>
      <c r="AL7893" s="1"/>
      <c r="AM7893" s="1"/>
    </row>
    <row r="7894" spans="16:39" x14ac:dyDescent="0.25">
      <c r="P7894" s="49"/>
      <c r="Q7894" s="1"/>
      <c r="S7894" s="1"/>
      <c r="T7894" s="1"/>
      <c r="U7894" s="1"/>
      <c r="V7894" s="1"/>
      <c r="W7894" s="1"/>
      <c r="X7894" s="1"/>
      <c r="Y7894" s="1"/>
      <c r="AB7894" s="1"/>
      <c r="AC7894" s="1"/>
      <c r="AD7894" s="1"/>
      <c r="AE7894" s="1"/>
      <c r="AF7894" s="1"/>
      <c r="AG7894" s="1"/>
      <c r="AH7894" s="1"/>
      <c r="AI7894" s="1"/>
      <c r="AJ7894" s="1"/>
      <c r="AK7894" s="1"/>
      <c r="AL7894" s="1"/>
      <c r="AM7894" s="1"/>
    </row>
    <row r="7895" spans="16:39" x14ac:dyDescent="0.25">
      <c r="P7895" s="49"/>
      <c r="Q7895" s="1"/>
      <c r="S7895" s="1"/>
      <c r="T7895" s="1"/>
      <c r="U7895" s="1"/>
      <c r="V7895" s="1"/>
      <c r="W7895" s="1"/>
      <c r="X7895" s="1"/>
      <c r="Y7895" s="1"/>
      <c r="AB7895" s="1"/>
      <c r="AC7895" s="1"/>
      <c r="AD7895" s="1"/>
      <c r="AE7895" s="1"/>
      <c r="AF7895" s="1"/>
      <c r="AG7895" s="1"/>
      <c r="AH7895" s="1"/>
      <c r="AI7895" s="1"/>
      <c r="AJ7895" s="1"/>
      <c r="AK7895" s="1"/>
      <c r="AL7895" s="1"/>
      <c r="AM7895" s="1"/>
    </row>
    <row r="7896" spans="16:39" x14ac:dyDescent="0.25">
      <c r="P7896" s="49"/>
      <c r="Q7896" s="1"/>
      <c r="S7896" s="1"/>
      <c r="T7896" s="1"/>
      <c r="U7896" s="1"/>
      <c r="V7896" s="1"/>
      <c r="W7896" s="1"/>
      <c r="X7896" s="1"/>
      <c r="Y7896" s="1"/>
      <c r="AB7896" s="1"/>
      <c r="AC7896" s="1"/>
      <c r="AD7896" s="1"/>
      <c r="AE7896" s="1"/>
      <c r="AF7896" s="1"/>
      <c r="AG7896" s="1"/>
      <c r="AH7896" s="1"/>
      <c r="AI7896" s="1"/>
      <c r="AJ7896" s="1"/>
      <c r="AK7896" s="1"/>
      <c r="AL7896" s="1"/>
      <c r="AM7896" s="1"/>
    </row>
    <row r="7897" spans="16:39" x14ac:dyDescent="0.25">
      <c r="P7897" s="49"/>
      <c r="Q7897" s="1"/>
      <c r="S7897" s="1"/>
      <c r="T7897" s="1"/>
      <c r="U7897" s="1"/>
      <c r="V7897" s="1"/>
      <c r="W7897" s="1"/>
      <c r="X7897" s="1"/>
      <c r="Y7897" s="1"/>
      <c r="AB7897" s="1"/>
      <c r="AC7897" s="1"/>
      <c r="AD7897" s="1"/>
      <c r="AE7897" s="1"/>
      <c r="AF7897" s="1"/>
      <c r="AG7897" s="1"/>
      <c r="AH7897" s="1"/>
      <c r="AI7897" s="1"/>
      <c r="AJ7897" s="1"/>
      <c r="AK7897" s="1"/>
      <c r="AL7897" s="1"/>
      <c r="AM7897" s="1"/>
    </row>
    <row r="7898" spans="16:39" x14ac:dyDescent="0.25">
      <c r="P7898" s="49"/>
      <c r="Q7898" s="1"/>
      <c r="S7898" s="1"/>
      <c r="T7898" s="1"/>
      <c r="U7898" s="1"/>
      <c r="V7898" s="1"/>
      <c r="W7898" s="1"/>
      <c r="X7898" s="1"/>
      <c r="Y7898" s="1"/>
      <c r="AB7898" s="1"/>
      <c r="AC7898" s="1"/>
      <c r="AD7898" s="1"/>
      <c r="AE7898" s="1"/>
      <c r="AF7898" s="1"/>
      <c r="AG7898" s="1"/>
      <c r="AH7898" s="1"/>
      <c r="AI7898" s="1"/>
      <c r="AJ7898" s="1"/>
      <c r="AK7898" s="1"/>
      <c r="AL7898" s="1"/>
      <c r="AM7898" s="1"/>
    </row>
    <row r="7899" spans="16:39" x14ac:dyDescent="0.25">
      <c r="P7899" s="49"/>
      <c r="Q7899" s="1"/>
      <c r="S7899" s="1"/>
      <c r="T7899" s="1"/>
      <c r="U7899" s="1"/>
      <c r="V7899" s="1"/>
      <c r="W7899" s="1"/>
      <c r="X7899" s="1"/>
      <c r="Y7899" s="1"/>
      <c r="AB7899" s="1"/>
      <c r="AC7899" s="1"/>
      <c r="AD7899" s="1"/>
      <c r="AE7899" s="1"/>
      <c r="AF7899" s="1"/>
      <c r="AG7899" s="1"/>
      <c r="AH7899" s="1"/>
      <c r="AI7899" s="1"/>
      <c r="AJ7899" s="1"/>
      <c r="AK7899" s="1"/>
      <c r="AL7899" s="1"/>
      <c r="AM7899" s="1"/>
    </row>
    <row r="7900" spans="16:39" x14ac:dyDescent="0.25">
      <c r="P7900" s="49"/>
      <c r="Q7900" s="1"/>
      <c r="S7900" s="1"/>
      <c r="T7900" s="1"/>
      <c r="U7900" s="1"/>
      <c r="V7900" s="1"/>
      <c r="W7900" s="1"/>
      <c r="X7900" s="1"/>
      <c r="Y7900" s="1"/>
      <c r="AB7900" s="1"/>
      <c r="AC7900" s="1"/>
      <c r="AD7900" s="1"/>
      <c r="AE7900" s="1"/>
      <c r="AF7900" s="1"/>
      <c r="AG7900" s="1"/>
      <c r="AH7900" s="1"/>
      <c r="AI7900" s="1"/>
      <c r="AJ7900" s="1"/>
      <c r="AK7900" s="1"/>
      <c r="AL7900" s="1"/>
      <c r="AM7900" s="1"/>
    </row>
    <row r="7901" spans="16:39" x14ac:dyDescent="0.25">
      <c r="P7901" s="49"/>
      <c r="Q7901" s="1"/>
      <c r="S7901" s="1"/>
      <c r="T7901" s="1"/>
      <c r="U7901" s="1"/>
      <c r="V7901" s="1"/>
      <c r="W7901" s="1"/>
      <c r="X7901" s="1"/>
      <c r="Y7901" s="1"/>
      <c r="AB7901" s="1"/>
      <c r="AC7901" s="1"/>
      <c r="AD7901" s="1"/>
      <c r="AE7901" s="1"/>
      <c r="AF7901" s="1"/>
      <c r="AG7901" s="1"/>
      <c r="AH7901" s="1"/>
      <c r="AI7901" s="1"/>
      <c r="AJ7901" s="1"/>
      <c r="AK7901" s="1"/>
      <c r="AL7901" s="1"/>
      <c r="AM7901" s="1"/>
    </row>
    <row r="7902" spans="16:39" x14ac:dyDescent="0.25">
      <c r="P7902" s="49"/>
      <c r="Q7902" s="1"/>
      <c r="S7902" s="1"/>
      <c r="T7902" s="1"/>
      <c r="U7902" s="1"/>
      <c r="V7902" s="1"/>
      <c r="W7902" s="1"/>
      <c r="X7902" s="1"/>
      <c r="Y7902" s="1"/>
      <c r="AB7902" s="1"/>
      <c r="AC7902" s="1"/>
      <c r="AD7902" s="1"/>
      <c r="AE7902" s="1"/>
      <c r="AF7902" s="1"/>
      <c r="AG7902" s="1"/>
      <c r="AH7902" s="1"/>
      <c r="AI7902" s="1"/>
      <c r="AJ7902" s="1"/>
      <c r="AK7902" s="1"/>
      <c r="AL7902" s="1"/>
      <c r="AM7902" s="1"/>
    </row>
    <row r="7903" spans="16:39" x14ac:dyDescent="0.25">
      <c r="P7903" s="49"/>
      <c r="Q7903" s="1"/>
      <c r="S7903" s="1"/>
      <c r="T7903" s="1"/>
      <c r="U7903" s="1"/>
      <c r="V7903" s="1"/>
      <c r="W7903" s="1"/>
      <c r="X7903" s="1"/>
      <c r="Y7903" s="1"/>
      <c r="AB7903" s="1"/>
      <c r="AC7903" s="1"/>
      <c r="AD7903" s="1"/>
      <c r="AE7903" s="1"/>
      <c r="AF7903" s="1"/>
      <c r="AG7903" s="1"/>
      <c r="AH7903" s="1"/>
      <c r="AI7903" s="1"/>
      <c r="AJ7903" s="1"/>
      <c r="AK7903" s="1"/>
      <c r="AL7903" s="1"/>
      <c r="AM7903" s="1"/>
    </row>
    <row r="7904" spans="16:39" x14ac:dyDescent="0.25">
      <c r="P7904" s="49"/>
      <c r="Q7904" s="1"/>
      <c r="S7904" s="1"/>
      <c r="T7904" s="1"/>
      <c r="U7904" s="1"/>
      <c r="V7904" s="1"/>
      <c r="W7904" s="1"/>
      <c r="X7904" s="1"/>
      <c r="Y7904" s="1"/>
      <c r="AB7904" s="1"/>
      <c r="AC7904" s="1"/>
      <c r="AD7904" s="1"/>
      <c r="AE7904" s="1"/>
      <c r="AF7904" s="1"/>
      <c r="AG7904" s="1"/>
      <c r="AH7904" s="1"/>
      <c r="AI7904" s="1"/>
      <c r="AJ7904" s="1"/>
      <c r="AK7904" s="1"/>
      <c r="AL7904" s="1"/>
      <c r="AM7904" s="1"/>
    </row>
    <row r="7905" spans="16:39" x14ac:dyDescent="0.25">
      <c r="P7905" s="49"/>
      <c r="Q7905" s="1"/>
      <c r="S7905" s="1"/>
      <c r="T7905" s="1"/>
      <c r="U7905" s="1"/>
      <c r="V7905" s="1"/>
      <c r="W7905" s="1"/>
      <c r="X7905" s="1"/>
      <c r="Y7905" s="1"/>
      <c r="AB7905" s="1"/>
      <c r="AC7905" s="1"/>
      <c r="AD7905" s="1"/>
      <c r="AE7905" s="1"/>
      <c r="AF7905" s="1"/>
      <c r="AG7905" s="1"/>
      <c r="AH7905" s="1"/>
      <c r="AI7905" s="1"/>
      <c r="AJ7905" s="1"/>
      <c r="AK7905" s="1"/>
      <c r="AL7905" s="1"/>
      <c r="AM7905" s="1"/>
    </row>
    <row r="7906" spans="16:39" x14ac:dyDescent="0.25">
      <c r="P7906" s="49"/>
      <c r="Q7906" s="1"/>
      <c r="S7906" s="1"/>
      <c r="T7906" s="1"/>
      <c r="U7906" s="1"/>
      <c r="V7906" s="1"/>
      <c r="W7906" s="1"/>
      <c r="X7906" s="1"/>
      <c r="Y7906" s="1"/>
      <c r="AB7906" s="1"/>
      <c r="AC7906" s="1"/>
      <c r="AD7906" s="1"/>
      <c r="AE7906" s="1"/>
      <c r="AF7906" s="1"/>
      <c r="AG7906" s="1"/>
      <c r="AH7906" s="1"/>
      <c r="AI7906" s="1"/>
      <c r="AJ7906" s="1"/>
      <c r="AK7906" s="1"/>
      <c r="AL7906" s="1"/>
      <c r="AM7906" s="1"/>
    </row>
    <row r="7907" spans="16:39" x14ac:dyDescent="0.25">
      <c r="P7907" s="49"/>
      <c r="Q7907" s="1"/>
      <c r="S7907" s="1"/>
      <c r="T7907" s="1"/>
      <c r="U7907" s="1"/>
      <c r="V7907" s="1"/>
      <c r="W7907" s="1"/>
      <c r="X7907" s="1"/>
      <c r="Y7907" s="1"/>
      <c r="AB7907" s="1"/>
      <c r="AC7907" s="1"/>
      <c r="AD7907" s="1"/>
      <c r="AE7907" s="1"/>
      <c r="AF7907" s="1"/>
      <c r="AG7907" s="1"/>
      <c r="AH7907" s="1"/>
      <c r="AI7907" s="1"/>
      <c r="AJ7907" s="1"/>
      <c r="AK7907" s="1"/>
      <c r="AL7907" s="1"/>
      <c r="AM7907" s="1"/>
    </row>
    <row r="7908" spans="16:39" x14ac:dyDescent="0.25">
      <c r="P7908" s="49"/>
      <c r="Q7908" s="1"/>
      <c r="S7908" s="1"/>
      <c r="T7908" s="1"/>
      <c r="U7908" s="1"/>
      <c r="V7908" s="1"/>
      <c r="W7908" s="1"/>
      <c r="X7908" s="1"/>
      <c r="Y7908" s="1"/>
      <c r="AB7908" s="1"/>
      <c r="AC7908" s="1"/>
      <c r="AD7908" s="1"/>
      <c r="AE7908" s="1"/>
      <c r="AF7908" s="1"/>
      <c r="AG7908" s="1"/>
      <c r="AH7908" s="1"/>
      <c r="AI7908" s="1"/>
      <c r="AJ7908" s="1"/>
      <c r="AK7908" s="1"/>
      <c r="AL7908" s="1"/>
      <c r="AM7908" s="1"/>
    </row>
    <row r="7909" spans="16:39" x14ac:dyDescent="0.25">
      <c r="P7909" s="49"/>
      <c r="Q7909" s="1"/>
      <c r="S7909" s="1"/>
      <c r="T7909" s="1"/>
      <c r="U7909" s="1"/>
      <c r="V7909" s="1"/>
      <c r="W7909" s="1"/>
      <c r="X7909" s="1"/>
      <c r="Y7909" s="1"/>
      <c r="AB7909" s="1"/>
      <c r="AC7909" s="1"/>
      <c r="AD7909" s="1"/>
      <c r="AE7909" s="1"/>
      <c r="AF7909" s="1"/>
      <c r="AG7909" s="1"/>
      <c r="AH7909" s="1"/>
      <c r="AI7909" s="1"/>
      <c r="AJ7909" s="1"/>
      <c r="AK7909" s="1"/>
      <c r="AL7909" s="1"/>
      <c r="AM7909" s="1"/>
    </row>
    <row r="7910" spans="16:39" x14ac:dyDescent="0.25">
      <c r="P7910" s="49"/>
      <c r="Q7910" s="1"/>
      <c r="S7910" s="1"/>
      <c r="T7910" s="1"/>
      <c r="U7910" s="1"/>
      <c r="V7910" s="1"/>
      <c r="W7910" s="1"/>
      <c r="X7910" s="1"/>
      <c r="Y7910" s="1"/>
      <c r="AB7910" s="1"/>
      <c r="AC7910" s="1"/>
      <c r="AD7910" s="1"/>
      <c r="AE7910" s="1"/>
      <c r="AF7910" s="1"/>
      <c r="AG7910" s="1"/>
      <c r="AH7910" s="1"/>
      <c r="AI7910" s="1"/>
      <c r="AJ7910" s="1"/>
      <c r="AK7910" s="1"/>
      <c r="AL7910" s="1"/>
      <c r="AM7910" s="1"/>
    </row>
    <row r="7911" spans="16:39" x14ac:dyDescent="0.25">
      <c r="P7911" s="49"/>
      <c r="Q7911" s="1"/>
      <c r="S7911" s="1"/>
      <c r="T7911" s="1"/>
      <c r="U7911" s="1"/>
      <c r="V7911" s="1"/>
      <c r="W7911" s="1"/>
      <c r="X7911" s="1"/>
      <c r="Y7911" s="1"/>
      <c r="AB7911" s="1"/>
      <c r="AC7911" s="1"/>
      <c r="AD7911" s="1"/>
      <c r="AE7911" s="1"/>
      <c r="AF7911" s="1"/>
      <c r="AG7911" s="1"/>
      <c r="AH7911" s="1"/>
      <c r="AI7911" s="1"/>
      <c r="AJ7911" s="1"/>
      <c r="AK7911" s="1"/>
      <c r="AL7911" s="1"/>
      <c r="AM7911" s="1"/>
    </row>
    <row r="7912" spans="16:39" x14ac:dyDescent="0.25">
      <c r="P7912" s="49"/>
      <c r="Q7912" s="1"/>
      <c r="S7912" s="1"/>
      <c r="T7912" s="1"/>
      <c r="U7912" s="1"/>
      <c r="V7912" s="1"/>
      <c r="W7912" s="1"/>
      <c r="X7912" s="1"/>
      <c r="Y7912" s="1"/>
      <c r="AB7912" s="1"/>
      <c r="AC7912" s="1"/>
      <c r="AD7912" s="1"/>
      <c r="AE7912" s="1"/>
      <c r="AF7912" s="1"/>
      <c r="AG7912" s="1"/>
      <c r="AH7912" s="1"/>
      <c r="AI7912" s="1"/>
      <c r="AJ7912" s="1"/>
      <c r="AK7912" s="1"/>
      <c r="AL7912" s="1"/>
      <c r="AM7912" s="1"/>
    </row>
    <row r="7913" spans="16:39" x14ac:dyDescent="0.25">
      <c r="P7913" s="49"/>
      <c r="Q7913" s="1"/>
      <c r="S7913" s="1"/>
      <c r="T7913" s="1"/>
      <c r="U7913" s="1"/>
      <c r="V7913" s="1"/>
      <c r="W7913" s="1"/>
      <c r="X7913" s="1"/>
      <c r="Y7913" s="1"/>
      <c r="AB7913" s="1"/>
      <c r="AC7913" s="1"/>
      <c r="AD7913" s="1"/>
      <c r="AE7913" s="1"/>
      <c r="AF7913" s="1"/>
      <c r="AG7913" s="1"/>
      <c r="AH7913" s="1"/>
      <c r="AI7913" s="1"/>
      <c r="AJ7913" s="1"/>
      <c r="AK7913" s="1"/>
      <c r="AL7913" s="1"/>
      <c r="AM7913" s="1"/>
    </row>
    <row r="7914" spans="16:39" x14ac:dyDescent="0.25">
      <c r="P7914" s="49"/>
      <c r="Q7914" s="1"/>
      <c r="S7914" s="1"/>
      <c r="T7914" s="1"/>
      <c r="U7914" s="1"/>
      <c r="V7914" s="1"/>
      <c r="W7914" s="1"/>
      <c r="X7914" s="1"/>
      <c r="Y7914" s="1"/>
      <c r="AB7914" s="1"/>
      <c r="AC7914" s="1"/>
      <c r="AD7914" s="1"/>
      <c r="AE7914" s="1"/>
      <c r="AF7914" s="1"/>
      <c r="AG7914" s="1"/>
      <c r="AH7914" s="1"/>
      <c r="AI7914" s="1"/>
      <c r="AJ7914" s="1"/>
      <c r="AK7914" s="1"/>
      <c r="AL7914" s="1"/>
      <c r="AM7914" s="1"/>
    </row>
    <row r="7915" spans="16:39" x14ac:dyDescent="0.25">
      <c r="P7915" s="49"/>
      <c r="Q7915" s="1"/>
      <c r="S7915" s="1"/>
      <c r="T7915" s="1"/>
      <c r="U7915" s="1"/>
      <c r="V7915" s="1"/>
      <c r="W7915" s="1"/>
      <c r="X7915" s="1"/>
      <c r="Y7915" s="1"/>
      <c r="AB7915" s="1"/>
      <c r="AC7915" s="1"/>
      <c r="AD7915" s="1"/>
      <c r="AE7915" s="1"/>
      <c r="AF7915" s="1"/>
      <c r="AG7915" s="1"/>
      <c r="AH7915" s="1"/>
      <c r="AI7915" s="1"/>
      <c r="AJ7915" s="1"/>
      <c r="AK7915" s="1"/>
      <c r="AL7915" s="1"/>
      <c r="AM7915" s="1"/>
    </row>
    <row r="7916" spans="16:39" x14ac:dyDescent="0.25">
      <c r="P7916" s="49"/>
      <c r="Q7916" s="1"/>
      <c r="S7916" s="1"/>
      <c r="T7916" s="1"/>
      <c r="U7916" s="1"/>
      <c r="V7916" s="1"/>
      <c r="W7916" s="1"/>
      <c r="X7916" s="1"/>
      <c r="Y7916" s="1"/>
      <c r="AB7916" s="1"/>
      <c r="AC7916" s="1"/>
      <c r="AD7916" s="1"/>
      <c r="AE7916" s="1"/>
      <c r="AF7916" s="1"/>
      <c r="AG7916" s="1"/>
      <c r="AH7916" s="1"/>
      <c r="AI7916" s="1"/>
      <c r="AJ7916" s="1"/>
      <c r="AK7916" s="1"/>
      <c r="AL7916" s="1"/>
      <c r="AM7916" s="1"/>
    </row>
    <row r="7917" spans="16:39" x14ac:dyDescent="0.25">
      <c r="P7917" s="49"/>
      <c r="Q7917" s="1"/>
      <c r="S7917" s="1"/>
      <c r="T7917" s="1"/>
      <c r="U7917" s="1"/>
      <c r="V7917" s="1"/>
      <c r="W7917" s="1"/>
      <c r="X7917" s="1"/>
      <c r="Y7917" s="1"/>
      <c r="AB7917" s="1"/>
      <c r="AC7917" s="1"/>
      <c r="AD7917" s="1"/>
      <c r="AE7917" s="1"/>
      <c r="AF7917" s="1"/>
      <c r="AG7917" s="1"/>
      <c r="AH7917" s="1"/>
      <c r="AI7917" s="1"/>
      <c r="AJ7917" s="1"/>
      <c r="AK7917" s="1"/>
      <c r="AL7917" s="1"/>
      <c r="AM7917" s="1"/>
    </row>
    <row r="7918" spans="16:39" x14ac:dyDescent="0.25">
      <c r="P7918" s="49"/>
      <c r="Q7918" s="1"/>
      <c r="S7918" s="1"/>
      <c r="T7918" s="1"/>
      <c r="U7918" s="1"/>
      <c r="V7918" s="1"/>
      <c r="W7918" s="1"/>
      <c r="X7918" s="1"/>
      <c r="Y7918" s="1"/>
      <c r="AB7918" s="1"/>
      <c r="AC7918" s="1"/>
      <c r="AD7918" s="1"/>
      <c r="AE7918" s="1"/>
      <c r="AF7918" s="1"/>
      <c r="AG7918" s="1"/>
      <c r="AH7918" s="1"/>
      <c r="AI7918" s="1"/>
      <c r="AJ7918" s="1"/>
      <c r="AK7918" s="1"/>
      <c r="AL7918" s="1"/>
      <c r="AM7918" s="1"/>
    </row>
    <row r="7919" spans="16:39" x14ac:dyDescent="0.25">
      <c r="P7919" s="49"/>
      <c r="Q7919" s="1"/>
      <c r="S7919" s="1"/>
      <c r="T7919" s="1"/>
      <c r="U7919" s="1"/>
      <c r="V7919" s="1"/>
      <c r="W7919" s="1"/>
      <c r="X7919" s="1"/>
      <c r="Y7919" s="1"/>
      <c r="AB7919" s="1"/>
      <c r="AC7919" s="1"/>
      <c r="AD7919" s="1"/>
      <c r="AE7919" s="1"/>
      <c r="AF7919" s="1"/>
      <c r="AG7919" s="1"/>
      <c r="AH7919" s="1"/>
      <c r="AI7919" s="1"/>
      <c r="AJ7919" s="1"/>
      <c r="AK7919" s="1"/>
      <c r="AL7919" s="1"/>
      <c r="AM7919" s="1"/>
    </row>
    <row r="7920" spans="16:39" x14ac:dyDescent="0.25">
      <c r="P7920" s="49"/>
      <c r="Q7920" s="1"/>
      <c r="S7920" s="1"/>
      <c r="T7920" s="1"/>
      <c r="U7920" s="1"/>
      <c r="V7920" s="1"/>
      <c r="W7920" s="1"/>
      <c r="X7920" s="1"/>
      <c r="Y7920" s="1"/>
      <c r="AB7920" s="1"/>
      <c r="AC7920" s="1"/>
      <c r="AD7920" s="1"/>
      <c r="AE7920" s="1"/>
      <c r="AF7920" s="1"/>
      <c r="AG7920" s="1"/>
      <c r="AH7920" s="1"/>
      <c r="AI7920" s="1"/>
      <c r="AJ7920" s="1"/>
      <c r="AK7920" s="1"/>
      <c r="AL7920" s="1"/>
      <c r="AM7920" s="1"/>
    </row>
    <row r="7921" spans="16:39" x14ac:dyDescent="0.25">
      <c r="P7921" s="49"/>
      <c r="Q7921" s="1"/>
      <c r="S7921" s="1"/>
      <c r="T7921" s="1"/>
      <c r="U7921" s="1"/>
      <c r="V7921" s="1"/>
      <c r="W7921" s="1"/>
      <c r="X7921" s="1"/>
      <c r="Y7921" s="1"/>
      <c r="AB7921" s="1"/>
      <c r="AC7921" s="1"/>
      <c r="AD7921" s="1"/>
      <c r="AE7921" s="1"/>
      <c r="AF7921" s="1"/>
      <c r="AG7921" s="1"/>
      <c r="AH7921" s="1"/>
      <c r="AI7921" s="1"/>
      <c r="AJ7921" s="1"/>
      <c r="AK7921" s="1"/>
      <c r="AL7921" s="1"/>
      <c r="AM7921" s="1"/>
    </row>
    <row r="7922" spans="16:39" x14ac:dyDescent="0.25">
      <c r="P7922" s="49"/>
      <c r="Q7922" s="1"/>
      <c r="S7922" s="1"/>
      <c r="T7922" s="1"/>
      <c r="U7922" s="1"/>
      <c r="V7922" s="1"/>
      <c r="W7922" s="1"/>
      <c r="X7922" s="1"/>
      <c r="Y7922" s="1"/>
      <c r="AB7922" s="1"/>
      <c r="AC7922" s="1"/>
      <c r="AD7922" s="1"/>
      <c r="AE7922" s="1"/>
      <c r="AF7922" s="1"/>
      <c r="AG7922" s="1"/>
      <c r="AH7922" s="1"/>
      <c r="AI7922" s="1"/>
      <c r="AJ7922" s="1"/>
      <c r="AK7922" s="1"/>
      <c r="AL7922" s="1"/>
      <c r="AM7922" s="1"/>
    </row>
    <row r="7923" spans="16:39" x14ac:dyDescent="0.25">
      <c r="P7923" s="49"/>
      <c r="Q7923" s="1"/>
      <c r="S7923" s="1"/>
      <c r="T7923" s="1"/>
      <c r="U7923" s="1"/>
      <c r="V7923" s="1"/>
      <c r="W7923" s="1"/>
      <c r="X7923" s="1"/>
      <c r="Y7923" s="1"/>
      <c r="AB7923" s="1"/>
      <c r="AC7923" s="1"/>
      <c r="AD7923" s="1"/>
      <c r="AE7923" s="1"/>
      <c r="AF7923" s="1"/>
      <c r="AG7923" s="1"/>
      <c r="AH7923" s="1"/>
      <c r="AI7923" s="1"/>
      <c r="AJ7923" s="1"/>
      <c r="AK7923" s="1"/>
      <c r="AL7923" s="1"/>
      <c r="AM7923" s="1"/>
    </row>
    <row r="7924" spans="16:39" x14ac:dyDescent="0.25">
      <c r="P7924" s="49"/>
      <c r="Q7924" s="1"/>
      <c r="S7924" s="1"/>
      <c r="T7924" s="1"/>
      <c r="U7924" s="1"/>
      <c r="V7924" s="1"/>
      <c r="W7924" s="1"/>
      <c r="X7924" s="1"/>
      <c r="Y7924" s="1"/>
      <c r="AB7924" s="1"/>
      <c r="AC7924" s="1"/>
      <c r="AD7924" s="1"/>
      <c r="AE7924" s="1"/>
      <c r="AF7924" s="1"/>
      <c r="AG7924" s="1"/>
      <c r="AH7924" s="1"/>
      <c r="AI7924" s="1"/>
      <c r="AJ7924" s="1"/>
      <c r="AK7924" s="1"/>
      <c r="AL7924" s="1"/>
      <c r="AM7924" s="1"/>
    </row>
    <row r="7925" spans="16:39" x14ac:dyDescent="0.25">
      <c r="P7925" s="49"/>
      <c r="Q7925" s="1"/>
      <c r="S7925" s="1"/>
      <c r="T7925" s="1"/>
      <c r="U7925" s="1"/>
      <c r="V7925" s="1"/>
      <c r="W7925" s="1"/>
      <c r="X7925" s="1"/>
      <c r="Y7925" s="1"/>
      <c r="AB7925" s="1"/>
      <c r="AC7925" s="1"/>
      <c r="AD7925" s="1"/>
      <c r="AE7925" s="1"/>
      <c r="AF7925" s="1"/>
      <c r="AG7925" s="1"/>
      <c r="AH7925" s="1"/>
      <c r="AI7925" s="1"/>
      <c r="AJ7925" s="1"/>
      <c r="AK7925" s="1"/>
      <c r="AL7925" s="1"/>
      <c r="AM7925" s="1"/>
    </row>
    <row r="7926" spans="16:39" x14ac:dyDescent="0.25">
      <c r="P7926" s="49"/>
      <c r="Q7926" s="1"/>
      <c r="S7926" s="1"/>
      <c r="T7926" s="1"/>
      <c r="U7926" s="1"/>
      <c r="V7926" s="1"/>
      <c r="W7926" s="1"/>
      <c r="X7926" s="1"/>
      <c r="Y7926" s="1"/>
      <c r="AB7926" s="1"/>
      <c r="AC7926" s="1"/>
      <c r="AD7926" s="1"/>
      <c r="AE7926" s="1"/>
      <c r="AF7926" s="1"/>
      <c r="AG7926" s="1"/>
      <c r="AH7926" s="1"/>
      <c r="AI7926" s="1"/>
      <c r="AJ7926" s="1"/>
      <c r="AK7926" s="1"/>
      <c r="AL7926" s="1"/>
      <c r="AM7926" s="1"/>
    </row>
    <row r="7927" spans="16:39" x14ac:dyDescent="0.25">
      <c r="P7927" s="49"/>
      <c r="Q7927" s="1"/>
      <c r="S7927" s="1"/>
      <c r="T7927" s="1"/>
      <c r="U7927" s="1"/>
      <c r="V7927" s="1"/>
      <c r="W7927" s="1"/>
      <c r="X7927" s="1"/>
      <c r="Y7927" s="1"/>
      <c r="AB7927" s="1"/>
      <c r="AC7927" s="1"/>
      <c r="AD7927" s="1"/>
      <c r="AE7927" s="1"/>
      <c r="AF7927" s="1"/>
      <c r="AG7927" s="1"/>
      <c r="AH7927" s="1"/>
      <c r="AI7927" s="1"/>
      <c r="AJ7927" s="1"/>
      <c r="AK7927" s="1"/>
      <c r="AL7927" s="1"/>
      <c r="AM7927" s="1"/>
    </row>
    <row r="7928" spans="16:39" x14ac:dyDescent="0.25">
      <c r="P7928" s="49"/>
      <c r="Q7928" s="1"/>
      <c r="S7928" s="1"/>
      <c r="T7928" s="1"/>
      <c r="U7928" s="1"/>
      <c r="V7928" s="1"/>
      <c r="W7928" s="1"/>
      <c r="X7928" s="1"/>
      <c r="Y7928" s="1"/>
      <c r="AB7928" s="1"/>
      <c r="AC7928" s="1"/>
      <c r="AD7928" s="1"/>
      <c r="AE7928" s="1"/>
      <c r="AF7928" s="1"/>
      <c r="AG7928" s="1"/>
      <c r="AH7928" s="1"/>
      <c r="AI7928" s="1"/>
      <c r="AJ7928" s="1"/>
      <c r="AK7928" s="1"/>
      <c r="AL7928" s="1"/>
      <c r="AM7928" s="1"/>
    </row>
    <row r="7929" spans="16:39" x14ac:dyDescent="0.25">
      <c r="P7929" s="49"/>
      <c r="Q7929" s="1"/>
      <c r="S7929" s="1"/>
      <c r="T7929" s="1"/>
      <c r="U7929" s="1"/>
      <c r="V7929" s="1"/>
      <c r="W7929" s="1"/>
      <c r="X7929" s="1"/>
      <c r="Y7929" s="1"/>
      <c r="AB7929" s="1"/>
      <c r="AC7929" s="1"/>
      <c r="AD7929" s="1"/>
      <c r="AE7929" s="1"/>
      <c r="AF7929" s="1"/>
      <c r="AG7929" s="1"/>
      <c r="AH7929" s="1"/>
      <c r="AI7929" s="1"/>
      <c r="AJ7929" s="1"/>
      <c r="AK7929" s="1"/>
      <c r="AL7929" s="1"/>
      <c r="AM7929" s="1"/>
    </row>
    <row r="7930" spans="16:39" x14ac:dyDescent="0.25">
      <c r="P7930" s="49"/>
      <c r="Q7930" s="1"/>
      <c r="S7930" s="1"/>
      <c r="T7930" s="1"/>
      <c r="U7930" s="1"/>
      <c r="V7930" s="1"/>
      <c r="W7930" s="1"/>
      <c r="X7930" s="1"/>
      <c r="Y7930" s="1"/>
      <c r="AB7930" s="1"/>
      <c r="AC7930" s="1"/>
      <c r="AD7930" s="1"/>
      <c r="AE7930" s="1"/>
      <c r="AF7930" s="1"/>
      <c r="AG7930" s="1"/>
      <c r="AH7930" s="1"/>
      <c r="AI7930" s="1"/>
      <c r="AJ7930" s="1"/>
      <c r="AK7930" s="1"/>
      <c r="AL7930" s="1"/>
      <c r="AM7930" s="1"/>
    </row>
    <row r="7931" spans="16:39" x14ac:dyDescent="0.25">
      <c r="P7931" s="49"/>
      <c r="Q7931" s="1"/>
      <c r="S7931" s="1"/>
      <c r="T7931" s="1"/>
      <c r="U7931" s="1"/>
      <c r="V7931" s="1"/>
      <c r="W7931" s="1"/>
      <c r="X7931" s="1"/>
      <c r="Y7931" s="1"/>
      <c r="AB7931" s="1"/>
      <c r="AC7931" s="1"/>
      <c r="AD7931" s="1"/>
      <c r="AE7931" s="1"/>
      <c r="AF7931" s="1"/>
      <c r="AG7931" s="1"/>
      <c r="AH7931" s="1"/>
      <c r="AI7931" s="1"/>
      <c r="AJ7931" s="1"/>
      <c r="AK7931" s="1"/>
      <c r="AL7931" s="1"/>
      <c r="AM7931" s="1"/>
    </row>
    <row r="7932" spans="16:39" x14ac:dyDescent="0.25">
      <c r="P7932" s="49"/>
      <c r="Q7932" s="1"/>
      <c r="S7932" s="1"/>
      <c r="T7932" s="1"/>
      <c r="U7932" s="1"/>
      <c r="V7932" s="1"/>
      <c r="W7932" s="1"/>
      <c r="X7932" s="1"/>
      <c r="Y7932" s="1"/>
      <c r="AB7932" s="1"/>
      <c r="AC7932" s="1"/>
      <c r="AD7932" s="1"/>
      <c r="AE7932" s="1"/>
      <c r="AF7932" s="1"/>
      <c r="AG7932" s="1"/>
      <c r="AH7932" s="1"/>
      <c r="AI7932" s="1"/>
      <c r="AJ7932" s="1"/>
      <c r="AK7932" s="1"/>
      <c r="AL7932" s="1"/>
      <c r="AM7932" s="1"/>
    </row>
    <row r="7933" spans="16:39" x14ac:dyDescent="0.25">
      <c r="P7933" s="49"/>
      <c r="Q7933" s="1"/>
      <c r="S7933" s="1"/>
      <c r="T7933" s="1"/>
      <c r="U7933" s="1"/>
      <c r="V7933" s="1"/>
      <c r="W7933" s="1"/>
      <c r="X7933" s="1"/>
      <c r="Y7933" s="1"/>
      <c r="AB7933" s="1"/>
      <c r="AC7933" s="1"/>
      <c r="AD7933" s="1"/>
      <c r="AE7933" s="1"/>
      <c r="AF7933" s="1"/>
      <c r="AG7933" s="1"/>
      <c r="AH7933" s="1"/>
      <c r="AI7933" s="1"/>
      <c r="AJ7933" s="1"/>
      <c r="AK7933" s="1"/>
      <c r="AL7933" s="1"/>
      <c r="AM7933" s="1"/>
    </row>
    <row r="7934" spans="16:39" x14ac:dyDescent="0.25">
      <c r="P7934" s="49"/>
      <c r="Q7934" s="1"/>
      <c r="S7934" s="1"/>
      <c r="T7934" s="1"/>
      <c r="U7934" s="1"/>
      <c r="V7934" s="1"/>
      <c r="W7934" s="1"/>
      <c r="X7934" s="1"/>
      <c r="Y7934" s="1"/>
      <c r="AB7934" s="1"/>
      <c r="AC7934" s="1"/>
      <c r="AD7934" s="1"/>
      <c r="AE7934" s="1"/>
      <c r="AF7934" s="1"/>
      <c r="AG7934" s="1"/>
      <c r="AH7934" s="1"/>
      <c r="AI7934" s="1"/>
      <c r="AJ7934" s="1"/>
      <c r="AK7934" s="1"/>
      <c r="AL7934" s="1"/>
      <c r="AM7934" s="1"/>
    </row>
    <row r="7935" spans="16:39" x14ac:dyDescent="0.25">
      <c r="P7935" s="49"/>
      <c r="Q7935" s="1"/>
      <c r="S7935" s="1"/>
      <c r="T7935" s="1"/>
      <c r="U7935" s="1"/>
      <c r="V7935" s="1"/>
      <c r="W7935" s="1"/>
      <c r="X7935" s="1"/>
      <c r="Y7935" s="1"/>
      <c r="AB7935" s="1"/>
      <c r="AC7935" s="1"/>
      <c r="AD7935" s="1"/>
      <c r="AE7935" s="1"/>
      <c r="AF7935" s="1"/>
      <c r="AG7935" s="1"/>
      <c r="AH7935" s="1"/>
      <c r="AI7935" s="1"/>
      <c r="AJ7935" s="1"/>
      <c r="AK7935" s="1"/>
      <c r="AL7935" s="1"/>
      <c r="AM7935" s="1"/>
    </row>
    <row r="7936" spans="16:39" x14ac:dyDescent="0.25">
      <c r="P7936" s="49"/>
      <c r="Q7936" s="1"/>
      <c r="S7936" s="1"/>
      <c r="T7936" s="1"/>
      <c r="U7936" s="1"/>
      <c r="V7936" s="1"/>
      <c r="W7936" s="1"/>
      <c r="X7936" s="1"/>
      <c r="Y7936" s="1"/>
      <c r="AB7936" s="1"/>
      <c r="AC7936" s="1"/>
      <c r="AD7936" s="1"/>
      <c r="AE7936" s="1"/>
      <c r="AF7936" s="1"/>
      <c r="AG7936" s="1"/>
      <c r="AH7936" s="1"/>
      <c r="AI7936" s="1"/>
      <c r="AJ7936" s="1"/>
      <c r="AK7936" s="1"/>
      <c r="AL7936" s="1"/>
      <c r="AM7936" s="1"/>
    </row>
    <row r="7937" spans="16:39" x14ac:dyDescent="0.25">
      <c r="P7937" s="49"/>
      <c r="Q7937" s="1"/>
      <c r="S7937" s="1"/>
      <c r="T7937" s="1"/>
      <c r="U7937" s="1"/>
      <c r="V7937" s="1"/>
      <c r="W7937" s="1"/>
      <c r="X7937" s="1"/>
      <c r="Y7937" s="1"/>
      <c r="AB7937" s="1"/>
      <c r="AC7937" s="1"/>
      <c r="AD7937" s="1"/>
      <c r="AE7937" s="1"/>
      <c r="AF7937" s="1"/>
      <c r="AG7937" s="1"/>
      <c r="AH7937" s="1"/>
      <c r="AI7937" s="1"/>
      <c r="AJ7937" s="1"/>
      <c r="AK7937" s="1"/>
      <c r="AL7937" s="1"/>
      <c r="AM7937" s="1"/>
    </row>
    <row r="7938" spans="16:39" x14ac:dyDescent="0.25">
      <c r="P7938" s="49"/>
      <c r="Q7938" s="1"/>
      <c r="S7938" s="1"/>
      <c r="T7938" s="1"/>
      <c r="U7938" s="1"/>
      <c r="V7938" s="1"/>
      <c r="W7938" s="1"/>
      <c r="X7938" s="1"/>
      <c r="Y7938" s="1"/>
      <c r="AB7938" s="1"/>
      <c r="AC7938" s="1"/>
      <c r="AD7938" s="1"/>
      <c r="AE7938" s="1"/>
      <c r="AF7938" s="1"/>
      <c r="AG7938" s="1"/>
      <c r="AH7938" s="1"/>
      <c r="AI7938" s="1"/>
      <c r="AJ7938" s="1"/>
      <c r="AK7938" s="1"/>
      <c r="AL7938" s="1"/>
      <c r="AM7938" s="1"/>
    </row>
    <row r="7939" spans="16:39" x14ac:dyDescent="0.25">
      <c r="P7939" s="49"/>
      <c r="Q7939" s="1"/>
      <c r="S7939" s="1"/>
      <c r="T7939" s="1"/>
      <c r="U7939" s="1"/>
      <c r="V7939" s="1"/>
      <c r="W7939" s="1"/>
      <c r="X7939" s="1"/>
      <c r="Y7939" s="1"/>
      <c r="AB7939" s="1"/>
      <c r="AC7939" s="1"/>
      <c r="AD7939" s="1"/>
      <c r="AE7939" s="1"/>
      <c r="AF7939" s="1"/>
      <c r="AG7939" s="1"/>
      <c r="AH7939" s="1"/>
      <c r="AI7939" s="1"/>
      <c r="AJ7939" s="1"/>
      <c r="AK7939" s="1"/>
      <c r="AL7939" s="1"/>
      <c r="AM7939" s="1"/>
    </row>
    <row r="7940" spans="16:39" x14ac:dyDescent="0.25">
      <c r="P7940" s="49"/>
      <c r="Q7940" s="1"/>
      <c r="S7940" s="1"/>
      <c r="T7940" s="1"/>
      <c r="U7940" s="1"/>
      <c r="V7940" s="1"/>
      <c r="W7940" s="1"/>
      <c r="X7940" s="1"/>
      <c r="Y7940" s="1"/>
      <c r="AB7940" s="1"/>
      <c r="AC7940" s="1"/>
      <c r="AD7940" s="1"/>
      <c r="AE7940" s="1"/>
      <c r="AF7940" s="1"/>
      <c r="AG7940" s="1"/>
      <c r="AH7940" s="1"/>
      <c r="AI7940" s="1"/>
      <c r="AJ7940" s="1"/>
      <c r="AK7940" s="1"/>
      <c r="AL7940" s="1"/>
      <c r="AM7940" s="1"/>
    </row>
    <row r="7941" spans="16:39" x14ac:dyDescent="0.25">
      <c r="P7941" s="49"/>
      <c r="Q7941" s="1"/>
      <c r="S7941" s="1"/>
      <c r="T7941" s="1"/>
      <c r="U7941" s="1"/>
      <c r="V7941" s="1"/>
      <c r="W7941" s="1"/>
      <c r="X7941" s="1"/>
      <c r="Y7941" s="1"/>
      <c r="AB7941" s="1"/>
      <c r="AC7941" s="1"/>
      <c r="AD7941" s="1"/>
      <c r="AE7941" s="1"/>
      <c r="AF7941" s="1"/>
      <c r="AG7941" s="1"/>
      <c r="AH7941" s="1"/>
      <c r="AI7941" s="1"/>
      <c r="AJ7941" s="1"/>
      <c r="AK7941" s="1"/>
      <c r="AL7941" s="1"/>
      <c r="AM7941" s="1"/>
    </row>
    <row r="7942" spans="16:39" x14ac:dyDescent="0.25">
      <c r="P7942" s="49"/>
      <c r="Q7942" s="1"/>
      <c r="S7942" s="1"/>
      <c r="T7942" s="1"/>
      <c r="U7942" s="1"/>
      <c r="V7942" s="1"/>
      <c r="W7942" s="1"/>
      <c r="X7942" s="1"/>
      <c r="Y7942" s="1"/>
      <c r="AB7942" s="1"/>
      <c r="AC7942" s="1"/>
      <c r="AD7942" s="1"/>
      <c r="AE7942" s="1"/>
      <c r="AF7942" s="1"/>
      <c r="AG7942" s="1"/>
      <c r="AH7942" s="1"/>
      <c r="AI7942" s="1"/>
      <c r="AJ7942" s="1"/>
      <c r="AK7942" s="1"/>
      <c r="AL7942" s="1"/>
      <c r="AM7942" s="1"/>
    </row>
    <row r="7943" spans="16:39" x14ac:dyDescent="0.25">
      <c r="P7943" s="49"/>
      <c r="Q7943" s="1"/>
      <c r="S7943" s="1"/>
      <c r="T7943" s="1"/>
      <c r="U7943" s="1"/>
      <c r="V7943" s="1"/>
      <c r="W7943" s="1"/>
      <c r="X7943" s="1"/>
      <c r="Y7943" s="1"/>
      <c r="AB7943" s="1"/>
      <c r="AC7943" s="1"/>
      <c r="AD7943" s="1"/>
      <c r="AE7943" s="1"/>
      <c r="AF7943" s="1"/>
      <c r="AG7943" s="1"/>
      <c r="AH7943" s="1"/>
      <c r="AI7943" s="1"/>
      <c r="AJ7943" s="1"/>
      <c r="AK7943" s="1"/>
      <c r="AL7943" s="1"/>
      <c r="AM7943" s="1"/>
    </row>
    <row r="7944" spans="16:39" x14ac:dyDescent="0.25">
      <c r="P7944" s="49"/>
      <c r="Q7944" s="1"/>
      <c r="S7944" s="1"/>
      <c r="T7944" s="1"/>
      <c r="U7944" s="1"/>
      <c r="V7944" s="1"/>
      <c r="W7944" s="1"/>
      <c r="X7944" s="1"/>
      <c r="Y7944" s="1"/>
      <c r="AB7944" s="1"/>
      <c r="AC7944" s="1"/>
      <c r="AD7944" s="1"/>
      <c r="AE7944" s="1"/>
      <c r="AF7944" s="1"/>
      <c r="AG7944" s="1"/>
      <c r="AH7944" s="1"/>
      <c r="AI7944" s="1"/>
      <c r="AJ7944" s="1"/>
      <c r="AK7944" s="1"/>
      <c r="AL7944" s="1"/>
      <c r="AM7944" s="1"/>
    </row>
    <row r="7945" spans="16:39" x14ac:dyDescent="0.25">
      <c r="P7945" s="49"/>
      <c r="Q7945" s="1"/>
      <c r="S7945" s="1"/>
      <c r="T7945" s="1"/>
      <c r="U7945" s="1"/>
      <c r="V7945" s="1"/>
      <c r="W7945" s="1"/>
      <c r="X7945" s="1"/>
      <c r="Y7945" s="1"/>
      <c r="AB7945" s="1"/>
      <c r="AC7945" s="1"/>
      <c r="AD7945" s="1"/>
      <c r="AE7945" s="1"/>
      <c r="AF7945" s="1"/>
      <c r="AG7945" s="1"/>
      <c r="AH7945" s="1"/>
      <c r="AI7945" s="1"/>
      <c r="AJ7945" s="1"/>
      <c r="AK7945" s="1"/>
      <c r="AL7945" s="1"/>
      <c r="AM7945" s="1"/>
    </row>
    <row r="7946" spans="16:39" x14ac:dyDescent="0.25">
      <c r="P7946" s="49"/>
      <c r="Q7946" s="1"/>
      <c r="S7946" s="1"/>
      <c r="T7946" s="1"/>
      <c r="U7946" s="1"/>
      <c r="V7946" s="1"/>
      <c r="W7946" s="1"/>
      <c r="X7946" s="1"/>
      <c r="Y7946" s="1"/>
      <c r="AB7946" s="1"/>
      <c r="AC7946" s="1"/>
      <c r="AD7946" s="1"/>
      <c r="AE7946" s="1"/>
      <c r="AF7946" s="1"/>
      <c r="AG7946" s="1"/>
      <c r="AH7946" s="1"/>
      <c r="AI7946" s="1"/>
      <c r="AJ7946" s="1"/>
      <c r="AK7946" s="1"/>
      <c r="AL7946" s="1"/>
      <c r="AM7946" s="1"/>
    </row>
    <row r="7947" spans="16:39" x14ac:dyDescent="0.25">
      <c r="P7947" s="49"/>
      <c r="Q7947" s="1"/>
      <c r="S7947" s="1"/>
      <c r="T7947" s="1"/>
      <c r="U7947" s="1"/>
      <c r="V7947" s="1"/>
      <c r="W7947" s="1"/>
      <c r="X7947" s="1"/>
      <c r="Y7947" s="1"/>
      <c r="AB7947" s="1"/>
      <c r="AC7947" s="1"/>
      <c r="AD7947" s="1"/>
      <c r="AE7947" s="1"/>
      <c r="AF7947" s="1"/>
      <c r="AG7947" s="1"/>
      <c r="AH7947" s="1"/>
      <c r="AI7947" s="1"/>
      <c r="AJ7947" s="1"/>
      <c r="AK7947" s="1"/>
      <c r="AL7947" s="1"/>
      <c r="AM7947" s="1"/>
    </row>
    <row r="7948" spans="16:39" x14ac:dyDescent="0.25">
      <c r="P7948" s="49"/>
      <c r="Q7948" s="1"/>
      <c r="S7948" s="1"/>
      <c r="T7948" s="1"/>
      <c r="U7948" s="1"/>
      <c r="V7948" s="1"/>
      <c r="W7948" s="1"/>
      <c r="X7948" s="1"/>
      <c r="Y7948" s="1"/>
      <c r="AB7948" s="1"/>
      <c r="AC7948" s="1"/>
      <c r="AD7948" s="1"/>
      <c r="AE7948" s="1"/>
      <c r="AF7948" s="1"/>
      <c r="AG7948" s="1"/>
      <c r="AH7948" s="1"/>
      <c r="AI7948" s="1"/>
      <c r="AJ7948" s="1"/>
      <c r="AK7948" s="1"/>
      <c r="AL7948" s="1"/>
      <c r="AM7948" s="1"/>
    </row>
    <row r="7949" spans="16:39" x14ac:dyDescent="0.25">
      <c r="P7949" s="49"/>
      <c r="Q7949" s="1"/>
      <c r="S7949" s="1"/>
      <c r="T7949" s="1"/>
      <c r="U7949" s="1"/>
      <c r="V7949" s="1"/>
      <c r="W7949" s="1"/>
      <c r="X7949" s="1"/>
      <c r="Y7949" s="1"/>
      <c r="AB7949" s="1"/>
      <c r="AC7949" s="1"/>
      <c r="AD7949" s="1"/>
      <c r="AE7949" s="1"/>
      <c r="AF7949" s="1"/>
      <c r="AG7949" s="1"/>
      <c r="AH7949" s="1"/>
      <c r="AI7949" s="1"/>
      <c r="AJ7949" s="1"/>
      <c r="AK7949" s="1"/>
      <c r="AL7949" s="1"/>
      <c r="AM7949" s="1"/>
    </row>
    <row r="7950" spans="16:39" x14ac:dyDescent="0.25">
      <c r="P7950" s="49"/>
      <c r="Q7950" s="1"/>
      <c r="S7950" s="1"/>
      <c r="T7950" s="1"/>
      <c r="U7950" s="1"/>
      <c r="V7950" s="1"/>
      <c r="W7950" s="1"/>
      <c r="X7950" s="1"/>
      <c r="Y7950" s="1"/>
      <c r="AB7950" s="1"/>
      <c r="AC7950" s="1"/>
      <c r="AD7950" s="1"/>
      <c r="AE7950" s="1"/>
      <c r="AF7950" s="1"/>
      <c r="AG7950" s="1"/>
      <c r="AH7950" s="1"/>
      <c r="AI7950" s="1"/>
      <c r="AJ7950" s="1"/>
      <c r="AK7950" s="1"/>
      <c r="AL7950" s="1"/>
      <c r="AM7950" s="1"/>
    </row>
    <row r="7951" spans="16:39" x14ac:dyDescent="0.25">
      <c r="P7951" s="49"/>
      <c r="Q7951" s="1"/>
      <c r="S7951" s="1"/>
      <c r="T7951" s="1"/>
      <c r="U7951" s="1"/>
      <c r="V7951" s="1"/>
      <c r="W7951" s="1"/>
      <c r="X7951" s="1"/>
      <c r="Y7951" s="1"/>
      <c r="AB7951" s="1"/>
      <c r="AC7951" s="1"/>
      <c r="AD7951" s="1"/>
      <c r="AE7951" s="1"/>
      <c r="AF7951" s="1"/>
      <c r="AG7951" s="1"/>
      <c r="AH7951" s="1"/>
      <c r="AI7951" s="1"/>
      <c r="AJ7951" s="1"/>
      <c r="AK7951" s="1"/>
      <c r="AL7951" s="1"/>
      <c r="AM7951" s="1"/>
    </row>
    <row r="7952" spans="16:39" x14ac:dyDescent="0.25">
      <c r="P7952" s="49"/>
      <c r="Q7952" s="1"/>
      <c r="S7952" s="1"/>
      <c r="T7952" s="1"/>
      <c r="U7952" s="1"/>
      <c r="V7952" s="1"/>
      <c r="W7952" s="1"/>
      <c r="X7952" s="1"/>
      <c r="Y7952" s="1"/>
      <c r="AB7952" s="1"/>
      <c r="AC7952" s="1"/>
      <c r="AD7952" s="1"/>
      <c r="AE7952" s="1"/>
      <c r="AF7952" s="1"/>
      <c r="AG7952" s="1"/>
      <c r="AH7952" s="1"/>
      <c r="AI7952" s="1"/>
      <c r="AJ7952" s="1"/>
      <c r="AK7952" s="1"/>
      <c r="AL7952" s="1"/>
      <c r="AM7952" s="1"/>
    </row>
    <row r="7953" spans="16:39" x14ac:dyDescent="0.25">
      <c r="P7953" s="49"/>
      <c r="Q7953" s="1"/>
      <c r="S7953" s="1"/>
      <c r="T7953" s="1"/>
      <c r="U7953" s="1"/>
      <c r="V7953" s="1"/>
      <c r="W7953" s="1"/>
      <c r="X7953" s="1"/>
      <c r="Y7953" s="1"/>
      <c r="AB7953" s="1"/>
      <c r="AC7953" s="1"/>
      <c r="AD7953" s="1"/>
      <c r="AE7953" s="1"/>
      <c r="AF7953" s="1"/>
      <c r="AG7953" s="1"/>
      <c r="AH7953" s="1"/>
      <c r="AI7953" s="1"/>
      <c r="AJ7953" s="1"/>
      <c r="AK7953" s="1"/>
      <c r="AL7953" s="1"/>
      <c r="AM7953" s="1"/>
    </row>
    <row r="7954" spans="16:39" x14ac:dyDescent="0.25">
      <c r="P7954" s="49"/>
      <c r="Q7954" s="1"/>
      <c r="S7954" s="1"/>
      <c r="T7954" s="1"/>
      <c r="U7954" s="1"/>
      <c r="V7954" s="1"/>
      <c r="W7954" s="1"/>
      <c r="X7954" s="1"/>
      <c r="Y7954" s="1"/>
      <c r="AB7954" s="1"/>
      <c r="AC7954" s="1"/>
      <c r="AD7954" s="1"/>
      <c r="AE7954" s="1"/>
      <c r="AF7954" s="1"/>
      <c r="AG7954" s="1"/>
      <c r="AH7954" s="1"/>
      <c r="AI7954" s="1"/>
      <c r="AJ7954" s="1"/>
      <c r="AK7954" s="1"/>
      <c r="AL7954" s="1"/>
      <c r="AM7954" s="1"/>
    </row>
    <row r="7955" spans="16:39" x14ac:dyDescent="0.25">
      <c r="P7955" s="49"/>
      <c r="Q7955" s="1"/>
      <c r="S7955" s="1"/>
      <c r="T7955" s="1"/>
      <c r="U7955" s="1"/>
      <c r="V7955" s="1"/>
      <c r="W7955" s="1"/>
      <c r="X7955" s="1"/>
      <c r="Y7955" s="1"/>
      <c r="AB7955" s="1"/>
      <c r="AC7955" s="1"/>
      <c r="AD7955" s="1"/>
      <c r="AE7955" s="1"/>
      <c r="AF7955" s="1"/>
      <c r="AG7955" s="1"/>
      <c r="AH7955" s="1"/>
      <c r="AI7955" s="1"/>
      <c r="AJ7955" s="1"/>
      <c r="AK7955" s="1"/>
      <c r="AL7955" s="1"/>
      <c r="AM7955" s="1"/>
    </row>
    <row r="7956" spans="16:39" x14ac:dyDescent="0.25">
      <c r="P7956" s="49"/>
      <c r="Q7956" s="1"/>
      <c r="S7956" s="1"/>
      <c r="T7956" s="1"/>
      <c r="U7956" s="1"/>
      <c r="V7956" s="1"/>
      <c r="W7956" s="1"/>
      <c r="X7956" s="1"/>
      <c r="Y7956" s="1"/>
      <c r="AB7956" s="1"/>
      <c r="AC7956" s="1"/>
      <c r="AD7956" s="1"/>
      <c r="AE7956" s="1"/>
      <c r="AF7956" s="1"/>
      <c r="AG7956" s="1"/>
      <c r="AH7956" s="1"/>
      <c r="AI7956" s="1"/>
      <c r="AJ7956" s="1"/>
      <c r="AK7956" s="1"/>
      <c r="AL7956" s="1"/>
      <c r="AM7956" s="1"/>
    </row>
    <row r="7957" spans="16:39" x14ac:dyDescent="0.25">
      <c r="P7957" s="49"/>
      <c r="Q7957" s="1"/>
      <c r="S7957" s="1"/>
      <c r="T7957" s="1"/>
      <c r="U7957" s="1"/>
      <c r="V7957" s="1"/>
      <c r="W7957" s="1"/>
      <c r="X7957" s="1"/>
      <c r="Y7957" s="1"/>
      <c r="AB7957" s="1"/>
      <c r="AC7957" s="1"/>
      <c r="AD7957" s="1"/>
      <c r="AE7957" s="1"/>
      <c r="AF7957" s="1"/>
      <c r="AG7957" s="1"/>
      <c r="AH7957" s="1"/>
      <c r="AI7957" s="1"/>
      <c r="AJ7957" s="1"/>
      <c r="AK7957" s="1"/>
      <c r="AL7957" s="1"/>
      <c r="AM7957" s="1"/>
    </row>
    <row r="7958" spans="16:39" x14ac:dyDescent="0.25">
      <c r="P7958" s="49"/>
      <c r="Q7958" s="1"/>
      <c r="S7958" s="1"/>
      <c r="T7958" s="1"/>
      <c r="U7958" s="1"/>
      <c r="V7958" s="1"/>
      <c r="W7958" s="1"/>
      <c r="X7958" s="1"/>
      <c r="Y7958" s="1"/>
      <c r="AB7958" s="1"/>
      <c r="AC7958" s="1"/>
      <c r="AD7958" s="1"/>
      <c r="AE7958" s="1"/>
      <c r="AF7958" s="1"/>
      <c r="AG7958" s="1"/>
      <c r="AH7958" s="1"/>
      <c r="AI7958" s="1"/>
      <c r="AJ7958" s="1"/>
      <c r="AK7958" s="1"/>
      <c r="AL7958" s="1"/>
      <c r="AM7958" s="1"/>
    </row>
    <row r="7959" spans="16:39" x14ac:dyDescent="0.25">
      <c r="P7959" s="49"/>
      <c r="Q7959" s="1"/>
      <c r="S7959" s="1"/>
      <c r="T7959" s="1"/>
      <c r="U7959" s="1"/>
      <c r="V7959" s="1"/>
      <c r="W7959" s="1"/>
      <c r="X7959" s="1"/>
      <c r="Y7959" s="1"/>
      <c r="AB7959" s="1"/>
      <c r="AC7959" s="1"/>
      <c r="AD7959" s="1"/>
      <c r="AE7959" s="1"/>
      <c r="AF7959" s="1"/>
      <c r="AG7959" s="1"/>
      <c r="AH7959" s="1"/>
      <c r="AI7959" s="1"/>
      <c r="AJ7959" s="1"/>
      <c r="AK7959" s="1"/>
      <c r="AL7959" s="1"/>
      <c r="AM7959" s="1"/>
    </row>
    <row r="7960" spans="16:39" x14ac:dyDescent="0.25">
      <c r="P7960" s="49"/>
      <c r="Q7960" s="1"/>
      <c r="S7960" s="1"/>
      <c r="T7960" s="1"/>
      <c r="U7960" s="1"/>
      <c r="V7960" s="1"/>
      <c r="W7960" s="1"/>
      <c r="X7960" s="1"/>
      <c r="Y7960" s="1"/>
      <c r="AB7960" s="1"/>
      <c r="AC7960" s="1"/>
      <c r="AD7960" s="1"/>
      <c r="AE7960" s="1"/>
      <c r="AF7960" s="1"/>
      <c r="AG7960" s="1"/>
      <c r="AH7960" s="1"/>
      <c r="AI7960" s="1"/>
      <c r="AJ7960" s="1"/>
      <c r="AK7960" s="1"/>
      <c r="AL7960" s="1"/>
      <c r="AM7960" s="1"/>
    </row>
    <row r="7961" spans="16:39" x14ac:dyDescent="0.25">
      <c r="P7961" s="49"/>
      <c r="Q7961" s="1"/>
      <c r="S7961" s="1"/>
      <c r="T7961" s="1"/>
      <c r="U7961" s="1"/>
      <c r="V7961" s="1"/>
      <c r="W7961" s="1"/>
      <c r="X7961" s="1"/>
      <c r="Y7961" s="1"/>
      <c r="AB7961" s="1"/>
      <c r="AC7961" s="1"/>
      <c r="AD7961" s="1"/>
      <c r="AE7961" s="1"/>
      <c r="AF7961" s="1"/>
      <c r="AG7961" s="1"/>
      <c r="AH7961" s="1"/>
      <c r="AI7961" s="1"/>
      <c r="AJ7961" s="1"/>
      <c r="AK7961" s="1"/>
      <c r="AL7961" s="1"/>
      <c r="AM7961" s="1"/>
    </row>
    <row r="7962" spans="16:39" x14ac:dyDescent="0.25">
      <c r="P7962" s="49"/>
      <c r="Q7962" s="1"/>
      <c r="S7962" s="1"/>
      <c r="T7962" s="1"/>
      <c r="U7962" s="1"/>
      <c r="V7962" s="1"/>
      <c r="W7962" s="1"/>
      <c r="X7962" s="1"/>
      <c r="Y7962" s="1"/>
      <c r="AB7962" s="1"/>
      <c r="AC7962" s="1"/>
      <c r="AD7962" s="1"/>
      <c r="AE7962" s="1"/>
      <c r="AF7962" s="1"/>
      <c r="AG7962" s="1"/>
      <c r="AH7962" s="1"/>
      <c r="AI7962" s="1"/>
      <c r="AJ7962" s="1"/>
      <c r="AK7962" s="1"/>
      <c r="AL7962" s="1"/>
      <c r="AM7962" s="1"/>
    </row>
    <row r="7963" spans="16:39" x14ac:dyDescent="0.25">
      <c r="P7963" s="49"/>
      <c r="Q7963" s="1"/>
      <c r="S7963" s="1"/>
      <c r="T7963" s="1"/>
      <c r="U7963" s="1"/>
      <c r="V7963" s="1"/>
      <c r="W7963" s="1"/>
      <c r="X7963" s="1"/>
      <c r="Y7963" s="1"/>
      <c r="AB7963" s="1"/>
      <c r="AC7963" s="1"/>
      <c r="AD7963" s="1"/>
      <c r="AE7963" s="1"/>
      <c r="AF7963" s="1"/>
      <c r="AG7963" s="1"/>
      <c r="AH7963" s="1"/>
      <c r="AI7963" s="1"/>
      <c r="AJ7963" s="1"/>
      <c r="AK7963" s="1"/>
      <c r="AL7963" s="1"/>
      <c r="AM7963" s="1"/>
    </row>
    <row r="7964" spans="16:39" x14ac:dyDescent="0.25">
      <c r="P7964" s="49"/>
      <c r="Q7964" s="1"/>
      <c r="S7964" s="1"/>
      <c r="T7964" s="1"/>
      <c r="U7964" s="1"/>
      <c r="V7964" s="1"/>
      <c r="W7964" s="1"/>
      <c r="X7964" s="1"/>
      <c r="Y7964" s="1"/>
      <c r="AB7964" s="1"/>
      <c r="AC7964" s="1"/>
      <c r="AD7964" s="1"/>
      <c r="AE7964" s="1"/>
      <c r="AF7964" s="1"/>
      <c r="AG7964" s="1"/>
      <c r="AH7964" s="1"/>
      <c r="AI7964" s="1"/>
      <c r="AJ7964" s="1"/>
      <c r="AK7964" s="1"/>
      <c r="AL7964" s="1"/>
      <c r="AM7964" s="1"/>
    </row>
    <row r="7965" spans="16:39" x14ac:dyDescent="0.25">
      <c r="P7965" s="49"/>
      <c r="Q7965" s="1"/>
      <c r="S7965" s="1"/>
      <c r="T7965" s="1"/>
      <c r="U7965" s="1"/>
      <c r="V7965" s="1"/>
      <c r="W7965" s="1"/>
      <c r="X7965" s="1"/>
      <c r="Y7965" s="1"/>
      <c r="AB7965" s="1"/>
      <c r="AC7965" s="1"/>
      <c r="AD7965" s="1"/>
      <c r="AE7965" s="1"/>
      <c r="AF7965" s="1"/>
      <c r="AG7965" s="1"/>
      <c r="AH7965" s="1"/>
      <c r="AI7965" s="1"/>
      <c r="AJ7965" s="1"/>
      <c r="AK7965" s="1"/>
      <c r="AL7965" s="1"/>
      <c r="AM7965" s="1"/>
    </row>
    <row r="7966" spans="16:39" x14ac:dyDescent="0.25">
      <c r="P7966" s="49"/>
      <c r="Q7966" s="1"/>
      <c r="S7966" s="1"/>
      <c r="T7966" s="1"/>
      <c r="U7966" s="1"/>
      <c r="V7966" s="1"/>
      <c r="W7966" s="1"/>
      <c r="X7966" s="1"/>
      <c r="Y7966" s="1"/>
      <c r="AB7966" s="1"/>
      <c r="AC7966" s="1"/>
      <c r="AD7966" s="1"/>
      <c r="AE7966" s="1"/>
      <c r="AF7966" s="1"/>
      <c r="AG7966" s="1"/>
      <c r="AH7966" s="1"/>
      <c r="AI7966" s="1"/>
      <c r="AJ7966" s="1"/>
      <c r="AK7966" s="1"/>
      <c r="AL7966" s="1"/>
      <c r="AM7966" s="1"/>
    </row>
    <row r="7967" spans="16:39" x14ac:dyDescent="0.25">
      <c r="P7967" s="49"/>
      <c r="Q7967" s="1"/>
      <c r="S7967" s="1"/>
      <c r="T7967" s="1"/>
      <c r="U7967" s="1"/>
      <c r="V7967" s="1"/>
      <c r="W7967" s="1"/>
      <c r="X7967" s="1"/>
      <c r="Y7967" s="1"/>
      <c r="AB7967" s="1"/>
      <c r="AC7967" s="1"/>
      <c r="AD7967" s="1"/>
      <c r="AE7967" s="1"/>
      <c r="AF7967" s="1"/>
      <c r="AG7967" s="1"/>
      <c r="AH7967" s="1"/>
      <c r="AI7967" s="1"/>
      <c r="AJ7967" s="1"/>
      <c r="AK7967" s="1"/>
      <c r="AL7967" s="1"/>
      <c r="AM7967" s="1"/>
    </row>
    <row r="7968" spans="16:39" x14ac:dyDescent="0.25">
      <c r="P7968" s="49"/>
      <c r="Q7968" s="1"/>
      <c r="S7968" s="1"/>
      <c r="T7968" s="1"/>
      <c r="U7968" s="1"/>
      <c r="V7968" s="1"/>
      <c r="W7968" s="1"/>
      <c r="X7968" s="1"/>
      <c r="Y7968" s="1"/>
      <c r="AB7968" s="1"/>
      <c r="AC7968" s="1"/>
      <c r="AD7968" s="1"/>
      <c r="AE7968" s="1"/>
      <c r="AF7968" s="1"/>
      <c r="AG7968" s="1"/>
      <c r="AH7968" s="1"/>
      <c r="AI7968" s="1"/>
      <c r="AJ7968" s="1"/>
      <c r="AK7968" s="1"/>
      <c r="AL7968" s="1"/>
      <c r="AM7968" s="1"/>
    </row>
    <row r="7969" spans="16:39" x14ac:dyDescent="0.25">
      <c r="P7969" s="49"/>
      <c r="Q7969" s="1"/>
      <c r="S7969" s="1"/>
      <c r="T7969" s="1"/>
      <c r="U7969" s="1"/>
      <c r="V7969" s="1"/>
      <c r="W7969" s="1"/>
      <c r="X7969" s="1"/>
      <c r="Y7969" s="1"/>
      <c r="AB7969" s="1"/>
      <c r="AC7969" s="1"/>
      <c r="AD7969" s="1"/>
      <c r="AE7969" s="1"/>
      <c r="AF7969" s="1"/>
      <c r="AG7969" s="1"/>
      <c r="AH7969" s="1"/>
      <c r="AI7969" s="1"/>
      <c r="AJ7969" s="1"/>
      <c r="AK7969" s="1"/>
      <c r="AL7969" s="1"/>
      <c r="AM7969" s="1"/>
    </row>
    <row r="7970" spans="16:39" x14ac:dyDescent="0.25">
      <c r="P7970" s="49"/>
      <c r="Q7970" s="1"/>
      <c r="S7970" s="1"/>
      <c r="T7970" s="1"/>
      <c r="U7970" s="1"/>
      <c r="V7970" s="1"/>
      <c r="W7970" s="1"/>
      <c r="X7970" s="1"/>
      <c r="Y7970" s="1"/>
      <c r="AB7970" s="1"/>
      <c r="AC7970" s="1"/>
      <c r="AD7970" s="1"/>
      <c r="AE7970" s="1"/>
      <c r="AF7970" s="1"/>
      <c r="AG7970" s="1"/>
      <c r="AH7970" s="1"/>
      <c r="AI7970" s="1"/>
      <c r="AJ7970" s="1"/>
      <c r="AK7970" s="1"/>
      <c r="AL7970" s="1"/>
      <c r="AM7970" s="1"/>
    </row>
    <row r="7971" spans="16:39" x14ac:dyDescent="0.25">
      <c r="P7971" s="49"/>
      <c r="Q7971" s="1"/>
      <c r="S7971" s="1"/>
      <c r="T7971" s="1"/>
      <c r="U7971" s="1"/>
      <c r="V7971" s="1"/>
      <c r="W7971" s="1"/>
      <c r="X7971" s="1"/>
      <c r="Y7971" s="1"/>
      <c r="AB7971" s="1"/>
      <c r="AC7971" s="1"/>
      <c r="AD7971" s="1"/>
      <c r="AE7971" s="1"/>
      <c r="AF7971" s="1"/>
      <c r="AG7971" s="1"/>
      <c r="AH7971" s="1"/>
      <c r="AI7971" s="1"/>
      <c r="AJ7971" s="1"/>
      <c r="AK7971" s="1"/>
      <c r="AL7971" s="1"/>
      <c r="AM7971" s="1"/>
    </row>
    <row r="7972" spans="16:39" x14ac:dyDescent="0.25">
      <c r="P7972" s="49"/>
      <c r="Q7972" s="1"/>
      <c r="S7972" s="1"/>
      <c r="T7972" s="1"/>
      <c r="U7972" s="1"/>
      <c r="V7972" s="1"/>
      <c r="W7972" s="1"/>
      <c r="X7972" s="1"/>
      <c r="Y7972" s="1"/>
      <c r="AB7972" s="1"/>
      <c r="AC7972" s="1"/>
      <c r="AD7972" s="1"/>
      <c r="AE7972" s="1"/>
      <c r="AF7972" s="1"/>
      <c r="AG7972" s="1"/>
      <c r="AH7972" s="1"/>
      <c r="AI7972" s="1"/>
      <c r="AJ7972" s="1"/>
      <c r="AK7972" s="1"/>
      <c r="AL7972" s="1"/>
      <c r="AM7972" s="1"/>
    </row>
    <row r="7973" spans="16:39" x14ac:dyDescent="0.25">
      <c r="P7973" s="49"/>
      <c r="Q7973" s="1"/>
      <c r="S7973" s="1"/>
      <c r="T7973" s="1"/>
      <c r="U7973" s="1"/>
      <c r="V7973" s="1"/>
      <c r="W7973" s="1"/>
      <c r="X7973" s="1"/>
      <c r="Y7973" s="1"/>
      <c r="AB7973" s="1"/>
      <c r="AC7973" s="1"/>
      <c r="AD7973" s="1"/>
      <c r="AE7973" s="1"/>
      <c r="AF7973" s="1"/>
      <c r="AG7973" s="1"/>
      <c r="AH7973" s="1"/>
      <c r="AI7973" s="1"/>
      <c r="AJ7973" s="1"/>
      <c r="AK7973" s="1"/>
      <c r="AL7973" s="1"/>
      <c r="AM7973" s="1"/>
    </row>
    <row r="7974" spans="16:39" x14ac:dyDescent="0.25">
      <c r="P7974" s="49"/>
      <c r="Q7974" s="1"/>
      <c r="S7974" s="1"/>
      <c r="T7974" s="1"/>
      <c r="U7974" s="1"/>
      <c r="V7974" s="1"/>
      <c r="W7974" s="1"/>
      <c r="X7974" s="1"/>
      <c r="Y7974" s="1"/>
      <c r="AB7974" s="1"/>
      <c r="AC7974" s="1"/>
      <c r="AD7974" s="1"/>
      <c r="AE7974" s="1"/>
      <c r="AF7974" s="1"/>
      <c r="AG7974" s="1"/>
      <c r="AH7974" s="1"/>
      <c r="AI7974" s="1"/>
      <c r="AJ7974" s="1"/>
      <c r="AK7974" s="1"/>
      <c r="AL7974" s="1"/>
      <c r="AM7974" s="1"/>
    </row>
    <row r="7975" spans="16:39" x14ac:dyDescent="0.25">
      <c r="P7975" s="49"/>
      <c r="Q7975" s="1"/>
      <c r="S7975" s="1"/>
      <c r="T7975" s="1"/>
      <c r="U7975" s="1"/>
      <c r="V7975" s="1"/>
      <c r="W7975" s="1"/>
      <c r="X7975" s="1"/>
      <c r="Y7975" s="1"/>
      <c r="AB7975" s="1"/>
      <c r="AC7975" s="1"/>
      <c r="AD7975" s="1"/>
      <c r="AE7975" s="1"/>
      <c r="AF7975" s="1"/>
      <c r="AG7975" s="1"/>
      <c r="AH7975" s="1"/>
      <c r="AI7975" s="1"/>
      <c r="AJ7975" s="1"/>
      <c r="AK7975" s="1"/>
      <c r="AL7975" s="1"/>
      <c r="AM7975" s="1"/>
    </row>
    <row r="7976" spans="16:39" x14ac:dyDescent="0.25">
      <c r="P7976" s="49"/>
      <c r="Q7976" s="1"/>
      <c r="S7976" s="1"/>
      <c r="T7976" s="1"/>
      <c r="U7976" s="1"/>
      <c r="V7976" s="1"/>
      <c r="W7976" s="1"/>
      <c r="X7976" s="1"/>
      <c r="Y7976" s="1"/>
      <c r="AB7976" s="1"/>
      <c r="AC7976" s="1"/>
      <c r="AD7976" s="1"/>
      <c r="AE7976" s="1"/>
      <c r="AF7976" s="1"/>
      <c r="AG7976" s="1"/>
      <c r="AH7976" s="1"/>
      <c r="AI7976" s="1"/>
      <c r="AJ7976" s="1"/>
      <c r="AK7976" s="1"/>
      <c r="AL7976" s="1"/>
      <c r="AM7976" s="1"/>
    </row>
    <row r="7977" spans="16:39" x14ac:dyDescent="0.25">
      <c r="P7977" s="49"/>
      <c r="Q7977" s="1"/>
      <c r="S7977" s="1"/>
      <c r="T7977" s="1"/>
      <c r="U7977" s="1"/>
      <c r="V7977" s="1"/>
      <c r="W7977" s="1"/>
      <c r="X7977" s="1"/>
      <c r="Y7977" s="1"/>
      <c r="AB7977" s="1"/>
      <c r="AC7977" s="1"/>
      <c r="AD7977" s="1"/>
      <c r="AE7977" s="1"/>
      <c r="AF7977" s="1"/>
      <c r="AG7977" s="1"/>
      <c r="AH7977" s="1"/>
      <c r="AI7977" s="1"/>
      <c r="AJ7977" s="1"/>
      <c r="AK7977" s="1"/>
      <c r="AL7977" s="1"/>
      <c r="AM7977" s="1"/>
    </row>
    <row r="7978" spans="16:39" x14ac:dyDescent="0.25">
      <c r="P7978" s="49"/>
      <c r="Q7978" s="1"/>
      <c r="S7978" s="1"/>
      <c r="T7978" s="1"/>
      <c r="U7978" s="1"/>
      <c r="V7978" s="1"/>
      <c r="W7978" s="1"/>
      <c r="X7978" s="1"/>
      <c r="Y7978" s="1"/>
      <c r="AB7978" s="1"/>
      <c r="AC7978" s="1"/>
      <c r="AD7978" s="1"/>
      <c r="AE7978" s="1"/>
      <c r="AF7978" s="1"/>
      <c r="AG7978" s="1"/>
      <c r="AH7978" s="1"/>
      <c r="AI7978" s="1"/>
      <c r="AJ7978" s="1"/>
      <c r="AK7978" s="1"/>
      <c r="AL7978" s="1"/>
      <c r="AM7978" s="1"/>
    </row>
    <row r="7979" spans="16:39" x14ac:dyDescent="0.25">
      <c r="P7979" s="49"/>
      <c r="Q7979" s="1"/>
      <c r="S7979" s="1"/>
      <c r="T7979" s="1"/>
      <c r="U7979" s="1"/>
      <c r="V7979" s="1"/>
      <c r="W7979" s="1"/>
      <c r="X7979" s="1"/>
      <c r="Y7979" s="1"/>
      <c r="AB7979" s="1"/>
      <c r="AC7979" s="1"/>
      <c r="AD7979" s="1"/>
      <c r="AE7979" s="1"/>
      <c r="AF7979" s="1"/>
      <c r="AG7979" s="1"/>
      <c r="AH7979" s="1"/>
      <c r="AI7979" s="1"/>
      <c r="AJ7979" s="1"/>
      <c r="AK7979" s="1"/>
      <c r="AL7979" s="1"/>
      <c r="AM7979" s="1"/>
    </row>
    <row r="7980" spans="16:39" x14ac:dyDescent="0.25">
      <c r="P7980" s="49"/>
      <c r="Q7980" s="1"/>
      <c r="S7980" s="1"/>
      <c r="T7980" s="1"/>
      <c r="U7980" s="1"/>
      <c r="V7980" s="1"/>
      <c r="W7980" s="1"/>
      <c r="X7980" s="1"/>
      <c r="Y7980" s="1"/>
      <c r="AB7980" s="1"/>
      <c r="AC7980" s="1"/>
      <c r="AD7980" s="1"/>
      <c r="AE7980" s="1"/>
      <c r="AF7980" s="1"/>
      <c r="AG7980" s="1"/>
      <c r="AH7980" s="1"/>
      <c r="AI7980" s="1"/>
      <c r="AJ7980" s="1"/>
      <c r="AK7980" s="1"/>
      <c r="AL7980" s="1"/>
      <c r="AM7980" s="1"/>
    </row>
    <row r="7981" spans="16:39" x14ac:dyDescent="0.25">
      <c r="P7981" s="49"/>
      <c r="Q7981" s="1"/>
      <c r="S7981" s="1"/>
      <c r="T7981" s="1"/>
      <c r="U7981" s="1"/>
      <c r="V7981" s="1"/>
      <c r="W7981" s="1"/>
      <c r="X7981" s="1"/>
      <c r="Y7981" s="1"/>
      <c r="AB7981" s="1"/>
      <c r="AC7981" s="1"/>
      <c r="AD7981" s="1"/>
      <c r="AE7981" s="1"/>
      <c r="AF7981" s="1"/>
      <c r="AG7981" s="1"/>
      <c r="AH7981" s="1"/>
      <c r="AI7981" s="1"/>
      <c r="AJ7981" s="1"/>
      <c r="AK7981" s="1"/>
      <c r="AL7981" s="1"/>
      <c r="AM7981" s="1"/>
    </row>
    <row r="7982" spans="16:39" x14ac:dyDescent="0.25">
      <c r="P7982" s="49"/>
      <c r="Q7982" s="1"/>
      <c r="S7982" s="1"/>
      <c r="T7982" s="1"/>
      <c r="U7982" s="1"/>
      <c r="V7982" s="1"/>
      <c r="W7982" s="1"/>
      <c r="X7982" s="1"/>
      <c r="Y7982" s="1"/>
      <c r="AB7982" s="1"/>
      <c r="AC7982" s="1"/>
      <c r="AD7982" s="1"/>
      <c r="AE7982" s="1"/>
      <c r="AF7982" s="1"/>
      <c r="AG7982" s="1"/>
      <c r="AH7982" s="1"/>
      <c r="AI7982" s="1"/>
      <c r="AJ7982" s="1"/>
      <c r="AK7982" s="1"/>
      <c r="AL7982" s="1"/>
      <c r="AM7982" s="1"/>
    </row>
    <row r="7983" spans="16:39" x14ac:dyDescent="0.25">
      <c r="P7983" s="49"/>
      <c r="Q7983" s="1"/>
      <c r="S7983" s="1"/>
      <c r="T7983" s="1"/>
      <c r="U7983" s="1"/>
      <c r="V7983" s="1"/>
      <c r="W7983" s="1"/>
      <c r="X7983" s="1"/>
      <c r="Y7983" s="1"/>
      <c r="AB7983" s="1"/>
      <c r="AC7983" s="1"/>
      <c r="AD7983" s="1"/>
      <c r="AE7983" s="1"/>
      <c r="AF7983" s="1"/>
      <c r="AG7983" s="1"/>
      <c r="AH7983" s="1"/>
      <c r="AI7983" s="1"/>
      <c r="AJ7983" s="1"/>
      <c r="AK7983" s="1"/>
      <c r="AL7983" s="1"/>
      <c r="AM7983" s="1"/>
    </row>
    <row r="7984" spans="16:39" x14ac:dyDescent="0.25">
      <c r="P7984" s="49"/>
      <c r="Q7984" s="1"/>
      <c r="S7984" s="1"/>
      <c r="T7984" s="1"/>
      <c r="U7984" s="1"/>
      <c r="V7984" s="1"/>
      <c r="W7984" s="1"/>
      <c r="X7984" s="1"/>
      <c r="Y7984" s="1"/>
      <c r="AB7984" s="1"/>
      <c r="AC7984" s="1"/>
      <c r="AD7984" s="1"/>
      <c r="AE7984" s="1"/>
      <c r="AF7984" s="1"/>
      <c r="AG7984" s="1"/>
      <c r="AH7984" s="1"/>
      <c r="AI7984" s="1"/>
      <c r="AJ7984" s="1"/>
      <c r="AK7984" s="1"/>
      <c r="AL7984" s="1"/>
      <c r="AM7984" s="1"/>
    </row>
    <row r="7985" spans="16:39" x14ac:dyDescent="0.25">
      <c r="P7985" s="49"/>
      <c r="Q7985" s="1"/>
      <c r="S7985" s="1"/>
      <c r="T7985" s="1"/>
      <c r="U7985" s="1"/>
      <c r="V7985" s="1"/>
      <c r="W7985" s="1"/>
      <c r="X7985" s="1"/>
      <c r="Y7985" s="1"/>
      <c r="AB7985" s="1"/>
      <c r="AC7985" s="1"/>
      <c r="AD7985" s="1"/>
      <c r="AE7985" s="1"/>
      <c r="AF7985" s="1"/>
      <c r="AG7985" s="1"/>
      <c r="AH7985" s="1"/>
      <c r="AI7985" s="1"/>
      <c r="AJ7985" s="1"/>
      <c r="AK7985" s="1"/>
      <c r="AL7985" s="1"/>
      <c r="AM7985" s="1"/>
    </row>
    <row r="7986" spans="16:39" x14ac:dyDescent="0.25">
      <c r="P7986" s="49"/>
      <c r="Q7986" s="1"/>
      <c r="S7986" s="1"/>
      <c r="T7986" s="1"/>
      <c r="U7986" s="1"/>
      <c r="V7986" s="1"/>
      <c r="W7986" s="1"/>
      <c r="X7986" s="1"/>
      <c r="Y7986" s="1"/>
      <c r="AB7986" s="1"/>
      <c r="AC7986" s="1"/>
      <c r="AD7986" s="1"/>
      <c r="AE7986" s="1"/>
      <c r="AF7986" s="1"/>
      <c r="AG7986" s="1"/>
      <c r="AH7986" s="1"/>
      <c r="AI7986" s="1"/>
      <c r="AJ7986" s="1"/>
      <c r="AK7986" s="1"/>
      <c r="AL7986" s="1"/>
      <c r="AM7986" s="1"/>
    </row>
    <row r="7987" spans="16:39" x14ac:dyDescent="0.25">
      <c r="P7987" s="49"/>
      <c r="Q7987" s="1"/>
      <c r="S7987" s="1"/>
      <c r="T7987" s="1"/>
      <c r="U7987" s="1"/>
      <c r="V7987" s="1"/>
      <c r="W7987" s="1"/>
      <c r="X7987" s="1"/>
      <c r="Y7987" s="1"/>
      <c r="AB7987" s="1"/>
      <c r="AC7987" s="1"/>
      <c r="AD7987" s="1"/>
      <c r="AE7987" s="1"/>
      <c r="AF7987" s="1"/>
      <c r="AG7987" s="1"/>
      <c r="AH7987" s="1"/>
      <c r="AI7987" s="1"/>
      <c r="AJ7987" s="1"/>
      <c r="AK7987" s="1"/>
      <c r="AL7987" s="1"/>
      <c r="AM7987" s="1"/>
    </row>
    <row r="7988" spans="16:39" x14ac:dyDescent="0.25">
      <c r="P7988" s="49"/>
      <c r="Q7988" s="1"/>
      <c r="S7988" s="1"/>
      <c r="T7988" s="1"/>
      <c r="U7988" s="1"/>
      <c r="V7988" s="1"/>
      <c r="W7988" s="1"/>
      <c r="X7988" s="1"/>
      <c r="Y7988" s="1"/>
      <c r="AB7988" s="1"/>
      <c r="AC7988" s="1"/>
      <c r="AD7988" s="1"/>
      <c r="AE7988" s="1"/>
      <c r="AF7988" s="1"/>
      <c r="AG7988" s="1"/>
      <c r="AH7988" s="1"/>
      <c r="AI7988" s="1"/>
      <c r="AJ7988" s="1"/>
      <c r="AK7988" s="1"/>
      <c r="AL7988" s="1"/>
      <c r="AM7988" s="1"/>
    </row>
    <row r="7989" spans="16:39" x14ac:dyDescent="0.25">
      <c r="P7989" s="49"/>
      <c r="Q7989" s="1"/>
      <c r="S7989" s="1"/>
      <c r="T7989" s="1"/>
      <c r="U7989" s="1"/>
      <c r="V7989" s="1"/>
      <c r="W7989" s="1"/>
      <c r="X7989" s="1"/>
      <c r="Y7989" s="1"/>
      <c r="AB7989" s="1"/>
      <c r="AC7989" s="1"/>
      <c r="AD7989" s="1"/>
      <c r="AE7989" s="1"/>
      <c r="AF7989" s="1"/>
      <c r="AG7989" s="1"/>
      <c r="AH7989" s="1"/>
      <c r="AI7989" s="1"/>
      <c r="AJ7989" s="1"/>
      <c r="AK7989" s="1"/>
      <c r="AL7989" s="1"/>
      <c r="AM7989" s="1"/>
    </row>
    <row r="7990" spans="16:39" x14ac:dyDescent="0.25">
      <c r="P7990" s="49"/>
      <c r="Q7990" s="1"/>
      <c r="S7990" s="1"/>
      <c r="T7990" s="1"/>
      <c r="U7990" s="1"/>
      <c r="V7990" s="1"/>
      <c r="W7990" s="1"/>
      <c r="X7990" s="1"/>
      <c r="Y7990" s="1"/>
      <c r="AB7990" s="1"/>
      <c r="AC7990" s="1"/>
      <c r="AD7990" s="1"/>
      <c r="AE7990" s="1"/>
      <c r="AF7990" s="1"/>
      <c r="AG7990" s="1"/>
      <c r="AH7990" s="1"/>
      <c r="AI7990" s="1"/>
      <c r="AJ7990" s="1"/>
      <c r="AK7990" s="1"/>
      <c r="AL7990" s="1"/>
      <c r="AM7990" s="1"/>
    </row>
    <row r="7991" spans="16:39" x14ac:dyDescent="0.25">
      <c r="P7991" s="49"/>
      <c r="Q7991" s="1"/>
      <c r="S7991" s="1"/>
      <c r="T7991" s="1"/>
      <c r="U7991" s="1"/>
      <c r="V7991" s="1"/>
      <c r="W7991" s="1"/>
      <c r="X7991" s="1"/>
      <c r="Y7991" s="1"/>
      <c r="AB7991" s="1"/>
      <c r="AC7991" s="1"/>
      <c r="AD7991" s="1"/>
      <c r="AE7991" s="1"/>
      <c r="AF7991" s="1"/>
      <c r="AG7991" s="1"/>
      <c r="AH7991" s="1"/>
      <c r="AI7991" s="1"/>
      <c r="AJ7991" s="1"/>
      <c r="AK7991" s="1"/>
      <c r="AL7991" s="1"/>
      <c r="AM7991" s="1"/>
    </row>
    <row r="7992" spans="16:39" x14ac:dyDescent="0.25">
      <c r="P7992" s="49"/>
      <c r="Q7992" s="1"/>
      <c r="S7992" s="1"/>
      <c r="T7992" s="1"/>
      <c r="U7992" s="1"/>
      <c r="V7992" s="1"/>
      <c r="W7992" s="1"/>
      <c r="X7992" s="1"/>
      <c r="Y7992" s="1"/>
      <c r="AB7992" s="1"/>
      <c r="AC7992" s="1"/>
      <c r="AD7992" s="1"/>
      <c r="AE7992" s="1"/>
      <c r="AF7992" s="1"/>
      <c r="AG7992" s="1"/>
      <c r="AH7992" s="1"/>
      <c r="AI7992" s="1"/>
      <c r="AJ7992" s="1"/>
      <c r="AK7992" s="1"/>
      <c r="AL7992" s="1"/>
      <c r="AM7992" s="1"/>
    </row>
    <row r="7993" spans="16:39" x14ac:dyDescent="0.25">
      <c r="P7993" s="49"/>
      <c r="Q7993" s="1"/>
      <c r="S7993" s="1"/>
      <c r="T7993" s="1"/>
      <c r="U7993" s="1"/>
      <c r="V7993" s="1"/>
      <c r="W7993" s="1"/>
      <c r="X7993" s="1"/>
      <c r="Y7993" s="1"/>
      <c r="AB7993" s="1"/>
      <c r="AC7993" s="1"/>
      <c r="AD7993" s="1"/>
      <c r="AE7993" s="1"/>
      <c r="AF7993" s="1"/>
      <c r="AG7993" s="1"/>
      <c r="AH7993" s="1"/>
      <c r="AI7993" s="1"/>
      <c r="AJ7993" s="1"/>
      <c r="AK7993" s="1"/>
      <c r="AL7993" s="1"/>
      <c r="AM7993" s="1"/>
    </row>
    <row r="7994" spans="16:39" x14ac:dyDescent="0.25">
      <c r="P7994" s="49"/>
      <c r="Q7994" s="1"/>
      <c r="S7994" s="1"/>
      <c r="T7994" s="1"/>
      <c r="U7994" s="1"/>
      <c r="V7994" s="1"/>
      <c r="W7994" s="1"/>
      <c r="X7994" s="1"/>
      <c r="Y7994" s="1"/>
      <c r="AB7994" s="1"/>
      <c r="AC7994" s="1"/>
      <c r="AD7994" s="1"/>
      <c r="AE7994" s="1"/>
      <c r="AF7994" s="1"/>
      <c r="AG7994" s="1"/>
      <c r="AH7994" s="1"/>
      <c r="AI7994" s="1"/>
      <c r="AJ7994" s="1"/>
      <c r="AK7994" s="1"/>
      <c r="AL7994" s="1"/>
      <c r="AM7994" s="1"/>
    </row>
    <row r="7995" spans="16:39" x14ac:dyDescent="0.25">
      <c r="P7995" s="49"/>
      <c r="Q7995" s="1"/>
      <c r="S7995" s="1"/>
      <c r="T7995" s="1"/>
      <c r="U7995" s="1"/>
      <c r="V7995" s="1"/>
      <c r="W7995" s="1"/>
      <c r="X7995" s="1"/>
      <c r="Y7995" s="1"/>
      <c r="AB7995" s="1"/>
      <c r="AC7995" s="1"/>
      <c r="AD7995" s="1"/>
      <c r="AE7995" s="1"/>
      <c r="AF7995" s="1"/>
      <c r="AG7995" s="1"/>
      <c r="AH7995" s="1"/>
      <c r="AI7995" s="1"/>
      <c r="AJ7995" s="1"/>
      <c r="AK7995" s="1"/>
      <c r="AL7995" s="1"/>
      <c r="AM7995" s="1"/>
    </row>
    <row r="7996" spans="16:39" x14ac:dyDescent="0.25">
      <c r="P7996" s="49"/>
      <c r="Q7996" s="1"/>
      <c r="S7996" s="1"/>
      <c r="T7996" s="1"/>
      <c r="U7996" s="1"/>
      <c r="V7996" s="1"/>
      <c r="W7996" s="1"/>
      <c r="X7996" s="1"/>
      <c r="Y7996" s="1"/>
      <c r="AB7996" s="1"/>
      <c r="AC7996" s="1"/>
      <c r="AD7996" s="1"/>
      <c r="AE7996" s="1"/>
      <c r="AF7996" s="1"/>
      <c r="AG7996" s="1"/>
      <c r="AH7996" s="1"/>
      <c r="AI7996" s="1"/>
      <c r="AJ7996" s="1"/>
      <c r="AK7996" s="1"/>
      <c r="AL7996" s="1"/>
      <c r="AM7996" s="1"/>
    </row>
    <row r="7997" spans="16:39" x14ac:dyDescent="0.25">
      <c r="P7997" s="49"/>
      <c r="Q7997" s="1"/>
      <c r="S7997" s="1"/>
      <c r="T7997" s="1"/>
      <c r="U7997" s="1"/>
      <c r="V7997" s="1"/>
      <c r="W7997" s="1"/>
      <c r="X7997" s="1"/>
      <c r="Y7997" s="1"/>
      <c r="AB7997" s="1"/>
      <c r="AC7997" s="1"/>
      <c r="AD7997" s="1"/>
      <c r="AE7997" s="1"/>
      <c r="AF7997" s="1"/>
      <c r="AG7997" s="1"/>
      <c r="AH7997" s="1"/>
      <c r="AI7997" s="1"/>
      <c r="AJ7997" s="1"/>
      <c r="AK7997" s="1"/>
      <c r="AL7997" s="1"/>
      <c r="AM7997" s="1"/>
    </row>
    <row r="7998" spans="16:39" x14ac:dyDescent="0.25">
      <c r="P7998" s="49"/>
      <c r="Q7998" s="1"/>
      <c r="S7998" s="1"/>
      <c r="T7998" s="1"/>
      <c r="U7998" s="1"/>
      <c r="V7998" s="1"/>
      <c r="W7998" s="1"/>
      <c r="X7998" s="1"/>
      <c r="Y7998" s="1"/>
      <c r="AB7998" s="1"/>
      <c r="AC7998" s="1"/>
      <c r="AD7998" s="1"/>
      <c r="AE7998" s="1"/>
      <c r="AF7998" s="1"/>
      <c r="AG7998" s="1"/>
      <c r="AH7998" s="1"/>
      <c r="AI7998" s="1"/>
      <c r="AJ7998" s="1"/>
      <c r="AK7998" s="1"/>
      <c r="AL7998" s="1"/>
      <c r="AM7998" s="1"/>
    </row>
    <row r="7999" spans="16:39" x14ac:dyDescent="0.25">
      <c r="P7999" s="49"/>
      <c r="Q7999" s="1"/>
      <c r="S7999" s="1"/>
      <c r="T7999" s="1"/>
      <c r="U7999" s="1"/>
      <c r="V7999" s="1"/>
      <c r="W7999" s="1"/>
      <c r="X7999" s="1"/>
      <c r="Y7999" s="1"/>
      <c r="AB7999" s="1"/>
      <c r="AC7999" s="1"/>
      <c r="AD7999" s="1"/>
      <c r="AE7999" s="1"/>
      <c r="AF7999" s="1"/>
      <c r="AG7999" s="1"/>
      <c r="AH7999" s="1"/>
      <c r="AI7999" s="1"/>
      <c r="AJ7999" s="1"/>
      <c r="AK7999" s="1"/>
      <c r="AL7999" s="1"/>
      <c r="AM7999" s="1"/>
    </row>
    <row r="8000" spans="16:39" x14ac:dyDescent="0.25">
      <c r="P8000" s="49"/>
      <c r="Q8000" s="1"/>
      <c r="S8000" s="1"/>
      <c r="T8000" s="1"/>
      <c r="U8000" s="1"/>
      <c r="V8000" s="1"/>
      <c r="W8000" s="1"/>
      <c r="X8000" s="1"/>
      <c r="Y8000" s="1"/>
      <c r="AB8000" s="1"/>
      <c r="AC8000" s="1"/>
      <c r="AD8000" s="1"/>
      <c r="AE8000" s="1"/>
      <c r="AF8000" s="1"/>
      <c r="AG8000" s="1"/>
      <c r="AH8000" s="1"/>
      <c r="AI8000" s="1"/>
      <c r="AJ8000" s="1"/>
      <c r="AK8000" s="1"/>
      <c r="AL8000" s="1"/>
      <c r="AM8000" s="1"/>
    </row>
    <row r="8001" spans="16:39" x14ac:dyDescent="0.25">
      <c r="P8001" s="49"/>
      <c r="Q8001" s="1"/>
      <c r="S8001" s="1"/>
      <c r="T8001" s="1"/>
      <c r="U8001" s="1"/>
      <c r="V8001" s="1"/>
      <c r="W8001" s="1"/>
      <c r="X8001" s="1"/>
      <c r="Y8001" s="1"/>
      <c r="AB8001" s="1"/>
      <c r="AC8001" s="1"/>
      <c r="AD8001" s="1"/>
      <c r="AE8001" s="1"/>
      <c r="AF8001" s="1"/>
      <c r="AG8001" s="1"/>
      <c r="AH8001" s="1"/>
      <c r="AI8001" s="1"/>
      <c r="AJ8001" s="1"/>
      <c r="AK8001" s="1"/>
      <c r="AL8001" s="1"/>
      <c r="AM8001" s="1"/>
    </row>
    <row r="8002" spans="16:39" x14ac:dyDescent="0.25">
      <c r="P8002" s="49"/>
      <c r="Q8002" s="1"/>
      <c r="S8002" s="1"/>
      <c r="T8002" s="1"/>
      <c r="U8002" s="1"/>
      <c r="V8002" s="1"/>
      <c r="W8002" s="1"/>
      <c r="X8002" s="1"/>
      <c r="Y8002" s="1"/>
      <c r="AB8002" s="1"/>
      <c r="AC8002" s="1"/>
      <c r="AD8002" s="1"/>
      <c r="AE8002" s="1"/>
      <c r="AF8002" s="1"/>
      <c r="AG8002" s="1"/>
      <c r="AH8002" s="1"/>
      <c r="AI8002" s="1"/>
      <c r="AJ8002" s="1"/>
      <c r="AK8002" s="1"/>
      <c r="AL8002" s="1"/>
      <c r="AM8002" s="1"/>
    </row>
    <row r="8003" spans="16:39" x14ac:dyDescent="0.25">
      <c r="P8003" s="49"/>
      <c r="Q8003" s="1"/>
      <c r="S8003" s="1"/>
      <c r="T8003" s="1"/>
      <c r="U8003" s="1"/>
      <c r="V8003" s="1"/>
      <c r="W8003" s="1"/>
      <c r="X8003" s="1"/>
      <c r="Y8003" s="1"/>
      <c r="AB8003" s="1"/>
      <c r="AC8003" s="1"/>
      <c r="AD8003" s="1"/>
      <c r="AE8003" s="1"/>
      <c r="AF8003" s="1"/>
      <c r="AG8003" s="1"/>
      <c r="AH8003" s="1"/>
      <c r="AI8003" s="1"/>
      <c r="AJ8003" s="1"/>
      <c r="AK8003" s="1"/>
      <c r="AL8003" s="1"/>
      <c r="AM8003" s="1"/>
    </row>
    <row r="8004" spans="16:39" x14ac:dyDescent="0.25">
      <c r="P8004" s="49"/>
      <c r="Q8004" s="1"/>
      <c r="S8004" s="1"/>
      <c r="T8004" s="1"/>
      <c r="U8004" s="1"/>
      <c r="V8004" s="1"/>
      <c r="W8004" s="1"/>
      <c r="X8004" s="1"/>
      <c r="Y8004" s="1"/>
      <c r="AB8004" s="1"/>
      <c r="AC8004" s="1"/>
      <c r="AD8004" s="1"/>
      <c r="AE8004" s="1"/>
      <c r="AF8004" s="1"/>
      <c r="AG8004" s="1"/>
      <c r="AH8004" s="1"/>
      <c r="AI8004" s="1"/>
      <c r="AJ8004" s="1"/>
      <c r="AK8004" s="1"/>
      <c r="AL8004" s="1"/>
      <c r="AM8004" s="1"/>
    </row>
    <row r="8005" spans="16:39" x14ac:dyDescent="0.25">
      <c r="P8005" s="49"/>
      <c r="Q8005" s="1"/>
      <c r="S8005" s="1"/>
      <c r="T8005" s="1"/>
      <c r="U8005" s="1"/>
      <c r="V8005" s="1"/>
      <c r="W8005" s="1"/>
      <c r="X8005" s="1"/>
      <c r="Y8005" s="1"/>
      <c r="AB8005" s="1"/>
      <c r="AC8005" s="1"/>
      <c r="AD8005" s="1"/>
      <c r="AE8005" s="1"/>
      <c r="AF8005" s="1"/>
      <c r="AG8005" s="1"/>
      <c r="AH8005" s="1"/>
      <c r="AI8005" s="1"/>
      <c r="AJ8005" s="1"/>
      <c r="AK8005" s="1"/>
      <c r="AL8005" s="1"/>
      <c r="AM8005" s="1"/>
    </row>
    <row r="8006" spans="16:39" x14ac:dyDescent="0.25">
      <c r="P8006" s="49"/>
      <c r="Q8006" s="1"/>
      <c r="S8006" s="1"/>
      <c r="T8006" s="1"/>
      <c r="U8006" s="1"/>
      <c r="V8006" s="1"/>
      <c r="W8006" s="1"/>
      <c r="X8006" s="1"/>
      <c r="Y8006" s="1"/>
      <c r="AB8006" s="1"/>
      <c r="AC8006" s="1"/>
      <c r="AD8006" s="1"/>
      <c r="AE8006" s="1"/>
      <c r="AF8006" s="1"/>
      <c r="AG8006" s="1"/>
      <c r="AH8006" s="1"/>
      <c r="AI8006" s="1"/>
      <c r="AJ8006" s="1"/>
      <c r="AK8006" s="1"/>
      <c r="AL8006" s="1"/>
      <c r="AM8006" s="1"/>
    </row>
    <row r="8007" spans="16:39" x14ac:dyDescent="0.25">
      <c r="P8007" s="49"/>
      <c r="Q8007" s="1"/>
      <c r="S8007" s="1"/>
      <c r="T8007" s="1"/>
      <c r="U8007" s="1"/>
      <c r="V8007" s="1"/>
      <c r="W8007" s="1"/>
      <c r="X8007" s="1"/>
      <c r="Y8007" s="1"/>
      <c r="AB8007" s="1"/>
      <c r="AC8007" s="1"/>
      <c r="AD8007" s="1"/>
      <c r="AE8007" s="1"/>
      <c r="AF8007" s="1"/>
      <c r="AG8007" s="1"/>
      <c r="AH8007" s="1"/>
      <c r="AI8007" s="1"/>
      <c r="AJ8007" s="1"/>
      <c r="AK8007" s="1"/>
      <c r="AL8007" s="1"/>
      <c r="AM8007" s="1"/>
    </row>
    <row r="8008" spans="16:39" x14ac:dyDescent="0.25">
      <c r="P8008" s="49"/>
      <c r="Q8008" s="1"/>
      <c r="S8008" s="1"/>
      <c r="T8008" s="1"/>
      <c r="U8008" s="1"/>
      <c r="V8008" s="1"/>
      <c r="W8008" s="1"/>
      <c r="X8008" s="1"/>
      <c r="Y8008" s="1"/>
      <c r="AB8008" s="1"/>
      <c r="AC8008" s="1"/>
      <c r="AD8008" s="1"/>
      <c r="AE8008" s="1"/>
      <c r="AF8008" s="1"/>
      <c r="AG8008" s="1"/>
      <c r="AH8008" s="1"/>
      <c r="AI8008" s="1"/>
      <c r="AJ8008" s="1"/>
      <c r="AK8008" s="1"/>
      <c r="AL8008" s="1"/>
      <c r="AM8008" s="1"/>
    </row>
    <row r="8009" spans="16:39" x14ac:dyDescent="0.25">
      <c r="P8009" s="49"/>
      <c r="Q8009" s="1"/>
      <c r="S8009" s="1"/>
      <c r="T8009" s="1"/>
      <c r="U8009" s="1"/>
      <c r="V8009" s="1"/>
      <c r="W8009" s="1"/>
      <c r="X8009" s="1"/>
      <c r="Y8009" s="1"/>
      <c r="AB8009" s="1"/>
      <c r="AC8009" s="1"/>
      <c r="AD8009" s="1"/>
      <c r="AE8009" s="1"/>
      <c r="AF8009" s="1"/>
      <c r="AG8009" s="1"/>
      <c r="AH8009" s="1"/>
      <c r="AI8009" s="1"/>
      <c r="AJ8009" s="1"/>
      <c r="AK8009" s="1"/>
      <c r="AL8009" s="1"/>
      <c r="AM8009" s="1"/>
    </row>
    <row r="8010" spans="16:39" x14ac:dyDescent="0.25">
      <c r="P8010" s="49"/>
      <c r="Q8010" s="1"/>
      <c r="S8010" s="1"/>
      <c r="T8010" s="1"/>
      <c r="U8010" s="1"/>
      <c r="V8010" s="1"/>
      <c r="W8010" s="1"/>
      <c r="X8010" s="1"/>
      <c r="Y8010" s="1"/>
      <c r="AB8010" s="1"/>
      <c r="AC8010" s="1"/>
      <c r="AD8010" s="1"/>
      <c r="AE8010" s="1"/>
      <c r="AF8010" s="1"/>
      <c r="AG8010" s="1"/>
      <c r="AH8010" s="1"/>
      <c r="AI8010" s="1"/>
      <c r="AJ8010" s="1"/>
      <c r="AK8010" s="1"/>
      <c r="AL8010" s="1"/>
      <c r="AM8010" s="1"/>
    </row>
    <row r="8011" spans="16:39" x14ac:dyDescent="0.25">
      <c r="P8011" s="49"/>
      <c r="Q8011" s="1"/>
      <c r="S8011" s="1"/>
      <c r="T8011" s="1"/>
      <c r="U8011" s="1"/>
      <c r="V8011" s="1"/>
      <c r="W8011" s="1"/>
      <c r="X8011" s="1"/>
      <c r="Y8011" s="1"/>
      <c r="AB8011" s="1"/>
      <c r="AC8011" s="1"/>
      <c r="AD8011" s="1"/>
      <c r="AE8011" s="1"/>
      <c r="AF8011" s="1"/>
      <c r="AG8011" s="1"/>
      <c r="AH8011" s="1"/>
      <c r="AI8011" s="1"/>
      <c r="AJ8011" s="1"/>
      <c r="AK8011" s="1"/>
      <c r="AL8011" s="1"/>
      <c r="AM8011" s="1"/>
    </row>
    <row r="8012" spans="16:39" x14ac:dyDescent="0.25">
      <c r="P8012" s="49"/>
      <c r="Q8012" s="1"/>
      <c r="S8012" s="1"/>
      <c r="T8012" s="1"/>
      <c r="U8012" s="1"/>
      <c r="V8012" s="1"/>
      <c r="W8012" s="1"/>
      <c r="X8012" s="1"/>
      <c r="Y8012" s="1"/>
      <c r="AB8012" s="1"/>
      <c r="AC8012" s="1"/>
      <c r="AD8012" s="1"/>
      <c r="AE8012" s="1"/>
      <c r="AF8012" s="1"/>
      <c r="AG8012" s="1"/>
      <c r="AH8012" s="1"/>
      <c r="AI8012" s="1"/>
      <c r="AJ8012" s="1"/>
      <c r="AK8012" s="1"/>
      <c r="AL8012" s="1"/>
      <c r="AM8012" s="1"/>
    </row>
    <row r="8013" spans="16:39" x14ac:dyDescent="0.25">
      <c r="P8013" s="49"/>
      <c r="Q8013" s="1"/>
      <c r="S8013" s="1"/>
      <c r="T8013" s="1"/>
      <c r="U8013" s="1"/>
      <c r="V8013" s="1"/>
      <c r="W8013" s="1"/>
      <c r="X8013" s="1"/>
      <c r="Y8013" s="1"/>
      <c r="AB8013" s="1"/>
      <c r="AC8013" s="1"/>
      <c r="AD8013" s="1"/>
      <c r="AE8013" s="1"/>
      <c r="AF8013" s="1"/>
      <c r="AG8013" s="1"/>
      <c r="AH8013" s="1"/>
      <c r="AI8013" s="1"/>
      <c r="AJ8013" s="1"/>
      <c r="AK8013" s="1"/>
      <c r="AL8013" s="1"/>
      <c r="AM8013" s="1"/>
    </row>
    <row r="8014" spans="16:39" x14ac:dyDescent="0.25">
      <c r="P8014" s="49"/>
      <c r="Q8014" s="1"/>
      <c r="S8014" s="1"/>
      <c r="T8014" s="1"/>
      <c r="U8014" s="1"/>
      <c r="V8014" s="1"/>
      <c r="W8014" s="1"/>
      <c r="X8014" s="1"/>
      <c r="Y8014" s="1"/>
      <c r="AB8014" s="1"/>
      <c r="AC8014" s="1"/>
      <c r="AD8014" s="1"/>
      <c r="AE8014" s="1"/>
      <c r="AF8014" s="1"/>
      <c r="AG8014" s="1"/>
      <c r="AH8014" s="1"/>
      <c r="AI8014" s="1"/>
      <c r="AJ8014" s="1"/>
      <c r="AK8014" s="1"/>
      <c r="AL8014" s="1"/>
      <c r="AM8014" s="1"/>
    </row>
    <row r="8015" spans="16:39" x14ac:dyDescent="0.25">
      <c r="P8015" s="49"/>
      <c r="Q8015" s="1"/>
      <c r="S8015" s="1"/>
      <c r="T8015" s="1"/>
      <c r="U8015" s="1"/>
      <c r="V8015" s="1"/>
      <c r="W8015" s="1"/>
      <c r="X8015" s="1"/>
      <c r="Y8015" s="1"/>
      <c r="AB8015" s="1"/>
      <c r="AC8015" s="1"/>
      <c r="AD8015" s="1"/>
      <c r="AE8015" s="1"/>
      <c r="AF8015" s="1"/>
      <c r="AG8015" s="1"/>
      <c r="AH8015" s="1"/>
      <c r="AI8015" s="1"/>
      <c r="AJ8015" s="1"/>
      <c r="AK8015" s="1"/>
      <c r="AL8015" s="1"/>
      <c r="AM8015" s="1"/>
    </row>
    <row r="8016" spans="16:39" x14ac:dyDescent="0.25">
      <c r="P8016" s="49"/>
      <c r="Q8016" s="1"/>
      <c r="S8016" s="1"/>
      <c r="T8016" s="1"/>
      <c r="U8016" s="1"/>
      <c r="V8016" s="1"/>
      <c r="W8016" s="1"/>
      <c r="X8016" s="1"/>
      <c r="Y8016" s="1"/>
      <c r="AB8016" s="1"/>
      <c r="AC8016" s="1"/>
      <c r="AD8016" s="1"/>
      <c r="AE8016" s="1"/>
      <c r="AF8016" s="1"/>
      <c r="AG8016" s="1"/>
      <c r="AH8016" s="1"/>
      <c r="AI8016" s="1"/>
      <c r="AJ8016" s="1"/>
      <c r="AK8016" s="1"/>
      <c r="AL8016" s="1"/>
      <c r="AM8016" s="1"/>
    </row>
    <row r="8017" spans="16:39" x14ac:dyDescent="0.25">
      <c r="P8017" s="49"/>
      <c r="Q8017" s="1"/>
      <c r="S8017" s="1"/>
      <c r="T8017" s="1"/>
      <c r="U8017" s="1"/>
      <c r="V8017" s="1"/>
      <c r="W8017" s="1"/>
      <c r="X8017" s="1"/>
      <c r="Y8017" s="1"/>
      <c r="AB8017" s="1"/>
      <c r="AC8017" s="1"/>
      <c r="AD8017" s="1"/>
      <c r="AE8017" s="1"/>
      <c r="AF8017" s="1"/>
      <c r="AG8017" s="1"/>
      <c r="AH8017" s="1"/>
      <c r="AI8017" s="1"/>
      <c r="AJ8017" s="1"/>
      <c r="AK8017" s="1"/>
      <c r="AL8017" s="1"/>
      <c r="AM8017" s="1"/>
    </row>
    <row r="8018" spans="16:39" x14ac:dyDescent="0.25">
      <c r="P8018" s="49"/>
      <c r="Q8018" s="1"/>
      <c r="S8018" s="1"/>
      <c r="T8018" s="1"/>
      <c r="U8018" s="1"/>
      <c r="V8018" s="1"/>
      <c r="W8018" s="1"/>
      <c r="X8018" s="1"/>
      <c r="Y8018" s="1"/>
      <c r="AB8018" s="1"/>
      <c r="AC8018" s="1"/>
      <c r="AD8018" s="1"/>
      <c r="AE8018" s="1"/>
      <c r="AF8018" s="1"/>
      <c r="AG8018" s="1"/>
      <c r="AH8018" s="1"/>
      <c r="AI8018" s="1"/>
      <c r="AJ8018" s="1"/>
      <c r="AK8018" s="1"/>
      <c r="AL8018" s="1"/>
      <c r="AM8018" s="1"/>
    </row>
    <row r="8019" spans="16:39" x14ac:dyDescent="0.25">
      <c r="P8019" s="49"/>
      <c r="Q8019" s="1"/>
      <c r="S8019" s="1"/>
      <c r="T8019" s="1"/>
      <c r="U8019" s="1"/>
      <c r="V8019" s="1"/>
      <c r="W8019" s="1"/>
      <c r="X8019" s="1"/>
      <c r="Y8019" s="1"/>
      <c r="AB8019" s="1"/>
      <c r="AC8019" s="1"/>
      <c r="AD8019" s="1"/>
      <c r="AE8019" s="1"/>
      <c r="AF8019" s="1"/>
      <c r="AG8019" s="1"/>
      <c r="AH8019" s="1"/>
      <c r="AI8019" s="1"/>
      <c r="AJ8019" s="1"/>
      <c r="AK8019" s="1"/>
      <c r="AL8019" s="1"/>
      <c r="AM8019" s="1"/>
    </row>
    <row r="8020" spans="16:39" x14ac:dyDescent="0.25">
      <c r="P8020" s="49"/>
      <c r="Q8020" s="1"/>
      <c r="S8020" s="1"/>
      <c r="T8020" s="1"/>
      <c r="U8020" s="1"/>
      <c r="V8020" s="1"/>
      <c r="W8020" s="1"/>
      <c r="X8020" s="1"/>
      <c r="Y8020" s="1"/>
      <c r="AB8020" s="1"/>
      <c r="AC8020" s="1"/>
      <c r="AD8020" s="1"/>
      <c r="AE8020" s="1"/>
      <c r="AF8020" s="1"/>
      <c r="AG8020" s="1"/>
      <c r="AH8020" s="1"/>
      <c r="AI8020" s="1"/>
      <c r="AJ8020" s="1"/>
      <c r="AK8020" s="1"/>
      <c r="AL8020" s="1"/>
      <c r="AM8020" s="1"/>
    </row>
    <row r="8021" spans="16:39" x14ac:dyDescent="0.25">
      <c r="P8021" s="49"/>
      <c r="Q8021" s="1"/>
      <c r="S8021" s="1"/>
      <c r="T8021" s="1"/>
      <c r="U8021" s="1"/>
      <c r="V8021" s="1"/>
      <c r="W8021" s="1"/>
      <c r="X8021" s="1"/>
      <c r="Y8021" s="1"/>
      <c r="AB8021" s="1"/>
      <c r="AC8021" s="1"/>
      <c r="AD8021" s="1"/>
      <c r="AE8021" s="1"/>
      <c r="AF8021" s="1"/>
      <c r="AG8021" s="1"/>
      <c r="AH8021" s="1"/>
      <c r="AI8021" s="1"/>
      <c r="AJ8021" s="1"/>
      <c r="AK8021" s="1"/>
      <c r="AL8021" s="1"/>
      <c r="AM8021" s="1"/>
    </row>
    <row r="8022" spans="16:39" x14ac:dyDescent="0.25">
      <c r="P8022" s="49"/>
      <c r="Q8022" s="1"/>
      <c r="S8022" s="1"/>
      <c r="T8022" s="1"/>
      <c r="U8022" s="1"/>
      <c r="V8022" s="1"/>
      <c r="W8022" s="1"/>
      <c r="X8022" s="1"/>
      <c r="Y8022" s="1"/>
      <c r="AB8022" s="1"/>
      <c r="AC8022" s="1"/>
      <c r="AD8022" s="1"/>
      <c r="AE8022" s="1"/>
      <c r="AF8022" s="1"/>
      <c r="AG8022" s="1"/>
      <c r="AH8022" s="1"/>
      <c r="AI8022" s="1"/>
      <c r="AJ8022" s="1"/>
      <c r="AK8022" s="1"/>
      <c r="AL8022" s="1"/>
      <c r="AM8022" s="1"/>
    </row>
    <row r="8023" spans="16:39" x14ac:dyDescent="0.25">
      <c r="P8023" s="49"/>
      <c r="Q8023" s="1"/>
      <c r="S8023" s="1"/>
      <c r="T8023" s="1"/>
      <c r="U8023" s="1"/>
      <c r="V8023" s="1"/>
      <c r="W8023" s="1"/>
      <c r="X8023" s="1"/>
      <c r="Y8023" s="1"/>
      <c r="AB8023" s="1"/>
      <c r="AC8023" s="1"/>
      <c r="AD8023" s="1"/>
      <c r="AE8023" s="1"/>
      <c r="AF8023" s="1"/>
      <c r="AG8023" s="1"/>
      <c r="AH8023" s="1"/>
      <c r="AI8023" s="1"/>
      <c r="AJ8023" s="1"/>
      <c r="AK8023" s="1"/>
      <c r="AL8023" s="1"/>
      <c r="AM8023" s="1"/>
    </row>
    <row r="8024" spans="16:39" x14ac:dyDescent="0.25">
      <c r="P8024" s="49"/>
      <c r="Q8024" s="1"/>
      <c r="S8024" s="1"/>
      <c r="T8024" s="1"/>
      <c r="U8024" s="1"/>
      <c r="V8024" s="1"/>
      <c r="W8024" s="1"/>
      <c r="X8024" s="1"/>
      <c r="Y8024" s="1"/>
      <c r="AB8024" s="1"/>
      <c r="AC8024" s="1"/>
      <c r="AD8024" s="1"/>
      <c r="AE8024" s="1"/>
      <c r="AF8024" s="1"/>
      <c r="AG8024" s="1"/>
      <c r="AH8024" s="1"/>
      <c r="AI8024" s="1"/>
      <c r="AJ8024" s="1"/>
      <c r="AK8024" s="1"/>
      <c r="AL8024" s="1"/>
      <c r="AM8024" s="1"/>
    </row>
    <row r="8025" spans="16:39" x14ac:dyDescent="0.25">
      <c r="P8025" s="49"/>
      <c r="Q8025" s="1"/>
      <c r="S8025" s="1"/>
      <c r="T8025" s="1"/>
      <c r="U8025" s="1"/>
      <c r="V8025" s="1"/>
      <c r="W8025" s="1"/>
      <c r="X8025" s="1"/>
      <c r="Y8025" s="1"/>
      <c r="AB8025" s="1"/>
      <c r="AC8025" s="1"/>
      <c r="AD8025" s="1"/>
      <c r="AE8025" s="1"/>
      <c r="AF8025" s="1"/>
      <c r="AG8025" s="1"/>
      <c r="AH8025" s="1"/>
      <c r="AI8025" s="1"/>
      <c r="AJ8025" s="1"/>
      <c r="AK8025" s="1"/>
      <c r="AL8025" s="1"/>
      <c r="AM8025" s="1"/>
    </row>
    <row r="8026" spans="16:39" x14ac:dyDescent="0.25">
      <c r="P8026" s="49"/>
      <c r="Q8026" s="1"/>
      <c r="S8026" s="1"/>
      <c r="T8026" s="1"/>
      <c r="U8026" s="1"/>
      <c r="V8026" s="1"/>
      <c r="W8026" s="1"/>
      <c r="X8026" s="1"/>
      <c r="Y8026" s="1"/>
      <c r="AB8026" s="1"/>
      <c r="AC8026" s="1"/>
      <c r="AD8026" s="1"/>
      <c r="AE8026" s="1"/>
      <c r="AF8026" s="1"/>
      <c r="AG8026" s="1"/>
      <c r="AH8026" s="1"/>
      <c r="AI8026" s="1"/>
      <c r="AJ8026" s="1"/>
      <c r="AK8026" s="1"/>
      <c r="AL8026" s="1"/>
      <c r="AM8026" s="1"/>
    </row>
    <row r="8027" spans="16:39" x14ac:dyDescent="0.25">
      <c r="P8027" s="49"/>
      <c r="Q8027" s="1"/>
      <c r="S8027" s="1"/>
      <c r="T8027" s="1"/>
      <c r="U8027" s="1"/>
      <c r="V8027" s="1"/>
      <c r="W8027" s="1"/>
      <c r="X8027" s="1"/>
      <c r="Y8027" s="1"/>
      <c r="AB8027" s="1"/>
      <c r="AC8027" s="1"/>
      <c r="AD8027" s="1"/>
      <c r="AE8027" s="1"/>
      <c r="AF8027" s="1"/>
      <c r="AG8027" s="1"/>
      <c r="AH8027" s="1"/>
      <c r="AI8027" s="1"/>
      <c r="AJ8027" s="1"/>
      <c r="AK8027" s="1"/>
      <c r="AL8027" s="1"/>
      <c r="AM8027" s="1"/>
    </row>
    <row r="8028" spans="16:39" x14ac:dyDescent="0.25">
      <c r="P8028" s="49"/>
      <c r="Q8028" s="1"/>
      <c r="S8028" s="1"/>
      <c r="T8028" s="1"/>
      <c r="U8028" s="1"/>
      <c r="V8028" s="1"/>
      <c r="W8028" s="1"/>
      <c r="X8028" s="1"/>
      <c r="Y8028" s="1"/>
      <c r="AB8028" s="1"/>
      <c r="AC8028" s="1"/>
      <c r="AD8028" s="1"/>
      <c r="AE8028" s="1"/>
      <c r="AF8028" s="1"/>
      <c r="AG8028" s="1"/>
      <c r="AH8028" s="1"/>
      <c r="AI8028" s="1"/>
      <c r="AJ8028" s="1"/>
      <c r="AK8028" s="1"/>
      <c r="AL8028" s="1"/>
      <c r="AM8028" s="1"/>
    </row>
    <row r="8029" spans="16:39" x14ac:dyDescent="0.25">
      <c r="P8029" s="49"/>
      <c r="Q8029" s="1"/>
      <c r="S8029" s="1"/>
      <c r="T8029" s="1"/>
      <c r="U8029" s="1"/>
      <c r="V8029" s="1"/>
      <c r="W8029" s="1"/>
      <c r="X8029" s="1"/>
      <c r="Y8029" s="1"/>
      <c r="AB8029" s="1"/>
      <c r="AC8029" s="1"/>
      <c r="AD8029" s="1"/>
      <c r="AE8029" s="1"/>
      <c r="AF8029" s="1"/>
      <c r="AG8029" s="1"/>
      <c r="AH8029" s="1"/>
      <c r="AI8029" s="1"/>
      <c r="AJ8029" s="1"/>
      <c r="AK8029" s="1"/>
      <c r="AL8029" s="1"/>
      <c r="AM8029" s="1"/>
    </row>
    <row r="8030" spans="16:39" x14ac:dyDescent="0.25">
      <c r="P8030" s="49"/>
      <c r="Q8030" s="1"/>
      <c r="S8030" s="1"/>
      <c r="T8030" s="1"/>
      <c r="U8030" s="1"/>
      <c r="V8030" s="1"/>
      <c r="W8030" s="1"/>
      <c r="X8030" s="1"/>
      <c r="Y8030" s="1"/>
      <c r="AB8030" s="1"/>
      <c r="AC8030" s="1"/>
      <c r="AD8030" s="1"/>
      <c r="AE8030" s="1"/>
      <c r="AF8030" s="1"/>
      <c r="AG8030" s="1"/>
      <c r="AH8030" s="1"/>
      <c r="AI8030" s="1"/>
      <c r="AJ8030" s="1"/>
      <c r="AK8030" s="1"/>
      <c r="AL8030" s="1"/>
      <c r="AM8030" s="1"/>
    </row>
    <row r="8031" spans="16:39" x14ac:dyDescent="0.25">
      <c r="P8031" s="49"/>
      <c r="Q8031" s="1"/>
      <c r="S8031" s="1"/>
      <c r="T8031" s="1"/>
      <c r="U8031" s="1"/>
      <c r="V8031" s="1"/>
      <c r="W8031" s="1"/>
      <c r="X8031" s="1"/>
      <c r="Y8031" s="1"/>
      <c r="AB8031" s="1"/>
      <c r="AC8031" s="1"/>
      <c r="AD8031" s="1"/>
      <c r="AE8031" s="1"/>
      <c r="AF8031" s="1"/>
      <c r="AG8031" s="1"/>
      <c r="AH8031" s="1"/>
      <c r="AI8031" s="1"/>
      <c r="AJ8031" s="1"/>
      <c r="AK8031" s="1"/>
      <c r="AL8031" s="1"/>
      <c r="AM8031" s="1"/>
    </row>
    <row r="8032" spans="16:39" x14ac:dyDescent="0.25">
      <c r="P8032" s="49"/>
      <c r="Q8032" s="1"/>
      <c r="S8032" s="1"/>
      <c r="T8032" s="1"/>
      <c r="U8032" s="1"/>
      <c r="V8032" s="1"/>
      <c r="W8032" s="1"/>
      <c r="X8032" s="1"/>
      <c r="Y8032" s="1"/>
      <c r="AB8032" s="1"/>
      <c r="AC8032" s="1"/>
      <c r="AD8032" s="1"/>
      <c r="AE8032" s="1"/>
      <c r="AF8032" s="1"/>
      <c r="AG8032" s="1"/>
      <c r="AH8032" s="1"/>
      <c r="AI8032" s="1"/>
      <c r="AJ8032" s="1"/>
      <c r="AK8032" s="1"/>
      <c r="AL8032" s="1"/>
      <c r="AM8032" s="1"/>
    </row>
    <row r="8033" spans="16:39" x14ac:dyDescent="0.25">
      <c r="P8033" s="49"/>
      <c r="Q8033" s="1"/>
      <c r="S8033" s="1"/>
      <c r="T8033" s="1"/>
      <c r="U8033" s="1"/>
      <c r="V8033" s="1"/>
      <c r="W8033" s="1"/>
      <c r="X8033" s="1"/>
      <c r="Y8033" s="1"/>
      <c r="AB8033" s="1"/>
      <c r="AC8033" s="1"/>
      <c r="AD8033" s="1"/>
      <c r="AE8033" s="1"/>
      <c r="AF8033" s="1"/>
      <c r="AG8033" s="1"/>
      <c r="AH8033" s="1"/>
      <c r="AI8033" s="1"/>
      <c r="AJ8033" s="1"/>
      <c r="AK8033" s="1"/>
      <c r="AL8033" s="1"/>
      <c r="AM8033" s="1"/>
    </row>
    <row r="8034" spans="16:39" x14ac:dyDescent="0.25">
      <c r="P8034" s="49"/>
      <c r="Q8034" s="1"/>
      <c r="S8034" s="1"/>
      <c r="T8034" s="1"/>
      <c r="U8034" s="1"/>
      <c r="V8034" s="1"/>
      <c r="W8034" s="1"/>
      <c r="X8034" s="1"/>
      <c r="Y8034" s="1"/>
      <c r="AB8034" s="1"/>
      <c r="AC8034" s="1"/>
      <c r="AD8034" s="1"/>
      <c r="AE8034" s="1"/>
      <c r="AF8034" s="1"/>
      <c r="AG8034" s="1"/>
      <c r="AH8034" s="1"/>
      <c r="AI8034" s="1"/>
      <c r="AJ8034" s="1"/>
      <c r="AK8034" s="1"/>
      <c r="AL8034" s="1"/>
      <c r="AM8034" s="1"/>
    </row>
    <row r="8035" spans="16:39" x14ac:dyDescent="0.25">
      <c r="P8035" s="49"/>
      <c r="Q8035" s="1"/>
      <c r="S8035" s="1"/>
      <c r="T8035" s="1"/>
      <c r="U8035" s="1"/>
      <c r="V8035" s="1"/>
      <c r="W8035" s="1"/>
      <c r="X8035" s="1"/>
      <c r="Y8035" s="1"/>
      <c r="AB8035" s="1"/>
      <c r="AC8035" s="1"/>
      <c r="AD8035" s="1"/>
      <c r="AE8035" s="1"/>
      <c r="AF8035" s="1"/>
      <c r="AG8035" s="1"/>
      <c r="AH8035" s="1"/>
      <c r="AI8035" s="1"/>
      <c r="AJ8035" s="1"/>
      <c r="AK8035" s="1"/>
      <c r="AL8035" s="1"/>
      <c r="AM8035" s="1"/>
    </row>
    <row r="8036" spans="16:39" x14ac:dyDescent="0.25">
      <c r="P8036" s="49"/>
      <c r="Q8036" s="1"/>
      <c r="S8036" s="1"/>
      <c r="T8036" s="1"/>
      <c r="U8036" s="1"/>
      <c r="V8036" s="1"/>
      <c r="W8036" s="1"/>
      <c r="X8036" s="1"/>
      <c r="Y8036" s="1"/>
      <c r="AB8036" s="1"/>
      <c r="AC8036" s="1"/>
      <c r="AD8036" s="1"/>
      <c r="AE8036" s="1"/>
      <c r="AF8036" s="1"/>
      <c r="AG8036" s="1"/>
      <c r="AH8036" s="1"/>
      <c r="AI8036" s="1"/>
      <c r="AJ8036" s="1"/>
      <c r="AK8036" s="1"/>
      <c r="AL8036" s="1"/>
      <c r="AM8036" s="1"/>
    </row>
    <row r="8037" spans="16:39" x14ac:dyDescent="0.25">
      <c r="P8037" s="49"/>
      <c r="Q8037" s="1"/>
      <c r="S8037" s="1"/>
      <c r="T8037" s="1"/>
      <c r="U8037" s="1"/>
      <c r="V8037" s="1"/>
      <c r="W8037" s="1"/>
      <c r="X8037" s="1"/>
      <c r="Y8037" s="1"/>
      <c r="AB8037" s="1"/>
      <c r="AC8037" s="1"/>
      <c r="AD8037" s="1"/>
      <c r="AE8037" s="1"/>
      <c r="AF8037" s="1"/>
      <c r="AG8037" s="1"/>
      <c r="AH8037" s="1"/>
      <c r="AI8037" s="1"/>
      <c r="AJ8037" s="1"/>
      <c r="AK8037" s="1"/>
      <c r="AL8037" s="1"/>
      <c r="AM8037" s="1"/>
    </row>
    <row r="8038" spans="16:39" x14ac:dyDescent="0.25">
      <c r="P8038" s="49"/>
      <c r="Q8038" s="1"/>
      <c r="S8038" s="1"/>
      <c r="T8038" s="1"/>
      <c r="U8038" s="1"/>
      <c r="V8038" s="1"/>
      <c r="W8038" s="1"/>
      <c r="X8038" s="1"/>
      <c r="Y8038" s="1"/>
      <c r="AB8038" s="1"/>
      <c r="AC8038" s="1"/>
      <c r="AD8038" s="1"/>
      <c r="AE8038" s="1"/>
      <c r="AF8038" s="1"/>
      <c r="AG8038" s="1"/>
      <c r="AH8038" s="1"/>
      <c r="AI8038" s="1"/>
      <c r="AJ8038" s="1"/>
      <c r="AK8038" s="1"/>
      <c r="AL8038" s="1"/>
      <c r="AM8038" s="1"/>
    </row>
    <row r="8039" spans="16:39" x14ac:dyDescent="0.25">
      <c r="P8039" s="49"/>
      <c r="Q8039" s="1"/>
      <c r="S8039" s="1"/>
      <c r="T8039" s="1"/>
      <c r="U8039" s="1"/>
      <c r="V8039" s="1"/>
      <c r="W8039" s="1"/>
      <c r="X8039" s="1"/>
      <c r="Y8039" s="1"/>
      <c r="AB8039" s="1"/>
      <c r="AC8039" s="1"/>
      <c r="AD8039" s="1"/>
      <c r="AE8039" s="1"/>
      <c r="AF8039" s="1"/>
      <c r="AG8039" s="1"/>
      <c r="AH8039" s="1"/>
      <c r="AI8039" s="1"/>
      <c r="AJ8039" s="1"/>
      <c r="AK8039" s="1"/>
      <c r="AL8039" s="1"/>
      <c r="AM8039" s="1"/>
    </row>
    <row r="8040" spans="16:39" x14ac:dyDescent="0.25">
      <c r="P8040" s="49"/>
      <c r="Q8040" s="1"/>
      <c r="S8040" s="1"/>
      <c r="T8040" s="1"/>
      <c r="U8040" s="1"/>
      <c r="V8040" s="1"/>
      <c r="W8040" s="1"/>
      <c r="X8040" s="1"/>
      <c r="Y8040" s="1"/>
      <c r="AB8040" s="1"/>
      <c r="AC8040" s="1"/>
      <c r="AD8040" s="1"/>
      <c r="AE8040" s="1"/>
      <c r="AF8040" s="1"/>
      <c r="AG8040" s="1"/>
      <c r="AH8040" s="1"/>
      <c r="AI8040" s="1"/>
      <c r="AJ8040" s="1"/>
      <c r="AK8040" s="1"/>
      <c r="AL8040" s="1"/>
      <c r="AM8040" s="1"/>
    </row>
    <row r="8041" spans="16:39" x14ac:dyDescent="0.25">
      <c r="P8041" s="49"/>
      <c r="Q8041" s="1"/>
      <c r="S8041" s="1"/>
      <c r="T8041" s="1"/>
      <c r="U8041" s="1"/>
      <c r="V8041" s="1"/>
      <c r="W8041" s="1"/>
      <c r="X8041" s="1"/>
      <c r="Y8041" s="1"/>
      <c r="AB8041" s="1"/>
      <c r="AC8041" s="1"/>
      <c r="AD8041" s="1"/>
      <c r="AE8041" s="1"/>
      <c r="AF8041" s="1"/>
      <c r="AG8041" s="1"/>
      <c r="AH8041" s="1"/>
      <c r="AI8041" s="1"/>
      <c r="AJ8041" s="1"/>
      <c r="AK8041" s="1"/>
      <c r="AL8041" s="1"/>
      <c r="AM8041" s="1"/>
    </row>
    <row r="8042" spans="16:39" x14ac:dyDescent="0.25">
      <c r="P8042" s="49"/>
      <c r="Q8042" s="1"/>
      <c r="S8042" s="1"/>
      <c r="T8042" s="1"/>
      <c r="U8042" s="1"/>
      <c r="V8042" s="1"/>
      <c r="W8042" s="1"/>
      <c r="X8042" s="1"/>
      <c r="Y8042" s="1"/>
      <c r="AB8042" s="1"/>
      <c r="AC8042" s="1"/>
      <c r="AD8042" s="1"/>
      <c r="AE8042" s="1"/>
      <c r="AF8042" s="1"/>
      <c r="AG8042" s="1"/>
      <c r="AH8042" s="1"/>
      <c r="AI8042" s="1"/>
      <c r="AJ8042" s="1"/>
      <c r="AK8042" s="1"/>
      <c r="AL8042" s="1"/>
      <c r="AM8042" s="1"/>
    </row>
    <row r="8043" spans="16:39" x14ac:dyDescent="0.25">
      <c r="P8043" s="49"/>
      <c r="Q8043" s="1"/>
      <c r="S8043" s="1"/>
      <c r="T8043" s="1"/>
      <c r="U8043" s="1"/>
      <c r="V8043" s="1"/>
      <c r="W8043" s="1"/>
      <c r="X8043" s="1"/>
      <c r="Y8043" s="1"/>
      <c r="AB8043" s="1"/>
      <c r="AC8043" s="1"/>
      <c r="AD8043" s="1"/>
      <c r="AE8043" s="1"/>
      <c r="AF8043" s="1"/>
      <c r="AG8043" s="1"/>
      <c r="AH8043" s="1"/>
      <c r="AI8043" s="1"/>
      <c r="AJ8043" s="1"/>
      <c r="AK8043" s="1"/>
      <c r="AL8043" s="1"/>
      <c r="AM8043" s="1"/>
    </row>
    <row r="8044" spans="16:39" x14ac:dyDescent="0.25">
      <c r="P8044" s="49"/>
      <c r="Q8044" s="1"/>
      <c r="S8044" s="1"/>
      <c r="T8044" s="1"/>
      <c r="U8044" s="1"/>
      <c r="V8044" s="1"/>
      <c r="W8044" s="1"/>
      <c r="X8044" s="1"/>
      <c r="Y8044" s="1"/>
      <c r="AB8044" s="1"/>
      <c r="AC8044" s="1"/>
      <c r="AD8044" s="1"/>
      <c r="AE8044" s="1"/>
      <c r="AF8044" s="1"/>
      <c r="AG8044" s="1"/>
      <c r="AH8044" s="1"/>
      <c r="AI8044" s="1"/>
      <c r="AJ8044" s="1"/>
      <c r="AK8044" s="1"/>
      <c r="AL8044" s="1"/>
      <c r="AM8044" s="1"/>
    </row>
    <row r="8045" spans="16:39" x14ac:dyDescent="0.25">
      <c r="P8045" s="49"/>
      <c r="Q8045" s="1"/>
      <c r="S8045" s="1"/>
      <c r="T8045" s="1"/>
      <c r="U8045" s="1"/>
      <c r="V8045" s="1"/>
      <c r="W8045" s="1"/>
      <c r="X8045" s="1"/>
      <c r="Y8045" s="1"/>
      <c r="AB8045" s="1"/>
      <c r="AC8045" s="1"/>
      <c r="AD8045" s="1"/>
      <c r="AE8045" s="1"/>
      <c r="AF8045" s="1"/>
      <c r="AG8045" s="1"/>
      <c r="AH8045" s="1"/>
      <c r="AI8045" s="1"/>
      <c r="AJ8045" s="1"/>
      <c r="AK8045" s="1"/>
      <c r="AL8045" s="1"/>
      <c r="AM8045" s="1"/>
    </row>
    <row r="8046" spans="16:39" x14ac:dyDescent="0.25">
      <c r="P8046" s="49"/>
      <c r="Q8046" s="1"/>
      <c r="S8046" s="1"/>
      <c r="T8046" s="1"/>
      <c r="U8046" s="1"/>
      <c r="V8046" s="1"/>
      <c r="W8046" s="1"/>
      <c r="X8046" s="1"/>
      <c r="Y8046" s="1"/>
      <c r="AB8046" s="1"/>
      <c r="AC8046" s="1"/>
      <c r="AD8046" s="1"/>
      <c r="AE8046" s="1"/>
      <c r="AF8046" s="1"/>
      <c r="AG8046" s="1"/>
      <c r="AH8046" s="1"/>
      <c r="AI8046" s="1"/>
      <c r="AJ8046" s="1"/>
      <c r="AK8046" s="1"/>
      <c r="AL8046" s="1"/>
      <c r="AM8046" s="1"/>
    </row>
    <row r="8047" spans="16:39" x14ac:dyDescent="0.25">
      <c r="P8047" s="49"/>
      <c r="Q8047" s="1"/>
      <c r="S8047" s="1"/>
      <c r="T8047" s="1"/>
      <c r="U8047" s="1"/>
      <c r="V8047" s="1"/>
      <c r="W8047" s="1"/>
      <c r="X8047" s="1"/>
      <c r="Y8047" s="1"/>
      <c r="AB8047" s="1"/>
      <c r="AC8047" s="1"/>
      <c r="AD8047" s="1"/>
      <c r="AE8047" s="1"/>
      <c r="AF8047" s="1"/>
      <c r="AG8047" s="1"/>
      <c r="AH8047" s="1"/>
      <c r="AI8047" s="1"/>
      <c r="AJ8047" s="1"/>
      <c r="AK8047" s="1"/>
      <c r="AL8047" s="1"/>
      <c r="AM8047" s="1"/>
    </row>
    <row r="8048" spans="16:39" x14ac:dyDescent="0.25">
      <c r="P8048" s="49"/>
      <c r="Q8048" s="1"/>
      <c r="S8048" s="1"/>
      <c r="T8048" s="1"/>
      <c r="U8048" s="1"/>
      <c r="V8048" s="1"/>
      <c r="W8048" s="1"/>
      <c r="X8048" s="1"/>
      <c r="Y8048" s="1"/>
      <c r="AB8048" s="1"/>
      <c r="AC8048" s="1"/>
      <c r="AD8048" s="1"/>
      <c r="AE8048" s="1"/>
      <c r="AF8048" s="1"/>
      <c r="AG8048" s="1"/>
      <c r="AH8048" s="1"/>
      <c r="AI8048" s="1"/>
      <c r="AJ8048" s="1"/>
      <c r="AK8048" s="1"/>
      <c r="AL8048" s="1"/>
      <c r="AM8048" s="1"/>
    </row>
    <row r="8049" spans="16:39" x14ac:dyDescent="0.25">
      <c r="P8049" s="49"/>
      <c r="Q8049" s="1"/>
      <c r="S8049" s="1"/>
      <c r="T8049" s="1"/>
      <c r="U8049" s="1"/>
      <c r="V8049" s="1"/>
      <c r="W8049" s="1"/>
      <c r="X8049" s="1"/>
      <c r="Y8049" s="1"/>
      <c r="AB8049" s="1"/>
      <c r="AC8049" s="1"/>
      <c r="AD8049" s="1"/>
      <c r="AE8049" s="1"/>
      <c r="AF8049" s="1"/>
      <c r="AG8049" s="1"/>
      <c r="AH8049" s="1"/>
      <c r="AI8049" s="1"/>
      <c r="AJ8049" s="1"/>
      <c r="AK8049" s="1"/>
      <c r="AL8049" s="1"/>
      <c r="AM8049" s="1"/>
    </row>
    <row r="8050" spans="16:39" x14ac:dyDescent="0.25">
      <c r="P8050" s="49"/>
      <c r="Q8050" s="1"/>
      <c r="S8050" s="1"/>
      <c r="T8050" s="1"/>
      <c r="U8050" s="1"/>
      <c r="V8050" s="1"/>
      <c r="W8050" s="1"/>
      <c r="X8050" s="1"/>
      <c r="Y8050" s="1"/>
      <c r="AB8050" s="1"/>
      <c r="AC8050" s="1"/>
      <c r="AD8050" s="1"/>
      <c r="AE8050" s="1"/>
      <c r="AF8050" s="1"/>
      <c r="AG8050" s="1"/>
      <c r="AH8050" s="1"/>
      <c r="AI8050" s="1"/>
      <c r="AJ8050" s="1"/>
      <c r="AK8050" s="1"/>
      <c r="AL8050" s="1"/>
      <c r="AM8050" s="1"/>
    </row>
    <row r="8051" spans="16:39" x14ac:dyDescent="0.25">
      <c r="P8051" s="49"/>
      <c r="Q8051" s="1"/>
      <c r="S8051" s="1"/>
      <c r="T8051" s="1"/>
      <c r="U8051" s="1"/>
      <c r="V8051" s="1"/>
      <c r="W8051" s="1"/>
      <c r="X8051" s="1"/>
      <c r="Y8051" s="1"/>
      <c r="AB8051" s="1"/>
      <c r="AC8051" s="1"/>
      <c r="AD8051" s="1"/>
      <c r="AE8051" s="1"/>
      <c r="AF8051" s="1"/>
      <c r="AG8051" s="1"/>
      <c r="AH8051" s="1"/>
      <c r="AI8051" s="1"/>
      <c r="AJ8051" s="1"/>
      <c r="AK8051" s="1"/>
      <c r="AL8051" s="1"/>
      <c r="AM8051" s="1"/>
    </row>
    <row r="8052" spans="16:39" x14ac:dyDescent="0.25">
      <c r="P8052" s="49"/>
      <c r="Q8052" s="1"/>
      <c r="S8052" s="1"/>
      <c r="T8052" s="1"/>
      <c r="U8052" s="1"/>
      <c r="V8052" s="1"/>
      <c r="W8052" s="1"/>
      <c r="X8052" s="1"/>
      <c r="Y8052" s="1"/>
      <c r="AB8052" s="1"/>
      <c r="AC8052" s="1"/>
      <c r="AD8052" s="1"/>
      <c r="AE8052" s="1"/>
      <c r="AF8052" s="1"/>
      <c r="AG8052" s="1"/>
      <c r="AH8052" s="1"/>
      <c r="AI8052" s="1"/>
      <c r="AJ8052" s="1"/>
      <c r="AK8052" s="1"/>
      <c r="AL8052" s="1"/>
      <c r="AM8052" s="1"/>
    </row>
    <row r="8053" spans="16:39" x14ac:dyDescent="0.25">
      <c r="P8053" s="49"/>
      <c r="Q8053" s="1"/>
      <c r="S8053" s="1"/>
      <c r="T8053" s="1"/>
      <c r="U8053" s="1"/>
      <c r="V8053" s="1"/>
      <c r="W8053" s="1"/>
      <c r="X8053" s="1"/>
      <c r="Y8053" s="1"/>
      <c r="AB8053" s="1"/>
      <c r="AC8053" s="1"/>
      <c r="AD8053" s="1"/>
      <c r="AE8053" s="1"/>
      <c r="AF8053" s="1"/>
      <c r="AG8053" s="1"/>
      <c r="AH8053" s="1"/>
      <c r="AI8053" s="1"/>
      <c r="AJ8053" s="1"/>
      <c r="AK8053" s="1"/>
      <c r="AL8053" s="1"/>
      <c r="AM8053" s="1"/>
    </row>
    <row r="8054" spans="16:39" x14ac:dyDescent="0.25">
      <c r="P8054" s="49"/>
      <c r="Q8054" s="1"/>
      <c r="S8054" s="1"/>
      <c r="T8054" s="1"/>
      <c r="U8054" s="1"/>
      <c r="V8054" s="1"/>
      <c r="W8054" s="1"/>
      <c r="X8054" s="1"/>
      <c r="Y8054" s="1"/>
      <c r="AB8054" s="1"/>
      <c r="AC8054" s="1"/>
      <c r="AD8054" s="1"/>
      <c r="AE8054" s="1"/>
      <c r="AF8054" s="1"/>
      <c r="AG8054" s="1"/>
      <c r="AH8054" s="1"/>
      <c r="AI8054" s="1"/>
      <c r="AJ8054" s="1"/>
      <c r="AK8054" s="1"/>
      <c r="AL8054" s="1"/>
      <c r="AM8054" s="1"/>
    </row>
    <row r="8055" spans="16:39" x14ac:dyDescent="0.25">
      <c r="P8055" s="49"/>
      <c r="Q8055" s="1"/>
      <c r="S8055" s="1"/>
      <c r="T8055" s="1"/>
      <c r="U8055" s="1"/>
      <c r="V8055" s="1"/>
      <c r="W8055" s="1"/>
      <c r="X8055" s="1"/>
      <c r="Y8055" s="1"/>
      <c r="AB8055" s="1"/>
      <c r="AC8055" s="1"/>
      <c r="AD8055" s="1"/>
      <c r="AE8055" s="1"/>
      <c r="AF8055" s="1"/>
      <c r="AG8055" s="1"/>
      <c r="AH8055" s="1"/>
      <c r="AI8055" s="1"/>
      <c r="AJ8055" s="1"/>
      <c r="AK8055" s="1"/>
      <c r="AL8055" s="1"/>
      <c r="AM8055" s="1"/>
    </row>
    <row r="8056" spans="16:39" x14ac:dyDescent="0.25">
      <c r="P8056" s="49"/>
      <c r="Q8056" s="1"/>
      <c r="S8056" s="1"/>
      <c r="T8056" s="1"/>
      <c r="U8056" s="1"/>
      <c r="V8056" s="1"/>
      <c r="W8056" s="1"/>
      <c r="X8056" s="1"/>
      <c r="Y8056" s="1"/>
      <c r="AB8056" s="1"/>
      <c r="AC8056" s="1"/>
      <c r="AD8056" s="1"/>
      <c r="AE8056" s="1"/>
      <c r="AF8056" s="1"/>
      <c r="AG8056" s="1"/>
      <c r="AH8056" s="1"/>
      <c r="AI8056" s="1"/>
      <c r="AJ8056" s="1"/>
      <c r="AK8056" s="1"/>
      <c r="AL8056" s="1"/>
      <c r="AM8056" s="1"/>
    </row>
    <row r="8057" spans="16:39" x14ac:dyDescent="0.25">
      <c r="P8057" s="49"/>
      <c r="Q8057" s="1"/>
      <c r="S8057" s="1"/>
      <c r="T8057" s="1"/>
      <c r="U8057" s="1"/>
      <c r="V8057" s="1"/>
      <c r="W8057" s="1"/>
      <c r="X8057" s="1"/>
      <c r="Y8057" s="1"/>
      <c r="AB8057" s="1"/>
      <c r="AC8057" s="1"/>
      <c r="AD8057" s="1"/>
      <c r="AE8057" s="1"/>
      <c r="AF8057" s="1"/>
      <c r="AG8057" s="1"/>
      <c r="AH8057" s="1"/>
      <c r="AI8057" s="1"/>
      <c r="AJ8057" s="1"/>
      <c r="AK8057" s="1"/>
      <c r="AL8057" s="1"/>
      <c r="AM8057" s="1"/>
    </row>
    <row r="8058" spans="16:39" x14ac:dyDescent="0.25">
      <c r="P8058" s="49"/>
      <c r="Q8058" s="1"/>
      <c r="S8058" s="1"/>
      <c r="T8058" s="1"/>
      <c r="U8058" s="1"/>
      <c r="V8058" s="1"/>
      <c r="W8058" s="1"/>
      <c r="X8058" s="1"/>
      <c r="Y8058" s="1"/>
      <c r="AB8058" s="1"/>
      <c r="AC8058" s="1"/>
      <c r="AD8058" s="1"/>
      <c r="AE8058" s="1"/>
      <c r="AF8058" s="1"/>
      <c r="AG8058" s="1"/>
      <c r="AH8058" s="1"/>
      <c r="AI8058" s="1"/>
      <c r="AJ8058" s="1"/>
      <c r="AK8058" s="1"/>
      <c r="AL8058" s="1"/>
      <c r="AM8058" s="1"/>
    </row>
    <row r="8059" spans="16:39" x14ac:dyDescent="0.25">
      <c r="P8059" s="49"/>
      <c r="Q8059" s="1"/>
      <c r="S8059" s="1"/>
      <c r="T8059" s="1"/>
      <c r="U8059" s="1"/>
      <c r="V8059" s="1"/>
      <c r="W8059" s="1"/>
      <c r="X8059" s="1"/>
      <c r="Y8059" s="1"/>
      <c r="AB8059" s="1"/>
      <c r="AC8059" s="1"/>
      <c r="AD8059" s="1"/>
      <c r="AE8059" s="1"/>
      <c r="AF8059" s="1"/>
      <c r="AG8059" s="1"/>
      <c r="AH8059" s="1"/>
      <c r="AI8059" s="1"/>
      <c r="AJ8059" s="1"/>
      <c r="AK8059" s="1"/>
      <c r="AL8059" s="1"/>
      <c r="AM8059" s="1"/>
    </row>
    <row r="8060" spans="16:39" x14ac:dyDescent="0.25">
      <c r="P8060" s="49"/>
      <c r="Q8060" s="1"/>
      <c r="S8060" s="1"/>
      <c r="T8060" s="1"/>
      <c r="U8060" s="1"/>
      <c r="V8060" s="1"/>
      <c r="W8060" s="1"/>
      <c r="X8060" s="1"/>
      <c r="Y8060" s="1"/>
      <c r="AB8060" s="1"/>
      <c r="AC8060" s="1"/>
      <c r="AD8060" s="1"/>
      <c r="AE8060" s="1"/>
      <c r="AF8060" s="1"/>
      <c r="AG8060" s="1"/>
      <c r="AH8060" s="1"/>
      <c r="AI8060" s="1"/>
      <c r="AJ8060" s="1"/>
      <c r="AK8060" s="1"/>
      <c r="AL8060" s="1"/>
      <c r="AM8060" s="1"/>
    </row>
    <row r="8061" spans="16:39" x14ac:dyDescent="0.25">
      <c r="P8061" s="49"/>
      <c r="Q8061" s="1"/>
      <c r="S8061" s="1"/>
      <c r="T8061" s="1"/>
      <c r="U8061" s="1"/>
      <c r="V8061" s="1"/>
      <c r="W8061" s="1"/>
      <c r="X8061" s="1"/>
      <c r="Y8061" s="1"/>
      <c r="AB8061" s="1"/>
      <c r="AC8061" s="1"/>
      <c r="AD8061" s="1"/>
      <c r="AE8061" s="1"/>
      <c r="AF8061" s="1"/>
      <c r="AG8061" s="1"/>
      <c r="AH8061" s="1"/>
      <c r="AI8061" s="1"/>
      <c r="AJ8061" s="1"/>
      <c r="AK8061" s="1"/>
      <c r="AL8061" s="1"/>
      <c r="AM8061" s="1"/>
    </row>
    <row r="8062" spans="16:39" x14ac:dyDescent="0.25">
      <c r="P8062" s="49"/>
      <c r="Q8062" s="1"/>
      <c r="S8062" s="1"/>
      <c r="T8062" s="1"/>
      <c r="U8062" s="1"/>
      <c r="V8062" s="1"/>
      <c r="W8062" s="1"/>
      <c r="X8062" s="1"/>
      <c r="Y8062" s="1"/>
      <c r="AB8062" s="1"/>
      <c r="AC8062" s="1"/>
      <c r="AD8062" s="1"/>
      <c r="AE8062" s="1"/>
      <c r="AF8062" s="1"/>
      <c r="AG8062" s="1"/>
      <c r="AH8062" s="1"/>
      <c r="AI8062" s="1"/>
      <c r="AJ8062" s="1"/>
      <c r="AK8062" s="1"/>
      <c r="AL8062" s="1"/>
      <c r="AM8062" s="1"/>
    </row>
    <row r="8063" spans="16:39" x14ac:dyDescent="0.25">
      <c r="P8063" s="49"/>
      <c r="Q8063" s="1"/>
      <c r="S8063" s="1"/>
      <c r="T8063" s="1"/>
      <c r="U8063" s="1"/>
      <c r="V8063" s="1"/>
      <c r="W8063" s="1"/>
      <c r="X8063" s="1"/>
      <c r="Y8063" s="1"/>
      <c r="AB8063" s="1"/>
      <c r="AC8063" s="1"/>
      <c r="AD8063" s="1"/>
      <c r="AE8063" s="1"/>
      <c r="AF8063" s="1"/>
      <c r="AG8063" s="1"/>
      <c r="AH8063" s="1"/>
      <c r="AI8063" s="1"/>
      <c r="AJ8063" s="1"/>
      <c r="AK8063" s="1"/>
      <c r="AL8063" s="1"/>
      <c r="AM8063" s="1"/>
    </row>
    <row r="8064" spans="16:39" x14ac:dyDescent="0.25">
      <c r="P8064" s="49"/>
      <c r="Q8064" s="1"/>
      <c r="S8064" s="1"/>
      <c r="T8064" s="1"/>
      <c r="U8064" s="1"/>
      <c r="V8064" s="1"/>
      <c r="W8064" s="1"/>
      <c r="X8064" s="1"/>
      <c r="Y8064" s="1"/>
      <c r="AB8064" s="1"/>
      <c r="AC8064" s="1"/>
      <c r="AD8064" s="1"/>
      <c r="AE8064" s="1"/>
      <c r="AF8064" s="1"/>
      <c r="AG8064" s="1"/>
      <c r="AH8064" s="1"/>
      <c r="AI8064" s="1"/>
      <c r="AJ8064" s="1"/>
      <c r="AK8064" s="1"/>
      <c r="AL8064" s="1"/>
      <c r="AM8064" s="1"/>
    </row>
    <row r="8065" spans="16:39" x14ac:dyDescent="0.25">
      <c r="P8065" s="49"/>
      <c r="Q8065" s="1"/>
      <c r="S8065" s="1"/>
      <c r="T8065" s="1"/>
      <c r="U8065" s="1"/>
      <c r="V8065" s="1"/>
      <c r="W8065" s="1"/>
      <c r="X8065" s="1"/>
      <c r="Y8065" s="1"/>
      <c r="AB8065" s="1"/>
      <c r="AC8065" s="1"/>
      <c r="AD8065" s="1"/>
      <c r="AE8065" s="1"/>
      <c r="AF8065" s="1"/>
      <c r="AG8065" s="1"/>
      <c r="AH8065" s="1"/>
      <c r="AI8065" s="1"/>
      <c r="AJ8065" s="1"/>
      <c r="AK8065" s="1"/>
      <c r="AL8065" s="1"/>
      <c r="AM8065" s="1"/>
    </row>
    <row r="8066" spans="16:39" x14ac:dyDescent="0.25">
      <c r="P8066" s="49"/>
      <c r="Q8066" s="1"/>
      <c r="S8066" s="1"/>
      <c r="T8066" s="1"/>
      <c r="U8066" s="1"/>
      <c r="V8066" s="1"/>
      <c r="W8066" s="1"/>
      <c r="X8066" s="1"/>
      <c r="Y8066" s="1"/>
      <c r="AB8066" s="1"/>
      <c r="AC8066" s="1"/>
      <c r="AD8066" s="1"/>
      <c r="AE8066" s="1"/>
      <c r="AF8066" s="1"/>
      <c r="AG8066" s="1"/>
      <c r="AH8066" s="1"/>
      <c r="AI8066" s="1"/>
      <c r="AJ8066" s="1"/>
      <c r="AK8066" s="1"/>
      <c r="AL8066" s="1"/>
      <c r="AM8066" s="1"/>
    </row>
    <row r="8067" spans="16:39" x14ac:dyDescent="0.25">
      <c r="P8067" s="49"/>
      <c r="Q8067" s="1"/>
      <c r="S8067" s="1"/>
      <c r="T8067" s="1"/>
      <c r="U8067" s="1"/>
      <c r="V8067" s="1"/>
      <c r="W8067" s="1"/>
      <c r="X8067" s="1"/>
      <c r="Y8067" s="1"/>
      <c r="AB8067" s="1"/>
      <c r="AC8067" s="1"/>
      <c r="AD8067" s="1"/>
      <c r="AE8067" s="1"/>
      <c r="AF8067" s="1"/>
      <c r="AG8067" s="1"/>
      <c r="AH8067" s="1"/>
      <c r="AI8067" s="1"/>
      <c r="AJ8067" s="1"/>
      <c r="AK8067" s="1"/>
      <c r="AL8067" s="1"/>
      <c r="AM8067" s="1"/>
    </row>
    <row r="8068" spans="16:39" x14ac:dyDescent="0.25">
      <c r="P8068" s="49"/>
      <c r="Q8068" s="1"/>
      <c r="S8068" s="1"/>
      <c r="T8068" s="1"/>
      <c r="U8068" s="1"/>
      <c r="V8068" s="1"/>
      <c r="W8068" s="1"/>
      <c r="X8068" s="1"/>
      <c r="Y8068" s="1"/>
      <c r="AB8068" s="1"/>
      <c r="AC8068" s="1"/>
      <c r="AD8068" s="1"/>
      <c r="AE8068" s="1"/>
      <c r="AF8068" s="1"/>
      <c r="AG8068" s="1"/>
      <c r="AH8068" s="1"/>
      <c r="AI8068" s="1"/>
      <c r="AJ8068" s="1"/>
      <c r="AK8068" s="1"/>
      <c r="AL8068" s="1"/>
      <c r="AM8068" s="1"/>
    </row>
    <row r="8069" spans="16:39" x14ac:dyDescent="0.25">
      <c r="P8069" s="49"/>
      <c r="Q8069" s="1"/>
      <c r="S8069" s="1"/>
      <c r="T8069" s="1"/>
      <c r="U8069" s="1"/>
      <c r="V8069" s="1"/>
      <c r="W8069" s="1"/>
      <c r="X8069" s="1"/>
      <c r="Y8069" s="1"/>
      <c r="AB8069" s="1"/>
      <c r="AC8069" s="1"/>
      <c r="AD8069" s="1"/>
      <c r="AE8069" s="1"/>
      <c r="AF8069" s="1"/>
      <c r="AG8069" s="1"/>
      <c r="AH8069" s="1"/>
      <c r="AI8069" s="1"/>
      <c r="AJ8069" s="1"/>
      <c r="AK8069" s="1"/>
      <c r="AL8069" s="1"/>
      <c r="AM8069" s="1"/>
    </row>
    <row r="8070" spans="16:39" x14ac:dyDescent="0.25">
      <c r="P8070" s="49"/>
      <c r="Q8070" s="1"/>
      <c r="S8070" s="1"/>
      <c r="T8070" s="1"/>
      <c r="U8070" s="1"/>
      <c r="V8070" s="1"/>
      <c r="W8070" s="1"/>
      <c r="X8070" s="1"/>
      <c r="Y8070" s="1"/>
      <c r="AB8070" s="1"/>
      <c r="AC8070" s="1"/>
      <c r="AD8070" s="1"/>
      <c r="AE8070" s="1"/>
      <c r="AF8070" s="1"/>
      <c r="AG8070" s="1"/>
      <c r="AH8070" s="1"/>
      <c r="AI8070" s="1"/>
      <c r="AJ8070" s="1"/>
      <c r="AK8070" s="1"/>
      <c r="AL8070" s="1"/>
      <c r="AM8070" s="1"/>
    </row>
    <row r="8071" spans="16:39" x14ac:dyDescent="0.25">
      <c r="P8071" s="49"/>
      <c r="Q8071" s="1"/>
      <c r="S8071" s="1"/>
      <c r="T8071" s="1"/>
      <c r="U8071" s="1"/>
      <c r="V8071" s="1"/>
      <c r="W8071" s="1"/>
      <c r="X8071" s="1"/>
      <c r="Y8071" s="1"/>
      <c r="AB8071" s="1"/>
      <c r="AC8071" s="1"/>
      <c r="AD8071" s="1"/>
      <c r="AE8071" s="1"/>
      <c r="AF8071" s="1"/>
      <c r="AG8071" s="1"/>
      <c r="AH8071" s="1"/>
      <c r="AI8071" s="1"/>
      <c r="AJ8071" s="1"/>
      <c r="AK8071" s="1"/>
      <c r="AL8071" s="1"/>
      <c r="AM8071" s="1"/>
    </row>
    <row r="8072" spans="16:39" x14ac:dyDescent="0.25">
      <c r="P8072" s="49"/>
      <c r="Q8072" s="1"/>
      <c r="S8072" s="1"/>
      <c r="T8072" s="1"/>
      <c r="U8072" s="1"/>
      <c r="V8072" s="1"/>
      <c r="W8072" s="1"/>
      <c r="X8072" s="1"/>
      <c r="Y8072" s="1"/>
      <c r="AB8072" s="1"/>
      <c r="AC8072" s="1"/>
      <c r="AD8072" s="1"/>
      <c r="AE8072" s="1"/>
      <c r="AF8072" s="1"/>
      <c r="AG8072" s="1"/>
      <c r="AH8072" s="1"/>
      <c r="AI8072" s="1"/>
      <c r="AJ8072" s="1"/>
      <c r="AK8072" s="1"/>
      <c r="AL8072" s="1"/>
      <c r="AM8072" s="1"/>
    </row>
    <row r="8073" spans="16:39" x14ac:dyDescent="0.25">
      <c r="P8073" s="49"/>
      <c r="Q8073" s="1"/>
      <c r="S8073" s="1"/>
      <c r="T8073" s="1"/>
      <c r="U8073" s="1"/>
      <c r="V8073" s="1"/>
      <c r="W8073" s="1"/>
      <c r="X8073" s="1"/>
      <c r="Y8073" s="1"/>
      <c r="AB8073" s="1"/>
      <c r="AC8073" s="1"/>
      <c r="AD8073" s="1"/>
      <c r="AE8073" s="1"/>
      <c r="AF8073" s="1"/>
      <c r="AG8073" s="1"/>
      <c r="AH8073" s="1"/>
      <c r="AI8073" s="1"/>
      <c r="AJ8073" s="1"/>
      <c r="AK8073" s="1"/>
      <c r="AL8073" s="1"/>
      <c r="AM8073" s="1"/>
    </row>
    <row r="8074" spans="16:39" x14ac:dyDescent="0.25">
      <c r="P8074" s="49"/>
      <c r="Q8074" s="1"/>
      <c r="S8074" s="1"/>
      <c r="T8074" s="1"/>
      <c r="U8074" s="1"/>
      <c r="V8074" s="1"/>
      <c r="W8074" s="1"/>
      <c r="X8074" s="1"/>
      <c r="Y8074" s="1"/>
      <c r="AB8074" s="1"/>
      <c r="AC8074" s="1"/>
      <c r="AD8074" s="1"/>
      <c r="AE8074" s="1"/>
      <c r="AF8074" s="1"/>
      <c r="AG8074" s="1"/>
      <c r="AH8074" s="1"/>
      <c r="AI8074" s="1"/>
      <c r="AJ8074" s="1"/>
      <c r="AK8074" s="1"/>
      <c r="AL8074" s="1"/>
      <c r="AM8074" s="1"/>
    </row>
    <row r="8075" spans="16:39" x14ac:dyDescent="0.25">
      <c r="P8075" s="49"/>
      <c r="Q8075" s="1"/>
      <c r="S8075" s="1"/>
      <c r="T8075" s="1"/>
      <c r="U8075" s="1"/>
      <c r="V8075" s="1"/>
      <c r="W8075" s="1"/>
      <c r="X8075" s="1"/>
      <c r="Y8075" s="1"/>
      <c r="AB8075" s="1"/>
      <c r="AC8075" s="1"/>
      <c r="AD8075" s="1"/>
      <c r="AE8075" s="1"/>
      <c r="AF8075" s="1"/>
      <c r="AG8075" s="1"/>
      <c r="AH8075" s="1"/>
      <c r="AI8075" s="1"/>
      <c r="AJ8075" s="1"/>
      <c r="AK8075" s="1"/>
      <c r="AL8075" s="1"/>
      <c r="AM8075" s="1"/>
    </row>
    <row r="8076" spans="16:39" x14ac:dyDescent="0.25">
      <c r="P8076" s="49"/>
      <c r="Q8076" s="1"/>
      <c r="S8076" s="1"/>
      <c r="T8076" s="1"/>
      <c r="U8076" s="1"/>
      <c r="V8076" s="1"/>
      <c r="W8076" s="1"/>
      <c r="X8076" s="1"/>
      <c r="Y8076" s="1"/>
      <c r="AB8076" s="1"/>
      <c r="AC8076" s="1"/>
      <c r="AD8076" s="1"/>
      <c r="AE8076" s="1"/>
      <c r="AF8076" s="1"/>
      <c r="AG8076" s="1"/>
      <c r="AH8076" s="1"/>
      <c r="AI8076" s="1"/>
      <c r="AJ8076" s="1"/>
      <c r="AK8076" s="1"/>
      <c r="AL8076" s="1"/>
      <c r="AM8076" s="1"/>
    </row>
    <row r="8077" spans="16:39" x14ac:dyDescent="0.25">
      <c r="P8077" s="49"/>
      <c r="Q8077" s="1"/>
      <c r="S8077" s="1"/>
      <c r="T8077" s="1"/>
      <c r="U8077" s="1"/>
      <c r="V8077" s="1"/>
      <c r="W8077" s="1"/>
      <c r="X8077" s="1"/>
      <c r="Y8077" s="1"/>
      <c r="AB8077" s="1"/>
      <c r="AC8077" s="1"/>
      <c r="AD8077" s="1"/>
      <c r="AE8077" s="1"/>
      <c r="AF8077" s="1"/>
      <c r="AG8077" s="1"/>
      <c r="AH8077" s="1"/>
      <c r="AI8077" s="1"/>
      <c r="AJ8077" s="1"/>
      <c r="AK8077" s="1"/>
      <c r="AL8077" s="1"/>
      <c r="AM8077" s="1"/>
    </row>
    <row r="8078" spans="16:39" x14ac:dyDescent="0.25">
      <c r="P8078" s="49"/>
      <c r="Q8078" s="1"/>
      <c r="S8078" s="1"/>
      <c r="T8078" s="1"/>
      <c r="U8078" s="1"/>
      <c r="V8078" s="1"/>
      <c r="W8078" s="1"/>
      <c r="X8078" s="1"/>
      <c r="Y8078" s="1"/>
      <c r="AB8078" s="1"/>
      <c r="AC8078" s="1"/>
      <c r="AD8078" s="1"/>
      <c r="AE8078" s="1"/>
      <c r="AF8078" s="1"/>
      <c r="AG8078" s="1"/>
      <c r="AH8078" s="1"/>
      <c r="AI8078" s="1"/>
      <c r="AJ8078" s="1"/>
      <c r="AK8078" s="1"/>
      <c r="AL8078" s="1"/>
      <c r="AM8078" s="1"/>
    </row>
    <row r="8079" spans="16:39" x14ac:dyDescent="0.25">
      <c r="P8079" s="49"/>
      <c r="Q8079" s="1"/>
      <c r="S8079" s="1"/>
      <c r="T8079" s="1"/>
      <c r="U8079" s="1"/>
      <c r="V8079" s="1"/>
      <c r="W8079" s="1"/>
      <c r="X8079" s="1"/>
      <c r="Y8079" s="1"/>
      <c r="AB8079" s="1"/>
      <c r="AC8079" s="1"/>
      <c r="AD8079" s="1"/>
      <c r="AE8079" s="1"/>
      <c r="AF8079" s="1"/>
      <c r="AG8079" s="1"/>
      <c r="AH8079" s="1"/>
      <c r="AI8079" s="1"/>
      <c r="AJ8079" s="1"/>
      <c r="AK8079" s="1"/>
      <c r="AL8079" s="1"/>
      <c r="AM8079" s="1"/>
    </row>
    <row r="8080" spans="16:39" x14ac:dyDescent="0.25">
      <c r="P8080" s="49"/>
      <c r="Q8080" s="1"/>
      <c r="S8080" s="1"/>
      <c r="T8080" s="1"/>
      <c r="U8080" s="1"/>
      <c r="V8080" s="1"/>
      <c r="W8080" s="1"/>
      <c r="X8080" s="1"/>
      <c r="Y8080" s="1"/>
      <c r="AB8080" s="1"/>
      <c r="AC8080" s="1"/>
      <c r="AD8080" s="1"/>
      <c r="AE8080" s="1"/>
      <c r="AF8080" s="1"/>
      <c r="AG8080" s="1"/>
      <c r="AH8080" s="1"/>
      <c r="AI8080" s="1"/>
      <c r="AJ8080" s="1"/>
      <c r="AK8080" s="1"/>
      <c r="AL8080" s="1"/>
      <c r="AM8080" s="1"/>
    </row>
    <row r="8081" spans="16:39" x14ac:dyDescent="0.25">
      <c r="P8081" s="49"/>
      <c r="Q8081" s="1"/>
      <c r="S8081" s="1"/>
      <c r="T8081" s="1"/>
      <c r="U8081" s="1"/>
      <c r="V8081" s="1"/>
      <c r="W8081" s="1"/>
      <c r="X8081" s="1"/>
      <c r="Y8081" s="1"/>
      <c r="AB8081" s="1"/>
      <c r="AC8081" s="1"/>
      <c r="AD8081" s="1"/>
      <c r="AE8081" s="1"/>
      <c r="AF8081" s="1"/>
      <c r="AG8081" s="1"/>
      <c r="AH8081" s="1"/>
      <c r="AI8081" s="1"/>
      <c r="AJ8081" s="1"/>
      <c r="AK8081" s="1"/>
      <c r="AL8081" s="1"/>
      <c r="AM8081" s="1"/>
    </row>
    <row r="8082" spans="16:39" x14ac:dyDescent="0.25">
      <c r="P8082" s="49"/>
      <c r="Q8082" s="1"/>
      <c r="S8082" s="1"/>
      <c r="T8082" s="1"/>
      <c r="U8082" s="1"/>
      <c r="V8082" s="1"/>
      <c r="W8082" s="1"/>
      <c r="X8082" s="1"/>
      <c r="Y8082" s="1"/>
      <c r="AB8082" s="1"/>
      <c r="AC8082" s="1"/>
      <c r="AD8082" s="1"/>
      <c r="AE8082" s="1"/>
      <c r="AF8082" s="1"/>
      <c r="AG8082" s="1"/>
      <c r="AH8082" s="1"/>
      <c r="AI8082" s="1"/>
      <c r="AJ8082" s="1"/>
      <c r="AK8082" s="1"/>
      <c r="AL8082" s="1"/>
      <c r="AM8082" s="1"/>
    </row>
    <row r="8083" spans="16:39" x14ac:dyDescent="0.25">
      <c r="P8083" s="49"/>
      <c r="Q8083" s="1"/>
      <c r="S8083" s="1"/>
      <c r="T8083" s="1"/>
      <c r="U8083" s="1"/>
      <c r="V8083" s="1"/>
      <c r="W8083" s="1"/>
      <c r="X8083" s="1"/>
      <c r="Y8083" s="1"/>
      <c r="AB8083" s="1"/>
      <c r="AC8083" s="1"/>
      <c r="AD8083" s="1"/>
      <c r="AE8083" s="1"/>
      <c r="AF8083" s="1"/>
      <c r="AG8083" s="1"/>
      <c r="AH8083" s="1"/>
      <c r="AI8083" s="1"/>
      <c r="AJ8083" s="1"/>
      <c r="AK8083" s="1"/>
      <c r="AL8083" s="1"/>
      <c r="AM8083" s="1"/>
    </row>
    <row r="8084" spans="16:39" x14ac:dyDescent="0.25">
      <c r="P8084" s="49"/>
      <c r="Q8084" s="1"/>
      <c r="S8084" s="1"/>
      <c r="T8084" s="1"/>
      <c r="U8084" s="1"/>
      <c r="V8084" s="1"/>
      <c r="W8084" s="1"/>
      <c r="X8084" s="1"/>
      <c r="Y8084" s="1"/>
      <c r="AB8084" s="1"/>
      <c r="AC8084" s="1"/>
      <c r="AD8084" s="1"/>
      <c r="AE8084" s="1"/>
      <c r="AF8084" s="1"/>
      <c r="AG8084" s="1"/>
      <c r="AH8084" s="1"/>
      <c r="AI8084" s="1"/>
      <c r="AJ8084" s="1"/>
      <c r="AK8084" s="1"/>
      <c r="AL8084" s="1"/>
      <c r="AM8084" s="1"/>
    </row>
    <row r="8085" spans="16:39" x14ac:dyDescent="0.25">
      <c r="P8085" s="49"/>
      <c r="Q8085" s="1"/>
      <c r="S8085" s="1"/>
      <c r="T8085" s="1"/>
      <c r="U8085" s="1"/>
      <c r="V8085" s="1"/>
      <c r="W8085" s="1"/>
      <c r="X8085" s="1"/>
      <c r="Y8085" s="1"/>
      <c r="AB8085" s="1"/>
      <c r="AC8085" s="1"/>
      <c r="AD8085" s="1"/>
      <c r="AE8085" s="1"/>
      <c r="AF8085" s="1"/>
      <c r="AG8085" s="1"/>
      <c r="AH8085" s="1"/>
      <c r="AI8085" s="1"/>
      <c r="AJ8085" s="1"/>
      <c r="AK8085" s="1"/>
      <c r="AL8085" s="1"/>
      <c r="AM8085" s="1"/>
    </row>
    <row r="8086" spans="16:39" x14ac:dyDescent="0.25">
      <c r="P8086" s="49"/>
      <c r="Q8086" s="1"/>
      <c r="S8086" s="1"/>
      <c r="T8086" s="1"/>
      <c r="U8086" s="1"/>
      <c r="V8086" s="1"/>
      <c r="W8086" s="1"/>
      <c r="X8086" s="1"/>
      <c r="Y8086" s="1"/>
      <c r="AB8086" s="1"/>
      <c r="AC8086" s="1"/>
      <c r="AD8086" s="1"/>
      <c r="AE8086" s="1"/>
      <c r="AF8086" s="1"/>
      <c r="AG8086" s="1"/>
      <c r="AH8086" s="1"/>
      <c r="AI8086" s="1"/>
      <c r="AJ8086" s="1"/>
      <c r="AK8086" s="1"/>
      <c r="AL8086" s="1"/>
      <c r="AM8086" s="1"/>
    </row>
    <row r="8087" spans="16:39" x14ac:dyDescent="0.25">
      <c r="P8087" s="49"/>
      <c r="Q8087" s="1"/>
      <c r="S8087" s="1"/>
      <c r="T8087" s="1"/>
      <c r="U8087" s="1"/>
      <c r="V8087" s="1"/>
      <c r="W8087" s="1"/>
      <c r="X8087" s="1"/>
      <c r="Y8087" s="1"/>
      <c r="AB8087" s="1"/>
      <c r="AC8087" s="1"/>
      <c r="AD8087" s="1"/>
      <c r="AE8087" s="1"/>
      <c r="AF8087" s="1"/>
      <c r="AG8087" s="1"/>
      <c r="AH8087" s="1"/>
      <c r="AI8087" s="1"/>
      <c r="AJ8087" s="1"/>
      <c r="AK8087" s="1"/>
      <c r="AL8087" s="1"/>
      <c r="AM8087" s="1"/>
    </row>
    <row r="8088" spans="16:39" x14ac:dyDescent="0.25">
      <c r="P8088" s="49"/>
      <c r="Q8088" s="1"/>
      <c r="S8088" s="1"/>
      <c r="T8088" s="1"/>
      <c r="U8088" s="1"/>
      <c r="V8088" s="1"/>
      <c r="W8088" s="1"/>
      <c r="X8088" s="1"/>
      <c r="Y8088" s="1"/>
      <c r="AB8088" s="1"/>
      <c r="AC8088" s="1"/>
      <c r="AD8088" s="1"/>
      <c r="AE8088" s="1"/>
      <c r="AF8088" s="1"/>
      <c r="AG8088" s="1"/>
      <c r="AH8088" s="1"/>
      <c r="AI8088" s="1"/>
      <c r="AJ8088" s="1"/>
      <c r="AK8088" s="1"/>
      <c r="AL8088" s="1"/>
      <c r="AM8088" s="1"/>
    </row>
    <row r="8089" spans="16:39" x14ac:dyDescent="0.25">
      <c r="P8089" s="49"/>
      <c r="Q8089" s="1"/>
      <c r="S8089" s="1"/>
      <c r="T8089" s="1"/>
      <c r="U8089" s="1"/>
      <c r="V8089" s="1"/>
      <c r="W8089" s="1"/>
      <c r="X8089" s="1"/>
      <c r="Y8089" s="1"/>
      <c r="AB8089" s="1"/>
      <c r="AC8089" s="1"/>
      <c r="AD8089" s="1"/>
      <c r="AE8089" s="1"/>
      <c r="AF8089" s="1"/>
      <c r="AG8089" s="1"/>
      <c r="AH8089" s="1"/>
      <c r="AI8089" s="1"/>
      <c r="AJ8089" s="1"/>
      <c r="AK8089" s="1"/>
      <c r="AL8089" s="1"/>
      <c r="AM8089" s="1"/>
    </row>
    <row r="8090" spans="16:39" x14ac:dyDescent="0.25">
      <c r="P8090" s="49"/>
      <c r="Q8090" s="1"/>
      <c r="S8090" s="1"/>
      <c r="T8090" s="1"/>
      <c r="U8090" s="1"/>
      <c r="V8090" s="1"/>
      <c r="W8090" s="1"/>
      <c r="X8090" s="1"/>
      <c r="Y8090" s="1"/>
      <c r="AB8090" s="1"/>
      <c r="AC8090" s="1"/>
      <c r="AD8090" s="1"/>
      <c r="AE8090" s="1"/>
      <c r="AF8090" s="1"/>
      <c r="AG8090" s="1"/>
      <c r="AH8090" s="1"/>
      <c r="AI8090" s="1"/>
      <c r="AJ8090" s="1"/>
      <c r="AK8090" s="1"/>
      <c r="AL8090" s="1"/>
      <c r="AM8090" s="1"/>
    </row>
    <row r="8091" spans="16:39" x14ac:dyDescent="0.25">
      <c r="P8091" s="49"/>
      <c r="Q8091" s="1"/>
      <c r="S8091" s="1"/>
      <c r="T8091" s="1"/>
      <c r="U8091" s="1"/>
      <c r="V8091" s="1"/>
      <c r="W8091" s="1"/>
      <c r="X8091" s="1"/>
      <c r="Y8091" s="1"/>
      <c r="AB8091" s="1"/>
      <c r="AC8091" s="1"/>
      <c r="AD8091" s="1"/>
      <c r="AE8091" s="1"/>
      <c r="AF8091" s="1"/>
      <c r="AG8091" s="1"/>
      <c r="AH8091" s="1"/>
      <c r="AI8091" s="1"/>
      <c r="AJ8091" s="1"/>
      <c r="AK8091" s="1"/>
      <c r="AL8091" s="1"/>
      <c r="AM8091" s="1"/>
    </row>
    <row r="8092" spans="16:39" x14ac:dyDescent="0.25">
      <c r="P8092" s="49"/>
      <c r="Q8092" s="1"/>
      <c r="S8092" s="1"/>
      <c r="T8092" s="1"/>
      <c r="U8092" s="1"/>
      <c r="V8092" s="1"/>
      <c r="W8092" s="1"/>
      <c r="X8092" s="1"/>
      <c r="Y8092" s="1"/>
      <c r="AB8092" s="1"/>
      <c r="AC8092" s="1"/>
      <c r="AD8092" s="1"/>
      <c r="AE8092" s="1"/>
      <c r="AF8092" s="1"/>
      <c r="AG8092" s="1"/>
      <c r="AH8092" s="1"/>
      <c r="AI8092" s="1"/>
      <c r="AJ8092" s="1"/>
      <c r="AK8092" s="1"/>
      <c r="AL8092" s="1"/>
      <c r="AM8092" s="1"/>
    </row>
    <row r="8093" spans="16:39" x14ac:dyDescent="0.25">
      <c r="P8093" s="49"/>
      <c r="Q8093" s="1"/>
      <c r="S8093" s="1"/>
      <c r="T8093" s="1"/>
      <c r="U8093" s="1"/>
      <c r="V8093" s="1"/>
      <c r="W8093" s="1"/>
      <c r="X8093" s="1"/>
      <c r="Y8093" s="1"/>
      <c r="AB8093" s="1"/>
      <c r="AC8093" s="1"/>
      <c r="AD8093" s="1"/>
      <c r="AE8093" s="1"/>
      <c r="AF8093" s="1"/>
      <c r="AG8093" s="1"/>
      <c r="AH8093" s="1"/>
      <c r="AI8093" s="1"/>
      <c r="AJ8093" s="1"/>
      <c r="AK8093" s="1"/>
      <c r="AL8093" s="1"/>
      <c r="AM8093" s="1"/>
    </row>
    <row r="8094" spans="16:39" x14ac:dyDescent="0.25">
      <c r="P8094" s="49"/>
      <c r="Q8094" s="1"/>
      <c r="S8094" s="1"/>
      <c r="T8094" s="1"/>
      <c r="U8094" s="1"/>
      <c r="V8094" s="1"/>
      <c r="W8094" s="1"/>
      <c r="X8094" s="1"/>
      <c r="Y8094" s="1"/>
      <c r="AB8094" s="1"/>
      <c r="AC8094" s="1"/>
      <c r="AD8094" s="1"/>
      <c r="AE8094" s="1"/>
      <c r="AF8094" s="1"/>
      <c r="AG8094" s="1"/>
      <c r="AH8094" s="1"/>
      <c r="AI8094" s="1"/>
      <c r="AJ8094" s="1"/>
      <c r="AK8094" s="1"/>
      <c r="AL8094" s="1"/>
      <c r="AM8094" s="1"/>
    </row>
    <row r="8095" spans="16:39" x14ac:dyDescent="0.25">
      <c r="P8095" s="49"/>
      <c r="Q8095" s="1"/>
      <c r="S8095" s="1"/>
      <c r="T8095" s="1"/>
      <c r="U8095" s="1"/>
      <c r="V8095" s="1"/>
      <c r="W8095" s="1"/>
      <c r="X8095" s="1"/>
      <c r="Y8095" s="1"/>
      <c r="AB8095" s="1"/>
      <c r="AC8095" s="1"/>
      <c r="AD8095" s="1"/>
      <c r="AE8095" s="1"/>
      <c r="AF8095" s="1"/>
      <c r="AG8095" s="1"/>
      <c r="AH8095" s="1"/>
      <c r="AI8095" s="1"/>
      <c r="AJ8095" s="1"/>
      <c r="AK8095" s="1"/>
      <c r="AL8095" s="1"/>
      <c r="AM8095" s="1"/>
    </row>
    <row r="8096" spans="16:39" x14ac:dyDescent="0.25">
      <c r="P8096" s="49"/>
      <c r="Q8096" s="1"/>
      <c r="S8096" s="1"/>
      <c r="T8096" s="1"/>
      <c r="U8096" s="1"/>
      <c r="V8096" s="1"/>
      <c r="W8096" s="1"/>
      <c r="X8096" s="1"/>
      <c r="Y8096" s="1"/>
      <c r="AB8096" s="1"/>
      <c r="AC8096" s="1"/>
      <c r="AD8096" s="1"/>
      <c r="AE8096" s="1"/>
      <c r="AF8096" s="1"/>
      <c r="AG8096" s="1"/>
      <c r="AH8096" s="1"/>
      <c r="AI8096" s="1"/>
      <c r="AJ8096" s="1"/>
      <c r="AK8096" s="1"/>
      <c r="AL8096" s="1"/>
      <c r="AM8096" s="1"/>
    </row>
    <row r="8097" spans="16:39" x14ac:dyDescent="0.25">
      <c r="P8097" s="49"/>
      <c r="Q8097" s="1"/>
      <c r="S8097" s="1"/>
      <c r="T8097" s="1"/>
      <c r="U8097" s="1"/>
      <c r="V8097" s="1"/>
      <c r="W8097" s="1"/>
      <c r="X8097" s="1"/>
      <c r="Y8097" s="1"/>
      <c r="AB8097" s="1"/>
      <c r="AC8097" s="1"/>
      <c r="AD8097" s="1"/>
      <c r="AE8097" s="1"/>
      <c r="AF8097" s="1"/>
      <c r="AG8097" s="1"/>
      <c r="AH8097" s="1"/>
      <c r="AI8097" s="1"/>
      <c r="AJ8097" s="1"/>
      <c r="AK8097" s="1"/>
      <c r="AL8097" s="1"/>
      <c r="AM8097" s="1"/>
    </row>
    <row r="8098" spans="16:39" x14ac:dyDescent="0.25">
      <c r="P8098" s="49"/>
      <c r="Q8098" s="1"/>
      <c r="S8098" s="1"/>
      <c r="T8098" s="1"/>
      <c r="U8098" s="1"/>
      <c r="V8098" s="1"/>
      <c r="W8098" s="1"/>
      <c r="X8098" s="1"/>
      <c r="Y8098" s="1"/>
      <c r="AB8098" s="1"/>
      <c r="AC8098" s="1"/>
      <c r="AD8098" s="1"/>
      <c r="AE8098" s="1"/>
      <c r="AF8098" s="1"/>
      <c r="AG8098" s="1"/>
      <c r="AH8098" s="1"/>
      <c r="AI8098" s="1"/>
      <c r="AJ8098" s="1"/>
      <c r="AK8098" s="1"/>
      <c r="AL8098" s="1"/>
      <c r="AM8098" s="1"/>
    </row>
    <row r="8099" spans="16:39" x14ac:dyDescent="0.25">
      <c r="P8099" s="49"/>
      <c r="Q8099" s="1"/>
      <c r="S8099" s="1"/>
      <c r="T8099" s="1"/>
      <c r="U8099" s="1"/>
      <c r="V8099" s="1"/>
      <c r="W8099" s="1"/>
      <c r="X8099" s="1"/>
      <c r="Y8099" s="1"/>
      <c r="AB8099" s="1"/>
      <c r="AC8099" s="1"/>
      <c r="AD8099" s="1"/>
      <c r="AE8099" s="1"/>
      <c r="AF8099" s="1"/>
      <c r="AG8099" s="1"/>
      <c r="AH8099" s="1"/>
      <c r="AI8099" s="1"/>
      <c r="AJ8099" s="1"/>
      <c r="AK8099" s="1"/>
      <c r="AL8099" s="1"/>
      <c r="AM8099" s="1"/>
    </row>
    <row r="8100" spans="16:39" x14ac:dyDescent="0.25">
      <c r="P8100" s="49"/>
      <c r="Q8100" s="1"/>
      <c r="S8100" s="1"/>
      <c r="T8100" s="1"/>
      <c r="U8100" s="1"/>
      <c r="V8100" s="1"/>
      <c r="W8100" s="1"/>
      <c r="X8100" s="1"/>
      <c r="Y8100" s="1"/>
      <c r="AB8100" s="1"/>
      <c r="AC8100" s="1"/>
      <c r="AD8100" s="1"/>
      <c r="AE8100" s="1"/>
      <c r="AF8100" s="1"/>
      <c r="AG8100" s="1"/>
      <c r="AH8100" s="1"/>
      <c r="AI8100" s="1"/>
      <c r="AJ8100" s="1"/>
      <c r="AK8100" s="1"/>
      <c r="AL8100" s="1"/>
      <c r="AM8100" s="1"/>
    </row>
    <row r="8101" spans="16:39" x14ac:dyDescent="0.25">
      <c r="P8101" s="49"/>
      <c r="Q8101" s="1"/>
      <c r="S8101" s="1"/>
      <c r="T8101" s="1"/>
      <c r="U8101" s="1"/>
      <c r="V8101" s="1"/>
      <c r="W8101" s="1"/>
      <c r="X8101" s="1"/>
      <c r="Y8101" s="1"/>
      <c r="AB8101" s="1"/>
      <c r="AC8101" s="1"/>
      <c r="AD8101" s="1"/>
      <c r="AE8101" s="1"/>
      <c r="AF8101" s="1"/>
      <c r="AG8101" s="1"/>
      <c r="AH8101" s="1"/>
      <c r="AI8101" s="1"/>
      <c r="AJ8101" s="1"/>
      <c r="AK8101" s="1"/>
      <c r="AL8101" s="1"/>
      <c r="AM8101" s="1"/>
    </row>
    <row r="8102" spans="16:39" x14ac:dyDescent="0.25">
      <c r="P8102" s="49"/>
      <c r="Q8102" s="1"/>
      <c r="S8102" s="1"/>
      <c r="T8102" s="1"/>
      <c r="U8102" s="1"/>
      <c r="V8102" s="1"/>
      <c r="W8102" s="1"/>
      <c r="X8102" s="1"/>
      <c r="Y8102" s="1"/>
      <c r="AB8102" s="1"/>
      <c r="AC8102" s="1"/>
      <c r="AD8102" s="1"/>
      <c r="AE8102" s="1"/>
      <c r="AF8102" s="1"/>
      <c r="AG8102" s="1"/>
      <c r="AH8102" s="1"/>
      <c r="AI8102" s="1"/>
      <c r="AJ8102" s="1"/>
      <c r="AK8102" s="1"/>
      <c r="AL8102" s="1"/>
      <c r="AM8102" s="1"/>
    </row>
    <row r="8103" spans="16:39" x14ac:dyDescent="0.25">
      <c r="P8103" s="49"/>
      <c r="Q8103" s="1"/>
      <c r="S8103" s="1"/>
      <c r="T8103" s="1"/>
      <c r="U8103" s="1"/>
      <c r="V8103" s="1"/>
      <c r="W8103" s="1"/>
      <c r="X8103" s="1"/>
      <c r="Y8103" s="1"/>
      <c r="AB8103" s="1"/>
      <c r="AC8103" s="1"/>
      <c r="AD8103" s="1"/>
      <c r="AE8103" s="1"/>
      <c r="AF8103" s="1"/>
      <c r="AG8103" s="1"/>
      <c r="AH8103" s="1"/>
      <c r="AI8103" s="1"/>
      <c r="AJ8103" s="1"/>
      <c r="AK8103" s="1"/>
      <c r="AL8103" s="1"/>
      <c r="AM8103" s="1"/>
    </row>
    <row r="8104" spans="16:39" x14ac:dyDescent="0.25">
      <c r="P8104" s="49"/>
      <c r="Q8104" s="1"/>
      <c r="S8104" s="1"/>
      <c r="T8104" s="1"/>
      <c r="U8104" s="1"/>
      <c r="V8104" s="1"/>
      <c r="W8104" s="1"/>
      <c r="X8104" s="1"/>
      <c r="Y8104" s="1"/>
      <c r="AB8104" s="1"/>
      <c r="AC8104" s="1"/>
      <c r="AD8104" s="1"/>
      <c r="AE8104" s="1"/>
      <c r="AF8104" s="1"/>
      <c r="AG8104" s="1"/>
      <c r="AH8104" s="1"/>
      <c r="AI8104" s="1"/>
      <c r="AJ8104" s="1"/>
      <c r="AK8104" s="1"/>
      <c r="AL8104" s="1"/>
      <c r="AM8104" s="1"/>
    </row>
    <row r="8105" spans="16:39" x14ac:dyDescent="0.25">
      <c r="P8105" s="49"/>
      <c r="Q8105" s="1"/>
      <c r="S8105" s="1"/>
      <c r="T8105" s="1"/>
      <c r="U8105" s="1"/>
      <c r="V8105" s="1"/>
      <c r="W8105" s="1"/>
      <c r="X8105" s="1"/>
      <c r="Y8105" s="1"/>
      <c r="AB8105" s="1"/>
      <c r="AC8105" s="1"/>
      <c r="AD8105" s="1"/>
      <c r="AE8105" s="1"/>
      <c r="AF8105" s="1"/>
      <c r="AG8105" s="1"/>
      <c r="AH8105" s="1"/>
      <c r="AI8105" s="1"/>
      <c r="AJ8105" s="1"/>
      <c r="AK8105" s="1"/>
      <c r="AL8105" s="1"/>
      <c r="AM8105" s="1"/>
    </row>
    <row r="8106" spans="16:39" x14ac:dyDescent="0.25">
      <c r="P8106" s="49"/>
      <c r="Q8106" s="1"/>
      <c r="S8106" s="1"/>
      <c r="T8106" s="1"/>
      <c r="U8106" s="1"/>
      <c r="V8106" s="1"/>
      <c r="W8106" s="1"/>
      <c r="X8106" s="1"/>
      <c r="Y8106" s="1"/>
      <c r="AB8106" s="1"/>
      <c r="AC8106" s="1"/>
      <c r="AD8106" s="1"/>
      <c r="AE8106" s="1"/>
      <c r="AF8106" s="1"/>
      <c r="AG8106" s="1"/>
      <c r="AH8106" s="1"/>
      <c r="AI8106" s="1"/>
      <c r="AJ8106" s="1"/>
      <c r="AK8106" s="1"/>
      <c r="AL8106" s="1"/>
      <c r="AM8106" s="1"/>
    </row>
    <row r="8107" spans="16:39" x14ac:dyDescent="0.25">
      <c r="P8107" s="49"/>
      <c r="Q8107" s="1"/>
      <c r="S8107" s="1"/>
      <c r="T8107" s="1"/>
      <c r="U8107" s="1"/>
      <c r="V8107" s="1"/>
      <c r="W8107" s="1"/>
      <c r="X8107" s="1"/>
      <c r="Y8107" s="1"/>
      <c r="AB8107" s="1"/>
      <c r="AC8107" s="1"/>
      <c r="AD8107" s="1"/>
      <c r="AE8107" s="1"/>
      <c r="AF8107" s="1"/>
      <c r="AG8107" s="1"/>
      <c r="AH8107" s="1"/>
      <c r="AI8107" s="1"/>
      <c r="AJ8107" s="1"/>
      <c r="AK8107" s="1"/>
      <c r="AL8107" s="1"/>
      <c r="AM8107" s="1"/>
    </row>
    <row r="8108" spans="16:39" x14ac:dyDescent="0.25">
      <c r="P8108" s="49"/>
      <c r="Q8108" s="1"/>
      <c r="S8108" s="1"/>
      <c r="T8108" s="1"/>
      <c r="U8108" s="1"/>
      <c r="V8108" s="1"/>
      <c r="W8108" s="1"/>
      <c r="X8108" s="1"/>
      <c r="Y8108" s="1"/>
      <c r="AB8108" s="1"/>
      <c r="AC8108" s="1"/>
      <c r="AD8108" s="1"/>
      <c r="AE8108" s="1"/>
      <c r="AF8108" s="1"/>
      <c r="AG8108" s="1"/>
      <c r="AH8108" s="1"/>
      <c r="AI8108" s="1"/>
      <c r="AJ8108" s="1"/>
      <c r="AK8108" s="1"/>
      <c r="AL8108" s="1"/>
      <c r="AM8108" s="1"/>
    </row>
    <row r="8109" spans="16:39" x14ac:dyDescent="0.25">
      <c r="P8109" s="49"/>
      <c r="Q8109" s="1"/>
      <c r="S8109" s="1"/>
      <c r="T8109" s="1"/>
      <c r="U8109" s="1"/>
      <c r="V8109" s="1"/>
      <c r="W8109" s="1"/>
      <c r="X8109" s="1"/>
      <c r="Y8109" s="1"/>
      <c r="AB8109" s="1"/>
      <c r="AC8109" s="1"/>
      <c r="AD8109" s="1"/>
      <c r="AE8109" s="1"/>
      <c r="AF8109" s="1"/>
      <c r="AG8109" s="1"/>
      <c r="AH8109" s="1"/>
      <c r="AI8109" s="1"/>
      <c r="AJ8109" s="1"/>
      <c r="AK8109" s="1"/>
      <c r="AL8109" s="1"/>
      <c r="AM8109" s="1"/>
    </row>
    <row r="8110" spans="16:39" x14ac:dyDescent="0.25">
      <c r="P8110" s="49"/>
      <c r="Q8110" s="1"/>
      <c r="S8110" s="1"/>
      <c r="T8110" s="1"/>
      <c r="U8110" s="1"/>
      <c r="V8110" s="1"/>
      <c r="W8110" s="1"/>
      <c r="X8110" s="1"/>
      <c r="Y8110" s="1"/>
      <c r="AB8110" s="1"/>
      <c r="AC8110" s="1"/>
      <c r="AD8110" s="1"/>
      <c r="AE8110" s="1"/>
      <c r="AF8110" s="1"/>
      <c r="AG8110" s="1"/>
      <c r="AH8110" s="1"/>
      <c r="AI8110" s="1"/>
      <c r="AJ8110" s="1"/>
      <c r="AK8110" s="1"/>
      <c r="AL8110" s="1"/>
      <c r="AM8110" s="1"/>
    </row>
    <row r="8111" spans="16:39" x14ac:dyDescent="0.25">
      <c r="P8111" s="49"/>
      <c r="Q8111" s="1"/>
      <c r="S8111" s="1"/>
      <c r="T8111" s="1"/>
      <c r="U8111" s="1"/>
      <c r="V8111" s="1"/>
      <c r="W8111" s="1"/>
      <c r="X8111" s="1"/>
      <c r="Y8111" s="1"/>
      <c r="AB8111" s="1"/>
      <c r="AC8111" s="1"/>
      <c r="AD8111" s="1"/>
      <c r="AE8111" s="1"/>
      <c r="AF8111" s="1"/>
      <c r="AG8111" s="1"/>
      <c r="AH8111" s="1"/>
      <c r="AI8111" s="1"/>
      <c r="AJ8111" s="1"/>
      <c r="AK8111" s="1"/>
      <c r="AL8111" s="1"/>
      <c r="AM8111" s="1"/>
    </row>
    <row r="8112" spans="16:39" x14ac:dyDescent="0.25">
      <c r="P8112" s="49"/>
      <c r="Q8112" s="1"/>
      <c r="S8112" s="1"/>
      <c r="T8112" s="1"/>
      <c r="U8112" s="1"/>
      <c r="V8112" s="1"/>
      <c r="W8112" s="1"/>
      <c r="X8112" s="1"/>
      <c r="Y8112" s="1"/>
      <c r="AB8112" s="1"/>
      <c r="AC8112" s="1"/>
      <c r="AD8112" s="1"/>
      <c r="AE8112" s="1"/>
      <c r="AF8112" s="1"/>
      <c r="AG8112" s="1"/>
      <c r="AH8112" s="1"/>
      <c r="AI8112" s="1"/>
      <c r="AJ8112" s="1"/>
      <c r="AK8112" s="1"/>
      <c r="AL8112" s="1"/>
      <c r="AM8112" s="1"/>
    </row>
    <row r="8113" spans="16:39" x14ac:dyDescent="0.25">
      <c r="P8113" s="49"/>
      <c r="Q8113" s="1"/>
      <c r="S8113" s="1"/>
      <c r="T8113" s="1"/>
      <c r="U8113" s="1"/>
      <c r="V8113" s="1"/>
      <c r="W8113" s="1"/>
      <c r="X8113" s="1"/>
      <c r="Y8113" s="1"/>
      <c r="AB8113" s="1"/>
      <c r="AC8113" s="1"/>
      <c r="AD8113" s="1"/>
      <c r="AE8113" s="1"/>
      <c r="AF8113" s="1"/>
      <c r="AG8113" s="1"/>
      <c r="AH8113" s="1"/>
      <c r="AI8113" s="1"/>
      <c r="AJ8113" s="1"/>
      <c r="AK8113" s="1"/>
      <c r="AL8113" s="1"/>
      <c r="AM8113" s="1"/>
    </row>
    <row r="8114" spans="16:39" x14ac:dyDescent="0.25">
      <c r="P8114" s="49"/>
      <c r="Q8114" s="1"/>
      <c r="S8114" s="1"/>
      <c r="T8114" s="1"/>
      <c r="U8114" s="1"/>
      <c r="V8114" s="1"/>
      <c r="W8114" s="1"/>
      <c r="X8114" s="1"/>
      <c r="Y8114" s="1"/>
      <c r="AB8114" s="1"/>
      <c r="AC8114" s="1"/>
      <c r="AD8114" s="1"/>
      <c r="AE8114" s="1"/>
      <c r="AF8114" s="1"/>
      <c r="AG8114" s="1"/>
      <c r="AH8114" s="1"/>
      <c r="AI8114" s="1"/>
      <c r="AJ8114" s="1"/>
      <c r="AK8114" s="1"/>
      <c r="AL8114" s="1"/>
      <c r="AM8114" s="1"/>
    </row>
    <row r="8115" spans="16:39" x14ac:dyDescent="0.25">
      <c r="P8115" s="49"/>
      <c r="Q8115" s="1"/>
      <c r="S8115" s="1"/>
      <c r="T8115" s="1"/>
      <c r="U8115" s="1"/>
      <c r="V8115" s="1"/>
      <c r="W8115" s="1"/>
      <c r="X8115" s="1"/>
      <c r="Y8115" s="1"/>
      <c r="AB8115" s="1"/>
      <c r="AC8115" s="1"/>
      <c r="AD8115" s="1"/>
      <c r="AE8115" s="1"/>
      <c r="AF8115" s="1"/>
      <c r="AG8115" s="1"/>
      <c r="AH8115" s="1"/>
      <c r="AI8115" s="1"/>
      <c r="AJ8115" s="1"/>
      <c r="AK8115" s="1"/>
      <c r="AL8115" s="1"/>
      <c r="AM8115" s="1"/>
    </row>
    <row r="8116" spans="16:39" x14ac:dyDescent="0.25">
      <c r="P8116" s="49"/>
      <c r="Q8116" s="1"/>
      <c r="S8116" s="1"/>
      <c r="T8116" s="1"/>
      <c r="U8116" s="1"/>
      <c r="V8116" s="1"/>
      <c r="W8116" s="1"/>
      <c r="X8116" s="1"/>
      <c r="Y8116" s="1"/>
      <c r="AB8116" s="1"/>
      <c r="AC8116" s="1"/>
      <c r="AD8116" s="1"/>
      <c r="AE8116" s="1"/>
      <c r="AF8116" s="1"/>
      <c r="AG8116" s="1"/>
      <c r="AH8116" s="1"/>
      <c r="AI8116" s="1"/>
      <c r="AJ8116" s="1"/>
      <c r="AK8116" s="1"/>
      <c r="AL8116" s="1"/>
      <c r="AM8116" s="1"/>
    </row>
    <row r="8117" spans="16:39" x14ac:dyDescent="0.25">
      <c r="P8117" s="49"/>
      <c r="Q8117" s="1"/>
      <c r="S8117" s="1"/>
      <c r="T8117" s="1"/>
      <c r="U8117" s="1"/>
      <c r="V8117" s="1"/>
      <c r="W8117" s="1"/>
      <c r="X8117" s="1"/>
      <c r="Y8117" s="1"/>
      <c r="AB8117" s="1"/>
      <c r="AC8117" s="1"/>
      <c r="AD8117" s="1"/>
      <c r="AE8117" s="1"/>
      <c r="AF8117" s="1"/>
      <c r="AG8117" s="1"/>
      <c r="AH8117" s="1"/>
      <c r="AI8117" s="1"/>
      <c r="AJ8117" s="1"/>
      <c r="AK8117" s="1"/>
      <c r="AL8117" s="1"/>
      <c r="AM8117" s="1"/>
    </row>
    <row r="8118" spans="16:39" x14ac:dyDescent="0.25">
      <c r="P8118" s="49"/>
      <c r="Q8118" s="1"/>
      <c r="S8118" s="1"/>
      <c r="T8118" s="1"/>
      <c r="U8118" s="1"/>
      <c r="V8118" s="1"/>
      <c r="W8118" s="1"/>
      <c r="X8118" s="1"/>
      <c r="Y8118" s="1"/>
      <c r="AB8118" s="1"/>
      <c r="AC8118" s="1"/>
      <c r="AD8118" s="1"/>
      <c r="AE8118" s="1"/>
      <c r="AF8118" s="1"/>
      <c r="AG8118" s="1"/>
      <c r="AH8118" s="1"/>
      <c r="AI8118" s="1"/>
      <c r="AJ8118" s="1"/>
      <c r="AK8118" s="1"/>
      <c r="AL8118" s="1"/>
      <c r="AM8118" s="1"/>
    </row>
    <row r="8119" spans="16:39" x14ac:dyDescent="0.25">
      <c r="P8119" s="49"/>
      <c r="Q8119" s="1"/>
      <c r="S8119" s="1"/>
      <c r="T8119" s="1"/>
      <c r="U8119" s="1"/>
      <c r="V8119" s="1"/>
      <c r="W8119" s="1"/>
      <c r="X8119" s="1"/>
      <c r="Y8119" s="1"/>
      <c r="AB8119" s="1"/>
      <c r="AC8119" s="1"/>
      <c r="AD8119" s="1"/>
      <c r="AE8119" s="1"/>
      <c r="AF8119" s="1"/>
      <c r="AG8119" s="1"/>
      <c r="AH8119" s="1"/>
      <c r="AI8119" s="1"/>
      <c r="AJ8119" s="1"/>
      <c r="AK8119" s="1"/>
      <c r="AL8119" s="1"/>
      <c r="AM8119" s="1"/>
    </row>
    <row r="8120" spans="16:39" x14ac:dyDescent="0.25">
      <c r="P8120" s="49"/>
      <c r="Q8120" s="1"/>
      <c r="S8120" s="1"/>
      <c r="T8120" s="1"/>
      <c r="U8120" s="1"/>
      <c r="V8120" s="1"/>
      <c r="W8120" s="1"/>
      <c r="X8120" s="1"/>
      <c r="Y8120" s="1"/>
      <c r="AB8120" s="1"/>
      <c r="AC8120" s="1"/>
      <c r="AD8120" s="1"/>
      <c r="AE8120" s="1"/>
      <c r="AF8120" s="1"/>
      <c r="AG8120" s="1"/>
      <c r="AH8120" s="1"/>
      <c r="AI8120" s="1"/>
      <c r="AJ8120" s="1"/>
      <c r="AK8120" s="1"/>
      <c r="AL8120" s="1"/>
      <c r="AM8120" s="1"/>
    </row>
    <row r="8121" spans="16:39" x14ac:dyDescent="0.25">
      <c r="P8121" s="49"/>
      <c r="Q8121" s="1"/>
      <c r="S8121" s="1"/>
      <c r="T8121" s="1"/>
      <c r="U8121" s="1"/>
      <c r="V8121" s="1"/>
      <c r="W8121" s="1"/>
      <c r="X8121" s="1"/>
      <c r="Y8121" s="1"/>
      <c r="AB8121" s="1"/>
      <c r="AC8121" s="1"/>
      <c r="AD8121" s="1"/>
      <c r="AE8121" s="1"/>
      <c r="AF8121" s="1"/>
      <c r="AG8121" s="1"/>
      <c r="AH8121" s="1"/>
      <c r="AI8121" s="1"/>
      <c r="AJ8121" s="1"/>
      <c r="AK8121" s="1"/>
      <c r="AL8121" s="1"/>
      <c r="AM8121" s="1"/>
    </row>
    <row r="8122" spans="16:39" x14ac:dyDescent="0.25">
      <c r="P8122" s="49"/>
      <c r="Q8122" s="1"/>
      <c r="S8122" s="1"/>
      <c r="T8122" s="1"/>
      <c r="U8122" s="1"/>
      <c r="V8122" s="1"/>
      <c r="W8122" s="1"/>
      <c r="X8122" s="1"/>
      <c r="Y8122" s="1"/>
      <c r="AB8122" s="1"/>
      <c r="AC8122" s="1"/>
      <c r="AD8122" s="1"/>
      <c r="AE8122" s="1"/>
      <c r="AF8122" s="1"/>
      <c r="AG8122" s="1"/>
      <c r="AH8122" s="1"/>
      <c r="AI8122" s="1"/>
      <c r="AJ8122" s="1"/>
      <c r="AK8122" s="1"/>
      <c r="AL8122" s="1"/>
      <c r="AM8122" s="1"/>
    </row>
    <row r="8123" spans="16:39" x14ac:dyDescent="0.25">
      <c r="P8123" s="49"/>
      <c r="Q8123" s="1"/>
      <c r="S8123" s="1"/>
      <c r="T8123" s="1"/>
      <c r="U8123" s="1"/>
      <c r="V8123" s="1"/>
      <c r="W8123" s="1"/>
      <c r="X8123" s="1"/>
      <c r="Y8123" s="1"/>
      <c r="AB8123" s="1"/>
      <c r="AC8123" s="1"/>
      <c r="AD8123" s="1"/>
      <c r="AE8123" s="1"/>
      <c r="AF8123" s="1"/>
      <c r="AG8123" s="1"/>
      <c r="AH8123" s="1"/>
      <c r="AI8123" s="1"/>
      <c r="AJ8123" s="1"/>
      <c r="AK8123" s="1"/>
      <c r="AL8123" s="1"/>
      <c r="AM8123" s="1"/>
    </row>
    <row r="8124" spans="16:39" x14ac:dyDescent="0.25">
      <c r="P8124" s="49"/>
      <c r="Q8124" s="1"/>
      <c r="S8124" s="1"/>
      <c r="T8124" s="1"/>
      <c r="U8124" s="1"/>
      <c r="V8124" s="1"/>
      <c r="W8124" s="1"/>
      <c r="X8124" s="1"/>
      <c r="Y8124" s="1"/>
      <c r="AB8124" s="1"/>
      <c r="AC8124" s="1"/>
      <c r="AD8124" s="1"/>
      <c r="AE8124" s="1"/>
      <c r="AF8124" s="1"/>
      <c r="AG8124" s="1"/>
      <c r="AH8124" s="1"/>
      <c r="AI8124" s="1"/>
      <c r="AJ8124" s="1"/>
      <c r="AK8124" s="1"/>
      <c r="AL8124" s="1"/>
      <c r="AM8124" s="1"/>
    </row>
    <row r="8125" spans="16:39" x14ac:dyDescent="0.25">
      <c r="P8125" s="49"/>
      <c r="Q8125" s="1"/>
      <c r="S8125" s="1"/>
      <c r="T8125" s="1"/>
      <c r="U8125" s="1"/>
      <c r="V8125" s="1"/>
      <c r="W8125" s="1"/>
      <c r="X8125" s="1"/>
      <c r="Y8125" s="1"/>
      <c r="AB8125" s="1"/>
      <c r="AC8125" s="1"/>
      <c r="AD8125" s="1"/>
      <c r="AE8125" s="1"/>
      <c r="AF8125" s="1"/>
      <c r="AG8125" s="1"/>
      <c r="AH8125" s="1"/>
      <c r="AI8125" s="1"/>
      <c r="AJ8125" s="1"/>
      <c r="AK8125" s="1"/>
      <c r="AL8125" s="1"/>
      <c r="AM8125" s="1"/>
    </row>
    <row r="8126" spans="16:39" x14ac:dyDescent="0.25">
      <c r="P8126" s="49"/>
      <c r="Q8126" s="1"/>
      <c r="S8126" s="1"/>
      <c r="T8126" s="1"/>
      <c r="U8126" s="1"/>
      <c r="V8126" s="1"/>
      <c r="W8126" s="1"/>
      <c r="X8126" s="1"/>
      <c r="Y8126" s="1"/>
      <c r="AB8126" s="1"/>
      <c r="AC8126" s="1"/>
      <c r="AD8126" s="1"/>
      <c r="AE8126" s="1"/>
      <c r="AF8126" s="1"/>
      <c r="AG8126" s="1"/>
      <c r="AH8126" s="1"/>
      <c r="AI8126" s="1"/>
      <c r="AJ8126" s="1"/>
      <c r="AK8126" s="1"/>
      <c r="AL8126" s="1"/>
      <c r="AM8126" s="1"/>
    </row>
    <row r="8127" spans="16:39" x14ac:dyDescent="0.25">
      <c r="P8127" s="49"/>
      <c r="Q8127" s="1"/>
      <c r="S8127" s="1"/>
      <c r="T8127" s="1"/>
      <c r="U8127" s="1"/>
      <c r="V8127" s="1"/>
      <c r="W8127" s="1"/>
      <c r="X8127" s="1"/>
      <c r="Y8127" s="1"/>
      <c r="AB8127" s="1"/>
      <c r="AC8127" s="1"/>
      <c r="AD8127" s="1"/>
      <c r="AE8127" s="1"/>
      <c r="AF8127" s="1"/>
      <c r="AG8127" s="1"/>
      <c r="AH8127" s="1"/>
      <c r="AI8127" s="1"/>
      <c r="AJ8127" s="1"/>
      <c r="AK8127" s="1"/>
      <c r="AL8127" s="1"/>
      <c r="AM8127" s="1"/>
    </row>
    <row r="8128" spans="16:39" x14ac:dyDescent="0.25">
      <c r="P8128" s="49"/>
      <c r="Q8128" s="1"/>
      <c r="S8128" s="1"/>
      <c r="T8128" s="1"/>
      <c r="U8128" s="1"/>
      <c r="V8128" s="1"/>
      <c r="W8128" s="1"/>
      <c r="X8128" s="1"/>
      <c r="Y8128" s="1"/>
      <c r="AB8128" s="1"/>
      <c r="AC8128" s="1"/>
      <c r="AD8128" s="1"/>
      <c r="AE8128" s="1"/>
      <c r="AF8128" s="1"/>
      <c r="AG8128" s="1"/>
      <c r="AH8128" s="1"/>
      <c r="AI8128" s="1"/>
      <c r="AJ8128" s="1"/>
      <c r="AK8128" s="1"/>
      <c r="AL8128" s="1"/>
      <c r="AM8128" s="1"/>
    </row>
    <row r="8129" spans="16:39" x14ac:dyDescent="0.25">
      <c r="P8129" s="49"/>
      <c r="Q8129" s="1"/>
      <c r="S8129" s="1"/>
      <c r="T8129" s="1"/>
      <c r="U8129" s="1"/>
      <c r="V8129" s="1"/>
      <c r="W8129" s="1"/>
      <c r="X8129" s="1"/>
      <c r="Y8129" s="1"/>
      <c r="AB8129" s="1"/>
      <c r="AC8129" s="1"/>
      <c r="AD8129" s="1"/>
      <c r="AE8129" s="1"/>
      <c r="AF8129" s="1"/>
      <c r="AG8129" s="1"/>
      <c r="AH8129" s="1"/>
      <c r="AI8129" s="1"/>
      <c r="AJ8129" s="1"/>
      <c r="AK8129" s="1"/>
      <c r="AL8129" s="1"/>
      <c r="AM8129" s="1"/>
    </row>
    <row r="8130" spans="16:39" x14ac:dyDescent="0.25">
      <c r="P8130" s="49"/>
      <c r="Q8130" s="1"/>
      <c r="S8130" s="1"/>
      <c r="T8130" s="1"/>
      <c r="U8130" s="1"/>
      <c r="V8130" s="1"/>
      <c r="W8130" s="1"/>
      <c r="X8130" s="1"/>
      <c r="Y8130" s="1"/>
      <c r="AB8130" s="1"/>
      <c r="AC8130" s="1"/>
      <c r="AD8130" s="1"/>
      <c r="AE8130" s="1"/>
      <c r="AF8130" s="1"/>
      <c r="AG8130" s="1"/>
      <c r="AH8130" s="1"/>
      <c r="AI8130" s="1"/>
      <c r="AJ8130" s="1"/>
      <c r="AK8130" s="1"/>
      <c r="AL8130" s="1"/>
      <c r="AM8130" s="1"/>
    </row>
    <row r="8131" spans="16:39" x14ac:dyDescent="0.25">
      <c r="P8131" s="49"/>
      <c r="Q8131" s="1"/>
      <c r="S8131" s="1"/>
      <c r="T8131" s="1"/>
      <c r="U8131" s="1"/>
      <c r="V8131" s="1"/>
      <c r="W8131" s="1"/>
      <c r="X8131" s="1"/>
      <c r="Y8131" s="1"/>
      <c r="AB8131" s="1"/>
      <c r="AC8131" s="1"/>
      <c r="AD8131" s="1"/>
      <c r="AE8131" s="1"/>
      <c r="AF8131" s="1"/>
      <c r="AG8131" s="1"/>
      <c r="AH8131" s="1"/>
      <c r="AI8131" s="1"/>
      <c r="AJ8131" s="1"/>
      <c r="AK8131" s="1"/>
      <c r="AL8131" s="1"/>
      <c r="AM8131" s="1"/>
    </row>
    <row r="8132" spans="16:39" x14ac:dyDescent="0.25">
      <c r="P8132" s="49"/>
      <c r="Q8132" s="1"/>
      <c r="S8132" s="1"/>
      <c r="T8132" s="1"/>
      <c r="U8132" s="1"/>
      <c r="V8132" s="1"/>
      <c r="W8132" s="1"/>
      <c r="X8132" s="1"/>
      <c r="Y8132" s="1"/>
      <c r="AB8132" s="1"/>
      <c r="AC8132" s="1"/>
      <c r="AD8132" s="1"/>
      <c r="AE8132" s="1"/>
      <c r="AF8132" s="1"/>
      <c r="AG8132" s="1"/>
      <c r="AH8132" s="1"/>
      <c r="AI8132" s="1"/>
      <c r="AJ8132" s="1"/>
      <c r="AK8132" s="1"/>
      <c r="AL8132" s="1"/>
      <c r="AM8132" s="1"/>
    </row>
    <row r="8133" spans="16:39" x14ac:dyDescent="0.25">
      <c r="P8133" s="49"/>
      <c r="Q8133" s="1"/>
      <c r="S8133" s="1"/>
      <c r="T8133" s="1"/>
      <c r="U8133" s="1"/>
      <c r="V8133" s="1"/>
      <c r="W8133" s="1"/>
      <c r="X8133" s="1"/>
      <c r="Y8133" s="1"/>
      <c r="AB8133" s="1"/>
      <c r="AC8133" s="1"/>
      <c r="AD8133" s="1"/>
      <c r="AE8133" s="1"/>
      <c r="AF8133" s="1"/>
      <c r="AG8133" s="1"/>
      <c r="AH8133" s="1"/>
      <c r="AI8133" s="1"/>
      <c r="AJ8133" s="1"/>
      <c r="AK8133" s="1"/>
      <c r="AL8133" s="1"/>
      <c r="AM8133" s="1"/>
    </row>
    <row r="8134" spans="16:39" x14ac:dyDescent="0.25">
      <c r="P8134" s="49"/>
      <c r="Q8134" s="1"/>
      <c r="S8134" s="1"/>
      <c r="T8134" s="1"/>
      <c r="U8134" s="1"/>
      <c r="V8134" s="1"/>
      <c r="W8134" s="1"/>
      <c r="X8134" s="1"/>
      <c r="Y8134" s="1"/>
      <c r="AB8134" s="1"/>
      <c r="AC8134" s="1"/>
      <c r="AD8134" s="1"/>
      <c r="AE8134" s="1"/>
      <c r="AF8134" s="1"/>
      <c r="AG8134" s="1"/>
      <c r="AH8134" s="1"/>
      <c r="AI8134" s="1"/>
      <c r="AJ8134" s="1"/>
      <c r="AK8134" s="1"/>
      <c r="AL8134" s="1"/>
      <c r="AM8134" s="1"/>
    </row>
    <row r="8135" spans="16:39" x14ac:dyDescent="0.25">
      <c r="P8135" s="49"/>
      <c r="Q8135" s="1"/>
      <c r="S8135" s="1"/>
      <c r="T8135" s="1"/>
      <c r="U8135" s="1"/>
      <c r="V8135" s="1"/>
      <c r="W8135" s="1"/>
      <c r="X8135" s="1"/>
      <c r="Y8135" s="1"/>
      <c r="AB8135" s="1"/>
      <c r="AC8135" s="1"/>
      <c r="AD8135" s="1"/>
      <c r="AE8135" s="1"/>
      <c r="AF8135" s="1"/>
      <c r="AG8135" s="1"/>
      <c r="AH8135" s="1"/>
      <c r="AI8135" s="1"/>
      <c r="AJ8135" s="1"/>
      <c r="AK8135" s="1"/>
      <c r="AL8135" s="1"/>
      <c r="AM8135" s="1"/>
    </row>
    <row r="8136" spans="16:39" x14ac:dyDescent="0.25">
      <c r="P8136" s="49"/>
      <c r="Q8136" s="1"/>
      <c r="S8136" s="1"/>
      <c r="T8136" s="1"/>
      <c r="U8136" s="1"/>
      <c r="V8136" s="1"/>
      <c r="W8136" s="1"/>
      <c r="X8136" s="1"/>
      <c r="Y8136" s="1"/>
      <c r="AB8136" s="1"/>
      <c r="AC8136" s="1"/>
      <c r="AD8136" s="1"/>
      <c r="AE8136" s="1"/>
      <c r="AF8136" s="1"/>
      <c r="AG8136" s="1"/>
      <c r="AH8136" s="1"/>
      <c r="AI8136" s="1"/>
      <c r="AJ8136" s="1"/>
      <c r="AK8136" s="1"/>
      <c r="AL8136" s="1"/>
      <c r="AM8136" s="1"/>
    </row>
    <row r="8137" spans="16:39" x14ac:dyDescent="0.25">
      <c r="P8137" s="49"/>
      <c r="Q8137" s="1"/>
      <c r="S8137" s="1"/>
      <c r="T8137" s="1"/>
      <c r="U8137" s="1"/>
      <c r="V8137" s="1"/>
      <c r="W8137" s="1"/>
      <c r="X8137" s="1"/>
      <c r="Y8137" s="1"/>
      <c r="AB8137" s="1"/>
      <c r="AC8137" s="1"/>
      <c r="AD8137" s="1"/>
      <c r="AE8137" s="1"/>
      <c r="AF8137" s="1"/>
      <c r="AG8137" s="1"/>
      <c r="AH8137" s="1"/>
      <c r="AI8137" s="1"/>
      <c r="AJ8137" s="1"/>
      <c r="AK8137" s="1"/>
      <c r="AL8137" s="1"/>
      <c r="AM8137" s="1"/>
    </row>
    <row r="8138" spans="16:39" x14ac:dyDescent="0.25">
      <c r="P8138" s="49"/>
      <c r="Q8138" s="1"/>
      <c r="S8138" s="1"/>
      <c r="T8138" s="1"/>
      <c r="U8138" s="1"/>
      <c r="V8138" s="1"/>
      <c r="W8138" s="1"/>
      <c r="X8138" s="1"/>
      <c r="Y8138" s="1"/>
      <c r="AB8138" s="1"/>
      <c r="AC8138" s="1"/>
      <c r="AD8138" s="1"/>
      <c r="AE8138" s="1"/>
      <c r="AF8138" s="1"/>
      <c r="AG8138" s="1"/>
      <c r="AH8138" s="1"/>
      <c r="AI8138" s="1"/>
      <c r="AJ8138" s="1"/>
      <c r="AK8138" s="1"/>
      <c r="AL8138" s="1"/>
      <c r="AM8138" s="1"/>
    </row>
    <row r="8139" spans="16:39" x14ac:dyDescent="0.25">
      <c r="P8139" s="49"/>
      <c r="Q8139" s="1"/>
      <c r="S8139" s="1"/>
      <c r="T8139" s="1"/>
      <c r="U8139" s="1"/>
      <c r="V8139" s="1"/>
      <c r="W8139" s="1"/>
      <c r="X8139" s="1"/>
      <c r="Y8139" s="1"/>
      <c r="AB8139" s="1"/>
      <c r="AC8139" s="1"/>
      <c r="AD8139" s="1"/>
      <c r="AE8139" s="1"/>
      <c r="AF8139" s="1"/>
      <c r="AG8139" s="1"/>
      <c r="AH8139" s="1"/>
      <c r="AI8139" s="1"/>
      <c r="AJ8139" s="1"/>
      <c r="AK8139" s="1"/>
      <c r="AL8139" s="1"/>
      <c r="AM8139" s="1"/>
    </row>
    <row r="8140" spans="16:39" x14ac:dyDescent="0.25">
      <c r="P8140" s="49"/>
      <c r="Q8140" s="1"/>
      <c r="S8140" s="1"/>
      <c r="T8140" s="1"/>
      <c r="U8140" s="1"/>
      <c r="V8140" s="1"/>
      <c r="W8140" s="1"/>
      <c r="X8140" s="1"/>
      <c r="Y8140" s="1"/>
      <c r="AB8140" s="1"/>
      <c r="AC8140" s="1"/>
      <c r="AD8140" s="1"/>
      <c r="AE8140" s="1"/>
      <c r="AF8140" s="1"/>
      <c r="AG8140" s="1"/>
      <c r="AH8140" s="1"/>
      <c r="AI8140" s="1"/>
      <c r="AJ8140" s="1"/>
      <c r="AK8140" s="1"/>
      <c r="AL8140" s="1"/>
      <c r="AM8140" s="1"/>
    </row>
    <row r="8141" spans="16:39" x14ac:dyDescent="0.25">
      <c r="P8141" s="49"/>
      <c r="Q8141" s="1"/>
      <c r="S8141" s="1"/>
      <c r="T8141" s="1"/>
      <c r="U8141" s="1"/>
      <c r="V8141" s="1"/>
      <c r="W8141" s="1"/>
      <c r="X8141" s="1"/>
      <c r="Y8141" s="1"/>
      <c r="AB8141" s="1"/>
      <c r="AC8141" s="1"/>
      <c r="AD8141" s="1"/>
      <c r="AE8141" s="1"/>
      <c r="AF8141" s="1"/>
      <c r="AG8141" s="1"/>
      <c r="AH8141" s="1"/>
      <c r="AI8141" s="1"/>
      <c r="AJ8141" s="1"/>
      <c r="AK8141" s="1"/>
      <c r="AL8141" s="1"/>
      <c r="AM8141" s="1"/>
    </row>
    <row r="8142" spans="16:39" x14ac:dyDescent="0.25">
      <c r="P8142" s="49"/>
      <c r="Q8142" s="1"/>
      <c r="S8142" s="1"/>
      <c r="T8142" s="1"/>
      <c r="U8142" s="1"/>
      <c r="V8142" s="1"/>
      <c r="W8142" s="1"/>
      <c r="X8142" s="1"/>
      <c r="Y8142" s="1"/>
      <c r="AB8142" s="1"/>
      <c r="AC8142" s="1"/>
      <c r="AD8142" s="1"/>
      <c r="AE8142" s="1"/>
      <c r="AF8142" s="1"/>
      <c r="AG8142" s="1"/>
      <c r="AH8142" s="1"/>
      <c r="AI8142" s="1"/>
      <c r="AJ8142" s="1"/>
      <c r="AK8142" s="1"/>
      <c r="AL8142" s="1"/>
      <c r="AM8142" s="1"/>
    </row>
    <row r="8143" spans="16:39" x14ac:dyDescent="0.25">
      <c r="P8143" s="49"/>
      <c r="Q8143" s="1"/>
      <c r="S8143" s="1"/>
      <c r="T8143" s="1"/>
      <c r="U8143" s="1"/>
      <c r="V8143" s="1"/>
      <c r="W8143" s="1"/>
      <c r="X8143" s="1"/>
      <c r="Y8143" s="1"/>
      <c r="AB8143" s="1"/>
      <c r="AC8143" s="1"/>
      <c r="AD8143" s="1"/>
      <c r="AE8143" s="1"/>
      <c r="AF8143" s="1"/>
      <c r="AG8143" s="1"/>
      <c r="AH8143" s="1"/>
      <c r="AI8143" s="1"/>
      <c r="AJ8143" s="1"/>
      <c r="AK8143" s="1"/>
      <c r="AL8143" s="1"/>
      <c r="AM8143" s="1"/>
    </row>
    <row r="8144" spans="16:39" x14ac:dyDescent="0.25">
      <c r="P8144" s="49"/>
      <c r="Q8144" s="1"/>
      <c r="S8144" s="1"/>
      <c r="T8144" s="1"/>
      <c r="U8144" s="1"/>
      <c r="V8144" s="1"/>
      <c r="W8144" s="1"/>
      <c r="X8144" s="1"/>
      <c r="Y8144" s="1"/>
      <c r="AB8144" s="1"/>
      <c r="AC8144" s="1"/>
      <c r="AD8144" s="1"/>
      <c r="AE8144" s="1"/>
      <c r="AF8144" s="1"/>
      <c r="AG8144" s="1"/>
      <c r="AH8144" s="1"/>
      <c r="AI8144" s="1"/>
      <c r="AJ8144" s="1"/>
      <c r="AK8144" s="1"/>
      <c r="AL8144" s="1"/>
      <c r="AM8144" s="1"/>
    </row>
    <row r="8145" spans="16:39" x14ac:dyDescent="0.25">
      <c r="P8145" s="49"/>
      <c r="Q8145" s="1"/>
      <c r="S8145" s="1"/>
      <c r="T8145" s="1"/>
      <c r="U8145" s="1"/>
      <c r="V8145" s="1"/>
      <c r="W8145" s="1"/>
      <c r="X8145" s="1"/>
      <c r="Y8145" s="1"/>
      <c r="AB8145" s="1"/>
      <c r="AC8145" s="1"/>
      <c r="AD8145" s="1"/>
      <c r="AE8145" s="1"/>
      <c r="AF8145" s="1"/>
      <c r="AG8145" s="1"/>
      <c r="AH8145" s="1"/>
      <c r="AI8145" s="1"/>
      <c r="AJ8145" s="1"/>
      <c r="AK8145" s="1"/>
      <c r="AL8145" s="1"/>
      <c r="AM8145" s="1"/>
    </row>
    <row r="8146" spans="16:39" x14ac:dyDescent="0.25">
      <c r="P8146" s="49"/>
      <c r="Q8146" s="1"/>
      <c r="S8146" s="1"/>
      <c r="T8146" s="1"/>
      <c r="U8146" s="1"/>
      <c r="V8146" s="1"/>
      <c r="W8146" s="1"/>
      <c r="X8146" s="1"/>
      <c r="Y8146" s="1"/>
      <c r="AB8146" s="1"/>
      <c r="AC8146" s="1"/>
      <c r="AD8146" s="1"/>
      <c r="AE8146" s="1"/>
      <c r="AF8146" s="1"/>
      <c r="AG8146" s="1"/>
      <c r="AH8146" s="1"/>
      <c r="AI8146" s="1"/>
      <c r="AJ8146" s="1"/>
      <c r="AK8146" s="1"/>
      <c r="AL8146" s="1"/>
      <c r="AM8146" s="1"/>
    </row>
    <row r="8147" spans="16:39" x14ac:dyDescent="0.25">
      <c r="P8147" s="49"/>
      <c r="Q8147" s="1"/>
      <c r="S8147" s="1"/>
      <c r="T8147" s="1"/>
      <c r="U8147" s="1"/>
      <c r="V8147" s="1"/>
      <c r="W8147" s="1"/>
      <c r="X8147" s="1"/>
      <c r="Y8147" s="1"/>
      <c r="AB8147" s="1"/>
      <c r="AC8147" s="1"/>
      <c r="AD8147" s="1"/>
      <c r="AE8147" s="1"/>
      <c r="AF8147" s="1"/>
      <c r="AG8147" s="1"/>
      <c r="AH8147" s="1"/>
      <c r="AI8147" s="1"/>
      <c r="AJ8147" s="1"/>
      <c r="AK8147" s="1"/>
      <c r="AL8147" s="1"/>
      <c r="AM8147" s="1"/>
    </row>
    <row r="8148" spans="16:39" x14ac:dyDescent="0.25">
      <c r="P8148" s="49"/>
      <c r="Q8148" s="1"/>
      <c r="S8148" s="1"/>
      <c r="T8148" s="1"/>
      <c r="U8148" s="1"/>
      <c r="V8148" s="1"/>
      <c r="W8148" s="1"/>
      <c r="X8148" s="1"/>
      <c r="Y8148" s="1"/>
      <c r="AB8148" s="1"/>
      <c r="AC8148" s="1"/>
      <c r="AD8148" s="1"/>
      <c r="AE8148" s="1"/>
      <c r="AF8148" s="1"/>
      <c r="AG8148" s="1"/>
      <c r="AH8148" s="1"/>
      <c r="AI8148" s="1"/>
      <c r="AJ8148" s="1"/>
      <c r="AK8148" s="1"/>
      <c r="AL8148" s="1"/>
      <c r="AM8148" s="1"/>
    </row>
    <row r="8149" spans="16:39" x14ac:dyDescent="0.25">
      <c r="P8149" s="49"/>
      <c r="Q8149" s="1"/>
      <c r="S8149" s="1"/>
      <c r="T8149" s="1"/>
      <c r="U8149" s="1"/>
      <c r="V8149" s="1"/>
      <c r="W8149" s="1"/>
      <c r="X8149" s="1"/>
      <c r="Y8149" s="1"/>
      <c r="AB8149" s="1"/>
      <c r="AC8149" s="1"/>
      <c r="AD8149" s="1"/>
      <c r="AE8149" s="1"/>
      <c r="AF8149" s="1"/>
      <c r="AG8149" s="1"/>
      <c r="AH8149" s="1"/>
      <c r="AI8149" s="1"/>
      <c r="AJ8149" s="1"/>
      <c r="AK8149" s="1"/>
      <c r="AL8149" s="1"/>
      <c r="AM8149" s="1"/>
    </row>
    <row r="8150" spans="16:39" x14ac:dyDescent="0.25">
      <c r="P8150" s="49"/>
      <c r="Q8150" s="1"/>
      <c r="S8150" s="1"/>
      <c r="T8150" s="1"/>
      <c r="U8150" s="1"/>
      <c r="V8150" s="1"/>
      <c r="W8150" s="1"/>
      <c r="X8150" s="1"/>
      <c r="Y8150" s="1"/>
      <c r="AB8150" s="1"/>
      <c r="AC8150" s="1"/>
      <c r="AD8150" s="1"/>
      <c r="AE8150" s="1"/>
      <c r="AF8150" s="1"/>
      <c r="AG8150" s="1"/>
      <c r="AH8150" s="1"/>
      <c r="AI8150" s="1"/>
      <c r="AJ8150" s="1"/>
      <c r="AK8150" s="1"/>
      <c r="AL8150" s="1"/>
      <c r="AM8150" s="1"/>
    </row>
    <row r="8151" spans="16:39" x14ac:dyDescent="0.25">
      <c r="P8151" s="49"/>
      <c r="Q8151" s="1"/>
      <c r="S8151" s="1"/>
      <c r="T8151" s="1"/>
      <c r="U8151" s="1"/>
      <c r="V8151" s="1"/>
      <c r="W8151" s="1"/>
      <c r="X8151" s="1"/>
      <c r="Y8151" s="1"/>
      <c r="AB8151" s="1"/>
      <c r="AC8151" s="1"/>
      <c r="AD8151" s="1"/>
      <c r="AE8151" s="1"/>
      <c r="AF8151" s="1"/>
      <c r="AG8151" s="1"/>
      <c r="AH8151" s="1"/>
      <c r="AI8151" s="1"/>
      <c r="AJ8151" s="1"/>
      <c r="AK8151" s="1"/>
      <c r="AL8151" s="1"/>
      <c r="AM8151" s="1"/>
    </row>
    <row r="8152" spans="16:39" x14ac:dyDescent="0.25">
      <c r="P8152" s="49"/>
      <c r="Q8152" s="1"/>
      <c r="S8152" s="1"/>
      <c r="T8152" s="1"/>
      <c r="U8152" s="1"/>
      <c r="V8152" s="1"/>
      <c r="W8152" s="1"/>
      <c r="X8152" s="1"/>
      <c r="Y8152" s="1"/>
      <c r="AB8152" s="1"/>
      <c r="AC8152" s="1"/>
      <c r="AD8152" s="1"/>
      <c r="AE8152" s="1"/>
      <c r="AF8152" s="1"/>
      <c r="AG8152" s="1"/>
      <c r="AH8152" s="1"/>
      <c r="AI8152" s="1"/>
      <c r="AJ8152" s="1"/>
      <c r="AK8152" s="1"/>
      <c r="AL8152" s="1"/>
      <c r="AM8152" s="1"/>
    </row>
    <row r="8153" spans="16:39" x14ac:dyDescent="0.25">
      <c r="P8153" s="49"/>
      <c r="Q8153" s="1"/>
      <c r="S8153" s="1"/>
      <c r="T8153" s="1"/>
      <c r="U8153" s="1"/>
      <c r="V8153" s="1"/>
      <c r="W8153" s="1"/>
      <c r="X8153" s="1"/>
      <c r="Y8153" s="1"/>
      <c r="AB8153" s="1"/>
      <c r="AC8153" s="1"/>
      <c r="AD8153" s="1"/>
      <c r="AE8153" s="1"/>
      <c r="AF8153" s="1"/>
      <c r="AG8153" s="1"/>
      <c r="AH8153" s="1"/>
      <c r="AI8153" s="1"/>
      <c r="AJ8153" s="1"/>
      <c r="AK8153" s="1"/>
      <c r="AL8153" s="1"/>
      <c r="AM8153" s="1"/>
    </row>
    <row r="8154" spans="16:39" x14ac:dyDescent="0.25">
      <c r="P8154" s="49"/>
      <c r="Q8154" s="1"/>
      <c r="S8154" s="1"/>
      <c r="T8154" s="1"/>
      <c r="U8154" s="1"/>
      <c r="V8154" s="1"/>
      <c r="W8154" s="1"/>
      <c r="X8154" s="1"/>
      <c r="Y8154" s="1"/>
      <c r="AB8154" s="1"/>
      <c r="AC8154" s="1"/>
      <c r="AD8154" s="1"/>
      <c r="AE8154" s="1"/>
      <c r="AF8154" s="1"/>
      <c r="AG8154" s="1"/>
      <c r="AH8154" s="1"/>
      <c r="AI8154" s="1"/>
      <c r="AJ8154" s="1"/>
      <c r="AK8154" s="1"/>
      <c r="AL8154" s="1"/>
      <c r="AM8154" s="1"/>
    </row>
    <row r="8155" spans="16:39" x14ac:dyDescent="0.25">
      <c r="P8155" s="49"/>
      <c r="Q8155" s="1"/>
      <c r="S8155" s="1"/>
      <c r="T8155" s="1"/>
      <c r="U8155" s="1"/>
      <c r="V8155" s="1"/>
      <c r="W8155" s="1"/>
      <c r="X8155" s="1"/>
      <c r="Y8155" s="1"/>
      <c r="AB8155" s="1"/>
      <c r="AC8155" s="1"/>
      <c r="AD8155" s="1"/>
      <c r="AE8155" s="1"/>
      <c r="AF8155" s="1"/>
      <c r="AG8155" s="1"/>
      <c r="AH8155" s="1"/>
      <c r="AI8155" s="1"/>
      <c r="AJ8155" s="1"/>
      <c r="AK8155" s="1"/>
      <c r="AL8155" s="1"/>
      <c r="AM8155" s="1"/>
    </row>
    <row r="8156" spans="16:39" x14ac:dyDescent="0.25">
      <c r="P8156" s="49"/>
      <c r="Q8156" s="1"/>
      <c r="S8156" s="1"/>
      <c r="T8156" s="1"/>
      <c r="U8156" s="1"/>
      <c r="V8156" s="1"/>
      <c r="W8156" s="1"/>
      <c r="X8156" s="1"/>
      <c r="Y8156" s="1"/>
      <c r="AB8156" s="1"/>
      <c r="AC8156" s="1"/>
      <c r="AD8156" s="1"/>
      <c r="AE8156" s="1"/>
      <c r="AF8156" s="1"/>
      <c r="AG8156" s="1"/>
      <c r="AH8156" s="1"/>
      <c r="AI8156" s="1"/>
      <c r="AJ8156" s="1"/>
      <c r="AK8156" s="1"/>
      <c r="AL8156" s="1"/>
      <c r="AM8156" s="1"/>
    </row>
    <row r="8157" spans="16:39" x14ac:dyDescent="0.25">
      <c r="P8157" s="49"/>
      <c r="Q8157" s="1"/>
      <c r="S8157" s="1"/>
      <c r="T8157" s="1"/>
      <c r="U8157" s="1"/>
      <c r="V8157" s="1"/>
      <c r="W8157" s="1"/>
      <c r="X8157" s="1"/>
      <c r="Y8157" s="1"/>
      <c r="AB8157" s="1"/>
      <c r="AC8157" s="1"/>
      <c r="AD8157" s="1"/>
      <c r="AE8157" s="1"/>
      <c r="AF8157" s="1"/>
      <c r="AG8157" s="1"/>
      <c r="AH8157" s="1"/>
      <c r="AI8157" s="1"/>
      <c r="AJ8157" s="1"/>
      <c r="AK8157" s="1"/>
      <c r="AL8157" s="1"/>
      <c r="AM8157" s="1"/>
    </row>
    <row r="8158" spans="16:39" x14ac:dyDescent="0.25">
      <c r="P8158" s="49"/>
      <c r="Q8158" s="1"/>
      <c r="S8158" s="1"/>
      <c r="T8158" s="1"/>
      <c r="U8158" s="1"/>
      <c r="V8158" s="1"/>
      <c r="W8158" s="1"/>
      <c r="X8158" s="1"/>
      <c r="Y8158" s="1"/>
      <c r="AB8158" s="1"/>
      <c r="AC8158" s="1"/>
      <c r="AD8158" s="1"/>
      <c r="AE8158" s="1"/>
      <c r="AF8158" s="1"/>
      <c r="AG8158" s="1"/>
      <c r="AH8158" s="1"/>
      <c r="AI8158" s="1"/>
      <c r="AJ8158" s="1"/>
      <c r="AK8158" s="1"/>
      <c r="AL8158" s="1"/>
      <c r="AM8158" s="1"/>
    </row>
    <row r="8159" spans="16:39" x14ac:dyDescent="0.25">
      <c r="P8159" s="49"/>
      <c r="Q8159" s="1"/>
      <c r="S8159" s="1"/>
      <c r="T8159" s="1"/>
      <c r="U8159" s="1"/>
      <c r="V8159" s="1"/>
      <c r="W8159" s="1"/>
      <c r="X8159" s="1"/>
      <c r="Y8159" s="1"/>
      <c r="AB8159" s="1"/>
      <c r="AC8159" s="1"/>
      <c r="AD8159" s="1"/>
      <c r="AE8159" s="1"/>
      <c r="AF8159" s="1"/>
      <c r="AG8159" s="1"/>
      <c r="AH8159" s="1"/>
      <c r="AI8159" s="1"/>
      <c r="AJ8159" s="1"/>
      <c r="AK8159" s="1"/>
      <c r="AL8159" s="1"/>
      <c r="AM8159" s="1"/>
    </row>
    <row r="8160" spans="16:39" x14ac:dyDescent="0.25">
      <c r="P8160" s="49"/>
      <c r="Q8160" s="1"/>
      <c r="S8160" s="1"/>
      <c r="T8160" s="1"/>
      <c r="U8160" s="1"/>
      <c r="V8160" s="1"/>
      <c r="W8160" s="1"/>
      <c r="X8160" s="1"/>
      <c r="Y8160" s="1"/>
      <c r="AB8160" s="1"/>
      <c r="AC8160" s="1"/>
      <c r="AD8160" s="1"/>
      <c r="AE8160" s="1"/>
      <c r="AF8160" s="1"/>
      <c r="AG8160" s="1"/>
      <c r="AH8160" s="1"/>
      <c r="AI8160" s="1"/>
      <c r="AJ8160" s="1"/>
      <c r="AK8160" s="1"/>
      <c r="AL8160" s="1"/>
      <c r="AM8160" s="1"/>
    </row>
    <row r="8161" spans="16:39" x14ac:dyDescent="0.25">
      <c r="P8161" s="49"/>
      <c r="Q8161" s="1"/>
      <c r="S8161" s="1"/>
      <c r="T8161" s="1"/>
      <c r="U8161" s="1"/>
      <c r="V8161" s="1"/>
      <c r="W8161" s="1"/>
      <c r="X8161" s="1"/>
      <c r="Y8161" s="1"/>
      <c r="AB8161" s="1"/>
      <c r="AC8161" s="1"/>
      <c r="AD8161" s="1"/>
      <c r="AE8161" s="1"/>
      <c r="AF8161" s="1"/>
      <c r="AG8161" s="1"/>
      <c r="AH8161" s="1"/>
      <c r="AI8161" s="1"/>
      <c r="AJ8161" s="1"/>
      <c r="AK8161" s="1"/>
      <c r="AL8161" s="1"/>
      <c r="AM8161" s="1"/>
    </row>
    <row r="8162" spans="16:39" x14ac:dyDescent="0.25">
      <c r="P8162" s="49"/>
      <c r="Q8162" s="1"/>
      <c r="S8162" s="1"/>
      <c r="T8162" s="1"/>
      <c r="U8162" s="1"/>
      <c r="V8162" s="1"/>
      <c r="W8162" s="1"/>
      <c r="X8162" s="1"/>
      <c r="Y8162" s="1"/>
      <c r="AB8162" s="1"/>
      <c r="AC8162" s="1"/>
      <c r="AD8162" s="1"/>
      <c r="AE8162" s="1"/>
      <c r="AF8162" s="1"/>
      <c r="AG8162" s="1"/>
      <c r="AH8162" s="1"/>
      <c r="AI8162" s="1"/>
      <c r="AJ8162" s="1"/>
      <c r="AK8162" s="1"/>
      <c r="AL8162" s="1"/>
      <c r="AM8162" s="1"/>
    </row>
    <row r="8163" spans="16:39" x14ac:dyDescent="0.25">
      <c r="P8163" s="49"/>
      <c r="Q8163" s="1"/>
      <c r="S8163" s="1"/>
      <c r="T8163" s="1"/>
      <c r="U8163" s="1"/>
      <c r="V8163" s="1"/>
      <c r="W8163" s="1"/>
      <c r="X8163" s="1"/>
      <c r="Y8163" s="1"/>
      <c r="AB8163" s="1"/>
      <c r="AC8163" s="1"/>
      <c r="AD8163" s="1"/>
      <c r="AE8163" s="1"/>
      <c r="AF8163" s="1"/>
      <c r="AG8163" s="1"/>
      <c r="AH8163" s="1"/>
      <c r="AI8163" s="1"/>
      <c r="AJ8163" s="1"/>
      <c r="AK8163" s="1"/>
      <c r="AL8163" s="1"/>
      <c r="AM8163" s="1"/>
    </row>
    <row r="8164" spans="16:39" x14ac:dyDescent="0.25">
      <c r="P8164" s="49"/>
      <c r="Q8164" s="1"/>
      <c r="S8164" s="1"/>
      <c r="T8164" s="1"/>
      <c r="U8164" s="1"/>
      <c r="V8164" s="1"/>
      <c r="W8164" s="1"/>
      <c r="X8164" s="1"/>
      <c r="Y8164" s="1"/>
      <c r="AB8164" s="1"/>
      <c r="AC8164" s="1"/>
      <c r="AD8164" s="1"/>
      <c r="AE8164" s="1"/>
      <c r="AF8164" s="1"/>
      <c r="AG8164" s="1"/>
      <c r="AH8164" s="1"/>
      <c r="AI8164" s="1"/>
      <c r="AJ8164" s="1"/>
      <c r="AK8164" s="1"/>
      <c r="AL8164" s="1"/>
      <c r="AM8164" s="1"/>
    </row>
    <row r="8165" spans="16:39" x14ac:dyDescent="0.25">
      <c r="P8165" s="49"/>
      <c r="Q8165" s="1"/>
      <c r="S8165" s="1"/>
      <c r="T8165" s="1"/>
      <c r="U8165" s="1"/>
      <c r="V8165" s="1"/>
      <c r="W8165" s="1"/>
      <c r="X8165" s="1"/>
      <c r="Y8165" s="1"/>
      <c r="AB8165" s="1"/>
      <c r="AC8165" s="1"/>
      <c r="AD8165" s="1"/>
      <c r="AE8165" s="1"/>
      <c r="AF8165" s="1"/>
      <c r="AG8165" s="1"/>
      <c r="AH8165" s="1"/>
      <c r="AI8165" s="1"/>
      <c r="AJ8165" s="1"/>
      <c r="AK8165" s="1"/>
      <c r="AL8165" s="1"/>
      <c r="AM8165" s="1"/>
    </row>
    <row r="8166" spans="16:39" x14ac:dyDescent="0.25">
      <c r="P8166" s="49"/>
      <c r="Q8166" s="1"/>
      <c r="S8166" s="1"/>
      <c r="T8166" s="1"/>
      <c r="U8166" s="1"/>
      <c r="V8166" s="1"/>
      <c r="W8166" s="1"/>
      <c r="X8166" s="1"/>
      <c r="Y8166" s="1"/>
      <c r="AB8166" s="1"/>
      <c r="AC8166" s="1"/>
      <c r="AD8166" s="1"/>
      <c r="AE8166" s="1"/>
      <c r="AF8166" s="1"/>
      <c r="AG8166" s="1"/>
      <c r="AH8166" s="1"/>
      <c r="AI8166" s="1"/>
      <c r="AJ8166" s="1"/>
      <c r="AK8166" s="1"/>
      <c r="AL8166" s="1"/>
      <c r="AM8166" s="1"/>
    </row>
    <row r="8167" spans="16:39" x14ac:dyDescent="0.25">
      <c r="P8167" s="49"/>
      <c r="Q8167" s="1"/>
      <c r="S8167" s="1"/>
      <c r="T8167" s="1"/>
      <c r="U8167" s="1"/>
      <c r="V8167" s="1"/>
      <c r="W8167" s="1"/>
      <c r="X8167" s="1"/>
      <c r="Y8167" s="1"/>
      <c r="AB8167" s="1"/>
      <c r="AC8167" s="1"/>
      <c r="AD8167" s="1"/>
      <c r="AE8167" s="1"/>
      <c r="AF8167" s="1"/>
      <c r="AG8167" s="1"/>
      <c r="AH8167" s="1"/>
      <c r="AI8167" s="1"/>
      <c r="AJ8167" s="1"/>
      <c r="AK8167" s="1"/>
      <c r="AL8167" s="1"/>
      <c r="AM8167" s="1"/>
    </row>
    <row r="8168" spans="16:39" x14ac:dyDescent="0.25">
      <c r="P8168" s="49"/>
      <c r="Q8168" s="1"/>
      <c r="S8168" s="1"/>
      <c r="T8168" s="1"/>
      <c r="U8168" s="1"/>
      <c r="V8168" s="1"/>
      <c r="W8168" s="1"/>
      <c r="X8168" s="1"/>
      <c r="Y8168" s="1"/>
      <c r="AB8168" s="1"/>
      <c r="AC8168" s="1"/>
      <c r="AD8168" s="1"/>
      <c r="AE8168" s="1"/>
      <c r="AF8168" s="1"/>
      <c r="AG8168" s="1"/>
      <c r="AH8168" s="1"/>
      <c r="AI8168" s="1"/>
      <c r="AJ8168" s="1"/>
      <c r="AK8168" s="1"/>
      <c r="AL8168" s="1"/>
      <c r="AM8168" s="1"/>
    </row>
    <row r="8169" spans="16:39" x14ac:dyDescent="0.25">
      <c r="P8169" s="49"/>
      <c r="Q8169" s="1"/>
      <c r="S8169" s="1"/>
      <c r="T8169" s="1"/>
      <c r="U8169" s="1"/>
      <c r="V8169" s="1"/>
      <c r="W8169" s="1"/>
      <c r="X8169" s="1"/>
      <c r="Y8169" s="1"/>
      <c r="AB8169" s="1"/>
      <c r="AC8169" s="1"/>
      <c r="AD8169" s="1"/>
      <c r="AE8169" s="1"/>
      <c r="AF8169" s="1"/>
      <c r="AG8169" s="1"/>
      <c r="AH8169" s="1"/>
      <c r="AI8169" s="1"/>
      <c r="AJ8169" s="1"/>
      <c r="AK8169" s="1"/>
      <c r="AL8169" s="1"/>
      <c r="AM8169" s="1"/>
    </row>
    <row r="8170" spans="16:39" x14ac:dyDescent="0.25">
      <c r="P8170" s="49"/>
      <c r="Q8170" s="1"/>
      <c r="S8170" s="1"/>
      <c r="T8170" s="1"/>
      <c r="U8170" s="1"/>
      <c r="V8170" s="1"/>
      <c r="W8170" s="1"/>
      <c r="X8170" s="1"/>
      <c r="Y8170" s="1"/>
      <c r="AB8170" s="1"/>
      <c r="AC8170" s="1"/>
      <c r="AD8170" s="1"/>
      <c r="AE8170" s="1"/>
      <c r="AF8170" s="1"/>
      <c r="AG8170" s="1"/>
      <c r="AH8170" s="1"/>
      <c r="AI8170" s="1"/>
      <c r="AJ8170" s="1"/>
      <c r="AK8170" s="1"/>
      <c r="AL8170" s="1"/>
      <c r="AM8170" s="1"/>
    </row>
    <row r="8171" spans="16:39" x14ac:dyDescent="0.25">
      <c r="P8171" s="49"/>
      <c r="Q8171" s="1"/>
      <c r="S8171" s="1"/>
      <c r="T8171" s="1"/>
      <c r="U8171" s="1"/>
      <c r="V8171" s="1"/>
      <c r="W8171" s="1"/>
      <c r="X8171" s="1"/>
      <c r="Y8171" s="1"/>
      <c r="AB8171" s="1"/>
      <c r="AC8171" s="1"/>
      <c r="AD8171" s="1"/>
      <c r="AE8171" s="1"/>
      <c r="AF8171" s="1"/>
      <c r="AG8171" s="1"/>
      <c r="AH8171" s="1"/>
      <c r="AI8171" s="1"/>
      <c r="AJ8171" s="1"/>
      <c r="AK8171" s="1"/>
      <c r="AL8171" s="1"/>
      <c r="AM8171" s="1"/>
    </row>
    <row r="8172" spans="16:39" x14ac:dyDescent="0.25">
      <c r="P8172" s="49"/>
      <c r="Q8172" s="1"/>
      <c r="S8172" s="1"/>
      <c r="T8172" s="1"/>
      <c r="U8172" s="1"/>
      <c r="V8172" s="1"/>
      <c r="W8172" s="1"/>
      <c r="X8172" s="1"/>
      <c r="Y8172" s="1"/>
      <c r="AB8172" s="1"/>
      <c r="AC8172" s="1"/>
      <c r="AD8172" s="1"/>
      <c r="AE8172" s="1"/>
      <c r="AF8172" s="1"/>
      <c r="AG8172" s="1"/>
      <c r="AH8172" s="1"/>
      <c r="AI8172" s="1"/>
      <c r="AJ8172" s="1"/>
      <c r="AK8172" s="1"/>
      <c r="AL8172" s="1"/>
      <c r="AM8172" s="1"/>
    </row>
    <row r="8173" spans="16:39" x14ac:dyDescent="0.25">
      <c r="P8173" s="49"/>
      <c r="Q8173" s="1"/>
      <c r="S8173" s="1"/>
      <c r="T8173" s="1"/>
      <c r="U8173" s="1"/>
      <c r="V8173" s="1"/>
      <c r="W8173" s="1"/>
      <c r="X8173" s="1"/>
      <c r="Y8173" s="1"/>
      <c r="AB8173" s="1"/>
      <c r="AC8173" s="1"/>
      <c r="AD8173" s="1"/>
      <c r="AE8173" s="1"/>
      <c r="AF8173" s="1"/>
      <c r="AG8173" s="1"/>
      <c r="AH8173" s="1"/>
      <c r="AI8173" s="1"/>
      <c r="AJ8173" s="1"/>
      <c r="AK8173" s="1"/>
      <c r="AL8173" s="1"/>
      <c r="AM8173" s="1"/>
    </row>
    <row r="8174" spans="16:39" x14ac:dyDescent="0.25">
      <c r="P8174" s="49"/>
      <c r="Q8174" s="1"/>
      <c r="S8174" s="1"/>
      <c r="T8174" s="1"/>
      <c r="U8174" s="1"/>
      <c r="V8174" s="1"/>
      <c r="W8174" s="1"/>
      <c r="X8174" s="1"/>
      <c r="Y8174" s="1"/>
      <c r="AB8174" s="1"/>
      <c r="AC8174" s="1"/>
      <c r="AD8174" s="1"/>
      <c r="AE8174" s="1"/>
      <c r="AF8174" s="1"/>
      <c r="AG8174" s="1"/>
      <c r="AH8174" s="1"/>
      <c r="AI8174" s="1"/>
      <c r="AJ8174" s="1"/>
      <c r="AK8174" s="1"/>
      <c r="AL8174" s="1"/>
      <c r="AM8174" s="1"/>
    </row>
    <row r="8175" spans="16:39" x14ac:dyDescent="0.25">
      <c r="P8175" s="49"/>
      <c r="Q8175" s="1"/>
      <c r="S8175" s="1"/>
      <c r="T8175" s="1"/>
      <c r="U8175" s="1"/>
      <c r="V8175" s="1"/>
      <c r="W8175" s="1"/>
      <c r="X8175" s="1"/>
      <c r="Y8175" s="1"/>
      <c r="AB8175" s="1"/>
      <c r="AC8175" s="1"/>
      <c r="AD8175" s="1"/>
      <c r="AE8175" s="1"/>
      <c r="AF8175" s="1"/>
      <c r="AG8175" s="1"/>
      <c r="AH8175" s="1"/>
      <c r="AI8175" s="1"/>
      <c r="AJ8175" s="1"/>
      <c r="AK8175" s="1"/>
      <c r="AL8175" s="1"/>
      <c r="AM8175" s="1"/>
    </row>
    <row r="8176" spans="16:39" x14ac:dyDescent="0.25">
      <c r="P8176" s="49"/>
      <c r="Q8176" s="1"/>
      <c r="S8176" s="1"/>
      <c r="T8176" s="1"/>
      <c r="U8176" s="1"/>
      <c r="V8176" s="1"/>
      <c r="W8176" s="1"/>
      <c r="X8176" s="1"/>
      <c r="Y8176" s="1"/>
      <c r="AB8176" s="1"/>
      <c r="AC8176" s="1"/>
      <c r="AD8176" s="1"/>
      <c r="AE8176" s="1"/>
      <c r="AF8176" s="1"/>
      <c r="AG8176" s="1"/>
      <c r="AH8176" s="1"/>
      <c r="AI8176" s="1"/>
      <c r="AJ8176" s="1"/>
      <c r="AK8176" s="1"/>
      <c r="AL8176" s="1"/>
      <c r="AM8176" s="1"/>
    </row>
    <row r="8177" spans="16:39" x14ac:dyDescent="0.25">
      <c r="P8177" s="49"/>
      <c r="Q8177" s="1"/>
      <c r="S8177" s="1"/>
      <c r="T8177" s="1"/>
      <c r="U8177" s="1"/>
      <c r="V8177" s="1"/>
      <c r="W8177" s="1"/>
      <c r="X8177" s="1"/>
      <c r="Y8177" s="1"/>
      <c r="AB8177" s="1"/>
      <c r="AC8177" s="1"/>
      <c r="AD8177" s="1"/>
      <c r="AE8177" s="1"/>
      <c r="AF8177" s="1"/>
      <c r="AG8177" s="1"/>
      <c r="AH8177" s="1"/>
      <c r="AI8177" s="1"/>
      <c r="AJ8177" s="1"/>
      <c r="AK8177" s="1"/>
      <c r="AL8177" s="1"/>
      <c r="AM8177" s="1"/>
    </row>
    <row r="8178" spans="16:39" x14ac:dyDescent="0.25">
      <c r="P8178" s="49"/>
      <c r="Q8178" s="1"/>
      <c r="S8178" s="1"/>
      <c r="T8178" s="1"/>
      <c r="U8178" s="1"/>
      <c r="V8178" s="1"/>
      <c r="W8178" s="1"/>
      <c r="X8178" s="1"/>
      <c r="Y8178" s="1"/>
      <c r="AB8178" s="1"/>
      <c r="AC8178" s="1"/>
      <c r="AD8178" s="1"/>
      <c r="AE8178" s="1"/>
      <c r="AF8178" s="1"/>
      <c r="AG8178" s="1"/>
      <c r="AH8178" s="1"/>
      <c r="AI8178" s="1"/>
      <c r="AJ8178" s="1"/>
      <c r="AK8178" s="1"/>
      <c r="AL8178" s="1"/>
      <c r="AM8178" s="1"/>
    </row>
    <row r="8179" spans="16:39" x14ac:dyDescent="0.25">
      <c r="P8179" s="49"/>
      <c r="Q8179" s="1"/>
      <c r="S8179" s="1"/>
      <c r="T8179" s="1"/>
      <c r="U8179" s="1"/>
      <c r="V8179" s="1"/>
      <c r="W8179" s="1"/>
      <c r="X8179" s="1"/>
      <c r="Y8179" s="1"/>
      <c r="AB8179" s="1"/>
      <c r="AC8179" s="1"/>
      <c r="AD8179" s="1"/>
      <c r="AE8179" s="1"/>
      <c r="AF8179" s="1"/>
      <c r="AG8179" s="1"/>
      <c r="AH8179" s="1"/>
      <c r="AI8179" s="1"/>
      <c r="AJ8179" s="1"/>
      <c r="AK8179" s="1"/>
      <c r="AL8179" s="1"/>
      <c r="AM8179" s="1"/>
    </row>
    <row r="8180" spans="16:39" x14ac:dyDescent="0.25">
      <c r="P8180" s="49"/>
      <c r="Q8180" s="1"/>
      <c r="S8180" s="1"/>
      <c r="T8180" s="1"/>
      <c r="U8180" s="1"/>
      <c r="V8180" s="1"/>
      <c r="W8180" s="1"/>
      <c r="X8180" s="1"/>
      <c r="Y8180" s="1"/>
      <c r="AB8180" s="1"/>
      <c r="AC8180" s="1"/>
      <c r="AD8180" s="1"/>
      <c r="AE8180" s="1"/>
      <c r="AF8180" s="1"/>
      <c r="AG8180" s="1"/>
      <c r="AH8180" s="1"/>
      <c r="AI8180" s="1"/>
      <c r="AJ8180" s="1"/>
      <c r="AK8180" s="1"/>
      <c r="AL8180" s="1"/>
      <c r="AM8180" s="1"/>
    </row>
    <row r="8181" spans="16:39" x14ac:dyDescent="0.25">
      <c r="P8181" s="49"/>
      <c r="Q8181" s="1"/>
      <c r="S8181" s="1"/>
      <c r="T8181" s="1"/>
      <c r="U8181" s="1"/>
      <c r="V8181" s="1"/>
      <c r="W8181" s="1"/>
      <c r="X8181" s="1"/>
      <c r="Y8181" s="1"/>
      <c r="AB8181" s="1"/>
      <c r="AC8181" s="1"/>
      <c r="AD8181" s="1"/>
      <c r="AE8181" s="1"/>
      <c r="AF8181" s="1"/>
      <c r="AG8181" s="1"/>
      <c r="AH8181" s="1"/>
      <c r="AI8181" s="1"/>
      <c r="AJ8181" s="1"/>
      <c r="AK8181" s="1"/>
      <c r="AL8181" s="1"/>
      <c r="AM8181" s="1"/>
    </row>
    <row r="8182" spans="16:39" x14ac:dyDescent="0.25">
      <c r="P8182" s="49"/>
      <c r="Q8182" s="1"/>
      <c r="S8182" s="1"/>
      <c r="T8182" s="1"/>
      <c r="U8182" s="1"/>
      <c r="V8182" s="1"/>
      <c r="W8182" s="1"/>
      <c r="X8182" s="1"/>
      <c r="Y8182" s="1"/>
      <c r="AB8182" s="1"/>
      <c r="AC8182" s="1"/>
      <c r="AD8182" s="1"/>
      <c r="AE8182" s="1"/>
      <c r="AF8182" s="1"/>
      <c r="AG8182" s="1"/>
      <c r="AH8182" s="1"/>
      <c r="AI8182" s="1"/>
      <c r="AJ8182" s="1"/>
      <c r="AK8182" s="1"/>
      <c r="AL8182" s="1"/>
      <c r="AM8182" s="1"/>
    </row>
    <row r="8183" spans="16:39" x14ac:dyDescent="0.25">
      <c r="P8183" s="49"/>
      <c r="Q8183" s="1"/>
      <c r="S8183" s="1"/>
      <c r="T8183" s="1"/>
      <c r="U8183" s="1"/>
      <c r="V8183" s="1"/>
      <c r="W8183" s="1"/>
      <c r="X8183" s="1"/>
      <c r="Y8183" s="1"/>
      <c r="AB8183" s="1"/>
      <c r="AC8183" s="1"/>
      <c r="AD8183" s="1"/>
      <c r="AE8183" s="1"/>
      <c r="AF8183" s="1"/>
      <c r="AG8183" s="1"/>
      <c r="AH8183" s="1"/>
      <c r="AI8183" s="1"/>
      <c r="AJ8183" s="1"/>
      <c r="AK8183" s="1"/>
      <c r="AL8183" s="1"/>
      <c r="AM8183" s="1"/>
    </row>
    <row r="8184" spans="16:39" x14ac:dyDescent="0.25">
      <c r="P8184" s="49"/>
      <c r="Q8184" s="1"/>
      <c r="S8184" s="1"/>
      <c r="T8184" s="1"/>
      <c r="U8184" s="1"/>
      <c r="V8184" s="1"/>
      <c r="W8184" s="1"/>
      <c r="X8184" s="1"/>
      <c r="Y8184" s="1"/>
      <c r="AB8184" s="1"/>
      <c r="AC8184" s="1"/>
      <c r="AD8184" s="1"/>
      <c r="AE8184" s="1"/>
      <c r="AF8184" s="1"/>
      <c r="AG8184" s="1"/>
      <c r="AH8184" s="1"/>
      <c r="AI8184" s="1"/>
      <c r="AJ8184" s="1"/>
      <c r="AK8184" s="1"/>
      <c r="AL8184" s="1"/>
      <c r="AM8184" s="1"/>
    </row>
    <row r="8185" spans="16:39" x14ac:dyDescent="0.25">
      <c r="P8185" s="49"/>
      <c r="Q8185" s="1"/>
      <c r="S8185" s="1"/>
      <c r="T8185" s="1"/>
      <c r="U8185" s="1"/>
      <c r="V8185" s="1"/>
      <c r="W8185" s="1"/>
      <c r="X8185" s="1"/>
      <c r="Y8185" s="1"/>
      <c r="AB8185" s="1"/>
      <c r="AC8185" s="1"/>
      <c r="AD8185" s="1"/>
      <c r="AE8185" s="1"/>
      <c r="AF8185" s="1"/>
      <c r="AG8185" s="1"/>
      <c r="AH8185" s="1"/>
      <c r="AI8185" s="1"/>
      <c r="AJ8185" s="1"/>
      <c r="AK8185" s="1"/>
      <c r="AL8185" s="1"/>
      <c r="AM8185" s="1"/>
    </row>
    <row r="8186" spans="16:39" x14ac:dyDescent="0.25">
      <c r="P8186" s="49"/>
      <c r="Q8186" s="1"/>
      <c r="S8186" s="1"/>
      <c r="T8186" s="1"/>
      <c r="U8186" s="1"/>
      <c r="V8186" s="1"/>
      <c r="W8186" s="1"/>
      <c r="X8186" s="1"/>
      <c r="Y8186" s="1"/>
      <c r="AB8186" s="1"/>
      <c r="AC8186" s="1"/>
      <c r="AD8186" s="1"/>
      <c r="AE8186" s="1"/>
      <c r="AF8186" s="1"/>
      <c r="AG8186" s="1"/>
      <c r="AH8186" s="1"/>
      <c r="AI8186" s="1"/>
      <c r="AJ8186" s="1"/>
      <c r="AK8186" s="1"/>
      <c r="AL8186" s="1"/>
      <c r="AM8186" s="1"/>
    </row>
    <row r="8187" spans="16:39" x14ac:dyDescent="0.25">
      <c r="P8187" s="49"/>
      <c r="Q8187" s="1"/>
      <c r="S8187" s="1"/>
      <c r="T8187" s="1"/>
      <c r="U8187" s="1"/>
      <c r="V8187" s="1"/>
      <c r="W8187" s="1"/>
      <c r="X8187" s="1"/>
      <c r="Y8187" s="1"/>
      <c r="AB8187" s="1"/>
      <c r="AC8187" s="1"/>
      <c r="AD8187" s="1"/>
      <c r="AE8187" s="1"/>
      <c r="AF8187" s="1"/>
      <c r="AG8187" s="1"/>
      <c r="AH8187" s="1"/>
      <c r="AI8187" s="1"/>
      <c r="AJ8187" s="1"/>
      <c r="AK8187" s="1"/>
      <c r="AL8187" s="1"/>
      <c r="AM8187" s="1"/>
    </row>
    <row r="8188" spans="16:39" x14ac:dyDescent="0.25">
      <c r="P8188" s="49"/>
      <c r="Q8188" s="1"/>
      <c r="S8188" s="1"/>
      <c r="T8188" s="1"/>
      <c r="U8188" s="1"/>
      <c r="V8188" s="1"/>
      <c r="W8188" s="1"/>
      <c r="X8188" s="1"/>
      <c r="Y8188" s="1"/>
      <c r="AB8188" s="1"/>
      <c r="AC8188" s="1"/>
      <c r="AD8188" s="1"/>
      <c r="AE8188" s="1"/>
      <c r="AF8188" s="1"/>
      <c r="AG8188" s="1"/>
      <c r="AH8188" s="1"/>
      <c r="AI8188" s="1"/>
      <c r="AJ8188" s="1"/>
      <c r="AK8188" s="1"/>
      <c r="AL8188" s="1"/>
      <c r="AM8188" s="1"/>
    </row>
    <row r="8189" spans="16:39" x14ac:dyDescent="0.25">
      <c r="P8189" s="49"/>
      <c r="Q8189" s="1"/>
      <c r="S8189" s="1"/>
      <c r="T8189" s="1"/>
      <c r="U8189" s="1"/>
      <c r="V8189" s="1"/>
      <c r="W8189" s="1"/>
      <c r="X8189" s="1"/>
      <c r="Y8189" s="1"/>
      <c r="AB8189" s="1"/>
      <c r="AC8189" s="1"/>
      <c r="AD8189" s="1"/>
      <c r="AE8189" s="1"/>
      <c r="AF8189" s="1"/>
      <c r="AG8189" s="1"/>
      <c r="AH8189" s="1"/>
      <c r="AI8189" s="1"/>
      <c r="AJ8189" s="1"/>
      <c r="AK8189" s="1"/>
      <c r="AL8189" s="1"/>
      <c r="AM8189" s="1"/>
    </row>
    <row r="8190" spans="16:39" x14ac:dyDescent="0.25">
      <c r="P8190" s="49"/>
      <c r="Q8190" s="1"/>
      <c r="S8190" s="1"/>
      <c r="T8190" s="1"/>
      <c r="U8190" s="1"/>
      <c r="V8190" s="1"/>
      <c r="W8190" s="1"/>
      <c r="X8190" s="1"/>
      <c r="Y8190" s="1"/>
      <c r="AB8190" s="1"/>
      <c r="AC8190" s="1"/>
      <c r="AD8190" s="1"/>
      <c r="AE8190" s="1"/>
      <c r="AF8190" s="1"/>
      <c r="AG8190" s="1"/>
      <c r="AH8190" s="1"/>
      <c r="AI8190" s="1"/>
      <c r="AJ8190" s="1"/>
      <c r="AK8190" s="1"/>
      <c r="AL8190" s="1"/>
      <c r="AM8190" s="1"/>
    </row>
    <row r="8191" spans="16:39" x14ac:dyDescent="0.25">
      <c r="P8191" s="49"/>
      <c r="Q8191" s="1"/>
      <c r="S8191" s="1"/>
      <c r="T8191" s="1"/>
      <c r="U8191" s="1"/>
      <c r="V8191" s="1"/>
      <c r="W8191" s="1"/>
      <c r="X8191" s="1"/>
      <c r="Y8191" s="1"/>
      <c r="AB8191" s="1"/>
      <c r="AC8191" s="1"/>
      <c r="AD8191" s="1"/>
      <c r="AE8191" s="1"/>
      <c r="AF8191" s="1"/>
      <c r="AG8191" s="1"/>
      <c r="AH8191" s="1"/>
      <c r="AI8191" s="1"/>
      <c r="AJ8191" s="1"/>
      <c r="AK8191" s="1"/>
      <c r="AL8191" s="1"/>
      <c r="AM8191" s="1"/>
    </row>
    <row r="8192" spans="16:39" x14ac:dyDescent="0.25">
      <c r="P8192" s="49"/>
      <c r="Q8192" s="1"/>
      <c r="S8192" s="1"/>
      <c r="T8192" s="1"/>
      <c r="U8192" s="1"/>
      <c r="V8192" s="1"/>
      <c r="W8192" s="1"/>
      <c r="X8192" s="1"/>
      <c r="Y8192" s="1"/>
      <c r="AB8192" s="1"/>
      <c r="AC8192" s="1"/>
      <c r="AD8192" s="1"/>
      <c r="AE8192" s="1"/>
      <c r="AF8192" s="1"/>
      <c r="AG8192" s="1"/>
      <c r="AH8192" s="1"/>
      <c r="AI8192" s="1"/>
      <c r="AJ8192" s="1"/>
      <c r="AK8192" s="1"/>
      <c r="AL8192" s="1"/>
      <c r="AM8192" s="1"/>
    </row>
    <row r="8193" spans="16:39" x14ac:dyDescent="0.25">
      <c r="P8193" s="49"/>
      <c r="Q8193" s="1"/>
      <c r="S8193" s="1"/>
      <c r="T8193" s="1"/>
      <c r="U8193" s="1"/>
      <c r="V8193" s="1"/>
      <c r="W8193" s="1"/>
      <c r="X8193" s="1"/>
      <c r="Y8193" s="1"/>
      <c r="AB8193" s="1"/>
      <c r="AC8193" s="1"/>
      <c r="AD8193" s="1"/>
      <c r="AE8193" s="1"/>
      <c r="AF8193" s="1"/>
      <c r="AG8193" s="1"/>
      <c r="AH8193" s="1"/>
      <c r="AI8193" s="1"/>
      <c r="AJ8193" s="1"/>
      <c r="AK8193" s="1"/>
      <c r="AL8193" s="1"/>
      <c r="AM8193" s="1"/>
    </row>
    <row r="8194" spans="16:39" x14ac:dyDescent="0.25">
      <c r="P8194" s="49"/>
      <c r="Q8194" s="1"/>
      <c r="S8194" s="1"/>
      <c r="T8194" s="1"/>
      <c r="U8194" s="1"/>
      <c r="V8194" s="1"/>
      <c r="W8194" s="1"/>
      <c r="X8194" s="1"/>
      <c r="Y8194" s="1"/>
      <c r="AB8194" s="1"/>
      <c r="AC8194" s="1"/>
      <c r="AD8194" s="1"/>
      <c r="AE8194" s="1"/>
      <c r="AF8194" s="1"/>
      <c r="AG8194" s="1"/>
      <c r="AH8194" s="1"/>
      <c r="AI8194" s="1"/>
      <c r="AJ8194" s="1"/>
      <c r="AK8194" s="1"/>
      <c r="AL8194" s="1"/>
      <c r="AM8194" s="1"/>
    </row>
    <row r="8195" spans="16:39" x14ac:dyDescent="0.25">
      <c r="P8195" s="49"/>
      <c r="Q8195" s="1"/>
      <c r="S8195" s="1"/>
      <c r="T8195" s="1"/>
      <c r="U8195" s="1"/>
      <c r="V8195" s="1"/>
      <c r="W8195" s="1"/>
      <c r="X8195" s="1"/>
      <c r="Y8195" s="1"/>
      <c r="AB8195" s="1"/>
      <c r="AC8195" s="1"/>
      <c r="AD8195" s="1"/>
      <c r="AE8195" s="1"/>
      <c r="AF8195" s="1"/>
      <c r="AG8195" s="1"/>
      <c r="AH8195" s="1"/>
      <c r="AI8195" s="1"/>
      <c r="AJ8195" s="1"/>
      <c r="AK8195" s="1"/>
      <c r="AL8195" s="1"/>
      <c r="AM8195" s="1"/>
    </row>
    <row r="8196" spans="16:39" x14ac:dyDescent="0.25">
      <c r="P8196" s="49"/>
      <c r="Q8196" s="1"/>
      <c r="S8196" s="1"/>
      <c r="T8196" s="1"/>
      <c r="U8196" s="1"/>
      <c r="V8196" s="1"/>
      <c r="W8196" s="1"/>
      <c r="X8196" s="1"/>
      <c r="Y8196" s="1"/>
      <c r="AB8196" s="1"/>
      <c r="AC8196" s="1"/>
      <c r="AD8196" s="1"/>
      <c r="AE8196" s="1"/>
      <c r="AF8196" s="1"/>
      <c r="AG8196" s="1"/>
      <c r="AH8196" s="1"/>
      <c r="AI8196" s="1"/>
      <c r="AJ8196" s="1"/>
      <c r="AK8196" s="1"/>
      <c r="AL8196" s="1"/>
      <c r="AM8196" s="1"/>
    </row>
    <row r="8197" spans="16:39" x14ac:dyDescent="0.25">
      <c r="P8197" s="49"/>
      <c r="Q8197" s="1"/>
      <c r="S8197" s="1"/>
      <c r="T8197" s="1"/>
      <c r="U8197" s="1"/>
      <c r="V8197" s="1"/>
      <c r="W8197" s="1"/>
      <c r="X8197" s="1"/>
      <c r="Y8197" s="1"/>
      <c r="AB8197" s="1"/>
      <c r="AC8197" s="1"/>
      <c r="AD8197" s="1"/>
      <c r="AE8197" s="1"/>
      <c r="AF8197" s="1"/>
      <c r="AG8197" s="1"/>
      <c r="AH8197" s="1"/>
      <c r="AI8197" s="1"/>
      <c r="AJ8197" s="1"/>
      <c r="AK8197" s="1"/>
      <c r="AL8197" s="1"/>
      <c r="AM8197" s="1"/>
    </row>
    <row r="8198" spans="16:39" x14ac:dyDescent="0.25">
      <c r="P8198" s="49"/>
      <c r="Q8198" s="1"/>
      <c r="S8198" s="1"/>
      <c r="T8198" s="1"/>
      <c r="U8198" s="1"/>
      <c r="V8198" s="1"/>
      <c r="W8198" s="1"/>
      <c r="X8198" s="1"/>
      <c r="Y8198" s="1"/>
      <c r="AB8198" s="1"/>
      <c r="AC8198" s="1"/>
      <c r="AD8198" s="1"/>
      <c r="AE8198" s="1"/>
      <c r="AF8198" s="1"/>
      <c r="AG8198" s="1"/>
      <c r="AH8198" s="1"/>
      <c r="AI8198" s="1"/>
      <c r="AJ8198" s="1"/>
      <c r="AK8198" s="1"/>
      <c r="AL8198" s="1"/>
      <c r="AM8198" s="1"/>
    </row>
    <row r="8199" spans="16:39" x14ac:dyDescent="0.25">
      <c r="P8199" s="49"/>
      <c r="Q8199" s="1"/>
      <c r="S8199" s="1"/>
      <c r="T8199" s="1"/>
      <c r="U8199" s="1"/>
      <c r="V8199" s="1"/>
      <c r="W8199" s="1"/>
      <c r="X8199" s="1"/>
      <c r="Y8199" s="1"/>
      <c r="AB8199" s="1"/>
      <c r="AC8199" s="1"/>
      <c r="AD8199" s="1"/>
      <c r="AE8199" s="1"/>
      <c r="AF8199" s="1"/>
      <c r="AG8199" s="1"/>
      <c r="AH8199" s="1"/>
      <c r="AI8199" s="1"/>
      <c r="AJ8199" s="1"/>
      <c r="AK8199" s="1"/>
      <c r="AL8199" s="1"/>
      <c r="AM8199" s="1"/>
    </row>
    <row r="8200" spans="16:39" x14ac:dyDescent="0.25">
      <c r="P8200" s="49"/>
      <c r="Q8200" s="1"/>
      <c r="S8200" s="1"/>
      <c r="T8200" s="1"/>
      <c r="U8200" s="1"/>
      <c r="V8200" s="1"/>
      <c r="W8200" s="1"/>
      <c r="X8200" s="1"/>
      <c r="Y8200" s="1"/>
      <c r="AB8200" s="1"/>
      <c r="AC8200" s="1"/>
      <c r="AD8200" s="1"/>
      <c r="AE8200" s="1"/>
      <c r="AF8200" s="1"/>
      <c r="AG8200" s="1"/>
      <c r="AH8200" s="1"/>
      <c r="AI8200" s="1"/>
      <c r="AJ8200" s="1"/>
      <c r="AK8200" s="1"/>
      <c r="AL8200" s="1"/>
      <c r="AM8200" s="1"/>
    </row>
    <row r="8201" spans="16:39" x14ac:dyDescent="0.25">
      <c r="P8201" s="49"/>
      <c r="Q8201" s="1"/>
      <c r="S8201" s="1"/>
      <c r="T8201" s="1"/>
      <c r="U8201" s="1"/>
      <c r="V8201" s="1"/>
      <c r="W8201" s="1"/>
      <c r="X8201" s="1"/>
      <c r="Y8201" s="1"/>
      <c r="AB8201" s="1"/>
      <c r="AC8201" s="1"/>
      <c r="AD8201" s="1"/>
      <c r="AE8201" s="1"/>
      <c r="AF8201" s="1"/>
      <c r="AG8201" s="1"/>
      <c r="AH8201" s="1"/>
      <c r="AI8201" s="1"/>
      <c r="AJ8201" s="1"/>
      <c r="AK8201" s="1"/>
      <c r="AL8201" s="1"/>
      <c r="AM8201" s="1"/>
    </row>
    <row r="8202" spans="16:39" x14ac:dyDescent="0.25">
      <c r="P8202" s="49"/>
      <c r="Q8202" s="1"/>
      <c r="S8202" s="1"/>
      <c r="T8202" s="1"/>
      <c r="U8202" s="1"/>
      <c r="V8202" s="1"/>
      <c r="W8202" s="1"/>
      <c r="X8202" s="1"/>
      <c r="Y8202" s="1"/>
      <c r="AB8202" s="1"/>
      <c r="AC8202" s="1"/>
      <c r="AD8202" s="1"/>
      <c r="AE8202" s="1"/>
      <c r="AF8202" s="1"/>
      <c r="AG8202" s="1"/>
      <c r="AH8202" s="1"/>
      <c r="AI8202" s="1"/>
      <c r="AJ8202" s="1"/>
      <c r="AK8202" s="1"/>
      <c r="AL8202" s="1"/>
      <c r="AM8202" s="1"/>
    </row>
    <row r="8203" spans="16:39" x14ac:dyDescent="0.25">
      <c r="P8203" s="49"/>
      <c r="Q8203" s="1"/>
      <c r="S8203" s="1"/>
      <c r="T8203" s="1"/>
      <c r="U8203" s="1"/>
      <c r="V8203" s="1"/>
      <c r="W8203" s="1"/>
      <c r="X8203" s="1"/>
      <c r="Y8203" s="1"/>
      <c r="AB8203" s="1"/>
      <c r="AC8203" s="1"/>
      <c r="AD8203" s="1"/>
      <c r="AE8203" s="1"/>
      <c r="AF8203" s="1"/>
      <c r="AG8203" s="1"/>
      <c r="AH8203" s="1"/>
      <c r="AI8203" s="1"/>
      <c r="AJ8203" s="1"/>
      <c r="AK8203" s="1"/>
      <c r="AL8203" s="1"/>
      <c r="AM8203" s="1"/>
    </row>
    <row r="8204" spans="16:39" x14ac:dyDescent="0.25">
      <c r="P8204" s="49"/>
      <c r="Q8204" s="1"/>
      <c r="S8204" s="1"/>
      <c r="T8204" s="1"/>
      <c r="U8204" s="1"/>
      <c r="V8204" s="1"/>
      <c r="W8204" s="1"/>
      <c r="X8204" s="1"/>
      <c r="Y8204" s="1"/>
      <c r="AB8204" s="1"/>
      <c r="AC8204" s="1"/>
      <c r="AD8204" s="1"/>
      <c r="AE8204" s="1"/>
      <c r="AF8204" s="1"/>
      <c r="AG8204" s="1"/>
      <c r="AH8204" s="1"/>
      <c r="AI8204" s="1"/>
      <c r="AJ8204" s="1"/>
      <c r="AK8204" s="1"/>
      <c r="AL8204" s="1"/>
      <c r="AM8204" s="1"/>
    </row>
    <row r="8205" spans="16:39" x14ac:dyDescent="0.25">
      <c r="P8205" s="49"/>
      <c r="Q8205" s="1"/>
      <c r="S8205" s="1"/>
      <c r="T8205" s="1"/>
      <c r="U8205" s="1"/>
      <c r="V8205" s="1"/>
      <c r="W8205" s="1"/>
      <c r="X8205" s="1"/>
      <c r="Y8205" s="1"/>
      <c r="AB8205" s="1"/>
      <c r="AC8205" s="1"/>
      <c r="AD8205" s="1"/>
      <c r="AE8205" s="1"/>
      <c r="AF8205" s="1"/>
      <c r="AG8205" s="1"/>
      <c r="AH8205" s="1"/>
      <c r="AI8205" s="1"/>
      <c r="AJ8205" s="1"/>
      <c r="AK8205" s="1"/>
      <c r="AL8205" s="1"/>
      <c r="AM8205" s="1"/>
    </row>
    <row r="8206" spans="16:39" x14ac:dyDescent="0.25">
      <c r="P8206" s="49"/>
      <c r="Q8206" s="1"/>
      <c r="S8206" s="1"/>
      <c r="T8206" s="1"/>
      <c r="U8206" s="1"/>
      <c r="V8206" s="1"/>
      <c r="W8206" s="1"/>
      <c r="X8206" s="1"/>
      <c r="Y8206" s="1"/>
      <c r="AB8206" s="1"/>
      <c r="AC8206" s="1"/>
      <c r="AD8206" s="1"/>
      <c r="AE8206" s="1"/>
      <c r="AF8206" s="1"/>
      <c r="AG8206" s="1"/>
      <c r="AH8206" s="1"/>
      <c r="AI8206" s="1"/>
      <c r="AJ8206" s="1"/>
      <c r="AK8206" s="1"/>
      <c r="AL8206" s="1"/>
      <c r="AM8206" s="1"/>
    </row>
    <row r="8207" spans="16:39" x14ac:dyDescent="0.25">
      <c r="P8207" s="49"/>
      <c r="Q8207" s="1"/>
      <c r="S8207" s="1"/>
      <c r="T8207" s="1"/>
      <c r="U8207" s="1"/>
      <c r="V8207" s="1"/>
      <c r="W8207" s="1"/>
      <c r="X8207" s="1"/>
      <c r="Y8207" s="1"/>
      <c r="AB8207" s="1"/>
      <c r="AC8207" s="1"/>
      <c r="AD8207" s="1"/>
      <c r="AE8207" s="1"/>
      <c r="AF8207" s="1"/>
      <c r="AG8207" s="1"/>
      <c r="AH8207" s="1"/>
      <c r="AI8207" s="1"/>
      <c r="AJ8207" s="1"/>
      <c r="AK8207" s="1"/>
      <c r="AL8207" s="1"/>
      <c r="AM8207" s="1"/>
    </row>
    <row r="8208" spans="16:39" x14ac:dyDescent="0.25">
      <c r="P8208" s="49"/>
      <c r="Q8208" s="1"/>
      <c r="S8208" s="1"/>
      <c r="T8208" s="1"/>
      <c r="U8208" s="1"/>
      <c r="V8208" s="1"/>
      <c r="W8208" s="1"/>
      <c r="X8208" s="1"/>
      <c r="Y8208" s="1"/>
      <c r="AB8208" s="1"/>
      <c r="AC8208" s="1"/>
      <c r="AD8208" s="1"/>
      <c r="AE8208" s="1"/>
      <c r="AF8208" s="1"/>
      <c r="AG8208" s="1"/>
      <c r="AH8208" s="1"/>
      <c r="AI8208" s="1"/>
      <c r="AJ8208" s="1"/>
      <c r="AK8208" s="1"/>
      <c r="AL8208" s="1"/>
      <c r="AM8208" s="1"/>
    </row>
    <row r="8209" spans="16:39" x14ac:dyDescent="0.25">
      <c r="P8209" s="49"/>
      <c r="Q8209" s="1"/>
      <c r="S8209" s="1"/>
      <c r="T8209" s="1"/>
      <c r="U8209" s="1"/>
      <c r="V8209" s="1"/>
      <c r="W8209" s="1"/>
      <c r="X8209" s="1"/>
      <c r="Y8209" s="1"/>
      <c r="AB8209" s="1"/>
      <c r="AC8209" s="1"/>
      <c r="AD8209" s="1"/>
      <c r="AE8209" s="1"/>
      <c r="AF8209" s="1"/>
      <c r="AG8209" s="1"/>
      <c r="AH8209" s="1"/>
      <c r="AI8209" s="1"/>
      <c r="AJ8209" s="1"/>
      <c r="AK8209" s="1"/>
      <c r="AL8209" s="1"/>
      <c r="AM8209" s="1"/>
    </row>
    <row r="8210" spans="16:39" x14ac:dyDescent="0.25">
      <c r="P8210" s="49"/>
      <c r="Q8210" s="1"/>
      <c r="S8210" s="1"/>
      <c r="T8210" s="1"/>
      <c r="U8210" s="1"/>
      <c r="V8210" s="1"/>
      <c r="W8210" s="1"/>
      <c r="X8210" s="1"/>
      <c r="Y8210" s="1"/>
      <c r="AB8210" s="1"/>
      <c r="AC8210" s="1"/>
      <c r="AD8210" s="1"/>
      <c r="AE8210" s="1"/>
      <c r="AF8210" s="1"/>
      <c r="AG8210" s="1"/>
      <c r="AH8210" s="1"/>
      <c r="AI8210" s="1"/>
      <c r="AJ8210" s="1"/>
      <c r="AK8210" s="1"/>
      <c r="AL8210" s="1"/>
      <c r="AM8210" s="1"/>
    </row>
    <row r="8211" spans="16:39" x14ac:dyDescent="0.25">
      <c r="P8211" s="49"/>
      <c r="Q8211" s="1"/>
      <c r="S8211" s="1"/>
      <c r="T8211" s="1"/>
      <c r="U8211" s="1"/>
      <c r="V8211" s="1"/>
      <c r="W8211" s="1"/>
      <c r="X8211" s="1"/>
      <c r="Y8211" s="1"/>
      <c r="AB8211" s="1"/>
      <c r="AC8211" s="1"/>
      <c r="AD8211" s="1"/>
      <c r="AE8211" s="1"/>
      <c r="AF8211" s="1"/>
      <c r="AG8211" s="1"/>
      <c r="AH8211" s="1"/>
      <c r="AI8211" s="1"/>
      <c r="AJ8211" s="1"/>
      <c r="AK8211" s="1"/>
      <c r="AL8211" s="1"/>
      <c r="AM8211" s="1"/>
    </row>
    <row r="8212" spans="16:39" x14ac:dyDescent="0.25">
      <c r="P8212" s="49"/>
      <c r="Q8212" s="1"/>
      <c r="S8212" s="1"/>
      <c r="T8212" s="1"/>
      <c r="U8212" s="1"/>
      <c r="V8212" s="1"/>
      <c r="W8212" s="1"/>
      <c r="X8212" s="1"/>
      <c r="Y8212" s="1"/>
      <c r="AB8212" s="1"/>
      <c r="AC8212" s="1"/>
      <c r="AD8212" s="1"/>
      <c r="AE8212" s="1"/>
      <c r="AF8212" s="1"/>
      <c r="AG8212" s="1"/>
      <c r="AH8212" s="1"/>
      <c r="AI8212" s="1"/>
      <c r="AJ8212" s="1"/>
      <c r="AK8212" s="1"/>
      <c r="AL8212" s="1"/>
      <c r="AM8212" s="1"/>
    </row>
    <row r="8213" spans="16:39" x14ac:dyDescent="0.25">
      <c r="P8213" s="49"/>
      <c r="Q8213" s="1"/>
      <c r="S8213" s="1"/>
      <c r="T8213" s="1"/>
      <c r="U8213" s="1"/>
      <c r="V8213" s="1"/>
      <c r="W8213" s="1"/>
      <c r="X8213" s="1"/>
      <c r="Y8213" s="1"/>
      <c r="AB8213" s="1"/>
      <c r="AC8213" s="1"/>
      <c r="AD8213" s="1"/>
      <c r="AE8213" s="1"/>
      <c r="AF8213" s="1"/>
      <c r="AG8213" s="1"/>
      <c r="AH8213" s="1"/>
      <c r="AI8213" s="1"/>
      <c r="AJ8213" s="1"/>
      <c r="AK8213" s="1"/>
      <c r="AL8213" s="1"/>
      <c r="AM8213" s="1"/>
    </row>
    <row r="8214" spans="16:39" x14ac:dyDescent="0.25">
      <c r="P8214" s="49"/>
      <c r="Q8214" s="1"/>
      <c r="S8214" s="1"/>
      <c r="T8214" s="1"/>
      <c r="U8214" s="1"/>
      <c r="V8214" s="1"/>
      <c r="W8214" s="1"/>
      <c r="X8214" s="1"/>
      <c r="Y8214" s="1"/>
      <c r="AB8214" s="1"/>
      <c r="AC8214" s="1"/>
      <c r="AD8214" s="1"/>
      <c r="AE8214" s="1"/>
      <c r="AF8214" s="1"/>
      <c r="AG8214" s="1"/>
      <c r="AH8214" s="1"/>
      <c r="AI8214" s="1"/>
      <c r="AJ8214" s="1"/>
      <c r="AK8214" s="1"/>
      <c r="AL8214" s="1"/>
      <c r="AM8214" s="1"/>
    </row>
    <row r="8215" spans="16:39" x14ac:dyDescent="0.25">
      <c r="P8215" s="49"/>
      <c r="Q8215" s="1"/>
      <c r="S8215" s="1"/>
      <c r="T8215" s="1"/>
      <c r="U8215" s="1"/>
      <c r="V8215" s="1"/>
      <c r="W8215" s="1"/>
      <c r="X8215" s="1"/>
      <c r="Y8215" s="1"/>
      <c r="AB8215" s="1"/>
      <c r="AC8215" s="1"/>
      <c r="AD8215" s="1"/>
      <c r="AE8215" s="1"/>
      <c r="AF8215" s="1"/>
      <c r="AG8215" s="1"/>
      <c r="AH8215" s="1"/>
      <c r="AI8215" s="1"/>
      <c r="AJ8215" s="1"/>
      <c r="AK8215" s="1"/>
      <c r="AL8215" s="1"/>
      <c r="AM8215" s="1"/>
    </row>
    <row r="8216" spans="16:39" x14ac:dyDescent="0.25">
      <c r="P8216" s="49"/>
      <c r="Q8216" s="1"/>
      <c r="S8216" s="1"/>
      <c r="T8216" s="1"/>
      <c r="U8216" s="1"/>
      <c r="V8216" s="1"/>
      <c r="W8216" s="1"/>
      <c r="X8216" s="1"/>
      <c r="Y8216" s="1"/>
      <c r="AB8216" s="1"/>
      <c r="AC8216" s="1"/>
      <c r="AD8216" s="1"/>
      <c r="AE8216" s="1"/>
      <c r="AF8216" s="1"/>
      <c r="AG8216" s="1"/>
      <c r="AH8216" s="1"/>
      <c r="AI8216" s="1"/>
      <c r="AJ8216" s="1"/>
      <c r="AK8216" s="1"/>
      <c r="AL8216" s="1"/>
      <c r="AM8216" s="1"/>
    </row>
    <row r="8217" spans="16:39" x14ac:dyDescent="0.25">
      <c r="P8217" s="49"/>
      <c r="Q8217" s="1"/>
      <c r="S8217" s="1"/>
      <c r="T8217" s="1"/>
      <c r="U8217" s="1"/>
      <c r="V8217" s="1"/>
      <c r="W8217" s="1"/>
      <c r="X8217" s="1"/>
      <c r="Y8217" s="1"/>
      <c r="AB8217" s="1"/>
      <c r="AC8217" s="1"/>
      <c r="AD8217" s="1"/>
      <c r="AE8217" s="1"/>
      <c r="AF8217" s="1"/>
      <c r="AG8217" s="1"/>
      <c r="AH8217" s="1"/>
      <c r="AI8217" s="1"/>
      <c r="AJ8217" s="1"/>
      <c r="AK8217" s="1"/>
      <c r="AL8217" s="1"/>
      <c r="AM8217" s="1"/>
    </row>
    <row r="8218" spans="16:39" x14ac:dyDescent="0.25">
      <c r="P8218" s="49"/>
      <c r="Q8218" s="1"/>
      <c r="S8218" s="1"/>
      <c r="T8218" s="1"/>
      <c r="U8218" s="1"/>
      <c r="V8218" s="1"/>
      <c r="W8218" s="1"/>
      <c r="X8218" s="1"/>
      <c r="Y8218" s="1"/>
      <c r="AB8218" s="1"/>
      <c r="AC8218" s="1"/>
      <c r="AD8218" s="1"/>
      <c r="AE8218" s="1"/>
      <c r="AF8218" s="1"/>
      <c r="AG8218" s="1"/>
      <c r="AH8218" s="1"/>
      <c r="AI8218" s="1"/>
      <c r="AJ8218" s="1"/>
      <c r="AK8218" s="1"/>
      <c r="AL8218" s="1"/>
      <c r="AM8218" s="1"/>
    </row>
    <row r="8219" spans="16:39" x14ac:dyDescent="0.25">
      <c r="P8219" s="49"/>
      <c r="Q8219" s="1"/>
      <c r="S8219" s="1"/>
      <c r="T8219" s="1"/>
      <c r="U8219" s="1"/>
      <c r="V8219" s="1"/>
      <c r="W8219" s="1"/>
      <c r="X8219" s="1"/>
      <c r="Y8219" s="1"/>
      <c r="AB8219" s="1"/>
      <c r="AC8219" s="1"/>
      <c r="AD8219" s="1"/>
      <c r="AE8219" s="1"/>
      <c r="AF8219" s="1"/>
      <c r="AG8219" s="1"/>
      <c r="AH8219" s="1"/>
      <c r="AI8219" s="1"/>
      <c r="AJ8219" s="1"/>
      <c r="AK8219" s="1"/>
      <c r="AL8219" s="1"/>
      <c r="AM8219" s="1"/>
    </row>
    <row r="8220" spans="16:39" x14ac:dyDescent="0.25">
      <c r="P8220" s="49"/>
      <c r="Q8220" s="1"/>
      <c r="S8220" s="1"/>
      <c r="T8220" s="1"/>
      <c r="U8220" s="1"/>
      <c r="V8220" s="1"/>
      <c r="W8220" s="1"/>
      <c r="X8220" s="1"/>
      <c r="Y8220" s="1"/>
      <c r="AB8220" s="1"/>
      <c r="AC8220" s="1"/>
      <c r="AD8220" s="1"/>
      <c r="AE8220" s="1"/>
      <c r="AF8220" s="1"/>
      <c r="AG8220" s="1"/>
      <c r="AH8220" s="1"/>
      <c r="AI8220" s="1"/>
      <c r="AJ8220" s="1"/>
      <c r="AK8220" s="1"/>
      <c r="AL8220" s="1"/>
      <c r="AM8220" s="1"/>
    </row>
    <row r="8221" spans="16:39" x14ac:dyDescent="0.25">
      <c r="P8221" s="49"/>
      <c r="Q8221" s="1"/>
      <c r="S8221" s="1"/>
      <c r="T8221" s="1"/>
      <c r="U8221" s="1"/>
      <c r="V8221" s="1"/>
      <c r="W8221" s="1"/>
      <c r="X8221" s="1"/>
      <c r="Y8221" s="1"/>
      <c r="AB8221" s="1"/>
      <c r="AC8221" s="1"/>
      <c r="AD8221" s="1"/>
      <c r="AE8221" s="1"/>
      <c r="AF8221" s="1"/>
      <c r="AG8221" s="1"/>
      <c r="AH8221" s="1"/>
      <c r="AI8221" s="1"/>
      <c r="AJ8221" s="1"/>
      <c r="AK8221" s="1"/>
      <c r="AL8221" s="1"/>
      <c r="AM8221" s="1"/>
    </row>
    <row r="8222" spans="16:39" x14ac:dyDescent="0.25">
      <c r="P8222" s="49"/>
      <c r="Q8222" s="1"/>
      <c r="S8222" s="1"/>
      <c r="T8222" s="1"/>
      <c r="U8222" s="1"/>
      <c r="V8222" s="1"/>
      <c r="W8222" s="1"/>
      <c r="X8222" s="1"/>
      <c r="Y8222" s="1"/>
      <c r="AB8222" s="1"/>
      <c r="AC8222" s="1"/>
      <c r="AD8222" s="1"/>
      <c r="AE8222" s="1"/>
      <c r="AF8222" s="1"/>
      <c r="AG8222" s="1"/>
      <c r="AH8222" s="1"/>
      <c r="AI8222" s="1"/>
      <c r="AJ8222" s="1"/>
      <c r="AK8222" s="1"/>
      <c r="AL8222" s="1"/>
      <c r="AM8222" s="1"/>
    </row>
    <row r="8223" spans="16:39" x14ac:dyDescent="0.25">
      <c r="P8223" s="49"/>
      <c r="Q8223" s="1"/>
      <c r="S8223" s="1"/>
      <c r="T8223" s="1"/>
      <c r="U8223" s="1"/>
      <c r="V8223" s="1"/>
      <c r="W8223" s="1"/>
      <c r="X8223" s="1"/>
      <c r="Y8223" s="1"/>
      <c r="AB8223" s="1"/>
      <c r="AC8223" s="1"/>
      <c r="AD8223" s="1"/>
      <c r="AE8223" s="1"/>
      <c r="AF8223" s="1"/>
      <c r="AG8223" s="1"/>
      <c r="AH8223" s="1"/>
      <c r="AI8223" s="1"/>
      <c r="AJ8223" s="1"/>
      <c r="AK8223" s="1"/>
      <c r="AL8223" s="1"/>
      <c r="AM8223" s="1"/>
    </row>
    <row r="8224" spans="16:39" x14ac:dyDescent="0.25">
      <c r="P8224" s="49"/>
      <c r="Q8224" s="1"/>
      <c r="S8224" s="1"/>
      <c r="T8224" s="1"/>
      <c r="U8224" s="1"/>
      <c r="V8224" s="1"/>
      <c r="W8224" s="1"/>
      <c r="X8224" s="1"/>
      <c r="Y8224" s="1"/>
      <c r="AB8224" s="1"/>
      <c r="AC8224" s="1"/>
      <c r="AD8224" s="1"/>
      <c r="AE8224" s="1"/>
      <c r="AF8224" s="1"/>
      <c r="AG8224" s="1"/>
      <c r="AH8224" s="1"/>
      <c r="AI8224" s="1"/>
      <c r="AJ8224" s="1"/>
      <c r="AK8224" s="1"/>
      <c r="AL8224" s="1"/>
      <c r="AM8224" s="1"/>
    </row>
    <row r="8225" spans="16:39" x14ac:dyDescent="0.25">
      <c r="P8225" s="49"/>
      <c r="Q8225" s="1"/>
      <c r="S8225" s="1"/>
      <c r="T8225" s="1"/>
      <c r="U8225" s="1"/>
      <c r="V8225" s="1"/>
      <c r="W8225" s="1"/>
      <c r="X8225" s="1"/>
      <c r="Y8225" s="1"/>
      <c r="AB8225" s="1"/>
      <c r="AC8225" s="1"/>
      <c r="AD8225" s="1"/>
      <c r="AE8225" s="1"/>
      <c r="AF8225" s="1"/>
      <c r="AG8225" s="1"/>
      <c r="AH8225" s="1"/>
      <c r="AI8225" s="1"/>
      <c r="AJ8225" s="1"/>
      <c r="AK8225" s="1"/>
      <c r="AL8225" s="1"/>
      <c r="AM8225" s="1"/>
    </row>
    <row r="8226" spans="16:39" x14ac:dyDescent="0.25">
      <c r="P8226" s="49"/>
      <c r="Q8226" s="1"/>
      <c r="S8226" s="1"/>
      <c r="T8226" s="1"/>
      <c r="U8226" s="1"/>
      <c r="V8226" s="1"/>
      <c r="W8226" s="1"/>
      <c r="X8226" s="1"/>
      <c r="Y8226" s="1"/>
      <c r="AB8226" s="1"/>
      <c r="AC8226" s="1"/>
      <c r="AD8226" s="1"/>
      <c r="AE8226" s="1"/>
      <c r="AF8226" s="1"/>
      <c r="AG8226" s="1"/>
      <c r="AH8226" s="1"/>
      <c r="AI8226" s="1"/>
      <c r="AJ8226" s="1"/>
      <c r="AK8226" s="1"/>
      <c r="AL8226" s="1"/>
      <c r="AM8226" s="1"/>
    </row>
    <row r="8227" spans="16:39" x14ac:dyDescent="0.25">
      <c r="P8227" s="49"/>
      <c r="Q8227" s="1"/>
      <c r="S8227" s="1"/>
      <c r="T8227" s="1"/>
      <c r="U8227" s="1"/>
      <c r="V8227" s="1"/>
      <c r="W8227" s="1"/>
      <c r="X8227" s="1"/>
      <c r="Y8227" s="1"/>
      <c r="AB8227" s="1"/>
      <c r="AC8227" s="1"/>
      <c r="AD8227" s="1"/>
      <c r="AE8227" s="1"/>
      <c r="AF8227" s="1"/>
      <c r="AG8227" s="1"/>
      <c r="AH8227" s="1"/>
      <c r="AI8227" s="1"/>
      <c r="AJ8227" s="1"/>
      <c r="AK8227" s="1"/>
      <c r="AL8227" s="1"/>
      <c r="AM8227" s="1"/>
    </row>
    <row r="8228" spans="16:39" x14ac:dyDescent="0.25">
      <c r="P8228" s="49"/>
      <c r="Q8228" s="1"/>
      <c r="S8228" s="1"/>
      <c r="T8228" s="1"/>
      <c r="U8228" s="1"/>
      <c r="V8228" s="1"/>
      <c r="W8228" s="1"/>
      <c r="X8228" s="1"/>
      <c r="Y8228" s="1"/>
      <c r="AB8228" s="1"/>
      <c r="AC8228" s="1"/>
      <c r="AD8228" s="1"/>
      <c r="AE8228" s="1"/>
      <c r="AF8228" s="1"/>
      <c r="AG8228" s="1"/>
      <c r="AH8228" s="1"/>
      <c r="AI8228" s="1"/>
      <c r="AJ8228" s="1"/>
      <c r="AK8228" s="1"/>
      <c r="AL8228" s="1"/>
      <c r="AM8228" s="1"/>
    </row>
    <row r="8229" spans="16:39" x14ac:dyDescent="0.25">
      <c r="P8229" s="49"/>
      <c r="Q8229" s="1"/>
      <c r="S8229" s="1"/>
      <c r="T8229" s="1"/>
      <c r="U8229" s="1"/>
      <c r="V8229" s="1"/>
      <c r="W8229" s="1"/>
      <c r="X8229" s="1"/>
      <c r="Y8229" s="1"/>
      <c r="AB8229" s="1"/>
      <c r="AC8229" s="1"/>
      <c r="AD8229" s="1"/>
      <c r="AE8229" s="1"/>
      <c r="AF8229" s="1"/>
      <c r="AG8229" s="1"/>
      <c r="AH8229" s="1"/>
      <c r="AI8229" s="1"/>
      <c r="AJ8229" s="1"/>
      <c r="AK8229" s="1"/>
      <c r="AL8229" s="1"/>
      <c r="AM8229" s="1"/>
    </row>
    <row r="8230" spans="16:39" x14ac:dyDescent="0.25">
      <c r="P8230" s="49"/>
      <c r="Q8230" s="1"/>
      <c r="S8230" s="1"/>
      <c r="T8230" s="1"/>
      <c r="U8230" s="1"/>
      <c r="V8230" s="1"/>
      <c r="W8230" s="1"/>
      <c r="X8230" s="1"/>
      <c r="Y8230" s="1"/>
      <c r="AB8230" s="1"/>
      <c r="AC8230" s="1"/>
      <c r="AD8230" s="1"/>
      <c r="AE8230" s="1"/>
      <c r="AF8230" s="1"/>
      <c r="AG8230" s="1"/>
      <c r="AH8230" s="1"/>
      <c r="AI8230" s="1"/>
      <c r="AJ8230" s="1"/>
      <c r="AK8230" s="1"/>
      <c r="AL8230" s="1"/>
      <c r="AM8230" s="1"/>
    </row>
    <row r="8231" spans="16:39" x14ac:dyDescent="0.25">
      <c r="P8231" s="49"/>
      <c r="Q8231" s="1"/>
      <c r="S8231" s="1"/>
      <c r="T8231" s="1"/>
      <c r="U8231" s="1"/>
      <c r="V8231" s="1"/>
      <c r="W8231" s="1"/>
      <c r="X8231" s="1"/>
      <c r="Y8231" s="1"/>
      <c r="AB8231" s="1"/>
      <c r="AC8231" s="1"/>
      <c r="AD8231" s="1"/>
      <c r="AE8231" s="1"/>
      <c r="AF8231" s="1"/>
      <c r="AG8231" s="1"/>
      <c r="AH8231" s="1"/>
      <c r="AI8231" s="1"/>
      <c r="AJ8231" s="1"/>
      <c r="AK8231" s="1"/>
      <c r="AL8231" s="1"/>
      <c r="AM8231" s="1"/>
    </row>
    <row r="8232" spans="16:39" x14ac:dyDescent="0.25">
      <c r="P8232" s="49"/>
      <c r="Q8232" s="1"/>
      <c r="S8232" s="1"/>
      <c r="T8232" s="1"/>
      <c r="U8232" s="1"/>
      <c r="V8232" s="1"/>
      <c r="W8232" s="1"/>
      <c r="X8232" s="1"/>
      <c r="Y8232" s="1"/>
      <c r="AB8232" s="1"/>
      <c r="AC8232" s="1"/>
      <c r="AD8232" s="1"/>
      <c r="AE8232" s="1"/>
      <c r="AF8232" s="1"/>
      <c r="AG8232" s="1"/>
      <c r="AH8232" s="1"/>
      <c r="AI8232" s="1"/>
      <c r="AJ8232" s="1"/>
      <c r="AK8232" s="1"/>
      <c r="AL8232" s="1"/>
      <c r="AM8232" s="1"/>
    </row>
    <row r="8233" spans="16:39" x14ac:dyDescent="0.25">
      <c r="P8233" s="49"/>
      <c r="Q8233" s="1"/>
      <c r="S8233" s="1"/>
      <c r="T8233" s="1"/>
      <c r="U8233" s="1"/>
      <c r="V8233" s="1"/>
      <c r="W8233" s="1"/>
      <c r="X8233" s="1"/>
      <c r="Y8233" s="1"/>
      <c r="AB8233" s="1"/>
      <c r="AC8233" s="1"/>
      <c r="AD8233" s="1"/>
      <c r="AE8233" s="1"/>
      <c r="AF8233" s="1"/>
      <c r="AG8233" s="1"/>
      <c r="AH8233" s="1"/>
      <c r="AI8233" s="1"/>
      <c r="AJ8233" s="1"/>
      <c r="AK8233" s="1"/>
      <c r="AL8233" s="1"/>
      <c r="AM8233" s="1"/>
    </row>
    <row r="8234" spans="16:39" x14ac:dyDescent="0.25">
      <c r="P8234" s="49"/>
      <c r="Q8234" s="1"/>
      <c r="S8234" s="1"/>
      <c r="T8234" s="1"/>
      <c r="U8234" s="1"/>
      <c r="V8234" s="1"/>
      <c r="W8234" s="1"/>
      <c r="X8234" s="1"/>
      <c r="Y8234" s="1"/>
      <c r="AB8234" s="1"/>
      <c r="AC8234" s="1"/>
      <c r="AD8234" s="1"/>
      <c r="AE8234" s="1"/>
      <c r="AF8234" s="1"/>
      <c r="AG8234" s="1"/>
      <c r="AH8234" s="1"/>
      <c r="AI8234" s="1"/>
      <c r="AJ8234" s="1"/>
      <c r="AK8234" s="1"/>
      <c r="AL8234" s="1"/>
      <c r="AM8234" s="1"/>
    </row>
    <row r="8235" spans="16:39" x14ac:dyDescent="0.25">
      <c r="P8235" s="49"/>
      <c r="Q8235" s="1"/>
      <c r="S8235" s="1"/>
      <c r="T8235" s="1"/>
      <c r="U8235" s="1"/>
      <c r="V8235" s="1"/>
      <c r="W8235" s="1"/>
      <c r="X8235" s="1"/>
      <c r="Y8235" s="1"/>
      <c r="AB8235" s="1"/>
      <c r="AC8235" s="1"/>
      <c r="AD8235" s="1"/>
      <c r="AE8235" s="1"/>
      <c r="AF8235" s="1"/>
      <c r="AG8235" s="1"/>
      <c r="AH8235" s="1"/>
      <c r="AI8235" s="1"/>
      <c r="AJ8235" s="1"/>
      <c r="AK8235" s="1"/>
      <c r="AL8235" s="1"/>
      <c r="AM8235" s="1"/>
    </row>
    <row r="8236" spans="16:39" x14ac:dyDescent="0.25">
      <c r="P8236" s="49"/>
      <c r="Q8236" s="1"/>
      <c r="S8236" s="1"/>
      <c r="T8236" s="1"/>
      <c r="U8236" s="1"/>
      <c r="V8236" s="1"/>
      <c r="W8236" s="1"/>
      <c r="X8236" s="1"/>
      <c r="Y8236" s="1"/>
      <c r="AB8236" s="1"/>
      <c r="AC8236" s="1"/>
      <c r="AD8236" s="1"/>
      <c r="AE8236" s="1"/>
      <c r="AF8236" s="1"/>
      <c r="AG8236" s="1"/>
      <c r="AH8236" s="1"/>
      <c r="AI8236" s="1"/>
      <c r="AJ8236" s="1"/>
      <c r="AK8236" s="1"/>
      <c r="AL8236" s="1"/>
      <c r="AM8236" s="1"/>
    </row>
    <row r="8237" spans="16:39" x14ac:dyDescent="0.25">
      <c r="P8237" s="49"/>
      <c r="Q8237" s="1"/>
      <c r="S8237" s="1"/>
      <c r="T8237" s="1"/>
      <c r="U8237" s="1"/>
      <c r="V8237" s="1"/>
      <c r="W8237" s="1"/>
      <c r="X8237" s="1"/>
      <c r="Y8237" s="1"/>
      <c r="AB8237" s="1"/>
      <c r="AC8237" s="1"/>
      <c r="AD8237" s="1"/>
      <c r="AE8237" s="1"/>
      <c r="AF8237" s="1"/>
      <c r="AG8237" s="1"/>
      <c r="AH8237" s="1"/>
      <c r="AI8237" s="1"/>
      <c r="AJ8237" s="1"/>
      <c r="AK8237" s="1"/>
      <c r="AL8237" s="1"/>
      <c r="AM8237" s="1"/>
    </row>
    <row r="8238" spans="16:39" x14ac:dyDescent="0.25">
      <c r="P8238" s="49"/>
      <c r="Q8238" s="1"/>
      <c r="S8238" s="1"/>
      <c r="T8238" s="1"/>
      <c r="U8238" s="1"/>
      <c r="V8238" s="1"/>
      <c r="W8238" s="1"/>
      <c r="X8238" s="1"/>
      <c r="Y8238" s="1"/>
      <c r="AB8238" s="1"/>
      <c r="AC8238" s="1"/>
      <c r="AD8238" s="1"/>
      <c r="AE8238" s="1"/>
      <c r="AF8238" s="1"/>
      <c r="AG8238" s="1"/>
      <c r="AH8238" s="1"/>
      <c r="AI8238" s="1"/>
      <c r="AJ8238" s="1"/>
      <c r="AK8238" s="1"/>
      <c r="AL8238" s="1"/>
      <c r="AM8238" s="1"/>
    </row>
    <row r="8239" spans="16:39" x14ac:dyDescent="0.25">
      <c r="P8239" s="49"/>
      <c r="Q8239" s="1"/>
      <c r="S8239" s="1"/>
      <c r="T8239" s="1"/>
      <c r="U8239" s="1"/>
      <c r="V8239" s="1"/>
      <c r="W8239" s="1"/>
      <c r="X8239" s="1"/>
      <c r="Y8239" s="1"/>
      <c r="AB8239" s="1"/>
      <c r="AC8239" s="1"/>
      <c r="AD8239" s="1"/>
      <c r="AE8239" s="1"/>
      <c r="AF8239" s="1"/>
      <c r="AG8239" s="1"/>
      <c r="AH8239" s="1"/>
      <c r="AI8239" s="1"/>
      <c r="AJ8239" s="1"/>
      <c r="AK8239" s="1"/>
      <c r="AL8239" s="1"/>
      <c r="AM8239" s="1"/>
    </row>
    <row r="8240" spans="16:39" x14ac:dyDescent="0.25">
      <c r="P8240" s="49"/>
      <c r="Q8240" s="1"/>
      <c r="S8240" s="1"/>
      <c r="T8240" s="1"/>
      <c r="U8240" s="1"/>
      <c r="V8240" s="1"/>
      <c r="W8240" s="1"/>
      <c r="X8240" s="1"/>
      <c r="Y8240" s="1"/>
      <c r="AB8240" s="1"/>
      <c r="AC8240" s="1"/>
      <c r="AD8240" s="1"/>
      <c r="AE8240" s="1"/>
      <c r="AF8240" s="1"/>
      <c r="AG8240" s="1"/>
      <c r="AH8240" s="1"/>
      <c r="AI8240" s="1"/>
      <c r="AJ8240" s="1"/>
      <c r="AK8240" s="1"/>
      <c r="AL8240" s="1"/>
      <c r="AM8240" s="1"/>
    </row>
    <row r="8241" spans="16:39" x14ac:dyDescent="0.25">
      <c r="P8241" s="49"/>
      <c r="Q8241" s="1"/>
      <c r="S8241" s="1"/>
      <c r="T8241" s="1"/>
      <c r="U8241" s="1"/>
      <c r="V8241" s="1"/>
      <c r="W8241" s="1"/>
      <c r="X8241" s="1"/>
      <c r="Y8241" s="1"/>
      <c r="AB8241" s="1"/>
      <c r="AC8241" s="1"/>
      <c r="AD8241" s="1"/>
      <c r="AE8241" s="1"/>
      <c r="AF8241" s="1"/>
      <c r="AG8241" s="1"/>
      <c r="AH8241" s="1"/>
      <c r="AI8241" s="1"/>
      <c r="AJ8241" s="1"/>
      <c r="AK8241" s="1"/>
      <c r="AL8241" s="1"/>
      <c r="AM8241" s="1"/>
    </row>
    <row r="8242" spans="16:39" x14ac:dyDescent="0.25">
      <c r="P8242" s="49"/>
      <c r="Q8242" s="1"/>
      <c r="S8242" s="1"/>
      <c r="T8242" s="1"/>
      <c r="U8242" s="1"/>
      <c r="V8242" s="1"/>
      <c r="W8242" s="1"/>
      <c r="X8242" s="1"/>
      <c r="Y8242" s="1"/>
      <c r="AB8242" s="1"/>
      <c r="AC8242" s="1"/>
      <c r="AD8242" s="1"/>
      <c r="AE8242" s="1"/>
      <c r="AF8242" s="1"/>
      <c r="AG8242" s="1"/>
      <c r="AH8242" s="1"/>
      <c r="AI8242" s="1"/>
      <c r="AJ8242" s="1"/>
      <c r="AK8242" s="1"/>
      <c r="AL8242" s="1"/>
      <c r="AM8242" s="1"/>
    </row>
    <row r="8243" spans="16:39" x14ac:dyDescent="0.25">
      <c r="P8243" s="49"/>
      <c r="Q8243" s="1"/>
      <c r="S8243" s="1"/>
      <c r="T8243" s="1"/>
      <c r="U8243" s="1"/>
      <c r="V8243" s="1"/>
      <c r="W8243" s="1"/>
      <c r="X8243" s="1"/>
      <c r="Y8243" s="1"/>
      <c r="AB8243" s="1"/>
      <c r="AC8243" s="1"/>
      <c r="AD8243" s="1"/>
      <c r="AE8243" s="1"/>
      <c r="AF8243" s="1"/>
      <c r="AG8243" s="1"/>
      <c r="AH8243" s="1"/>
      <c r="AI8243" s="1"/>
      <c r="AJ8243" s="1"/>
      <c r="AK8243" s="1"/>
      <c r="AL8243" s="1"/>
      <c r="AM8243" s="1"/>
    </row>
    <row r="8244" spans="16:39" x14ac:dyDescent="0.25">
      <c r="P8244" s="49"/>
      <c r="Q8244" s="1"/>
      <c r="S8244" s="1"/>
      <c r="T8244" s="1"/>
      <c r="U8244" s="1"/>
      <c r="V8244" s="1"/>
      <c r="W8244" s="1"/>
      <c r="X8244" s="1"/>
      <c r="Y8244" s="1"/>
      <c r="AB8244" s="1"/>
      <c r="AC8244" s="1"/>
      <c r="AD8244" s="1"/>
      <c r="AE8244" s="1"/>
      <c r="AF8244" s="1"/>
      <c r="AG8244" s="1"/>
      <c r="AH8244" s="1"/>
      <c r="AI8244" s="1"/>
      <c r="AJ8244" s="1"/>
      <c r="AK8244" s="1"/>
      <c r="AL8244" s="1"/>
      <c r="AM8244" s="1"/>
    </row>
    <row r="8245" spans="16:39" x14ac:dyDescent="0.25">
      <c r="P8245" s="49"/>
      <c r="Q8245" s="1"/>
      <c r="S8245" s="1"/>
      <c r="T8245" s="1"/>
      <c r="U8245" s="1"/>
      <c r="V8245" s="1"/>
      <c r="W8245" s="1"/>
      <c r="X8245" s="1"/>
      <c r="Y8245" s="1"/>
      <c r="AB8245" s="1"/>
      <c r="AC8245" s="1"/>
      <c r="AD8245" s="1"/>
      <c r="AE8245" s="1"/>
      <c r="AF8245" s="1"/>
      <c r="AG8245" s="1"/>
      <c r="AH8245" s="1"/>
      <c r="AI8245" s="1"/>
      <c r="AJ8245" s="1"/>
      <c r="AK8245" s="1"/>
      <c r="AL8245" s="1"/>
      <c r="AM8245" s="1"/>
    </row>
    <row r="8246" spans="16:39" x14ac:dyDescent="0.25">
      <c r="P8246" s="49"/>
      <c r="Q8246" s="1"/>
      <c r="S8246" s="1"/>
      <c r="T8246" s="1"/>
      <c r="U8246" s="1"/>
      <c r="V8246" s="1"/>
      <c r="W8246" s="1"/>
      <c r="X8246" s="1"/>
      <c r="Y8246" s="1"/>
      <c r="AB8246" s="1"/>
      <c r="AC8246" s="1"/>
      <c r="AD8246" s="1"/>
      <c r="AE8246" s="1"/>
      <c r="AF8246" s="1"/>
      <c r="AG8246" s="1"/>
      <c r="AH8246" s="1"/>
      <c r="AI8246" s="1"/>
      <c r="AJ8246" s="1"/>
      <c r="AK8246" s="1"/>
      <c r="AL8246" s="1"/>
      <c r="AM8246" s="1"/>
    </row>
    <row r="8247" spans="16:39" x14ac:dyDescent="0.25">
      <c r="P8247" s="49"/>
      <c r="Q8247" s="1"/>
      <c r="S8247" s="1"/>
      <c r="T8247" s="1"/>
      <c r="U8247" s="1"/>
      <c r="V8247" s="1"/>
      <c r="W8247" s="1"/>
      <c r="X8247" s="1"/>
      <c r="Y8247" s="1"/>
      <c r="AB8247" s="1"/>
      <c r="AC8247" s="1"/>
      <c r="AD8247" s="1"/>
      <c r="AE8247" s="1"/>
      <c r="AF8247" s="1"/>
      <c r="AG8247" s="1"/>
      <c r="AH8247" s="1"/>
      <c r="AI8247" s="1"/>
      <c r="AJ8247" s="1"/>
      <c r="AK8247" s="1"/>
      <c r="AL8247" s="1"/>
      <c r="AM8247" s="1"/>
    </row>
    <row r="8248" spans="16:39" x14ac:dyDescent="0.25">
      <c r="P8248" s="49"/>
      <c r="Q8248" s="1"/>
      <c r="S8248" s="1"/>
      <c r="T8248" s="1"/>
      <c r="U8248" s="1"/>
      <c r="V8248" s="1"/>
      <c r="W8248" s="1"/>
      <c r="X8248" s="1"/>
      <c r="Y8248" s="1"/>
      <c r="AB8248" s="1"/>
      <c r="AC8248" s="1"/>
      <c r="AD8248" s="1"/>
      <c r="AE8248" s="1"/>
      <c r="AF8248" s="1"/>
      <c r="AG8248" s="1"/>
      <c r="AH8248" s="1"/>
      <c r="AI8248" s="1"/>
      <c r="AJ8248" s="1"/>
      <c r="AK8248" s="1"/>
      <c r="AL8248" s="1"/>
      <c r="AM8248" s="1"/>
    </row>
    <row r="8249" spans="16:39" x14ac:dyDescent="0.25">
      <c r="P8249" s="49"/>
      <c r="Q8249" s="1"/>
      <c r="S8249" s="1"/>
      <c r="T8249" s="1"/>
      <c r="U8249" s="1"/>
      <c r="V8249" s="1"/>
      <c r="W8249" s="1"/>
      <c r="X8249" s="1"/>
      <c r="Y8249" s="1"/>
      <c r="AB8249" s="1"/>
      <c r="AC8249" s="1"/>
      <c r="AD8249" s="1"/>
      <c r="AE8249" s="1"/>
      <c r="AF8249" s="1"/>
      <c r="AG8249" s="1"/>
      <c r="AH8249" s="1"/>
      <c r="AI8249" s="1"/>
      <c r="AJ8249" s="1"/>
      <c r="AK8249" s="1"/>
      <c r="AL8249" s="1"/>
      <c r="AM8249" s="1"/>
    </row>
    <row r="8250" spans="16:39" x14ac:dyDescent="0.25">
      <c r="P8250" s="49"/>
      <c r="Q8250" s="1"/>
      <c r="S8250" s="1"/>
      <c r="T8250" s="1"/>
      <c r="U8250" s="1"/>
      <c r="V8250" s="1"/>
      <c r="W8250" s="1"/>
      <c r="X8250" s="1"/>
      <c r="Y8250" s="1"/>
      <c r="AB8250" s="1"/>
      <c r="AC8250" s="1"/>
      <c r="AD8250" s="1"/>
      <c r="AE8250" s="1"/>
      <c r="AF8250" s="1"/>
      <c r="AG8250" s="1"/>
      <c r="AH8250" s="1"/>
      <c r="AI8250" s="1"/>
      <c r="AJ8250" s="1"/>
      <c r="AK8250" s="1"/>
      <c r="AL8250" s="1"/>
      <c r="AM8250" s="1"/>
    </row>
    <row r="8251" spans="16:39" x14ac:dyDescent="0.25">
      <c r="P8251" s="49"/>
      <c r="Q8251" s="1"/>
      <c r="S8251" s="1"/>
      <c r="T8251" s="1"/>
      <c r="U8251" s="1"/>
      <c r="V8251" s="1"/>
      <c r="W8251" s="1"/>
      <c r="X8251" s="1"/>
      <c r="Y8251" s="1"/>
      <c r="AB8251" s="1"/>
      <c r="AC8251" s="1"/>
      <c r="AD8251" s="1"/>
      <c r="AE8251" s="1"/>
      <c r="AF8251" s="1"/>
      <c r="AG8251" s="1"/>
      <c r="AH8251" s="1"/>
      <c r="AI8251" s="1"/>
      <c r="AJ8251" s="1"/>
      <c r="AK8251" s="1"/>
      <c r="AL8251" s="1"/>
      <c r="AM8251" s="1"/>
    </row>
    <row r="8252" spans="16:39" x14ac:dyDescent="0.25">
      <c r="P8252" s="49"/>
      <c r="Q8252" s="1"/>
      <c r="S8252" s="1"/>
      <c r="T8252" s="1"/>
      <c r="U8252" s="1"/>
      <c r="V8252" s="1"/>
      <c r="W8252" s="1"/>
      <c r="X8252" s="1"/>
      <c r="Y8252" s="1"/>
      <c r="AB8252" s="1"/>
      <c r="AC8252" s="1"/>
      <c r="AD8252" s="1"/>
      <c r="AE8252" s="1"/>
      <c r="AF8252" s="1"/>
      <c r="AG8252" s="1"/>
      <c r="AH8252" s="1"/>
      <c r="AI8252" s="1"/>
      <c r="AJ8252" s="1"/>
      <c r="AK8252" s="1"/>
      <c r="AL8252" s="1"/>
      <c r="AM8252" s="1"/>
    </row>
    <row r="8253" spans="16:39" x14ac:dyDescent="0.25">
      <c r="P8253" s="49"/>
      <c r="Q8253" s="1"/>
      <c r="S8253" s="1"/>
      <c r="T8253" s="1"/>
      <c r="U8253" s="1"/>
      <c r="V8253" s="1"/>
      <c r="W8253" s="1"/>
      <c r="X8253" s="1"/>
      <c r="Y8253" s="1"/>
      <c r="AB8253" s="1"/>
      <c r="AC8253" s="1"/>
      <c r="AD8253" s="1"/>
      <c r="AE8253" s="1"/>
      <c r="AF8253" s="1"/>
      <c r="AG8253" s="1"/>
      <c r="AH8253" s="1"/>
      <c r="AI8253" s="1"/>
      <c r="AJ8253" s="1"/>
      <c r="AK8253" s="1"/>
      <c r="AL8253" s="1"/>
      <c r="AM8253" s="1"/>
    </row>
    <row r="8254" spans="16:39" x14ac:dyDescent="0.25">
      <c r="P8254" s="49"/>
      <c r="Q8254" s="1"/>
      <c r="S8254" s="1"/>
      <c r="T8254" s="1"/>
      <c r="U8254" s="1"/>
      <c r="V8254" s="1"/>
      <c r="W8254" s="1"/>
      <c r="X8254" s="1"/>
      <c r="Y8254" s="1"/>
      <c r="AB8254" s="1"/>
      <c r="AC8254" s="1"/>
      <c r="AD8254" s="1"/>
      <c r="AE8254" s="1"/>
      <c r="AF8254" s="1"/>
      <c r="AG8254" s="1"/>
      <c r="AH8254" s="1"/>
      <c r="AI8254" s="1"/>
      <c r="AJ8254" s="1"/>
      <c r="AK8254" s="1"/>
      <c r="AL8254" s="1"/>
      <c r="AM8254" s="1"/>
    </row>
    <row r="8255" spans="16:39" x14ac:dyDescent="0.25">
      <c r="P8255" s="49"/>
      <c r="Q8255" s="1"/>
      <c r="S8255" s="1"/>
      <c r="T8255" s="1"/>
      <c r="U8255" s="1"/>
      <c r="V8255" s="1"/>
      <c r="W8255" s="1"/>
      <c r="X8255" s="1"/>
      <c r="Y8255" s="1"/>
      <c r="AB8255" s="1"/>
      <c r="AC8255" s="1"/>
      <c r="AD8255" s="1"/>
      <c r="AE8255" s="1"/>
      <c r="AF8255" s="1"/>
      <c r="AG8255" s="1"/>
      <c r="AH8255" s="1"/>
      <c r="AI8255" s="1"/>
      <c r="AJ8255" s="1"/>
      <c r="AK8255" s="1"/>
      <c r="AL8255" s="1"/>
      <c r="AM8255" s="1"/>
    </row>
    <row r="8256" spans="16:39" x14ac:dyDescent="0.25">
      <c r="P8256" s="49"/>
      <c r="Q8256" s="1"/>
      <c r="S8256" s="1"/>
      <c r="T8256" s="1"/>
      <c r="U8256" s="1"/>
      <c r="V8256" s="1"/>
      <c r="W8256" s="1"/>
      <c r="X8256" s="1"/>
      <c r="Y8256" s="1"/>
      <c r="AB8256" s="1"/>
      <c r="AC8256" s="1"/>
      <c r="AD8256" s="1"/>
      <c r="AE8256" s="1"/>
      <c r="AF8256" s="1"/>
      <c r="AG8256" s="1"/>
      <c r="AH8256" s="1"/>
      <c r="AI8256" s="1"/>
      <c r="AJ8256" s="1"/>
      <c r="AK8256" s="1"/>
      <c r="AL8256" s="1"/>
      <c r="AM8256" s="1"/>
    </row>
    <row r="8257" spans="16:39" x14ac:dyDescent="0.25">
      <c r="P8257" s="49"/>
      <c r="Q8257" s="1"/>
      <c r="S8257" s="1"/>
      <c r="T8257" s="1"/>
      <c r="U8257" s="1"/>
      <c r="V8257" s="1"/>
      <c r="W8257" s="1"/>
      <c r="X8257" s="1"/>
      <c r="Y8257" s="1"/>
      <c r="AB8257" s="1"/>
      <c r="AC8257" s="1"/>
      <c r="AD8257" s="1"/>
      <c r="AE8257" s="1"/>
      <c r="AF8257" s="1"/>
      <c r="AG8257" s="1"/>
      <c r="AH8257" s="1"/>
      <c r="AI8257" s="1"/>
      <c r="AJ8257" s="1"/>
      <c r="AK8257" s="1"/>
      <c r="AL8257" s="1"/>
      <c r="AM8257" s="1"/>
    </row>
    <row r="8258" spans="16:39" x14ac:dyDescent="0.25">
      <c r="P8258" s="49"/>
      <c r="Q8258" s="1"/>
      <c r="S8258" s="1"/>
      <c r="T8258" s="1"/>
      <c r="U8258" s="1"/>
      <c r="V8258" s="1"/>
      <c r="W8258" s="1"/>
      <c r="X8258" s="1"/>
      <c r="Y8258" s="1"/>
      <c r="AB8258" s="1"/>
      <c r="AC8258" s="1"/>
      <c r="AD8258" s="1"/>
      <c r="AE8258" s="1"/>
      <c r="AF8258" s="1"/>
      <c r="AG8258" s="1"/>
      <c r="AH8258" s="1"/>
      <c r="AI8258" s="1"/>
      <c r="AJ8258" s="1"/>
      <c r="AK8258" s="1"/>
      <c r="AL8258" s="1"/>
      <c r="AM8258" s="1"/>
    </row>
    <row r="8259" spans="16:39" x14ac:dyDescent="0.25">
      <c r="P8259" s="49"/>
      <c r="Q8259" s="1"/>
      <c r="S8259" s="1"/>
      <c r="T8259" s="1"/>
      <c r="U8259" s="1"/>
      <c r="V8259" s="1"/>
      <c r="W8259" s="1"/>
      <c r="X8259" s="1"/>
      <c r="Y8259" s="1"/>
      <c r="AB8259" s="1"/>
      <c r="AC8259" s="1"/>
      <c r="AD8259" s="1"/>
      <c r="AE8259" s="1"/>
      <c r="AF8259" s="1"/>
      <c r="AG8259" s="1"/>
      <c r="AH8259" s="1"/>
      <c r="AI8259" s="1"/>
      <c r="AJ8259" s="1"/>
      <c r="AK8259" s="1"/>
      <c r="AL8259" s="1"/>
      <c r="AM8259" s="1"/>
    </row>
    <row r="8260" spans="16:39" x14ac:dyDescent="0.25">
      <c r="P8260" s="49"/>
      <c r="Q8260" s="1"/>
      <c r="S8260" s="1"/>
      <c r="T8260" s="1"/>
      <c r="U8260" s="1"/>
      <c r="V8260" s="1"/>
      <c r="W8260" s="1"/>
      <c r="X8260" s="1"/>
      <c r="Y8260" s="1"/>
      <c r="AB8260" s="1"/>
      <c r="AC8260" s="1"/>
      <c r="AD8260" s="1"/>
      <c r="AE8260" s="1"/>
      <c r="AF8260" s="1"/>
      <c r="AG8260" s="1"/>
      <c r="AH8260" s="1"/>
      <c r="AI8260" s="1"/>
      <c r="AJ8260" s="1"/>
      <c r="AK8260" s="1"/>
      <c r="AL8260" s="1"/>
      <c r="AM8260" s="1"/>
    </row>
    <row r="8261" spans="16:39" x14ac:dyDescent="0.25">
      <c r="P8261" s="49"/>
      <c r="Q8261" s="1"/>
      <c r="S8261" s="1"/>
      <c r="T8261" s="1"/>
      <c r="U8261" s="1"/>
      <c r="V8261" s="1"/>
      <c r="W8261" s="1"/>
      <c r="X8261" s="1"/>
      <c r="Y8261" s="1"/>
      <c r="AB8261" s="1"/>
      <c r="AC8261" s="1"/>
      <c r="AD8261" s="1"/>
      <c r="AE8261" s="1"/>
      <c r="AF8261" s="1"/>
      <c r="AG8261" s="1"/>
      <c r="AH8261" s="1"/>
      <c r="AI8261" s="1"/>
      <c r="AJ8261" s="1"/>
      <c r="AK8261" s="1"/>
      <c r="AL8261" s="1"/>
      <c r="AM8261" s="1"/>
    </row>
    <row r="8262" spans="16:39" x14ac:dyDescent="0.25">
      <c r="P8262" s="49"/>
      <c r="Q8262" s="1"/>
      <c r="S8262" s="1"/>
      <c r="T8262" s="1"/>
      <c r="U8262" s="1"/>
      <c r="V8262" s="1"/>
      <c r="W8262" s="1"/>
      <c r="X8262" s="1"/>
      <c r="Y8262" s="1"/>
      <c r="AB8262" s="1"/>
      <c r="AC8262" s="1"/>
      <c r="AD8262" s="1"/>
      <c r="AE8262" s="1"/>
      <c r="AF8262" s="1"/>
      <c r="AG8262" s="1"/>
      <c r="AH8262" s="1"/>
      <c r="AI8262" s="1"/>
      <c r="AJ8262" s="1"/>
      <c r="AK8262" s="1"/>
      <c r="AL8262" s="1"/>
      <c r="AM8262" s="1"/>
    </row>
    <row r="8263" spans="16:39" x14ac:dyDescent="0.25">
      <c r="P8263" s="49"/>
      <c r="Q8263" s="1"/>
      <c r="S8263" s="1"/>
      <c r="T8263" s="1"/>
      <c r="U8263" s="1"/>
      <c r="V8263" s="1"/>
      <c r="W8263" s="1"/>
      <c r="X8263" s="1"/>
      <c r="Y8263" s="1"/>
      <c r="AB8263" s="1"/>
      <c r="AC8263" s="1"/>
      <c r="AD8263" s="1"/>
      <c r="AE8263" s="1"/>
      <c r="AF8263" s="1"/>
      <c r="AG8263" s="1"/>
      <c r="AH8263" s="1"/>
      <c r="AI8263" s="1"/>
      <c r="AJ8263" s="1"/>
      <c r="AK8263" s="1"/>
      <c r="AL8263" s="1"/>
      <c r="AM8263" s="1"/>
    </row>
    <row r="8264" spans="16:39" x14ac:dyDescent="0.25">
      <c r="P8264" s="49"/>
      <c r="Q8264" s="1"/>
      <c r="S8264" s="1"/>
      <c r="T8264" s="1"/>
      <c r="U8264" s="1"/>
      <c r="V8264" s="1"/>
      <c r="W8264" s="1"/>
      <c r="X8264" s="1"/>
      <c r="Y8264" s="1"/>
      <c r="AB8264" s="1"/>
      <c r="AC8264" s="1"/>
      <c r="AD8264" s="1"/>
      <c r="AE8264" s="1"/>
      <c r="AF8264" s="1"/>
      <c r="AG8264" s="1"/>
      <c r="AH8264" s="1"/>
      <c r="AI8264" s="1"/>
      <c r="AJ8264" s="1"/>
      <c r="AK8264" s="1"/>
      <c r="AL8264" s="1"/>
      <c r="AM8264" s="1"/>
    </row>
    <row r="8265" spans="16:39" x14ac:dyDescent="0.25">
      <c r="P8265" s="49"/>
      <c r="Q8265" s="1"/>
      <c r="S8265" s="1"/>
      <c r="T8265" s="1"/>
      <c r="U8265" s="1"/>
      <c r="V8265" s="1"/>
      <c r="W8265" s="1"/>
      <c r="X8265" s="1"/>
      <c r="Y8265" s="1"/>
      <c r="AB8265" s="1"/>
      <c r="AC8265" s="1"/>
      <c r="AD8265" s="1"/>
      <c r="AE8265" s="1"/>
      <c r="AF8265" s="1"/>
      <c r="AG8265" s="1"/>
      <c r="AH8265" s="1"/>
      <c r="AI8265" s="1"/>
      <c r="AJ8265" s="1"/>
      <c r="AK8265" s="1"/>
      <c r="AL8265" s="1"/>
      <c r="AM8265" s="1"/>
    </row>
    <row r="8266" spans="16:39" x14ac:dyDescent="0.25">
      <c r="P8266" s="49"/>
      <c r="Q8266" s="1"/>
      <c r="S8266" s="1"/>
      <c r="T8266" s="1"/>
      <c r="U8266" s="1"/>
      <c r="V8266" s="1"/>
      <c r="W8266" s="1"/>
      <c r="X8266" s="1"/>
      <c r="Y8266" s="1"/>
      <c r="AB8266" s="1"/>
      <c r="AC8266" s="1"/>
      <c r="AD8266" s="1"/>
      <c r="AE8266" s="1"/>
      <c r="AF8266" s="1"/>
      <c r="AG8266" s="1"/>
      <c r="AH8266" s="1"/>
      <c r="AI8266" s="1"/>
      <c r="AJ8266" s="1"/>
      <c r="AK8266" s="1"/>
      <c r="AL8266" s="1"/>
      <c r="AM8266" s="1"/>
    </row>
    <row r="8267" spans="16:39" x14ac:dyDescent="0.25">
      <c r="P8267" s="49"/>
      <c r="Q8267" s="1"/>
      <c r="S8267" s="1"/>
      <c r="T8267" s="1"/>
      <c r="U8267" s="1"/>
      <c r="V8267" s="1"/>
      <c r="W8267" s="1"/>
      <c r="X8267" s="1"/>
      <c r="Y8267" s="1"/>
      <c r="AB8267" s="1"/>
      <c r="AC8267" s="1"/>
      <c r="AD8267" s="1"/>
      <c r="AE8267" s="1"/>
      <c r="AF8267" s="1"/>
      <c r="AG8267" s="1"/>
      <c r="AH8267" s="1"/>
      <c r="AI8267" s="1"/>
      <c r="AJ8267" s="1"/>
      <c r="AK8267" s="1"/>
      <c r="AL8267" s="1"/>
      <c r="AM8267" s="1"/>
    </row>
    <row r="8268" spans="16:39" x14ac:dyDescent="0.25">
      <c r="P8268" s="49"/>
      <c r="Q8268" s="1"/>
      <c r="S8268" s="1"/>
      <c r="T8268" s="1"/>
      <c r="U8268" s="1"/>
      <c r="V8268" s="1"/>
      <c r="W8268" s="1"/>
      <c r="X8268" s="1"/>
      <c r="Y8268" s="1"/>
      <c r="AB8268" s="1"/>
      <c r="AC8268" s="1"/>
      <c r="AD8268" s="1"/>
      <c r="AE8268" s="1"/>
      <c r="AF8268" s="1"/>
      <c r="AG8268" s="1"/>
      <c r="AH8268" s="1"/>
      <c r="AI8268" s="1"/>
      <c r="AJ8268" s="1"/>
      <c r="AK8268" s="1"/>
      <c r="AL8268" s="1"/>
      <c r="AM8268" s="1"/>
    </row>
    <row r="8269" spans="16:39" x14ac:dyDescent="0.25">
      <c r="P8269" s="49"/>
      <c r="Q8269" s="1"/>
      <c r="S8269" s="1"/>
      <c r="T8269" s="1"/>
      <c r="U8269" s="1"/>
      <c r="V8269" s="1"/>
      <c r="W8269" s="1"/>
      <c r="X8269" s="1"/>
      <c r="Y8269" s="1"/>
      <c r="AB8269" s="1"/>
      <c r="AC8269" s="1"/>
      <c r="AD8269" s="1"/>
      <c r="AE8269" s="1"/>
      <c r="AF8269" s="1"/>
      <c r="AG8269" s="1"/>
      <c r="AH8269" s="1"/>
      <c r="AI8269" s="1"/>
      <c r="AJ8269" s="1"/>
      <c r="AK8269" s="1"/>
      <c r="AL8269" s="1"/>
      <c r="AM8269" s="1"/>
    </row>
    <row r="8270" spans="16:39" x14ac:dyDescent="0.25">
      <c r="P8270" s="49"/>
      <c r="Q8270" s="1"/>
      <c r="S8270" s="1"/>
      <c r="T8270" s="1"/>
      <c r="U8270" s="1"/>
      <c r="V8270" s="1"/>
      <c r="W8270" s="1"/>
      <c r="X8270" s="1"/>
      <c r="Y8270" s="1"/>
      <c r="AB8270" s="1"/>
      <c r="AC8270" s="1"/>
      <c r="AD8270" s="1"/>
      <c r="AE8270" s="1"/>
      <c r="AF8270" s="1"/>
      <c r="AG8270" s="1"/>
      <c r="AH8270" s="1"/>
      <c r="AI8270" s="1"/>
      <c r="AJ8270" s="1"/>
      <c r="AK8270" s="1"/>
      <c r="AL8270" s="1"/>
      <c r="AM8270" s="1"/>
    </row>
    <row r="8271" spans="16:39" x14ac:dyDescent="0.25">
      <c r="P8271" s="49"/>
      <c r="Q8271" s="1"/>
      <c r="S8271" s="1"/>
      <c r="T8271" s="1"/>
      <c r="U8271" s="1"/>
      <c r="V8271" s="1"/>
      <c r="W8271" s="1"/>
      <c r="X8271" s="1"/>
      <c r="Y8271" s="1"/>
      <c r="AB8271" s="1"/>
      <c r="AC8271" s="1"/>
      <c r="AD8271" s="1"/>
      <c r="AE8271" s="1"/>
      <c r="AF8271" s="1"/>
      <c r="AG8271" s="1"/>
      <c r="AH8271" s="1"/>
      <c r="AI8271" s="1"/>
      <c r="AJ8271" s="1"/>
      <c r="AK8271" s="1"/>
      <c r="AL8271" s="1"/>
      <c r="AM8271" s="1"/>
    </row>
    <row r="8272" spans="16:39" x14ac:dyDescent="0.25">
      <c r="P8272" s="49"/>
      <c r="Q8272" s="1"/>
      <c r="S8272" s="1"/>
      <c r="T8272" s="1"/>
      <c r="U8272" s="1"/>
      <c r="V8272" s="1"/>
      <c r="W8272" s="1"/>
      <c r="X8272" s="1"/>
      <c r="Y8272" s="1"/>
      <c r="AB8272" s="1"/>
      <c r="AC8272" s="1"/>
      <c r="AD8272" s="1"/>
      <c r="AE8272" s="1"/>
      <c r="AF8272" s="1"/>
      <c r="AG8272" s="1"/>
      <c r="AH8272" s="1"/>
      <c r="AI8272" s="1"/>
      <c r="AJ8272" s="1"/>
      <c r="AK8272" s="1"/>
      <c r="AL8272" s="1"/>
      <c r="AM8272" s="1"/>
    </row>
    <row r="8273" spans="16:39" x14ac:dyDescent="0.25">
      <c r="P8273" s="49"/>
      <c r="Q8273" s="1"/>
      <c r="S8273" s="1"/>
      <c r="T8273" s="1"/>
      <c r="U8273" s="1"/>
      <c r="V8273" s="1"/>
      <c r="W8273" s="1"/>
      <c r="X8273" s="1"/>
      <c r="Y8273" s="1"/>
      <c r="AB8273" s="1"/>
      <c r="AC8273" s="1"/>
      <c r="AD8273" s="1"/>
      <c r="AE8273" s="1"/>
      <c r="AF8273" s="1"/>
      <c r="AG8273" s="1"/>
      <c r="AH8273" s="1"/>
      <c r="AI8273" s="1"/>
      <c r="AJ8273" s="1"/>
      <c r="AK8273" s="1"/>
      <c r="AL8273" s="1"/>
      <c r="AM8273" s="1"/>
    </row>
    <row r="8274" spans="16:39" x14ac:dyDescent="0.25">
      <c r="P8274" s="49"/>
      <c r="Q8274" s="1"/>
      <c r="S8274" s="1"/>
      <c r="T8274" s="1"/>
      <c r="U8274" s="1"/>
      <c r="V8274" s="1"/>
      <c r="W8274" s="1"/>
      <c r="X8274" s="1"/>
      <c r="Y8274" s="1"/>
      <c r="AB8274" s="1"/>
      <c r="AC8274" s="1"/>
      <c r="AD8274" s="1"/>
      <c r="AE8274" s="1"/>
      <c r="AF8274" s="1"/>
      <c r="AG8274" s="1"/>
      <c r="AH8274" s="1"/>
      <c r="AI8274" s="1"/>
      <c r="AJ8274" s="1"/>
      <c r="AK8274" s="1"/>
      <c r="AL8274" s="1"/>
      <c r="AM8274" s="1"/>
    </row>
    <row r="8275" spans="16:39" x14ac:dyDescent="0.25">
      <c r="P8275" s="49"/>
      <c r="Q8275" s="1"/>
      <c r="S8275" s="1"/>
      <c r="T8275" s="1"/>
      <c r="U8275" s="1"/>
      <c r="V8275" s="1"/>
      <c r="W8275" s="1"/>
      <c r="X8275" s="1"/>
      <c r="Y8275" s="1"/>
      <c r="AB8275" s="1"/>
      <c r="AC8275" s="1"/>
      <c r="AD8275" s="1"/>
      <c r="AE8275" s="1"/>
      <c r="AF8275" s="1"/>
      <c r="AG8275" s="1"/>
      <c r="AH8275" s="1"/>
      <c r="AI8275" s="1"/>
      <c r="AJ8275" s="1"/>
      <c r="AK8275" s="1"/>
      <c r="AL8275" s="1"/>
      <c r="AM8275" s="1"/>
    </row>
    <row r="8276" spans="16:39" x14ac:dyDescent="0.25">
      <c r="P8276" s="49"/>
      <c r="Q8276" s="1"/>
      <c r="S8276" s="1"/>
      <c r="T8276" s="1"/>
      <c r="U8276" s="1"/>
      <c r="V8276" s="1"/>
      <c r="W8276" s="1"/>
      <c r="X8276" s="1"/>
      <c r="Y8276" s="1"/>
      <c r="AB8276" s="1"/>
      <c r="AC8276" s="1"/>
      <c r="AD8276" s="1"/>
      <c r="AE8276" s="1"/>
      <c r="AF8276" s="1"/>
      <c r="AG8276" s="1"/>
      <c r="AH8276" s="1"/>
      <c r="AI8276" s="1"/>
      <c r="AJ8276" s="1"/>
      <c r="AK8276" s="1"/>
      <c r="AL8276" s="1"/>
      <c r="AM8276" s="1"/>
    </row>
    <row r="8277" spans="16:39" x14ac:dyDescent="0.25">
      <c r="P8277" s="49"/>
      <c r="Q8277" s="1"/>
      <c r="S8277" s="1"/>
      <c r="T8277" s="1"/>
      <c r="U8277" s="1"/>
      <c r="V8277" s="1"/>
      <c r="W8277" s="1"/>
      <c r="X8277" s="1"/>
      <c r="Y8277" s="1"/>
      <c r="AB8277" s="1"/>
      <c r="AC8277" s="1"/>
      <c r="AD8277" s="1"/>
      <c r="AE8277" s="1"/>
      <c r="AF8277" s="1"/>
      <c r="AG8277" s="1"/>
      <c r="AH8277" s="1"/>
      <c r="AI8277" s="1"/>
      <c r="AJ8277" s="1"/>
      <c r="AK8277" s="1"/>
      <c r="AL8277" s="1"/>
      <c r="AM8277" s="1"/>
    </row>
    <row r="8278" spans="16:39" x14ac:dyDescent="0.25">
      <c r="P8278" s="49"/>
      <c r="Q8278" s="1"/>
      <c r="S8278" s="1"/>
      <c r="T8278" s="1"/>
      <c r="U8278" s="1"/>
      <c r="V8278" s="1"/>
      <c r="W8278" s="1"/>
      <c r="X8278" s="1"/>
      <c r="Y8278" s="1"/>
      <c r="AB8278" s="1"/>
      <c r="AC8278" s="1"/>
      <c r="AD8278" s="1"/>
      <c r="AE8278" s="1"/>
      <c r="AF8278" s="1"/>
      <c r="AG8278" s="1"/>
      <c r="AH8278" s="1"/>
      <c r="AI8278" s="1"/>
      <c r="AJ8278" s="1"/>
      <c r="AK8278" s="1"/>
      <c r="AL8278" s="1"/>
      <c r="AM8278" s="1"/>
    </row>
    <row r="8279" spans="16:39" x14ac:dyDescent="0.25">
      <c r="P8279" s="49"/>
      <c r="Q8279" s="1"/>
      <c r="S8279" s="1"/>
      <c r="T8279" s="1"/>
      <c r="U8279" s="1"/>
      <c r="V8279" s="1"/>
      <c r="W8279" s="1"/>
      <c r="X8279" s="1"/>
      <c r="Y8279" s="1"/>
      <c r="AB8279" s="1"/>
      <c r="AC8279" s="1"/>
      <c r="AD8279" s="1"/>
      <c r="AE8279" s="1"/>
      <c r="AF8279" s="1"/>
      <c r="AG8279" s="1"/>
      <c r="AH8279" s="1"/>
      <c r="AI8279" s="1"/>
      <c r="AJ8279" s="1"/>
      <c r="AK8279" s="1"/>
      <c r="AL8279" s="1"/>
      <c r="AM8279" s="1"/>
    </row>
    <row r="8280" spans="16:39" x14ac:dyDescent="0.25">
      <c r="P8280" s="49"/>
      <c r="Q8280" s="1"/>
      <c r="S8280" s="1"/>
      <c r="T8280" s="1"/>
      <c r="U8280" s="1"/>
      <c r="V8280" s="1"/>
      <c r="W8280" s="1"/>
      <c r="X8280" s="1"/>
      <c r="Y8280" s="1"/>
      <c r="AB8280" s="1"/>
      <c r="AC8280" s="1"/>
      <c r="AD8280" s="1"/>
      <c r="AE8280" s="1"/>
      <c r="AF8280" s="1"/>
      <c r="AG8280" s="1"/>
      <c r="AH8280" s="1"/>
      <c r="AI8280" s="1"/>
      <c r="AJ8280" s="1"/>
      <c r="AK8280" s="1"/>
      <c r="AL8280" s="1"/>
      <c r="AM8280" s="1"/>
    </row>
    <row r="8281" spans="16:39" x14ac:dyDescent="0.25">
      <c r="P8281" s="49"/>
      <c r="Q8281" s="1"/>
      <c r="S8281" s="1"/>
      <c r="T8281" s="1"/>
      <c r="U8281" s="1"/>
      <c r="V8281" s="1"/>
      <c r="W8281" s="1"/>
      <c r="X8281" s="1"/>
      <c r="Y8281" s="1"/>
      <c r="AB8281" s="1"/>
      <c r="AC8281" s="1"/>
      <c r="AD8281" s="1"/>
      <c r="AE8281" s="1"/>
      <c r="AF8281" s="1"/>
      <c r="AG8281" s="1"/>
      <c r="AH8281" s="1"/>
      <c r="AI8281" s="1"/>
      <c r="AJ8281" s="1"/>
      <c r="AK8281" s="1"/>
      <c r="AL8281" s="1"/>
      <c r="AM8281" s="1"/>
    </row>
    <row r="8282" spans="16:39" x14ac:dyDescent="0.25">
      <c r="P8282" s="49"/>
      <c r="Q8282" s="1"/>
      <c r="S8282" s="1"/>
      <c r="T8282" s="1"/>
      <c r="U8282" s="1"/>
      <c r="V8282" s="1"/>
      <c r="W8282" s="1"/>
      <c r="X8282" s="1"/>
      <c r="Y8282" s="1"/>
      <c r="AB8282" s="1"/>
      <c r="AC8282" s="1"/>
      <c r="AD8282" s="1"/>
      <c r="AE8282" s="1"/>
      <c r="AF8282" s="1"/>
      <c r="AG8282" s="1"/>
      <c r="AH8282" s="1"/>
      <c r="AI8282" s="1"/>
      <c r="AJ8282" s="1"/>
      <c r="AK8282" s="1"/>
      <c r="AL8282" s="1"/>
      <c r="AM8282" s="1"/>
    </row>
    <row r="8283" spans="16:39" x14ac:dyDescent="0.25">
      <c r="P8283" s="49"/>
      <c r="Q8283" s="1"/>
      <c r="S8283" s="1"/>
      <c r="T8283" s="1"/>
      <c r="U8283" s="1"/>
      <c r="V8283" s="1"/>
      <c r="W8283" s="1"/>
      <c r="X8283" s="1"/>
      <c r="Y8283" s="1"/>
      <c r="AB8283" s="1"/>
      <c r="AC8283" s="1"/>
      <c r="AD8283" s="1"/>
      <c r="AE8283" s="1"/>
      <c r="AF8283" s="1"/>
      <c r="AG8283" s="1"/>
      <c r="AH8283" s="1"/>
      <c r="AI8283" s="1"/>
      <c r="AJ8283" s="1"/>
      <c r="AK8283" s="1"/>
      <c r="AL8283" s="1"/>
      <c r="AM8283" s="1"/>
    </row>
    <row r="8284" spans="16:39" x14ac:dyDescent="0.25">
      <c r="P8284" s="49"/>
      <c r="Q8284" s="1"/>
      <c r="S8284" s="1"/>
      <c r="T8284" s="1"/>
      <c r="U8284" s="1"/>
      <c r="V8284" s="1"/>
      <c r="W8284" s="1"/>
      <c r="X8284" s="1"/>
      <c r="Y8284" s="1"/>
      <c r="AB8284" s="1"/>
      <c r="AC8284" s="1"/>
      <c r="AD8284" s="1"/>
      <c r="AE8284" s="1"/>
      <c r="AF8284" s="1"/>
      <c r="AG8284" s="1"/>
      <c r="AH8284" s="1"/>
      <c r="AI8284" s="1"/>
      <c r="AJ8284" s="1"/>
      <c r="AK8284" s="1"/>
      <c r="AL8284" s="1"/>
      <c r="AM8284" s="1"/>
    </row>
    <row r="8285" spans="16:39" x14ac:dyDescent="0.25">
      <c r="P8285" s="49"/>
      <c r="Q8285" s="1"/>
      <c r="S8285" s="1"/>
      <c r="T8285" s="1"/>
      <c r="U8285" s="1"/>
      <c r="V8285" s="1"/>
      <c r="W8285" s="1"/>
      <c r="X8285" s="1"/>
      <c r="Y8285" s="1"/>
      <c r="AB8285" s="1"/>
      <c r="AC8285" s="1"/>
      <c r="AD8285" s="1"/>
      <c r="AE8285" s="1"/>
      <c r="AF8285" s="1"/>
      <c r="AG8285" s="1"/>
      <c r="AH8285" s="1"/>
      <c r="AI8285" s="1"/>
      <c r="AJ8285" s="1"/>
      <c r="AK8285" s="1"/>
      <c r="AL8285" s="1"/>
      <c r="AM8285" s="1"/>
    </row>
    <row r="8286" spans="16:39" x14ac:dyDescent="0.25">
      <c r="P8286" s="49"/>
      <c r="Q8286" s="1"/>
      <c r="S8286" s="1"/>
      <c r="T8286" s="1"/>
      <c r="U8286" s="1"/>
      <c r="V8286" s="1"/>
      <c r="W8286" s="1"/>
      <c r="X8286" s="1"/>
      <c r="Y8286" s="1"/>
      <c r="AB8286" s="1"/>
      <c r="AC8286" s="1"/>
      <c r="AD8286" s="1"/>
      <c r="AE8286" s="1"/>
      <c r="AF8286" s="1"/>
      <c r="AG8286" s="1"/>
      <c r="AH8286" s="1"/>
      <c r="AI8286" s="1"/>
      <c r="AJ8286" s="1"/>
      <c r="AK8286" s="1"/>
      <c r="AL8286" s="1"/>
      <c r="AM8286" s="1"/>
    </row>
    <row r="8287" spans="16:39" x14ac:dyDescent="0.25">
      <c r="P8287" s="49"/>
      <c r="Q8287" s="1"/>
      <c r="S8287" s="1"/>
      <c r="T8287" s="1"/>
      <c r="U8287" s="1"/>
      <c r="V8287" s="1"/>
      <c r="W8287" s="1"/>
      <c r="X8287" s="1"/>
      <c r="Y8287" s="1"/>
      <c r="AB8287" s="1"/>
      <c r="AC8287" s="1"/>
      <c r="AD8287" s="1"/>
      <c r="AE8287" s="1"/>
      <c r="AF8287" s="1"/>
      <c r="AG8287" s="1"/>
      <c r="AH8287" s="1"/>
      <c r="AI8287" s="1"/>
      <c r="AJ8287" s="1"/>
      <c r="AK8287" s="1"/>
      <c r="AL8287" s="1"/>
      <c r="AM8287" s="1"/>
    </row>
    <row r="8288" spans="16:39" x14ac:dyDescent="0.25">
      <c r="P8288" s="49"/>
      <c r="Q8288" s="1"/>
      <c r="S8288" s="1"/>
      <c r="T8288" s="1"/>
      <c r="U8288" s="1"/>
      <c r="V8288" s="1"/>
      <c r="W8288" s="1"/>
      <c r="X8288" s="1"/>
      <c r="Y8288" s="1"/>
      <c r="AB8288" s="1"/>
      <c r="AC8288" s="1"/>
      <c r="AD8288" s="1"/>
      <c r="AE8288" s="1"/>
      <c r="AF8288" s="1"/>
      <c r="AG8288" s="1"/>
      <c r="AH8288" s="1"/>
      <c r="AI8288" s="1"/>
      <c r="AJ8288" s="1"/>
      <c r="AK8288" s="1"/>
      <c r="AL8288" s="1"/>
      <c r="AM8288" s="1"/>
    </row>
    <row r="8289" spans="16:39" x14ac:dyDescent="0.25">
      <c r="P8289" s="49"/>
      <c r="Q8289" s="1"/>
      <c r="S8289" s="1"/>
      <c r="T8289" s="1"/>
      <c r="U8289" s="1"/>
      <c r="V8289" s="1"/>
      <c r="W8289" s="1"/>
      <c r="X8289" s="1"/>
      <c r="Y8289" s="1"/>
      <c r="AB8289" s="1"/>
      <c r="AC8289" s="1"/>
      <c r="AD8289" s="1"/>
      <c r="AE8289" s="1"/>
      <c r="AF8289" s="1"/>
      <c r="AG8289" s="1"/>
      <c r="AH8289" s="1"/>
      <c r="AI8289" s="1"/>
      <c r="AJ8289" s="1"/>
      <c r="AK8289" s="1"/>
      <c r="AL8289" s="1"/>
      <c r="AM8289" s="1"/>
    </row>
    <row r="8290" spans="16:39" x14ac:dyDescent="0.25">
      <c r="P8290" s="49"/>
      <c r="Q8290" s="1"/>
      <c r="S8290" s="1"/>
      <c r="T8290" s="1"/>
      <c r="U8290" s="1"/>
      <c r="V8290" s="1"/>
      <c r="W8290" s="1"/>
      <c r="X8290" s="1"/>
      <c r="Y8290" s="1"/>
      <c r="AB8290" s="1"/>
      <c r="AC8290" s="1"/>
      <c r="AD8290" s="1"/>
      <c r="AE8290" s="1"/>
      <c r="AF8290" s="1"/>
      <c r="AG8290" s="1"/>
      <c r="AH8290" s="1"/>
      <c r="AI8290" s="1"/>
      <c r="AJ8290" s="1"/>
      <c r="AK8290" s="1"/>
      <c r="AL8290" s="1"/>
      <c r="AM8290" s="1"/>
    </row>
    <row r="8291" spans="16:39" x14ac:dyDescent="0.25">
      <c r="P8291" s="49"/>
      <c r="Q8291" s="1"/>
      <c r="S8291" s="1"/>
      <c r="T8291" s="1"/>
      <c r="U8291" s="1"/>
      <c r="V8291" s="1"/>
      <c r="W8291" s="1"/>
      <c r="X8291" s="1"/>
      <c r="Y8291" s="1"/>
      <c r="AB8291" s="1"/>
      <c r="AC8291" s="1"/>
      <c r="AD8291" s="1"/>
      <c r="AE8291" s="1"/>
      <c r="AF8291" s="1"/>
      <c r="AG8291" s="1"/>
      <c r="AH8291" s="1"/>
      <c r="AI8291" s="1"/>
      <c r="AJ8291" s="1"/>
      <c r="AK8291" s="1"/>
      <c r="AL8291" s="1"/>
      <c r="AM8291" s="1"/>
    </row>
    <row r="8292" spans="16:39" x14ac:dyDescent="0.25">
      <c r="P8292" s="49"/>
      <c r="Q8292" s="1"/>
      <c r="S8292" s="1"/>
      <c r="T8292" s="1"/>
      <c r="U8292" s="1"/>
      <c r="V8292" s="1"/>
      <c r="W8292" s="1"/>
      <c r="X8292" s="1"/>
      <c r="Y8292" s="1"/>
      <c r="AB8292" s="1"/>
      <c r="AC8292" s="1"/>
      <c r="AD8292" s="1"/>
      <c r="AE8292" s="1"/>
      <c r="AF8292" s="1"/>
      <c r="AG8292" s="1"/>
      <c r="AH8292" s="1"/>
      <c r="AI8292" s="1"/>
      <c r="AJ8292" s="1"/>
      <c r="AK8292" s="1"/>
      <c r="AL8292" s="1"/>
      <c r="AM8292" s="1"/>
    </row>
    <row r="8293" spans="16:39" x14ac:dyDescent="0.25">
      <c r="P8293" s="49"/>
      <c r="Q8293" s="1"/>
      <c r="S8293" s="1"/>
      <c r="T8293" s="1"/>
      <c r="U8293" s="1"/>
      <c r="V8293" s="1"/>
      <c r="W8293" s="1"/>
      <c r="X8293" s="1"/>
      <c r="Y8293" s="1"/>
      <c r="AB8293" s="1"/>
      <c r="AC8293" s="1"/>
      <c r="AD8293" s="1"/>
      <c r="AE8293" s="1"/>
      <c r="AF8293" s="1"/>
      <c r="AG8293" s="1"/>
      <c r="AH8293" s="1"/>
      <c r="AI8293" s="1"/>
      <c r="AJ8293" s="1"/>
      <c r="AK8293" s="1"/>
      <c r="AL8293" s="1"/>
      <c r="AM8293" s="1"/>
    </row>
    <row r="8294" spans="16:39" x14ac:dyDescent="0.25">
      <c r="P8294" s="49"/>
      <c r="Q8294" s="1"/>
      <c r="S8294" s="1"/>
      <c r="T8294" s="1"/>
      <c r="U8294" s="1"/>
      <c r="V8294" s="1"/>
      <c r="W8294" s="1"/>
      <c r="X8294" s="1"/>
      <c r="Y8294" s="1"/>
      <c r="AB8294" s="1"/>
      <c r="AC8294" s="1"/>
      <c r="AD8294" s="1"/>
      <c r="AE8294" s="1"/>
      <c r="AF8294" s="1"/>
      <c r="AG8294" s="1"/>
      <c r="AH8294" s="1"/>
      <c r="AI8294" s="1"/>
      <c r="AJ8294" s="1"/>
      <c r="AK8294" s="1"/>
      <c r="AL8294" s="1"/>
      <c r="AM8294" s="1"/>
    </row>
    <row r="8295" spans="16:39" x14ac:dyDescent="0.25">
      <c r="P8295" s="49"/>
      <c r="Q8295" s="1"/>
      <c r="S8295" s="1"/>
      <c r="T8295" s="1"/>
      <c r="U8295" s="1"/>
      <c r="V8295" s="1"/>
      <c r="W8295" s="1"/>
      <c r="X8295" s="1"/>
      <c r="Y8295" s="1"/>
      <c r="AB8295" s="1"/>
      <c r="AC8295" s="1"/>
      <c r="AD8295" s="1"/>
      <c r="AE8295" s="1"/>
      <c r="AF8295" s="1"/>
      <c r="AG8295" s="1"/>
      <c r="AH8295" s="1"/>
      <c r="AI8295" s="1"/>
      <c r="AJ8295" s="1"/>
      <c r="AK8295" s="1"/>
      <c r="AL8295" s="1"/>
      <c r="AM8295" s="1"/>
    </row>
    <row r="8296" spans="16:39" x14ac:dyDescent="0.25">
      <c r="P8296" s="49"/>
      <c r="Q8296" s="1"/>
      <c r="S8296" s="1"/>
      <c r="T8296" s="1"/>
      <c r="U8296" s="1"/>
      <c r="V8296" s="1"/>
      <c r="W8296" s="1"/>
      <c r="X8296" s="1"/>
      <c r="Y8296" s="1"/>
      <c r="AB8296" s="1"/>
      <c r="AC8296" s="1"/>
      <c r="AD8296" s="1"/>
      <c r="AE8296" s="1"/>
      <c r="AF8296" s="1"/>
      <c r="AG8296" s="1"/>
      <c r="AH8296" s="1"/>
      <c r="AI8296" s="1"/>
      <c r="AJ8296" s="1"/>
      <c r="AK8296" s="1"/>
      <c r="AL8296" s="1"/>
      <c r="AM8296" s="1"/>
    </row>
    <row r="8297" spans="16:39" x14ac:dyDescent="0.25">
      <c r="P8297" s="49"/>
      <c r="Q8297" s="1"/>
      <c r="S8297" s="1"/>
      <c r="T8297" s="1"/>
      <c r="U8297" s="1"/>
      <c r="V8297" s="1"/>
      <c r="W8297" s="1"/>
      <c r="X8297" s="1"/>
      <c r="Y8297" s="1"/>
      <c r="AB8297" s="1"/>
      <c r="AC8297" s="1"/>
      <c r="AD8297" s="1"/>
      <c r="AE8297" s="1"/>
      <c r="AF8297" s="1"/>
      <c r="AG8297" s="1"/>
      <c r="AH8297" s="1"/>
      <c r="AI8297" s="1"/>
      <c r="AJ8297" s="1"/>
      <c r="AK8297" s="1"/>
      <c r="AL8297" s="1"/>
      <c r="AM8297" s="1"/>
    </row>
    <row r="8298" spans="16:39" x14ac:dyDescent="0.25">
      <c r="P8298" s="49"/>
      <c r="Q8298" s="1"/>
      <c r="S8298" s="1"/>
      <c r="T8298" s="1"/>
      <c r="U8298" s="1"/>
      <c r="V8298" s="1"/>
      <c r="W8298" s="1"/>
      <c r="X8298" s="1"/>
      <c r="Y8298" s="1"/>
      <c r="AB8298" s="1"/>
      <c r="AC8298" s="1"/>
      <c r="AD8298" s="1"/>
      <c r="AE8298" s="1"/>
      <c r="AF8298" s="1"/>
      <c r="AG8298" s="1"/>
      <c r="AH8298" s="1"/>
      <c r="AI8298" s="1"/>
      <c r="AJ8298" s="1"/>
      <c r="AK8298" s="1"/>
      <c r="AL8298" s="1"/>
      <c r="AM8298" s="1"/>
    </row>
    <row r="8299" spans="16:39" x14ac:dyDescent="0.25">
      <c r="P8299" s="49"/>
      <c r="Q8299" s="1"/>
      <c r="S8299" s="1"/>
      <c r="T8299" s="1"/>
      <c r="U8299" s="1"/>
      <c r="V8299" s="1"/>
      <c r="W8299" s="1"/>
      <c r="X8299" s="1"/>
      <c r="Y8299" s="1"/>
      <c r="AB8299" s="1"/>
      <c r="AC8299" s="1"/>
      <c r="AD8299" s="1"/>
      <c r="AE8299" s="1"/>
      <c r="AF8299" s="1"/>
      <c r="AG8299" s="1"/>
      <c r="AH8299" s="1"/>
      <c r="AI8299" s="1"/>
      <c r="AJ8299" s="1"/>
      <c r="AK8299" s="1"/>
      <c r="AL8299" s="1"/>
      <c r="AM8299" s="1"/>
    </row>
    <row r="8300" spans="16:39" x14ac:dyDescent="0.25">
      <c r="P8300" s="49"/>
      <c r="Q8300" s="1"/>
      <c r="S8300" s="1"/>
      <c r="T8300" s="1"/>
      <c r="U8300" s="1"/>
      <c r="V8300" s="1"/>
      <c r="W8300" s="1"/>
      <c r="X8300" s="1"/>
      <c r="Y8300" s="1"/>
      <c r="AB8300" s="1"/>
      <c r="AC8300" s="1"/>
      <c r="AD8300" s="1"/>
      <c r="AE8300" s="1"/>
      <c r="AF8300" s="1"/>
      <c r="AG8300" s="1"/>
      <c r="AH8300" s="1"/>
      <c r="AI8300" s="1"/>
      <c r="AJ8300" s="1"/>
      <c r="AK8300" s="1"/>
      <c r="AL8300" s="1"/>
      <c r="AM8300" s="1"/>
    </row>
    <row r="8301" spans="16:39" x14ac:dyDescent="0.25">
      <c r="P8301" s="49"/>
      <c r="Q8301" s="1"/>
      <c r="S8301" s="1"/>
      <c r="T8301" s="1"/>
      <c r="U8301" s="1"/>
      <c r="V8301" s="1"/>
      <c r="W8301" s="1"/>
      <c r="X8301" s="1"/>
      <c r="Y8301" s="1"/>
      <c r="AB8301" s="1"/>
      <c r="AC8301" s="1"/>
      <c r="AD8301" s="1"/>
      <c r="AE8301" s="1"/>
      <c r="AF8301" s="1"/>
      <c r="AG8301" s="1"/>
      <c r="AH8301" s="1"/>
      <c r="AI8301" s="1"/>
      <c r="AJ8301" s="1"/>
      <c r="AK8301" s="1"/>
      <c r="AL8301" s="1"/>
      <c r="AM8301" s="1"/>
    </row>
    <row r="8302" spans="16:39" x14ac:dyDescent="0.25">
      <c r="P8302" s="49"/>
      <c r="Q8302" s="1"/>
      <c r="S8302" s="1"/>
      <c r="T8302" s="1"/>
      <c r="U8302" s="1"/>
      <c r="V8302" s="1"/>
      <c r="W8302" s="1"/>
      <c r="X8302" s="1"/>
      <c r="Y8302" s="1"/>
      <c r="AB8302" s="1"/>
      <c r="AC8302" s="1"/>
      <c r="AD8302" s="1"/>
      <c r="AE8302" s="1"/>
      <c r="AF8302" s="1"/>
      <c r="AG8302" s="1"/>
      <c r="AH8302" s="1"/>
      <c r="AI8302" s="1"/>
      <c r="AJ8302" s="1"/>
      <c r="AK8302" s="1"/>
      <c r="AL8302" s="1"/>
      <c r="AM8302" s="1"/>
    </row>
    <row r="8303" spans="16:39" x14ac:dyDescent="0.25">
      <c r="P8303" s="49"/>
      <c r="Q8303" s="1"/>
      <c r="S8303" s="1"/>
      <c r="T8303" s="1"/>
      <c r="U8303" s="1"/>
      <c r="V8303" s="1"/>
      <c r="W8303" s="1"/>
      <c r="X8303" s="1"/>
      <c r="Y8303" s="1"/>
      <c r="AB8303" s="1"/>
      <c r="AC8303" s="1"/>
      <c r="AD8303" s="1"/>
      <c r="AE8303" s="1"/>
      <c r="AF8303" s="1"/>
      <c r="AG8303" s="1"/>
      <c r="AH8303" s="1"/>
      <c r="AI8303" s="1"/>
      <c r="AJ8303" s="1"/>
      <c r="AK8303" s="1"/>
      <c r="AL8303" s="1"/>
      <c r="AM8303" s="1"/>
    </row>
    <row r="8304" spans="16:39" x14ac:dyDescent="0.25">
      <c r="P8304" s="49"/>
      <c r="Q8304" s="1"/>
      <c r="S8304" s="1"/>
      <c r="T8304" s="1"/>
      <c r="U8304" s="1"/>
      <c r="V8304" s="1"/>
      <c r="W8304" s="1"/>
      <c r="X8304" s="1"/>
      <c r="Y8304" s="1"/>
      <c r="AB8304" s="1"/>
      <c r="AC8304" s="1"/>
      <c r="AD8304" s="1"/>
      <c r="AE8304" s="1"/>
      <c r="AF8304" s="1"/>
      <c r="AG8304" s="1"/>
      <c r="AH8304" s="1"/>
      <c r="AI8304" s="1"/>
      <c r="AJ8304" s="1"/>
      <c r="AK8304" s="1"/>
      <c r="AL8304" s="1"/>
      <c r="AM8304" s="1"/>
    </row>
    <row r="8305" spans="16:39" x14ac:dyDescent="0.25">
      <c r="P8305" s="49"/>
      <c r="Q8305" s="1"/>
      <c r="S8305" s="1"/>
      <c r="T8305" s="1"/>
      <c r="U8305" s="1"/>
      <c r="V8305" s="1"/>
      <c r="W8305" s="1"/>
      <c r="X8305" s="1"/>
      <c r="Y8305" s="1"/>
      <c r="AB8305" s="1"/>
      <c r="AC8305" s="1"/>
      <c r="AD8305" s="1"/>
      <c r="AE8305" s="1"/>
      <c r="AF8305" s="1"/>
      <c r="AG8305" s="1"/>
      <c r="AH8305" s="1"/>
      <c r="AI8305" s="1"/>
      <c r="AJ8305" s="1"/>
      <c r="AK8305" s="1"/>
      <c r="AL8305" s="1"/>
      <c r="AM8305" s="1"/>
    </row>
    <row r="8306" spans="16:39" x14ac:dyDescent="0.25">
      <c r="P8306" s="49"/>
      <c r="Q8306" s="1"/>
      <c r="S8306" s="1"/>
      <c r="T8306" s="1"/>
      <c r="U8306" s="1"/>
      <c r="V8306" s="1"/>
      <c r="W8306" s="1"/>
      <c r="X8306" s="1"/>
      <c r="Y8306" s="1"/>
      <c r="AB8306" s="1"/>
      <c r="AC8306" s="1"/>
      <c r="AD8306" s="1"/>
      <c r="AE8306" s="1"/>
      <c r="AF8306" s="1"/>
      <c r="AG8306" s="1"/>
      <c r="AH8306" s="1"/>
      <c r="AI8306" s="1"/>
      <c r="AJ8306" s="1"/>
      <c r="AK8306" s="1"/>
      <c r="AL8306" s="1"/>
      <c r="AM8306" s="1"/>
    </row>
    <row r="8307" spans="16:39" x14ac:dyDescent="0.25">
      <c r="P8307" s="49"/>
      <c r="Q8307" s="1"/>
      <c r="S8307" s="1"/>
      <c r="T8307" s="1"/>
      <c r="U8307" s="1"/>
      <c r="V8307" s="1"/>
      <c r="W8307" s="1"/>
      <c r="X8307" s="1"/>
      <c r="Y8307" s="1"/>
      <c r="AB8307" s="1"/>
      <c r="AC8307" s="1"/>
      <c r="AD8307" s="1"/>
      <c r="AE8307" s="1"/>
      <c r="AF8307" s="1"/>
      <c r="AG8307" s="1"/>
      <c r="AH8307" s="1"/>
      <c r="AI8307" s="1"/>
      <c r="AJ8307" s="1"/>
      <c r="AK8307" s="1"/>
      <c r="AL8307" s="1"/>
      <c r="AM8307" s="1"/>
    </row>
    <row r="8308" spans="16:39" x14ac:dyDescent="0.25">
      <c r="P8308" s="49"/>
      <c r="Q8308" s="1"/>
      <c r="S8308" s="1"/>
      <c r="T8308" s="1"/>
      <c r="U8308" s="1"/>
      <c r="V8308" s="1"/>
      <c r="W8308" s="1"/>
      <c r="X8308" s="1"/>
      <c r="Y8308" s="1"/>
      <c r="AB8308" s="1"/>
      <c r="AC8308" s="1"/>
      <c r="AD8308" s="1"/>
      <c r="AE8308" s="1"/>
      <c r="AF8308" s="1"/>
      <c r="AG8308" s="1"/>
      <c r="AH8308" s="1"/>
      <c r="AI8308" s="1"/>
      <c r="AJ8308" s="1"/>
      <c r="AK8308" s="1"/>
      <c r="AL8308" s="1"/>
      <c r="AM8308" s="1"/>
    </row>
    <row r="8309" spans="16:39" x14ac:dyDescent="0.25">
      <c r="P8309" s="49"/>
      <c r="Q8309" s="1"/>
      <c r="S8309" s="1"/>
      <c r="T8309" s="1"/>
      <c r="U8309" s="1"/>
      <c r="V8309" s="1"/>
      <c r="W8309" s="1"/>
      <c r="X8309" s="1"/>
      <c r="Y8309" s="1"/>
      <c r="AB8309" s="1"/>
      <c r="AC8309" s="1"/>
      <c r="AD8309" s="1"/>
      <c r="AE8309" s="1"/>
      <c r="AF8309" s="1"/>
      <c r="AG8309" s="1"/>
      <c r="AH8309" s="1"/>
      <c r="AI8309" s="1"/>
      <c r="AJ8309" s="1"/>
      <c r="AK8309" s="1"/>
      <c r="AL8309" s="1"/>
      <c r="AM8309" s="1"/>
    </row>
    <row r="8310" spans="16:39" x14ac:dyDescent="0.25">
      <c r="P8310" s="49"/>
      <c r="Q8310" s="1"/>
      <c r="S8310" s="1"/>
      <c r="T8310" s="1"/>
      <c r="U8310" s="1"/>
      <c r="V8310" s="1"/>
      <c r="W8310" s="1"/>
      <c r="X8310" s="1"/>
      <c r="Y8310" s="1"/>
      <c r="AB8310" s="1"/>
      <c r="AC8310" s="1"/>
      <c r="AD8310" s="1"/>
      <c r="AE8310" s="1"/>
      <c r="AF8310" s="1"/>
      <c r="AG8310" s="1"/>
      <c r="AH8310" s="1"/>
      <c r="AI8310" s="1"/>
      <c r="AJ8310" s="1"/>
      <c r="AK8310" s="1"/>
      <c r="AL8310" s="1"/>
      <c r="AM8310" s="1"/>
    </row>
    <row r="8311" spans="16:39" x14ac:dyDescent="0.25">
      <c r="P8311" s="49"/>
      <c r="Q8311" s="1"/>
      <c r="S8311" s="1"/>
      <c r="T8311" s="1"/>
      <c r="U8311" s="1"/>
      <c r="V8311" s="1"/>
      <c r="W8311" s="1"/>
      <c r="X8311" s="1"/>
      <c r="Y8311" s="1"/>
      <c r="AB8311" s="1"/>
      <c r="AC8311" s="1"/>
      <c r="AD8311" s="1"/>
      <c r="AE8311" s="1"/>
      <c r="AF8311" s="1"/>
      <c r="AG8311" s="1"/>
      <c r="AH8311" s="1"/>
      <c r="AI8311" s="1"/>
      <c r="AJ8311" s="1"/>
      <c r="AK8311" s="1"/>
      <c r="AL8311" s="1"/>
      <c r="AM8311" s="1"/>
    </row>
    <row r="8312" spans="16:39" x14ac:dyDescent="0.25">
      <c r="P8312" s="49"/>
      <c r="Q8312" s="1"/>
      <c r="S8312" s="1"/>
      <c r="T8312" s="1"/>
      <c r="U8312" s="1"/>
      <c r="V8312" s="1"/>
      <c r="W8312" s="1"/>
      <c r="X8312" s="1"/>
      <c r="Y8312" s="1"/>
      <c r="AB8312" s="1"/>
      <c r="AC8312" s="1"/>
      <c r="AD8312" s="1"/>
      <c r="AE8312" s="1"/>
      <c r="AF8312" s="1"/>
      <c r="AG8312" s="1"/>
      <c r="AH8312" s="1"/>
      <c r="AI8312" s="1"/>
      <c r="AJ8312" s="1"/>
      <c r="AK8312" s="1"/>
      <c r="AL8312" s="1"/>
      <c r="AM8312" s="1"/>
    </row>
    <row r="8313" spans="16:39" x14ac:dyDescent="0.25">
      <c r="P8313" s="49"/>
      <c r="Q8313" s="1"/>
      <c r="S8313" s="1"/>
      <c r="T8313" s="1"/>
      <c r="U8313" s="1"/>
      <c r="V8313" s="1"/>
      <c r="W8313" s="1"/>
      <c r="X8313" s="1"/>
      <c r="Y8313" s="1"/>
      <c r="AB8313" s="1"/>
      <c r="AC8313" s="1"/>
      <c r="AD8313" s="1"/>
      <c r="AE8313" s="1"/>
      <c r="AF8313" s="1"/>
      <c r="AG8313" s="1"/>
      <c r="AH8313" s="1"/>
      <c r="AI8313" s="1"/>
      <c r="AJ8313" s="1"/>
      <c r="AK8313" s="1"/>
      <c r="AL8313" s="1"/>
      <c r="AM8313" s="1"/>
    </row>
    <row r="8314" spans="16:39" x14ac:dyDescent="0.25">
      <c r="P8314" s="49"/>
      <c r="Q8314" s="1"/>
      <c r="S8314" s="1"/>
      <c r="T8314" s="1"/>
      <c r="U8314" s="1"/>
      <c r="V8314" s="1"/>
      <c r="W8314" s="1"/>
      <c r="X8314" s="1"/>
      <c r="Y8314" s="1"/>
      <c r="AB8314" s="1"/>
      <c r="AC8314" s="1"/>
      <c r="AD8314" s="1"/>
      <c r="AE8314" s="1"/>
      <c r="AF8314" s="1"/>
      <c r="AG8314" s="1"/>
      <c r="AH8314" s="1"/>
      <c r="AI8314" s="1"/>
      <c r="AJ8314" s="1"/>
      <c r="AK8314" s="1"/>
      <c r="AL8314" s="1"/>
      <c r="AM8314" s="1"/>
    </row>
    <row r="8315" spans="16:39" x14ac:dyDescent="0.25">
      <c r="P8315" s="49"/>
      <c r="Q8315" s="1"/>
      <c r="S8315" s="1"/>
      <c r="T8315" s="1"/>
      <c r="U8315" s="1"/>
      <c r="V8315" s="1"/>
      <c r="W8315" s="1"/>
      <c r="X8315" s="1"/>
      <c r="Y8315" s="1"/>
      <c r="AB8315" s="1"/>
      <c r="AC8315" s="1"/>
      <c r="AD8315" s="1"/>
      <c r="AE8315" s="1"/>
      <c r="AF8315" s="1"/>
      <c r="AG8315" s="1"/>
      <c r="AH8315" s="1"/>
      <c r="AI8315" s="1"/>
      <c r="AJ8315" s="1"/>
      <c r="AK8315" s="1"/>
      <c r="AL8315" s="1"/>
      <c r="AM8315" s="1"/>
    </row>
    <row r="8316" spans="16:39" x14ac:dyDescent="0.25">
      <c r="P8316" s="49"/>
      <c r="Q8316" s="1"/>
      <c r="S8316" s="1"/>
      <c r="T8316" s="1"/>
      <c r="U8316" s="1"/>
      <c r="V8316" s="1"/>
      <c r="W8316" s="1"/>
      <c r="X8316" s="1"/>
      <c r="Y8316" s="1"/>
      <c r="AB8316" s="1"/>
      <c r="AC8316" s="1"/>
      <c r="AD8316" s="1"/>
      <c r="AE8316" s="1"/>
      <c r="AF8316" s="1"/>
      <c r="AG8316" s="1"/>
      <c r="AH8316" s="1"/>
      <c r="AI8316" s="1"/>
      <c r="AJ8316" s="1"/>
      <c r="AK8316" s="1"/>
      <c r="AL8316" s="1"/>
      <c r="AM8316" s="1"/>
    </row>
    <row r="8317" spans="16:39" x14ac:dyDescent="0.25">
      <c r="P8317" s="49"/>
      <c r="Q8317" s="1"/>
      <c r="S8317" s="1"/>
      <c r="T8317" s="1"/>
      <c r="U8317" s="1"/>
      <c r="V8317" s="1"/>
      <c r="W8317" s="1"/>
      <c r="X8317" s="1"/>
      <c r="Y8317" s="1"/>
      <c r="AB8317" s="1"/>
      <c r="AC8317" s="1"/>
      <c r="AD8317" s="1"/>
      <c r="AE8317" s="1"/>
      <c r="AF8317" s="1"/>
      <c r="AG8317" s="1"/>
      <c r="AH8317" s="1"/>
      <c r="AI8317" s="1"/>
      <c r="AJ8317" s="1"/>
      <c r="AK8317" s="1"/>
      <c r="AL8317" s="1"/>
      <c r="AM8317" s="1"/>
    </row>
    <row r="8318" spans="16:39" x14ac:dyDescent="0.25">
      <c r="P8318" s="49"/>
      <c r="Q8318" s="1"/>
      <c r="S8318" s="1"/>
      <c r="T8318" s="1"/>
      <c r="U8318" s="1"/>
      <c r="V8318" s="1"/>
      <c r="W8318" s="1"/>
      <c r="X8318" s="1"/>
      <c r="Y8318" s="1"/>
      <c r="AB8318" s="1"/>
      <c r="AC8318" s="1"/>
      <c r="AD8318" s="1"/>
      <c r="AE8318" s="1"/>
      <c r="AF8318" s="1"/>
      <c r="AG8318" s="1"/>
      <c r="AH8318" s="1"/>
      <c r="AI8318" s="1"/>
      <c r="AJ8318" s="1"/>
      <c r="AK8318" s="1"/>
      <c r="AL8318" s="1"/>
      <c r="AM8318" s="1"/>
    </row>
    <row r="8319" spans="16:39" x14ac:dyDescent="0.25">
      <c r="P8319" s="49"/>
      <c r="Q8319" s="1"/>
      <c r="S8319" s="1"/>
      <c r="T8319" s="1"/>
      <c r="U8319" s="1"/>
      <c r="V8319" s="1"/>
      <c r="W8319" s="1"/>
      <c r="X8319" s="1"/>
      <c r="Y8319" s="1"/>
      <c r="AB8319" s="1"/>
      <c r="AC8319" s="1"/>
      <c r="AD8319" s="1"/>
      <c r="AE8319" s="1"/>
      <c r="AF8319" s="1"/>
      <c r="AG8319" s="1"/>
      <c r="AH8319" s="1"/>
      <c r="AI8319" s="1"/>
      <c r="AJ8319" s="1"/>
      <c r="AK8319" s="1"/>
      <c r="AL8319" s="1"/>
      <c r="AM8319" s="1"/>
    </row>
    <row r="8320" spans="16:39" x14ac:dyDescent="0.25">
      <c r="P8320" s="49"/>
      <c r="Q8320" s="1"/>
      <c r="S8320" s="1"/>
      <c r="T8320" s="1"/>
      <c r="U8320" s="1"/>
      <c r="V8320" s="1"/>
      <c r="W8320" s="1"/>
      <c r="X8320" s="1"/>
      <c r="Y8320" s="1"/>
      <c r="AB8320" s="1"/>
      <c r="AC8320" s="1"/>
      <c r="AD8320" s="1"/>
      <c r="AE8320" s="1"/>
      <c r="AF8320" s="1"/>
      <c r="AG8320" s="1"/>
      <c r="AH8320" s="1"/>
      <c r="AI8320" s="1"/>
      <c r="AJ8320" s="1"/>
      <c r="AK8320" s="1"/>
      <c r="AL8320" s="1"/>
      <c r="AM8320" s="1"/>
    </row>
    <row r="8321" spans="1:39" x14ac:dyDescent="0.25">
      <c r="P8321" s="49"/>
      <c r="Q8321" s="1"/>
      <c r="S8321" s="1"/>
      <c r="T8321" s="1"/>
      <c r="U8321" s="1"/>
      <c r="V8321" s="1"/>
      <c r="W8321" s="1"/>
      <c r="X8321" s="1"/>
      <c r="Y8321" s="1"/>
      <c r="AB8321" s="1"/>
      <c r="AC8321" s="1"/>
      <c r="AD8321" s="1"/>
      <c r="AE8321" s="1"/>
      <c r="AF8321" s="1"/>
      <c r="AG8321" s="1"/>
      <c r="AH8321" s="1"/>
      <c r="AI8321" s="1"/>
      <c r="AJ8321" s="1"/>
      <c r="AK8321" s="1"/>
      <c r="AL8321" s="1"/>
      <c r="AM8321" s="1"/>
    </row>
    <row r="8322" spans="1:39" x14ac:dyDescent="0.25">
      <c r="P8322" s="49"/>
      <c r="Q8322" s="1"/>
      <c r="S8322" s="1"/>
      <c r="T8322" s="1"/>
      <c r="U8322" s="1"/>
      <c r="V8322" s="1"/>
      <c r="W8322" s="1"/>
      <c r="X8322" s="1"/>
      <c r="Y8322" s="1"/>
      <c r="AB8322" s="1"/>
      <c r="AC8322" s="1"/>
      <c r="AD8322" s="1"/>
      <c r="AE8322" s="1"/>
      <c r="AF8322" s="1"/>
      <c r="AG8322" s="1"/>
      <c r="AH8322" s="1"/>
      <c r="AI8322" s="1"/>
      <c r="AJ8322" s="1"/>
      <c r="AK8322" s="1"/>
      <c r="AL8322" s="1"/>
      <c r="AM8322" s="1"/>
    </row>
    <row r="8323" spans="1:39" x14ac:dyDescent="0.25">
      <c r="P8323" s="49"/>
      <c r="Q8323" s="1"/>
      <c r="S8323" s="1"/>
      <c r="T8323" s="1"/>
      <c r="U8323" s="1"/>
      <c r="V8323" s="1"/>
      <c r="W8323" s="1"/>
      <c r="X8323" s="1"/>
      <c r="Y8323" s="1"/>
      <c r="AB8323" s="1"/>
      <c r="AC8323" s="1"/>
      <c r="AD8323" s="1"/>
      <c r="AE8323" s="1"/>
      <c r="AF8323" s="1"/>
      <c r="AG8323" s="1"/>
      <c r="AH8323" s="1"/>
      <c r="AI8323" s="1"/>
      <c r="AJ8323" s="1"/>
      <c r="AK8323" s="1"/>
      <c r="AL8323" s="1"/>
      <c r="AM8323" s="1"/>
    </row>
    <row r="8324" spans="1:39" x14ac:dyDescent="0.25">
      <c r="P8324" s="49"/>
      <c r="Q8324" s="1"/>
      <c r="S8324" s="1"/>
      <c r="T8324" s="1"/>
      <c r="U8324" s="1"/>
      <c r="V8324" s="1"/>
      <c r="W8324" s="1"/>
      <c r="X8324" s="1"/>
      <c r="Y8324" s="1"/>
      <c r="AB8324" s="1"/>
      <c r="AC8324" s="1"/>
      <c r="AD8324" s="1"/>
      <c r="AE8324" s="1"/>
      <c r="AF8324" s="1"/>
      <c r="AG8324" s="1"/>
      <c r="AH8324" s="1"/>
      <c r="AI8324" s="1"/>
      <c r="AJ8324" s="1"/>
      <c r="AK8324" s="1"/>
      <c r="AL8324" s="1"/>
      <c r="AM8324" s="1"/>
    </row>
    <row r="8325" spans="1:39" x14ac:dyDescent="0.25">
      <c r="A8325" s="620"/>
      <c r="B8325" s="620"/>
      <c r="C8325" s="620"/>
      <c r="D8325" s="620"/>
      <c r="E8325" s="620"/>
      <c r="F8325" s="620"/>
      <c r="G8325" s="620"/>
      <c r="H8325" s="620"/>
      <c r="I8325" s="620"/>
      <c r="J8325" s="620"/>
      <c r="K8325" s="620"/>
      <c r="L8325" s="620"/>
      <c r="M8325" s="620"/>
      <c r="N8325" s="620"/>
      <c r="O8325" s="620"/>
      <c r="P8325" s="49"/>
      <c r="Q8325" s="1"/>
      <c r="R8325" s="620"/>
      <c r="S8325" s="1"/>
      <c r="T8325" s="1"/>
      <c r="U8325" s="1"/>
      <c r="V8325" s="1"/>
      <c r="W8325" s="1"/>
      <c r="X8325" s="1"/>
      <c r="Y8325" s="1"/>
      <c r="Z8325" s="620"/>
      <c r="AA8325" s="620"/>
      <c r="AB8325" s="1"/>
      <c r="AC8325" s="1"/>
      <c r="AD8325" s="1"/>
      <c r="AE8325" s="1"/>
      <c r="AF8325" s="1"/>
      <c r="AG8325" s="1"/>
      <c r="AH8325" s="1"/>
      <c r="AI8325" s="1"/>
      <c r="AJ8325" s="1"/>
      <c r="AK8325" s="1"/>
      <c r="AL8325" s="1"/>
      <c r="AM8325" s="1"/>
    </row>
    <row r="8326" spans="1:39" x14ac:dyDescent="0.25">
      <c r="A8326" s="620"/>
      <c r="B8326" s="620"/>
      <c r="C8326" s="620"/>
      <c r="D8326" s="620"/>
      <c r="E8326" s="620"/>
      <c r="F8326" s="620"/>
      <c r="G8326" s="620"/>
      <c r="H8326" s="620"/>
      <c r="I8326" s="620"/>
      <c r="J8326" s="620"/>
      <c r="K8326" s="620"/>
      <c r="L8326" s="620"/>
      <c r="M8326" s="620"/>
      <c r="N8326" s="620"/>
      <c r="O8326" s="620"/>
      <c r="P8326" s="49"/>
      <c r="Q8326" s="1"/>
      <c r="R8326" s="620"/>
      <c r="S8326" s="1"/>
      <c r="T8326" s="1"/>
      <c r="U8326" s="1"/>
      <c r="V8326" s="1"/>
      <c r="W8326" s="1"/>
      <c r="X8326" s="1"/>
      <c r="Y8326" s="1"/>
      <c r="Z8326" s="620"/>
      <c r="AA8326" s="620"/>
      <c r="AB8326" s="1"/>
      <c r="AC8326" s="1"/>
      <c r="AD8326" s="1"/>
      <c r="AE8326" s="1"/>
      <c r="AF8326" s="1"/>
      <c r="AG8326" s="1"/>
      <c r="AH8326" s="1"/>
      <c r="AI8326" s="1"/>
      <c r="AJ8326" s="1"/>
      <c r="AK8326" s="1"/>
      <c r="AL8326" s="1"/>
      <c r="AM8326" s="1"/>
    </row>
    <row r="8327" spans="1:39" x14ac:dyDescent="0.25">
      <c r="A8327" s="620"/>
      <c r="B8327" s="620"/>
      <c r="C8327" s="620"/>
      <c r="D8327" s="620"/>
      <c r="E8327" s="620"/>
      <c r="F8327" s="620"/>
      <c r="G8327" s="620"/>
      <c r="H8327" s="620"/>
      <c r="I8327" s="620"/>
      <c r="J8327" s="620"/>
      <c r="K8327" s="620"/>
      <c r="L8327" s="620"/>
      <c r="M8327" s="620"/>
      <c r="N8327" s="620"/>
      <c r="O8327" s="620"/>
      <c r="P8327" s="49"/>
      <c r="Q8327" s="1"/>
      <c r="R8327" s="620"/>
      <c r="S8327" s="1"/>
      <c r="T8327" s="1"/>
      <c r="U8327" s="1"/>
      <c r="V8327" s="1"/>
      <c r="W8327" s="1"/>
      <c r="X8327" s="1"/>
      <c r="Y8327" s="1"/>
      <c r="Z8327" s="620"/>
      <c r="AA8327" s="620"/>
      <c r="AB8327" s="1"/>
      <c r="AC8327" s="1"/>
      <c r="AD8327" s="1"/>
      <c r="AE8327" s="1"/>
      <c r="AF8327" s="1"/>
      <c r="AG8327" s="1"/>
      <c r="AH8327" s="1"/>
      <c r="AI8327" s="1"/>
      <c r="AJ8327" s="1"/>
      <c r="AK8327" s="1"/>
      <c r="AL8327" s="1"/>
      <c r="AM8327" s="1"/>
    </row>
    <row r="8328" spans="1:39" x14ac:dyDescent="0.25">
      <c r="A8328" s="620"/>
      <c r="B8328" s="620"/>
      <c r="C8328" s="620"/>
      <c r="D8328" s="620"/>
      <c r="E8328" s="620"/>
      <c r="F8328" s="620"/>
      <c r="G8328" s="620"/>
      <c r="H8328" s="620"/>
      <c r="I8328" s="620"/>
      <c r="J8328" s="620"/>
      <c r="K8328" s="620"/>
      <c r="L8328" s="620"/>
      <c r="M8328" s="620"/>
      <c r="N8328" s="620"/>
      <c r="O8328" s="620"/>
      <c r="P8328" s="49"/>
      <c r="Q8328" s="1"/>
      <c r="R8328" s="620"/>
      <c r="S8328" s="1"/>
      <c r="T8328" s="1"/>
      <c r="U8328" s="1"/>
      <c r="V8328" s="1"/>
      <c r="W8328" s="1"/>
      <c r="X8328" s="1"/>
      <c r="Y8328" s="1"/>
      <c r="Z8328" s="620"/>
      <c r="AA8328" s="620"/>
      <c r="AB8328" s="1"/>
      <c r="AC8328" s="1"/>
      <c r="AD8328" s="1"/>
      <c r="AE8328" s="1"/>
      <c r="AF8328" s="1"/>
      <c r="AG8328" s="1"/>
      <c r="AH8328" s="1"/>
      <c r="AI8328" s="1"/>
      <c r="AJ8328" s="1"/>
      <c r="AK8328" s="1"/>
      <c r="AL8328" s="1"/>
      <c r="AM8328" s="1"/>
    </row>
    <row r="8329" spans="1:39" x14ac:dyDescent="0.25">
      <c r="A8329" s="620"/>
      <c r="B8329" s="620"/>
      <c r="C8329" s="620"/>
      <c r="D8329" s="620"/>
      <c r="E8329" s="620"/>
      <c r="F8329" s="620"/>
      <c r="G8329" s="620"/>
      <c r="H8329" s="620"/>
      <c r="I8329" s="620"/>
      <c r="J8329" s="620"/>
      <c r="K8329" s="620"/>
      <c r="L8329" s="620"/>
      <c r="M8329" s="620"/>
      <c r="N8329" s="620"/>
      <c r="O8329" s="620"/>
      <c r="P8329" s="49"/>
      <c r="Q8329" s="1"/>
      <c r="R8329" s="620"/>
      <c r="S8329" s="1"/>
      <c r="T8329" s="1"/>
      <c r="U8329" s="1"/>
      <c r="V8329" s="1"/>
      <c r="W8329" s="1"/>
      <c r="X8329" s="1"/>
      <c r="Y8329" s="1"/>
      <c r="Z8329" s="620"/>
      <c r="AA8329" s="620"/>
      <c r="AB8329" s="1"/>
      <c r="AC8329" s="1"/>
      <c r="AD8329" s="1"/>
      <c r="AE8329" s="1"/>
      <c r="AF8329" s="1"/>
      <c r="AG8329" s="1"/>
      <c r="AH8329" s="1"/>
      <c r="AI8329" s="1"/>
      <c r="AJ8329" s="1"/>
      <c r="AK8329" s="1"/>
      <c r="AL8329" s="1"/>
      <c r="AM8329" s="1"/>
    </row>
    <row r="8330" spans="1:39" x14ac:dyDescent="0.25">
      <c r="A8330" s="620"/>
      <c r="B8330" s="620"/>
      <c r="C8330" s="620"/>
      <c r="D8330" s="620"/>
      <c r="E8330" s="620"/>
      <c r="F8330" s="620"/>
      <c r="G8330" s="620"/>
      <c r="H8330" s="620"/>
      <c r="I8330" s="620"/>
      <c r="J8330" s="620"/>
      <c r="K8330" s="620"/>
      <c r="L8330" s="620"/>
      <c r="M8330" s="620"/>
      <c r="N8330" s="620"/>
      <c r="O8330" s="620"/>
      <c r="P8330" s="49"/>
      <c r="Q8330" s="1"/>
      <c r="R8330" s="620"/>
      <c r="S8330" s="1"/>
      <c r="T8330" s="1"/>
      <c r="U8330" s="1"/>
      <c r="V8330" s="1"/>
      <c r="W8330" s="1"/>
      <c r="X8330" s="1"/>
      <c r="Y8330" s="1"/>
      <c r="Z8330" s="620"/>
      <c r="AA8330" s="620"/>
      <c r="AB8330" s="1"/>
      <c r="AC8330" s="1"/>
      <c r="AD8330" s="1"/>
      <c r="AE8330" s="1"/>
      <c r="AF8330" s="1"/>
      <c r="AG8330" s="1"/>
      <c r="AH8330" s="1"/>
      <c r="AI8330" s="1"/>
      <c r="AJ8330" s="1"/>
      <c r="AK8330" s="1"/>
      <c r="AL8330" s="1"/>
      <c r="AM8330" s="1"/>
    </row>
    <row r="8331" spans="1:39" x14ac:dyDescent="0.25">
      <c r="A8331" s="620"/>
      <c r="B8331" s="620"/>
      <c r="C8331" s="620"/>
      <c r="D8331" s="620"/>
      <c r="E8331" s="620"/>
      <c r="F8331" s="620"/>
      <c r="G8331" s="620"/>
      <c r="H8331" s="620"/>
      <c r="I8331" s="620"/>
      <c r="J8331" s="620"/>
      <c r="K8331" s="620"/>
      <c r="L8331" s="620"/>
      <c r="M8331" s="620"/>
      <c r="N8331" s="620"/>
      <c r="O8331" s="620"/>
      <c r="P8331" s="49"/>
      <c r="Q8331" s="1"/>
      <c r="R8331" s="620"/>
      <c r="S8331" s="1"/>
      <c r="T8331" s="1"/>
      <c r="U8331" s="1"/>
      <c r="V8331" s="1"/>
      <c r="W8331" s="1"/>
      <c r="X8331" s="1"/>
      <c r="Y8331" s="1"/>
      <c r="Z8331" s="620"/>
      <c r="AA8331" s="620"/>
      <c r="AB8331" s="1"/>
      <c r="AC8331" s="1"/>
      <c r="AD8331" s="1"/>
      <c r="AE8331" s="1"/>
      <c r="AF8331" s="1"/>
      <c r="AG8331" s="1"/>
      <c r="AH8331" s="1"/>
      <c r="AI8331" s="1"/>
      <c r="AJ8331" s="1"/>
      <c r="AK8331" s="1"/>
      <c r="AL8331" s="1"/>
      <c r="AM8331" s="1"/>
    </row>
    <row r="8332" spans="1:39" x14ac:dyDescent="0.25">
      <c r="A8332" s="620"/>
      <c r="B8332" s="620"/>
      <c r="C8332" s="620"/>
      <c r="D8332" s="620"/>
      <c r="E8332" s="620"/>
      <c r="F8332" s="620"/>
      <c r="G8332" s="620"/>
      <c r="H8332" s="620"/>
      <c r="I8332" s="620"/>
      <c r="J8332" s="620"/>
      <c r="K8332" s="620"/>
      <c r="L8332" s="620"/>
      <c r="M8332" s="620"/>
      <c r="N8332" s="620"/>
      <c r="O8332" s="620"/>
      <c r="P8332" s="49"/>
      <c r="Q8332" s="1"/>
      <c r="R8332" s="620"/>
      <c r="S8332" s="1"/>
      <c r="T8332" s="1"/>
      <c r="U8332" s="1"/>
      <c r="V8332" s="1"/>
      <c r="W8332" s="1"/>
      <c r="X8332" s="1"/>
      <c r="Y8332" s="1"/>
      <c r="Z8332" s="620"/>
      <c r="AA8332" s="620"/>
      <c r="AB8332" s="1"/>
      <c r="AC8332" s="1"/>
      <c r="AD8332" s="1"/>
      <c r="AE8332" s="1"/>
      <c r="AF8332" s="1"/>
      <c r="AG8332" s="1"/>
      <c r="AH8332" s="1"/>
      <c r="AI8332" s="1"/>
      <c r="AJ8332" s="1"/>
      <c r="AK8332" s="1"/>
      <c r="AL8332" s="1"/>
      <c r="AM8332" s="1"/>
    </row>
    <row r="8333" spans="1:39" x14ac:dyDescent="0.25">
      <c r="A8333" s="620"/>
      <c r="B8333" s="620"/>
      <c r="C8333" s="620"/>
      <c r="D8333" s="620"/>
      <c r="E8333" s="620"/>
      <c r="F8333" s="620"/>
      <c r="G8333" s="620"/>
      <c r="H8333" s="620"/>
      <c r="I8333" s="620"/>
      <c r="J8333" s="620"/>
      <c r="K8333" s="620"/>
      <c r="L8333" s="620"/>
      <c r="M8333" s="620"/>
      <c r="N8333" s="620"/>
      <c r="O8333" s="620"/>
      <c r="P8333" s="49"/>
      <c r="Q8333" s="1"/>
      <c r="R8333" s="620"/>
      <c r="S8333" s="1"/>
      <c r="T8333" s="1"/>
      <c r="U8333" s="1"/>
      <c r="V8333" s="1"/>
      <c r="W8333" s="1"/>
      <c r="X8333" s="1"/>
      <c r="Y8333" s="1"/>
      <c r="Z8333" s="620"/>
      <c r="AA8333" s="620"/>
      <c r="AB8333" s="1"/>
      <c r="AC8333" s="1"/>
      <c r="AD8333" s="1"/>
      <c r="AE8333" s="1"/>
      <c r="AF8333" s="1"/>
      <c r="AG8333" s="1"/>
      <c r="AH8333" s="1"/>
      <c r="AI8333" s="1"/>
      <c r="AJ8333" s="1"/>
      <c r="AK8333" s="1"/>
      <c r="AL8333" s="1"/>
      <c r="AM8333" s="1"/>
    </row>
    <row r="8334" spans="1:39" x14ac:dyDescent="0.25">
      <c r="A8334" s="620"/>
      <c r="B8334" s="620"/>
      <c r="C8334" s="620"/>
      <c r="D8334" s="620"/>
      <c r="E8334" s="620"/>
      <c r="F8334" s="620"/>
      <c r="G8334" s="620"/>
      <c r="H8334" s="620"/>
      <c r="I8334" s="620"/>
      <c r="J8334" s="620"/>
      <c r="K8334" s="620"/>
      <c r="L8334" s="620"/>
      <c r="M8334" s="620"/>
      <c r="N8334" s="620"/>
      <c r="O8334" s="620"/>
      <c r="P8334" s="49"/>
      <c r="Q8334" s="1"/>
      <c r="R8334" s="620"/>
      <c r="S8334" s="1"/>
      <c r="T8334" s="1"/>
      <c r="U8334" s="1"/>
      <c r="V8334" s="1"/>
      <c r="W8334" s="1"/>
      <c r="X8334" s="1"/>
      <c r="Y8334" s="1"/>
      <c r="Z8334" s="620"/>
      <c r="AA8334" s="620"/>
      <c r="AB8334" s="1"/>
      <c r="AC8334" s="1"/>
      <c r="AD8334" s="1"/>
      <c r="AE8334" s="1"/>
      <c r="AF8334" s="1"/>
      <c r="AG8334" s="1"/>
      <c r="AH8334" s="1"/>
      <c r="AI8334" s="1"/>
      <c r="AJ8334" s="1"/>
      <c r="AK8334" s="1"/>
      <c r="AL8334" s="1"/>
      <c r="AM8334" s="1"/>
    </row>
    <row r="8335" spans="1:39" x14ac:dyDescent="0.25">
      <c r="A8335" s="620"/>
      <c r="B8335" s="620"/>
      <c r="C8335" s="620"/>
      <c r="D8335" s="620"/>
      <c r="E8335" s="620"/>
      <c r="F8335" s="620"/>
      <c r="G8335" s="620"/>
      <c r="H8335" s="620"/>
      <c r="I8335" s="620"/>
      <c r="J8335" s="620"/>
      <c r="K8335" s="620"/>
      <c r="L8335" s="620"/>
      <c r="M8335" s="620"/>
      <c r="N8335" s="620"/>
      <c r="O8335" s="620"/>
      <c r="P8335" s="49"/>
      <c r="Q8335" s="1"/>
      <c r="R8335" s="620"/>
      <c r="S8335" s="1"/>
      <c r="T8335" s="1"/>
      <c r="U8335" s="1"/>
      <c r="V8335" s="1"/>
      <c r="W8335" s="1"/>
      <c r="X8335" s="1"/>
      <c r="Y8335" s="1"/>
      <c r="Z8335" s="620"/>
      <c r="AA8335" s="620"/>
      <c r="AB8335" s="1"/>
      <c r="AC8335" s="1"/>
      <c r="AD8335" s="1"/>
      <c r="AE8335" s="1"/>
      <c r="AF8335" s="1"/>
      <c r="AG8335" s="1"/>
      <c r="AH8335" s="1"/>
      <c r="AI8335" s="1"/>
      <c r="AJ8335" s="1"/>
      <c r="AK8335" s="1"/>
      <c r="AL8335" s="1"/>
      <c r="AM8335" s="1"/>
    </row>
    <row r="8336" spans="1:39" x14ac:dyDescent="0.25">
      <c r="A8336" s="620"/>
      <c r="B8336" s="620"/>
      <c r="C8336" s="620"/>
      <c r="D8336" s="620"/>
      <c r="E8336" s="620"/>
      <c r="F8336" s="620"/>
      <c r="G8336" s="620"/>
      <c r="H8336" s="620"/>
      <c r="I8336" s="620"/>
      <c r="J8336" s="620"/>
      <c r="K8336" s="620"/>
      <c r="L8336" s="620"/>
      <c r="M8336" s="620"/>
      <c r="N8336" s="620"/>
      <c r="O8336" s="620"/>
      <c r="P8336" s="49"/>
      <c r="Q8336" s="1"/>
      <c r="R8336" s="620"/>
      <c r="S8336" s="1"/>
      <c r="T8336" s="1"/>
      <c r="U8336" s="1"/>
      <c r="V8336" s="1"/>
      <c r="W8336" s="1"/>
      <c r="X8336" s="1"/>
      <c r="Y8336" s="1"/>
      <c r="Z8336" s="620"/>
      <c r="AA8336" s="620"/>
      <c r="AB8336" s="1"/>
      <c r="AC8336" s="1"/>
      <c r="AD8336" s="1"/>
      <c r="AE8336" s="1"/>
      <c r="AF8336" s="1"/>
      <c r="AG8336" s="1"/>
      <c r="AH8336" s="1"/>
      <c r="AI8336" s="1"/>
      <c r="AJ8336" s="1"/>
      <c r="AK8336" s="1"/>
      <c r="AL8336" s="1"/>
      <c r="AM8336" s="1"/>
    </row>
    <row r="8337" spans="1:39" x14ac:dyDescent="0.25">
      <c r="A8337" s="620"/>
      <c r="B8337" s="620"/>
      <c r="C8337" s="620"/>
      <c r="D8337" s="620"/>
      <c r="E8337" s="620"/>
      <c r="F8337" s="620"/>
      <c r="G8337" s="620"/>
      <c r="H8337" s="620"/>
      <c r="I8337" s="620"/>
      <c r="J8337" s="620"/>
      <c r="K8337" s="620"/>
      <c r="L8337" s="620"/>
      <c r="M8337" s="620"/>
      <c r="N8337" s="620"/>
      <c r="O8337" s="620"/>
      <c r="P8337" s="49"/>
      <c r="Q8337" s="1"/>
      <c r="R8337" s="620"/>
      <c r="S8337" s="1"/>
      <c r="T8337" s="1"/>
      <c r="U8337" s="1"/>
      <c r="V8337" s="1"/>
      <c r="W8337" s="1"/>
      <c r="X8337" s="1"/>
      <c r="Y8337" s="1"/>
      <c r="Z8337" s="620"/>
      <c r="AA8337" s="620"/>
      <c r="AB8337" s="1"/>
      <c r="AC8337" s="1"/>
      <c r="AD8337" s="1"/>
      <c r="AE8337" s="1"/>
      <c r="AF8337" s="1"/>
      <c r="AG8337" s="1"/>
      <c r="AH8337" s="1"/>
      <c r="AI8337" s="1"/>
      <c r="AJ8337" s="1"/>
      <c r="AK8337" s="1"/>
      <c r="AL8337" s="1"/>
      <c r="AM8337" s="1"/>
    </row>
    <row r="8338" spans="1:39" x14ac:dyDescent="0.25">
      <c r="A8338" s="620"/>
      <c r="B8338" s="620"/>
      <c r="C8338" s="620"/>
      <c r="D8338" s="620"/>
      <c r="E8338" s="620"/>
      <c r="F8338" s="620"/>
      <c r="G8338" s="620"/>
      <c r="H8338" s="620"/>
      <c r="I8338" s="620"/>
      <c r="J8338" s="620"/>
      <c r="K8338" s="620"/>
      <c r="L8338" s="620"/>
      <c r="M8338" s="620"/>
      <c r="N8338" s="620"/>
      <c r="O8338" s="620"/>
      <c r="P8338" s="49"/>
      <c r="Q8338" s="1"/>
      <c r="R8338" s="620"/>
      <c r="S8338" s="1"/>
      <c r="T8338" s="1"/>
      <c r="U8338" s="1"/>
      <c r="V8338" s="1"/>
      <c r="W8338" s="1"/>
      <c r="X8338" s="1"/>
      <c r="Y8338" s="1"/>
      <c r="Z8338" s="620"/>
      <c r="AA8338" s="620"/>
      <c r="AB8338" s="1"/>
      <c r="AC8338" s="1"/>
      <c r="AD8338" s="1"/>
      <c r="AE8338" s="1"/>
      <c r="AF8338" s="1"/>
      <c r="AG8338" s="1"/>
      <c r="AH8338" s="1"/>
      <c r="AI8338" s="1"/>
      <c r="AJ8338" s="1"/>
      <c r="AK8338" s="1"/>
      <c r="AL8338" s="1"/>
      <c r="AM8338" s="1"/>
    </row>
    <row r="8339" spans="1:39" x14ac:dyDescent="0.25">
      <c r="A8339" s="620"/>
      <c r="B8339" s="620"/>
      <c r="C8339" s="620"/>
      <c r="D8339" s="620"/>
      <c r="E8339" s="620"/>
      <c r="F8339" s="620"/>
      <c r="G8339" s="620"/>
      <c r="H8339" s="620"/>
      <c r="I8339" s="620"/>
      <c r="J8339" s="620"/>
      <c r="K8339" s="620"/>
      <c r="L8339" s="620"/>
      <c r="M8339" s="620"/>
      <c r="N8339" s="620"/>
      <c r="O8339" s="620"/>
      <c r="P8339" s="49"/>
      <c r="Q8339" s="1"/>
      <c r="R8339" s="620"/>
      <c r="S8339" s="1"/>
      <c r="T8339" s="1"/>
      <c r="U8339" s="1"/>
      <c r="V8339" s="1"/>
      <c r="W8339" s="1"/>
      <c r="X8339" s="1"/>
      <c r="Y8339" s="1"/>
      <c r="Z8339" s="620"/>
      <c r="AA8339" s="620"/>
      <c r="AB8339" s="1"/>
      <c r="AC8339" s="1"/>
      <c r="AD8339" s="1"/>
      <c r="AE8339" s="1"/>
      <c r="AF8339" s="1"/>
      <c r="AG8339" s="1"/>
      <c r="AH8339" s="1"/>
      <c r="AI8339" s="1"/>
      <c r="AJ8339" s="1"/>
      <c r="AK8339" s="1"/>
      <c r="AL8339" s="1"/>
      <c r="AM8339" s="1"/>
    </row>
    <row r="8340" spans="1:39" x14ac:dyDescent="0.25">
      <c r="A8340" s="620"/>
      <c r="B8340" s="620"/>
      <c r="C8340" s="620"/>
      <c r="D8340" s="620"/>
      <c r="E8340" s="620"/>
      <c r="F8340" s="620"/>
      <c r="G8340" s="620"/>
      <c r="H8340" s="620"/>
      <c r="I8340" s="620"/>
      <c r="J8340" s="620"/>
      <c r="K8340" s="620"/>
      <c r="L8340" s="620"/>
      <c r="M8340" s="620"/>
      <c r="N8340" s="620"/>
      <c r="O8340" s="620"/>
      <c r="P8340" s="49"/>
      <c r="Q8340" s="1"/>
      <c r="R8340" s="620"/>
      <c r="S8340" s="1"/>
      <c r="T8340" s="1"/>
      <c r="U8340" s="1"/>
      <c r="V8340" s="1"/>
      <c r="W8340" s="1"/>
      <c r="X8340" s="1"/>
      <c r="Y8340" s="1"/>
      <c r="Z8340" s="620"/>
      <c r="AA8340" s="620"/>
      <c r="AB8340" s="1"/>
      <c r="AC8340" s="1"/>
      <c r="AD8340" s="1"/>
      <c r="AE8340" s="1"/>
      <c r="AF8340" s="1"/>
      <c r="AG8340" s="1"/>
      <c r="AH8340" s="1"/>
      <c r="AI8340" s="1"/>
      <c r="AJ8340" s="1"/>
      <c r="AK8340" s="1"/>
      <c r="AL8340" s="1"/>
      <c r="AM8340" s="1"/>
    </row>
    <row r="8341" spans="1:39" x14ac:dyDescent="0.25">
      <c r="A8341" s="620"/>
      <c r="B8341" s="620"/>
      <c r="C8341" s="620"/>
      <c r="D8341" s="620"/>
      <c r="E8341" s="620"/>
      <c r="F8341" s="620"/>
      <c r="G8341" s="620"/>
      <c r="H8341" s="620"/>
      <c r="I8341" s="620"/>
      <c r="J8341" s="620"/>
      <c r="K8341" s="620"/>
      <c r="L8341" s="620"/>
      <c r="M8341" s="620"/>
      <c r="N8341" s="620"/>
      <c r="O8341" s="620"/>
      <c r="P8341" s="49"/>
      <c r="Q8341" s="1"/>
      <c r="R8341" s="620"/>
      <c r="S8341" s="1"/>
      <c r="T8341" s="1"/>
      <c r="U8341" s="1"/>
      <c r="V8341" s="1"/>
      <c r="W8341" s="1"/>
      <c r="X8341" s="1"/>
      <c r="Y8341" s="1"/>
      <c r="Z8341" s="620"/>
      <c r="AA8341" s="620"/>
      <c r="AB8341" s="1"/>
      <c r="AC8341" s="1"/>
      <c r="AD8341" s="1"/>
      <c r="AE8341" s="1"/>
      <c r="AF8341" s="1"/>
      <c r="AG8341" s="1"/>
      <c r="AH8341" s="1"/>
      <c r="AI8341" s="1"/>
      <c r="AJ8341" s="1"/>
      <c r="AK8341" s="1"/>
      <c r="AL8341" s="1"/>
      <c r="AM8341" s="1"/>
    </row>
    <row r="8342" spans="1:39" x14ac:dyDescent="0.25">
      <c r="A8342" s="620"/>
      <c r="B8342" s="620"/>
      <c r="C8342" s="620"/>
      <c r="D8342" s="620"/>
      <c r="E8342" s="620"/>
      <c r="F8342" s="620"/>
      <c r="G8342" s="620"/>
      <c r="H8342" s="620"/>
      <c r="I8342" s="620"/>
      <c r="J8342" s="620"/>
      <c r="K8342" s="620"/>
      <c r="L8342" s="620"/>
      <c r="M8342" s="620"/>
      <c r="N8342" s="620"/>
      <c r="O8342" s="620"/>
      <c r="P8342" s="49"/>
      <c r="Q8342" s="1"/>
      <c r="R8342" s="620"/>
      <c r="S8342" s="1"/>
      <c r="T8342" s="1"/>
      <c r="U8342" s="1"/>
      <c r="V8342" s="1"/>
      <c r="W8342" s="1"/>
      <c r="X8342" s="1"/>
      <c r="Y8342" s="1"/>
      <c r="Z8342" s="620"/>
      <c r="AA8342" s="620"/>
      <c r="AB8342" s="1"/>
      <c r="AC8342" s="1"/>
      <c r="AD8342" s="1"/>
      <c r="AE8342" s="1"/>
      <c r="AF8342" s="1"/>
      <c r="AG8342" s="1"/>
      <c r="AH8342" s="1"/>
      <c r="AI8342" s="1"/>
      <c r="AJ8342" s="1"/>
      <c r="AK8342" s="1"/>
      <c r="AL8342" s="1"/>
      <c r="AM8342" s="1"/>
    </row>
    <row r="8343" spans="1:39" x14ac:dyDescent="0.25">
      <c r="A8343" s="620"/>
      <c r="B8343" s="620"/>
      <c r="C8343" s="620"/>
      <c r="D8343" s="620"/>
      <c r="E8343" s="620"/>
      <c r="F8343" s="620"/>
      <c r="G8343" s="620"/>
      <c r="H8343" s="620"/>
      <c r="I8343" s="620"/>
      <c r="J8343" s="620"/>
      <c r="K8343" s="620"/>
      <c r="L8343" s="620"/>
      <c r="M8343" s="620"/>
      <c r="N8343" s="620"/>
      <c r="O8343" s="620"/>
      <c r="P8343" s="49"/>
      <c r="Q8343" s="1"/>
      <c r="R8343" s="620"/>
      <c r="S8343" s="1"/>
      <c r="T8343" s="1"/>
      <c r="U8343" s="1"/>
      <c r="V8343" s="1"/>
      <c r="W8343" s="1"/>
      <c r="X8343" s="1"/>
      <c r="Y8343" s="1"/>
      <c r="Z8343" s="620"/>
      <c r="AA8343" s="620"/>
      <c r="AB8343" s="1"/>
      <c r="AC8343" s="1"/>
      <c r="AD8343" s="1"/>
      <c r="AE8343" s="1"/>
      <c r="AF8343" s="1"/>
      <c r="AG8343" s="1"/>
      <c r="AH8343" s="1"/>
      <c r="AI8343" s="1"/>
      <c r="AJ8343" s="1"/>
      <c r="AK8343" s="1"/>
      <c r="AL8343" s="1"/>
      <c r="AM8343" s="1"/>
    </row>
    <row r="8344" spans="1:39" x14ac:dyDescent="0.25">
      <c r="A8344" s="620"/>
      <c r="B8344" s="620"/>
      <c r="C8344" s="620"/>
      <c r="D8344" s="620"/>
      <c r="E8344" s="620"/>
      <c r="F8344" s="620"/>
      <c r="G8344" s="620"/>
      <c r="H8344" s="620"/>
      <c r="I8344" s="620"/>
      <c r="J8344" s="620"/>
      <c r="K8344" s="620"/>
      <c r="L8344" s="620"/>
      <c r="M8344" s="620"/>
      <c r="N8344" s="620"/>
      <c r="O8344" s="620"/>
      <c r="P8344" s="49"/>
      <c r="Q8344" s="1"/>
      <c r="R8344" s="620"/>
      <c r="S8344" s="1"/>
      <c r="T8344" s="1"/>
      <c r="U8344" s="1"/>
      <c r="V8344" s="1"/>
      <c r="W8344" s="1"/>
      <c r="X8344" s="1"/>
      <c r="Y8344" s="1"/>
      <c r="Z8344" s="620"/>
      <c r="AA8344" s="620"/>
      <c r="AB8344" s="1"/>
      <c r="AC8344" s="1"/>
      <c r="AD8344" s="1"/>
      <c r="AE8344" s="1"/>
      <c r="AF8344" s="1"/>
      <c r="AG8344" s="1"/>
      <c r="AH8344" s="1"/>
      <c r="AI8344" s="1"/>
      <c r="AJ8344" s="1"/>
      <c r="AK8344" s="1"/>
      <c r="AL8344" s="1"/>
      <c r="AM8344" s="1"/>
    </row>
    <row r="8345" spans="1:39" x14ac:dyDescent="0.25">
      <c r="A8345" s="620"/>
      <c r="B8345" s="620"/>
      <c r="C8345" s="620"/>
      <c r="D8345" s="620"/>
      <c r="E8345" s="620"/>
      <c r="F8345" s="620"/>
      <c r="G8345" s="620"/>
      <c r="H8345" s="620"/>
      <c r="I8345" s="620"/>
      <c r="J8345" s="620"/>
      <c r="K8345" s="620"/>
      <c r="L8345" s="620"/>
      <c r="M8345" s="620"/>
      <c r="N8345" s="620"/>
      <c r="O8345" s="620"/>
      <c r="P8345" s="49"/>
      <c r="Q8345" s="1"/>
      <c r="R8345" s="620"/>
      <c r="S8345" s="1"/>
      <c r="T8345" s="1"/>
      <c r="U8345" s="1"/>
      <c r="V8345" s="1"/>
      <c r="W8345" s="1"/>
      <c r="X8345" s="1"/>
      <c r="Y8345" s="1"/>
      <c r="Z8345" s="620"/>
      <c r="AA8345" s="620"/>
      <c r="AB8345" s="1"/>
      <c r="AC8345" s="1"/>
      <c r="AD8345" s="1"/>
      <c r="AE8345" s="1"/>
      <c r="AF8345" s="1"/>
      <c r="AG8345" s="1"/>
      <c r="AH8345" s="1"/>
      <c r="AI8345" s="1"/>
      <c r="AJ8345" s="1"/>
      <c r="AK8345" s="1"/>
      <c r="AL8345" s="1"/>
      <c r="AM8345" s="1"/>
    </row>
    <row r="8346" spans="1:39" x14ac:dyDescent="0.25">
      <c r="A8346" s="620"/>
      <c r="B8346" s="620"/>
      <c r="C8346" s="620"/>
      <c r="D8346" s="620"/>
      <c r="E8346" s="620"/>
      <c r="F8346" s="620"/>
      <c r="G8346" s="620"/>
      <c r="H8346" s="620"/>
      <c r="I8346" s="620"/>
      <c r="J8346" s="620"/>
      <c r="K8346" s="620"/>
      <c r="L8346" s="620"/>
      <c r="M8346" s="620"/>
      <c r="N8346" s="620"/>
      <c r="O8346" s="620"/>
      <c r="P8346" s="49"/>
      <c r="Q8346" s="1"/>
      <c r="R8346" s="620"/>
      <c r="S8346" s="1"/>
      <c r="T8346" s="1"/>
      <c r="U8346" s="1"/>
      <c r="V8346" s="1"/>
      <c r="W8346" s="1"/>
      <c r="X8346" s="1"/>
      <c r="Y8346" s="1"/>
      <c r="Z8346" s="620"/>
      <c r="AA8346" s="620"/>
      <c r="AB8346" s="1"/>
      <c r="AC8346" s="1"/>
      <c r="AD8346" s="1"/>
      <c r="AE8346" s="1"/>
      <c r="AF8346" s="1"/>
      <c r="AG8346" s="1"/>
      <c r="AH8346" s="1"/>
      <c r="AI8346" s="1"/>
      <c r="AJ8346" s="1"/>
      <c r="AK8346" s="1"/>
      <c r="AL8346" s="1"/>
      <c r="AM8346" s="1"/>
    </row>
    <row r="8347" spans="1:39" x14ac:dyDescent="0.25">
      <c r="A8347" s="620"/>
      <c r="B8347" s="620"/>
      <c r="C8347" s="620"/>
      <c r="D8347" s="620"/>
      <c r="E8347" s="620"/>
      <c r="F8347" s="620"/>
      <c r="G8347" s="620"/>
      <c r="H8347" s="620"/>
      <c r="I8347" s="620"/>
      <c r="J8347" s="620"/>
      <c r="K8347" s="620"/>
      <c r="L8347" s="620"/>
      <c r="M8347" s="620"/>
      <c r="N8347" s="620"/>
      <c r="O8347" s="620"/>
      <c r="P8347" s="49"/>
      <c r="Q8347" s="1"/>
      <c r="R8347" s="620"/>
      <c r="S8347" s="1"/>
      <c r="T8347" s="1"/>
      <c r="U8347" s="1"/>
      <c r="V8347" s="1"/>
      <c r="W8347" s="1"/>
      <c r="X8347" s="1"/>
      <c r="Y8347" s="1"/>
      <c r="Z8347" s="620"/>
      <c r="AA8347" s="620"/>
      <c r="AB8347" s="1"/>
      <c r="AC8347" s="1"/>
      <c r="AD8347" s="1"/>
      <c r="AE8347" s="1"/>
      <c r="AF8347" s="1"/>
      <c r="AG8347" s="1"/>
      <c r="AH8347" s="1"/>
      <c r="AI8347" s="1"/>
      <c r="AJ8347" s="1"/>
      <c r="AK8347" s="1"/>
      <c r="AL8347" s="1"/>
      <c r="AM8347" s="1"/>
    </row>
    <row r="8348" spans="1:39" x14ac:dyDescent="0.25">
      <c r="A8348" s="620"/>
      <c r="B8348" s="620"/>
      <c r="C8348" s="620"/>
      <c r="D8348" s="620"/>
      <c r="E8348" s="620"/>
      <c r="F8348" s="620"/>
      <c r="G8348" s="620"/>
      <c r="H8348" s="620"/>
      <c r="I8348" s="620"/>
      <c r="J8348" s="620"/>
      <c r="K8348" s="620"/>
      <c r="L8348" s="620"/>
      <c r="M8348" s="620"/>
      <c r="N8348" s="620"/>
      <c r="O8348" s="620"/>
      <c r="P8348" s="49"/>
      <c r="Q8348" s="1"/>
      <c r="R8348" s="620"/>
      <c r="S8348" s="1"/>
      <c r="T8348" s="1"/>
      <c r="U8348" s="1"/>
      <c r="V8348" s="1"/>
      <c r="W8348" s="1"/>
      <c r="X8348" s="1"/>
      <c r="Y8348" s="1"/>
      <c r="Z8348" s="620"/>
      <c r="AA8348" s="620"/>
      <c r="AB8348" s="1"/>
      <c r="AC8348" s="1"/>
      <c r="AD8348" s="1"/>
      <c r="AE8348" s="1"/>
      <c r="AF8348" s="1"/>
      <c r="AG8348" s="1"/>
      <c r="AH8348" s="1"/>
      <c r="AI8348" s="1"/>
      <c r="AJ8348" s="1"/>
      <c r="AK8348" s="1"/>
      <c r="AL8348" s="1"/>
      <c r="AM8348" s="1"/>
    </row>
    <row r="8349" spans="1:39" x14ac:dyDescent="0.25">
      <c r="A8349" s="620"/>
      <c r="B8349" s="620"/>
      <c r="C8349" s="620"/>
      <c r="D8349" s="620"/>
      <c r="E8349" s="620"/>
      <c r="F8349" s="620"/>
      <c r="G8349" s="620"/>
      <c r="H8349" s="620"/>
      <c r="I8349" s="620"/>
      <c r="J8349" s="620"/>
      <c r="K8349" s="620"/>
      <c r="L8349" s="620"/>
      <c r="M8349" s="620"/>
      <c r="N8349" s="620"/>
      <c r="O8349" s="620"/>
      <c r="P8349" s="49"/>
      <c r="Q8349" s="1"/>
      <c r="R8349" s="620"/>
      <c r="S8349" s="1"/>
      <c r="T8349" s="1"/>
      <c r="U8349" s="1"/>
      <c r="V8349" s="1"/>
      <c r="W8349" s="1"/>
      <c r="X8349" s="1"/>
      <c r="Y8349" s="1"/>
      <c r="Z8349" s="620"/>
      <c r="AA8349" s="620"/>
      <c r="AB8349" s="1"/>
      <c r="AC8349" s="1"/>
      <c r="AD8349" s="1"/>
      <c r="AE8349" s="1"/>
      <c r="AF8349" s="1"/>
      <c r="AG8349" s="1"/>
      <c r="AH8349" s="1"/>
      <c r="AI8349" s="1"/>
      <c r="AJ8349" s="1"/>
      <c r="AK8349" s="1"/>
      <c r="AL8349" s="1"/>
      <c r="AM8349" s="1"/>
    </row>
    <row r="8350" spans="1:39" x14ac:dyDescent="0.25">
      <c r="A8350" s="620"/>
      <c r="B8350" s="620"/>
      <c r="C8350" s="620"/>
      <c r="D8350" s="620"/>
      <c r="E8350" s="620"/>
      <c r="F8350" s="620"/>
      <c r="G8350" s="620"/>
      <c r="H8350" s="620"/>
      <c r="I8350" s="620"/>
      <c r="J8350" s="620"/>
      <c r="K8350" s="620"/>
      <c r="L8350" s="620"/>
      <c r="M8350" s="620"/>
      <c r="N8350" s="620"/>
      <c r="O8350" s="620"/>
      <c r="P8350" s="49"/>
      <c r="Q8350" s="1"/>
      <c r="R8350" s="620"/>
      <c r="S8350" s="1"/>
      <c r="T8350" s="1"/>
      <c r="U8350" s="1"/>
      <c r="V8350" s="1"/>
      <c r="W8350" s="1"/>
      <c r="X8350" s="1"/>
      <c r="Y8350" s="1"/>
      <c r="Z8350" s="620"/>
      <c r="AA8350" s="620"/>
      <c r="AB8350" s="1"/>
      <c r="AC8350" s="1"/>
      <c r="AD8350" s="1"/>
      <c r="AE8350" s="1"/>
      <c r="AF8350" s="1"/>
      <c r="AG8350" s="1"/>
      <c r="AH8350" s="1"/>
      <c r="AI8350" s="1"/>
      <c r="AJ8350" s="1"/>
      <c r="AK8350" s="1"/>
      <c r="AL8350" s="1"/>
      <c r="AM8350" s="1"/>
    </row>
    <row r="8351" spans="1:39" x14ac:dyDescent="0.25">
      <c r="A8351" s="620"/>
      <c r="B8351" s="620"/>
      <c r="C8351" s="620"/>
      <c r="D8351" s="620"/>
      <c r="E8351" s="620"/>
      <c r="F8351" s="620"/>
      <c r="G8351" s="620"/>
      <c r="H8351" s="620"/>
      <c r="I8351" s="620"/>
      <c r="J8351" s="620"/>
      <c r="K8351" s="620"/>
      <c r="L8351" s="620"/>
      <c r="M8351" s="620"/>
      <c r="N8351" s="620"/>
      <c r="O8351" s="620"/>
      <c r="P8351" s="49"/>
      <c r="Q8351" s="1"/>
      <c r="R8351" s="620"/>
      <c r="S8351" s="1"/>
      <c r="T8351" s="1"/>
      <c r="U8351" s="1"/>
      <c r="V8351" s="1"/>
      <c r="W8351" s="1"/>
      <c r="X8351" s="1"/>
      <c r="Y8351" s="1"/>
      <c r="Z8351" s="620"/>
      <c r="AA8351" s="620"/>
      <c r="AB8351" s="1"/>
      <c r="AC8351" s="1"/>
      <c r="AD8351" s="1"/>
      <c r="AE8351" s="1"/>
      <c r="AF8351" s="1"/>
      <c r="AG8351" s="1"/>
      <c r="AH8351" s="1"/>
      <c r="AI8351" s="1"/>
      <c r="AJ8351" s="1"/>
      <c r="AK8351" s="1"/>
      <c r="AL8351" s="1"/>
      <c r="AM8351" s="1"/>
    </row>
    <row r="8352" spans="1:39" x14ac:dyDescent="0.25">
      <c r="A8352" s="620"/>
      <c r="B8352" s="620"/>
      <c r="C8352" s="620"/>
      <c r="D8352" s="620"/>
      <c r="E8352" s="620"/>
      <c r="F8352" s="620"/>
      <c r="G8352" s="620"/>
      <c r="H8352" s="620"/>
      <c r="I8352" s="620"/>
      <c r="J8352" s="620"/>
      <c r="K8352" s="620"/>
      <c r="L8352" s="620"/>
      <c r="M8352" s="620"/>
      <c r="N8352" s="620"/>
      <c r="O8352" s="620"/>
      <c r="P8352" s="49"/>
      <c r="Q8352" s="1"/>
      <c r="R8352" s="620"/>
      <c r="S8352" s="1"/>
      <c r="T8352" s="1"/>
      <c r="U8352" s="1"/>
      <c r="V8352" s="1"/>
      <c r="W8352" s="1"/>
      <c r="X8352" s="1"/>
      <c r="Y8352" s="1"/>
      <c r="Z8352" s="620"/>
      <c r="AA8352" s="620"/>
      <c r="AB8352" s="1"/>
      <c r="AC8352" s="1"/>
      <c r="AD8352" s="1"/>
      <c r="AE8352" s="1"/>
      <c r="AF8352" s="1"/>
      <c r="AG8352" s="1"/>
      <c r="AH8352" s="1"/>
      <c r="AI8352" s="1"/>
      <c r="AJ8352" s="1"/>
      <c r="AK8352" s="1"/>
      <c r="AL8352" s="1"/>
      <c r="AM8352" s="1"/>
    </row>
    <row r="8353" spans="1:39" x14ac:dyDescent="0.25">
      <c r="A8353" s="620"/>
      <c r="B8353" s="620"/>
      <c r="C8353" s="620"/>
      <c r="D8353" s="620"/>
      <c r="E8353" s="620"/>
      <c r="F8353" s="620"/>
      <c r="G8353" s="620"/>
      <c r="H8353" s="620"/>
      <c r="I8353" s="620"/>
      <c r="J8353" s="620"/>
      <c r="K8353" s="620"/>
      <c r="L8353" s="620"/>
      <c r="M8353" s="620"/>
      <c r="N8353" s="620"/>
      <c r="O8353" s="620"/>
      <c r="P8353" s="49"/>
      <c r="Q8353" s="1"/>
      <c r="R8353" s="620"/>
      <c r="S8353" s="1"/>
      <c r="T8353" s="1"/>
      <c r="U8353" s="1"/>
      <c r="V8353" s="1"/>
      <c r="W8353" s="1"/>
      <c r="X8353" s="1"/>
      <c r="Y8353" s="1"/>
      <c r="Z8353" s="620"/>
      <c r="AA8353" s="620"/>
      <c r="AB8353" s="1"/>
      <c r="AC8353" s="1"/>
      <c r="AD8353" s="1"/>
      <c r="AE8353" s="1"/>
      <c r="AF8353" s="1"/>
      <c r="AG8353" s="1"/>
      <c r="AH8353" s="1"/>
      <c r="AI8353" s="1"/>
      <c r="AJ8353" s="1"/>
      <c r="AK8353" s="1"/>
      <c r="AL8353" s="1"/>
      <c r="AM8353" s="1"/>
    </row>
    <row r="8354" spans="1:39" x14ac:dyDescent="0.25">
      <c r="A8354" s="620"/>
      <c r="B8354" s="620"/>
      <c r="C8354" s="620"/>
      <c r="D8354" s="620"/>
      <c r="E8354" s="620"/>
      <c r="F8354" s="620"/>
      <c r="G8354" s="620"/>
      <c r="H8354" s="620"/>
      <c r="I8354" s="620"/>
      <c r="J8354" s="620"/>
      <c r="K8354" s="620"/>
      <c r="L8354" s="620"/>
      <c r="M8354" s="620"/>
      <c r="N8354" s="620"/>
      <c r="O8354" s="620"/>
      <c r="P8354" s="49"/>
      <c r="Q8354" s="1"/>
      <c r="R8354" s="620"/>
      <c r="S8354" s="1"/>
      <c r="T8354" s="1"/>
      <c r="U8354" s="1"/>
      <c r="V8354" s="1"/>
      <c r="W8354" s="1"/>
      <c r="X8354" s="1"/>
      <c r="Y8354" s="1"/>
      <c r="Z8354" s="620"/>
      <c r="AA8354" s="620"/>
      <c r="AB8354" s="1"/>
      <c r="AC8354" s="1"/>
      <c r="AD8354" s="1"/>
      <c r="AE8354" s="1"/>
      <c r="AF8354" s="1"/>
      <c r="AG8354" s="1"/>
      <c r="AH8354" s="1"/>
      <c r="AI8354" s="1"/>
      <c r="AJ8354" s="1"/>
      <c r="AK8354" s="1"/>
      <c r="AL8354" s="1"/>
      <c r="AM8354" s="1"/>
    </row>
    <row r="8355" spans="1:39" x14ac:dyDescent="0.25">
      <c r="A8355" s="620"/>
      <c r="B8355" s="620"/>
      <c r="C8355" s="620"/>
      <c r="D8355" s="620"/>
      <c r="E8355" s="620"/>
      <c r="F8355" s="620"/>
      <c r="G8355" s="620"/>
      <c r="H8355" s="620"/>
      <c r="I8355" s="620"/>
      <c r="J8355" s="620"/>
      <c r="K8355" s="620"/>
      <c r="L8355" s="620"/>
      <c r="M8355" s="620"/>
      <c r="N8355" s="620"/>
      <c r="O8355" s="620"/>
      <c r="P8355" s="49"/>
      <c r="Q8355" s="1"/>
      <c r="R8355" s="620"/>
      <c r="S8355" s="1"/>
      <c r="T8355" s="1"/>
      <c r="U8355" s="1"/>
      <c r="V8355" s="1"/>
      <c r="W8355" s="1"/>
      <c r="X8355" s="1"/>
      <c r="Y8355" s="1"/>
      <c r="Z8355" s="620"/>
      <c r="AA8355" s="620"/>
      <c r="AB8355" s="1"/>
      <c r="AC8355" s="1"/>
      <c r="AD8355" s="1"/>
      <c r="AE8355" s="1"/>
      <c r="AF8355" s="1"/>
      <c r="AG8355" s="1"/>
      <c r="AH8355" s="1"/>
      <c r="AI8355" s="1"/>
      <c r="AJ8355" s="1"/>
      <c r="AK8355" s="1"/>
      <c r="AL8355" s="1"/>
      <c r="AM8355" s="1"/>
    </row>
    <row r="8356" spans="1:39" x14ac:dyDescent="0.25">
      <c r="A8356" s="620"/>
      <c r="B8356" s="620"/>
      <c r="C8356" s="620"/>
      <c r="D8356" s="620"/>
      <c r="E8356" s="620"/>
      <c r="F8356" s="620"/>
      <c r="G8356" s="620"/>
      <c r="H8356" s="620"/>
      <c r="I8356" s="620"/>
      <c r="J8356" s="620"/>
      <c r="K8356" s="620"/>
      <c r="L8356" s="620"/>
      <c r="M8356" s="620"/>
      <c r="N8356" s="620"/>
      <c r="O8356" s="620"/>
      <c r="P8356" s="49"/>
      <c r="Q8356" s="1"/>
      <c r="R8356" s="620"/>
      <c r="S8356" s="1"/>
      <c r="T8356" s="1"/>
      <c r="U8356" s="1"/>
      <c r="V8356" s="1"/>
      <c r="W8356" s="1"/>
      <c r="X8356" s="1"/>
      <c r="Y8356" s="1"/>
      <c r="Z8356" s="620"/>
      <c r="AA8356" s="620"/>
      <c r="AB8356" s="1"/>
      <c r="AC8356" s="1"/>
      <c r="AD8356" s="1"/>
      <c r="AE8356" s="1"/>
      <c r="AF8356" s="1"/>
      <c r="AG8356" s="1"/>
      <c r="AH8356" s="1"/>
      <c r="AI8356" s="1"/>
      <c r="AJ8356" s="1"/>
      <c r="AK8356" s="1"/>
      <c r="AL8356" s="1"/>
      <c r="AM8356" s="1"/>
    </row>
    <row r="8357" spans="1:39" x14ac:dyDescent="0.25">
      <c r="A8357" s="620"/>
      <c r="B8357" s="620"/>
      <c r="C8357" s="620"/>
      <c r="D8357" s="620"/>
      <c r="E8357" s="620"/>
      <c r="F8357" s="620"/>
      <c r="G8357" s="620"/>
      <c r="H8357" s="620"/>
      <c r="I8357" s="620"/>
      <c r="J8357" s="620"/>
      <c r="K8357" s="620"/>
      <c r="L8357" s="620"/>
      <c r="M8357" s="620"/>
      <c r="N8357" s="620"/>
      <c r="O8357" s="620"/>
      <c r="P8357" s="49"/>
      <c r="Q8357" s="1"/>
      <c r="R8357" s="620"/>
      <c r="S8357" s="1"/>
      <c r="T8357" s="1"/>
      <c r="U8357" s="1"/>
      <c r="V8357" s="1"/>
      <c r="W8357" s="1"/>
      <c r="X8357" s="1"/>
      <c r="Y8357" s="1"/>
      <c r="Z8357" s="620"/>
      <c r="AA8357" s="620"/>
      <c r="AB8357" s="1"/>
      <c r="AC8357" s="1"/>
      <c r="AD8357" s="1"/>
      <c r="AE8357" s="1"/>
      <c r="AF8357" s="1"/>
      <c r="AG8357" s="1"/>
      <c r="AH8357" s="1"/>
      <c r="AI8357" s="1"/>
      <c r="AJ8357" s="1"/>
      <c r="AK8357" s="1"/>
      <c r="AL8357" s="1"/>
      <c r="AM8357" s="1"/>
    </row>
    <row r="8358" spans="1:39" x14ac:dyDescent="0.25">
      <c r="A8358" s="620"/>
      <c r="B8358" s="620"/>
      <c r="C8358" s="620"/>
      <c r="D8358" s="620"/>
      <c r="E8358" s="620"/>
      <c r="F8358" s="620"/>
      <c r="G8358" s="620"/>
      <c r="H8358" s="620"/>
      <c r="I8358" s="620"/>
      <c r="J8358" s="620"/>
      <c r="K8358" s="620"/>
      <c r="L8358" s="620"/>
      <c r="M8358" s="620"/>
      <c r="N8358" s="620"/>
      <c r="O8358" s="620"/>
      <c r="P8358" s="49"/>
      <c r="Q8358" s="1"/>
      <c r="R8358" s="620"/>
      <c r="S8358" s="1"/>
      <c r="T8358" s="1"/>
      <c r="U8358" s="1"/>
      <c r="V8358" s="1"/>
      <c r="W8358" s="1"/>
      <c r="X8358" s="1"/>
      <c r="Y8358" s="1"/>
      <c r="Z8358" s="620"/>
      <c r="AA8358" s="620"/>
      <c r="AB8358" s="1"/>
      <c r="AC8358" s="1"/>
      <c r="AD8358" s="1"/>
      <c r="AE8358" s="1"/>
      <c r="AF8358" s="1"/>
      <c r="AG8358" s="1"/>
      <c r="AH8358" s="1"/>
      <c r="AI8358" s="1"/>
      <c r="AJ8358" s="1"/>
      <c r="AK8358" s="1"/>
      <c r="AL8358" s="1"/>
      <c r="AM8358" s="1"/>
    </row>
    <row r="8359" spans="1:39" x14ac:dyDescent="0.25">
      <c r="A8359" s="620"/>
      <c r="B8359" s="620"/>
      <c r="C8359" s="620"/>
      <c r="D8359" s="620"/>
      <c r="E8359" s="620"/>
      <c r="F8359" s="620"/>
      <c r="G8359" s="620"/>
      <c r="H8359" s="620"/>
      <c r="I8359" s="620"/>
      <c r="J8359" s="620"/>
      <c r="K8359" s="620"/>
      <c r="L8359" s="620"/>
      <c r="M8359" s="620"/>
      <c r="N8359" s="620"/>
      <c r="O8359" s="620"/>
      <c r="P8359" s="49"/>
      <c r="Q8359" s="1"/>
      <c r="R8359" s="620"/>
      <c r="S8359" s="1"/>
      <c r="T8359" s="1"/>
      <c r="U8359" s="1"/>
      <c r="V8359" s="1"/>
      <c r="W8359" s="1"/>
      <c r="X8359" s="1"/>
      <c r="Y8359" s="1"/>
      <c r="Z8359" s="620"/>
      <c r="AA8359" s="620"/>
      <c r="AB8359" s="1"/>
      <c r="AC8359" s="1"/>
      <c r="AD8359" s="1"/>
      <c r="AE8359" s="1"/>
      <c r="AF8359" s="1"/>
      <c r="AG8359" s="1"/>
      <c r="AH8359" s="1"/>
      <c r="AI8359" s="1"/>
      <c r="AJ8359" s="1"/>
      <c r="AK8359" s="1"/>
      <c r="AL8359" s="1"/>
      <c r="AM8359" s="1"/>
    </row>
    <row r="8360" spans="1:39" x14ac:dyDescent="0.25">
      <c r="A8360" s="620"/>
      <c r="B8360" s="620"/>
      <c r="C8360" s="620"/>
      <c r="D8360" s="620"/>
      <c r="E8360" s="620"/>
      <c r="F8360" s="620"/>
      <c r="G8360" s="620"/>
      <c r="H8360" s="620"/>
      <c r="I8360" s="620"/>
      <c r="J8360" s="620"/>
      <c r="K8360" s="620"/>
      <c r="L8360" s="620"/>
      <c r="M8360" s="620"/>
      <c r="N8360" s="620"/>
      <c r="O8360" s="620"/>
      <c r="P8360" s="49"/>
      <c r="Q8360" s="1"/>
      <c r="R8360" s="620"/>
      <c r="S8360" s="1"/>
      <c r="T8360" s="1"/>
      <c r="U8360" s="1"/>
      <c r="V8360" s="1"/>
      <c r="W8360" s="1"/>
      <c r="X8360" s="1"/>
      <c r="Y8360" s="1"/>
      <c r="Z8360" s="620"/>
      <c r="AA8360" s="620"/>
      <c r="AB8360" s="1"/>
      <c r="AC8360" s="1"/>
      <c r="AD8360" s="1"/>
      <c r="AE8360" s="1"/>
      <c r="AF8360" s="1"/>
      <c r="AG8360" s="1"/>
      <c r="AH8360" s="1"/>
      <c r="AI8360" s="1"/>
      <c r="AJ8360" s="1"/>
      <c r="AK8360" s="1"/>
      <c r="AL8360" s="1"/>
      <c r="AM8360" s="1"/>
    </row>
    <row r="8361" spans="1:39" x14ac:dyDescent="0.25">
      <c r="A8361" s="620"/>
      <c r="B8361" s="620"/>
      <c r="C8361" s="620"/>
      <c r="D8361" s="620"/>
      <c r="E8361" s="620"/>
      <c r="F8361" s="620"/>
      <c r="G8361" s="620"/>
      <c r="H8361" s="620"/>
      <c r="I8361" s="620"/>
      <c r="J8361" s="620"/>
      <c r="K8361" s="620"/>
      <c r="L8361" s="620"/>
      <c r="M8361" s="620"/>
      <c r="N8361" s="620"/>
      <c r="O8361" s="620"/>
      <c r="P8361" s="49"/>
      <c r="Q8361" s="1"/>
      <c r="R8361" s="620"/>
      <c r="S8361" s="1"/>
      <c r="T8361" s="1"/>
      <c r="U8361" s="1"/>
      <c r="V8361" s="1"/>
      <c r="W8361" s="1"/>
      <c r="X8361" s="1"/>
      <c r="Y8361" s="1"/>
      <c r="Z8361" s="620"/>
      <c r="AA8361" s="620"/>
      <c r="AB8361" s="1"/>
      <c r="AC8361" s="1"/>
      <c r="AD8361" s="1"/>
      <c r="AE8361" s="1"/>
      <c r="AF8361" s="1"/>
      <c r="AG8361" s="1"/>
      <c r="AH8361" s="1"/>
      <c r="AI8361" s="1"/>
      <c r="AJ8361" s="1"/>
      <c r="AK8361" s="1"/>
      <c r="AL8361" s="1"/>
      <c r="AM8361" s="1"/>
    </row>
    <row r="8362" spans="1:39" x14ac:dyDescent="0.25">
      <c r="A8362" s="620"/>
      <c r="B8362" s="620"/>
      <c r="C8362" s="620"/>
      <c r="D8362" s="620"/>
      <c r="E8362" s="620"/>
      <c r="F8362" s="620"/>
      <c r="G8362" s="620"/>
      <c r="H8362" s="620"/>
      <c r="I8362" s="620"/>
      <c r="J8362" s="620"/>
      <c r="K8362" s="620"/>
      <c r="L8362" s="620"/>
      <c r="M8362" s="620"/>
      <c r="N8362" s="620"/>
      <c r="O8362" s="620"/>
      <c r="P8362" s="49"/>
      <c r="Q8362" s="1"/>
      <c r="R8362" s="620"/>
      <c r="S8362" s="1"/>
      <c r="T8362" s="1"/>
      <c r="U8362" s="1"/>
      <c r="V8362" s="1"/>
      <c r="W8362" s="1"/>
      <c r="X8362" s="1"/>
      <c r="Y8362" s="1"/>
      <c r="Z8362" s="620"/>
      <c r="AA8362" s="620"/>
      <c r="AB8362" s="1"/>
      <c r="AC8362" s="1"/>
      <c r="AD8362" s="1"/>
      <c r="AE8362" s="1"/>
      <c r="AF8362" s="1"/>
      <c r="AG8362" s="1"/>
      <c r="AH8362" s="1"/>
      <c r="AI8362" s="1"/>
      <c r="AJ8362" s="1"/>
      <c r="AK8362" s="1"/>
      <c r="AL8362" s="1"/>
      <c r="AM8362" s="1"/>
    </row>
    <row r="8363" spans="1:39" x14ac:dyDescent="0.25">
      <c r="A8363" s="620"/>
      <c r="B8363" s="620"/>
      <c r="C8363" s="620"/>
      <c r="D8363" s="620"/>
      <c r="E8363" s="620"/>
      <c r="F8363" s="620"/>
      <c r="G8363" s="620"/>
      <c r="H8363" s="620"/>
      <c r="I8363" s="620"/>
      <c r="J8363" s="620"/>
      <c r="K8363" s="620"/>
      <c r="L8363" s="620"/>
      <c r="M8363" s="620"/>
      <c r="N8363" s="620"/>
      <c r="O8363" s="620"/>
      <c r="P8363" s="49"/>
      <c r="Q8363" s="1"/>
      <c r="R8363" s="620"/>
      <c r="S8363" s="1"/>
      <c r="T8363" s="1"/>
      <c r="U8363" s="1"/>
      <c r="V8363" s="1"/>
      <c r="W8363" s="1"/>
      <c r="X8363" s="1"/>
      <c r="Y8363" s="1"/>
      <c r="Z8363" s="620"/>
      <c r="AA8363" s="620"/>
      <c r="AB8363" s="1"/>
      <c r="AC8363" s="1"/>
      <c r="AD8363" s="1"/>
      <c r="AE8363" s="1"/>
      <c r="AF8363" s="1"/>
      <c r="AG8363" s="1"/>
      <c r="AH8363" s="1"/>
      <c r="AI8363" s="1"/>
      <c r="AJ8363" s="1"/>
      <c r="AK8363" s="1"/>
      <c r="AL8363" s="1"/>
      <c r="AM8363" s="1"/>
    </row>
    <row r="8364" spans="1:39" x14ac:dyDescent="0.25">
      <c r="A8364" s="620"/>
      <c r="B8364" s="620"/>
      <c r="C8364" s="620"/>
      <c r="D8364" s="620"/>
      <c r="E8364" s="620"/>
      <c r="F8364" s="620"/>
      <c r="G8364" s="620"/>
      <c r="H8364" s="620"/>
      <c r="I8364" s="620"/>
      <c r="J8364" s="620"/>
      <c r="K8364" s="620"/>
      <c r="L8364" s="620"/>
      <c r="M8364" s="620"/>
      <c r="N8364" s="620"/>
      <c r="O8364" s="620"/>
      <c r="P8364" s="49"/>
      <c r="Q8364" s="1"/>
      <c r="R8364" s="620"/>
      <c r="S8364" s="1"/>
      <c r="T8364" s="1"/>
      <c r="U8364" s="1"/>
      <c r="V8364" s="1"/>
      <c r="W8364" s="1"/>
      <c r="X8364" s="1"/>
      <c r="Y8364" s="1"/>
      <c r="Z8364" s="620"/>
      <c r="AA8364" s="620"/>
      <c r="AB8364" s="1"/>
      <c r="AC8364" s="1"/>
      <c r="AD8364" s="1"/>
      <c r="AE8364" s="1"/>
      <c r="AF8364" s="1"/>
      <c r="AG8364" s="1"/>
      <c r="AH8364" s="1"/>
      <c r="AI8364" s="1"/>
      <c r="AJ8364" s="1"/>
      <c r="AK8364" s="1"/>
      <c r="AL8364" s="1"/>
      <c r="AM8364" s="1"/>
    </row>
    <row r="8365" spans="1:39" x14ac:dyDescent="0.25">
      <c r="A8365" s="620"/>
      <c r="B8365" s="620"/>
      <c r="C8365" s="620"/>
      <c r="D8365" s="620"/>
      <c r="E8365" s="620"/>
      <c r="F8365" s="620"/>
      <c r="G8365" s="620"/>
      <c r="H8365" s="620"/>
      <c r="I8365" s="620"/>
      <c r="J8365" s="620"/>
      <c r="K8365" s="620"/>
      <c r="L8365" s="620"/>
      <c r="M8365" s="620"/>
      <c r="N8365" s="620"/>
      <c r="O8365" s="620"/>
      <c r="P8365" s="49"/>
      <c r="Q8365" s="1"/>
      <c r="R8365" s="620"/>
      <c r="S8365" s="1"/>
      <c r="T8365" s="1"/>
      <c r="U8365" s="1"/>
      <c r="V8365" s="1"/>
      <c r="W8365" s="1"/>
      <c r="X8365" s="1"/>
      <c r="Y8365" s="1"/>
      <c r="Z8365" s="620"/>
      <c r="AA8365" s="620"/>
      <c r="AB8365" s="1"/>
      <c r="AC8365" s="1"/>
      <c r="AD8365" s="1"/>
      <c r="AE8365" s="1"/>
      <c r="AF8365" s="1"/>
      <c r="AG8365" s="1"/>
      <c r="AH8365" s="1"/>
      <c r="AI8365" s="1"/>
      <c r="AJ8365" s="1"/>
      <c r="AK8365" s="1"/>
      <c r="AL8365" s="1"/>
      <c r="AM8365" s="1"/>
    </row>
    <row r="8366" spans="1:39" x14ac:dyDescent="0.25">
      <c r="A8366" s="620"/>
      <c r="B8366" s="620"/>
      <c r="C8366" s="620"/>
      <c r="D8366" s="620"/>
      <c r="E8366" s="620"/>
      <c r="F8366" s="620"/>
      <c r="G8366" s="620"/>
      <c r="H8366" s="620"/>
      <c r="I8366" s="620"/>
      <c r="J8366" s="620"/>
      <c r="K8366" s="620"/>
      <c r="L8366" s="620"/>
      <c r="M8366" s="620"/>
      <c r="N8366" s="620"/>
      <c r="O8366" s="620"/>
      <c r="P8366" s="49"/>
      <c r="Q8366" s="1"/>
      <c r="R8366" s="620"/>
      <c r="S8366" s="1"/>
      <c r="T8366" s="1"/>
      <c r="U8366" s="1"/>
      <c r="V8366" s="1"/>
      <c r="W8366" s="1"/>
      <c r="X8366" s="1"/>
      <c r="Y8366" s="1"/>
      <c r="Z8366" s="620"/>
      <c r="AA8366" s="620"/>
      <c r="AB8366" s="1"/>
      <c r="AC8366" s="1"/>
      <c r="AD8366" s="1"/>
      <c r="AE8366" s="1"/>
      <c r="AF8366" s="1"/>
      <c r="AG8366" s="1"/>
      <c r="AH8366" s="1"/>
      <c r="AI8366" s="1"/>
      <c r="AJ8366" s="1"/>
      <c r="AK8366" s="1"/>
      <c r="AL8366" s="1"/>
      <c r="AM8366" s="1"/>
    </row>
    <row r="8367" spans="1:39" x14ac:dyDescent="0.25">
      <c r="A8367" s="620"/>
      <c r="B8367" s="620"/>
      <c r="C8367" s="620"/>
      <c r="D8367" s="620"/>
      <c r="E8367" s="620"/>
      <c r="F8367" s="620"/>
      <c r="G8367" s="620"/>
      <c r="H8367" s="620"/>
      <c r="I8367" s="620"/>
      <c r="J8367" s="620"/>
      <c r="K8367" s="620"/>
      <c r="L8367" s="620"/>
      <c r="M8367" s="620"/>
      <c r="N8367" s="620"/>
      <c r="O8367" s="620"/>
      <c r="P8367" s="49"/>
      <c r="Q8367" s="1"/>
      <c r="R8367" s="620"/>
      <c r="S8367" s="1"/>
      <c r="T8367" s="1"/>
      <c r="U8367" s="1"/>
      <c r="V8367" s="1"/>
      <c r="W8367" s="1"/>
      <c r="X8367" s="1"/>
      <c r="Y8367" s="1"/>
      <c r="Z8367" s="620"/>
      <c r="AA8367" s="620"/>
      <c r="AB8367" s="1"/>
      <c r="AC8367" s="1"/>
      <c r="AD8367" s="1"/>
      <c r="AE8367" s="1"/>
      <c r="AF8367" s="1"/>
      <c r="AG8367" s="1"/>
      <c r="AH8367" s="1"/>
      <c r="AI8367" s="1"/>
      <c r="AJ8367" s="1"/>
      <c r="AK8367" s="1"/>
      <c r="AL8367" s="1"/>
      <c r="AM8367" s="1"/>
    </row>
    <row r="8368" spans="1:39" x14ac:dyDescent="0.25">
      <c r="A8368" s="620"/>
      <c r="B8368" s="620"/>
      <c r="C8368" s="620"/>
      <c r="D8368" s="620"/>
      <c r="E8368" s="620"/>
      <c r="F8368" s="620"/>
      <c r="G8368" s="620"/>
      <c r="H8368" s="620"/>
      <c r="I8368" s="620"/>
      <c r="J8368" s="620"/>
      <c r="K8368" s="620"/>
      <c r="L8368" s="620"/>
      <c r="M8368" s="620"/>
      <c r="N8368" s="620"/>
      <c r="O8368" s="620"/>
      <c r="P8368" s="49"/>
      <c r="Q8368" s="1"/>
      <c r="R8368" s="620"/>
      <c r="S8368" s="1"/>
      <c r="T8368" s="1"/>
      <c r="U8368" s="1"/>
      <c r="V8368" s="1"/>
      <c r="W8368" s="1"/>
      <c r="X8368" s="1"/>
      <c r="Y8368" s="1"/>
      <c r="Z8368" s="620"/>
      <c r="AA8368" s="620"/>
      <c r="AB8368" s="1"/>
      <c r="AC8368" s="1"/>
      <c r="AD8368" s="1"/>
      <c r="AE8368" s="1"/>
      <c r="AF8368" s="1"/>
      <c r="AG8368" s="1"/>
      <c r="AH8368" s="1"/>
      <c r="AI8368" s="1"/>
      <c r="AJ8368" s="1"/>
      <c r="AK8368" s="1"/>
      <c r="AL8368" s="1"/>
      <c r="AM8368" s="1"/>
    </row>
    <row r="8369" spans="1:39" x14ac:dyDescent="0.25">
      <c r="A8369" s="620"/>
      <c r="B8369" s="620"/>
      <c r="C8369" s="620"/>
      <c r="D8369" s="620"/>
      <c r="E8369" s="620"/>
      <c r="F8369" s="620"/>
      <c r="G8369" s="620"/>
      <c r="H8369" s="620"/>
      <c r="I8369" s="620"/>
      <c r="J8369" s="620"/>
      <c r="K8369" s="620"/>
      <c r="L8369" s="620"/>
      <c r="M8369" s="620"/>
      <c r="N8369" s="620"/>
      <c r="O8369" s="620"/>
      <c r="P8369" s="49"/>
      <c r="Q8369" s="1"/>
      <c r="R8369" s="620"/>
      <c r="S8369" s="1"/>
      <c r="T8369" s="1"/>
      <c r="U8369" s="1"/>
      <c r="V8369" s="1"/>
      <c r="W8369" s="1"/>
      <c r="X8369" s="1"/>
      <c r="Y8369" s="1"/>
      <c r="Z8369" s="620"/>
      <c r="AA8369" s="620"/>
      <c r="AB8369" s="1"/>
      <c r="AC8369" s="1"/>
      <c r="AD8369" s="1"/>
      <c r="AE8369" s="1"/>
      <c r="AF8369" s="1"/>
      <c r="AG8369" s="1"/>
      <c r="AH8369" s="1"/>
      <c r="AI8369" s="1"/>
      <c r="AJ8369" s="1"/>
      <c r="AK8369" s="1"/>
      <c r="AL8369" s="1"/>
      <c r="AM8369" s="1"/>
    </row>
    <row r="8370" spans="1:39" x14ac:dyDescent="0.25">
      <c r="A8370" s="620"/>
      <c r="B8370" s="620"/>
      <c r="C8370" s="620"/>
      <c r="D8370" s="620"/>
      <c r="E8370" s="620"/>
      <c r="F8370" s="620"/>
      <c r="G8370" s="620"/>
      <c r="H8370" s="620"/>
      <c r="I8370" s="620"/>
      <c r="J8370" s="620"/>
      <c r="K8370" s="620"/>
      <c r="L8370" s="620"/>
      <c r="M8370" s="620"/>
      <c r="N8370" s="620"/>
      <c r="O8370" s="620"/>
      <c r="P8370" s="49"/>
      <c r="Q8370" s="1"/>
      <c r="R8370" s="620"/>
      <c r="S8370" s="1"/>
      <c r="T8370" s="1"/>
      <c r="U8370" s="1"/>
      <c r="V8370" s="1"/>
      <c r="W8370" s="1"/>
      <c r="X8370" s="1"/>
      <c r="Y8370" s="1"/>
      <c r="Z8370" s="620"/>
      <c r="AA8370" s="620"/>
      <c r="AB8370" s="1"/>
      <c r="AC8370" s="1"/>
      <c r="AD8370" s="1"/>
      <c r="AE8370" s="1"/>
      <c r="AF8370" s="1"/>
      <c r="AG8370" s="1"/>
      <c r="AH8370" s="1"/>
      <c r="AI8370" s="1"/>
      <c r="AJ8370" s="1"/>
      <c r="AK8370" s="1"/>
      <c r="AL8370" s="1"/>
      <c r="AM8370" s="1"/>
    </row>
    <row r="8371" spans="1:39" x14ac:dyDescent="0.25">
      <c r="A8371" s="620"/>
      <c r="B8371" s="620"/>
      <c r="C8371" s="620"/>
      <c r="D8371" s="620"/>
      <c r="E8371" s="620"/>
      <c r="F8371" s="620"/>
      <c r="G8371" s="620"/>
      <c r="H8371" s="620"/>
      <c r="I8371" s="620"/>
      <c r="J8371" s="620"/>
      <c r="K8371" s="620"/>
      <c r="L8371" s="620"/>
      <c r="M8371" s="620"/>
      <c r="N8371" s="620"/>
      <c r="O8371" s="620"/>
      <c r="P8371" s="49"/>
      <c r="Q8371" s="1"/>
      <c r="R8371" s="620"/>
      <c r="S8371" s="1"/>
      <c r="T8371" s="1"/>
      <c r="U8371" s="1"/>
      <c r="V8371" s="1"/>
      <c r="W8371" s="1"/>
      <c r="X8371" s="1"/>
      <c r="Y8371" s="1"/>
      <c r="Z8371" s="620"/>
      <c r="AA8371" s="620"/>
      <c r="AB8371" s="1"/>
      <c r="AC8371" s="1"/>
      <c r="AD8371" s="1"/>
      <c r="AE8371" s="1"/>
      <c r="AF8371" s="1"/>
      <c r="AG8371" s="1"/>
      <c r="AH8371" s="1"/>
      <c r="AI8371" s="1"/>
      <c r="AJ8371" s="1"/>
      <c r="AK8371" s="1"/>
      <c r="AL8371" s="1"/>
      <c r="AM8371" s="1"/>
    </row>
    <row r="8372" spans="1:39" x14ac:dyDescent="0.25">
      <c r="A8372" s="620"/>
      <c r="B8372" s="620"/>
      <c r="C8372" s="620"/>
      <c r="D8372" s="620"/>
      <c r="E8372" s="620"/>
      <c r="F8372" s="620"/>
      <c r="G8372" s="620"/>
      <c r="H8372" s="620"/>
      <c r="I8372" s="620"/>
      <c r="J8372" s="620"/>
      <c r="K8372" s="620"/>
      <c r="L8372" s="620"/>
      <c r="M8372" s="620"/>
      <c r="N8372" s="620"/>
      <c r="O8372" s="620"/>
      <c r="P8372" s="49"/>
      <c r="Q8372" s="1"/>
      <c r="R8372" s="620"/>
      <c r="S8372" s="1"/>
      <c r="T8372" s="1"/>
      <c r="U8372" s="1"/>
      <c r="V8372" s="1"/>
      <c r="W8372" s="1"/>
      <c r="X8372" s="1"/>
      <c r="Y8372" s="1"/>
      <c r="Z8372" s="620"/>
      <c r="AA8372" s="620"/>
      <c r="AB8372" s="1"/>
      <c r="AC8372" s="1"/>
      <c r="AD8372" s="1"/>
      <c r="AE8372" s="1"/>
      <c r="AF8372" s="1"/>
      <c r="AG8372" s="1"/>
      <c r="AH8372" s="1"/>
      <c r="AI8372" s="1"/>
      <c r="AJ8372" s="1"/>
      <c r="AK8372" s="1"/>
      <c r="AL8372" s="1"/>
      <c r="AM8372" s="1"/>
    </row>
    <row r="8373" spans="1:39" x14ac:dyDescent="0.25">
      <c r="A8373" s="620"/>
      <c r="B8373" s="620"/>
      <c r="C8373" s="620"/>
      <c r="D8373" s="620"/>
      <c r="E8373" s="620"/>
      <c r="F8373" s="620"/>
      <c r="G8373" s="620"/>
      <c r="H8373" s="620"/>
      <c r="I8373" s="620"/>
      <c r="J8373" s="620"/>
      <c r="K8373" s="620"/>
      <c r="L8373" s="620"/>
      <c r="M8373" s="620"/>
      <c r="N8373" s="620"/>
      <c r="O8373" s="620"/>
      <c r="P8373" s="49"/>
      <c r="Q8373" s="1"/>
      <c r="R8373" s="620"/>
      <c r="S8373" s="1"/>
      <c r="T8373" s="1"/>
      <c r="U8373" s="1"/>
      <c r="V8373" s="1"/>
      <c r="W8373" s="1"/>
      <c r="X8373" s="1"/>
      <c r="Y8373" s="1"/>
      <c r="Z8373" s="620"/>
      <c r="AA8373" s="620"/>
      <c r="AB8373" s="1"/>
      <c r="AC8373" s="1"/>
      <c r="AD8373" s="1"/>
      <c r="AE8373" s="1"/>
      <c r="AF8373" s="1"/>
      <c r="AG8373" s="1"/>
      <c r="AH8373" s="1"/>
      <c r="AI8373" s="1"/>
      <c r="AJ8373" s="1"/>
      <c r="AK8373" s="1"/>
      <c r="AL8373" s="1"/>
      <c r="AM8373" s="1"/>
    </row>
    <row r="8374" spans="1:39" x14ac:dyDescent="0.25">
      <c r="A8374" s="620"/>
      <c r="B8374" s="620"/>
      <c r="C8374" s="620"/>
      <c r="D8374" s="620"/>
      <c r="E8374" s="620"/>
      <c r="F8374" s="620"/>
      <c r="G8374" s="620"/>
      <c r="H8374" s="620"/>
      <c r="I8374" s="620"/>
      <c r="J8374" s="620"/>
      <c r="K8374" s="620"/>
      <c r="L8374" s="620"/>
      <c r="M8374" s="620"/>
      <c r="N8374" s="620"/>
      <c r="O8374" s="620"/>
      <c r="P8374" s="49"/>
      <c r="Q8374" s="1"/>
      <c r="R8374" s="620"/>
      <c r="S8374" s="1"/>
      <c r="T8374" s="1"/>
      <c r="U8374" s="1"/>
      <c r="V8374" s="1"/>
      <c r="W8374" s="1"/>
      <c r="X8374" s="1"/>
      <c r="Y8374" s="1"/>
      <c r="Z8374" s="620"/>
      <c r="AA8374" s="620"/>
      <c r="AB8374" s="1"/>
      <c r="AC8374" s="1"/>
      <c r="AD8374" s="1"/>
      <c r="AE8374" s="1"/>
      <c r="AF8374" s="1"/>
      <c r="AG8374" s="1"/>
      <c r="AH8374" s="1"/>
      <c r="AI8374" s="1"/>
      <c r="AJ8374" s="1"/>
      <c r="AK8374" s="1"/>
      <c r="AL8374" s="1"/>
      <c r="AM8374" s="1"/>
    </row>
    <row r="8375" spans="1:39" x14ac:dyDescent="0.25">
      <c r="A8375" s="620"/>
      <c r="B8375" s="620"/>
      <c r="C8375" s="620"/>
      <c r="D8375" s="620"/>
      <c r="E8375" s="620"/>
      <c r="F8375" s="620"/>
      <c r="G8375" s="620"/>
      <c r="H8375" s="620"/>
      <c r="I8375" s="620"/>
      <c r="J8375" s="620"/>
      <c r="K8375" s="620"/>
      <c r="L8375" s="620"/>
      <c r="M8375" s="620"/>
      <c r="N8375" s="620"/>
      <c r="O8375" s="620"/>
      <c r="P8375" s="49"/>
      <c r="Q8375" s="1"/>
      <c r="R8375" s="620"/>
      <c r="S8375" s="1"/>
      <c r="T8375" s="1"/>
      <c r="U8375" s="1"/>
      <c r="V8375" s="1"/>
      <c r="W8375" s="1"/>
      <c r="X8375" s="1"/>
      <c r="Y8375" s="1"/>
      <c r="Z8375" s="620"/>
      <c r="AA8375" s="620"/>
      <c r="AB8375" s="1"/>
      <c r="AC8375" s="1"/>
      <c r="AD8375" s="1"/>
      <c r="AE8375" s="1"/>
      <c r="AF8375" s="1"/>
      <c r="AG8375" s="1"/>
      <c r="AH8375" s="1"/>
      <c r="AI8375" s="1"/>
      <c r="AJ8375" s="1"/>
      <c r="AK8375" s="1"/>
      <c r="AL8375" s="1"/>
      <c r="AM8375" s="1"/>
    </row>
    <row r="8376" spans="1:39" x14ac:dyDescent="0.25">
      <c r="A8376" s="620"/>
      <c r="B8376" s="620"/>
      <c r="C8376" s="620"/>
      <c r="D8376" s="620"/>
      <c r="E8376" s="620"/>
      <c r="F8376" s="620"/>
      <c r="G8376" s="620"/>
      <c r="H8376" s="620"/>
      <c r="I8376" s="620"/>
      <c r="J8376" s="620"/>
      <c r="K8376" s="620"/>
      <c r="L8376" s="620"/>
      <c r="M8376" s="620"/>
      <c r="N8376" s="620"/>
      <c r="O8376" s="620"/>
      <c r="P8376" s="49"/>
      <c r="Q8376" s="1"/>
      <c r="R8376" s="620"/>
      <c r="S8376" s="1"/>
      <c r="T8376" s="1"/>
      <c r="U8376" s="1"/>
      <c r="V8376" s="1"/>
      <c r="W8376" s="1"/>
      <c r="X8376" s="1"/>
      <c r="Y8376" s="1"/>
      <c r="Z8376" s="620"/>
      <c r="AA8376" s="620"/>
      <c r="AB8376" s="1"/>
      <c r="AC8376" s="1"/>
      <c r="AD8376" s="1"/>
      <c r="AE8376" s="1"/>
      <c r="AF8376" s="1"/>
      <c r="AG8376" s="1"/>
      <c r="AH8376" s="1"/>
      <c r="AI8376" s="1"/>
      <c r="AJ8376" s="1"/>
      <c r="AK8376" s="1"/>
      <c r="AL8376" s="1"/>
      <c r="AM8376" s="1"/>
    </row>
    <row r="8377" spans="1:39" x14ac:dyDescent="0.25">
      <c r="A8377" s="620"/>
      <c r="B8377" s="620"/>
      <c r="C8377" s="620"/>
      <c r="D8377" s="620"/>
      <c r="E8377" s="620"/>
      <c r="F8377" s="620"/>
      <c r="G8377" s="620"/>
      <c r="H8377" s="620"/>
      <c r="I8377" s="620"/>
      <c r="J8377" s="620"/>
      <c r="K8377" s="620"/>
      <c r="L8377" s="620"/>
      <c r="M8377" s="620"/>
      <c r="N8377" s="620"/>
      <c r="O8377" s="620"/>
      <c r="P8377" s="49"/>
      <c r="Q8377" s="1"/>
      <c r="R8377" s="620"/>
      <c r="S8377" s="1"/>
      <c r="T8377" s="1"/>
      <c r="U8377" s="1"/>
      <c r="V8377" s="1"/>
      <c r="W8377" s="1"/>
      <c r="X8377" s="1"/>
      <c r="Y8377" s="1"/>
      <c r="Z8377" s="620"/>
      <c r="AA8377" s="620"/>
      <c r="AB8377" s="1"/>
      <c r="AC8377" s="1"/>
      <c r="AD8377" s="1"/>
      <c r="AE8377" s="1"/>
      <c r="AF8377" s="1"/>
      <c r="AG8377" s="1"/>
      <c r="AH8377" s="1"/>
      <c r="AI8377" s="1"/>
      <c r="AJ8377" s="1"/>
      <c r="AK8377" s="1"/>
      <c r="AL8377" s="1"/>
      <c r="AM8377" s="1"/>
    </row>
    <row r="8378" spans="1:39" x14ac:dyDescent="0.25">
      <c r="A8378" s="620"/>
      <c r="B8378" s="620"/>
      <c r="C8378" s="620"/>
      <c r="D8378" s="620"/>
      <c r="E8378" s="620"/>
      <c r="F8378" s="620"/>
      <c r="G8378" s="620"/>
      <c r="H8378" s="620"/>
      <c r="I8378" s="620"/>
      <c r="J8378" s="620"/>
      <c r="K8378" s="620"/>
      <c r="L8378" s="620"/>
      <c r="M8378" s="620"/>
      <c r="N8378" s="620"/>
      <c r="O8378" s="620"/>
      <c r="P8378" s="49"/>
      <c r="Q8378" s="1"/>
      <c r="R8378" s="620"/>
      <c r="S8378" s="1"/>
      <c r="T8378" s="1"/>
      <c r="U8378" s="1"/>
      <c r="V8378" s="1"/>
      <c r="W8378" s="1"/>
      <c r="X8378" s="1"/>
      <c r="Y8378" s="1"/>
      <c r="Z8378" s="620"/>
      <c r="AA8378" s="620"/>
      <c r="AB8378" s="1"/>
      <c r="AC8378" s="1"/>
      <c r="AD8378" s="1"/>
      <c r="AE8378" s="1"/>
      <c r="AF8378" s="1"/>
      <c r="AG8378" s="1"/>
      <c r="AH8378" s="1"/>
      <c r="AI8378" s="1"/>
      <c r="AJ8378" s="1"/>
      <c r="AK8378" s="1"/>
      <c r="AL8378" s="1"/>
      <c r="AM8378" s="1"/>
    </row>
    <row r="8379" spans="1:39" x14ac:dyDescent="0.25">
      <c r="A8379" s="620"/>
      <c r="B8379" s="620"/>
      <c r="C8379" s="620"/>
      <c r="D8379" s="620"/>
      <c r="E8379" s="620"/>
      <c r="F8379" s="620"/>
      <c r="G8379" s="620"/>
      <c r="H8379" s="620"/>
      <c r="I8379" s="620"/>
      <c r="J8379" s="620"/>
      <c r="K8379" s="620"/>
      <c r="L8379" s="620"/>
      <c r="M8379" s="620"/>
      <c r="N8379" s="620"/>
      <c r="O8379" s="620"/>
      <c r="P8379" s="49"/>
      <c r="Q8379" s="1"/>
      <c r="R8379" s="620"/>
      <c r="S8379" s="1"/>
      <c r="T8379" s="1"/>
      <c r="U8379" s="1"/>
      <c r="V8379" s="1"/>
      <c r="W8379" s="1"/>
      <c r="X8379" s="1"/>
      <c r="Y8379" s="1"/>
      <c r="Z8379" s="620"/>
      <c r="AA8379" s="620"/>
      <c r="AB8379" s="1"/>
      <c r="AC8379" s="1"/>
      <c r="AD8379" s="1"/>
      <c r="AE8379" s="1"/>
      <c r="AF8379" s="1"/>
      <c r="AG8379" s="1"/>
      <c r="AH8379" s="1"/>
      <c r="AI8379" s="1"/>
      <c r="AJ8379" s="1"/>
      <c r="AK8379" s="1"/>
      <c r="AL8379" s="1"/>
      <c r="AM8379" s="1"/>
    </row>
    <row r="8380" spans="1:39" x14ac:dyDescent="0.25">
      <c r="A8380" s="620"/>
      <c r="B8380" s="620"/>
      <c r="C8380" s="620"/>
      <c r="D8380" s="620"/>
      <c r="E8380" s="620"/>
      <c r="F8380" s="620"/>
      <c r="G8380" s="620"/>
      <c r="H8380" s="620"/>
      <c r="I8380" s="620"/>
      <c r="J8380" s="620"/>
      <c r="K8380" s="620"/>
      <c r="L8380" s="620"/>
      <c r="M8380" s="620"/>
      <c r="N8380" s="620"/>
      <c r="O8380" s="620"/>
      <c r="P8380" s="49"/>
      <c r="Q8380" s="1"/>
      <c r="R8380" s="620"/>
      <c r="S8380" s="1"/>
      <c r="T8380" s="1"/>
      <c r="U8380" s="1"/>
      <c r="V8380" s="1"/>
      <c r="W8380" s="1"/>
      <c r="X8380" s="1"/>
      <c r="Y8380" s="1"/>
      <c r="Z8380" s="620"/>
      <c r="AA8380" s="620"/>
      <c r="AB8380" s="1"/>
      <c r="AC8380" s="1"/>
      <c r="AD8380" s="1"/>
      <c r="AE8380" s="1"/>
      <c r="AF8380" s="1"/>
      <c r="AG8380" s="1"/>
      <c r="AH8380" s="1"/>
      <c r="AI8380" s="1"/>
      <c r="AJ8380" s="1"/>
      <c r="AK8380" s="1"/>
      <c r="AL8380" s="1"/>
      <c r="AM8380" s="1"/>
    </row>
    <row r="8381" spans="1:39" x14ac:dyDescent="0.25">
      <c r="A8381" s="620"/>
      <c r="B8381" s="620"/>
      <c r="C8381" s="620"/>
      <c r="D8381" s="620"/>
      <c r="E8381" s="620"/>
      <c r="F8381" s="620"/>
      <c r="G8381" s="620"/>
      <c r="H8381" s="620"/>
      <c r="I8381" s="620"/>
      <c r="J8381" s="620"/>
      <c r="K8381" s="620"/>
      <c r="L8381" s="620"/>
      <c r="M8381" s="620"/>
      <c r="N8381" s="620"/>
      <c r="O8381" s="620"/>
      <c r="P8381" s="49"/>
      <c r="Q8381" s="1"/>
      <c r="R8381" s="620"/>
      <c r="S8381" s="1"/>
      <c r="T8381" s="1"/>
      <c r="U8381" s="1"/>
      <c r="V8381" s="1"/>
      <c r="W8381" s="1"/>
      <c r="X8381" s="1"/>
      <c r="Y8381" s="1"/>
      <c r="Z8381" s="620"/>
      <c r="AA8381" s="620"/>
      <c r="AB8381" s="1"/>
      <c r="AC8381" s="1"/>
      <c r="AD8381" s="1"/>
      <c r="AE8381" s="1"/>
      <c r="AF8381" s="1"/>
      <c r="AG8381" s="1"/>
      <c r="AH8381" s="1"/>
      <c r="AI8381" s="1"/>
      <c r="AJ8381" s="1"/>
      <c r="AK8381" s="1"/>
      <c r="AL8381" s="1"/>
      <c r="AM8381" s="1"/>
    </row>
    <row r="8382" spans="1:39" x14ac:dyDescent="0.25">
      <c r="A8382" s="620"/>
      <c r="B8382" s="620"/>
      <c r="C8382" s="620"/>
      <c r="D8382" s="620"/>
      <c r="E8382" s="620"/>
      <c r="F8382" s="620"/>
      <c r="G8382" s="620"/>
      <c r="H8382" s="620"/>
      <c r="I8382" s="620"/>
      <c r="J8382" s="620"/>
      <c r="K8382" s="620"/>
      <c r="L8382" s="620"/>
      <c r="M8382" s="620"/>
      <c r="N8382" s="620"/>
      <c r="O8382" s="620"/>
      <c r="P8382" s="49"/>
      <c r="Q8382" s="1"/>
      <c r="R8382" s="620"/>
      <c r="S8382" s="1"/>
      <c r="T8382" s="1"/>
      <c r="U8382" s="1"/>
      <c r="V8382" s="1"/>
      <c r="W8382" s="1"/>
      <c r="X8382" s="1"/>
      <c r="Y8382" s="1"/>
      <c r="Z8382" s="620"/>
      <c r="AA8382" s="620"/>
      <c r="AB8382" s="1"/>
      <c r="AC8382" s="1"/>
      <c r="AD8382" s="1"/>
      <c r="AE8382" s="1"/>
      <c r="AF8382" s="1"/>
      <c r="AG8382" s="1"/>
      <c r="AH8382" s="1"/>
      <c r="AI8382" s="1"/>
      <c r="AJ8382" s="1"/>
      <c r="AK8382" s="1"/>
      <c r="AL8382" s="1"/>
      <c r="AM8382" s="1"/>
    </row>
    <row r="8383" spans="1:39" x14ac:dyDescent="0.25">
      <c r="A8383" s="620"/>
      <c r="B8383" s="620"/>
      <c r="C8383" s="620"/>
      <c r="D8383" s="620"/>
      <c r="E8383" s="620"/>
      <c r="F8383" s="620"/>
      <c r="G8383" s="620"/>
      <c r="H8383" s="620"/>
      <c r="I8383" s="620"/>
      <c r="J8383" s="620"/>
      <c r="K8383" s="620"/>
      <c r="L8383" s="620"/>
      <c r="M8383" s="620"/>
      <c r="N8383" s="620"/>
      <c r="O8383" s="620"/>
      <c r="P8383" s="49"/>
      <c r="Q8383" s="1"/>
      <c r="R8383" s="620"/>
      <c r="S8383" s="1"/>
      <c r="T8383" s="1"/>
      <c r="U8383" s="1"/>
      <c r="V8383" s="1"/>
      <c r="W8383" s="1"/>
      <c r="X8383" s="1"/>
      <c r="Y8383" s="1"/>
      <c r="Z8383" s="620"/>
      <c r="AA8383" s="620"/>
      <c r="AB8383" s="1"/>
      <c r="AC8383" s="1"/>
      <c r="AD8383" s="1"/>
      <c r="AE8383" s="1"/>
      <c r="AF8383" s="1"/>
      <c r="AG8383" s="1"/>
      <c r="AH8383" s="1"/>
      <c r="AI8383" s="1"/>
      <c r="AJ8383" s="1"/>
      <c r="AK8383" s="1"/>
      <c r="AL8383" s="1"/>
      <c r="AM8383" s="1"/>
    </row>
    <row r="8384" spans="1:39" x14ac:dyDescent="0.25">
      <c r="A8384" s="620"/>
      <c r="B8384" s="620"/>
      <c r="C8384" s="620"/>
      <c r="D8384" s="620"/>
      <c r="E8384" s="620"/>
      <c r="F8384" s="620"/>
      <c r="G8384" s="620"/>
      <c r="H8384" s="620"/>
      <c r="I8384" s="620"/>
      <c r="J8384" s="620"/>
      <c r="K8384" s="620"/>
      <c r="L8384" s="620"/>
      <c r="M8384" s="620"/>
      <c r="N8384" s="620"/>
      <c r="O8384" s="620"/>
      <c r="P8384" s="49"/>
      <c r="Q8384" s="1"/>
      <c r="R8384" s="620"/>
      <c r="S8384" s="1"/>
      <c r="T8384" s="1"/>
      <c r="U8384" s="1"/>
      <c r="V8384" s="1"/>
      <c r="W8384" s="1"/>
      <c r="X8384" s="1"/>
      <c r="Y8384" s="1"/>
      <c r="Z8384" s="620"/>
      <c r="AA8384" s="620"/>
      <c r="AB8384" s="1"/>
      <c r="AC8384" s="1"/>
      <c r="AD8384" s="1"/>
      <c r="AE8384" s="1"/>
      <c r="AF8384" s="1"/>
      <c r="AG8384" s="1"/>
      <c r="AH8384" s="1"/>
      <c r="AI8384" s="1"/>
      <c r="AJ8384" s="1"/>
      <c r="AK8384" s="1"/>
      <c r="AL8384" s="1"/>
      <c r="AM8384" s="1"/>
    </row>
    <row r="8385" spans="1:39" x14ac:dyDescent="0.25">
      <c r="A8385" s="620"/>
      <c r="B8385" s="620"/>
      <c r="C8385" s="620"/>
      <c r="D8385" s="620"/>
      <c r="E8385" s="620"/>
      <c r="F8385" s="620"/>
      <c r="G8385" s="620"/>
      <c r="H8385" s="620"/>
      <c r="I8385" s="620"/>
      <c r="J8385" s="620"/>
      <c r="K8385" s="620"/>
      <c r="L8385" s="620"/>
      <c r="M8385" s="620"/>
      <c r="N8385" s="620"/>
      <c r="O8385" s="620"/>
      <c r="P8385" s="49"/>
      <c r="Q8385" s="1"/>
      <c r="R8385" s="620"/>
      <c r="S8385" s="1"/>
      <c r="T8385" s="1"/>
      <c r="U8385" s="1"/>
      <c r="V8385" s="1"/>
      <c r="W8385" s="1"/>
      <c r="X8385" s="1"/>
      <c r="Y8385" s="1"/>
      <c r="Z8385" s="620"/>
      <c r="AA8385" s="620"/>
      <c r="AB8385" s="1"/>
      <c r="AC8385" s="1"/>
      <c r="AD8385" s="1"/>
      <c r="AE8385" s="1"/>
      <c r="AF8385" s="1"/>
      <c r="AG8385" s="1"/>
      <c r="AH8385" s="1"/>
      <c r="AI8385" s="1"/>
      <c r="AJ8385" s="1"/>
      <c r="AK8385" s="1"/>
      <c r="AL8385" s="1"/>
      <c r="AM8385" s="1"/>
    </row>
    <row r="8386" spans="1:39" x14ac:dyDescent="0.25">
      <c r="A8386" s="620"/>
      <c r="B8386" s="620"/>
      <c r="C8386" s="620"/>
      <c r="D8386" s="620"/>
      <c r="E8386" s="620"/>
      <c r="F8386" s="620"/>
      <c r="G8386" s="620"/>
      <c r="H8386" s="620"/>
      <c r="I8386" s="620"/>
      <c r="J8386" s="620"/>
      <c r="K8386" s="620"/>
      <c r="L8386" s="620"/>
      <c r="M8386" s="620"/>
      <c r="N8386" s="620"/>
      <c r="O8386" s="620"/>
      <c r="P8386" s="49"/>
      <c r="Q8386" s="1"/>
      <c r="R8386" s="620"/>
      <c r="S8386" s="1"/>
      <c r="T8386" s="1"/>
      <c r="U8386" s="1"/>
      <c r="V8386" s="1"/>
      <c r="W8386" s="1"/>
      <c r="X8386" s="1"/>
      <c r="Y8386" s="1"/>
      <c r="Z8386" s="620"/>
      <c r="AA8386" s="620"/>
      <c r="AB8386" s="1"/>
      <c r="AC8386" s="1"/>
      <c r="AD8386" s="1"/>
      <c r="AE8386" s="1"/>
      <c r="AF8386" s="1"/>
      <c r="AG8386" s="1"/>
      <c r="AH8386" s="1"/>
      <c r="AI8386" s="1"/>
      <c r="AJ8386" s="1"/>
      <c r="AK8386" s="1"/>
      <c r="AL8386" s="1"/>
      <c r="AM8386" s="1"/>
    </row>
    <row r="8387" spans="1:39" x14ac:dyDescent="0.25">
      <c r="A8387" s="620"/>
      <c r="B8387" s="620"/>
      <c r="C8387" s="620"/>
      <c r="D8387" s="620"/>
      <c r="E8387" s="620"/>
      <c r="F8387" s="620"/>
      <c r="G8387" s="620"/>
      <c r="H8387" s="620"/>
      <c r="I8387" s="620"/>
      <c r="J8387" s="620"/>
      <c r="K8387" s="620"/>
      <c r="L8387" s="620"/>
      <c r="M8387" s="620"/>
      <c r="N8387" s="620"/>
      <c r="O8387" s="620"/>
      <c r="P8387" s="49"/>
      <c r="Q8387" s="1"/>
      <c r="R8387" s="620"/>
      <c r="S8387" s="1"/>
      <c r="T8387" s="1"/>
      <c r="U8387" s="1"/>
      <c r="V8387" s="1"/>
      <c r="W8387" s="1"/>
      <c r="X8387" s="1"/>
      <c r="Y8387" s="1"/>
      <c r="Z8387" s="620"/>
      <c r="AA8387" s="620"/>
      <c r="AB8387" s="1"/>
      <c r="AC8387" s="1"/>
      <c r="AD8387" s="1"/>
      <c r="AE8387" s="1"/>
      <c r="AF8387" s="1"/>
      <c r="AG8387" s="1"/>
      <c r="AH8387" s="1"/>
      <c r="AI8387" s="1"/>
      <c r="AJ8387" s="1"/>
      <c r="AK8387" s="1"/>
      <c r="AL8387" s="1"/>
      <c r="AM8387" s="1"/>
    </row>
    <row r="8388" spans="1:39" x14ac:dyDescent="0.25">
      <c r="A8388" s="620"/>
      <c r="B8388" s="620"/>
      <c r="C8388" s="620"/>
      <c r="D8388" s="620"/>
      <c r="E8388" s="620"/>
      <c r="F8388" s="620"/>
      <c r="G8388" s="620"/>
      <c r="H8388" s="620"/>
      <c r="I8388" s="620"/>
      <c r="J8388" s="620"/>
      <c r="K8388" s="620"/>
      <c r="L8388" s="620"/>
      <c r="M8388" s="620"/>
      <c r="N8388" s="620"/>
      <c r="O8388" s="620"/>
      <c r="P8388" s="49"/>
      <c r="Q8388" s="1"/>
      <c r="R8388" s="620"/>
      <c r="S8388" s="1"/>
      <c r="T8388" s="1"/>
      <c r="U8388" s="1"/>
      <c r="V8388" s="1"/>
      <c r="W8388" s="1"/>
      <c r="X8388" s="1"/>
      <c r="Y8388" s="1"/>
      <c r="Z8388" s="620"/>
      <c r="AA8388" s="620"/>
      <c r="AB8388" s="1"/>
      <c r="AC8388" s="1"/>
      <c r="AD8388" s="1"/>
      <c r="AE8388" s="1"/>
      <c r="AF8388" s="1"/>
      <c r="AG8388" s="1"/>
      <c r="AH8388" s="1"/>
      <c r="AI8388" s="1"/>
      <c r="AJ8388" s="1"/>
      <c r="AK8388" s="1"/>
      <c r="AL8388" s="1"/>
      <c r="AM8388" s="1"/>
    </row>
    <row r="8389" spans="1:39" x14ac:dyDescent="0.25">
      <c r="A8389" s="620"/>
      <c r="B8389" s="620"/>
      <c r="C8389" s="620"/>
      <c r="D8389" s="620"/>
      <c r="E8389" s="620"/>
      <c r="F8389" s="620"/>
      <c r="G8389" s="620"/>
      <c r="H8389" s="620"/>
      <c r="I8389" s="620"/>
      <c r="J8389" s="620"/>
      <c r="K8389" s="620"/>
      <c r="L8389" s="620"/>
      <c r="M8389" s="620"/>
      <c r="N8389" s="620"/>
      <c r="O8389" s="620"/>
      <c r="P8389" s="49"/>
      <c r="Q8389" s="1"/>
      <c r="R8389" s="620"/>
      <c r="S8389" s="1"/>
      <c r="T8389" s="1"/>
      <c r="U8389" s="1"/>
      <c r="V8389" s="1"/>
      <c r="W8389" s="1"/>
      <c r="X8389" s="1"/>
      <c r="Y8389" s="1"/>
      <c r="Z8389" s="620"/>
      <c r="AA8389" s="620"/>
      <c r="AB8389" s="1"/>
      <c r="AC8389" s="1"/>
      <c r="AD8389" s="1"/>
      <c r="AE8389" s="1"/>
      <c r="AF8389" s="1"/>
      <c r="AG8389" s="1"/>
      <c r="AH8389" s="1"/>
      <c r="AI8389" s="1"/>
      <c r="AJ8389" s="1"/>
      <c r="AK8389" s="1"/>
      <c r="AL8389" s="1"/>
      <c r="AM8389" s="1"/>
    </row>
    <row r="8390" spans="1:39" x14ac:dyDescent="0.25">
      <c r="A8390" s="620"/>
      <c r="B8390" s="620"/>
      <c r="C8390" s="620"/>
      <c r="D8390" s="620"/>
      <c r="E8390" s="620"/>
      <c r="F8390" s="620"/>
      <c r="G8390" s="620"/>
      <c r="H8390" s="620"/>
      <c r="I8390" s="620"/>
      <c r="J8390" s="620"/>
      <c r="K8390" s="620"/>
      <c r="L8390" s="620"/>
      <c r="M8390" s="620"/>
      <c r="N8390" s="620"/>
      <c r="O8390" s="620"/>
      <c r="P8390" s="49"/>
      <c r="Q8390" s="1"/>
      <c r="R8390" s="620"/>
      <c r="S8390" s="1"/>
      <c r="T8390" s="1"/>
      <c r="U8390" s="1"/>
      <c r="V8390" s="1"/>
      <c r="W8390" s="1"/>
      <c r="X8390" s="1"/>
      <c r="Y8390" s="1"/>
      <c r="Z8390" s="620"/>
      <c r="AA8390" s="620"/>
      <c r="AB8390" s="1"/>
      <c r="AC8390" s="1"/>
      <c r="AD8390" s="1"/>
      <c r="AE8390" s="1"/>
      <c r="AF8390" s="1"/>
      <c r="AG8390" s="1"/>
      <c r="AH8390" s="1"/>
      <c r="AI8390" s="1"/>
      <c r="AJ8390" s="1"/>
      <c r="AK8390" s="1"/>
      <c r="AL8390" s="1"/>
      <c r="AM8390" s="1"/>
    </row>
    <row r="8391" spans="1:39" x14ac:dyDescent="0.25">
      <c r="A8391" s="620"/>
      <c r="B8391" s="620"/>
      <c r="C8391" s="620"/>
      <c r="D8391" s="620"/>
      <c r="E8391" s="620"/>
      <c r="F8391" s="620"/>
      <c r="G8391" s="620"/>
      <c r="H8391" s="620"/>
      <c r="I8391" s="620"/>
      <c r="J8391" s="620"/>
      <c r="K8391" s="620"/>
      <c r="L8391" s="620"/>
      <c r="M8391" s="620"/>
      <c r="N8391" s="620"/>
      <c r="O8391" s="620"/>
      <c r="P8391" s="49"/>
      <c r="Q8391" s="1"/>
      <c r="R8391" s="620"/>
      <c r="S8391" s="1"/>
      <c r="T8391" s="1"/>
      <c r="U8391" s="1"/>
      <c r="V8391" s="1"/>
      <c r="W8391" s="1"/>
      <c r="X8391" s="1"/>
      <c r="Y8391" s="1"/>
      <c r="Z8391" s="620"/>
      <c r="AA8391" s="620"/>
      <c r="AB8391" s="1"/>
      <c r="AC8391" s="1"/>
      <c r="AD8391" s="1"/>
      <c r="AE8391" s="1"/>
      <c r="AF8391" s="1"/>
      <c r="AG8391" s="1"/>
      <c r="AH8391" s="1"/>
      <c r="AI8391" s="1"/>
      <c r="AJ8391" s="1"/>
      <c r="AK8391" s="1"/>
      <c r="AL8391" s="1"/>
      <c r="AM8391" s="1"/>
    </row>
    <row r="8392" spans="1:39" x14ac:dyDescent="0.25">
      <c r="A8392" s="620"/>
      <c r="B8392" s="620"/>
      <c r="C8392" s="620"/>
      <c r="D8392" s="620"/>
      <c r="E8392" s="620"/>
      <c r="F8392" s="620"/>
      <c r="G8392" s="620"/>
      <c r="H8392" s="620"/>
      <c r="I8392" s="620"/>
      <c r="J8392" s="620"/>
      <c r="K8392" s="620"/>
      <c r="L8392" s="620"/>
      <c r="M8392" s="620"/>
      <c r="N8392" s="620"/>
      <c r="O8392" s="620"/>
      <c r="P8392" s="49"/>
      <c r="Q8392" s="1"/>
      <c r="R8392" s="620"/>
      <c r="S8392" s="1"/>
      <c r="T8392" s="1"/>
      <c r="U8392" s="1"/>
      <c r="V8392" s="1"/>
      <c r="W8392" s="1"/>
      <c r="X8392" s="1"/>
      <c r="Y8392" s="1"/>
      <c r="Z8392" s="620"/>
      <c r="AA8392" s="620"/>
      <c r="AB8392" s="1"/>
      <c r="AC8392" s="1"/>
      <c r="AD8392" s="1"/>
      <c r="AE8392" s="1"/>
      <c r="AF8392" s="1"/>
      <c r="AG8392" s="1"/>
      <c r="AH8392" s="1"/>
      <c r="AI8392" s="1"/>
      <c r="AJ8392" s="1"/>
      <c r="AK8392" s="1"/>
      <c r="AL8392" s="1"/>
      <c r="AM8392" s="1"/>
    </row>
    <row r="8393" spans="1:39" x14ac:dyDescent="0.25">
      <c r="A8393" s="620"/>
      <c r="B8393" s="620"/>
      <c r="C8393" s="620"/>
      <c r="D8393" s="620"/>
      <c r="E8393" s="620"/>
      <c r="F8393" s="620"/>
      <c r="G8393" s="620"/>
      <c r="H8393" s="620"/>
      <c r="I8393" s="620"/>
      <c r="J8393" s="620"/>
      <c r="K8393" s="620"/>
      <c r="L8393" s="620"/>
      <c r="M8393" s="620"/>
      <c r="N8393" s="620"/>
      <c r="O8393" s="620"/>
      <c r="P8393" s="49"/>
      <c r="Q8393" s="1"/>
      <c r="R8393" s="620"/>
      <c r="S8393" s="1"/>
      <c r="T8393" s="1"/>
      <c r="U8393" s="1"/>
      <c r="V8393" s="1"/>
      <c r="W8393" s="1"/>
      <c r="X8393" s="1"/>
      <c r="Y8393" s="1"/>
      <c r="Z8393" s="620"/>
      <c r="AA8393" s="620"/>
      <c r="AB8393" s="1"/>
      <c r="AC8393" s="1"/>
      <c r="AD8393" s="1"/>
      <c r="AE8393" s="1"/>
      <c r="AF8393" s="1"/>
      <c r="AG8393" s="1"/>
      <c r="AH8393" s="1"/>
      <c r="AI8393" s="1"/>
      <c r="AJ8393" s="1"/>
      <c r="AK8393" s="1"/>
      <c r="AL8393" s="1"/>
      <c r="AM8393" s="1"/>
    </row>
    <row r="8394" spans="1:39" x14ac:dyDescent="0.25">
      <c r="A8394" s="620"/>
      <c r="B8394" s="620"/>
      <c r="C8394" s="620"/>
      <c r="D8394" s="620"/>
      <c r="E8394" s="620"/>
      <c r="F8394" s="620"/>
      <c r="G8394" s="620"/>
      <c r="H8394" s="620"/>
      <c r="I8394" s="620"/>
      <c r="J8394" s="620"/>
      <c r="K8394" s="620"/>
      <c r="L8394" s="620"/>
      <c r="M8394" s="620"/>
      <c r="N8394" s="620"/>
      <c r="O8394" s="620"/>
      <c r="P8394" s="49"/>
      <c r="Q8394" s="1"/>
      <c r="R8394" s="620"/>
      <c r="S8394" s="1"/>
      <c r="T8394" s="1"/>
      <c r="U8394" s="1"/>
      <c r="V8394" s="1"/>
      <c r="W8394" s="1"/>
      <c r="X8394" s="1"/>
      <c r="Y8394" s="1"/>
      <c r="Z8394" s="620"/>
      <c r="AA8394" s="620"/>
      <c r="AB8394" s="1"/>
      <c r="AC8394" s="1"/>
      <c r="AD8394" s="1"/>
      <c r="AE8394" s="1"/>
      <c r="AF8394" s="1"/>
      <c r="AG8394" s="1"/>
      <c r="AH8394" s="1"/>
      <c r="AI8394" s="1"/>
      <c r="AJ8394" s="1"/>
      <c r="AK8394" s="1"/>
      <c r="AL8394" s="1"/>
      <c r="AM8394" s="1"/>
    </row>
    <row r="8395" spans="1:39" x14ac:dyDescent="0.25">
      <c r="A8395" s="620"/>
      <c r="B8395" s="620"/>
      <c r="C8395" s="620"/>
      <c r="D8395" s="620"/>
      <c r="E8395" s="620"/>
      <c r="F8395" s="620"/>
      <c r="G8395" s="620"/>
      <c r="H8395" s="620"/>
      <c r="I8395" s="620"/>
      <c r="J8395" s="620"/>
      <c r="K8395" s="620"/>
      <c r="L8395" s="620"/>
      <c r="M8395" s="620"/>
      <c r="N8395" s="620"/>
      <c r="O8395" s="620"/>
      <c r="P8395" s="49"/>
      <c r="Q8395" s="1"/>
      <c r="R8395" s="620"/>
      <c r="S8395" s="1"/>
      <c r="T8395" s="1"/>
      <c r="U8395" s="1"/>
      <c r="V8395" s="1"/>
      <c r="W8395" s="1"/>
      <c r="X8395" s="1"/>
      <c r="Y8395" s="1"/>
      <c r="Z8395" s="620"/>
      <c r="AA8395" s="620"/>
      <c r="AB8395" s="1"/>
      <c r="AC8395" s="1"/>
      <c r="AD8395" s="1"/>
      <c r="AE8395" s="1"/>
      <c r="AF8395" s="1"/>
      <c r="AG8395" s="1"/>
      <c r="AH8395" s="1"/>
      <c r="AI8395" s="1"/>
      <c r="AJ8395" s="1"/>
      <c r="AK8395" s="1"/>
      <c r="AL8395" s="1"/>
      <c r="AM8395" s="1"/>
    </row>
    <row r="8396" spans="1:39" x14ac:dyDescent="0.25">
      <c r="A8396" s="620"/>
      <c r="B8396" s="620"/>
      <c r="C8396" s="620"/>
      <c r="D8396" s="620"/>
      <c r="E8396" s="620"/>
      <c r="F8396" s="620"/>
      <c r="G8396" s="620"/>
      <c r="H8396" s="620"/>
      <c r="I8396" s="620"/>
      <c r="J8396" s="620"/>
      <c r="K8396" s="620"/>
      <c r="L8396" s="620"/>
      <c r="M8396" s="620"/>
      <c r="N8396" s="620"/>
      <c r="O8396" s="620"/>
      <c r="P8396" s="49"/>
      <c r="Q8396" s="1"/>
      <c r="R8396" s="620"/>
      <c r="S8396" s="1"/>
      <c r="T8396" s="1"/>
      <c r="U8396" s="1"/>
      <c r="V8396" s="1"/>
      <c r="W8396" s="1"/>
      <c r="X8396" s="1"/>
      <c r="Y8396" s="1"/>
      <c r="Z8396" s="620"/>
      <c r="AA8396" s="620"/>
      <c r="AB8396" s="1"/>
      <c r="AC8396" s="1"/>
      <c r="AD8396" s="1"/>
      <c r="AE8396" s="1"/>
      <c r="AF8396" s="1"/>
      <c r="AG8396" s="1"/>
      <c r="AH8396" s="1"/>
      <c r="AI8396" s="1"/>
      <c r="AJ8396" s="1"/>
      <c r="AK8396" s="1"/>
      <c r="AL8396" s="1"/>
      <c r="AM8396" s="1"/>
    </row>
    <row r="8397" spans="1:39" x14ac:dyDescent="0.25">
      <c r="A8397" s="620"/>
      <c r="B8397" s="620"/>
      <c r="C8397" s="620"/>
      <c r="D8397" s="620"/>
      <c r="E8397" s="620"/>
      <c r="F8397" s="620"/>
      <c r="G8397" s="620"/>
      <c r="H8397" s="620"/>
      <c r="I8397" s="620"/>
      <c r="J8397" s="620"/>
      <c r="K8397" s="620"/>
      <c r="L8397" s="620"/>
      <c r="M8397" s="620"/>
      <c r="N8397" s="620"/>
      <c r="O8397" s="620"/>
      <c r="P8397" s="49"/>
      <c r="Q8397" s="1"/>
      <c r="R8397" s="620"/>
      <c r="S8397" s="1"/>
      <c r="T8397" s="1"/>
      <c r="U8397" s="1"/>
      <c r="V8397" s="1"/>
      <c r="W8397" s="1"/>
      <c r="X8397" s="1"/>
      <c r="Y8397" s="1"/>
      <c r="Z8397" s="620"/>
      <c r="AA8397" s="620"/>
      <c r="AB8397" s="1"/>
      <c r="AC8397" s="1"/>
      <c r="AD8397" s="1"/>
      <c r="AE8397" s="1"/>
      <c r="AF8397" s="1"/>
      <c r="AG8397" s="1"/>
      <c r="AH8397" s="1"/>
      <c r="AI8397" s="1"/>
      <c r="AJ8397" s="1"/>
      <c r="AK8397" s="1"/>
      <c r="AL8397" s="1"/>
      <c r="AM8397" s="1"/>
    </row>
    <row r="8398" spans="1:39" x14ac:dyDescent="0.25">
      <c r="A8398" s="620"/>
      <c r="B8398" s="620"/>
      <c r="C8398" s="620"/>
      <c r="D8398" s="620"/>
      <c r="E8398" s="620"/>
      <c r="F8398" s="620"/>
      <c r="G8398" s="620"/>
      <c r="H8398" s="620"/>
      <c r="I8398" s="620"/>
      <c r="J8398" s="620"/>
      <c r="K8398" s="620"/>
      <c r="L8398" s="620"/>
      <c r="M8398" s="620"/>
      <c r="N8398" s="620"/>
      <c r="O8398" s="620"/>
      <c r="P8398" s="49"/>
      <c r="Q8398" s="1"/>
      <c r="R8398" s="620"/>
      <c r="S8398" s="1"/>
      <c r="T8398" s="1"/>
      <c r="U8398" s="1"/>
      <c r="V8398" s="1"/>
      <c r="W8398" s="1"/>
      <c r="X8398" s="1"/>
      <c r="Y8398" s="1"/>
      <c r="Z8398" s="620"/>
      <c r="AA8398" s="620"/>
      <c r="AB8398" s="1"/>
      <c r="AC8398" s="1"/>
      <c r="AD8398" s="1"/>
      <c r="AE8398" s="1"/>
      <c r="AF8398" s="1"/>
      <c r="AG8398" s="1"/>
      <c r="AH8398" s="1"/>
      <c r="AI8398" s="1"/>
      <c r="AJ8398" s="1"/>
      <c r="AK8398" s="1"/>
      <c r="AL8398" s="1"/>
      <c r="AM8398" s="1"/>
    </row>
    <row r="8399" spans="1:39" x14ac:dyDescent="0.25">
      <c r="A8399" s="620"/>
      <c r="B8399" s="620"/>
      <c r="C8399" s="620"/>
      <c r="D8399" s="620"/>
      <c r="E8399" s="620"/>
      <c r="F8399" s="620"/>
      <c r="G8399" s="620"/>
      <c r="H8399" s="620"/>
      <c r="I8399" s="620"/>
      <c r="J8399" s="620"/>
      <c r="K8399" s="620"/>
      <c r="L8399" s="620"/>
      <c r="M8399" s="620"/>
      <c r="N8399" s="620"/>
      <c r="O8399" s="620"/>
      <c r="P8399" s="49"/>
      <c r="Q8399" s="1"/>
      <c r="R8399" s="620"/>
      <c r="S8399" s="1"/>
      <c r="T8399" s="1"/>
      <c r="U8399" s="1"/>
      <c r="V8399" s="1"/>
      <c r="W8399" s="1"/>
      <c r="X8399" s="1"/>
      <c r="Y8399" s="1"/>
      <c r="Z8399" s="620"/>
      <c r="AA8399" s="620"/>
      <c r="AB8399" s="1"/>
      <c r="AC8399" s="1"/>
      <c r="AD8399" s="1"/>
      <c r="AE8399" s="1"/>
      <c r="AF8399" s="1"/>
      <c r="AG8399" s="1"/>
      <c r="AH8399" s="1"/>
      <c r="AI8399" s="1"/>
      <c r="AJ8399" s="1"/>
      <c r="AK8399" s="1"/>
      <c r="AL8399" s="1"/>
      <c r="AM8399" s="1"/>
    </row>
    <row r="8400" spans="1:39" x14ac:dyDescent="0.25">
      <c r="A8400" s="620"/>
      <c r="B8400" s="620"/>
      <c r="C8400" s="620"/>
      <c r="D8400" s="620"/>
      <c r="E8400" s="620"/>
      <c r="F8400" s="620"/>
      <c r="G8400" s="620"/>
      <c r="H8400" s="620"/>
      <c r="I8400" s="620"/>
      <c r="J8400" s="620"/>
      <c r="K8400" s="620"/>
      <c r="L8400" s="620"/>
      <c r="M8400" s="620"/>
      <c r="N8400" s="620"/>
      <c r="O8400" s="620"/>
      <c r="P8400" s="49"/>
      <c r="Q8400" s="1"/>
      <c r="R8400" s="620"/>
      <c r="S8400" s="1"/>
      <c r="T8400" s="1"/>
      <c r="U8400" s="1"/>
      <c r="V8400" s="1"/>
      <c r="W8400" s="1"/>
      <c r="X8400" s="1"/>
      <c r="Y8400" s="1"/>
      <c r="Z8400" s="620"/>
      <c r="AA8400" s="620"/>
      <c r="AB8400" s="1"/>
      <c r="AC8400" s="1"/>
      <c r="AD8400" s="1"/>
      <c r="AE8400" s="1"/>
      <c r="AF8400" s="1"/>
      <c r="AG8400" s="1"/>
      <c r="AH8400" s="1"/>
      <c r="AI8400" s="1"/>
      <c r="AJ8400" s="1"/>
      <c r="AK8400" s="1"/>
      <c r="AL8400" s="1"/>
      <c r="AM8400" s="1"/>
    </row>
    <row r="8401" spans="1:39" x14ac:dyDescent="0.25">
      <c r="A8401" s="620"/>
      <c r="B8401" s="620"/>
      <c r="C8401" s="620"/>
      <c r="D8401" s="620"/>
      <c r="E8401" s="620"/>
      <c r="F8401" s="620"/>
      <c r="G8401" s="620"/>
      <c r="H8401" s="620"/>
      <c r="I8401" s="620"/>
      <c r="J8401" s="620"/>
      <c r="K8401" s="620"/>
      <c r="L8401" s="620"/>
      <c r="M8401" s="620"/>
      <c r="N8401" s="620"/>
      <c r="O8401" s="620"/>
      <c r="P8401" s="49"/>
      <c r="Q8401" s="1"/>
      <c r="R8401" s="620"/>
      <c r="S8401" s="1"/>
      <c r="T8401" s="1"/>
      <c r="U8401" s="1"/>
      <c r="V8401" s="1"/>
      <c r="W8401" s="1"/>
      <c r="X8401" s="1"/>
      <c r="Y8401" s="1"/>
      <c r="Z8401" s="620"/>
      <c r="AA8401" s="620"/>
      <c r="AB8401" s="1"/>
      <c r="AC8401" s="1"/>
      <c r="AD8401" s="1"/>
      <c r="AE8401" s="1"/>
      <c r="AF8401" s="1"/>
      <c r="AG8401" s="1"/>
      <c r="AH8401" s="1"/>
      <c r="AI8401" s="1"/>
      <c r="AJ8401" s="1"/>
      <c r="AK8401" s="1"/>
      <c r="AL8401" s="1"/>
      <c r="AM8401" s="1"/>
    </row>
    <row r="8402" spans="1:39" x14ac:dyDescent="0.25">
      <c r="A8402" s="620"/>
      <c r="B8402" s="620"/>
      <c r="C8402" s="620"/>
      <c r="D8402" s="620"/>
      <c r="E8402" s="620"/>
      <c r="F8402" s="620"/>
      <c r="G8402" s="620"/>
      <c r="H8402" s="620"/>
      <c r="I8402" s="620"/>
      <c r="J8402" s="620"/>
      <c r="K8402" s="620"/>
      <c r="L8402" s="620"/>
      <c r="M8402" s="620"/>
      <c r="N8402" s="620"/>
      <c r="O8402" s="620"/>
      <c r="P8402" s="49"/>
      <c r="Q8402" s="1"/>
      <c r="R8402" s="620"/>
      <c r="S8402" s="1"/>
      <c r="T8402" s="1"/>
      <c r="U8402" s="1"/>
      <c r="V8402" s="1"/>
      <c r="W8402" s="1"/>
      <c r="X8402" s="1"/>
      <c r="Y8402" s="1"/>
      <c r="Z8402" s="620"/>
      <c r="AA8402" s="620"/>
      <c r="AB8402" s="1"/>
      <c r="AC8402" s="1"/>
      <c r="AD8402" s="1"/>
      <c r="AE8402" s="1"/>
      <c r="AF8402" s="1"/>
      <c r="AG8402" s="1"/>
      <c r="AH8402" s="1"/>
      <c r="AI8402" s="1"/>
      <c r="AJ8402" s="1"/>
      <c r="AK8402" s="1"/>
      <c r="AL8402" s="1"/>
      <c r="AM8402" s="1"/>
    </row>
    <row r="8403" spans="1:39" x14ac:dyDescent="0.25">
      <c r="A8403" s="620"/>
      <c r="B8403" s="620"/>
      <c r="C8403" s="620"/>
      <c r="D8403" s="620"/>
      <c r="E8403" s="620"/>
      <c r="F8403" s="620"/>
      <c r="G8403" s="620"/>
      <c r="H8403" s="620"/>
      <c r="I8403" s="620"/>
      <c r="J8403" s="620"/>
      <c r="K8403" s="620"/>
      <c r="L8403" s="620"/>
      <c r="M8403" s="620"/>
      <c r="N8403" s="620"/>
      <c r="O8403" s="620"/>
      <c r="P8403" s="49"/>
      <c r="Q8403" s="1"/>
      <c r="R8403" s="620"/>
      <c r="S8403" s="1"/>
      <c r="T8403" s="1"/>
      <c r="U8403" s="1"/>
      <c r="V8403" s="1"/>
      <c r="W8403" s="1"/>
      <c r="X8403" s="1"/>
      <c r="Y8403" s="1"/>
      <c r="Z8403" s="620"/>
      <c r="AA8403" s="620"/>
      <c r="AB8403" s="1"/>
      <c r="AC8403" s="1"/>
      <c r="AD8403" s="1"/>
      <c r="AE8403" s="1"/>
      <c r="AF8403" s="1"/>
      <c r="AG8403" s="1"/>
      <c r="AH8403" s="1"/>
      <c r="AI8403" s="1"/>
      <c r="AJ8403" s="1"/>
      <c r="AK8403" s="1"/>
      <c r="AL8403" s="1"/>
      <c r="AM8403" s="1"/>
    </row>
    <row r="8404" spans="1:39" x14ac:dyDescent="0.25">
      <c r="A8404" s="620"/>
      <c r="B8404" s="620"/>
      <c r="C8404" s="620"/>
      <c r="D8404" s="620"/>
      <c r="E8404" s="620"/>
      <c r="F8404" s="620"/>
      <c r="G8404" s="620"/>
      <c r="H8404" s="620"/>
      <c r="I8404" s="620"/>
      <c r="J8404" s="620"/>
      <c r="K8404" s="620"/>
      <c r="L8404" s="620"/>
      <c r="M8404" s="620"/>
      <c r="N8404" s="620"/>
      <c r="O8404" s="620"/>
      <c r="P8404" s="49"/>
      <c r="Q8404" s="1"/>
      <c r="R8404" s="620"/>
      <c r="S8404" s="1"/>
      <c r="T8404" s="1"/>
      <c r="U8404" s="1"/>
      <c r="V8404" s="1"/>
      <c r="W8404" s="1"/>
      <c r="X8404" s="1"/>
      <c r="Y8404" s="1"/>
      <c r="Z8404" s="620"/>
      <c r="AA8404" s="620"/>
      <c r="AB8404" s="1"/>
      <c r="AC8404" s="1"/>
      <c r="AD8404" s="1"/>
      <c r="AE8404" s="1"/>
      <c r="AF8404" s="1"/>
      <c r="AG8404" s="1"/>
      <c r="AH8404" s="1"/>
      <c r="AI8404" s="1"/>
      <c r="AJ8404" s="1"/>
      <c r="AK8404" s="1"/>
      <c r="AL8404" s="1"/>
      <c r="AM8404" s="1"/>
    </row>
    <row r="8405" spans="1:39" x14ac:dyDescent="0.25">
      <c r="A8405" s="620"/>
      <c r="B8405" s="620"/>
      <c r="C8405" s="620"/>
      <c r="D8405" s="620"/>
      <c r="E8405" s="620"/>
      <c r="F8405" s="620"/>
      <c r="G8405" s="620"/>
      <c r="H8405" s="620"/>
      <c r="I8405" s="620"/>
      <c r="J8405" s="620"/>
      <c r="K8405" s="620"/>
      <c r="L8405" s="620"/>
      <c r="M8405" s="620"/>
      <c r="N8405" s="620"/>
      <c r="O8405" s="620"/>
      <c r="P8405" s="49"/>
      <c r="Q8405" s="1"/>
      <c r="R8405" s="620"/>
      <c r="S8405" s="1"/>
      <c r="T8405" s="1"/>
      <c r="U8405" s="1"/>
      <c r="V8405" s="1"/>
      <c r="W8405" s="1"/>
      <c r="X8405" s="1"/>
      <c r="Y8405" s="1"/>
      <c r="Z8405" s="620"/>
      <c r="AA8405" s="620"/>
      <c r="AB8405" s="1"/>
      <c r="AC8405" s="1"/>
      <c r="AD8405" s="1"/>
      <c r="AE8405" s="1"/>
      <c r="AF8405" s="1"/>
      <c r="AG8405" s="1"/>
      <c r="AH8405" s="1"/>
      <c r="AI8405" s="1"/>
      <c r="AJ8405" s="1"/>
      <c r="AK8405" s="1"/>
      <c r="AL8405" s="1"/>
      <c r="AM8405" s="1"/>
    </row>
    <row r="8406" spans="1:39" x14ac:dyDescent="0.25">
      <c r="A8406" s="620"/>
      <c r="B8406" s="620"/>
      <c r="C8406" s="620"/>
      <c r="D8406" s="620"/>
      <c r="E8406" s="620"/>
      <c r="F8406" s="620"/>
      <c r="G8406" s="620"/>
      <c r="H8406" s="620"/>
      <c r="I8406" s="620"/>
      <c r="J8406" s="620"/>
      <c r="K8406" s="620"/>
      <c r="L8406" s="620"/>
      <c r="M8406" s="620"/>
      <c r="N8406" s="620"/>
      <c r="O8406" s="620"/>
      <c r="P8406" s="49"/>
      <c r="Q8406" s="1"/>
      <c r="R8406" s="620"/>
      <c r="S8406" s="1"/>
      <c r="T8406" s="1"/>
      <c r="U8406" s="1"/>
      <c r="V8406" s="1"/>
      <c r="W8406" s="1"/>
      <c r="X8406" s="1"/>
      <c r="Y8406" s="1"/>
      <c r="Z8406" s="620"/>
      <c r="AA8406" s="620"/>
      <c r="AB8406" s="1"/>
      <c r="AC8406" s="1"/>
      <c r="AD8406" s="1"/>
      <c r="AE8406" s="1"/>
      <c r="AF8406" s="1"/>
      <c r="AG8406" s="1"/>
      <c r="AH8406" s="1"/>
      <c r="AI8406" s="1"/>
      <c r="AJ8406" s="1"/>
      <c r="AK8406" s="1"/>
      <c r="AL8406" s="1"/>
      <c r="AM8406" s="1"/>
    </row>
    <row r="8407" spans="1:39" x14ac:dyDescent="0.25">
      <c r="A8407" s="620"/>
      <c r="B8407" s="620"/>
      <c r="C8407" s="620"/>
      <c r="D8407" s="620"/>
      <c r="E8407" s="620"/>
      <c r="F8407" s="620"/>
      <c r="G8407" s="620"/>
      <c r="H8407" s="620"/>
      <c r="I8407" s="620"/>
      <c r="J8407" s="620"/>
      <c r="K8407" s="620"/>
      <c r="L8407" s="620"/>
      <c r="M8407" s="620"/>
      <c r="N8407" s="620"/>
      <c r="O8407" s="620"/>
      <c r="P8407" s="49"/>
      <c r="Q8407" s="1"/>
      <c r="R8407" s="620"/>
      <c r="S8407" s="1"/>
      <c r="T8407" s="1"/>
      <c r="U8407" s="1"/>
      <c r="V8407" s="1"/>
      <c r="W8407" s="1"/>
      <c r="X8407" s="1"/>
      <c r="Y8407" s="1"/>
      <c r="Z8407" s="620"/>
      <c r="AA8407" s="620"/>
      <c r="AB8407" s="1"/>
      <c r="AC8407" s="1"/>
      <c r="AD8407" s="1"/>
      <c r="AE8407" s="1"/>
      <c r="AF8407" s="1"/>
      <c r="AG8407" s="1"/>
      <c r="AH8407" s="1"/>
      <c r="AI8407" s="1"/>
      <c r="AJ8407" s="1"/>
      <c r="AK8407" s="1"/>
      <c r="AL8407" s="1"/>
      <c r="AM8407" s="1"/>
    </row>
    <row r="8408" spans="1:39" x14ac:dyDescent="0.25">
      <c r="A8408" s="620"/>
      <c r="B8408" s="620"/>
      <c r="C8408" s="620"/>
      <c r="D8408" s="620"/>
      <c r="E8408" s="620"/>
      <c r="F8408" s="620"/>
      <c r="G8408" s="620"/>
      <c r="H8408" s="620"/>
      <c r="I8408" s="620"/>
      <c r="J8408" s="620"/>
      <c r="K8408" s="620"/>
      <c r="L8408" s="620"/>
      <c r="M8408" s="620"/>
      <c r="N8408" s="620"/>
      <c r="O8408" s="620"/>
      <c r="P8408" s="49"/>
      <c r="Q8408" s="1"/>
      <c r="R8408" s="620"/>
      <c r="S8408" s="1"/>
      <c r="T8408" s="1"/>
      <c r="U8408" s="1"/>
      <c r="V8408" s="1"/>
      <c r="W8408" s="1"/>
      <c r="X8408" s="1"/>
      <c r="Y8408" s="1"/>
      <c r="Z8408" s="620"/>
      <c r="AA8408" s="620"/>
      <c r="AB8408" s="1"/>
      <c r="AC8408" s="1"/>
      <c r="AD8408" s="1"/>
      <c r="AE8408" s="1"/>
      <c r="AF8408" s="1"/>
      <c r="AG8408" s="1"/>
      <c r="AH8408" s="1"/>
      <c r="AI8408" s="1"/>
      <c r="AJ8408" s="1"/>
      <c r="AK8408" s="1"/>
      <c r="AL8408" s="1"/>
      <c r="AM8408" s="1"/>
    </row>
    <row r="8409" spans="1:39" x14ac:dyDescent="0.25">
      <c r="A8409" s="620"/>
      <c r="B8409" s="620"/>
      <c r="C8409" s="620"/>
      <c r="D8409" s="620"/>
      <c r="E8409" s="620"/>
      <c r="F8409" s="620"/>
      <c r="G8409" s="620"/>
      <c r="H8409" s="620"/>
      <c r="I8409" s="620"/>
      <c r="J8409" s="620"/>
      <c r="K8409" s="620"/>
      <c r="L8409" s="620"/>
      <c r="M8409" s="620"/>
      <c r="N8409" s="620"/>
      <c r="O8409" s="620"/>
      <c r="P8409" s="49"/>
      <c r="Q8409" s="1"/>
      <c r="R8409" s="620"/>
      <c r="S8409" s="1"/>
      <c r="T8409" s="1"/>
      <c r="U8409" s="1"/>
      <c r="V8409" s="1"/>
      <c r="W8409" s="1"/>
      <c r="X8409" s="1"/>
      <c r="Y8409" s="1"/>
      <c r="Z8409" s="620"/>
      <c r="AA8409" s="620"/>
      <c r="AB8409" s="1"/>
      <c r="AC8409" s="1"/>
      <c r="AD8409" s="1"/>
      <c r="AE8409" s="1"/>
      <c r="AF8409" s="1"/>
      <c r="AG8409" s="1"/>
      <c r="AH8409" s="1"/>
      <c r="AI8409" s="1"/>
      <c r="AJ8409" s="1"/>
      <c r="AK8409" s="1"/>
      <c r="AL8409" s="1"/>
      <c r="AM8409" s="1"/>
    </row>
    <row r="8410" spans="1:39" x14ac:dyDescent="0.25">
      <c r="A8410" s="620"/>
      <c r="B8410" s="620"/>
      <c r="C8410" s="620"/>
      <c r="D8410" s="620"/>
      <c r="E8410" s="620"/>
      <c r="F8410" s="620"/>
      <c r="G8410" s="620"/>
      <c r="H8410" s="620"/>
      <c r="I8410" s="620"/>
      <c r="J8410" s="620"/>
      <c r="K8410" s="620"/>
      <c r="L8410" s="620"/>
      <c r="M8410" s="620"/>
      <c r="N8410" s="620"/>
      <c r="O8410" s="620"/>
      <c r="P8410" s="49"/>
      <c r="Q8410" s="1"/>
      <c r="R8410" s="620"/>
      <c r="S8410" s="1"/>
      <c r="T8410" s="1"/>
      <c r="U8410" s="1"/>
      <c r="V8410" s="1"/>
      <c r="W8410" s="1"/>
      <c r="X8410" s="1"/>
      <c r="Y8410" s="1"/>
      <c r="Z8410" s="620"/>
      <c r="AA8410" s="620"/>
      <c r="AB8410" s="1"/>
      <c r="AC8410" s="1"/>
      <c r="AD8410" s="1"/>
      <c r="AE8410" s="1"/>
      <c r="AF8410" s="1"/>
      <c r="AG8410" s="1"/>
      <c r="AH8410" s="1"/>
      <c r="AI8410" s="1"/>
      <c r="AJ8410" s="1"/>
      <c r="AK8410" s="1"/>
      <c r="AL8410" s="1"/>
      <c r="AM8410" s="1"/>
    </row>
    <row r="8411" spans="1:39" x14ac:dyDescent="0.25">
      <c r="A8411" s="620"/>
      <c r="B8411" s="620"/>
      <c r="C8411" s="620"/>
      <c r="D8411" s="620"/>
      <c r="E8411" s="620"/>
      <c r="F8411" s="620"/>
      <c r="G8411" s="620"/>
      <c r="H8411" s="620"/>
      <c r="I8411" s="620"/>
      <c r="J8411" s="620"/>
      <c r="K8411" s="620"/>
      <c r="L8411" s="620"/>
      <c r="M8411" s="620"/>
      <c r="N8411" s="620"/>
      <c r="O8411" s="620"/>
      <c r="P8411" s="49"/>
      <c r="Q8411" s="1"/>
      <c r="R8411" s="620"/>
      <c r="S8411" s="1"/>
      <c r="T8411" s="1"/>
      <c r="U8411" s="1"/>
      <c r="V8411" s="1"/>
      <c r="W8411" s="1"/>
      <c r="X8411" s="1"/>
      <c r="Y8411" s="1"/>
      <c r="Z8411" s="620"/>
      <c r="AA8411" s="620"/>
      <c r="AB8411" s="1"/>
      <c r="AC8411" s="1"/>
      <c r="AD8411" s="1"/>
      <c r="AE8411" s="1"/>
      <c r="AF8411" s="1"/>
      <c r="AG8411" s="1"/>
      <c r="AH8411" s="1"/>
      <c r="AI8411" s="1"/>
      <c r="AJ8411" s="1"/>
      <c r="AK8411" s="1"/>
      <c r="AL8411" s="1"/>
      <c r="AM8411" s="1"/>
    </row>
    <row r="8412" spans="1:39" x14ac:dyDescent="0.25">
      <c r="A8412" s="620"/>
      <c r="B8412" s="620"/>
      <c r="C8412" s="620"/>
      <c r="D8412" s="620"/>
      <c r="E8412" s="620"/>
      <c r="F8412" s="620"/>
      <c r="G8412" s="620"/>
      <c r="H8412" s="620"/>
      <c r="I8412" s="620"/>
      <c r="J8412" s="620"/>
      <c r="K8412" s="620"/>
      <c r="L8412" s="620"/>
      <c r="M8412" s="620"/>
      <c r="N8412" s="620"/>
      <c r="O8412" s="620"/>
      <c r="P8412" s="49"/>
      <c r="Q8412" s="1"/>
      <c r="R8412" s="620"/>
      <c r="S8412" s="1"/>
      <c r="T8412" s="1"/>
      <c r="U8412" s="1"/>
      <c r="V8412" s="1"/>
      <c r="W8412" s="1"/>
      <c r="X8412" s="1"/>
      <c r="Y8412" s="1"/>
      <c r="Z8412" s="620"/>
      <c r="AA8412" s="620"/>
      <c r="AB8412" s="1"/>
      <c r="AC8412" s="1"/>
      <c r="AD8412" s="1"/>
      <c r="AE8412" s="1"/>
      <c r="AF8412" s="1"/>
      <c r="AG8412" s="1"/>
      <c r="AH8412" s="1"/>
      <c r="AI8412" s="1"/>
      <c r="AJ8412" s="1"/>
      <c r="AK8412" s="1"/>
      <c r="AL8412" s="1"/>
      <c r="AM8412" s="1"/>
    </row>
    <row r="8413" spans="1:39" x14ac:dyDescent="0.25">
      <c r="A8413" s="620"/>
      <c r="B8413" s="620"/>
      <c r="C8413" s="620"/>
      <c r="D8413" s="620"/>
      <c r="E8413" s="620"/>
      <c r="F8413" s="620"/>
      <c r="G8413" s="620"/>
      <c r="H8413" s="620"/>
      <c r="I8413" s="620"/>
      <c r="J8413" s="620"/>
      <c r="K8413" s="620"/>
      <c r="L8413" s="620"/>
      <c r="M8413" s="620"/>
      <c r="N8413" s="620"/>
      <c r="O8413" s="620"/>
      <c r="P8413" s="49"/>
      <c r="Q8413" s="1"/>
      <c r="R8413" s="620"/>
      <c r="S8413" s="1"/>
      <c r="T8413" s="1"/>
      <c r="U8413" s="1"/>
      <c r="V8413" s="1"/>
      <c r="W8413" s="1"/>
      <c r="X8413" s="1"/>
      <c r="Y8413" s="1"/>
      <c r="Z8413" s="620"/>
      <c r="AA8413" s="620"/>
      <c r="AB8413" s="1"/>
      <c r="AC8413" s="1"/>
      <c r="AD8413" s="1"/>
      <c r="AE8413" s="1"/>
      <c r="AF8413" s="1"/>
      <c r="AG8413" s="1"/>
      <c r="AH8413" s="1"/>
      <c r="AI8413" s="1"/>
      <c r="AJ8413" s="1"/>
      <c r="AK8413" s="1"/>
      <c r="AL8413" s="1"/>
      <c r="AM8413" s="1"/>
    </row>
    <row r="8414" spans="1:39" x14ac:dyDescent="0.25">
      <c r="A8414" s="620"/>
      <c r="B8414" s="620"/>
      <c r="C8414" s="620"/>
      <c r="D8414" s="620"/>
      <c r="E8414" s="620"/>
      <c r="F8414" s="620"/>
      <c r="G8414" s="620"/>
      <c r="H8414" s="620"/>
      <c r="I8414" s="620"/>
      <c r="J8414" s="620"/>
      <c r="K8414" s="620"/>
      <c r="L8414" s="620"/>
      <c r="M8414" s="620"/>
      <c r="N8414" s="620"/>
      <c r="O8414" s="620"/>
      <c r="P8414" s="49"/>
      <c r="Q8414" s="1"/>
      <c r="R8414" s="620"/>
      <c r="S8414" s="1"/>
      <c r="T8414" s="1"/>
      <c r="U8414" s="1"/>
      <c r="V8414" s="1"/>
      <c r="W8414" s="1"/>
      <c r="X8414" s="1"/>
      <c r="Y8414" s="1"/>
      <c r="Z8414" s="620"/>
      <c r="AA8414" s="620"/>
      <c r="AB8414" s="1"/>
      <c r="AC8414" s="1"/>
      <c r="AD8414" s="1"/>
      <c r="AE8414" s="1"/>
      <c r="AF8414" s="1"/>
      <c r="AG8414" s="1"/>
      <c r="AH8414" s="1"/>
      <c r="AI8414" s="1"/>
      <c r="AJ8414" s="1"/>
      <c r="AK8414" s="1"/>
      <c r="AL8414" s="1"/>
      <c r="AM8414" s="1"/>
    </row>
    <row r="8415" spans="1:39" x14ac:dyDescent="0.25">
      <c r="A8415" s="620"/>
      <c r="B8415" s="620"/>
      <c r="C8415" s="620"/>
      <c r="D8415" s="620"/>
      <c r="E8415" s="620"/>
      <c r="F8415" s="620"/>
      <c r="G8415" s="620"/>
      <c r="H8415" s="620"/>
      <c r="I8415" s="620"/>
      <c r="J8415" s="620"/>
      <c r="K8415" s="620"/>
      <c r="L8415" s="620"/>
      <c r="M8415" s="620"/>
      <c r="N8415" s="620"/>
      <c r="O8415" s="620"/>
      <c r="P8415" s="49"/>
      <c r="Q8415" s="1"/>
      <c r="R8415" s="620"/>
      <c r="S8415" s="1"/>
      <c r="T8415" s="1"/>
      <c r="U8415" s="1"/>
      <c r="V8415" s="1"/>
      <c r="W8415" s="1"/>
      <c r="X8415" s="1"/>
      <c r="Y8415" s="1"/>
      <c r="Z8415" s="620"/>
      <c r="AA8415" s="620"/>
      <c r="AB8415" s="1"/>
      <c r="AC8415" s="1"/>
      <c r="AD8415" s="1"/>
      <c r="AE8415" s="1"/>
      <c r="AF8415" s="1"/>
      <c r="AG8415" s="1"/>
      <c r="AH8415" s="1"/>
      <c r="AI8415" s="1"/>
      <c r="AJ8415" s="1"/>
      <c r="AK8415" s="1"/>
      <c r="AL8415" s="1"/>
      <c r="AM8415" s="1"/>
    </row>
    <row r="8416" spans="1:39" x14ac:dyDescent="0.25">
      <c r="A8416" s="620"/>
      <c r="B8416" s="620"/>
      <c r="C8416" s="620"/>
      <c r="D8416" s="620"/>
      <c r="E8416" s="620"/>
      <c r="F8416" s="620"/>
      <c r="G8416" s="620"/>
      <c r="H8416" s="620"/>
      <c r="I8416" s="620"/>
      <c r="J8416" s="620"/>
      <c r="K8416" s="620"/>
      <c r="L8416" s="620"/>
      <c r="M8416" s="620"/>
      <c r="N8416" s="620"/>
      <c r="O8416" s="620"/>
      <c r="P8416" s="49"/>
      <c r="Q8416" s="1"/>
      <c r="R8416" s="620"/>
      <c r="S8416" s="1"/>
      <c r="T8416" s="1"/>
      <c r="U8416" s="1"/>
      <c r="V8416" s="1"/>
      <c r="W8416" s="1"/>
      <c r="X8416" s="1"/>
      <c r="Y8416" s="1"/>
      <c r="Z8416" s="620"/>
      <c r="AA8416" s="620"/>
      <c r="AB8416" s="1"/>
      <c r="AC8416" s="1"/>
      <c r="AD8416" s="1"/>
      <c r="AE8416" s="1"/>
      <c r="AF8416" s="1"/>
      <c r="AG8416" s="1"/>
      <c r="AH8416" s="1"/>
      <c r="AI8416" s="1"/>
      <c r="AJ8416" s="1"/>
      <c r="AK8416" s="1"/>
      <c r="AL8416" s="1"/>
      <c r="AM8416" s="1"/>
    </row>
    <row r="8417" spans="1:39" x14ac:dyDescent="0.25">
      <c r="A8417" s="620"/>
      <c r="B8417" s="620"/>
      <c r="C8417" s="620"/>
      <c r="D8417" s="620"/>
      <c r="E8417" s="620"/>
      <c r="F8417" s="620"/>
      <c r="G8417" s="620"/>
      <c r="H8417" s="620"/>
      <c r="I8417" s="620"/>
      <c r="J8417" s="620"/>
      <c r="K8417" s="620"/>
      <c r="L8417" s="620"/>
      <c r="M8417" s="620"/>
      <c r="N8417" s="620"/>
      <c r="O8417" s="620"/>
      <c r="P8417" s="49"/>
      <c r="Q8417" s="1"/>
      <c r="R8417" s="620"/>
      <c r="S8417" s="1"/>
      <c r="T8417" s="1"/>
      <c r="U8417" s="1"/>
      <c r="V8417" s="1"/>
      <c r="W8417" s="1"/>
      <c r="X8417" s="1"/>
      <c r="Y8417" s="1"/>
      <c r="Z8417" s="620"/>
      <c r="AA8417" s="620"/>
      <c r="AB8417" s="1"/>
      <c r="AC8417" s="1"/>
      <c r="AD8417" s="1"/>
      <c r="AE8417" s="1"/>
      <c r="AF8417" s="1"/>
      <c r="AG8417" s="1"/>
      <c r="AH8417" s="1"/>
      <c r="AI8417" s="1"/>
      <c r="AJ8417" s="1"/>
      <c r="AK8417" s="1"/>
      <c r="AL8417" s="1"/>
      <c r="AM8417" s="1"/>
    </row>
    <row r="8418" spans="1:39" x14ac:dyDescent="0.25">
      <c r="A8418" s="620"/>
      <c r="B8418" s="620"/>
      <c r="C8418" s="620"/>
      <c r="D8418" s="620"/>
      <c r="E8418" s="620"/>
      <c r="F8418" s="620"/>
      <c r="G8418" s="620"/>
      <c r="H8418" s="620"/>
      <c r="I8418" s="620"/>
      <c r="J8418" s="620"/>
      <c r="K8418" s="620"/>
      <c r="L8418" s="620"/>
      <c r="M8418" s="620"/>
      <c r="N8418" s="620"/>
      <c r="O8418" s="620"/>
      <c r="P8418" s="49"/>
      <c r="Q8418" s="1"/>
      <c r="R8418" s="620"/>
      <c r="S8418" s="1"/>
      <c r="T8418" s="1"/>
      <c r="U8418" s="1"/>
      <c r="V8418" s="1"/>
      <c r="W8418" s="1"/>
      <c r="X8418" s="1"/>
      <c r="Y8418" s="1"/>
      <c r="Z8418" s="620"/>
      <c r="AA8418" s="620"/>
      <c r="AB8418" s="1"/>
      <c r="AC8418" s="1"/>
      <c r="AD8418" s="1"/>
      <c r="AE8418" s="1"/>
      <c r="AF8418" s="1"/>
      <c r="AG8418" s="1"/>
      <c r="AH8418" s="1"/>
      <c r="AI8418" s="1"/>
      <c r="AJ8418" s="1"/>
      <c r="AK8418" s="1"/>
      <c r="AL8418" s="1"/>
      <c r="AM8418" s="1"/>
    </row>
    <row r="8419" spans="1:39" x14ac:dyDescent="0.25">
      <c r="A8419" s="620"/>
      <c r="B8419" s="620"/>
      <c r="C8419" s="620"/>
      <c r="D8419" s="620"/>
      <c r="E8419" s="620"/>
      <c r="F8419" s="620"/>
      <c r="G8419" s="620"/>
      <c r="H8419" s="620"/>
      <c r="I8419" s="620"/>
      <c r="J8419" s="620"/>
      <c r="K8419" s="620"/>
      <c r="L8419" s="620"/>
      <c r="M8419" s="620"/>
      <c r="N8419" s="620"/>
      <c r="O8419" s="620"/>
      <c r="P8419" s="49"/>
      <c r="Q8419" s="1"/>
      <c r="R8419" s="620"/>
      <c r="S8419" s="1"/>
      <c r="T8419" s="1"/>
      <c r="U8419" s="1"/>
      <c r="V8419" s="1"/>
      <c r="W8419" s="1"/>
      <c r="X8419" s="1"/>
      <c r="Y8419" s="1"/>
      <c r="Z8419" s="620"/>
      <c r="AA8419" s="620"/>
      <c r="AB8419" s="1"/>
      <c r="AC8419" s="1"/>
      <c r="AD8419" s="1"/>
      <c r="AE8419" s="1"/>
      <c r="AF8419" s="1"/>
      <c r="AG8419" s="1"/>
      <c r="AH8419" s="1"/>
      <c r="AI8419" s="1"/>
      <c r="AJ8419" s="1"/>
      <c r="AK8419" s="1"/>
      <c r="AL8419" s="1"/>
      <c r="AM8419" s="1"/>
    </row>
    <row r="8420" spans="1:39" x14ac:dyDescent="0.25">
      <c r="A8420" s="620"/>
      <c r="B8420" s="620"/>
      <c r="C8420" s="620"/>
      <c r="D8420" s="620"/>
      <c r="E8420" s="620"/>
      <c r="F8420" s="620"/>
      <c r="G8420" s="620"/>
      <c r="H8420" s="620"/>
      <c r="I8420" s="620"/>
      <c r="J8420" s="620"/>
      <c r="K8420" s="620"/>
      <c r="L8420" s="620"/>
      <c r="M8420" s="620"/>
      <c r="N8420" s="620"/>
      <c r="O8420" s="620"/>
      <c r="P8420" s="49"/>
      <c r="Q8420" s="1"/>
      <c r="R8420" s="620"/>
      <c r="S8420" s="1"/>
      <c r="T8420" s="1"/>
      <c r="U8420" s="1"/>
      <c r="V8420" s="1"/>
      <c r="W8420" s="1"/>
      <c r="X8420" s="1"/>
      <c r="Y8420" s="1"/>
      <c r="Z8420" s="620"/>
      <c r="AA8420" s="620"/>
      <c r="AB8420" s="1"/>
      <c r="AC8420" s="1"/>
      <c r="AD8420" s="1"/>
      <c r="AE8420" s="1"/>
      <c r="AF8420" s="1"/>
      <c r="AG8420" s="1"/>
      <c r="AH8420" s="1"/>
      <c r="AI8420" s="1"/>
      <c r="AJ8420" s="1"/>
      <c r="AK8420" s="1"/>
      <c r="AL8420" s="1"/>
      <c r="AM8420" s="1"/>
    </row>
    <row r="8421" spans="1:39" x14ac:dyDescent="0.25">
      <c r="A8421" s="620"/>
      <c r="B8421" s="620"/>
      <c r="C8421" s="620"/>
      <c r="D8421" s="620"/>
      <c r="E8421" s="620"/>
      <c r="F8421" s="620"/>
      <c r="G8421" s="620"/>
      <c r="H8421" s="620"/>
      <c r="I8421" s="620"/>
      <c r="J8421" s="620"/>
      <c r="K8421" s="620"/>
      <c r="L8421" s="620"/>
      <c r="M8421" s="620"/>
      <c r="N8421" s="620"/>
      <c r="O8421" s="620"/>
      <c r="P8421" s="49"/>
      <c r="Q8421" s="1"/>
      <c r="R8421" s="620"/>
      <c r="S8421" s="1"/>
      <c r="T8421" s="1"/>
      <c r="U8421" s="1"/>
      <c r="V8421" s="1"/>
      <c r="W8421" s="1"/>
      <c r="X8421" s="1"/>
      <c r="Y8421" s="1"/>
      <c r="Z8421" s="620"/>
      <c r="AA8421" s="620"/>
      <c r="AB8421" s="1"/>
      <c r="AC8421" s="1"/>
      <c r="AD8421" s="1"/>
      <c r="AE8421" s="1"/>
      <c r="AF8421" s="1"/>
      <c r="AG8421" s="1"/>
      <c r="AH8421" s="1"/>
      <c r="AI8421" s="1"/>
      <c r="AJ8421" s="1"/>
      <c r="AK8421" s="1"/>
      <c r="AL8421" s="1"/>
      <c r="AM8421" s="1"/>
    </row>
    <row r="8422" spans="1:39" x14ac:dyDescent="0.25">
      <c r="A8422" s="620"/>
      <c r="B8422" s="620"/>
      <c r="C8422" s="620"/>
      <c r="D8422" s="620"/>
      <c r="E8422" s="620"/>
      <c r="F8422" s="620"/>
      <c r="G8422" s="620"/>
      <c r="H8422" s="620"/>
      <c r="I8422" s="620"/>
      <c r="J8422" s="620"/>
      <c r="K8422" s="620"/>
      <c r="L8422" s="620"/>
      <c r="M8422" s="620"/>
      <c r="N8422" s="620"/>
      <c r="O8422" s="620"/>
      <c r="P8422" s="49"/>
      <c r="Q8422" s="1"/>
      <c r="R8422" s="620"/>
      <c r="S8422" s="1"/>
      <c r="T8422" s="1"/>
      <c r="U8422" s="1"/>
      <c r="V8422" s="1"/>
      <c r="W8422" s="1"/>
      <c r="X8422" s="1"/>
      <c r="Y8422" s="1"/>
      <c r="Z8422" s="620"/>
      <c r="AA8422" s="620"/>
      <c r="AB8422" s="1"/>
      <c r="AC8422" s="1"/>
      <c r="AD8422" s="1"/>
      <c r="AE8422" s="1"/>
      <c r="AF8422" s="1"/>
      <c r="AG8422" s="1"/>
      <c r="AH8422" s="1"/>
      <c r="AI8422" s="1"/>
      <c r="AJ8422" s="1"/>
      <c r="AK8422" s="1"/>
      <c r="AL8422" s="1"/>
      <c r="AM8422" s="1"/>
    </row>
    <row r="8423" spans="1:39" x14ac:dyDescent="0.25">
      <c r="A8423" s="620"/>
      <c r="B8423" s="620"/>
      <c r="C8423" s="620"/>
      <c r="D8423" s="620"/>
      <c r="E8423" s="620"/>
      <c r="F8423" s="620"/>
      <c r="G8423" s="620"/>
      <c r="H8423" s="620"/>
      <c r="I8423" s="620"/>
      <c r="J8423" s="620"/>
      <c r="K8423" s="620"/>
      <c r="L8423" s="620"/>
      <c r="M8423" s="620"/>
      <c r="N8423" s="620"/>
      <c r="O8423" s="620"/>
      <c r="P8423" s="49"/>
      <c r="Q8423" s="1"/>
      <c r="R8423" s="620"/>
      <c r="S8423" s="1"/>
      <c r="T8423" s="1"/>
      <c r="U8423" s="1"/>
      <c r="V8423" s="1"/>
      <c r="W8423" s="1"/>
      <c r="X8423" s="1"/>
      <c r="Y8423" s="1"/>
      <c r="Z8423" s="620"/>
      <c r="AA8423" s="620"/>
      <c r="AB8423" s="1"/>
      <c r="AC8423" s="1"/>
      <c r="AD8423" s="1"/>
      <c r="AE8423" s="1"/>
      <c r="AF8423" s="1"/>
      <c r="AG8423" s="1"/>
      <c r="AH8423" s="1"/>
      <c r="AI8423" s="1"/>
      <c r="AJ8423" s="1"/>
      <c r="AK8423" s="1"/>
      <c r="AL8423" s="1"/>
      <c r="AM8423" s="1"/>
    </row>
    <row r="8424" spans="1:39" x14ac:dyDescent="0.25">
      <c r="A8424" s="620"/>
      <c r="B8424" s="620"/>
      <c r="C8424" s="620"/>
      <c r="D8424" s="620"/>
      <c r="E8424" s="620"/>
      <c r="F8424" s="620"/>
      <c r="G8424" s="620"/>
      <c r="H8424" s="620"/>
      <c r="I8424" s="620"/>
      <c r="J8424" s="620"/>
      <c r="K8424" s="620"/>
      <c r="L8424" s="620"/>
      <c r="M8424" s="620"/>
      <c r="N8424" s="620"/>
      <c r="O8424" s="620"/>
      <c r="P8424" s="49"/>
      <c r="Q8424" s="1"/>
      <c r="R8424" s="620"/>
      <c r="S8424" s="1"/>
      <c r="T8424" s="1"/>
      <c r="U8424" s="1"/>
      <c r="V8424" s="1"/>
      <c r="W8424" s="1"/>
      <c r="X8424" s="1"/>
      <c r="Y8424" s="1"/>
      <c r="Z8424" s="620"/>
      <c r="AA8424" s="620"/>
      <c r="AB8424" s="1"/>
      <c r="AC8424" s="1"/>
      <c r="AD8424" s="1"/>
      <c r="AE8424" s="1"/>
      <c r="AF8424" s="1"/>
      <c r="AG8424" s="1"/>
      <c r="AH8424" s="1"/>
      <c r="AI8424" s="1"/>
      <c r="AJ8424" s="1"/>
      <c r="AK8424" s="1"/>
      <c r="AL8424" s="1"/>
      <c r="AM8424" s="1"/>
    </row>
    <row r="8425" spans="1:39" x14ac:dyDescent="0.25">
      <c r="A8425" s="620"/>
      <c r="B8425" s="620"/>
      <c r="C8425" s="620"/>
      <c r="D8425" s="620"/>
      <c r="E8425" s="620"/>
      <c r="F8425" s="620"/>
      <c r="G8425" s="620"/>
      <c r="H8425" s="620"/>
      <c r="I8425" s="620"/>
      <c r="J8425" s="620"/>
      <c r="K8425" s="620"/>
      <c r="L8425" s="620"/>
      <c r="M8425" s="620"/>
      <c r="N8425" s="620"/>
      <c r="O8425" s="620"/>
      <c r="P8425" s="49"/>
      <c r="Q8425" s="1"/>
      <c r="R8425" s="620"/>
      <c r="S8425" s="1"/>
      <c r="T8425" s="1"/>
      <c r="U8425" s="1"/>
      <c r="V8425" s="1"/>
      <c r="W8425" s="1"/>
      <c r="X8425" s="1"/>
      <c r="Y8425" s="1"/>
      <c r="Z8425" s="620"/>
      <c r="AA8425" s="620"/>
      <c r="AB8425" s="1"/>
      <c r="AC8425" s="1"/>
      <c r="AD8425" s="1"/>
      <c r="AE8425" s="1"/>
      <c r="AF8425" s="1"/>
      <c r="AG8425" s="1"/>
      <c r="AH8425" s="1"/>
      <c r="AI8425" s="1"/>
      <c r="AJ8425" s="1"/>
      <c r="AK8425" s="1"/>
      <c r="AL8425" s="1"/>
      <c r="AM8425" s="1"/>
    </row>
    <row r="8426" spans="1:39" x14ac:dyDescent="0.25">
      <c r="A8426" s="620"/>
      <c r="B8426" s="620"/>
      <c r="C8426" s="620"/>
      <c r="D8426" s="620"/>
      <c r="E8426" s="620"/>
      <c r="F8426" s="620"/>
      <c r="G8426" s="620"/>
      <c r="H8426" s="620"/>
      <c r="I8426" s="620"/>
      <c r="J8426" s="620"/>
      <c r="K8426" s="620"/>
      <c r="L8426" s="620"/>
      <c r="M8426" s="620"/>
      <c r="N8426" s="620"/>
      <c r="O8426" s="620"/>
      <c r="P8426" s="49"/>
      <c r="Q8426" s="1"/>
      <c r="R8426" s="620"/>
      <c r="S8426" s="1"/>
      <c r="T8426" s="1"/>
      <c r="U8426" s="1"/>
      <c r="V8426" s="1"/>
      <c r="W8426" s="1"/>
      <c r="X8426" s="1"/>
      <c r="Y8426" s="1"/>
      <c r="Z8426" s="620"/>
      <c r="AA8426" s="620"/>
      <c r="AB8426" s="1"/>
      <c r="AC8426" s="1"/>
      <c r="AD8426" s="1"/>
      <c r="AE8426" s="1"/>
      <c r="AF8426" s="1"/>
      <c r="AG8426" s="1"/>
      <c r="AH8426" s="1"/>
      <c r="AI8426" s="1"/>
      <c r="AJ8426" s="1"/>
      <c r="AK8426" s="1"/>
      <c r="AL8426" s="1"/>
      <c r="AM8426" s="1"/>
    </row>
    <row r="8427" spans="1:39" x14ac:dyDescent="0.25">
      <c r="A8427" s="620"/>
      <c r="B8427" s="620"/>
      <c r="C8427" s="620"/>
      <c r="D8427" s="620"/>
      <c r="E8427" s="620"/>
      <c r="F8427" s="620"/>
      <c r="G8427" s="620"/>
      <c r="H8427" s="620"/>
      <c r="I8427" s="620"/>
      <c r="J8427" s="620"/>
      <c r="K8427" s="620"/>
      <c r="L8427" s="620"/>
      <c r="M8427" s="620"/>
      <c r="N8427" s="620"/>
      <c r="O8427" s="620"/>
      <c r="P8427" s="49"/>
      <c r="Q8427" s="1"/>
      <c r="R8427" s="620"/>
      <c r="S8427" s="1"/>
      <c r="T8427" s="1"/>
      <c r="U8427" s="1"/>
      <c r="V8427" s="1"/>
      <c r="W8427" s="1"/>
      <c r="X8427" s="1"/>
      <c r="Y8427" s="1"/>
      <c r="Z8427" s="620"/>
      <c r="AA8427" s="620"/>
      <c r="AB8427" s="1"/>
      <c r="AC8427" s="1"/>
      <c r="AD8427" s="1"/>
      <c r="AE8427" s="1"/>
      <c r="AF8427" s="1"/>
      <c r="AG8427" s="1"/>
      <c r="AH8427" s="1"/>
      <c r="AI8427" s="1"/>
      <c r="AJ8427" s="1"/>
      <c r="AK8427" s="1"/>
      <c r="AL8427" s="1"/>
      <c r="AM8427" s="1"/>
    </row>
    <row r="8428" spans="1:39" x14ac:dyDescent="0.25">
      <c r="A8428" s="620"/>
      <c r="B8428" s="620"/>
      <c r="C8428" s="620"/>
      <c r="D8428" s="620"/>
      <c r="E8428" s="620"/>
      <c r="F8428" s="620"/>
      <c r="G8428" s="620"/>
      <c r="H8428" s="620"/>
      <c r="I8428" s="620"/>
      <c r="J8428" s="620"/>
      <c r="K8428" s="620"/>
      <c r="L8428" s="620"/>
      <c r="M8428" s="620"/>
      <c r="N8428" s="620"/>
      <c r="O8428" s="620"/>
      <c r="P8428" s="49"/>
      <c r="Q8428" s="1"/>
      <c r="R8428" s="620"/>
      <c r="S8428" s="1"/>
      <c r="T8428" s="1"/>
      <c r="U8428" s="1"/>
      <c r="V8428" s="1"/>
      <c r="W8428" s="1"/>
      <c r="X8428" s="1"/>
      <c r="Y8428" s="1"/>
      <c r="Z8428" s="620"/>
      <c r="AA8428" s="620"/>
      <c r="AB8428" s="1"/>
      <c r="AC8428" s="1"/>
      <c r="AD8428" s="1"/>
      <c r="AE8428" s="1"/>
      <c r="AF8428" s="1"/>
      <c r="AG8428" s="1"/>
      <c r="AH8428" s="1"/>
      <c r="AI8428" s="1"/>
      <c r="AJ8428" s="1"/>
      <c r="AK8428" s="1"/>
      <c r="AL8428" s="1"/>
      <c r="AM8428" s="1"/>
    </row>
    <row r="8429" spans="1:39" x14ac:dyDescent="0.25">
      <c r="A8429" s="620"/>
      <c r="B8429" s="620"/>
      <c r="C8429" s="620"/>
      <c r="D8429" s="620"/>
      <c r="E8429" s="620"/>
      <c r="F8429" s="620"/>
      <c r="G8429" s="620"/>
      <c r="H8429" s="620"/>
      <c r="I8429" s="620"/>
      <c r="J8429" s="620"/>
      <c r="K8429" s="620"/>
      <c r="L8429" s="620"/>
      <c r="M8429" s="620"/>
      <c r="N8429" s="620"/>
      <c r="O8429" s="620"/>
      <c r="P8429" s="49"/>
      <c r="Q8429" s="1"/>
      <c r="R8429" s="620"/>
      <c r="S8429" s="1"/>
      <c r="T8429" s="1"/>
      <c r="U8429" s="1"/>
      <c r="V8429" s="1"/>
      <c r="W8429" s="1"/>
      <c r="X8429" s="1"/>
      <c r="Y8429" s="1"/>
      <c r="Z8429" s="620"/>
      <c r="AA8429" s="620"/>
      <c r="AB8429" s="1"/>
      <c r="AC8429" s="1"/>
      <c r="AD8429" s="1"/>
      <c r="AE8429" s="1"/>
      <c r="AF8429" s="1"/>
      <c r="AG8429" s="1"/>
      <c r="AH8429" s="1"/>
      <c r="AI8429" s="1"/>
      <c r="AJ8429" s="1"/>
      <c r="AK8429" s="1"/>
      <c r="AL8429" s="1"/>
      <c r="AM8429" s="1"/>
    </row>
    <row r="8430" spans="1:39" x14ac:dyDescent="0.25">
      <c r="A8430" s="620"/>
      <c r="B8430" s="620"/>
      <c r="C8430" s="620"/>
      <c r="D8430" s="620"/>
      <c r="E8430" s="620"/>
      <c r="F8430" s="620"/>
      <c r="G8430" s="620"/>
      <c r="H8430" s="620"/>
      <c r="I8430" s="620"/>
      <c r="J8430" s="620"/>
      <c r="K8430" s="620"/>
      <c r="L8430" s="620"/>
      <c r="M8430" s="620"/>
      <c r="N8430" s="620"/>
      <c r="O8430" s="620"/>
      <c r="P8430" s="49"/>
      <c r="Q8430" s="1"/>
      <c r="R8430" s="620"/>
      <c r="S8430" s="1"/>
      <c r="T8430" s="1"/>
      <c r="U8430" s="1"/>
      <c r="V8430" s="1"/>
      <c r="W8430" s="1"/>
      <c r="X8430" s="1"/>
      <c r="Y8430" s="1"/>
      <c r="Z8430" s="620"/>
      <c r="AA8430" s="620"/>
      <c r="AB8430" s="1"/>
      <c r="AC8430" s="1"/>
      <c r="AD8430" s="1"/>
      <c r="AE8430" s="1"/>
      <c r="AF8430" s="1"/>
      <c r="AG8430" s="1"/>
      <c r="AH8430" s="1"/>
      <c r="AI8430" s="1"/>
      <c r="AJ8430" s="1"/>
      <c r="AK8430" s="1"/>
      <c r="AL8430" s="1"/>
      <c r="AM8430" s="1"/>
    </row>
    <row r="8431" spans="1:39" x14ac:dyDescent="0.25">
      <c r="A8431" s="620"/>
      <c r="B8431" s="620"/>
      <c r="C8431" s="620"/>
      <c r="D8431" s="620"/>
      <c r="E8431" s="620"/>
      <c r="F8431" s="620"/>
      <c r="G8431" s="620"/>
      <c r="H8431" s="620"/>
      <c r="I8431" s="620"/>
      <c r="J8431" s="620"/>
      <c r="K8431" s="620"/>
      <c r="L8431" s="620"/>
      <c r="M8431" s="620"/>
      <c r="N8431" s="620"/>
      <c r="O8431" s="620"/>
      <c r="P8431" s="49"/>
      <c r="Q8431" s="1"/>
      <c r="R8431" s="620"/>
      <c r="S8431" s="1"/>
      <c r="T8431" s="1"/>
      <c r="U8431" s="1"/>
      <c r="V8431" s="1"/>
      <c r="W8431" s="1"/>
      <c r="X8431" s="1"/>
      <c r="Y8431" s="1"/>
      <c r="Z8431" s="620"/>
      <c r="AA8431" s="620"/>
      <c r="AB8431" s="1"/>
      <c r="AC8431" s="1"/>
      <c r="AD8431" s="1"/>
      <c r="AE8431" s="1"/>
      <c r="AF8431" s="1"/>
      <c r="AG8431" s="1"/>
      <c r="AH8431" s="1"/>
      <c r="AI8431" s="1"/>
      <c r="AJ8431" s="1"/>
      <c r="AK8431" s="1"/>
      <c r="AL8431" s="1"/>
      <c r="AM8431" s="1"/>
    </row>
    <row r="8432" spans="1:39" x14ac:dyDescent="0.25">
      <c r="A8432" s="620"/>
      <c r="B8432" s="620"/>
      <c r="C8432" s="620"/>
      <c r="D8432" s="620"/>
      <c r="E8432" s="620"/>
      <c r="F8432" s="620"/>
      <c r="G8432" s="620"/>
      <c r="H8432" s="620"/>
      <c r="I8432" s="620"/>
      <c r="J8432" s="620"/>
      <c r="K8432" s="620"/>
      <c r="L8432" s="620"/>
      <c r="M8432" s="620"/>
      <c r="N8432" s="620"/>
      <c r="O8432" s="620"/>
      <c r="P8432" s="49"/>
      <c r="Q8432" s="1"/>
      <c r="R8432" s="620"/>
      <c r="S8432" s="1"/>
      <c r="T8432" s="1"/>
      <c r="U8432" s="1"/>
      <c r="V8432" s="1"/>
      <c r="W8432" s="1"/>
      <c r="X8432" s="1"/>
      <c r="Y8432" s="1"/>
      <c r="Z8432" s="620"/>
      <c r="AA8432" s="620"/>
      <c r="AB8432" s="1"/>
      <c r="AC8432" s="1"/>
      <c r="AD8432" s="1"/>
      <c r="AE8432" s="1"/>
      <c r="AF8432" s="1"/>
      <c r="AG8432" s="1"/>
      <c r="AH8432" s="1"/>
      <c r="AI8432" s="1"/>
      <c r="AJ8432" s="1"/>
      <c r="AK8432" s="1"/>
      <c r="AL8432" s="1"/>
      <c r="AM8432" s="1"/>
    </row>
    <row r="8433" spans="1:39" x14ac:dyDescent="0.25">
      <c r="A8433" s="620"/>
      <c r="B8433" s="620"/>
      <c r="C8433" s="620"/>
      <c r="D8433" s="620"/>
      <c r="E8433" s="620"/>
      <c r="F8433" s="620"/>
      <c r="G8433" s="620"/>
      <c r="H8433" s="620"/>
      <c r="I8433" s="620"/>
      <c r="J8433" s="620"/>
      <c r="K8433" s="620"/>
      <c r="L8433" s="620"/>
      <c r="M8433" s="620"/>
      <c r="N8433" s="620"/>
      <c r="O8433" s="620"/>
      <c r="P8433" s="49"/>
      <c r="Q8433" s="1"/>
      <c r="R8433" s="620"/>
      <c r="S8433" s="1"/>
      <c r="T8433" s="1"/>
      <c r="U8433" s="1"/>
      <c r="V8433" s="1"/>
      <c r="W8433" s="1"/>
      <c r="X8433" s="1"/>
      <c r="Y8433" s="1"/>
      <c r="Z8433" s="620"/>
      <c r="AA8433" s="620"/>
      <c r="AB8433" s="1"/>
      <c r="AC8433" s="1"/>
      <c r="AD8433" s="1"/>
      <c r="AE8433" s="1"/>
      <c r="AF8433" s="1"/>
      <c r="AG8433" s="1"/>
      <c r="AH8433" s="1"/>
      <c r="AI8433" s="1"/>
      <c r="AJ8433" s="1"/>
      <c r="AK8433" s="1"/>
      <c r="AL8433" s="1"/>
      <c r="AM8433" s="1"/>
    </row>
    <row r="8434" spans="1:39" x14ac:dyDescent="0.25">
      <c r="A8434" s="620"/>
      <c r="B8434" s="620"/>
      <c r="C8434" s="620"/>
      <c r="D8434" s="620"/>
      <c r="E8434" s="620"/>
      <c r="F8434" s="620"/>
      <c r="G8434" s="620"/>
      <c r="H8434" s="620"/>
      <c r="I8434" s="620"/>
      <c r="J8434" s="620"/>
      <c r="K8434" s="620"/>
      <c r="L8434" s="620"/>
      <c r="M8434" s="620"/>
      <c r="N8434" s="620"/>
      <c r="O8434" s="620"/>
      <c r="P8434" s="49"/>
      <c r="Q8434" s="1"/>
      <c r="R8434" s="620"/>
      <c r="S8434" s="1"/>
      <c r="T8434" s="1"/>
      <c r="U8434" s="1"/>
      <c r="V8434" s="1"/>
      <c r="W8434" s="1"/>
      <c r="X8434" s="1"/>
      <c r="Y8434" s="1"/>
      <c r="Z8434" s="620"/>
      <c r="AA8434" s="620"/>
      <c r="AB8434" s="1"/>
      <c r="AC8434" s="1"/>
      <c r="AD8434" s="1"/>
      <c r="AE8434" s="1"/>
      <c r="AF8434" s="1"/>
      <c r="AG8434" s="1"/>
      <c r="AH8434" s="1"/>
      <c r="AI8434" s="1"/>
      <c r="AJ8434" s="1"/>
      <c r="AK8434" s="1"/>
      <c r="AL8434" s="1"/>
      <c r="AM8434" s="1"/>
    </row>
    <row r="8435" spans="1:39" x14ac:dyDescent="0.25">
      <c r="A8435" s="620"/>
      <c r="B8435" s="620"/>
      <c r="C8435" s="620"/>
      <c r="D8435" s="620"/>
      <c r="E8435" s="620"/>
      <c r="F8435" s="620"/>
      <c r="G8435" s="620"/>
      <c r="H8435" s="620"/>
      <c r="I8435" s="620"/>
      <c r="J8435" s="620"/>
      <c r="K8435" s="620"/>
      <c r="L8435" s="620"/>
      <c r="M8435" s="620"/>
      <c r="N8435" s="620"/>
      <c r="O8435" s="620"/>
      <c r="P8435" s="49"/>
      <c r="Q8435" s="1"/>
      <c r="R8435" s="620"/>
      <c r="S8435" s="1"/>
      <c r="T8435" s="1"/>
      <c r="U8435" s="1"/>
      <c r="V8435" s="1"/>
      <c r="W8435" s="1"/>
      <c r="X8435" s="1"/>
      <c r="Y8435" s="1"/>
      <c r="Z8435" s="620"/>
      <c r="AA8435" s="620"/>
      <c r="AB8435" s="1"/>
      <c r="AC8435" s="1"/>
      <c r="AD8435" s="1"/>
      <c r="AE8435" s="1"/>
      <c r="AF8435" s="1"/>
      <c r="AG8435" s="1"/>
      <c r="AH8435" s="1"/>
      <c r="AI8435" s="1"/>
      <c r="AJ8435" s="1"/>
      <c r="AK8435" s="1"/>
      <c r="AL8435" s="1"/>
      <c r="AM8435" s="1"/>
    </row>
    <row r="8436" spans="1:39" x14ac:dyDescent="0.25">
      <c r="A8436" s="620"/>
      <c r="B8436" s="620"/>
      <c r="C8436" s="620"/>
      <c r="D8436" s="620"/>
      <c r="E8436" s="620"/>
      <c r="F8436" s="620"/>
      <c r="G8436" s="620"/>
      <c r="H8436" s="620"/>
      <c r="I8436" s="620"/>
      <c r="J8436" s="620"/>
      <c r="K8436" s="620"/>
      <c r="L8436" s="620"/>
      <c r="M8436" s="620"/>
      <c r="N8436" s="620"/>
      <c r="O8436" s="620"/>
      <c r="P8436" s="49"/>
      <c r="Q8436" s="1"/>
      <c r="R8436" s="620"/>
      <c r="S8436" s="1"/>
      <c r="T8436" s="1"/>
      <c r="U8436" s="1"/>
      <c r="V8436" s="1"/>
      <c r="W8436" s="1"/>
      <c r="X8436" s="1"/>
      <c r="Y8436" s="1"/>
      <c r="Z8436" s="620"/>
      <c r="AA8436" s="620"/>
      <c r="AB8436" s="1"/>
      <c r="AC8436" s="1"/>
      <c r="AD8436" s="1"/>
      <c r="AE8436" s="1"/>
      <c r="AF8436" s="1"/>
      <c r="AG8436" s="1"/>
      <c r="AH8436" s="1"/>
      <c r="AI8436" s="1"/>
      <c r="AJ8436" s="1"/>
      <c r="AK8436" s="1"/>
      <c r="AL8436" s="1"/>
      <c r="AM8436" s="1"/>
    </row>
    <row r="8437" spans="1:39" x14ac:dyDescent="0.25">
      <c r="A8437" s="620"/>
      <c r="B8437" s="620"/>
      <c r="C8437" s="620"/>
      <c r="D8437" s="620"/>
      <c r="E8437" s="620"/>
      <c r="F8437" s="620"/>
      <c r="G8437" s="620"/>
      <c r="H8437" s="620"/>
      <c r="I8437" s="620"/>
      <c r="J8437" s="620"/>
      <c r="K8437" s="620"/>
      <c r="L8437" s="620"/>
      <c r="M8437" s="620"/>
      <c r="N8437" s="620"/>
      <c r="O8437" s="620"/>
      <c r="P8437" s="49"/>
      <c r="Q8437" s="1"/>
      <c r="R8437" s="620"/>
      <c r="S8437" s="1"/>
      <c r="T8437" s="1"/>
      <c r="U8437" s="1"/>
      <c r="V8437" s="1"/>
      <c r="W8437" s="1"/>
      <c r="X8437" s="1"/>
      <c r="Y8437" s="1"/>
      <c r="Z8437" s="620"/>
      <c r="AA8437" s="620"/>
      <c r="AB8437" s="1"/>
      <c r="AC8437" s="1"/>
      <c r="AD8437" s="1"/>
      <c r="AE8437" s="1"/>
      <c r="AF8437" s="1"/>
      <c r="AG8437" s="1"/>
      <c r="AH8437" s="1"/>
      <c r="AI8437" s="1"/>
      <c r="AJ8437" s="1"/>
      <c r="AK8437" s="1"/>
      <c r="AL8437" s="1"/>
      <c r="AM8437" s="1"/>
    </row>
    <row r="8438" spans="1:39" x14ac:dyDescent="0.25">
      <c r="A8438" s="620"/>
      <c r="B8438" s="620"/>
      <c r="C8438" s="620"/>
      <c r="D8438" s="620"/>
      <c r="E8438" s="620"/>
      <c r="F8438" s="620"/>
      <c r="G8438" s="620"/>
      <c r="H8438" s="620"/>
      <c r="I8438" s="620"/>
      <c r="J8438" s="620"/>
      <c r="K8438" s="620"/>
      <c r="L8438" s="620"/>
      <c r="M8438" s="620"/>
      <c r="N8438" s="620"/>
      <c r="O8438" s="620"/>
      <c r="P8438" s="49"/>
      <c r="Q8438" s="1"/>
      <c r="R8438" s="620"/>
      <c r="S8438" s="1"/>
      <c r="T8438" s="1"/>
      <c r="U8438" s="1"/>
      <c r="V8438" s="1"/>
      <c r="W8438" s="1"/>
      <c r="X8438" s="1"/>
      <c r="Y8438" s="1"/>
      <c r="Z8438" s="620"/>
      <c r="AA8438" s="620"/>
      <c r="AB8438" s="1"/>
      <c r="AC8438" s="1"/>
      <c r="AD8438" s="1"/>
      <c r="AE8438" s="1"/>
      <c r="AF8438" s="1"/>
      <c r="AG8438" s="1"/>
      <c r="AH8438" s="1"/>
      <c r="AI8438" s="1"/>
      <c r="AJ8438" s="1"/>
      <c r="AK8438" s="1"/>
      <c r="AL8438" s="1"/>
      <c r="AM8438" s="1"/>
    </row>
    <row r="8439" spans="1:39" x14ac:dyDescent="0.25">
      <c r="A8439" s="620"/>
      <c r="B8439" s="620"/>
      <c r="C8439" s="620"/>
      <c r="D8439" s="620"/>
      <c r="E8439" s="620"/>
      <c r="F8439" s="620"/>
      <c r="G8439" s="620"/>
      <c r="H8439" s="620"/>
      <c r="I8439" s="620"/>
      <c r="J8439" s="620"/>
      <c r="K8439" s="620"/>
      <c r="L8439" s="620"/>
      <c r="M8439" s="620"/>
      <c r="N8439" s="620"/>
      <c r="O8439" s="620"/>
      <c r="P8439" s="49"/>
      <c r="Q8439" s="1"/>
      <c r="R8439" s="620"/>
      <c r="S8439" s="1"/>
      <c r="T8439" s="1"/>
      <c r="U8439" s="1"/>
      <c r="V8439" s="1"/>
      <c r="W8439" s="1"/>
      <c r="X8439" s="1"/>
      <c r="Y8439" s="1"/>
      <c r="Z8439" s="620"/>
      <c r="AA8439" s="620"/>
      <c r="AB8439" s="1"/>
      <c r="AC8439" s="1"/>
      <c r="AD8439" s="1"/>
      <c r="AE8439" s="1"/>
      <c r="AF8439" s="1"/>
      <c r="AG8439" s="1"/>
      <c r="AH8439" s="1"/>
      <c r="AI8439" s="1"/>
      <c r="AJ8439" s="1"/>
      <c r="AK8439" s="1"/>
      <c r="AL8439" s="1"/>
      <c r="AM8439" s="1"/>
    </row>
    <row r="8440" spans="1:39" x14ac:dyDescent="0.25">
      <c r="A8440" s="620"/>
      <c r="B8440" s="620"/>
      <c r="C8440" s="620"/>
      <c r="D8440" s="620"/>
      <c r="E8440" s="620"/>
      <c r="F8440" s="620"/>
      <c r="G8440" s="620"/>
      <c r="H8440" s="620"/>
      <c r="I8440" s="620"/>
      <c r="J8440" s="620"/>
      <c r="K8440" s="620"/>
      <c r="L8440" s="620"/>
      <c r="M8440" s="620"/>
      <c r="N8440" s="620"/>
      <c r="O8440" s="620"/>
      <c r="P8440" s="49"/>
      <c r="Q8440" s="1"/>
      <c r="R8440" s="620"/>
      <c r="S8440" s="1"/>
      <c r="T8440" s="1"/>
      <c r="U8440" s="1"/>
      <c r="V8440" s="1"/>
      <c r="W8440" s="1"/>
      <c r="X8440" s="1"/>
      <c r="Y8440" s="1"/>
      <c r="Z8440" s="620"/>
      <c r="AA8440" s="620"/>
      <c r="AB8440" s="1"/>
      <c r="AC8440" s="1"/>
      <c r="AD8440" s="1"/>
      <c r="AE8440" s="1"/>
      <c r="AF8440" s="1"/>
      <c r="AG8440" s="1"/>
      <c r="AH8440" s="1"/>
      <c r="AI8440" s="1"/>
      <c r="AJ8440" s="1"/>
      <c r="AK8440" s="1"/>
      <c r="AL8440" s="1"/>
      <c r="AM8440" s="1"/>
    </row>
    <row r="8441" spans="1:39" x14ac:dyDescent="0.25">
      <c r="A8441" s="620"/>
      <c r="B8441" s="620"/>
      <c r="C8441" s="620"/>
      <c r="D8441" s="620"/>
      <c r="E8441" s="620"/>
      <c r="F8441" s="620"/>
      <c r="G8441" s="620"/>
      <c r="H8441" s="620"/>
      <c r="I8441" s="620"/>
      <c r="J8441" s="620"/>
      <c r="K8441" s="620"/>
      <c r="L8441" s="620"/>
      <c r="M8441" s="620"/>
      <c r="N8441" s="620"/>
      <c r="O8441" s="620"/>
      <c r="P8441" s="49"/>
      <c r="Q8441" s="1"/>
      <c r="R8441" s="620"/>
      <c r="S8441" s="1"/>
      <c r="T8441" s="1"/>
      <c r="U8441" s="1"/>
      <c r="V8441" s="1"/>
      <c r="W8441" s="1"/>
      <c r="X8441" s="1"/>
      <c r="Y8441" s="1"/>
      <c r="Z8441" s="620"/>
      <c r="AA8441" s="620"/>
      <c r="AB8441" s="1"/>
      <c r="AC8441" s="1"/>
      <c r="AD8441" s="1"/>
      <c r="AE8441" s="1"/>
      <c r="AF8441" s="1"/>
      <c r="AG8441" s="1"/>
      <c r="AH8441" s="1"/>
      <c r="AI8441" s="1"/>
      <c r="AJ8441" s="1"/>
      <c r="AK8441" s="1"/>
      <c r="AL8441" s="1"/>
      <c r="AM8441" s="1"/>
    </row>
    <row r="8442" spans="1:39" x14ac:dyDescent="0.25">
      <c r="A8442" s="620"/>
      <c r="B8442" s="620"/>
      <c r="C8442" s="620"/>
      <c r="D8442" s="620"/>
      <c r="E8442" s="620"/>
      <c r="F8442" s="620"/>
      <c r="G8442" s="620"/>
      <c r="H8442" s="620"/>
      <c r="I8442" s="620"/>
      <c r="J8442" s="620"/>
      <c r="K8442" s="620"/>
      <c r="L8442" s="620"/>
      <c r="M8442" s="620"/>
      <c r="N8442" s="620"/>
      <c r="O8442" s="620"/>
      <c r="P8442" s="49"/>
      <c r="Q8442" s="1"/>
      <c r="R8442" s="620"/>
      <c r="S8442" s="1"/>
      <c r="T8442" s="1"/>
      <c r="U8442" s="1"/>
      <c r="V8442" s="1"/>
      <c r="W8442" s="1"/>
      <c r="X8442" s="1"/>
      <c r="Y8442" s="1"/>
      <c r="Z8442" s="620"/>
      <c r="AA8442" s="620"/>
      <c r="AB8442" s="1"/>
      <c r="AC8442" s="1"/>
      <c r="AD8442" s="1"/>
      <c r="AE8442" s="1"/>
      <c r="AF8442" s="1"/>
      <c r="AG8442" s="1"/>
      <c r="AH8442" s="1"/>
      <c r="AI8442" s="1"/>
      <c r="AJ8442" s="1"/>
      <c r="AK8442" s="1"/>
      <c r="AL8442" s="1"/>
      <c r="AM8442" s="1"/>
    </row>
    <row r="8443" spans="1:39" x14ac:dyDescent="0.25">
      <c r="A8443" s="620"/>
      <c r="B8443" s="620"/>
      <c r="C8443" s="620"/>
      <c r="D8443" s="620"/>
      <c r="E8443" s="620"/>
      <c r="F8443" s="620"/>
      <c r="G8443" s="620"/>
      <c r="H8443" s="620"/>
      <c r="I8443" s="620"/>
      <c r="J8443" s="620"/>
      <c r="K8443" s="620"/>
      <c r="L8443" s="620"/>
      <c r="M8443" s="620"/>
      <c r="N8443" s="620"/>
      <c r="O8443" s="620"/>
      <c r="P8443" s="49"/>
      <c r="Q8443" s="1"/>
      <c r="R8443" s="620"/>
      <c r="S8443" s="1"/>
      <c r="T8443" s="1"/>
      <c r="U8443" s="1"/>
      <c r="V8443" s="1"/>
      <c r="W8443" s="1"/>
      <c r="X8443" s="1"/>
      <c r="Y8443" s="1"/>
      <c r="Z8443" s="620"/>
      <c r="AA8443" s="620"/>
      <c r="AB8443" s="1"/>
      <c r="AC8443" s="1"/>
      <c r="AD8443" s="1"/>
      <c r="AE8443" s="1"/>
      <c r="AF8443" s="1"/>
      <c r="AG8443" s="1"/>
      <c r="AH8443" s="1"/>
      <c r="AI8443" s="1"/>
      <c r="AJ8443" s="1"/>
      <c r="AK8443" s="1"/>
      <c r="AL8443" s="1"/>
      <c r="AM8443" s="1"/>
    </row>
    <row r="8444" spans="1:39" x14ac:dyDescent="0.25">
      <c r="A8444" s="620"/>
      <c r="B8444" s="620"/>
      <c r="C8444" s="620"/>
      <c r="D8444" s="620"/>
      <c r="E8444" s="620"/>
      <c r="F8444" s="620"/>
      <c r="G8444" s="620"/>
      <c r="H8444" s="620"/>
      <c r="I8444" s="620"/>
      <c r="J8444" s="620"/>
      <c r="K8444" s="620"/>
      <c r="L8444" s="620"/>
      <c r="M8444" s="620"/>
      <c r="N8444" s="620"/>
      <c r="O8444" s="620"/>
      <c r="P8444" s="49"/>
      <c r="Q8444" s="1"/>
      <c r="R8444" s="620"/>
      <c r="S8444" s="1"/>
      <c r="T8444" s="1"/>
      <c r="U8444" s="1"/>
      <c r="V8444" s="1"/>
      <c r="W8444" s="1"/>
      <c r="X8444" s="1"/>
      <c r="Y8444" s="1"/>
      <c r="Z8444" s="620"/>
      <c r="AA8444" s="620"/>
      <c r="AB8444" s="1"/>
      <c r="AC8444" s="1"/>
      <c r="AD8444" s="1"/>
      <c r="AE8444" s="1"/>
      <c r="AF8444" s="1"/>
      <c r="AG8444" s="1"/>
      <c r="AH8444" s="1"/>
      <c r="AI8444" s="1"/>
      <c r="AJ8444" s="1"/>
      <c r="AK8444" s="1"/>
      <c r="AL8444" s="1"/>
      <c r="AM8444" s="1"/>
    </row>
    <row r="8445" spans="1:39" x14ac:dyDescent="0.25">
      <c r="A8445" s="620"/>
      <c r="B8445" s="620"/>
      <c r="C8445" s="620"/>
      <c r="D8445" s="620"/>
      <c r="E8445" s="620"/>
      <c r="F8445" s="620"/>
      <c r="G8445" s="620"/>
      <c r="H8445" s="620"/>
      <c r="I8445" s="620"/>
      <c r="J8445" s="620"/>
      <c r="K8445" s="620"/>
      <c r="L8445" s="620"/>
      <c r="M8445" s="620"/>
      <c r="N8445" s="620"/>
      <c r="O8445" s="620"/>
      <c r="P8445" s="49"/>
      <c r="Q8445" s="1"/>
      <c r="R8445" s="620"/>
      <c r="S8445" s="1"/>
      <c r="T8445" s="1"/>
      <c r="U8445" s="1"/>
      <c r="V8445" s="1"/>
      <c r="W8445" s="1"/>
      <c r="X8445" s="1"/>
      <c r="Y8445" s="1"/>
      <c r="Z8445" s="620"/>
      <c r="AA8445" s="620"/>
      <c r="AB8445" s="1"/>
      <c r="AC8445" s="1"/>
      <c r="AD8445" s="1"/>
      <c r="AE8445" s="1"/>
      <c r="AF8445" s="1"/>
      <c r="AG8445" s="1"/>
      <c r="AH8445" s="1"/>
      <c r="AI8445" s="1"/>
      <c r="AJ8445" s="1"/>
      <c r="AK8445" s="1"/>
      <c r="AL8445" s="1"/>
      <c r="AM8445" s="1"/>
    </row>
    <row r="8446" spans="1:39" x14ac:dyDescent="0.25">
      <c r="A8446" s="620"/>
      <c r="B8446" s="620"/>
      <c r="C8446" s="620"/>
      <c r="D8446" s="620"/>
      <c r="E8446" s="620"/>
      <c r="F8446" s="620"/>
      <c r="G8446" s="620"/>
      <c r="H8446" s="620"/>
      <c r="I8446" s="620"/>
      <c r="J8446" s="620"/>
      <c r="K8446" s="620"/>
      <c r="L8446" s="620"/>
      <c r="M8446" s="620"/>
      <c r="N8446" s="620"/>
      <c r="O8446" s="620"/>
      <c r="P8446" s="49"/>
      <c r="Q8446" s="1"/>
      <c r="R8446" s="620"/>
      <c r="S8446" s="1"/>
      <c r="T8446" s="1"/>
      <c r="U8446" s="1"/>
      <c r="V8446" s="1"/>
      <c r="W8446" s="1"/>
      <c r="X8446" s="1"/>
      <c r="Y8446" s="1"/>
      <c r="Z8446" s="620"/>
      <c r="AA8446" s="620"/>
      <c r="AB8446" s="1"/>
      <c r="AC8446" s="1"/>
      <c r="AD8446" s="1"/>
      <c r="AE8446" s="1"/>
      <c r="AF8446" s="1"/>
      <c r="AG8446" s="1"/>
      <c r="AH8446" s="1"/>
      <c r="AI8446" s="1"/>
      <c r="AJ8446" s="1"/>
      <c r="AK8446" s="1"/>
      <c r="AL8446" s="1"/>
      <c r="AM8446" s="1"/>
    </row>
    <row r="8447" spans="1:39" x14ac:dyDescent="0.25">
      <c r="A8447" s="620"/>
      <c r="B8447" s="620"/>
      <c r="C8447" s="620"/>
      <c r="D8447" s="620"/>
      <c r="E8447" s="620"/>
      <c r="F8447" s="620"/>
      <c r="G8447" s="620"/>
      <c r="H8447" s="620"/>
      <c r="I8447" s="620"/>
      <c r="J8447" s="620"/>
      <c r="K8447" s="620"/>
      <c r="L8447" s="620"/>
      <c r="M8447" s="620"/>
      <c r="N8447" s="620"/>
      <c r="O8447" s="620"/>
      <c r="P8447" s="49"/>
      <c r="Q8447" s="1"/>
      <c r="R8447" s="620"/>
      <c r="S8447" s="1"/>
      <c r="T8447" s="1"/>
      <c r="U8447" s="1"/>
      <c r="V8447" s="1"/>
      <c r="W8447" s="1"/>
      <c r="X8447" s="1"/>
      <c r="Y8447" s="1"/>
      <c r="Z8447" s="620"/>
      <c r="AA8447" s="620"/>
      <c r="AB8447" s="1"/>
      <c r="AC8447" s="1"/>
      <c r="AD8447" s="1"/>
      <c r="AE8447" s="1"/>
      <c r="AF8447" s="1"/>
      <c r="AG8447" s="1"/>
      <c r="AH8447" s="1"/>
      <c r="AI8447" s="1"/>
      <c r="AJ8447" s="1"/>
      <c r="AK8447" s="1"/>
      <c r="AL8447" s="1"/>
      <c r="AM8447" s="1"/>
    </row>
    <row r="8448" spans="1:39" x14ac:dyDescent="0.25">
      <c r="A8448" s="620"/>
      <c r="B8448" s="620"/>
      <c r="C8448" s="620"/>
      <c r="D8448" s="620"/>
      <c r="E8448" s="620"/>
      <c r="F8448" s="620"/>
      <c r="G8448" s="620"/>
      <c r="H8448" s="620"/>
      <c r="I8448" s="620"/>
      <c r="J8448" s="620"/>
      <c r="K8448" s="620"/>
      <c r="L8448" s="620"/>
      <c r="M8448" s="620"/>
      <c r="N8448" s="620"/>
      <c r="O8448" s="620"/>
      <c r="P8448" s="49"/>
      <c r="Q8448" s="1"/>
      <c r="R8448" s="620"/>
      <c r="S8448" s="1"/>
      <c r="T8448" s="1"/>
      <c r="U8448" s="1"/>
      <c r="V8448" s="1"/>
      <c r="W8448" s="1"/>
      <c r="X8448" s="1"/>
      <c r="Y8448" s="1"/>
      <c r="Z8448" s="620"/>
      <c r="AA8448" s="620"/>
      <c r="AB8448" s="1"/>
      <c r="AC8448" s="1"/>
      <c r="AD8448" s="1"/>
      <c r="AE8448" s="1"/>
      <c r="AF8448" s="1"/>
      <c r="AG8448" s="1"/>
      <c r="AH8448" s="1"/>
      <c r="AI8448" s="1"/>
      <c r="AJ8448" s="1"/>
      <c r="AK8448" s="1"/>
      <c r="AL8448" s="1"/>
      <c r="AM8448" s="1"/>
    </row>
    <row r="8449" spans="1:39" x14ac:dyDescent="0.25">
      <c r="A8449" s="620"/>
      <c r="B8449" s="620"/>
      <c r="C8449" s="620"/>
      <c r="D8449" s="620"/>
      <c r="E8449" s="620"/>
      <c r="F8449" s="620"/>
      <c r="G8449" s="620"/>
      <c r="H8449" s="620"/>
      <c r="I8449" s="620"/>
      <c r="J8449" s="620"/>
      <c r="K8449" s="620"/>
      <c r="L8449" s="620"/>
      <c r="M8449" s="620"/>
      <c r="N8449" s="620"/>
      <c r="O8449" s="620"/>
      <c r="P8449" s="49"/>
      <c r="Q8449" s="1"/>
      <c r="R8449" s="620"/>
      <c r="S8449" s="1"/>
      <c r="T8449" s="1"/>
      <c r="U8449" s="1"/>
      <c r="V8449" s="1"/>
      <c r="W8449" s="1"/>
      <c r="X8449" s="1"/>
      <c r="Y8449" s="1"/>
      <c r="Z8449" s="620"/>
      <c r="AA8449" s="620"/>
      <c r="AB8449" s="1"/>
      <c r="AC8449" s="1"/>
      <c r="AD8449" s="1"/>
      <c r="AE8449" s="1"/>
      <c r="AF8449" s="1"/>
      <c r="AG8449" s="1"/>
      <c r="AH8449" s="1"/>
      <c r="AI8449" s="1"/>
      <c r="AJ8449" s="1"/>
      <c r="AK8449" s="1"/>
      <c r="AL8449" s="1"/>
      <c r="AM8449" s="1"/>
    </row>
    <row r="8450" spans="1:39" x14ac:dyDescent="0.25">
      <c r="A8450" s="620"/>
      <c r="B8450" s="620"/>
      <c r="C8450" s="620"/>
      <c r="D8450" s="620"/>
      <c r="E8450" s="620"/>
      <c r="F8450" s="620"/>
      <c r="G8450" s="620"/>
      <c r="H8450" s="620"/>
      <c r="I8450" s="620"/>
      <c r="J8450" s="620"/>
      <c r="K8450" s="620"/>
      <c r="L8450" s="620"/>
      <c r="M8450" s="620"/>
      <c r="N8450" s="620"/>
      <c r="O8450" s="620"/>
      <c r="P8450" s="49"/>
      <c r="Q8450" s="1"/>
      <c r="R8450" s="620"/>
      <c r="S8450" s="1"/>
      <c r="T8450" s="1"/>
      <c r="U8450" s="1"/>
      <c r="V8450" s="1"/>
      <c r="W8450" s="1"/>
      <c r="X8450" s="1"/>
      <c r="Y8450" s="1"/>
      <c r="Z8450" s="620"/>
      <c r="AA8450" s="620"/>
      <c r="AB8450" s="1"/>
      <c r="AC8450" s="1"/>
      <c r="AD8450" s="1"/>
      <c r="AE8450" s="1"/>
      <c r="AF8450" s="1"/>
      <c r="AG8450" s="1"/>
      <c r="AH8450" s="1"/>
      <c r="AI8450" s="1"/>
      <c r="AJ8450" s="1"/>
      <c r="AK8450" s="1"/>
      <c r="AL8450" s="1"/>
      <c r="AM8450" s="1"/>
    </row>
    <row r="8451" spans="1:39" x14ac:dyDescent="0.25">
      <c r="A8451" s="620"/>
      <c r="B8451" s="620"/>
      <c r="C8451" s="620"/>
      <c r="D8451" s="620"/>
      <c r="E8451" s="620"/>
      <c r="F8451" s="620"/>
      <c r="G8451" s="620"/>
      <c r="H8451" s="620"/>
      <c r="I8451" s="620"/>
      <c r="J8451" s="620"/>
      <c r="K8451" s="620"/>
      <c r="L8451" s="620"/>
      <c r="M8451" s="620"/>
      <c r="N8451" s="620"/>
      <c r="O8451" s="620"/>
      <c r="P8451" s="49"/>
      <c r="Q8451" s="1"/>
      <c r="R8451" s="620"/>
      <c r="S8451" s="1"/>
      <c r="T8451" s="1"/>
      <c r="U8451" s="1"/>
      <c r="V8451" s="1"/>
      <c r="W8451" s="1"/>
      <c r="X8451" s="1"/>
      <c r="Y8451" s="1"/>
      <c r="Z8451" s="620"/>
      <c r="AA8451" s="620"/>
      <c r="AB8451" s="1"/>
      <c r="AC8451" s="1"/>
      <c r="AD8451" s="1"/>
      <c r="AE8451" s="1"/>
      <c r="AF8451" s="1"/>
      <c r="AG8451" s="1"/>
      <c r="AH8451" s="1"/>
      <c r="AI8451" s="1"/>
      <c r="AJ8451" s="1"/>
      <c r="AK8451" s="1"/>
      <c r="AL8451" s="1"/>
      <c r="AM8451" s="1"/>
    </row>
    <row r="8452" spans="1:39" x14ac:dyDescent="0.25">
      <c r="A8452" s="620"/>
      <c r="B8452" s="620"/>
      <c r="C8452" s="620"/>
      <c r="D8452" s="620"/>
      <c r="E8452" s="620"/>
      <c r="F8452" s="620"/>
      <c r="G8452" s="620"/>
      <c r="H8452" s="620"/>
      <c r="I8452" s="620"/>
      <c r="J8452" s="620"/>
      <c r="K8452" s="620"/>
      <c r="L8452" s="620"/>
      <c r="M8452" s="620"/>
      <c r="N8452" s="620"/>
      <c r="O8452" s="620"/>
      <c r="P8452" s="49"/>
      <c r="Q8452" s="1"/>
      <c r="R8452" s="620"/>
      <c r="S8452" s="1"/>
      <c r="T8452" s="1"/>
      <c r="U8452" s="1"/>
      <c r="V8452" s="1"/>
      <c r="W8452" s="1"/>
      <c r="X8452" s="1"/>
      <c r="Y8452" s="1"/>
      <c r="Z8452" s="620"/>
      <c r="AA8452" s="620"/>
      <c r="AB8452" s="1"/>
      <c r="AC8452" s="1"/>
      <c r="AD8452" s="1"/>
      <c r="AE8452" s="1"/>
      <c r="AF8452" s="1"/>
      <c r="AG8452" s="1"/>
      <c r="AH8452" s="1"/>
      <c r="AI8452" s="1"/>
      <c r="AJ8452" s="1"/>
      <c r="AK8452" s="1"/>
      <c r="AL8452" s="1"/>
      <c r="AM8452" s="1"/>
    </row>
    <row r="8453" spans="1:39" x14ac:dyDescent="0.25">
      <c r="A8453" s="620"/>
      <c r="B8453" s="620"/>
      <c r="C8453" s="620"/>
      <c r="D8453" s="620"/>
      <c r="E8453" s="620"/>
      <c r="F8453" s="620"/>
      <c r="G8453" s="620"/>
      <c r="H8453" s="620"/>
      <c r="I8453" s="620"/>
      <c r="J8453" s="620"/>
      <c r="K8453" s="620"/>
      <c r="L8453" s="620"/>
      <c r="M8453" s="620"/>
      <c r="N8453" s="620"/>
      <c r="O8453" s="620"/>
      <c r="P8453" s="49"/>
      <c r="Q8453" s="1"/>
      <c r="R8453" s="620"/>
      <c r="S8453" s="1"/>
      <c r="T8453" s="1"/>
      <c r="U8453" s="1"/>
      <c r="V8453" s="1"/>
      <c r="W8453" s="1"/>
      <c r="X8453" s="1"/>
      <c r="Y8453" s="1"/>
      <c r="Z8453" s="620"/>
      <c r="AA8453" s="620"/>
      <c r="AB8453" s="1"/>
      <c r="AC8453" s="1"/>
      <c r="AD8453" s="1"/>
      <c r="AE8453" s="1"/>
      <c r="AF8453" s="1"/>
      <c r="AG8453" s="1"/>
      <c r="AH8453" s="1"/>
      <c r="AI8453" s="1"/>
      <c r="AJ8453" s="1"/>
      <c r="AK8453" s="1"/>
      <c r="AL8453" s="1"/>
      <c r="AM8453" s="1"/>
    </row>
    <row r="8454" spans="1:39" x14ac:dyDescent="0.25">
      <c r="A8454" s="620"/>
      <c r="B8454" s="620"/>
      <c r="C8454" s="620"/>
      <c r="D8454" s="620"/>
      <c r="E8454" s="620"/>
      <c r="F8454" s="620"/>
      <c r="G8454" s="620"/>
      <c r="H8454" s="620"/>
      <c r="I8454" s="620"/>
      <c r="J8454" s="620"/>
      <c r="K8454" s="620"/>
      <c r="L8454" s="620"/>
      <c r="M8454" s="620"/>
      <c r="N8454" s="620"/>
      <c r="O8454" s="620"/>
      <c r="P8454" s="49"/>
      <c r="Q8454" s="1"/>
      <c r="R8454" s="620"/>
      <c r="S8454" s="1"/>
      <c r="T8454" s="1"/>
      <c r="U8454" s="1"/>
      <c r="V8454" s="1"/>
      <c r="W8454" s="1"/>
      <c r="X8454" s="1"/>
      <c r="Y8454" s="1"/>
      <c r="Z8454" s="620"/>
      <c r="AA8454" s="620"/>
      <c r="AB8454" s="1"/>
      <c r="AC8454" s="1"/>
      <c r="AD8454" s="1"/>
      <c r="AE8454" s="1"/>
      <c r="AF8454" s="1"/>
      <c r="AG8454" s="1"/>
      <c r="AH8454" s="1"/>
      <c r="AI8454" s="1"/>
      <c r="AJ8454" s="1"/>
      <c r="AK8454" s="1"/>
      <c r="AL8454" s="1"/>
      <c r="AM8454" s="1"/>
    </row>
    <row r="8455" spans="1:39" x14ac:dyDescent="0.25">
      <c r="A8455" s="620"/>
      <c r="B8455" s="620"/>
      <c r="C8455" s="620"/>
      <c r="D8455" s="620"/>
      <c r="E8455" s="620"/>
      <c r="F8455" s="620"/>
      <c r="G8455" s="620"/>
      <c r="H8455" s="620"/>
      <c r="I8455" s="620"/>
      <c r="J8455" s="620"/>
      <c r="K8455" s="620"/>
      <c r="L8455" s="620"/>
      <c r="M8455" s="620"/>
      <c r="N8455" s="620"/>
      <c r="O8455" s="620"/>
      <c r="P8455" s="49"/>
      <c r="Q8455" s="1"/>
      <c r="R8455" s="620"/>
      <c r="S8455" s="1"/>
      <c r="T8455" s="1"/>
      <c r="U8455" s="1"/>
      <c r="V8455" s="1"/>
      <c r="W8455" s="1"/>
      <c r="X8455" s="1"/>
      <c r="Y8455" s="1"/>
      <c r="Z8455" s="620"/>
      <c r="AA8455" s="620"/>
      <c r="AB8455" s="1"/>
      <c r="AC8455" s="1"/>
      <c r="AD8455" s="1"/>
      <c r="AE8455" s="1"/>
      <c r="AF8455" s="1"/>
      <c r="AG8455" s="1"/>
      <c r="AH8455" s="1"/>
      <c r="AI8455" s="1"/>
      <c r="AJ8455" s="1"/>
      <c r="AK8455" s="1"/>
      <c r="AL8455" s="1"/>
      <c r="AM8455" s="1"/>
    </row>
    <row r="8456" spans="1:39" x14ac:dyDescent="0.25">
      <c r="A8456" s="620"/>
      <c r="B8456" s="620"/>
      <c r="C8456" s="620"/>
      <c r="D8456" s="620"/>
      <c r="E8456" s="620"/>
      <c r="F8456" s="620"/>
      <c r="G8456" s="620"/>
      <c r="H8456" s="620"/>
      <c r="I8456" s="620"/>
      <c r="J8456" s="620"/>
      <c r="K8456" s="620"/>
      <c r="L8456" s="620"/>
      <c r="M8456" s="620"/>
      <c r="N8456" s="620"/>
      <c r="O8456" s="620"/>
      <c r="P8456" s="49"/>
      <c r="Q8456" s="1"/>
      <c r="R8456" s="620"/>
      <c r="S8456" s="1"/>
      <c r="T8456" s="1"/>
      <c r="U8456" s="1"/>
      <c r="V8456" s="1"/>
      <c r="W8456" s="1"/>
      <c r="X8456" s="1"/>
      <c r="Y8456" s="1"/>
      <c r="Z8456" s="620"/>
      <c r="AA8456" s="620"/>
      <c r="AB8456" s="1"/>
      <c r="AC8456" s="1"/>
      <c r="AD8456" s="1"/>
      <c r="AE8456" s="1"/>
      <c r="AF8456" s="1"/>
      <c r="AG8456" s="1"/>
      <c r="AH8456" s="1"/>
      <c r="AI8456" s="1"/>
      <c r="AJ8456" s="1"/>
      <c r="AK8456" s="1"/>
      <c r="AL8456" s="1"/>
      <c r="AM8456" s="1"/>
    </row>
    <row r="8457" spans="1:39" x14ac:dyDescent="0.25">
      <c r="A8457" s="620"/>
      <c r="B8457" s="620"/>
      <c r="C8457" s="620"/>
      <c r="D8457" s="620"/>
      <c r="E8457" s="620"/>
      <c r="F8457" s="620"/>
      <c r="G8457" s="620"/>
      <c r="H8457" s="620"/>
      <c r="I8457" s="620"/>
      <c r="J8457" s="620"/>
      <c r="K8457" s="620"/>
      <c r="L8457" s="620"/>
      <c r="M8457" s="620"/>
      <c r="N8457" s="620"/>
      <c r="O8457" s="620"/>
      <c r="P8457" s="49"/>
      <c r="Q8457" s="1"/>
      <c r="R8457" s="620"/>
      <c r="S8457" s="1"/>
      <c r="T8457" s="1"/>
      <c r="U8457" s="1"/>
      <c r="V8457" s="1"/>
      <c r="W8457" s="1"/>
      <c r="X8457" s="1"/>
      <c r="Y8457" s="1"/>
      <c r="Z8457" s="620"/>
      <c r="AA8457" s="620"/>
      <c r="AB8457" s="1"/>
      <c r="AC8457" s="1"/>
      <c r="AD8457" s="1"/>
      <c r="AE8457" s="1"/>
      <c r="AF8457" s="1"/>
      <c r="AG8457" s="1"/>
      <c r="AH8457" s="1"/>
      <c r="AI8457" s="1"/>
      <c r="AJ8457" s="1"/>
      <c r="AK8457" s="1"/>
      <c r="AL8457" s="1"/>
      <c r="AM8457" s="1"/>
    </row>
    <row r="8458" spans="1:39" x14ac:dyDescent="0.25">
      <c r="A8458" s="620"/>
      <c r="B8458" s="620"/>
      <c r="C8458" s="620"/>
      <c r="D8458" s="620"/>
      <c r="E8458" s="620"/>
      <c r="F8458" s="620"/>
      <c r="G8458" s="620"/>
      <c r="H8458" s="620"/>
      <c r="I8458" s="620"/>
      <c r="J8458" s="620"/>
      <c r="K8458" s="620"/>
      <c r="L8458" s="620"/>
      <c r="M8458" s="620"/>
      <c r="N8458" s="620"/>
      <c r="O8458" s="620"/>
      <c r="P8458" s="49"/>
      <c r="Q8458" s="1"/>
      <c r="R8458" s="620"/>
      <c r="S8458" s="1"/>
      <c r="T8458" s="1"/>
      <c r="U8458" s="1"/>
      <c r="V8458" s="1"/>
      <c r="W8458" s="1"/>
      <c r="X8458" s="1"/>
      <c r="Y8458" s="1"/>
      <c r="Z8458" s="620"/>
      <c r="AA8458" s="620"/>
      <c r="AB8458" s="1"/>
      <c r="AC8458" s="1"/>
      <c r="AD8458" s="1"/>
      <c r="AE8458" s="1"/>
      <c r="AF8458" s="1"/>
      <c r="AG8458" s="1"/>
      <c r="AH8458" s="1"/>
      <c r="AI8458" s="1"/>
      <c r="AJ8458" s="1"/>
      <c r="AK8458" s="1"/>
      <c r="AL8458" s="1"/>
      <c r="AM8458" s="1"/>
    </row>
    <row r="8459" spans="1:39" x14ac:dyDescent="0.25">
      <c r="A8459" s="620"/>
      <c r="B8459" s="620"/>
      <c r="C8459" s="620"/>
      <c r="D8459" s="620"/>
      <c r="E8459" s="620"/>
      <c r="F8459" s="620"/>
      <c r="G8459" s="620"/>
      <c r="H8459" s="620"/>
      <c r="I8459" s="620"/>
      <c r="J8459" s="620"/>
      <c r="K8459" s="620"/>
      <c r="L8459" s="620"/>
      <c r="M8459" s="620"/>
      <c r="N8459" s="620"/>
      <c r="O8459" s="620"/>
      <c r="P8459" s="49"/>
      <c r="Q8459" s="1"/>
      <c r="R8459" s="620"/>
      <c r="S8459" s="1"/>
      <c r="T8459" s="1"/>
      <c r="U8459" s="1"/>
      <c r="V8459" s="1"/>
      <c r="W8459" s="1"/>
      <c r="X8459" s="1"/>
      <c r="Y8459" s="1"/>
      <c r="Z8459" s="620"/>
      <c r="AA8459" s="620"/>
      <c r="AB8459" s="1"/>
      <c r="AC8459" s="1"/>
      <c r="AD8459" s="1"/>
      <c r="AE8459" s="1"/>
      <c r="AF8459" s="1"/>
      <c r="AG8459" s="1"/>
      <c r="AH8459" s="1"/>
      <c r="AI8459" s="1"/>
      <c r="AJ8459" s="1"/>
      <c r="AK8459" s="1"/>
      <c r="AL8459" s="1"/>
      <c r="AM8459" s="1"/>
    </row>
    <row r="8460" spans="1:39" x14ac:dyDescent="0.25">
      <c r="A8460" s="620"/>
      <c r="B8460" s="620"/>
      <c r="C8460" s="620"/>
      <c r="D8460" s="620"/>
      <c r="E8460" s="620"/>
      <c r="F8460" s="620"/>
      <c r="G8460" s="620"/>
      <c r="H8460" s="620"/>
      <c r="I8460" s="620"/>
      <c r="J8460" s="620"/>
      <c r="K8460" s="620"/>
      <c r="L8460" s="620"/>
      <c r="M8460" s="620"/>
      <c r="N8460" s="620"/>
      <c r="O8460" s="620"/>
      <c r="P8460" s="49"/>
      <c r="Q8460" s="1"/>
      <c r="R8460" s="620"/>
      <c r="S8460" s="1"/>
      <c r="T8460" s="1"/>
      <c r="U8460" s="1"/>
      <c r="V8460" s="1"/>
      <c r="W8460" s="1"/>
      <c r="X8460" s="1"/>
      <c r="Y8460" s="1"/>
      <c r="Z8460" s="620"/>
      <c r="AA8460" s="620"/>
      <c r="AB8460" s="1"/>
      <c r="AC8460" s="1"/>
      <c r="AD8460" s="1"/>
      <c r="AE8460" s="1"/>
      <c r="AF8460" s="1"/>
      <c r="AG8460" s="1"/>
      <c r="AH8460" s="1"/>
      <c r="AI8460" s="1"/>
      <c r="AJ8460" s="1"/>
      <c r="AK8460" s="1"/>
      <c r="AL8460" s="1"/>
      <c r="AM8460" s="1"/>
    </row>
    <row r="8461" spans="1:39" x14ac:dyDescent="0.25">
      <c r="A8461" s="620"/>
      <c r="B8461" s="620"/>
      <c r="C8461" s="620"/>
      <c r="D8461" s="620"/>
      <c r="E8461" s="620"/>
      <c r="F8461" s="620"/>
      <c r="G8461" s="620"/>
      <c r="H8461" s="620"/>
      <c r="I8461" s="620"/>
      <c r="J8461" s="620"/>
      <c r="K8461" s="620"/>
      <c r="L8461" s="620"/>
      <c r="M8461" s="620"/>
      <c r="N8461" s="620"/>
      <c r="O8461" s="620"/>
      <c r="P8461" s="49"/>
      <c r="Q8461" s="1"/>
      <c r="R8461" s="620"/>
      <c r="S8461" s="1"/>
      <c r="T8461" s="1"/>
      <c r="U8461" s="1"/>
      <c r="V8461" s="1"/>
      <c r="W8461" s="1"/>
      <c r="X8461" s="1"/>
      <c r="Y8461" s="1"/>
      <c r="Z8461" s="620"/>
      <c r="AA8461" s="620"/>
      <c r="AB8461" s="1"/>
      <c r="AC8461" s="1"/>
      <c r="AD8461" s="1"/>
      <c r="AE8461" s="1"/>
      <c r="AF8461" s="1"/>
      <c r="AG8461" s="1"/>
      <c r="AH8461" s="1"/>
      <c r="AI8461" s="1"/>
      <c r="AJ8461" s="1"/>
      <c r="AK8461" s="1"/>
      <c r="AL8461" s="1"/>
      <c r="AM8461" s="1"/>
    </row>
    <row r="8462" spans="1:39" x14ac:dyDescent="0.25">
      <c r="A8462" s="620"/>
      <c r="B8462" s="620"/>
      <c r="C8462" s="620"/>
      <c r="D8462" s="620"/>
      <c r="E8462" s="620"/>
      <c r="F8462" s="620"/>
      <c r="G8462" s="620"/>
      <c r="H8462" s="620"/>
      <c r="I8462" s="620"/>
      <c r="J8462" s="620"/>
      <c r="K8462" s="620"/>
      <c r="L8462" s="620"/>
      <c r="M8462" s="620"/>
      <c r="N8462" s="620"/>
      <c r="O8462" s="620"/>
      <c r="P8462" s="49"/>
      <c r="Q8462" s="1"/>
      <c r="R8462" s="620"/>
      <c r="S8462" s="1"/>
      <c r="T8462" s="1"/>
      <c r="U8462" s="1"/>
      <c r="V8462" s="1"/>
      <c r="W8462" s="1"/>
      <c r="X8462" s="1"/>
      <c r="Y8462" s="1"/>
      <c r="Z8462" s="620"/>
      <c r="AA8462" s="620"/>
      <c r="AB8462" s="1"/>
      <c r="AC8462" s="1"/>
      <c r="AD8462" s="1"/>
      <c r="AE8462" s="1"/>
      <c r="AF8462" s="1"/>
      <c r="AG8462" s="1"/>
      <c r="AH8462" s="1"/>
      <c r="AI8462" s="1"/>
      <c r="AJ8462" s="1"/>
      <c r="AK8462" s="1"/>
      <c r="AL8462" s="1"/>
      <c r="AM8462" s="1"/>
    </row>
    <row r="8463" spans="1:39" x14ac:dyDescent="0.25">
      <c r="A8463" s="620"/>
      <c r="B8463" s="620"/>
      <c r="C8463" s="620"/>
      <c r="D8463" s="620"/>
      <c r="E8463" s="620"/>
      <c r="F8463" s="620"/>
      <c r="G8463" s="620"/>
      <c r="H8463" s="620"/>
      <c r="I8463" s="620"/>
      <c r="J8463" s="620"/>
      <c r="K8463" s="620"/>
      <c r="L8463" s="620"/>
      <c r="M8463" s="620"/>
      <c r="N8463" s="620"/>
      <c r="O8463" s="620"/>
      <c r="P8463" s="49"/>
      <c r="Q8463" s="1"/>
      <c r="R8463" s="620"/>
      <c r="S8463" s="1"/>
      <c r="T8463" s="1"/>
      <c r="U8463" s="1"/>
      <c r="V8463" s="1"/>
      <c r="W8463" s="1"/>
      <c r="X8463" s="1"/>
      <c r="Y8463" s="1"/>
      <c r="Z8463" s="620"/>
      <c r="AA8463" s="620"/>
      <c r="AB8463" s="1"/>
      <c r="AC8463" s="1"/>
      <c r="AD8463" s="1"/>
      <c r="AE8463" s="1"/>
      <c r="AF8463" s="1"/>
      <c r="AG8463" s="1"/>
      <c r="AH8463" s="1"/>
      <c r="AI8463" s="1"/>
      <c r="AJ8463" s="1"/>
      <c r="AK8463" s="1"/>
      <c r="AL8463" s="1"/>
      <c r="AM8463" s="1"/>
    </row>
    <row r="8464" spans="1:39" x14ac:dyDescent="0.25">
      <c r="A8464" s="620"/>
      <c r="B8464" s="620"/>
      <c r="C8464" s="620"/>
      <c r="D8464" s="620"/>
      <c r="E8464" s="620"/>
      <c r="F8464" s="620"/>
      <c r="G8464" s="620"/>
      <c r="H8464" s="620"/>
      <c r="I8464" s="620"/>
      <c r="J8464" s="620"/>
      <c r="K8464" s="620"/>
      <c r="L8464" s="620"/>
      <c r="M8464" s="620"/>
      <c r="N8464" s="620"/>
      <c r="O8464" s="620"/>
      <c r="P8464" s="49"/>
      <c r="Q8464" s="1"/>
      <c r="R8464" s="620"/>
      <c r="S8464" s="1"/>
      <c r="T8464" s="1"/>
      <c r="U8464" s="1"/>
      <c r="V8464" s="1"/>
      <c r="W8464" s="1"/>
      <c r="X8464" s="1"/>
      <c r="Y8464" s="1"/>
      <c r="Z8464" s="620"/>
      <c r="AA8464" s="620"/>
      <c r="AB8464" s="1"/>
      <c r="AC8464" s="1"/>
      <c r="AD8464" s="1"/>
      <c r="AE8464" s="1"/>
      <c r="AF8464" s="1"/>
      <c r="AG8464" s="1"/>
      <c r="AH8464" s="1"/>
      <c r="AI8464" s="1"/>
      <c r="AJ8464" s="1"/>
      <c r="AK8464" s="1"/>
      <c r="AL8464" s="1"/>
      <c r="AM8464" s="1"/>
    </row>
    <row r="8465" spans="1:39" x14ac:dyDescent="0.25">
      <c r="A8465" s="620"/>
      <c r="B8465" s="620"/>
      <c r="C8465" s="620"/>
      <c r="D8465" s="620"/>
      <c r="E8465" s="620"/>
      <c r="F8465" s="620"/>
      <c r="G8465" s="620"/>
      <c r="H8465" s="620"/>
      <c r="I8465" s="620"/>
      <c r="J8465" s="620"/>
      <c r="K8465" s="620"/>
      <c r="L8465" s="620"/>
      <c r="M8465" s="620"/>
      <c r="N8465" s="620"/>
      <c r="O8465" s="620"/>
      <c r="P8465" s="49"/>
      <c r="Q8465" s="1"/>
      <c r="R8465" s="620"/>
      <c r="S8465" s="1"/>
      <c r="T8465" s="1"/>
      <c r="U8465" s="1"/>
      <c r="V8465" s="1"/>
      <c r="W8465" s="1"/>
      <c r="X8465" s="1"/>
      <c r="Y8465" s="1"/>
      <c r="Z8465" s="620"/>
      <c r="AA8465" s="620"/>
      <c r="AB8465" s="1"/>
      <c r="AC8465" s="1"/>
      <c r="AD8465" s="1"/>
      <c r="AE8465" s="1"/>
      <c r="AF8465" s="1"/>
      <c r="AG8465" s="1"/>
      <c r="AH8465" s="1"/>
      <c r="AI8465" s="1"/>
      <c r="AJ8465" s="1"/>
      <c r="AK8465" s="1"/>
      <c r="AL8465" s="1"/>
      <c r="AM8465" s="1"/>
    </row>
    <row r="8466" spans="1:39" x14ac:dyDescent="0.25">
      <c r="A8466" s="620"/>
      <c r="B8466" s="620"/>
      <c r="C8466" s="620"/>
      <c r="D8466" s="620"/>
      <c r="E8466" s="620"/>
      <c r="F8466" s="620"/>
      <c r="G8466" s="620"/>
      <c r="H8466" s="620"/>
      <c r="I8466" s="620"/>
      <c r="J8466" s="620"/>
      <c r="K8466" s="620"/>
      <c r="L8466" s="620"/>
      <c r="M8466" s="620"/>
      <c r="N8466" s="620"/>
      <c r="O8466" s="620"/>
      <c r="P8466" s="49"/>
      <c r="Q8466" s="1"/>
      <c r="R8466" s="620"/>
      <c r="S8466" s="1"/>
      <c r="T8466" s="1"/>
      <c r="U8466" s="1"/>
      <c r="V8466" s="1"/>
      <c r="W8466" s="1"/>
      <c r="X8466" s="1"/>
      <c r="Y8466" s="1"/>
      <c r="Z8466" s="620"/>
      <c r="AA8466" s="620"/>
      <c r="AB8466" s="1"/>
      <c r="AC8466" s="1"/>
      <c r="AD8466" s="1"/>
      <c r="AE8466" s="1"/>
      <c r="AF8466" s="1"/>
      <c r="AG8466" s="1"/>
      <c r="AH8466" s="1"/>
      <c r="AI8466" s="1"/>
      <c r="AJ8466" s="1"/>
      <c r="AK8466" s="1"/>
      <c r="AL8466" s="1"/>
      <c r="AM8466" s="1"/>
    </row>
    <row r="8467" spans="1:39" x14ac:dyDescent="0.25">
      <c r="A8467" s="620"/>
      <c r="B8467" s="620"/>
      <c r="C8467" s="620"/>
      <c r="D8467" s="620"/>
      <c r="E8467" s="620"/>
      <c r="F8467" s="620"/>
      <c r="G8467" s="620"/>
      <c r="H8467" s="620"/>
      <c r="I8467" s="620"/>
      <c r="J8467" s="620"/>
      <c r="K8467" s="620"/>
      <c r="L8467" s="620"/>
      <c r="M8467" s="620"/>
      <c r="N8467" s="620"/>
      <c r="O8467" s="620"/>
      <c r="P8467" s="49"/>
      <c r="Q8467" s="1"/>
      <c r="R8467" s="620"/>
      <c r="S8467" s="1"/>
      <c r="T8467" s="1"/>
      <c r="U8467" s="1"/>
      <c r="V8467" s="1"/>
      <c r="W8467" s="1"/>
      <c r="X8467" s="1"/>
      <c r="Y8467" s="1"/>
      <c r="Z8467" s="620"/>
      <c r="AA8467" s="620"/>
      <c r="AB8467" s="1"/>
      <c r="AC8467" s="1"/>
      <c r="AD8467" s="1"/>
      <c r="AE8467" s="1"/>
      <c r="AF8467" s="1"/>
      <c r="AG8467" s="1"/>
      <c r="AH8467" s="1"/>
      <c r="AI8467" s="1"/>
      <c r="AJ8467" s="1"/>
      <c r="AK8467" s="1"/>
      <c r="AL8467" s="1"/>
      <c r="AM8467" s="1"/>
    </row>
    <row r="8468" spans="1:39" x14ac:dyDescent="0.25">
      <c r="A8468" s="620"/>
      <c r="B8468" s="620"/>
      <c r="C8468" s="620"/>
      <c r="D8468" s="620"/>
      <c r="E8468" s="620"/>
      <c r="F8468" s="620"/>
      <c r="G8468" s="620"/>
      <c r="H8468" s="620"/>
      <c r="I8468" s="620"/>
      <c r="J8468" s="620"/>
      <c r="K8468" s="620"/>
      <c r="L8468" s="620"/>
      <c r="M8468" s="620"/>
      <c r="N8468" s="620"/>
      <c r="O8468" s="620"/>
      <c r="P8468" s="49"/>
      <c r="Q8468" s="1"/>
      <c r="R8468" s="620"/>
      <c r="S8468" s="1"/>
      <c r="T8468" s="1"/>
      <c r="U8468" s="1"/>
      <c r="V8468" s="1"/>
      <c r="W8468" s="1"/>
      <c r="X8468" s="1"/>
      <c r="Y8468" s="1"/>
      <c r="Z8468" s="620"/>
      <c r="AA8468" s="620"/>
      <c r="AB8468" s="1"/>
      <c r="AC8468" s="1"/>
      <c r="AD8468" s="1"/>
      <c r="AE8468" s="1"/>
      <c r="AF8468" s="1"/>
      <c r="AG8468" s="1"/>
      <c r="AH8468" s="1"/>
      <c r="AI8468" s="1"/>
      <c r="AJ8468" s="1"/>
      <c r="AK8468" s="1"/>
      <c r="AL8468" s="1"/>
      <c r="AM8468" s="1"/>
    </row>
    <row r="8469" spans="1:39" x14ac:dyDescent="0.25">
      <c r="A8469" s="620"/>
      <c r="B8469" s="620"/>
      <c r="C8469" s="620"/>
      <c r="D8469" s="620"/>
      <c r="E8469" s="620"/>
      <c r="F8469" s="620"/>
      <c r="G8469" s="620"/>
      <c r="H8469" s="620"/>
      <c r="I8469" s="620"/>
      <c r="J8469" s="620"/>
      <c r="K8469" s="620"/>
      <c r="L8469" s="620"/>
      <c r="M8469" s="620"/>
      <c r="N8469" s="620"/>
      <c r="O8469" s="620"/>
      <c r="P8469" s="49"/>
      <c r="Q8469" s="1"/>
      <c r="R8469" s="620"/>
      <c r="S8469" s="1"/>
      <c r="T8469" s="1"/>
      <c r="U8469" s="1"/>
      <c r="V8469" s="1"/>
      <c r="W8469" s="1"/>
      <c r="X8469" s="1"/>
      <c r="Y8469" s="1"/>
      <c r="Z8469" s="620"/>
      <c r="AA8469" s="620"/>
      <c r="AB8469" s="1"/>
      <c r="AC8469" s="1"/>
      <c r="AD8469" s="1"/>
      <c r="AE8469" s="1"/>
      <c r="AF8469" s="1"/>
      <c r="AG8469" s="1"/>
      <c r="AH8469" s="1"/>
      <c r="AI8469" s="1"/>
      <c r="AJ8469" s="1"/>
      <c r="AK8469" s="1"/>
      <c r="AL8469" s="1"/>
      <c r="AM8469" s="1"/>
    </row>
    <row r="8470" spans="1:39" x14ac:dyDescent="0.25">
      <c r="A8470" s="620"/>
      <c r="B8470" s="620"/>
      <c r="C8470" s="620"/>
      <c r="D8470" s="620"/>
      <c r="E8470" s="620"/>
      <c r="F8470" s="620"/>
      <c r="G8470" s="620"/>
      <c r="H8470" s="620"/>
      <c r="I8470" s="620"/>
      <c r="J8470" s="620"/>
      <c r="K8470" s="620"/>
      <c r="L8470" s="620"/>
      <c r="M8470" s="620"/>
      <c r="N8470" s="620"/>
      <c r="O8470" s="620"/>
      <c r="P8470" s="49"/>
      <c r="Q8470" s="1"/>
      <c r="R8470" s="620"/>
      <c r="S8470" s="1"/>
      <c r="T8470" s="1"/>
      <c r="U8470" s="1"/>
      <c r="V8470" s="1"/>
      <c r="W8470" s="1"/>
      <c r="X8470" s="1"/>
      <c r="Y8470" s="1"/>
      <c r="Z8470" s="620"/>
      <c r="AA8470" s="620"/>
      <c r="AB8470" s="1"/>
      <c r="AC8470" s="1"/>
      <c r="AD8470" s="1"/>
      <c r="AE8470" s="1"/>
      <c r="AF8470" s="1"/>
      <c r="AG8470" s="1"/>
      <c r="AH8470" s="1"/>
      <c r="AI8470" s="1"/>
      <c r="AJ8470" s="1"/>
      <c r="AK8470" s="1"/>
      <c r="AL8470" s="1"/>
      <c r="AM8470" s="1"/>
    </row>
    <row r="8471" spans="1:39" x14ac:dyDescent="0.25">
      <c r="A8471" s="620"/>
      <c r="B8471" s="620"/>
      <c r="C8471" s="620"/>
      <c r="D8471" s="620"/>
      <c r="E8471" s="620"/>
      <c r="F8471" s="620"/>
      <c r="G8471" s="620"/>
      <c r="H8471" s="620"/>
      <c r="I8471" s="620"/>
      <c r="J8471" s="620"/>
      <c r="K8471" s="620"/>
      <c r="L8471" s="620"/>
      <c r="M8471" s="620"/>
      <c r="N8471" s="620"/>
      <c r="O8471" s="620"/>
      <c r="P8471" s="49"/>
      <c r="Q8471" s="1"/>
      <c r="R8471" s="620"/>
      <c r="S8471" s="1"/>
      <c r="T8471" s="1"/>
      <c r="U8471" s="1"/>
      <c r="V8471" s="1"/>
      <c r="W8471" s="1"/>
      <c r="X8471" s="1"/>
      <c r="Y8471" s="1"/>
      <c r="Z8471" s="620"/>
      <c r="AA8471" s="620"/>
      <c r="AB8471" s="1"/>
      <c r="AC8471" s="1"/>
      <c r="AD8471" s="1"/>
      <c r="AE8471" s="1"/>
      <c r="AF8471" s="1"/>
      <c r="AG8471" s="1"/>
      <c r="AH8471" s="1"/>
      <c r="AI8471" s="1"/>
      <c r="AJ8471" s="1"/>
      <c r="AK8471" s="1"/>
      <c r="AL8471" s="1"/>
      <c r="AM8471" s="1"/>
    </row>
    <row r="8472" spans="1:39" x14ac:dyDescent="0.25">
      <c r="A8472" s="620"/>
      <c r="B8472" s="620"/>
      <c r="C8472" s="620"/>
      <c r="D8472" s="620"/>
      <c r="E8472" s="620"/>
      <c r="F8472" s="620"/>
      <c r="G8472" s="620"/>
      <c r="H8472" s="620"/>
      <c r="I8472" s="620"/>
      <c r="J8472" s="620"/>
      <c r="K8472" s="620"/>
      <c r="L8472" s="620"/>
      <c r="M8472" s="620"/>
      <c r="N8472" s="620"/>
      <c r="O8472" s="620"/>
      <c r="P8472" s="49"/>
      <c r="Q8472" s="1"/>
      <c r="R8472" s="620"/>
      <c r="S8472" s="1"/>
      <c r="T8472" s="1"/>
      <c r="U8472" s="1"/>
      <c r="V8472" s="1"/>
      <c r="W8472" s="1"/>
      <c r="X8472" s="1"/>
      <c r="Y8472" s="1"/>
      <c r="Z8472" s="620"/>
      <c r="AA8472" s="620"/>
      <c r="AB8472" s="1"/>
      <c r="AC8472" s="1"/>
      <c r="AD8472" s="1"/>
      <c r="AE8472" s="1"/>
      <c r="AF8472" s="1"/>
      <c r="AG8472" s="1"/>
      <c r="AH8472" s="1"/>
      <c r="AI8472" s="1"/>
      <c r="AJ8472" s="1"/>
      <c r="AK8472" s="1"/>
      <c r="AL8472" s="1"/>
      <c r="AM8472" s="1"/>
    </row>
    <row r="8473" spans="1:39" x14ac:dyDescent="0.25">
      <c r="A8473" s="620"/>
      <c r="B8473" s="620"/>
      <c r="C8473" s="620"/>
      <c r="D8473" s="620"/>
      <c r="E8473" s="620"/>
      <c r="F8473" s="620"/>
      <c r="G8473" s="620"/>
      <c r="H8473" s="620"/>
      <c r="I8473" s="620"/>
      <c r="J8473" s="620"/>
      <c r="K8473" s="620"/>
      <c r="L8473" s="620"/>
      <c r="M8473" s="620"/>
      <c r="N8473" s="620"/>
      <c r="O8473" s="620"/>
      <c r="P8473" s="49"/>
      <c r="Q8473" s="1"/>
      <c r="R8473" s="620"/>
      <c r="S8473" s="1"/>
      <c r="T8473" s="1"/>
      <c r="U8473" s="1"/>
      <c r="V8473" s="1"/>
      <c r="W8473" s="1"/>
      <c r="X8473" s="1"/>
      <c r="Y8473" s="1"/>
      <c r="Z8473" s="620"/>
      <c r="AA8473" s="620"/>
      <c r="AB8473" s="1"/>
      <c r="AC8473" s="1"/>
      <c r="AD8473" s="1"/>
      <c r="AE8473" s="1"/>
      <c r="AF8473" s="1"/>
      <c r="AG8473" s="1"/>
      <c r="AH8473" s="1"/>
      <c r="AI8473" s="1"/>
      <c r="AJ8473" s="1"/>
      <c r="AK8473" s="1"/>
      <c r="AL8473" s="1"/>
      <c r="AM8473" s="1"/>
    </row>
    <row r="8474" spans="1:39" x14ac:dyDescent="0.25">
      <c r="A8474" s="620"/>
      <c r="B8474" s="620"/>
      <c r="C8474" s="620"/>
      <c r="D8474" s="620"/>
      <c r="E8474" s="620"/>
      <c r="F8474" s="620"/>
      <c r="G8474" s="620"/>
      <c r="H8474" s="620"/>
      <c r="I8474" s="620"/>
      <c r="J8474" s="620"/>
      <c r="K8474" s="620"/>
      <c r="L8474" s="620"/>
      <c r="M8474" s="620"/>
      <c r="N8474" s="620"/>
      <c r="O8474" s="620"/>
      <c r="P8474" s="49"/>
      <c r="Q8474" s="1"/>
      <c r="R8474" s="620"/>
      <c r="S8474" s="1"/>
      <c r="T8474" s="1"/>
      <c r="U8474" s="1"/>
      <c r="V8474" s="1"/>
      <c r="W8474" s="1"/>
      <c r="X8474" s="1"/>
      <c r="Y8474" s="1"/>
      <c r="Z8474" s="620"/>
      <c r="AA8474" s="620"/>
      <c r="AB8474" s="1"/>
      <c r="AC8474" s="1"/>
      <c r="AD8474" s="1"/>
      <c r="AE8474" s="1"/>
      <c r="AF8474" s="1"/>
      <c r="AG8474" s="1"/>
      <c r="AH8474" s="1"/>
      <c r="AI8474" s="1"/>
      <c r="AJ8474" s="1"/>
      <c r="AK8474" s="1"/>
      <c r="AL8474" s="1"/>
      <c r="AM8474" s="1"/>
    </row>
    <row r="8475" spans="1:39" x14ac:dyDescent="0.25">
      <c r="A8475" s="620"/>
      <c r="B8475" s="620"/>
      <c r="C8475" s="620"/>
      <c r="D8475" s="620"/>
      <c r="E8475" s="620"/>
      <c r="F8475" s="620"/>
      <c r="G8475" s="620"/>
      <c r="H8475" s="620"/>
      <c r="I8475" s="620"/>
      <c r="J8475" s="620"/>
      <c r="K8475" s="620"/>
      <c r="L8475" s="620"/>
      <c r="M8475" s="620"/>
      <c r="N8475" s="620"/>
      <c r="O8475" s="620"/>
      <c r="P8475" s="49"/>
      <c r="Q8475" s="1"/>
      <c r="R8475" s="620"/>
      <c r="S8475" s="1"/>
      <c r="T8475" s="1"/>
      <c r="U8475" s="1"/>
      <c r="V8475" s="1"/>
      <c r="W8475" s="1"/>
      <c r="X8475" s="1"/>
      <c r="Y8475" s="1"/>
      <c r="Z8475" s="620"/>
      <c r="AA8475" s="620"/>
      <c r="AB8475" s="1"/>
      <c r="AC8475" s="1"/>
      <c r="AD8475" s="1"/>
      <c r="AE8475" s="1"/>
      <c r="AF8475" s="1"/>
      <c r="AG8475" s="1"/>
      <c r="AH8475" s="1"/>
      <c r="AI8475" s="1"/>
      <c r="AJ8475" s="1"/>
      <c r="AK8475" s="1"/>
      <c r="AL8475" s="1"/>
      <c r="AM8475" s="1"/>
    </row>
    <row r="8476" spans="1:39" x14ac:dyDescent="0.25">
      <c r="A8476" s="620"/>
      <c r="B8476" s="620"/>
      <c r="C8476" s="620"/>
      <c r="D8476" s="620"/>
      <c r="E8476" s="620"/>
      <c r="F8476" s="620"/>
      <c r="G8476" s="620"/>
      <c r="H8476" s="620"/>
      <c r="I8476" s="620"/>
      <c r="J8476" s="620"/>
      <c r="K8476" s="620"/>
      <c r="L8476" s="620"/>
      <c r="M8476" s="620"/>
      <c r="N8476" s="620"/>
      <c r="O8476" s="620"/>
      <c r="P8476" s="49"/>
      <c r="Q8476" s="1"/>
      <c r="R8476" s="620"/>
      <c r="S8476" s="1"/>
      <c r="T8476" s="1"/>
      <c r="U8476" s="1"/>
      <c r="V8476" s="1"/>
      <c r="W8476" s="1"/>
      <c r="X8476" s="1"/>
      <c r="Y8476" s="1"/>
      <c r="Z8476" s="620"/>
      <c r="AA8476" s="620"/>
      <c r="AB8476" s="1"/>
      <c r="AC8476" s="1"/>
      <c r="AD8476" s="1"/>
      <c r="AE8476" s="1"/>
      <c r="AF8476" s="1"/>
      <c r="AG8476" s="1"/>
      <c r="AH8476" s="1"/>
      <c r="AI8476" s="1"/>
      <c r="AJ8476" s="1"/>
      <c r="AK8476" s="1"/>
      <c r="AL8476" s="1"/>
      <c r="AM8476" s="1"/>
    </row>
    <row r="8477" spans="1:39" x14ac:dyDescent="0.25">
      <c r="A8477" s="620"/>
      <c r="B8477" s="620"/>
      <c r="C8477" s="620"/>
      <c r="D8477" s="620"/>
      <c r="E8477" s="620"/>
      <c r="F8477" s="620"/>
      <c r="G8477" s="620"/>
      <c r="H8477" s="620"/>
      <c r="I8477" s="620"/>
      <c r="J8477" s="620"/>
      <c r="K8477" s="620"/>
      <c r="L8477" s="620"/>
      <c r="M8477" s="620"/>
      <c r="N8477" s="620"/>
      <c r="O8477" s="620"/>
      <c r="P8477" s="49"/>
      <c r="Q8477" s="1"/>
      <c r="R8477" s="620"/>
      <c r="S8477" s="1"/>
      <c r="T8477" s="1"/>
      <c r="U8477" s="1"/>
      <c r="V8477" s="1"/>
      <c r="W8477" s="1"/>
      <c r="X8477" s="1"/>
      <c r="Y8477" s="1"/>
      <c r="Z8477" s="620"/>
      <c r="AA8477" s="620"/>
      <c r="AB8477" s="1"/>
      <c r="AC8477" s="1"/>
      <c r="AD8477" s="1"/>
      <c r="AE8477" s="1"/>
      <c r="AF8477" s="1"/>
      <c r="AG8477" s="1"/>
      <c r="AH8477" s="1"/>
      <c r="AI8477" s="1"/>
      <c r="AJ8477" s="1"/>
      <c r="AK8477" s="1"/>
      <c r="AL8477" s="1"/>
      <c r="AM8477" s="1"/>
    </row>
    <row r="8478" spans="1:39" x14ac:dyDescent="0.25">
      <c r="A8478" s="620"/>
      <c r="B8478" s="620"/>
      <c r="C8478" s="620"/>
      <c r="D8478" s="620"/>
      <c r="E8478" s="620"/>
      <c r="F8478" s="620"/>
      <c r="G8478" s="620"/>
      <c r="H8478" s="620"/>
      <c r="I8478" s="620"/>
      <c r="J8478" s="620"/>
      <c r="K8478" s="620"/>
      <c r="L8478" s="620"/>
      <c r="M8478" s="620"/>
      <c r="N8478" s="620"/>
      <c r="O8478" s="620"/>
      <c r="P8478" s="49"/>
      <c r="Q8478" s="1"/>
      <c r="R8478" s="620"/>
      <c r="S8478" s="1"/>
      <c r="T8478" s="1"/>
      <c r="U8478" s="1"/>
      <c r="V8478" s="1"/>
      <c r="W8478" s="1"/>
      <c r="X8478" s="1"/>
      <c r="Y8478" s="1"/>
      <c r="Z8478" s="620"/>
      <c r="AA8478" s="620"/>
      <c r="AB8478" s="1"/>
      <c r="AC8478" s="1"/>
      <c r="AD8478" s="1"/>
      <c r="AE8478" s="1"/>
      <c r="AF8478" s="1"/>
      <c r="AG8478" s="1"/>
      <c r="AH8478" s="1"/>
      <c r="AI8478" s="1"/>
      <c r="AJ8478" s="1"/>
      <c r="AK8478" s="1"/>
      <c r="AL8478" s="1"/>
      <c r="AM8478" s="1"/>
    </row>
    <row r="8479" spans="1:39" x14ac:dyDescent="0.25">
      <c r="A8479" s="620"/>
      <c r="B8479" s="620"/>
      <c r="C8479" s="620"/>
      <c r="D8479" s="620"/>
      <c r="E8479" s="620"/>
      <c r="F8479" s="620"/>
      <c r="G8479" s="620"/>
      <c r="H8479" s="620"/>
      <c r="I8479" s="620"/>
      <c r="J8479" s="620"/>
      <c r="K8479" s="620"/>
      <c r="L8479" s="620"/>
      <c r="M8479" s="620"/>
      <c r="N8479" s="620"/>
      <c r="O8479" s="620"/>
      <c r="P8479" s="49"/>
      <c r="Q8479" s="1"/>
      <c r="R8479" s="620"/>
      <c r="S8479" s="1"/>
      <c r="T8479" s="1"/>
      <c r="U8479" s="1"/>
      <c r="V8479" s="1"/>
      <c r="W8479" s="1"/>
      <c r="X8479" s="1"/>
      <c r="Y8479" s="1"/>
      <c r="Z8479" s="620"/>
      <c r="AA8479" s="620"/>
      <c r="AB8479" s="1"/>
      <c r="AC8479" s="1"/>
      <c r="AD8479" s="1"/>
      <c r="AE8479" s="1"/>
      <c r="AF8479" s="1"/>
      <c r="AG8479" s="1"/>
      <c r="AH8479" s="1"/>
      <c r="AI8479" s="1"/>
      <c r="AJ8479" s="1"/>
      <c r="AK8479" s="1"/>
      <c r="AL8479" s="1"/>
      <c r="AM8479" s="1"/>
    </row>
    <row r="8480" spans="1:39" x14ac:dyDescent="0.25">
      <c r="A8480" s="620"/>
      <c r="B8480" s="620"/>
      <c r="C8480" s="620"/>
      <c r="D8480" s="620"/>
      <c r="E8480" s="620"/>
      <c r="F8480" s="620"/>
      <c r="G8480" s="620"/>
      <c r="H8480" s="620"/>
      <c r="I8480" s="620"/>
      <c r="J8480" s="620"/>
      <c r="K8480" s="620"/>
      <c r="L8480" s="620"/>
      <c r="M8480" s="620"/>
      <c r="N8480" s="620"/>
      <c r="O8480" s="620"/>
      <c r="P8480" s="49"/>
      <c r="Q8480" s="1"/>
      <c r="R8480" s="620"/>
      <c r="S8480" s="1"/>
      <c r="T8480" s="1"/>
      <c r="U8480" s="1"/>
      <c r="V8480" s="1"/>
      <c r="W8480" s="1"/>
      <c r="X8480" s="1"/>
      <c r="Y8480" s="1"/>
      <c r="Z8480" s="620"/>
      <c r="AA8480" s="620"/>
      <c r="AB8480" s="1"/>
      <c r="AC8480" s="1"/>
      <c r="AD8480" s="1"/>
      <c r="AE8480" s="1"/>
      <c r="AF8480" s="1"/>
      <c r="AG8480" s="1"/>
      <c r="AH8480" s="1"/>
      <c r="AI8480" s="1"/>
      <c r="AJ8480" s="1"/>
      <c r="AK8480" s="1"/>
      <c r="AL8480" s="1"/>
      <c r="AM8480" s="1"/>
    </row>
    <row r="8481" spans="1:39" x14ac:dyDescent="0.25">
      <c r="A8481" s="620"/>
      <c r="B8481" s="620"/>
      <c r="C8481" s="620"/>
      <c r="D8481" s="620"/>
      <c r="E8481" s="620"/>
      <c r="F8481" s="620"/>
      <c r="G8481" s="620"/>
      <c r="H8481" s="620"/>
      <c r="I8481" s="620"/>
      <c r="J8481" s="620"/>
      <c r="K8481" s="620"/>
      <c r="L8481" s="620"/>
      <c r="M8481" s="620"/>
      <c r="N8481" s="620"/>
      <c r="O8481" s="620"/>
      <c r="P8481" s="49"/>
      <c r="Q8481" s="1"/>
      <c r="R8481" s="620"/>
      <c r="S8481" s="1"/>
      <c r="T8481" s="1"/>
      <c r="U8481" s="1"/>
      <c r="V8481" s="1"/>
      <c r="W8481" s="1"/>
      <c r="X8481" s="1"/>
      <c r="Y8481" s="1"/>
      <c r="Z8481" s="620"/>
      <c r="AA8481" s="620"/>
      <c r="AB8481" s="1"/>
      <c r="AC8481" s="1"/>
      <c r="AD8481" s="1"/>
      <c r="AE8481" s="1"/>
      <c r="AF8481" s="1"/>
      <c r="AG8481" s="1"/>
      <c r="AH8481" s="1"/>
      <c r="AI8481" s="1"/>
      <c r="AJ8481" s="1"/>
      <c r="AK8481" s="1"/>
      <c r="AL8481" s="1"/>
      <c r="AM8481" s="1"/>
    </row>
    <row r="8482" spans="1:39" x14ac:dyDescent="0.25">
      <c r="A8482" s="620"/>
      <c r="B8482" s="620"/>
      <c r="C8482" s="620"/>
      <c r="D8482" s="620"/>
      <c r="E8482" s="620"/>
      <c r="F8482" s="620"/>
      <c r="G8482" s="620"/>
      <c r="H8482" s="620"/>
      <c r="I8482" s="620"/>
      <c r="J8482" s="620"/>
      <c r="K8482" s="620"/>
      <c r="L8482" s="620"/>
      <c r="M8482" s="620"/>
      <c r="N8482" s="620"/>
      <c r="O8482" s="620"/>
      <c r="P8482" s="49"/>
      <c r="Q8482" s="1"/>
      <c r="R8482" s="620"/>
      <c r="S8482" s="1"/>
      <c r="T8482" s="1"/>
      <c r="U8482" s="1"/>
      <c r="V8482" s="1"/>
      <c r="W8482" s="1"/>
      <c r="X8482" s="1"/>
      <c r="Y8482" s="1"/>
      <c r="Z8482" s="620"/>
      <c r="AA8482" s="620"/>
      <c r="AB8482" s="1"/>
      <c r="AC8482" s="1"/>
      <c r="AD8482" s="1"/>
      <c r="AE8482" s="1"/>
      <c r="AF8482" s="1"/>
      <c r="AG8482" s="1"/>
      <c r="AH8482" s="1"/>
      <c r="AI8482" s="1"/>
      <c r="AJ8482" s="1"/>
      <c r="AK8482" s="1"/>
      <c r="AL8482" s="1"/>
      <c r="AM8482" s="1"/>
    </row>
    <row r="8483" spans="1:39" x14ac:dyDescent="0.25">
      <c r="A8483" s="620"/>
      <c r="B8483" s="620"/>
      <c r="C8483" s="620"/>
      <c r="D8483" s="620"/>
      <c r="E8483" s="620"/>
      <c r="F8483" s="620"/>
      <c r="G8483" s="620"/>
      <c r="H8483" s="620"/>
      <c r="I8483" s="620"/>
      <c r="J8483" s="620"/>
      <c r="K8483" s="620"/>
      <c r="L8483" s="620"/>
      <c r="M8483" s="620"/>
      <c r="N8483" s="620"/>
      <c r="O8483" s="620"/>
      <c r="P8483" s="49"/>
      <c r="Q8483" s="1"/>
      <c r="R8483" s="620"/>
      <c r="S8483" s="1"/>
      <c r="T8483" s="1"/>
      <c r="U8483" s="1"/>
      <c r="V8483" s="1"/>
      <c r="W8483" s="1"/>
      <c r="X8483" s="1"/>
      <c r="Y8483" s="1"/>
      <c r="Z8483" s="620"/>
      <c r="AA8483" s="620"/>
      <c r="AB8483" s="1"/>
      <c r="AC8483" s="1"/>
      <c r="AD8483" s="1"/>
      <c r="AE8483" s="1"/>
      <c r="AF8483" s="1"/>
      <c r="AG8483" s="1"/>
      <c r="AH8483" s="1"/>
      <c r="AI8483" s="1"/>
      <c r="AJ8483" s="1"/>
      <c r="AK8483" s="1"/>
      <c r="AL8483" s="1"/>
      <c r="AM8483" s="1"/>
    </row>
    <row r="8484" spans="1:39" x14ac:dyDescent="0.25">
      <c r="A8484" s="620"/>
      <c r="B8484" s="620"/>
      <c r="C8484" s="620"/>
      <c r="D8484" s="620"/>
      <c r="E8484" s="620"/>
      <c r="F8484" s="620"/>
      <c r="G8484" s="620"/>
      <c r="H8484" s="620"/>
      <c r="I8484" s="620"/>
      <c r="J8484" s="620"/>
      <c r="K8484" s="620"/>
      <c r="L8484" s="620"/>
      <c r="M8484" s="620"/>
      <c r="N8484" s="620"/>
      <c r="O8484" s="620"/>
      <c r="P8484" s="49"/>
      <c r="Q8484" s="1"/>
      <c r="R8484" s="620"/>
      <c r="S8484" s="1"/>
      <c r="T8484" s="1"/>
      <c r="U8484" s="1"/>
      <c r="V8484" s="1"/>
      <c r="W8484" s="1"/>
      <c r="X8484" s="1"/>
      <c r="Y8484" s="1"/>
      <c r="Z8484" s="620"/>
      <c r="AA8484" s="620"/>
      <c r="AB8484" s="1"/>
      <c r="AC8484" s="1"/>
      <c r="AD8484" s="1"/>
      <c r="AE8484" s="1"/>
      <c r="AF8484" s="1"/>
      <c r="AG8484" s="1"/>
      <c r="AH8484" s="1"/>
      <c r="AI8484" s="1"/>
      <c r="AJ8484" s="1"/>
      <c r="AK8484" s="1"/>
      <c r="AL8484" s="1"/>
      <c r="AM8484" s="1"/>
    </row>
    <row r="8485" spans="1:39" x14ac:dyDescent="0.25">
      <c r="A8485" s="620"/>
      <c r="B8485" s="620"/>
      <c r="C8485" s="620"/>
      <c r="D8485" s="620"/>
      <c r="E8485" s="620"/>
      <c r="F8485" s="620"/>
      <c r="G8485" s="620"/>
      <c r="H8485" s="620"/>
      <c r="I8485" s="620"/>
      <c r="J8485" s="620"/>
      <c r="K8485" s="620"/>
      <c r="L8485" s="620"/>
      <c r="M8485" s="620"/>
      <c r="N8485" s="620"/>
      <c r="O8485" s="620"/>
      <c r="P8485" s="49"/>
      <c r="Q8485" s="1"/>
      <c r="R8485" s="620"/>
      <c r="S8485" s="1"/>
      <c r="T8485" s="1"/>
      <c r="U8485" s="1"/>
      <c r="V8485" s="1"/>
      <c r="W8485" s="1"/>
      <c r="X8485" s="1"/>
      <c r="Y8485" s="1"/>
      <c r="Z8485" s="620"/>
      <c r="AA8485" s="620"/>
      <c r="AB8485" s="1"/>
      <c r="AC8485" s="1"/>
      <c r="AD8485" s="1"/>
      <c r="AE8485" s="1"/>
      <c r="AF8485" s="1"/>
      <c r="AG8485" s="1"/>
      <c r="AH8485" s="1"/>
      <c r="AI8485" s="1"/>
      <c r="AJ8485" s="1"/>
      <c r="AK8485" s="1"/>
      <c r="AL8485" s="1"/>
      <c r="AM8485" s="1"/>
    </row>
    <row r="8486" spans="1:39" x14ac:dyDescent="0.25">
      <c r="A8486" s="620"/>
      <c r="B8486" s="620"/>
      <c r="C8486" s="620"/>
      <c r="D8486" s="620"/>
      <c r="E8486" s="620"/>
      <c r="F8486" s="620"/>
      <c r="G8486" s="620"/>
      <c r="H8486" s="620"/>
      <c r="I8486" s="620"/>
      <c r="J8486" s="620"/>
      <c r="K8486" s="620"/>
      <c r="L8486" s="620"/>
      <c r="M8486" s="620"/>
      <c r="N8486" s="620"/>
      <c r="O8486" s="620"/>
      <c r="P8486" s="49"/>
      <c r="Q8486" s="1"/>
      <c r="R8486" s="620"/>
      <c r="S8486" s="1"/>
      <c r="T8486" s="1"/>
      <c r="U8486" s="1"/>
      <c r="V8486" s="1"/>
      <c r="W8486" s="1"/>
      <c r="X8486" s="1"/>
      <c r="Y8486" s="1"/>
      <c r="Z8486" s="620"/>
      <c r="AA8486" s="620"/>
      <c r="AB8486" s="1"/>
      <c r="AC8486" s="1"/>
      <c r="AD8486" s="1"/>
      <c r="AE8486" s="1"/>
      <c r="AF8486" s="1"/>
      <c r="AG8486" s="1"/>
      <c r="AH8486" s="1"/>
      <c r="AI8486" s="1"/>
      <c r="AJ8486" s="1"/>
      <c r="AK8486" s="1"/>
      <c r="AL8486" s="1"/>
      <c r="AM8486" s="1"/>
    </row>
    <row r="8487" spans="1:39" x14ac:dyDescent="0.25">
      <c r="A8487" s="620"/>
      <c r="B8487" s="620"/>
      <c r="C8487" s="620"/>
      <c r="D8487" s="620"/>
      <c r="E8487" s="620"/>
      <c r="F8487" s="620"/>
      <c r="G8487" s="620"/>
      <c r="H8487" s="620"/>
      <c r="I8487" s="620"/>
      <c r="J8487" s="620"/>
      <c r="K8487" s="620"/>
      <c r="L8487" s="620"/>
      <c r="M8487" s="620"/>
      <c r="N8487" s="620"/>
      <c r="O8487" s="620"/>
      <c r="P8487" s="49"/>
      <c r="Q8487" s="1"/>
      <c r="R8487" s="620"/>
      <c r="S8487" s="1"/>
      <c r="T8487" s="1"/>
      <c r="U8487" s="1"/>
      <c r="V8487" s="1"/>
      <c r="W8487" s="1"/>
      <c r="X8487" s="1"/>
      <c r="Y8487" s="1"/>
      <c r="Z8487" s="620"/>
      <c r="AA8487" s="620"/>
      <c r="AB8487" s="1"/>
      <c r="AC8487" s="1"/>
      <c r="AD8487" s="1"/>
      <c r="AE8487" s="1"/>
      <c r="AF8487" s="1"/>
      <c r="AG8487" s="1"/>
      <c r="AH8487" s="1"/>
      <c r="AI8487" s="1"/>
      <c r="AJ8487" s="1"/>
      <c r="AK8487" s="1"/>
      <c r="AL8487" s="1"/>
      <c r="AM8487" s="1"/>
    </row>
    <row r="8488" spans="1:39" x14ac:dyDescent="0.25">
      <c r="A8488" s="620"/>
      <c r="B8488" s="620"/>
      <c r="C8488" s="620"/>
      <c r="D8488" s="620"/>
      <c r="E8488" s="620"/>
      <c r="F8488" s="620"/>
      <c r="G8488" s="620"/>
      <c r="H8488" s="620"/>
      <c r="I8488" s="620"/>
      <c r="J8488" s="620"/>
      <c r="K8488" s="620"/>
      <c r="L8488" s="620"/>
      <c r="M8488" s="620"/>
      <c r="N8488" s="620"/>
      <c r="O8488" s="620"/>
      <c r="P8488" s="49"/>
      <c r="Q8488" s="1"/>
      <c r="R8488" s="620"/>
      <c r="S8488" s="1"/>
      <c r="T8488" s="1"/>
      <c r="U8488" s="1"/>
      <c r="V8488" s="1"/>
      <c r="W8488" s="1"/>
      <c r="X8488" s="1"/>
      <c r="Y8488" s="1"/>
      <c r="Z8488" s="620"/>
      <c r="AA8488" s="620"/>
      <c r="AB8488" s="1"/>
      <c r="AC8488" s="1"/>
      <c r="AD8488" s="1"/>
      <c r="AE8488" s="1"/>
      <c r="AF8488" s="1"/>
      <c r="AG8488" s="1"/>
      <c r="AH8488" s="1"/>
      <c r="AI8488" s="1"/>
      <c r="AJ8488" s="1"/>
      <c r="AK8488" s="1"/>
      <c r="AL8488" s="1"/>
      <c r="AM8488" s="1"/>
    </row>
    <row r="8489" spans="1:39" x14ac:dyDescent="0.25">
      <c r="A8489" s="620"/>
      <c r="B8489" s="620"/>
      <c r="C8489" s="620"/>
      <c r="D8489" s="620"/>
      <c r="E8489" s="620"/>
      <c r="F8489" s="620"/>
      <c r="G8489" s="620"/>
      <c r="H8489" s="620"/>
      <c r="I8489" s="620"/>
      <c r="J8489" s="620"/>
      <c r="K8489" s="620"/>
      <c r="L8489" s="620"/>
      <c r="M8489" s="620"/>
      <c r="N8489" s="620"/>
      <c r="O8489" s="620"/>
      <c r="P8489" s="49"/>
      <c r="Q8489" s="1"/>
      <c r="R8489" s="620"/>
      <c r="S8489" s="1"/>
      <c r="T8489" s="1"/>
      <c r="U8489" s="1"/>
      <c r="V8489" s="1"/>
      <c r="W8489" s="1"/>
      <c r="X8489" s="1"/>
      <c r="Y8489" s="1"/>
      <c r="Z8489" s="620"/>
      <c r="AA8489" s="620"/>
      <c r="AB8489" s="1"/>
      <c r="AC8489" s="1"/>
      <c r="AD8489" s="1"/>
      <c r="AE8489" s="1"/>
      <c r="AF8489" s="1"/>
      <c r="AG8489" s="1"/>
      <c r="AH8489" s="1"/>
      <c r="AI8489" s="1"/>
      <c r="AJ8489" s="1"/>
      <c r="AK8489" s="1"/>
      <c r="AL8489" s="1"/>
      <c r="AM8489" s="1"/>
    </row>
    <row r="8490" spans="1:39" x14ac:dyDescent="0.25">
      <c r="A8490" s="620"/>
      <c r="B8490" s="620"/>
      <c r="C8490" s="620"/>
      <c r="D8490" s="620"/>
      <c r="E8490" s="620"/>
      <c r="F8490" s="620"/>
      <c r="G8490" s="620"/>
      <c r="H8490" s="620"/>
      <c r="I8490" s="620"/>
      <c r="J8490" s="620"/>
      <c r="K8490" s="620"/>
      <c r="L8490" s="620"/>
      <c r="M8490" s="620"/>
      <c r="N8490" s="620"/>
      <c r="O8490" s="620"/>
      <c r="P8490" s="49"/>
      <c r="Q8490" s="1"/>
      <c r="R8490" s="620"/>
      <c r="S8490" s="1"/>
      <c r="T8490" s="1"/>
      <c r="U8490" s="1"/>
      <c r="V8490" s="1"/>
      <c r="W8490" s="1"/>
      <c r="X8490" s="1"/>
      <c r="Y8490" s="1"/>
      <c r="Z8490" s="620"/>
      <c r="AA8490" s="620"/>
      <c r="AB8490" s="1"/>
      <c r="AC8490" s="1"/>
      <c r="AD8490" s="1"/>
      <c r="AE8490" s="1"/>
      <c r="AF8490" s="1"/>
      <c r="AG8490" s="1"/>
      <c r="AH8490" s="1"/>
      <c r="AI8490" s="1"/>
      <c r="AJ8490" s="1"/>
      <c r="AK8490" s="1"/>
      <c r="AL8490" s="1"/>
      <c r="AM8490" s="1"/>
    </row>
    <row r="8491" spans="1:39" x14ac:dyDescent="0.25">
      <c r="A8491" s="620"/>
      <c r="B8491" s="620"/>
      <c r="C8491" s="620"/>
      <c r="D8491" s="620"/>
      <c r="E8491" s="620"/>
      <c r="F8491" s="620"/>
      <c r="G8491" s="620"/>
      <c r="H8491" s="620"/>
      <c r="I8491" s="620"/>
      <c r="J8491" s="620"/>
      <c r="K8491" s="620"/>
      <c r="L8491" s="620"/>
      <c r="M8491" s="620"/>
      <c r="N8491" s="620"/>
      <c r="O8491" s="620"/>
      <c r="P8491" s="49"/>
      <c r="Q8491" s="1"/>
      <c r="R8491" s="620"/>
      <c r="S8491" s="1"/>
      <c r="T8491" s="1"/>
      <c r="U8491" s="1"/>
      <c r="V8491" s="1"/>
      <c r="W8491" s="1"/>
      <c r="X8491" s="1"/>
      <c r="Y8491" s="1"/>
      <c r="Z8491" s="620"/>
      <c r="AA8491" s="620"/>
      <c r="AB8491" s="1"/>
      <c r="AC8491" s="1"/>
      <c r="AD8491" s="1"/>
      <c r="AE8491" s="1"/>
      <c r="AF8491" s="1"/>
      <c r="AG8491" s="1"/>
      <c r="AH8491" s="1"/>
      <c r="AI8491" s="1"/>
      <c r="AJ8491" s="1"/>
      <c r="AK8491" s="1"/>
      <c r="AL8491" s="1"/>
      <c r="AM8491" s="1"/>
    </row>
    <row r="8492" spans="1:39" x14ac:dyDescent="0.25">
      <c r="A8492" s="620"/>
      <c r="B8492" s="620"/>
      <c r="C8492" s="620"/>
      <c r="D8492" s="620"/>
      <c r="E8492" s="620"/>
      <c r="F8492" s="620"/>
      <c r="G8492" s="620"/>
      <c r="H8492" s="620"/>
      <c r="I8492" s="620"/>
      <c r="J8492" s="620"/>
      <c r="K8492" s="620"/>
      <c r="L8492" s="620"/>
      <c r="M8492" s="620"/>
      <c r="N8492" s="620"/>
      <c r="O8492" s="620"/>
      <c r="P8492" s="49"/>
      <c r="Q8492" s="1"/>
      <c r="R8492" s="620"/>
      <c r="S8492" s="1"/>
      <c r="T8492" s="1"/>
      <c r="U8492" s="1"/>
      <c r="V8492" s="1"/>
      <c r="W8492" s="1"/>
      <c r="X8492" s="1"/>
      <c r="Y8492" s="1"/>
      <c r="Z8492" s="620"/>
      <c r="AA8492" s="620"/>
      <c r="AB8492" s="1"/>
      <c r="AC8492" s="1"/>
      <c r="AD8492" s="1"/>
      <c r="AE8492" s="1"/>
      <c r="AF8492" s="1"/>
      <c r="AG8492" s="1"/>
      <c r="AH8492" s="1"/>
      <c r="AI8492" s="1"/>
      <c r="AJ8492" s="1"/>
      <c r="AK8492" s="1"/>
      <c r="AL8492" s="1"/>
      <c r="AM8492" s="1"/>
    </row>
    <row r="8493" spans="1:39" x14ac:dyDescent="0.25">
      <c r="A8493" s="620"/>
      <c r="B8493" s="620"/>
      <c r="C8493" s="620"/>
      <c r="D8493" s="620"/>
      <c r="E8493" s="620"/>
      <c r="F8493" s="620"/>
      <c r="G8493" s="620"/>
      <c r="H8493" s="620"/>
      <c r="I8493" s="620"/>
      <c r="J8493" s="620"/>
      <c r="K8493" s="620"/>
      <c r="L8493" s="620"/>
      <c r="M8493" s="620"/>
      <c r="N8493" s="620"/>
      <c r="O8493" s="620"/>
      <c r="P8493" s="49"/>
      <c r="Q8493" s="1"/>
      <c r="R8493" s="620"/>
      <c r="S8493" s="1"/>
      <c r="T8493" s="1"/>
      <c r="U8493" s="1"/>
      <c r="V8493" s="1"/>
      <c r="W8493" s="1"/>
      <c r="X8493" s="1"/>
      <c r="Y8493" s="1"/>
      <c r="Z8493" s="620"/>
      <c r="AA8493" s="620"/>
      <c r="AB8493" s="1"/>
      <c r="AC8493" s="1"/>
      <c r="AD8493" s="1"/>
      <c r="AE8493" s="1"/>
      <c r="AF8493" s="1"/>
      <c r="AG8493" s="1"/>
      <c r="AH8493" s="1"/>
      <c r="AI8493" s="1"/>
      <c r="AJ8493" s="1"/>
      <c r="AK8493" s="1"/>
      <c r="AL8493" s="1"/>
      <c r="AM8493" s="1"/>
    </row>
    <row r="8494" spans="1:39" x14ac:dyDescent="0.25">
      <c r="A8494" s="620"/>
      <c r="B8494" s="620"/>
      <c r="C8494" s="620"/>
      <c r="D8494" s="620"/>
      <c r="E8494" s="620"/>
      <c r="F8494" s="620"/>
      <c r="G8494" s="620"/>
      <c r="H8494" s="620"/>
      <c r="I8494" s="620"/>
      <c r="J8494" s="620"/>
      <c r="K8494" s="620"/>
      <c r="L8494" s="620"/>
      <c r="M8494" s="620"/>
      <c r="N8494" s="620"/>
      <c r="O8494" s="620"/>
      <c r="P8494" s="49"/>
      <c r="Q8494" s="1"/>
      <c r="R8494" s="620"/>
      <c r="S8494" s="1"/>
      <c r="T8494" s="1"/>
      <c r="U8494" s="1"/>
      <c r="V8494" s="1"/>
      <c r="W8494" s="1"/>
      <c r="X8494" s="1"/>
      <c r="Y8494" s="1"/>
      <c r="Z8494" s="620"/>
      <c r="AA8494" s="620"/>
      <c r="AB8494" s="1"/>
      <c r="AC8494" s="1"/>
      <c r="AD8494" s="1"/>
      <c r="AE8494" s="1"/>
      <c r="AF8494" s="1"/>
      <c r="AG8494" s="1"/>
      <c r="AH8494" s="1"/>
      <c r="AI8494" s="1"/>
      <c r="AJ8494" s="1"/>
      <c r="AK8494" s="1"/>
      <c r="AL8494" s="1"/>
      <c r="AM8494" s="1"/>
    </row>
    <row r="8495" spans="1:39" x14ac:dyDescent="0.25">
      <c r="A8495" s="620"/>
      <c r="B8495" s="620"/>
      <c r="C8495" s="620"/>
      <c r="D8495" s="620"/>
      <c r="E8495" s="620"/>
      <c r="F8495" s="620"/>
      <c r="G8495" s="620"/>
      <c r="H8495" s="620"/>
      <c r="I8495" s="620"/>
      <c r="J8495" s="620"/>
      <c r="K8495" s="620"/>
      <c r="L8495" s="620"/>
      <c r="M8495" s="620"/>
      <c r="N8495" s="620"/>
      <c r="O8495" s="620"/>
      <c r="P8495" s="49"/>
      <c r="Q8495" s="1"/>
      <c r="R8495" s="620"/>
      <c r="S8495" s="1"/>
      <c r="T8495" s="1"/>
      <c r="U8495" s="1"/>
      <c r="V8495" s="1"/>
      <c r="W8495" s="1"/>
      <c r="X8495" s="1"/>
      <c r="Y8495" s="1"/>
      <c r="Z8495" s="620"/>
      <c r="AA8495" s="620"/>
      <c r="AB8495" s="1"/>
      <c r="AC8495" s="1"/>
      <c r="AD8495" s="1"/>
      <c r="AE8495" s="1"/>
      <c r="AF8495" s="1"/>
      <c r="AG8495" s="1"/>
      <c r="AH8495" s="1"/>
      <c r="AI8495" s="1"/>
      <c r="AJ8495" s="1"/>
      <c r="AK8495" s="1"/>
      <c r="AL8495" s="1"/>
      <c r="AM8495" s="1"/>
    </row>
    <row r="8496" spans="1:39" x14ac:dyDescent="0.25">
      <c r="A8496" s="620"/>
      <c r="B8496" s="620"/>
      <c r="C8496" s="620"/>
      <c r="D8496" s="620"/>
      <c r="E8496" s="620"/>
      <c r="F8496" s="620"/>
      <c r="G8496" s="620"/>
      <c r="H8496" s="620"/>
      <c r="I8496" s="620"/>
      <c r="J8496" s="620"/>
      <c r="K8496" s="620"/>
      <c r="L8496" s="620"/>
      <c r="M8496" s="620"/>
      <c r="N8496" s="620"/>
      <c r="O8496" s="620"/>
      <c r="P8496" s="49"/>
      <c r="Q8496" s="1"/>
      <c r="R8496" s="620"/>
      <c r="S8496" s="1"/>
      <c r="T8496" s="1"/>
      <c r="U8496" s="1"/>
      <c r="V8496" s="1"/>
      <c r="W8496" s="1"/>
      <c r="X8496" s="1"/>
      <c r="Y8496" s="1"/>
      <c r="Z8496" s="620"/>
      <c r="AA8496" s="620"/>
      <c r="AB8496" s="1"/>
      <c r="AC8496" s="1"/>
      <c r="AD8496" s="1"/>
      <c r="AE8496" s="1"/>
      <c r="AF8496" s="1"/>
      <c r="AG8496" s="1"/>
      <c r="AH8496" s="1"/>
      <c r="AI8496" s="1"/>
      <c r="AJ8496" s="1"/>
      <c r="AK8496" s="1"/>
      <c r="AL8496" s="1"/>
      <c r="AM8496" s="1"/>
    </row>
    <row r="8497" spans="1:39" x14ac:dyDescent="0.25">
      <c r="A8497" s="620"/>
      <c r="B8497" s="620"/>
      <c r="C8497" s="620"/>
      <c r="D8497" s="620"/>
      <c r="E8497" s="620"/>
      <c r="F8497" s="620"/>
      <c r="G8497" s="620"/>
      <c r="H8497" s="620"/>
      <c r="I8497" s="620"/>
      <c r="J8497" s="620"/>
      <c r="K8497" s="620"/>
      <c r="L8497" s="620"/>
      <c r="M8497" s="620"/>
      <c r="N8497" s="620"/>
      <c r="O8497" s="620"/>
      <c r="P8497" s="49"/>
      <c r="Q8497" s="1"/>
      <c r="R8497" s="620"/>
      <c r="S8497" s="1"/>
      <c r="T8497" s="1"/>
      <c r="U8497" s="1"/>
      <c r="V8497" s="1"/>
      <c r="W8497" s="1"/>
      <c r="X8497" s="1"/>
      <c r="Y8497" s="1"/>
      <c r="Z8497" s="620"/>
      <c r="AA8497" s="620"/>
      <c r="AB8497" s="1"/>
      <c r="AC8497" s="1"/>
      <c r="AD8497" s="1"/>
      <c r="AE8497" s="1"/>
      <c r="AF8497" s="1"/>
      <c r="AG8497" s="1"/>
      <c r="AH8497" s="1"/>
      <c r="AI8497" s="1"/>
      <c r="AJ8497" s="1"/>
      <c r="AK8497" s="1"/>
      <c r="AL8497" s="1"/>
      <c r="AM8497" s="1"/>
    </row>
    <row r="8498" spans="1:39" x14ac:dyDescent="0.25">
      <c r="A8498" s="620"/>
      <c r="B8498" s="620"/>
      <c r="C8498" s="620"/>
      <c r="D8498" s="620"/>
      <c r="E8498" s="620"/>
      <c r="F8498" s="620"/>
      <c r="G8498" s="620"/>
      <c r="H8498" s="620"/>
      <c r="I8498" s="620"/>
      <c r="J8498" s="620"/>
      <c r="K8498" s="620"/>
      <c r="L8498" s="620"/>
      <c r="M8498" s="620"/>
      <c r="N8498" s="620"/>
      <c r="O8498" s="620"/>
      <c r="P8498" s="49"/>
      <c r="Q8498" s="1"/>
      <c r="R8498" s="620"/>
      <c r="S8498" s="1"/>
      <c r="T8498" s="1"/>
      <c r="U8498" s="1"/>
      <c r="V8498" s="1"/>
      <c r="W8498" s="1"/>
      <c r="X8498" s="1"/>
      <c r="Y8498" s="1"/>
      <c r="Z8498" s="620"/>
      <c r="AA8498" s="620"/>
      <c r="AB8498" s="1"/>
      <c r="AC8498" s="1"/>
      <c r="AD8498" s="1"/>
      <c r="AE8498" s="1"/>
      <c r="AF8498" s="1"/>
      <c r="AG8498" s="1"/>
      <c r="AH8498" s="1"/>
      <c r="AI8498" s="1"/>
      <c r="AJ8498" s="1"/>
      <c r="AK8498" s="1"/>
      <c r="AL8498" s="1"/>
      <c r="AM8498" s="1"/>
    </row>
    <row r="8499" spans="1:39" x14ac:dyDescent="0.25">
      <c r="A8499" s="620"/>
      <c r="B8499" s="620"/>
      <c r="C8499" s="620"/>
      <c r="D8499" s="620"/>
      <c r="E8499" s="620"/>
      <c r="F8499" s="620"/>
      <c r="G8499" s="620"/>
      <c r="H8499" s="620"/>
      <c r="I8499" s="620"/>
      <c r="J8499" s="620"/>
      <c r="K8499" s="620"/>
      <c r="L8499" s="620"/>
      <c r="M8499" s="620"/>
      <c r="N8499" s="620"/>
      <c r="O8499" s="620"/>
      <c r="P8499" s="49"/>
      <c r="Q8499" s="1"/>
      <c r="R8499" s="620"/>
      <c r="S8499" s="1"/>
      <c r="T8499" s="1"/>
      <c r="U8499" s="1"/>
      <c r="V8499" s="1"/>
      <c r="W8499" s="1"/>
      <c r="X8499" s="1"/>
      <c r="Y8499" s="1"/>
      <c r="Z8499" s="620"/>
      <c r="AA8499" s="620"/>
      <c r="AB8499" s="1"/>
      <c r="AC8499" s="1"/>
      <c r="AD8499" s="1"/>
      <c r="AE8499" s="1"/>
      <c r="AF8499" s="1"/>
      <c r="AG8499" s="1"/>
      <c r="AH8499" s="1"/>
      <c r="AI8499" s="1"/>
      <c r="AJ8499" s="1"/>
      <c r="AK8499" s="1"/>
      <c r="AL8499" s="1"/>
      <c r="AM8499" s="1"/>
    </row>
    <row r="8500" spans="1:39" x14ac:dyDescent="0.25">
      <c r="A8500" s="620"/>
      <c r="B8500" s="620"/>
      <c r="C8500" s="620"/>
      <c r="D8500" s="620"/>
      <c r="E8500" s="620"/>
      <c r="F8500" s="620"/>
      <c r="G8500" s="620"/>
      <c r="H8500" s="620"/>
      <c r="I8500" s="620"/>
      <c r="J8500" s="620"/>
      <c r="K8500" s="620"/>
      <c r="L8500" s="620"/>
      <c r="M8500" s="620"/>
      <c r="N8500" s="620"/>
      <c r="O8500" s="620"/>
      <c r="P8500" s="49"/>
      <c r="Q8500" s="1"/>
      <c r="R8500" s="620"/>
      <c r="S8500" s="1"/>
      <c r="T8500" s="1"/>
      <c r="U8500" s="1"/>
      <c r="V8500" s="1"/>
      <c r="W8500" s="1"/>
      <c r="X8500" s="1"/>
      <c r="Y8500" s="1"/>
      <c r="Z8500" s="620"/>
      <c r="AA8500" s="620"/>
      <c r="AB8500" s="1"/>
      <c r="AC8500" s="1"/>
      <c r="AD8500" s="1"/>
      <c r="AE8500" s="1"/>
      <c r="AF8500" s="1"/>
      <c r="AG8500" s="1"/>
      <c r="AH8500" s="1"/>
      <c r="AI8500" s="1"/>
      <c r="AJ8500" s="1"/>
      <c r="AK8500" s="1"/>
      <c r="AL8500" s="1"/>
      <c r="AM8500" s="1"/>
    </row>
    <row r="8501" spans="1:39" x14ac:dyDescent="0.25">
      <c r="A8501" s="620"/>
      <c r="B8501" s="620"/>
      <c r="C8501" s="620"/>
      <c r="D8501" s="620"/>
      <c r="E8501" s="620"/>
      <c r="F8501" s="620"/>
      <c r="G8501" s="620"/>
      <c r="H8501" s="620"/>
      <c r="I8501" s="620"/>
      <c r="J8501" s="620"/>
      <c r="K8501" s="620"/>
      <c r="L8501" s="620"/>
      <c r="M8501" s="620"/>
      <c r="N8501" s="620"/>
      <c r="O8501" s="620"/>
      <c r="P8501" s="49"/>
      <c r="Q8501" s="1"/>
      <c r="R8501" s="620"/>
      <c r="S8501" s="1"/>
      <c r="T8501" s="1"/>
      <c r="U8501" s="1"/>
      <c r="V8501" s="1"/>
      <c r="W8501" s="1"/>
      <c r="X8501" s="1"/>
      <c r="Y8501" s="1"/>
      <c r="Z8501" s="620"/>
      <c r="AA8501" s="620"/>
      <c r="AB8501" s="1"/>
      <c r="AC8501" s="1"/>
      <c r="AD8501" s="1"/>
      <c r="AE8501" s="1"/>
      <c r="AF8501" s="1"/>
      <c r="AG8501" s="1"/>
      <c r="AH8501" s="1"/>
      <c r="AI8501" s="1"/>
      <c r="AJ8501" s="1"/>
      <c r="AK8501" s="1"/>
      <c r="AL8501" s="1"/>
      <c r="AM8501" s="1"/>
    </row>
    <row r="8502" spans="1:39" x14ac:dyDescent="0.25">
      <c r="A8502" s="620"/>
      <c r="B8502" s="620"/>
      <c r="C8502" s="620"/>
      <c r="D8502" s="620"/>
      <c r="E8502" s="620"/>
      <c r="F8502" s="620"/>
      <c r="G8502" s="620"/>
      <c r="H8502" s="620"/>
      <c r="I8502" s="620"/>
      <c r="J8502" s="620"/>
      <c r="K8502" s="620"/>
      <c r="L8502" s="620"/>
      <c r="M8502" s="620"/>
      <c r="N8502" s="620"/>
      <c r="O8502" s="620"/>
      <c r="P8502" s="49"/>
      <c r="Q8502" s="1"/>
      <c r="R8502" s="620"/>
      <c r="S8502" s="1"/>
      <c r="T8502" s="1"/>
      <c r="U8502" s="1"/>
      <c r="V8502" s="1"/>
      <c r="W8502" s="1"/>
      <c r="X8502" s="1"/>
      <c r="Y8502" s="1"/>
      <c r="Z8502" s="620"/>
      <c r="AA8502" s="620"/>
      <c r="AB8502" s="1"/>
      <c r="AC8502" s="1"/>
      <c r="AD8502" s="1"/>
      <c r="AE8502" s="1"/>
      <c r="AF8502" s="1"/>
      <c r="AG8502" s="1"/>
      <c r="AH8502" s="1"/>
      <c r="AI8502" s="1"/>
      <c r="AJ8502" s="1"/>
      <c r="AK8502" s="1"/>
      <c r="AL8502" s="1"/>
      <c r="AM8502" s="1"/>
    </row>
    <row r="8503" spans="1:39" x14ac:dyDescent="0.25">
      <c r="A8503" s="620"/>
      <c r="B8503" s="620"/>
      <c r="C8503" s="620"/>
      <c r="D8503" s="620"/>
      <c r="E8503" s="620"/>
      <c r="F8503" s="620"/>
      <c r="G8503" s="620"/>
      <c r="H8503" s="620"/>
      <c r="I8503" s="620"/>
      <c r="J8503" s="620"/>
      <c r="K8503" s="620"/>
      <c r="L8503" s="620"/>
      <c r="M8503" s="620"/>
      <c r="N8503" s="620"/>
      <c r="O8503" s="620"/>
      <c r="P8503" s="49"/>
      <c r="Q8503" s="1"/>
      <c r="R8503" s="620"/>
      <c r="S8503" s="1"/>
      <c r="T8503" s="1"/>
      <c r="U8503" s="1"/>
      <c r="V8503" s="1"/>
      <c r="W8503" s="1"/>
      <c r="X8503" s="1"/>
      <c r="Y8503" s="1"/>
      <c r="Z8503" s="620"/>
      <c r="AA8503" s="620"/>
      <c r="AB8503" s="1"/>
      <c r="AC8503" s="1"/>
      <c r="AD8503" s="1"/>
      <c r="AE8503" s="1"/>
      <c r="AF8503" s="1"/>
      <c r="AG8503" s="1"/>
      <c r="AH8503" s="1"/>
      <c r="AI8503" s="1"/>
      <c r="AJ8503" s="1"/>
      <c r="AK8503" s="1"/>
      <c r="AL8503" s="1"/>
      <c r="AM8503" s="1"/>
    </row>
    <row r="8504" spans="1:39" x14ac:dyDescent="0.25">
      <c r="A8504" s="620"/>
      <c r="B8504" s="620"/>
      <c r="C8504" s="620"/>
      <c r="D8504" s="620"/>
      <c r="E8504" s="620"/>
      <c r="F8504" s="620"/>
      <c r="G8504" s="620"/>
      <c r="H8504" s="620"/>
      <c r="I8504" s="620"/>
      <c r="J8504" s="620"/>
      <c r="K8504" s="620"/>
      <c r="L8504" s="620"/>
      <c r="M8504" s="620"/>
      <c r="N8504" s="620"/>
      <c r="O8504" s="620"/>
      <c r="P8504" s="49"/>
      <c r="Q8504" s="1"/>
      <c r="R8504" s="620"/>
      <c r="S8504" s="1"/>
      <c r="T8504" s="1"/>
      <c r="U8504" s="1"/>
      <c r="V8504" s="1"/>
      <c r="W8504" s="1"/>
      <c r="X8504" s="1"/>
      <c r="Y8504" s="1"/>
      <c r="Z8504" s="620"/>
      <c r="AA8504" s="620"/>
      <c r="AB8504" s="1"/>
      <c r="AC8504" s="1"/>
      <c r="AD8504" s="1"/>
      <c r="AE8504" s="1"/>
      <c r="AF8504" s="1"/>
      <c r="AG8504" s="1"/>
      <c r="AH8504" s="1"/>
      <c r="AI8504" s="1"/>
      <c r="AJ8504" s="1"/>
      <c r="AK8504" s="1"/>
      <c r="AL8504" s="1"/>
      <c r="AM8504" s="1"/>
    </row>
    <row r="8505" spans="1:39" x14ac:dyDescent="0.25">
      <c r="A8505" s="620"/>
      <c r="B8505" s="620"/>
      <c r="C8505" s="620"/>
      <c r="D8505" s="620"/>
      <c r="E8505" s="620"/>
      <c r="F8505" s="620"/>
      <c r="G8505" s="620"/>
      <c r="H8505" s="620"/>
      <c r="I8505" s="620"/>
      <c r="J8505" s="620"/>
      <c r="K8505" s="620"/>
      <c r="L8505" s="620"/>
      <c r="M8505" s="620"/>
      <c r="N8505" s="620"/>
      <c r="O8505" s="620"/>
      <c r="P8505" s="49"/>
      <c r="Q8505" s="1"/>
      <c r="R8505" s="620"/>
      <c r="S8505" s="1"/>
      <c r="T8505" s="1"/>
      <c r="U8505" s="1"/>
      <c r="V8505" s="1"/>
      <c r="W8505" s="1"/>
      <c r="X8505" s="1"/>
      <c r="Y8505" s="1"/>
      <c r="Z8505" s="620"/>
      <c r="AA8505" s="620"/>
      <c r="AB8505" s="1"/>
      <c r="AC8505" s="1"/>
      <c r="AD8505" s="1"/>
      <c r="AE8505" s="1"/>
      <c r="AF8505" s="1"/>
      <c r="AG8505" s="1"/>
      <c r="AH8505" s="1"/>
      <c r="AI8505" s="1"/>
      <c r="AJ8505" s="1"/>
      <c r="AK8505" s="1"/>
      <c r="AL8505" s="1"/>
      <c r="AM8505" s="1"/>
    </row>
    <row r="8506" spans="1:39" x14ac:dyDescent="0.25">
      <c r="A8506" s="620"/>
      <c r="B8506" s="620"/>
      <c r="C8506" s="620"/>
      <c r="D8506" s="620"/>
      <c r="E8506" s="620"/>
      <c r="F8506" s="620"/>
      <c r="G8506" s="620"/>
      <c r="H8506" s="620"/>
      <c r="I8506" s="620"/>
      <c r="J8506" s="620"/>
      <c r="K8506" s="620"/>
      <c r="L8506" s="620"/>
      <c r="M8506" s="620"/>
      <c r="N8506" s="620"/>
      <c r="O8506" s="620"/>
      <c r="P8506" s="49"/>
      <c r="Q8506" s="1"/>
      <c r="R8506" s="620"/>
      <c r="S8506" s="1"/>
      <c r="T8506" s="1"/>
      <c r="U8506" s="1"/>
      <c r="V8506" s="1"/>
      <c r="W8506" s="1"/>
      <c r="X8506" s="1"/>
      <c r="Y8506" s="1"/>
      <c r="Z8506" s="620"/>
      <c r="AA8506" s="620"/>
      <c r="AB8506" s="1"/>
      <c r="AC8506" s="1"/>
      <c r="AD8506" s="1"/>
      <c r="AE8506" s="1"/>
      <c r="AF8506" s="1"/>
      <c r="AG8506" s="1"/>
      <c r="AH8506" s="1"/>
      <c r="AI8506" s="1"/>
      <c r="AJ8506" s="1"/>
      <c r="AK8506" s="1"/>
      <c r="AL8506" s="1"/>
      <c r="AM8506" s="1"/>
    </row>
    <row r="8507" spans="1:39" x14ac:dyDescent="0.25">
      <c r="A8507" s="620"/>
      <c r="B8507" s="620"/>
      <c r="C8507" s="620"/>
      <c r="D8507" s="620"/>
      <c r="E8507" s="620"/>
      <c r="F8507" s="620"/>
      <c r="G8507" s="620"/>
      <c r="H8507" s="620"/>
      <c r="I8507" s="620"/>
      <c r="J8507" s="620"/>
      <c r="K8507" s="620"/>
      <c r="L8507" s="620"/>
      <c r="M8507" s="620"/>
      <c r="N8507" s="620"/>
      <c r="O8507" s="620"/>
      <c r="P8507" s="49"/>
      <c r="Q8507" s="1"/>
      <c r="R8507" s="620"/>
      <c r="S8507" s="1"/>
      <c r="T8507" s="1"/>
      <c r="U8507" s="1"/>
      <c r="V8507" s="1"/>
      <c r="W8507" s="1"/>
      <c r="X8507" s="1"/>
      <c r="Y8507" s="1"/>
      <c r="Z8507" s="620"/>
      <c r="AA8507" s="620"/>
      <c r="AB8507" s="1"/>
      <c r="AC8507" s="1"/>
      <c r="AD8507" s="1"/>
      <c r="AE8507" s="1"/>
      <c r="AF8507" s="1"/>
      <c r="AG8507" s="1"/>
      <c r="AH8507" s="1"/>
      <c r="AI8507" s="1"/>
      <c r="AJ8507" s="1"/>
      <c r="AK8507" s="1"/>
      <c r="AL8507" s="1"/>
      <c r="AM8507" s="1"/>
    </row>
    <row r="8508" spans="1:39" x14ac:dyDescent="0.25">
      <c r="A8508" s="620"/>
      <c r="B8508" s="620"/>
      <c r="C8508" s="620"/>
      <c r="D8508" s="620"/>
      <c r="E8508" s="620"/>
      <c r="F8508" s="620"/>
      <c r="G8508" s="620"/>
      <c r="H8508" s="620"/>
      <c r="I8508" s="620"/>
      <c r="J8508" s="620"/>
      <c r="K8508" s="620"/>
      <c r="L8508" s="620"/>
      <c r="M8508" s="620"/>
      <c r="N8508" s="620"/>
      <c r="O8508" s="620"/>
      <c r="P8508" s="49"/>
      <c r="Q8508" s="1"/>
      <c r="R8508" s="620"/>
      <c r="S8508" s="1"/>
      <c r="T8508" s="1"/>
      <c r="U8508" s="1"/>
      <c r="V8508" s="1"/>
      <c r="W8508" s="1"/>
      <c r="X8508" s="1"/>
      <c r="Y8508" s="1"/>
      <c r="Z8508" s="620"/>
      <c r="AA8508" s="620"/>
      <c r="AB8508" s="1"/>
      <c r="AC8508" s="1"/>
      <c r="AD8508" s="1"/>
      <c r="AE8508" s="1"/>
      <c r="AF8508" s="1"/>
      <c r="AG8508" s="1"/>
      <c r="AH8508" s="1"/>
      <c r="AI8508" s="1"/>
      <c r="AJ8508" s="1"/>
      <c r="AK8508" s="1"/>
      <c r="AL8508" s="1"/>
      <c r="AM8508" s="1"/>
    </row>
    <row r="8509" spans="1:39" x14ac:dyDescent="0.25">
      <c r="A8509" s="620"/>
      <c r="B8509" s="620"/>
      <c r="C8509" s="620"/>
      <c r="D8509" s="620"/>
      <c r="E8509" s="620"/>
      <c r="F8509" s="620"/>
      <c r="G8509" s="620"/>
      <c r="H8509" s="620"/>
      <c r="I8509" s="620"/>
      <c r="J8509" s="620"/>
      <c r="K8509" s="620"/>
      <c r="L8509" s="620"/>
      <c r="M8509" s="620"/>
      <c r="N8509" s="620"/>
      <c r="O8509" s="620"/>
      <c r="P8509" s="49"/>
      <c r="Q8509" s="1"/>
      <c r="R8509" s="620"/>
      <c r="S8509" s="1"/>
      <c r="T8509" s="1"/>
      <c r="U8509" s="1"/>
      <c r="V8509" s="1"/>
      <c r="W8509" s="1"/>
      <c r="X8509" s="1"/>
      <c r="Y8509" s="1"/>
      <c r="Z8509" s="620"/>
      <c r="AA8509" s="620"/>
      <c r="AB8509" s="1"/>
      <c r="AC8509" s="1"/>
      <c r="AD8509" s="1"/>
      <c r="AE8509" s="1"/>
      <c r="AF8509" s="1"/>
      <c r="AG8509" s="1"/>
      <c r="AH8509" s="1"/>
      <c r="AI8509" s="1"/>
      <c r="AJ8509" s="1"/>
      <c r="AK8509" s="1"/>
      <c r="AL8509" s="1"/>
      <c r="AM8509" s="1"/>
    </row>
    <row r="8510" spans="1:39" x14ac:dyDescent="0.25">
      <c r="A8510" s="620"/>
      <c r="B8510" s="620"/>
      <c r="C8510" s="620"/>
      <c r="D8510" s="620"/>
      <c r="E8510" s="620"/>
      <c r="F8510" s="620"/>
      <c r="G8510" s="620"/>
      <c r="H8510" s="620"/>
      <c r="I8510" s="620"/>
      <c r="J8510" s="620"/>
      <c r="K8510" s="620"/>
      <c r="L8510" s="620"/>
      <c r="M8510" s="620"/>
      <c r="N8510" s="620"/>
      <c r="O8510" s="620"/>
      <c r="P8510" s="49"/>
      <c r="Q8510" s="1"/>
      <c r="R8510" s="620"/>
      <c r="S8510" s="1"/>
      <c r="T8510" s="1"/>
      <c r="U8510" s="1"/>
      <c r="V8510" s="1"/>
      <c r="W8510" s="1"/>
      <c r="X8510" s="1"/>
      <c r="Y8510" s="1"/>
      <c r="Z8510" s="620"/>
      <c r="AA8510" s="620"/>
      <c r="AB8510" s="1"/>
      <c r="AC8510" s="1"/>
      <c r="AD8510" s="1"/>
      <c r="AE8510" s="1"/>
      <c r="AF8510" s="1"/>
      <c r="AG8510" s="1"/>
      <c r="AH8510" s="1"/>
      <c r="AI8510" s="1"/>
      <c r="AJ8510" s="1"/>
      <c r="AK8510" s="1"/>
      <c r="AL8510" s="1"/>
      <c r="AM8510" s="1"/>
    </row>
    <row r="8511" spans="1:39" x14ac:dyDescent="0.25">
      <c r="A8511" s="620"/>
      <c r="B8511" s="620"/>
      <c r="C8511" s="620"/>
      <c r="D8511" s="620"/>
      <c r="E8511" s="620"/>
      <c r="F8511" s="620"/>
      <c r="G8511" s="620"/>
      <c r="H8511" s="620"/>
      <c r="I8511" s="620"/>
      <c r="J8511" s="620"/>
      <c r="K8511" s="620"/>
      <c r="L8511" s="620"/>
      <c r="M8511" s="620"/>
      <c r="N8511" s="620"/>
      <c r="O8511" s="620"/>
      <c r="P8511" s="49"/>
      <c r="Q8511" s="1"/>
      <c r="R8511" s="620"/>
      <c r="S8511" s="1"/>
      <c r="T8511" s="1"/>
      <c r="U8511" s="1"/>
      <c r="V8511" s="1"/>
      <c r="W8511" s="1"/>
      <c r="X8511" s="1"/>
      <c r="Y8511" s="1"/>
      <c r="Z8511" s="620"/>
      <c r="AA8511" s="620"/>
      <c r="AB8511" s="1"/>
      <c r="AC8511" s="1"/>
      <c r="AD8511" s="1"/>
      <c r="AE8511" s="1"/>
      <c r="AF8511" s="1"/>
      <c r="AG8511" s="1"/>
      <c r="AH8511" s="1"/>
      <c r="AI8511" s="1"/>
      <c r="AJ8511" s="1"/>
      <c r="AK8511" s="1"/>
      <c r="AL8511" s="1"/>
      <c r="AM8511" s="1"/>
    </row>
    <row r="8512" spans="1:39" x14ac:dyDescent="0.25">
      <c r="A8512" s="620"/>
      <c r="B8512" s="620"/>
      <c r="C8512" s="620"/>
      <c r="D8512" s="620"/>
      <c r="E8512" s="620"/>
      <c r="F8512" s="620"/>
      <c r="G8512" s="620"/>
      <c r="H8512" s="620"/>
      <c r="I8512" s="620"/>
      <c r="J8512" s="620"/>
      <c r="K8512" s="620"/>
      <c r="L8512" s="620"/>
      <c r="M8512" s="620"/>
      <c r="N8512" s="620"/>
      <c r="O8512" s="620"/>
      <c r="P8512" s="49"/>
      <c r="Q8512" s="1"/>
      <c r="R8512" s="620"/>
      <c r="S8512" s="1"/>
      <c r="T8512" s="1"/>
      <c r="U8512" s="1"/>
      <c r="V8512" s="1"/>
      <c r="W8512" s="1"/>
      <c r="X8512" s="1"/>
      <c r="Y8512" s="1"/>
      <c r="Z8512" s="620"/>
      <c r="AA8512" s="620"/>
      <c r="AB8512" s="1"/>
      <c r="AC8512" s="1"/>
      <c r="AD8512" s="1"/>
      <c r="AE8512" s="1"/>
      <c r="AF8512" s="1"/>
      <c r="AG8512" s="1"/>
      <c r="AH8512" s="1"/>
      <c r="AI8512" s="1"/>
      <c r="AJ8512" s="1"/>
      <c r="AK8512" s="1"/>
      <c r="AL8512" s="1"/>
      <c r="AM8512" s="1"/>
    </row>
    <row r="8513" spans="1:39" x14ac:dyDescent="0.25">
      <c r="A8513" s="620"/>
      <c r="B8513" s="620"/>
      <c r="C8513" s="620"/>
      <c r="D8513" s="620"/>
      <c r="E8513" s="620"/>
      <c r="F8513" s="620"/>
      <c r="G8513" s="620"/>
      <c r="H8513" s="620"/>
      <c r="I8513" s="620"/>
      <c r="J8513" s="620"/>
      <c r="K8513" s="620"/>
      <c r="L8513" s="620"/>
      <c r="M8513" s="620"/>
      <c r="N8513" s="620"/>
      <c r="O8513" s="620"/>
      <c r="P8513" s="49"/>
      <c r="Q8513" s="1"/>
      <c r="R8513" s="620"/>
      <c r="S8513" s="1"/>
      <c r="T8513" s="1"/>
      <c r="U8513" s="1"/>
      <c r="V8513" s="1"/>
      <c r="W8513" s="1"/>
      <c r="X8513" s="1"/>
      <c r="Y8513" s="1"/>
      <c r="Z8513" s="620"/>
      <c r="AA8513" s="620"/>
      <c r="AB8513" s="1"/>
      <c r="AC8513" s="1"/>
      <c r="AD8513" s="1"/>
      <c r="AE8513" s="1"/>
      <c r="AF8513" s="1"/>
      <c r="AG8513" s="1"/>
      <c r="AH8513" s="1"/>
      <c r="AI8513" s="1"/>
      <c r="AJ8513" s="1"/>
      <c r="AK8513" s="1"/>
      <c r="AL8513" s="1"/>
      <c r="AM8513" s="1"/>
    </row>
    <row r="8514" spans="1:39" x14ac:dyDescent="0.25">
      <c r="A8514" s="620"/>
      <c r="B8514" s="620"/>
      <c r="C8514" s="620"/>
      <c r="D8514" s="620"/>
      <c r="E8514" s="620"/>
      <c r="F8514" s="620"/>
      <c r="G8514" s="620"/>
      <c r="H8514" s="620"/>
      <c r="I8514" s="620"/>
      <c r="J8514" s="620"/>
      <c r="K8514" s="620"/>
      <c r="L8514" s="620"/>
      <c r="M8514" s="620"/>
      <c r="N8514" s="620"/>
      <c r="O8514" s="620"/>
      <c r="P8514" s="49"/>
      <c r="Q8514" s="1"/>
      <c r="R8514" s="620"/>
      <c r="S8514" s="1"/>
      <c r="T8514" s="1"/>
      <c r="U8514" s="1"/>
      <c r="V8514" s="1"/>
      <c r="W8514" s="1"/>
      <c r="X8514" s="1"/>
      <c r="Y8514" s="1"/>
      <c r="Z8514" s="620"/>
      <c r="AA8514" s="620"/>
      <c r="AB8514" s="1"/>
      <c r="AC8514" s="1"/>
      <c r="AD8514" s="1"/>
      <c r="AE8514" s="1"/>
      <c r="AF8514" s="1"/>
      <c r="AG8514" s="1"/>
      <c r="AH8514" s="1"/>
      <c r="AI8514" s="1"/>
      <c r="AJ8514" s="1"/>
      <c r="AK8514" s="1"/>
      <c r="AL8514" s="1"/>
      <c r="AM8514" s="1"/>
    </row>
    <row r="8515" spans="1:39" x14ac:dyDescent="0.25">
      <c r="A8515" s="620"/>
      <c r="B8515" s="620"/>
      <c r="C8515" s="620"/>
      <c r="D8515" s="620"/>
      <c r="E8515" s="620"/>
      <c r="F8515" s="620"/>
      <c r="G8515" s="620"/>
      <c r="H8515" s="620"/>
      <c r="I8515" s="620"/>
      <c r="J8515" s="620"/>
      <c r="K8515" s="620"/>
      <c r="L8515" s="620"/>
      <c r="M8515" s="620"/>
      <c r="N8515" s="620"/>
      <c r="O8515" s="620"/>
      <c r="P8515" s="49"/>
      <c r="Q8515" s="1"/>
      <c r="R8515" s="620"/>
      <c r="S8515" s="1"/>
      <c r="T8515" s="1"/>
      <c r="U8515" s="1"/>
      <c r="V8515" s="1"/>
      <c r="W8515" s="1"/>
      <c r="X8515" s="1"/>
      <c r="Y8515" s="1"/>
      <c r="Z8515" s="620"/>
      <c r="AA8515" s="620"/>
      <c r="AB8515" s="1"/>
      <c r="AC8515" s="1"/>
      <c r="AD8515" s="1"/>
      <c r="AE8515" s="1"/>
      <c r="AF8515" s="1"/>
      <c r="AG8515" s="1"/>
      <c r="AH8515" s="1"/>
      <c r="AI8515" s="1"/>
      <c r="AJ8515" s="1"/>
      <c r="AK8515" s="1"/>
      <c r="AL8515" s="1"/>
      <c r="AM8515" s="1"/>
    </row>
    <row r="8516" spans="1:39" x14ac:dyDescent="0.25">
      <c r="A8516" s="620"/>
      <c r="B8516" s="620"/>
      <c r="C8516" s="620"/>
      <c r="D8516" s="620"/>
      <c r="E8516" s="620"/>
      <c r="F8516" s="620"/>
      <c r="G8516" s="620"/>
      <c r="H8516" s="620"/>
      <c r="I8516" s="620"/>
      <c r="J8516" s="620"/>
      <c r="K8516" s="620"/>
      <c r="L8516" s="620"/>
      <c r="M8516" s="620"/>
      <c r="N8516" s="620"/>
      <c r="O8516" s="620"/>
      <c r="P8516" s="49"/>
      <c r="Q8516" s="1"/>
      <c r="R8516" s="620"/>
      <c r="S8516" s="1"/>
      <c r="T8516" s="1"/>
      <c r="U8516" s="1"/>
      <c r="V8516" s="1"/>
      <c r="W8516" s="1"/>
      <c r="X8516" s="1"/>
      <c r="Y8516" s="1"/>
      <c r="Z8516" s="620"/>
      <c r="AA8516" s="620"/>
      <c r="AB8516" s="1"/>
      <c r="AC8516" s="1"/>
      <c r="AD8516" s="1"/>
      <c r="AE8516" s="1"/>
      <c r="AF8516" s="1"/>
      <c r="AG8516" s="1"/>
      <c r="AH8516" s="1"/>
      <c r="AI8516" s="1"/>
      <c r="AJ8516" s="1"/>
      <c r="AK8516" s="1"/>
      <c r="AL8516" s="1"/>
      <c r="AM8516" s="1"/>
    </row>
    <row r="8517" spans="1:39" x14ac:dyDescent="0.25">
      <c r="A8517" s="620"/>
      <c r="B8517" s="620"/>
      <c r="C8517" s="620"/>
      <c r="D8517" s="620"/>
      <c r="E8517" s="620"/>
      <c r="F8517" s="620"/>
      <c r="G8517" s="620"/>
      <c r="H8517" s="620"/>
      <c r="I8517" s="620"/>
      <c r="J8517" s="620"/>
      <c r="K8517" s="620"/>
      <c r="L8517" s="620"/>
      <c r="M8517" s="620"/>
      <c r="N8517" s="620"/>
      <c r="O8517" s="620"/>
      <c r="P8517" s="49"/>
      <c r="Q8517" s="1"/>
      <c r="R8517" s="620"/>
      <c r="S8517" s="1"/>
      <c r="T8517" s="1"/>
      <c r="U8517" s="1"/>
      <c r="V8517" s="1"/>
      <c r="W8517" s="1"/>
      <c r="X8517" s="1"/>
      <c r="Y8517" s="1"/>
      <c r="Z8517" s="620"/>
      <c r="AA8517" s="620"/>
      <c r="AB8517" s="1"/>
      <c r="AC8517" s="1"/>
      <c r="AD8517" s="1"/>
      <c r="AE8517" s="1"/>
      <c r="AF8517" s="1"/>
      <c r="AG8517" s="1"/>
      <c r="AH8517" s="1"/>
      <c r="AI8517" s="1"/>
      <c r="AJ8517" s="1"/>
      <c r="AK8517" s="1"/>
      <c r="AL8517" s="1"/>
      <c r="AM8517" s="1"/>
    </row>
    <row r="8518" spans="1:39" x14ac:dyDescent="0.25">
      <c r="A8518" s="620"/>
      <c r="B8518" s="620"/>
      <c r="C8518" s="620"/>
      <c r="D8518" s="620"/>
      <c r="E8518" s="620"/>
      <c r="F8518" s="620"/>
      <c r="G8518" s="620"/>
      <c r="H8518" s="620"/>
      <c r="I8518" s="620"/>
      <c r="J8518" s="620"/>
      <c r="K8518" s="620"/>
      <c r="L8518" s="620"/>
      <c r="M8518" s="620"/>
      <c r="N8518" s="620"/>
      <c r="O8518" s="620"/>
      <c r="P8518" s="49"/>
      <c r="Q8518" s="1"/>
      <c r="R8518" s="620"/>
      <c r="S8518" s="1"/>
      <c r="T8518" s="1"/>
      <c r="U8518" s="1"/>
      <c r="V8518" s="1"/>
      <c r="W8518" s="1"/>
      <c r="X8518" s="1"/>
      <c r="Y8518" s="1"/>
      <c r="Z8518" s="620"/>
      <c r="AA8518" s="620"/>
      <c r="AB8518" s="1"/>
      <c r="AC8518" s="1"/>
      <c r="AD8518" s="1"/>
      <c r="AE8518" s="1"/>
      <c r="AF8518" s="1"/>
      <c r="AG8518" s="1"/>
      <c r="AH8518" s="1"/>
      <c r="AI8518" s="1"/>
      <c r="AJ8518" s="1"/>
      <c r="AK8518" s="1"/>
      <c r="AL8518" s="1"/>
      <c r="AM8518" s="1"/>
    </row>
    <row r="8519" spans="1:39" x14ac:dyDescent="0.25">
      <c r="A8519" s="620"/>
      <c r="B8519" s="620"/>
      <c r="C8519" s="620"/>
      <c r="D8519" s="620"/>
      <c r="E8519" s="620"/>
      <c r="F8519" s="620"/>
      <c r="G8519" s="620"/>
      <c r="H8519" s="620"/>
      <c r="I8519" s="620"/>
      <c r="J8519" s="620"/>
      <c r="K8519" s="620"/>
      <c r="L8519" s="620"/>
      <c r="M8519" s="620"/>
      <c r="N8519" s="620"/>
      <c r="O8519" s="620"/>
      <c r="P8519" s="49"/>
      <c r="Q8519" s="1"/>
      <c r="R8519" s="620"/>
      <c r="S8519" s="1"/>
      <c r="T8519" s="1"/>
      <c r="U8519" s="1"/>
      <c r="V8519" s="1"/>
      <c r="W8519" s="1"/>
      <c r="X8519" s="1"/>
      <c r="Y8519" s="1"/>
      <c r="Z8519" s="620"/>
      <c r="AA8519" s="620"/>
      <c r="AB8519" s="1"/>
      <c r="AC8519" s="1"/>
      <c r="AD8519" s="1"/>
      <c r="AE8519" s="1"/>
      <c r="AF8519" s="1"/>
      <c r="AG8519" s="1"/>
      <c r="AH8519" s="1"/>
      <c r="AI8519" s="1"/>
      <c r="AJ8519" s="1"/>
      <c r="AK8519" s="1"/>
      <c r="AL8519" s="1"/>
      <c r="AM8519" s="1"/>
    </row>
    <row r="8520" spans="1:39" x14ac:dyDescent="0.25">
      <c r="A8520" s="620"/>
      <c r="B8520" s="620"/>
      <c r="C8520" s="620"/>
      <c r="D8520" s="620"/>
      <c r="E8520" s="620"/>
      <c r="F8520" s="620"/>
      <c r="G8520" s="620"/>
      <c r="H8520" s="620"/>
      <c r="I8520" s="620"/>
      <c r="J8520" s="620"/>
      <c r="K8520" s="620"/>
      <c r="L8520" s="620"/>
      <c r="M8520" s="620"/>
      <c r="N8520" s="620"/>
      <c r="O8520" s="620"/>
      <c r="P8520" s="49"/>
      <c r="Q8520" s="1"/>
      <c r="R8520" s="620"/>
      <c r="S8520" s="1"/>
      <c r="T8520" s="1"/>
      <c r="U8520" s="1"/>
      <c r="V8520" s="1"/>
      <c r="W8520" s="1"/>
      <c r="X8520" s="1"/>
      <c r="Y8520" s="1"/>
      <c r="Z8520" s="620"/>
      <c r="AA8520" s="620"/>
      <c r="AB8520" s="1"/>
      <c r="AC8520" s="1"/>
      <c r="AD8520" s="1"/>
      <c r="AE8520" s="1"/>
      <c r="AF8520" s="1"/>
      <c r="AG8520" s="1"/>
      <c r="AH8520" s="1"/>
      <c r="AI8520" s="1"/>
      <c r="AJ8520" s="1"/>
      <c r="AK8520" s="1"/>
      <c r="AL8520" s="1"/>
      <c r="AM8520" s="1"/>
    </row>
    <row r="8521" spans="1:39" x14ac:dyDescent="0.25">
      <c r="A8521" s="620"/>
      <c r="B8521" s="620"/>
      <c r="C8521" s="620"/>
      <c r="D8521" s="620"/>
      <c r="E8521" s="620"/>
      <c r="F8521" s="620"/>
      <c r="G8521" s="620"/>
      <c r="H8521" s="620"/>
      <c r="I8521" s="620"/>
      <c r="J8521" s="620"/>
      <c r="K8521" s="620"/>
      <c r="L8521" s="620"/>
      <c r="M8521" s="620"/>
      <c r="N8521" s="620"/>
      <c r="O8521" s="620"/>
      <c r="P8521" s="49"/>
      <c r="Q8521" s="1"/>
      <c r="R8521" s="620"/>
      <c r="S8521" s="1"/>
      <c r="T8521" s="1"/>
      <c r="U8521" s="1"/>
      <c r="V8521" s="1"/>
      <c r="W8521" s="1"/>
      <c r="X8521" s="1"/>
      <c r="Y8521" s="1"/>
      <c r="Z8521" s="620"/>
      <c r="AA8521" s="620"/>
      <c r="AB8521" s="1"/>
      <c r="AC8521" s="1"/>
      <c r="AD8521" s="1"/>
      <c r="AE8521" s="1"/>
      <c r="AF8521" s="1"/>
      <c r="AG8521" s="1"/>
      <c r="AH8521" s="1"/>
      <c r="AI8521" s="1"/>
      <c r="AJ8521" s="1"/>
      <c r="AK8521" s="1"/>
      <c r="AL8521" s="1"/>
      <c r="AM8521" s="1"/>
    </row>
    <row r="8522" spans="1:39" x14ac:dyDescent="0.25">
      <c r="A8522" s="620"/>
      <c r="B8522" s="620"/>
      <c r="C8522" s="620"/>
      <c r="D8522" s="620"/>
      <c r="E8522" s="620"/>
      <c r="F8522" s="620"/>
      <c r="G8522" s="620"/>
      <c r="H8522" s="620"/>
      <c r="I8522" s="620"/>
      <c r="J8522" s="620"/>
      <c r="K8522" s="620"/>
      <c r="L8522" s="620"/>
      <c r="M8522" s="620"/>
      <c r="N8522" s="620"/>
      <c r="O8522" s="620"/>
      <c r="P8522" s="49"/>
      <c r="Q8522" s="1"/>
      <c r="R8522" s="620"/>
      <c r="S8522" s="1"/>
      <c r="T8522" s="1"/>
      <c r="U8522" s="1"/>
      <c r="V8522" s="1"/>
      <c r="W8522" s="1"/>
      <c r="X8522" s="1"/>
      <c r="Y8522" s="1"/>
      <c r="Z8522" s="620"/>
      <c r="AA8522" s="620"/>
      <c r="AB8522" s="1"/>
      <c r="AC8522" s="1"/>
      <c r="AD8522" s="1"/>
      <c r="AE8522" s="1"/>
      <c r="AF8522" s="1"/>
      <c r="AG8522" s="1"/>
      <c r="AH8522" s="1"/>
      <c r="AI8522" s="1"/>
      <c r="AJ8522" s="1"/>
      <c r="AK8522" s="1"/>
      <c r="AL8522" s="1"/>
      <c r="AM8522" s="1"/>
    </row>
    <row r="8523" spans="1:39" x14ac:dyDescent="0.25">
      <c r="A8523" s="620"/>
      <c r="B8523" s="620"/>
      <c r="C8523" s="620"/>
      <c r="D8523" s="620"/>
      <c r="E8523" s="620"/>
      <c r="F8523" s="620"/>
      <c r="G8523" s="620"/>
      <c r="H8523" s="620"/>
      <c r="I8523" s="620"/>
      <c r="J8523" s="620"/>
      <c r="K8523" s="620"/>
      <c r="L8523" s="620"/>
      <c r="M8523" s="620"/>
      <c r="N8523" s="620"/>
      <c r="O8523" s="620"/>
      <c r="P8523" s="49"/>
      <c r="Q8523" s="1"/>
      <c r="R8523" s="620"/>
      <c r="S8523" s="1"/>
      <c r="T8523" s="1"/>
      <c r="U8523" s="1"/>
      <c r="V8523" s="1"/>
      <c r="W8523" s="1"/>
      <c r="X8523" s="1"/>
      <c r="Y8523" s="1"/>
      <c r="Z8523" s="620"/>
      <c r="AA8523" s="620"/>
      <c r="AB8523" s="1"/>
      <c r="AC8523" s="1"/>
      <c r="AD8523" s="1"/>
      <c r="AE8523" s="1"/>
      <c r="AF8523" s="1"/>
      <c r="AG8523" s="1"/>
      <c r="AH8523" s="1"/>
      <c r="AI8523" s="1"/>
      <c r="AJ8523" s="1"/>
      <c r="AK8523" s="1"/>
      <c r="AL8523" s="1"/>
      <c r="AM8523" s="1"/>
    </row>
    <row r="8524" spans="1:39" x14ac:dyDescent="0.25">
      <c r="A8524" s="620"/>
      <c r="B8524" s="620"/>
      <c r="C8524" s="620"/>
      <c r="D8524" s="620"/>
      <c r="E8524" s="620"/>
      <c r="F8524" s="620"/>
      <c r="G8524" s="620"/>
      <c r="H8524" s="620"/>
      <c r="I8524" s="620"/>
      <c r="J8524" s="620"/>
      <c r="K8524" s="620"/>
      <c r="L8524" s="620"/>
      <c r="M8524" s="620"/>
      <c r="N8524" s="620"/>
      <c r="O8524" s="620"/>
      <c r="P8524" s="49"/>
      <c r="Q8524" s="1"/>
      <c r="R8524" s="620"/>
      <c r="S8524" s="1"/>
      <c r="T8524" s="1"/>
      <c r="U8524" s="1"/>
      <c r="V8524" s="1"/>
      <c r="W8524" s="1"/>
      <c r="X8524" s="1"/>
      <c r="Y8524" s="1"/>
      <c r="Z8524" s="620"/>
      <c r="AA8524" s="620"/>
      <c r="AB8524" s="1"/>
      <c r="AC8524" s="1"/>
      <c r="AD8524" s="1"/>
      <c r="AE8524" s="1"/>
      <c r="AF8524" s="1"/>
      <c r="AG8524" s="1"/>
      <c r="AH8524" s="1"/>
      <c r="AI8524" s="1"/>
      <c r="AJ8524" s="1"/>
      <c r="AK8524" s="1"/>
      <c r="AL8524" s="1"/>
      <c r="AM8524" s="1"/>
    </row>
    <row r="8525" spans="1:39" x14ac:dyDescent="0.25">
      <c r="A8525" s="620"/>
      <c r="B8525" s="620"/>
      <c r="C8525" s="620"/>
      <c r="D8525" s="620"/>
      <c r="E8525" s="620"/>
      <c r="F8525" s="620"/>
      <c r="G8525" s="620"/>
      <c r="H8525" s="620"/>
      <c r="I8525" s="620"/>
      <c r="J8525" s="620"/>
      <c r="K8525" s="620"/>
      <c r="L8525" s="620"/>
      <c r="M8525" s="620"/>
      <c r="N8525" s="620"/>
      <c r="O8525" s="620"/>
      <c r="P8525" s="49"/>
      <c r="Q8525" s="1"/>
      <c r="R8525" s="620"/>
      <c r="S8525" s="1"/>
      <c r="T8525" s="1"/>
      <c r="U8525" s="1"/>
      <c r="V8525" s="1"/>
      <c r="W8525" s="1"/>
      <c r="X8525" s="1"/>
      <c r="Y8525" s="1"/>
      <c r="Z8525" s="620"/>
      <c r="AA8525" s="620"/>
      <c r="AB8525" s="1"/>
      <c r="AC8525" s="1"/>
      <c r="AD8525" s="1"/>
      <c r="AE8525" s="1"/>
      <c r="AF8525" s="1"/>
      <c r="AG8525" s="1"/>
      <c r="AH8525" s="1"/>
      <c r="AI8525" s="1"/>
      <c r="AJ8525" s="1"/>
      <c r="AK8525" s="1"/>
      <c r="AL8525" s="1"/>
      <c r="AM8525" s="1"/>
    </row>
    <row r="8526" spans="1:39" x14ac:dyDescent="0.25">
      <c r="A8526" s="620"/>
      <c r="B8526" s="620"/>
      <c r="C8526" s="620"/>
      <c r="D8526" s="620"/>
      <c r="E8526" s="620"/>
      <c r="F8526" s="620"/>
      <c r="G8526" s="620"/>
      <c r="H8526" s="620"/>
      <c r="I8526" s="620"/>
      <c r="J8526" s="620"/>
      <c r="K8526" s="620"/>
      <c r="L8526" s="620"/>
      <c r="M8526" s="620"/>
      <c r="N8526" s="620"/>
      <c r="O8526" s="620"/>
      <c r="P8526" s="49"/>
      <c r="Q8526" s="1"/>
      <c r="R8526" s="620"/>
      <c r="S8526" s="1"/>
      <c r="T8526" s="1"/>
      <c r="U8526" s="1"/>
      <c r="V8526" s="1"/>
      <c r="W8526" s="1"/>
      <c r="X8526" s="1"/>
      <c r="Y8526" s="1"/>
      <c r="Z8526" s="620"/>
      <c r="AA8526" s="620"/>
      <c r="AB8526" s="1"/>
      <c r="AC8526" s="1"/>
      <c r="AD8526" s="1"/>
      <c r="AE8526" s="1"/>
      <c r="AF8526" s="1"/>
      <c r="AG8526" s="1"/>
      <c r="AH8526" s="1"/>
      <c r="AI8526" s="1"/>
      <c r="AJ8526" s="1"/>
      <c r="AK8526" s="1"/>
      <c r="AL8526" s="1"/>
      <c r="AM8526" s="1"/>
    </row>
    <row r="8527" spans="1:39" x14ac:dyDescent="0.25">
      <c r="A8527" s="620"/>
      <c r="B8527" s="620"/>
      <c r="C8527" s="620"/>
      <c r="D8527" s="620"/>
      <c r="E8527" s="620"/>
      <c r="F8527" s="620"/>
      <c r="G8527" s="620"/>
      <c r="H8527" s="620"/>
      <c r="I8527" s="620"/>
      <c r="J8527" s="620"/>
      <c r="K8527" s="620"/>
      <c r="L8527" s="620"/>
      <c r="M8527" s="620"/>
      <c r="N8527" s="620"/>
      <c r="O8527" s="620"/>
      <c r="P8527" s="49"/>
      <c r="Q8527" s="1"/>
      <c r="R8527" s="620"/>
      <c r="S8527" s="1"/>
      <c r="T8527" s="1"/>
      <c r="U8527" s="1"/>
      <c r="V8527" s="1"/>
      <c r="W8527" s="1"/>
      <c r="X8527" s="1"/>
      <c r="Y8527" s="1"/>
      <c r="Z8527" s="620"/>
      <c r="AA8527" s="620"/>
      <c r="AB8527" s="1"/>
      <c r="AC8527" s="1"/>
      <c r="AD8527" s="1"/>
      <c r="AE8527" s="1"/>
      <c r="AF8527" s="1"/>
      <c r="AG8527" s="1"/>
      <c r="AH8527" s="1"/>
      <c r="AI8527" s="1"/>
      <c r="AJ8527" s="1"/>
      <c r="AK8527" s="1"/>
      <c r="AL8527" s="1"/>
      <c r="AM8527" s="1"/>
    </row>
    <row r="8528" spans="1:39" x14ac:dyDescent="0.25">
      <c r="A8528" s="620"/>
      <c r="B8528" s="620"/>
      <c r="C8528" s="620"/>
      <c r="D8528" s="620"/>
      <c r="E8528" s="620"/>
      <c r="F8528" s="620"/>
      <c r="G8528" s="620"/>
      <c r="H8528" s="620"/>
      <c r="I8528" s="620"/>
      <c r="J8528" s="620"/>
      <c r="K8528" s="620"/>
      <c r="L8528" s="620"/>
      <c r="M8528" s="620"/>
      <c r="N8528" s="620"/>
      <c r="O8528" s="620"/>
      <c r="P8528" s="49"/>
      <c r="Q8528" s="1"/>
      <c r="R8528" s="620"/>
      <c r="S8528" s="1"/>
      <c r="T8528" s="1"/>
      <c r="U8528" s="1"/>
      <c r="V8528" s="1"/>
      <c r="W8528" s="1"/>
      <c r="X8528" s="1"/>
      <c r="Y8528" s="1"/>
      <c r="Z8528" s="620"/>
      <c r="AA8528" s="620"/>
      <c r="AB8528" s="1"/>
      <c r="AC8528" s="1"/>
      <c r="AD8528" s="1"/>
      <c r="AE8528" s="1"/>
      <c r="AF8528" s="1"/>
      <c r="AG8528" s="1"/>
      <c r="AH8528" s="1"/>
      <c r="AI8528" s="1"/>
      <c r="AJ8528" s="1"/>
      <c r="AK8528" s="1"/>
      <c r="AL8528" s="1"/>
      <c r="AM8528" s="1"/>
    </row>
    <row r="8529" spans="1:39" x14ac:dyDescent="0.25">
      <c r="A8529" s="620"/>
      <c r="B8529" s="620"/>
      <c r="C8529" s="620"/>
      <c r="D8529" s="620"/>
      <c r="E8529" s="620"/>
      <c r="F8529" s="620"/>
      <c r="G8529" s="620"/>
      <c r="H8529" s="620"/>
      <c r="I8529" s="620"/>
      <c r="J8529" s="620"/>
      <c r="K8529" s="620"/>
      <c r="L8529" s="620"/>
      <c r="M8529" s="620"/>
      <c r="N8529" s="620"/>
      <c r="O8529" s="620"/>
      <c r="P8529" s="49"/>
      <c r="Q8529" s="1"/>
      <c r="R8529" s="620"/>
      <c r="S8529" s="1"/>
      <c r="T8529" s="1"/>
      <c r="U8529" s="1"/>
      <c r="V8529" s="1"/>
      <c r="W8529" s="1"/>
      <c r="X8529" s="1"/>
      <c r="Y8529" s="1"/>
      <c r="Z8529" s="620"/>
      <c r="AA8529" s="620"/>
      <c r="AB8529" s="1"/>
      <c r="AC8529" s="1"/>
      <c r="AD8529" s="1"/>
      <c r="AE8529" s="1"/>
      <c r="AF8529" s="1"/>
      <c r="AG8529" s="1"/>
      <c r="AH8529" s="1"/>
      <c r="AI8529" s="1"/>
      <c r="AJ8529" s="1"/>
      <c r="AK8529" s="1"/>
      <c r="AL8529" s="1"/>
      <c r="AM8529" s="1"/>
    </row>
    <row r="8530" spans="1:39" x14ac:dyDescent="0.25">
      <c r="A8530" s="620"/>
      <c r="B8530" s="620"/>
      <c r="C8530" s="620"/>
      <c r="D8530" s="620"/>
      <c r="E8530" s="620"/>
      <c r="F8530" s="620"/>
      <c r="G8530" s="620"/>
      <c r="H8530" s="620"/>
      <c r="I8530" s="620"/>
      <c r="J8530" s="620"/>
      <c r="K8530" s="620"/>
      <c r="L8530" s="620"/>
      <c r="M8530" s="620"/>
      <c r="N8530" s="620"/>
      <c r="O8530" s="620"/>
      <c r="P8530" s="49"/>
      <c r="Q8530" s="1"/>
      <c r="R8530" s="620"/>
      <c r="S8530" s="1"/>
      <c r="T8530" s="1"/>
      <c r="U8530" s="1"/>
      <c r="V8530" s="1"/>
      <c r="W8530" s="1"/>
      <c r="X8530" s="1"/>
      <c r="Y8530" s="1"/>
      <c r="Z8530" s="620"/>
      <c r="AA8530" s="620"/>
      <c r="AB8530" s="1"/>
      <c r="AC8530" s="1"/>
      <c r="AD8530" s="1"/>
      <c r="AE8530" s="1"/>
      <c r="AF8530" s="1"/>
      <c r="AG8530" s="1"/>
      <c r="AH8530" s="1"/>
      <c r="AI8530" s="1"/>
      <c r="AJ8530" s="1"/>
      <c r="AK8530" s="1"/>
      <c r="AL8530" s="1"/>
      <c r="AM8530" s="1"/>
    </row>
    <row r="8531" spans="1:39" x14ac:dyDescent="0.25">
      <c r="A8531" s="620"/>
      <c r="B8531" s="620"/>
      <c r="C8531" s="620"/>
      <c r="D8531" s="620"/>
      <c r="E8531" s="620"/>
      <c r="F8531" s="620"/>
      <c r="G8531" s="620"/>
      <c r="H8531" s="620"/>
      <c r="I8531" s="620"/>
      <c r="J8531" s="620"/>
      <c r="K8531" s="620"/>
      <c r="L8531" s="620"/>
      <c r="M8531" s="620"/>
      <c r="N8531" s="620"/>
      <c r="O8531" s="620"/>
      <c r="P8531" s="49"/>
      <c r="Q8531" s="1"/>
      <c r="R8531" s="620"/>
      <c r="S8531" s="1"/>
      <c r="T8531" s="1"/>
      <c r="U8531" s="1"/>
      <c r="V8531" s="1"/>
      <c r="W8531" s="1"/>
      <c r="X8531" s="1"/>
      <c r="Y8531" s="1"/>
      <c r="Z8531" s="620"/>
      <c r="AA8531" s="620"/>
      <c r="AB8531" s="1"/>
      <c r="AC8531" s="1"/>
      <c r="AD8531" s="1"/>
      <c r="AE8531" s="1"/>
      <c r="AF8531" s="1"/>
      <c r="AG8531" s="1"/>
      <c r="AH8531" s="1"/>
      <c r="AI8531" s="1"/>
      <c r="AJ8531" s="1"/>
      <c r="AK8531" s="1"/>
      <c r="AL8531" s="1"/>
      <c r="AM8531" s="1"/>
    </row>
    <row r="8532" spans="1:39" x14ac:dyDescent="0.25">
      <c r="A8532" s="620"/>
      <c r="B8532" s="620"/>
      <c r="C8532" s="620"/>
      <c r="D8532" s="620"/>
      <c r="E8532" s="620"/>
      <c r="F8532" s="620"/>
      <c r="G8532" s="620"/>
      <c r="H8532" s="620"/>
      <c r="I8532" s="620"/>
      <c r="J8532" s="620"/>
      <c r="K8532" s="620"/>
      <c r="L8532" s="620"/>
      <c r="M8532" s="620"/>
      <c r="N8532" s="620"/>
      <c r="O8532" s="620"/>
      <c r="P8532" s="49"/>
      <c r="Q8532" s="1"/>
      <c r="R8532" s="620"/>
      <c r="S8532" s="1"/>
      <c r="T8532" s="1"/>
      <c r="U8532" s="1"/>
      <c r="V8532" s="1"/>
      <c r="W8532" s="1"/>
      <c r="X8532" s="1"/>
      <c r="Y8532" s="1"/>
      <c r="Z8532" s="620"/>
      <c r="AA8532" s="620"/>
      <c r="AB8532" s="1"/>
      <c r="AC8532" s="1"/>
      <c r="AD8532" s="1"/>
      <c r="AE8532" s="1"/>
      <c r="AF8532" s="1"/>
      <c r="AG8532" s="1"/>
      <c r="AH8532" s="1"/>
      <c r="AI8532" s="1"/>
      <c r="AJ8532" s="1"/>
      <c r="AK8532" s="1"/>
      <c r="AL8532" s="1"/>
      <c r="AM8532" s="1"/>
    </row>
    <row r="8533" spans="1:39" x14ac:dyDescent="0.25">
      <c r="A8533" s="620"/>
      <c r="B8533" s="620"/>
      <c r="C8533" s="620"/>
      <c r="D8533" s="620"/>
      <c r="E8533" s="620"/>
      <c r="F8533" s="620"/>
      <c r="G8533" s="620"/>
      <c r="H8533" s="620"/>
      <c r="I8533" s="620"/>
      <c r="J8533" s="620"/>
      <c r="K8533" s="620"/>
      <c r="L8533" s="620"/>
      <c r="M8533" s="620"/>
      <c r="N8533" s="620"/>
      <c r="O8533" s="620"/>
      <c r="P8533" s="49"/>
      <c r="Q8533" s="1"/>
      <c r="R8533" s="620"/>
      <c r="S8533" s="1"/>
      <c r="T8533" s="1"/>
      <c r="U8533" s="1"/>
      <c r="V8533" s="1"/>
      <c r="W8533" s="1"/>
      <c r="X8533" s="1"/>
      <c r="Y8533" s="1"/>
      <c r="Z8533" s="620"/>
      <c r="AA8533" s="620"/>
      <c r="AB8533" s="1"/>
      <c r="AC8533" s="1"/>
      <c r="AD8533" s="1"/>
      <c r="AE8533" s="1"/>
      <c r="AF8533" s="1"/>
      <c r="AG8533" s="1"/>
      <c r="AH8533" s="1"/>
      <c r="AI8533" s="1"/>
      <c r="AJ8533" s="1"/>
      <c r="AK8533" s="1"/>
      <c r="AL8533" s="1"/>
      <c r="AM8533" s="1"/>
    </row>
    <row r="8534" spans="1:39" x14ac:dyDescent="0.25">
      <c r="A8534" s="620"/>
      <c r="B8534" s="620"/>
      <c r="C8534" s="620"/>
      <c r="D8534" s="620"/>
      <c r="E8534" s="620"/>
      <c r="F8534" s="620"/>
      <c r="G8534" s="620"/>
      <c r="H8534" s="620"/>
      <c r="I8534" s="620"/>
      <c r="J8534" s="620"/>
      <c r="K8534" s="620"/>
      <c r="L8534" s="620"/>
      <c r="M8534" s="620"/>
      <c r="N8534" s="620"/>
      <c r="O8534" s="620"/>
      <c r="P8534" s="49"/>
      <c r="Q8534" s="1"/>
      <c r="R8534" s="620"/>
      <c r="S8534" s="1"/>
      <c r="T8534" s="1"/>
      <c r="U8534" s="1"/>
      <c r="V8534" s="1"/>
      <c r="W8534" s="1"/>
      <c r="X8534" s="1"/>
      <c r="Y8534" s="1"/>
      <c r="Z8534" s="620"/>
      <c r="AA8534" s="620"/>
      <c r="AB8534" s="1"/>
      <c r="AC8534" s="1"/>
      <c r="AD8534" s="1"/>
      <c r="AE8534" s="1"/>
      <c r="AF8534" s="1"/>
      <c r="AG8534" s="1"/>
      <c r="AH8534" s="1"/>
      <c r="AI8534" s="1"/>
      <c r="AJ8534" s="1"/>
      <c r="AK8534" s="1"/>
      <c r="AL8534" s="1"/>
      <c r="AM8534" s="1"/>
    </row>
    <row r="8535" spans="1:39" x14ac:dyDescent="0.25">
      <c r="A8535" s="620"/>
      <c r="B8535" s="620"/>
      <c r="C8535" s="620"/>
      <c r="D8535" s="620"/>
      <c r="E8535" s="620"/>
      <c r="F8535" s="620"/>
      <c r="G8535" s="620"/>
      <c r="H8535" s="620"/>
      <c r="I8535" s="620"/>
      <c r="J8535" s="620"/>
      <c r="K8535" s="620"/>
      <c r="L8535" s="620"/>
      <c r="M8535" s="620"/>
      <c r="N8535" s="620"/>
      <c r="O8535" s="620"/>
      <c r="P8535" s="49"/>
      <c r="Q8535" s="1"/>
      <c r="R8535" s="620"/>
      <c r="S8535" s="1"/>
      <c r="T8535" s="1"/>
      <c r="U8535" s="1"/>
      <c r="V8535" s="1"/>
      <c r="W8535" s="1"/>
      <c r="X8535" s="1"/>
      <c r="Y8535" s="1"/>
      <c r="Z8535" s="620"/>
      <c r="AA8535" s="620"/>
      <c r="AB8535" s="1"/>
      <c r="AC8535" s="1"/>
      <c r="AD8535" s="1"/>
      <c r="AE8535" s="1"/>
      <c r="AF8535" s="1"/>
      <c r="AG8535" s="1"/>
      <c r="AH8535" s="1"/>
      <c r="AI8535" s="1"/>
      <c r="AJ8535" s="1"/>
      <c r="AK8535" s="1"/>
      <c r="AL8535" s="1"/>
      <c r="AM8535" s="1"/>
    </row>
    <row r="8536" spans="1:39" x14ac:dyDescent="0.25">
      <c r="A8536" s="620"/>
      <c r="B8536" s="620"/>
      <c r="C8536" s="620"/>
      <c r="D8536" s="620"/>
      <c r="E8536" s="620"/>
      <c r="F8536" s="620"/>
      <c r="G8536" s="620"/>
      <c r="H8536" s="620"/>
      <c r="I8536" s="620"/>
      <c r="J8536" s="620"/>
      <c r="K8536" s="620"/>
      <c r="L8536" s="620"/>
      <c r="M8536" s="620"/>
      <c r="N8536" s="620"/>
      <c r="O8536" s="620"/>
      <c r="P8536" s="49"/>
      <c r="Q8536" s="1"/>
      <c r="R8536" s="620"/>
      <c r="S8536" s="1"/>
      <c r="T8536" s="1"/>
      <c r="U8536" s="1"/>
      <c r="V8536" s="1"/>
      <c r="W8536" s="1"/>
      <c r="X8536" s="1"/>
      <c r="Y8536" s="1"/>
      <c r="Z8536" s="620"/>
      <c r="AA8536" s="620"/>
      <c r="AB8536" s="1"/>
      <c r="AC8536" s="1"/>
      <c r="AD8536" s="1"/>
      <c r="AE8536" s="1"/>
      <c r="AF8536" s="1"/>
      <c r="AG8536" s="1"/>
      <c r="AH8536" s="1"/>
      <c r="AI8536" s="1"/>
      <c r="AJ8536" s="1"/>
      <c r="AK8536" s="1"/>
      <c r="AL8536" s="1"/>
      <c r="AM8536" s="1"/>
    </row>
    <row r="8537" spans="1:39" x14ac:dyDescent="0.25">
      <c r="A8537" s="620"/>
      <c r="B8537" s="620"/>
      <c r="C8537" s="620"/>
      <c r="D8537" s="620"/>
      <c r="E8537" s="620"/>
      <c r="F8537" s="620"/>
      <c r="G8537" s="620"/>
      <c r="H8537" s="620"/>
      <c r="I8537" s="620"/>
      <c r="J8537" s="620"/>
      <c r="K8537" s="620"/>
      <c r="L8537" s="620"/>
      <c r="M8537" s="620"/>
      <c r="N8537" s="620"/>
      <c r="O8537" s="620"/>
      <c r="P8537" s="49"/>
      <c r="Q8537" s="1"/>
      <c r="R8537" s="620"/>
      <c r="S8537" s="1"/>
      <c r="T8537" s="1"/>
      <c r="U8537" s="1"/>
      <c r="V8537" s="1"/>
      <c r="W8537" s="1"/>
      <c r="X8537" s="1"/>
      <c r="Y8537" s="1"/>
      <c r="Z8537" s="620"/>
      <c r="AA8537" s="620"/>
      <c r="AB8537" s="1"/>
      <c r="AC8537" s="1"/>
      <c r="AD8537" s="1"/>
      <c r="AE8537" s="1"/>
      <c r="AF8537" s="1"/>
      <c r="AG8537" s="1"/>
      <c r="AH8537" s="1"/>
      <c r="AI8537" s="1"/>
      <c r="AJ8537" s="1"/>
      <c r="AK8537" s="1"/>
      <c r="AL8537" s="1"/>
      <c r="AM8537" s="1"/>
    </row>
    <row r="8538" spans="1:39" x14ac:dyDescent="0.25">
      <c r="A8538" s="620"/>
      <c r="B8538" s="620"/>
      <c r="C8538" s="620"/>
      <c r="D8538" s="620"/>
      <c r="E8538" s="620"/>
      <c r="F8538" s="620"/>
      <c r="G8538" s="620"/>
      <c r="H8538" s="620"/>
      <c r="I8538" s="620"/>
      <c r="J8538" s="620"/>
      <c r="K8538" s="620"/>
      <c r="L8538" s="620"/>
      <c r="M8538" s="620"/>
      <c r="N8538" s="620"/>
      <c r="O8538" s="620"/>
      <c r="P8538" s="49"/>
      <c r="Q8538" s="1"/>
      <c r="R8538" s="620"/>
      <c r="S8538" s="1"/>
      <c r="T8538" s="1"/>
      <c r="U8538" s="1"/>
      <c r="V8538" s="1"/>
      <c r="W8538" s="1"/>
      <c r="X8538" s="1"/>
      <c r="Y8538" s="1"/>
      <c r="Z8538" s="620"/>
      <c r="AA8538" s="620"/>
      <c r="AB8538" s="1"/>
      <c r="AC8538" s="1"/>
      <c r="AD8538" s="1"/>
      <c r="AE8538" s="1"/>
      <c r="AF8538" s="1"/>
      <c r="AG8538" s="1"/>
      <c r="AH8538" s="1"/>
      <c r="AI8538" s="1"/>
      <c r="AJ8538" s="1"/>
      <c r="AK8538" s="1"/>
      <c r="AL8538" s="1"/>
      <c r="AM8538" s="1"/>
    </row>
    <row r="8539" spans="1:39" x14ac:dyDescent="0.25">
      <c r="A8539" s="620"/>
      <c r="B8539" s="620"/>
      <c r="C8539" s="620"/>
      <c r="D8539" s="620"/>
      <c r="E8539" s="620"/>
      <c r="F8539" s="620"/>
      <c r="G8539" s="620"/>
      <c r="H8539" s="620"/>
      <c r="I8539" s="620"/>
      <c r="J8539" s="620"/>
      <c r="K8539" s="620"/>
      <c r="L8539" s="620"/>
      <c r="M8539" s="620"/>
      <c r="N8539" s="620"/>
      <c r="O8539" s="620"/>
      <c r="P8539" s="49"/>
      <c r="Q8539" s="1"/>
      <c r="R8539" s="620"/>
      <c r="S8539" s="1"/>
      <c r="T8539" s="1"/>
      <c r="U8539" s="1"/>
      <c r="V8539" s="1"/>
      <c r="W8539" s="1"/>
      <c r="X8539" s="1"/>
      <c r="Y8539" s="1"/>
      <c r="Z8539" s="620"/>
      <c r="AA8539" s="620"/>
      <c r="AB8539" s="1"/>
      <c r="AC8539" s="1"/>
      <c r="AD8539" s="1"/>
      <c r="AE8539" s="1"/>
      <c r="AF8539" s="1"/>
      <c r="AG8539" s="1"/>
      <c r="AH8539" s="1"/>
      <c r="AI8539" s="1"/>
      <c r="AJ8539" s="1"/>
      <c r="AK8539" s="1"/>
      <c r="AL8539" s="1"/>
      <c r="AM8539" s="1"/>
    </row>
    <row r="8540" spans="1:39" x14ac:dyDescent="0.25">
      <c r="A8540" s="620"/>
      <c r="B8540" s="620"/>
      <c r="C8540" s="620"/>
      <c r="D8540" s="620"/>
      <c r="E8540" s="620"/>
      <c r="F8540" s="620"/>
      <c r="G8540" s="620"/>
      <c r="H8540" s="620"/>
      <c r="I8540" s="620"/>
      <c r="J8540" s="620"/>
      <c r="K8540" s="620"/>
      <c r="L8540" s="620"/>
      <c r="M8540" s="620"/>
      <c r="N8540" s="620"/>
      <c r="O8540" s="620"/>
      <c r="P8540" s="49"/>
      <c r="Q8540" s="1"/>
      <c r="R8540" s="620"/>
      <c r="S8540" s="1"/>
      <c r="T8540" s="1"/>
      <c r="U8540" s="1"/>
      <c r="V8540" s="1"/>
      <c r="W8540" s="1"/>
      <c r="X8540" s="1"/>
      <c r="Y8540" s="1"/>
      <c r="Z8540" s="620"/>
      <c r="AA8540" s="620"/>
      <c r="AB8540" s="1"/>
      <c r="AC8540" s="1"/>
      <c r="AD8540" s="1"/>
      <c r="AE8540" s="1"/>
      <c r="AF8540" s="1"/>
      <c r="AG8540" s="1"/>
      <c r="AH8540" s="1"/>
      <c r="AI8540" s="1"/>
      <c r="AJ8540" s="1"/>
      <c r="AK8540" s="1"/>
      <c r="AL8540" s="1"/>
      <c r="AM8540" s="1"/>
    </row>
    <row r="8541" spans="1:39" x14ac:dyDescent="0.25">
      <c r="A8541" s="620"/>
      <c r="B8541" s="620"/>
      <c r="C8541" s="620"/>
      <c r="D8541" s="620"/>
      <c r="E8541" s="620"/>
      <c r="F8541" s="620"/>
      <c r="G8541" s="620"/>
      <c r="H8541" s="620"/>
      <c r="I8541" s="620"/>
      <c r="J8541" s="620"/>
      <c r="K8541" s="620"/>
      <c r="L8541" s="620"/>
      <c r="M8541" s="620"/>
      <c r="N8541" s="620"/>
      <c r="O8541" s="620"/>
      <c r="P8541" s="49"/>
      <c r="Q8541" s="1"/>
      <c r="R8541" s="620"/>
      <c r="S8541" s="1"/>
      <c r="T8541" s="1"/>
      <c r="U8541" s="1"/>
      <c r="V8541" s="1"/>
      <c r="W8541" s="1"/>
      <c r="X8541" s="1"/>
      <c r="Y8541" s="1"/>
      <c r="Z8541" s="620"/>
      <c r="AA8541" s="620"/>
      <c r="AB8541" s="1"/>
      <c r="AC8541" s="1"/>
      <c r="AD8541" s="1"/>
      <c r="AE8541" s="1"/>
      <c r="AF8541" s="1"/>
      <c r="AG8541" s="1"/>
      <c r="AH8541" s="1"/>
      <c r="AI8541" s="1"/>
      <c r="AJ8541" s="1"/>
      <c r="AK8541" s="1"/>
      <c r="AL8541" s="1"/>
      <c r="AM8541" s="1"/>
    </row>
    <row r="8542" spans="1:39" x14ac:dyDescent="0.25">
      <c r="A8542" s="620"/>
      <c r="B8542" s="620"/>
      <c r="C8542" s="620"/>
      <c r="D8542" s="620"/>
      <c r="E8542" s="620"/>
      <c r="F8542" s="620"/>
      <c r="G8542" s="620"/>
      <c r="H8542" s="620"/>
      <c r="I8542" s="620"/>
      <c r="J8542" s="620"/>
      <c r="K8542" s="620"/>
      <c r="L8542" s="620"/>
      <c r="M8542" s="620"/>
      <c r="N8542" s="620"/>
      <c r="O8542" s="620"/>
      <c r="P8542" s="49"/>
      <c r="Q8542" s="1"/>
      <c r="R8542" s="620"/>
      <c r="S8542" s="1"/>
      <c r="T8542" s="1"/>
      <c r="U8542" s="1"/>
      <c r="V8542" s="1"/>
      <c r="W8542" s="1"/>
      <c r="X8542" s="1"/>
      <c r="Y8542" s="1"/>
      <c r="Z8542" s="620"/>
      <c r="AA8542" s="620"/>
      <c r="AB8542" s="1"/>
      <c r="AC8542" s="1"/>
      <c r="AD8542" s="1"/>
      <c r="AE8542" s="1"/>
      <c r="AF8542" s="1"/>
      <c r="AG8542" s="1"/>
      <c r="AH8542" s="1"/>
      <c r="AI8542" s="1"/>
      <c r="AJ8542" s="1"/>
      <c r="AK8542" s="1"/>
      <c r="AL8542" s="1"/>
      <c r="AM8542" s="1"/>
    </row>
    <row r="8543" spans="1:39" x14ac:dyDescent="0.25">
      <c r="A8543" s="620"/>
      <c r="B8543" s="620"/>
      <c r="C8543" s="620"/>
      <c r="D8543" s="620"/>
      <c r="E8543" s="620"/>
      <c r="F8543" s="620"/>
      <c r="G8543" s="620"/>
      <c r="H8543" s="620"/>
      <c r="I8543" s="620"/>
      <c r="J8543" s="620"/>
      <c r="K8543" s="620"/>
      <c r="L8543" s="620"/>
      <c r="M8543" s="620"/>
      <c r="N8543" s="620"/>
      <c r="O8543" s="620"/>
      <c r="P8543" s="49"/>
      <c r="Q8543" s="1"/>
      <c r="R8543" s="620"/>
      <c r="S8543" s="1"/>
      <c r="T8543" s="1"/>
      <c r="U8543" s="1"/>
      <c r="V8543" s="1"/>
      <c r="W8543" s="1"/>
      <c r="X8543" s="1"/>
      <c r="Y8543" s="1"/>
      <c r="Z8543" s="620"/>
      <c r="AA8543" s="620"/>
      <c r="AB8543" s="1"/>
      <c r="AC8543" s="1"/>
      <c r="AD8543" s="1"/>
      <c r="AE8543" s="1"/>
      <c r="AF8543" s="1"/>
      <c r="AG8543" s="1"/>
      <c r="AH8543" s="1"/>
      <c r="AI8543" s="1"/>
      <c r="AJ8543" s="1"/>
      <c r="AK8543" s="1"/>
      <c r="AL8543" s="1"/>
      <c r="AM8543" s="1"/>
    </row>
    <row r="8544" spans="1:39" x14ac:dyDescent="0.25">
      <c r="A8544" s="620"/>
      <c r="B8544" s="620"/>
      <c r="C8544" s="620"/>
      <c r="D8544" s="620"/>
      <c r="E8544" s="620"/>
      <c r="F8544" s="620"/>
      <c r="G8544" s="620"/>
      <c r="H8544" s="620"/>
      <c r="I8544" s="620"/>
      <c r="J8544" s="620"/>
      <c r="K8544" s="620"/>
      <c r="L8544" s="620"/>
      <c r="M8544" s="620"/>
      <c r="N8544" s="620"/>
      <c r="O8544" s="620"/>
      <c r="P8544" s="49"/>
      <c r="Q8544" s="1"/>
      <c r="R8544" s="620"/>
      <c r="S8544" s="1"/>
      <c r="T8544" s="1"/>
      <c r="U8544" s="1"/>
      <c r="V8544" s="1"/>
      <c r="W8544" s="1"/>
      <c r="X8544" s="1"/>
      <c r="Y8544" s="1"/>
      <c r="Z8544" s="620"/>
      <c r="AA8544" s="620"/>
      <c r="AB8544" s="1"/>
      <c r="AC8544" s="1"/>
      <c r="AD8544" s="1"/>
      <c r="AE8544" s="1"/>
      <c r="AF8544" s="1"/>
      <c r="AG8544" s="1"/>
      <c r="AH8544" s="1"/>
      <c r="AI8544" s="1"/>
      <c r="AJ8544" s="1"/>
      <c r="AK8544" s="1"/>
      <c r="AL8544" s="1"/>
      <c r="AM8544" s="1"/>
    </row>
    <row r="8545" spans="1:39" x14ac:dyDescent="0.25">
      <c r="A8545" s="620"/>
      <c r="B8545" s="620"/>
      <c r="C8545" s="620"/>
      <c r="D8545" s="620"/>
      <c r="E8545" s="620"/>
      <c r="F8545" s="620"/>
      <c r="G8545" s="620"/>
      <c r="H8545" s="620"/>
      <c r="I8545" s="620"/>
      <c r="J8545" s="620"/>
      <c r="K8545" s="620"/>
      <c r="L8545" s="620"/>
      <c r="M8545" s="620"/>
      <c r="N8545" s="620"/>
      <c r="O8545" s="620"/>
      <c r="P8545" s="49"/>
      <c r="Q8545" s="1"/>
      <c r="R8545" s="620"/>
      <c r="S8545" s="1"/>
      <c r="T8545" s="1"/>
      <c r="U8545" s="1"/>
      <c r="V8545" s="1"/>
      <c r="W8545" s="1"/>
      <c r="X8545" s="1"/>
      <c r="Y8545" s="1"/>
      <c r="Z8545" s="620"/>
      <c r="AA8545" s="620"/>
      <c r="AB8545" s="1"/>
      <c r="AC8545" s="1"/>
      <c r="AD8545" s="1"/>
      <c r="AE8545" s="1"/>
      <c r="AF8545" s="1"/>
      <c r="AG8545" s="1"/>
      <c r="AH8545" s="1"/>
      <c r="AI8545" s="1"/>
      <c r="AJ8545" s="1"/>
      <c r="AK8545" s="1"/>
      <c r="AL8545" s="1"/>
      <c r="AM8545" s="1"/>
    </row>
    <row r="8546" spans="1:39" x14ac:dyDescent="0.25">
      <c r="A8546" s="620"/>
      <c r="B8546" s="620"/>
      <c r="C8546" s="620"/>
      <c r="D8546" s="620"/>
      <c r="E8546" s="620"/>
      <c r="F8546" s="620"/>
      <c r="G8546" s="620"/>
      <c r="H8546" s="620"/>
      <c r="I8546" s="620"/>
      <c r="J8546" s="620"/>
      <c r="K8546" s="620"/>
      <c r="L8546" s="620"/>
      <c r="M8546" s="620"/>
      <c r="N8546" s="620"/>
      <c r="O8546" s="620"/>
      <c r="P8546" s="49"/>
      <c r="Q8546" s="1"/>
      <c r="R8546" s="620"/>
      <c r="S8546" s="1"/>
      <c r="T8546" s="1"/>
      <c r="U8546" s="1"/>
      <c r="V8546" s="1"/>
      <c r="W8546" s="1"/>
      <c r="X8546" s="1"/>
      <c r="Y8546" s="1"/>
      <c r="Z8546" s="620"/>
      <c r="AA8546" s="620"/>
      <c r="AB8546" s="1"/>
      <c r="AC8546" s="1"/>
      <c r="AD8546" s="1"/>
      <c r="AE8546" s="1"/>
      <c r="AF8546" s="1"/>
      <c r="AG8546" s="1"/>
      <c r="AH8546" s="1"/>
      <c r="AI8546" s="1"/>
      <c r="AJ8546" s="1"/>
      <c r="AK8546" s="1"/>
      <c r="AL8546" s="1"/>
      <c r="AM8546" s="1"/>
    </row>
    <row r="8547" spans="1:39" x14ac:dyDescent="0.25">
      <c r="A8547" s="620"/>
      <c r="B8547" s="620"/>
      <c r="C8547" s="620"/>
      <c r="D8547" s="620"/>
      <c r="E8547" s="620"/>
      <c r="F8547" s="620"/>
      <c r="G8547" s="620"/>
      <c r="H8547" s="620"/>
      <c r="I8547" s="620"/>
      <c r="J8547" s="620"/>
      <c r="K8547" s="620"/>
      <c r="L8547" s="620"/>
      <c r="M8547" s="620"/>
      <c r="N8547" s="620"/>
      <c r="O8547" s="620"/>
      <c r="P8547" s="49"/>
      <c r="Q8547" s="1"/>
      <c r="R8547" s="620"/>
      <c r="S8547" s="1"/>
      <c r="T8547" s="1"/>
      <c r="U8547" s="1"/>
      <c r="V8547" s="1"/>
      <c r="W8547" s="1"/>
      <c r="X8547" s="1"/>
      <c r="Y8547" s="1"/>
      <c r="Z8547" s="620"/>
      <c r="AA8547" s="620"/>
      <c r="AB8547" s="1"/>
      <c r="AC8547" s="1"/>
      <c r="AD8547" s="1"/>
      <c r="AE8547" s="1"/>
      <c r="AF8547" s="1"/>
      <c r="AG8547" s="1"/>
      <c r="AH8547" s="1"/>
      <c r="AI8547" s="1"/>
      <c r="AJ8547" s="1"/>
      <c r="AK8547" s="1"/>
      <c r="AL8547" s="1"/>
      <c r="AM8547" s="1"/>
    </row>
    <row r="8548" spans="1:39" x14ac:dyDescent="0.25">
      <c r="A8548" s="620"/>
      <c r="B8548" s="620"/>
      <c r="C8548" s="620"/>
      <c r="D8548" s="620"/>
      <c r="E8548" s="620"/>
      <c r="F8548" s="620"/>
      <c r="G8548" s="620"/>
      <c r="H8548" s="620"/>
      <c r="I8548" s="620"/>
      <c r="J8548" s="620"/>
      <c r="K8548" s="620"/>
      <c r="L8548" s="620"/>
      <c r="M8548" s="620"/>
      <c r="N8548" s="620"/>
      <c r="O8548" s="620"/>
      <c r="P8548" s="49"/>
      <c r="Q8548" s="1"/>
      <c r="R8548" s="620"/>
      <c r="S8548" s="1"/>
      <c r="T8548" s="1"/>
      <c r="U8548" s="1"/>
      <c r="V8548" s="1"/>
      <c r="W8548" s="1"/>
      <c r="X8548" s="1"/>
      <c r="Y8548" s="1"/>
      <c r="Z8548" s="620"/>
      <c r="AA8548" s="620"/>
      <c r="AB8548" s="1"/>
      <c r="AC8548" s="1"/>
      <c r="AD8548" s="1"/>
      <c r="AE8548" s="1"/>
      <c r="AF8548" s="1"/>
      <c r="AG8548" s="1"/>
      <c r="AH8548" s="1"/>
      <c r="AI8548" s="1"/>
      <c r="AJ8548" s="1"/>
      <c r="AK8548" s="1"/>
      <c r="AL8548" s="1"/>
      <c r="AM8548" s="1"/>
    </row>
    <row r="8549" spans="1:39" x14ac:dyDescent="0.25">
      <c r="A8549" s="620"/>
      <c r="B8549" s="620"/>
      <c r="C8549" s="620"/>
      <c r="D8549" s="620"/>
      <c r="E8549" s="620"/>
      <c r="F8549" s="620"/>
      <c r="G8549" s="620"/>
      <c r="H8549" s="620"/>
      <c r="I8549" s="620"/>
      <c r="J8549" s="620"/>
      <c r="K8549" s="620"/>
      <c r="L8549" s="620"/>
      <c r="M8549" s="620"/>
      <c r="N8549" s="620"/>
      <c r="O8549" s="620"/>
      <c r="P8549" s="49"/>
      <c r="Q8549" s="1"/>
      <c r="R8549" s="620"/>
      <c r="S8549" s="1"/>
      <c r="T8549" s="1"/>
      <c r="U8549" s="1"/>
      <c r="V8549" s="1"/>
      <c r="W8549" s="1"/>
      <c r="X8549" s="1"/>
      <c r="Y8549" s="1"/>
      <c r="Z8549" s="620"/>
      <c r="AA8549" s="620"/>
      <c r="AB8549" s="1"/>
      <c r="AC8549" s="1"/>
      <c r="AD8549" s="1"/>
      <c r="AE8549" s="1"/>
      <c r="AF8549" s="1"/>
      <c r="AG8549" s="1"/>
      <c r="AH8549" s="1"/>
      <c r="AI8549" s="1"/>
      <c r="AJ8549" s="1"/>
      <c r="AK8549" s="1"/>
      <c r="AL8549" s="1"/>
      <c r="AM8549" s="1"/>
    </row>
    <row r="8550" spans="1:39" x14ac:dyDescent="0.25">
      <c r="A8550" s="620"/>
      <c r="B8550" s="620"/>
      <c r="C8550" s="620"/>
      <c r="D8550" s="620"/>
      <c r="E8550" s="620"/>
      <c r="F8550" s="620"/>
      <c r="G8550" s="620"/>
      <c r="H8550" s="620"/>
      <c r="I8550" s="620"/>
      <c r="J8550" s="620"/>
      <c r="K8550" s="620"/>
      <c r="L8550" s="620"/>
      <c r="M8550" s="620"/>
      <c r="N8550" s="620"/>
      <c r="O8550" s="620"/>
      <c r="P8550" s="49"/>
      <c r="Q8550" s="1"/>
      <c r="R8550" s="620"/>
      <c r="S8550" s="1"/>
      <c r="T8550" s="1"/>
      <c r="U8550" s="1"/>
      <c r="V8550" s="1"/>
      <c r="W8550" s="1"/>
      <c r="X8550" s="1"/>
      <c r="Y8550" s="1"/>
      <c r="Z8550" s="620"/>
      <c r="AA8550" s="620"/>
      <c r="AB8550" s="1"/>
      <c r="AC8550" s="1"/>
      <c r="AD8550" s="1"/>
      <c r="AE8550" s="1"/>
      <c r="AF8550" s="1"/>
      <c r="AG8550" s="1"/>
      <c r="AH8550" s="1"/>
      <c r="AI8550" s="1"/>
      <c r="AJ8550" s="1"/>
      <c r="AK8550" s="1"/>
      <c r="AL8550" s="1"/>
      <c r="AM8550" s="1"/>
    </row>
    <row r="8551" spans="1:39" x14ac:dyDescent="0.25">
      <c r="A8551" s="620"/>
      <c r="B8551" s="620"/>
      <c r="C8551" s="620"/>
      <c r="D8551" s="620"/>
      <c r="E8551" s="620"/>
      <c r="F8551" s="620"/>
      <c r="G8551" s="620"/>
      <c r="H8551" s="620"/>
      <c r="I8551" s="620"/>
      <c r="J8551" s="620"/>
      <c r="K8551" s="620"/>
      <c r="L8551" s="620"/>
      <c r="M8551" s="620"/>
      <c r="N8551" s="620"/>
      <c r="O8551" s="620"/>
      <c r="P8551" s="49"/>
      <c r="Q8551" s="1"/>
      <c r="R8551" s="620"/>
      <c r="S8551" s="1"/>
      <c r="T8551" s="1"/>
      <c r="U8551" s="1"/>
      <c r="V8551" s="1"/>
      <c r="W8551" s="1"/>
      <c r="X8551" s="1"/>
      <c r="Y8551" s="1"/>
      <c r="Z8551" s="620"/>
      <c r="AA8551" s="620"/>
      <c r="AB8551" s="1"/>
      <c r="AC8551" s="1"/>
      <c r="AD8551" s="1"/>
      <c r="AE8551" s="1"/>
      <c r="AF8551" s="1"/>
      <c r="AG8551" s="1"/>
      <c r="AH8551" s="1"/>
      <c r="AI8551" s="1"/>
      <c r="AJ8551" s="1"/>
      <c r="AK8551" s="1"/>
      <c r="AL8551" s="1"/>
      <c r="AM8551" s="1"/>
    </row>
    <row r="8552" spans="1:39" x14ac:dyDescent="0.25">
      <c r="A8552" s="620"/>
      <c r="B8552" s="620"/>
      <c r="C8552" s="620"/>
      <c r="D8552" s="620"/>
      <c r="E8552" s="620"/>
      <c r="F8552" s="620"/>
      <c r="G8552" s="620"/>
      <c r="H8552" s="620"/>
      <c r="I8552" s="620"/>
      <c r="J8552" s="620"/>
      <c r="K8552" s="620"/>
      <c r="L8552" s="620"/>
      <c r="M8552" s="620"/>
      <c r="N8552" s="620"/>
      <c r="O8552" s="620"/>
      <c r="P8552" s="49"/>
      <c r="Q8552" s="1"/>
      <c r="R8552" s="620"/>
      <c r="S8552" s="1"/>
      <c r="T8552" s="1"/>
      <c r="U8552" s="1"/>
      <c r="V8552" s="1"/>
      <c r="W8552" s="1"/>
      <c r="X8552" s="1"/>
      <c r="Y8552" s="1"/>
      <c r="Z8552" s="620"/>
      <c r="AA8552" s="620"/>
      <c r="AB8552" s="1"/>
      <c r="AC8552" s="1"/>
      <c r="AD8552" s="1"/>
      <c r="AE8552" s="1"/>
      <c r="AF8552" s="1"/>
      <c r="AG8552" s="1"/>
      <c r="AH8552" s="1"/>
      <c r="AI8552" s="1"/>
      <c r="AJ8552" s="1"/>
      <c r="AK8552" s="1"/>
      <c r="AL8552" s="1"/>
      <c r="AM8552" s="1"/>
    </row>
    <row r="8553" spans="1:39" x14ac:dyDescent="0.25">
      <c r="A8553" s="620"/>
      <c r="B8553" s="620"/>
      <c r="C8553" s="620"/>
      <c r="D8553" s="620"/>
      <c r="E8553" s="620"/>
      <c r="F8553" s="620"/>
      <c r="G8553" s="620"/>
      <c r="H8553" s="620"/>
      <c r="I8553" s="620"/>
      <c r="J8553" s="620"/>
      <c r="K8553" s="620"/>
      <c r="L8553" s="620"/>
      <c r="M8553" s="620"/>
      <c r="N8553" s="620"/>
      <c r="O8553" s="620"/>
      <c r="P8553" s="49"/>
      <c r="Q8553" s="1"/>
      <c r="R8553" s="620"/>
      <c r="S8553" s="1"/>
      <c r="T8553" s="1"/>
      <c r="U8553" s="1"/>
      <c r="V8553" s="1"/>
      <c r="W8553" s="1"/>
      <c r="X8553" s="1"/>
      <c r="Y8553" s="1"/>
      <c r="Z8553" s="620"/>
      <c r="AA8553" s="620"/>
      <c r="AB8553" s="1"/>
      <c r="AC8553" s="1"/>
      <c r="AD8553" s="1"/>
      <c r="AE8553" s="1"/>
      <c r="AF8553" s="1"/>
      <c r="AG8553" s="1"/>
      <c r="AH8553" s="1"/>
      <c r="AI8553" s="1"/>
      <c r="AJ8553" s="1"/>
      <c r="AK8553" s="1"/>
      <c r="AL8553" s="1"/>
      <c r="AM8553" s="1"/>
    </row>
    <row r="8554" spans="1:39" x14ac:dyDescent="0.25">
      <c r="A8554" s="620"/>
      <c r="B8554" s="620"/>
      <c r="C8554" s="620"/>
      <c r="D8554" s="620"/>
      <c r="E8554" s="620"/>
      <c r="F8554" s="620"/>
      <c r="G8554" s="620"/>
      <c r="H8554" s="620"/>
      <c r="I8554" s="620"/>
      <c r="J8554" s="620"/>
      <c r="K8554" s="620"/>
      <c r="L8554" s="620"/>
      <c r="M8554" s="620"/>
      <c r="N8554" s="620"/>
      <c r="O8554" s="620"/>
      <c r="P8554" s="49"/>
      <c r="Q8554" s="1"/>
      <c r="R8554" s="620"/>
      <c r="S8554" s="1"/>
      <c r="T8554" s="1"/>
      <c r="U8554" s="1"/>
      <c r="V8554" s="1"/>
      <c r="W8554" s="1"/>
      <c r="X8554" s="1"/>
      <c r="Y8554" s="1"/>
      <c r="Z8554" s="620"/>
      <c r="AA8554" s="620"/>
      <c r="AB8554" s="1"/>
      <c r="AC8554" s="1"/>
      <c r="AD8554" s="1"/>
      <c r="AE8554" s="1"/>
      <c r="AF8554" s="1"/>
      <c r="AG8554" s="1"/>
      <c r="AH8554" s="1"/>
      <c r="AI8554" s="1"/>
      <c r="AJ8554" s="1"/>
      <c r="AK8554" s="1"/>
      <c r="AL8554" s="1"/>
      <c r="AM8554" s="1"/>
    </row>
    <row r="8555" spans="1:39" x14ac:dyDescent="0.25">
      <c r="A8555" s="620"/>
      <c r="B8555" s="620"/>
      <c r="C8555" s="620"/>
      <c r="D8555" s="620"/>
      <c r="E8555" s="620"/>
      <c r="F8555" s="620"/>
      <c r="G8555" s="620"/>
      <c r="H8555" s="620"/>
      <c r="I8555" s="620"/>
      <c r="J8555" s="620"/>
      <c r="K8555" s="620"/>
      <c r="L8555" s="620"/>
      <c r="M8555" s="620"/>
      <c r="N8555" s="620"/>
      <c r="O8555" s="620"/>
      <c r="P8555" s="49"/>
      <c r="Q8555" s="1"/>
      <c r="R8555" s="620"/>
      <c r="S8555" s="1"/>
      <c r="T8555" s="1"/>
      <c r="U8555" s="1"/>
      <c r="V8555" s="1"/>
      <c r="W8555" s="1"/>
      <c r="X8555" s="1"/>
      <c r="Y8555" s="1"/>
      <c r="Z8555" s="620"/>
      <c r="AA8555" s="620"/>
      <c r="AB8555" s="1"/>
      <c r="AC8555" s="1"/>
      <c r="AD8555" s="1"/>
      <c r="AE8555" s="1"/>
      <c r="AF8555" s="1"/>
      <c r="AG8555" s="1"/>
      <c r="AH8555" s="1"/>
      <c r="AI8555" s="1"/>
      <c r="AJ8555" s="1"/>
      <c r="AK8555" s="1"/>
      <c r="AL8555" s="1"/>
      <c r="AM8555" s="1"/>
    </row>
    <row r="8556" spans="1:39" x14ac:dyDescent="0.25">
      <c r="A8556" s="620"/>
      <c r="B8556" s="620"/>
      <c r="C8556" s="620"/>
      <c r="D8556" s="620"/>
      <c r="E8556" s="620"/>
      <c r="F8556" s="620"/>
      <c r="G8556" s="620"/>
      <c r="H8556" s="620"/>
      <c r="I8556" s="620"/>
      <c r="J8556" s="620"/>
      <c r="K8556" s="620"/>
      <c r="L8556" s="620"/>
      <c r="M8556" s="620"/>
      <c r="N8556" s="620"/>
      <c r="O8556" s="620"/>
      <c r="P8556" s="49"/>
      <c r="Q8556" s="1"/>
      <c r="R8556" s="620"/>
      <c r="S8556" s="1"/>
      <c r="T8556" s="1"/>
      <c r="U8556" s="1"/>
      <c r="V8556" s="1"/>
      <c r="W8556" s="1"/>
      <c r="X8556" s="1"/>
      <c r="Y8556" s="1"/>
      <c r="Z8556" s="620"/>
      <c r="AA8556" s="620"/>
      <c r="AB8556" s="1"/>
      <c r="AC8556" s="1"/>
      <c r="AD8556" s="1"/>
      <c r="AE8556" s="1"/>
      <c r="AF8556" s="1"/>
      <c r="AG8556" s="1"/>
      <c r="AH8556" s="1"/>
      <c r="AI8556" s="1"/>
      <c r="AJ8556" s="1"/>
      <c r="AK8556" s="1"/>
      <c r="AL8556" s="1"/>
      <c r="AM8556" s="1"/>
    </row>
    <row r="8557" spans="1:39" x14ac:dyDescent="0.25">
      <c r="A8557" s="620"/>
      <c r="B8557" s="620"/>
      <c r="C8557" s="620"/>
      <c r="D8557" s="620"/>
      <c r="E8557" s="620"/>
      <c r="F8557" s="620"/>
      <c r="G8557" s="620"/>
      <c r="H8557" s="620"/>
      <c r="I8557" s="620"/>
      <c r="J8557" s="620"/>
      <c r="K8557" s="620"/>
      <c r="L8557" s="620"/>
      <c r="M8557" s="620"/>
      <c r="N8557" s="620"/>
      <c r="O8557" s="620"/>
      <c r="P8557" s="49"/>
      <c r="Q8557" s="1"/>
      <c r="R8557" s="620"/>
      <c r="S8557" s="1"/>
      <c r="T8557" s="1"/>
      <c r="U8557" s="1"/>
      <c r="V8557" s="1"/>
      <c r="W8557" s="1"/>
      <c r="X8557" s="1"/>
      <c r="Y8557" s="1"/>
      <c r="Z8557" s="620"/>
      <c r="AA8557" s="620"/>
      <c r="AB8557" s="1"/>
      <c r="AC8557" s="1"/>
      <c r="AD8557" s="1"/>
      <c r="AE8557" s="1"/>
      <c r="AF8557" s="1"/>
      <c r="AG8557" s="1"/>
      <c r="AH8557" s="1"/>
      <c r="AI8557" s="1"/>
      <c r="AJ8557" s="1"/>
      <c r="AK8557" s="1"/>
      <c r="AL8557" s="1"/>
      <c r="AM8557" s="1"/>
    </row>
    <row r="8558" spans="1:39" x14ac:dyDescent="0.25">
      <c r="A8558" s="620"/>
      <c r="B8558" s="620"/>
      <c r="C8558" s="620"/>
      <c r="D8558" s="620"/>
      <c r="E8558" s="620"/>
      <c r="F8558" s="620"/>
      <c r="G8558" s="620"/>
      <c r="H8558" s="620"/>
      <c r="I8558" s="620"/>
      <c r="J8558" s="620"/>
      <c r="K8558" s="620"/>
      <c r="L8558" s="620"/>
      <c r="M8558" s="620"/>
      <c r="N8558" s="620"/>
      <c r="O8558" s="620"/>
      <c r="P8558" s="49"/>
      <c r="Q8558" s="1"/>
      <c r="R8558" s="620"/>
      <c r="S8558" s="1"/>
      <c r="T8558" s="1"/>
      <c r="U8558" s="1"/>
      <c r="V8558" s="1"/>
      <c r="W8558" s="1"/>
      <c r="X8558" s="1"/>
      <c r="Y8558" s="1"/>
      <c r="Z8558" s="620"/>
      <c r="AA8558" s="620"/>
      <c r="AB8558" s="1"/>
      <c r="AC8558" s="1"/>
      <c r="AD8558" s="1"/>
      <c r="AE8558" s="1"/>
      <c r="AF8558" s="1"/>
      <c r="AG8558" s="1"/>
      <c r="AH8558" s="1"/>
      <c r="AI8558" s="1"/>
      <c r="AJ8558" s="1"/>
      <c r="AK8558" s="1"/>
      <c r="AL8558" s="1"/>
      <c r="AM8558" s="1"/>
    </row>
    <row r="8559" spans="1:39" x14ac:dyDescent="0.25">
      <c r="A8559" s="620"/>
      <c r="B8559" s="620"/>
      <c r="C8559" s="620"/>
      <c r="D8559" s="620"/>
      <c r="E8559" s="620"/>
      <c r="F8559" s="620"/>
      <c r="G8559" s="620"/>
      <c r="H8559" s="620"/>
      <c r="I8559" s="620"/>
      <c r="J8559" s="620"/>
      <c r="K8559" s="620"/>
      <c r="L8559" s="620"/>
      <c r="M8559" s="620"/>
      <c r="N8559" s="620"/>
      <c r="O8559" s="620"/>
      <c r="P8559" s="49"/>
      <c r="Q8559" s="1"/>
      <c r="R8559" s="620"/>
      <c r="S8559" s="1"/>
      <c r="T8559" s="1"/>
      <c r="U8559" s="1"/>
      <c r="V8559" s="1"/>
      <c r="W8559" s="1"/>
      <c r="X8559" s="1"/>
      <c r="Y8559" s="1"/>
      <c r="Z8559" s="620"/>
      <c r="AA8559" s="620"/>
      <c r="AB8559" s="1"/>
      <c r="AC8559" s="1"/>
      <c r="AD8559" s="1"/>
      <c r="AE8559" s="1"/>
      <c r="AF8559" s="1"/>
      <c r="AG8559" s="1"/>
      <c r="AH8559" s="1"/>
      <c r="AI8559" s="1"/>
      <c r="AJ8559" s="1"/>
      <c r="AK8559" s="1"/>
      <c r="AL8559" s="1"/>
      <c r="AM8559" s="1"/>
    </row>
    <row r="8560" spans="1:39" x14ac:dyDescent="0.25">
      <c r="A8560" s="620"/>
      <c r="B8560" s="620"/>
      <c r="C8560" s="620"/>
      <c r="D8560" s="620"/>
      <c r="E8560" s="620"/>
      <c r="F8560" s="620"/>
      <c r="G8560" s="620"/>
      <c r="H8560" s="620"/>
      <c r="I8560" s="620"/>
      <c r="J8560" s="620"/>
      <c r="K8560" s="620"/>
      <c r="L8560" s="620"/>
      <c r="M8560" s="620"/>
      <c r="N8560" s="620"/>
      <c r="O8560" s="620"/>
      <c r="P8560" s="49"/>
      <c r="Q8560" s="1"/>
      <c r="R8560" s="620"/>
      <c r="S8560" s="1"/>
      <c r="T8560" s="1"/>
      <c r="U8560" s="1"/>
      <c r="V8560" s="1"/>
      <c r="W8560" s="1"/>
      <c r="X8560" s="1"/>
      <c r="Y8560" s="1"/>
      <c r="Z8560" s="620"/>
      <c r="AA8560" s="620"/>
      <c r="AB8560" s="1"/>
      <c r="AC8560" s="1"/>
      <c r="AD8560" s="1"/>
      <c r="AE8560" s="1"/>
      <c r="AF8560" s="1"/>
      <c r="AG8560" s="1"/>
      <c r="AH8560" s="1"/>
      <c r="AI8560" s="1"/>
      <c r="AJ8560" s="1"/>
      <c r="AK8560" s="1"/>
      <c r="AL8560" s="1"/>
      <c r="AM8560" s="1"/>
    </row>
    <row r="8561" spans="1:39" x14ac:dyDescent="0.25">
      <c r="A8561" s="620"/>
      <c r="B8561" s="620"/>
      <c r="C8561" s="620"/>
      <c r="D8561" s="620"/>
      <c r="E8561" s="620"/>
      <c r="F8561" s="620"/>
      <c r="G8561" s="620"/>
      <c r="H8561" s="620"/>
      <c r="I8561" s="620"/>
      <c r="J8561" s="620"/>
      <c r="K8561" s="620"/>
      <c r="L8561" s="620"/>
      <c r="M8561" s="620"/>
      <c r="N8561" s="620"/>
      <c r="O8561" s="620"/>
      <c r="P8561" s="49"/>
      <c r="Q8561" s="1"/>
      <c r="R8561" s="620"/>
      <c r="S8561" s="1"/>
      <c r="T8561" s="1"/>
      <c r="U8561" s="1"/>
      <c r="V8561" s="1"/>
      <c r="W8561" s="1"/>
      <c r="X8561" s="1"/>
      <c r="Y8561" s="1"/>
      <c r="Z8561" s="620"/>
      <c r="AA8561" s="620"/>
      <c r="AB8561" s="1"/>
      <c r="AC8561" s="1"/>
      <c r="AD8561" s="1"/>
      <c r="AE8561" s="1"/>
      <c r="AF8561" s="1"/>
      <c r="AG8561" s="1"/>
      <c r="AH8561" s="1"/>
      <c r="AI8561" s="1"/>
      <c r="AJ8561" s="1"/>
      <c r="AK8561" s="1"/>
      <c r="AL8561" s="1"/>
      <c r="AM8561" s="1"/>
    </row>
    <row r="8562" spans="1:39" x14ac:dyDescent="0.25">
      <c r="A8562" s="620"/>
      <c r="B8562" s="620"/>
      <c r="C8562" s="620"/>
      <c r="D8562" s="620"/>
      <c r="E8562" s="620"/>
      <c r="F8562" s="620"/>
      <c r="G8562" s="620"/>
      <c r="H8562" s="620"/>
      <c r="I8562" s="620"/>
      <c r="J8562" s="620"/>
      <c r="K8562" s="620"/>
      <c r="L8562" s="620"/>
      <c r="M8562" s="620"/>
      <c r="N8562" s="620"/>
      <c r="O8562" s="620"/>
      <c r="P8562" s="49"/>
      <c r="Q8562" s="1"/>
      <c r="R8562" s="620"/>
      <c r="S8562" s="1"/>
      <c r="T8562" s="1"/>
      <c r="U8562" s="1"/>
      <c r="V8562" s="1"/>
      <c r="W8562" s="1"/>
      <c r="X8562" s="1"/>
      <c r="Y8562" s="1"/>
      <c r="Z8562" s="620"/>
      <c r="AA8562" s="620"/>
      <c r="AB8562" s="1"/>
      <c r="AC8562" s="1"/>
      <c r="AD8562" s="1"/>
      <c r="AE8562" s="1"/>
      <c r="AF8562" s="1"/>
      <c r="AG8562" s="1"/>
      <c r="AH8562" s="1"/>
      <c r="AI8562" s="1"/>
      <c r="AJ8562" s="1"/>
      <c r="AK8562" s="1"/>
      <c r="AL8562" s="1"/>
      <c r="AM8562" s="1"/>
    </row>
    <row r="8563" spans="1:39" x14ac:dyDescent="0.25">
      <c r="A8563" s="620"/>
      <c r="B8563" s="620"/>
      <c r="C8563" s="620"/>
      <c r="D8563" s="620"/>
      <c r="E8563" s="620"/>
      <c r="F8563" s="620"/>
      <c r="G8563" s="620"/>
      <c r="H8563" s="620"/>
      <c r="I8563" s="620"/>
      <c r="J8563" s="620"/>
      <c r="K8563" s="620"/>
      <c r="L8563" s="620"/>
      <c r="M8563" s="620"/>
      <c r="N8563" s="620"/>
      <c r="O8563" s="620"/>
      <c r="P8563" s="49"/>
      <c r="Q8563" s="1"/>
      <c r="R8563" s="620"/>
      <c r="S8563" s="1"/>
      <c r="T8563" s="1"/>
      <c r="U8563" s="1"/>
      <c r="V8563" s="1"/>
      <c r="W8563" s="1"/>
      <c r="X8563" s="1"/>
      <c r="Y8563" s="1"/>
      <c r="Z8563" s="620"/>
      <c r="AA8563" s="620"/>
      <c r="AB8563" s="1"/>
      <c r="AC8563" s="1"/>
      <c r="AD8563" s="1"/>
      <c r="AE8563" s="1"/>
      <c r="AF8563" s="1"/>
      <c r="AG8563" s="1"/>
      <c r="AH8563" s="1"/>
      <c r="AI8563" s="1"/>
      <c r="AJ8563" s="1"/>
      <c r="AK8563" s="1"/>
      <c r="AL8563" s="1"/>
      <c r="AM8563" s="1"/>
    </row>
    <row r="8564" spans="1:39" x14ac:dyDescent="0.25">
      <c r="A8564" s="620"/>
      <c r="B8564" s="620"/>
      <c r="C8564" s="620"/>
      <c r="D8564" s="620"/>
      <c r="E8564" s="620"/>
      <c r="F8564" s="620"/>
      <c r="G8564" s="620"/>
      <c r="H8564" s="620"/>
      <c r="I8564" s="620"/>
      <c r="J8564" s="620"/>
      <c r="K8564" s="620"/>
      <c r="L8564" s="620"/>
      <c r="M8564" s="620"/>
      <c r="N8564" s="620"/>
      <c r="O8564" s="620"/>
      <c r="P8564" s="49"/>
      <c r="Q8564" s="1"/>
      <c r="R8564" s="620"/>
      <c r="S8564" s="1"/>
      <c r="T8564" s="1"/>
      <c r="U8564" s="1"/>
      <c r="V8564" s="1"/>
      <c r="W8564" s="1"/>
      <c r="X8564" s="1"/>
      <c r="Y8564" s="1"/>
      <c r="Z8564" s="620"/>
      <c r="AA8564" s="620"/>
      <c r="AB8564" s="1"/>
      <c r="AC8564" s="1"/>
      <c r="AD8564" s="1"/>
      <c r="AE8564" s="1"/>
      <c r="AF8564" s="1"/>
      <c r="AG8564" s="1"/>
      <c r="AH8564" s="1"/>
      <c r="AI8564" s="1"/>
      <c r="AJ8564" s="1"/>
      <c r="AK8564" s="1"/>
      <c r="AL8564" s="1"/>
      <c r="AM8564" s="1"/>
    </row>
    <row r="8565" spans="1:39" x14ac:dyDescent="0.25">
      <c r="A8565" s="620"/>
      <c r="B8565" s="620"/>
      <c r="C8565" s="620"/>
      <c r="D8565" s="620"/>
      <c r="E8565" s="620"/>
      <c r="F8565" s="620"/>
      <c r="G8565" s="620"/>
      <c r="H8565" s="620"/>
      <c r="I8565" s="620"/>
      <c r="J8565" s="620"/>
      <c r="K8565" s="620"/>
      <c r="L8565" s="620"/>
      <c r="M8565" s="620"/>
      <c r="N8565" s="620"/>
      <c r="O8565" s="620"/>
      <c r="P8565" s="49"/>
      <c r="Q8565" s="1"/>
      <c r="R8565" s="620"/>
      <c r="S8565" s="1"/>
      <c r="T8565" s="1"/>
      <c r="U8565" s="1"/>
      <c r="V8565" s="1"/>
      <c r="W8565" s="1"/>
      <c r="X8565" s="1"/>
      <c r="Y8565" s="1"/>
      <c r="Z8565" s="620"/>
      <c r="AA8565" s="620"/>
      <c r="AB8565" s="1"/>
      <c r="AC8565" s="1"/>
      <c r="AD8565" s="1"/>
      <c r="AE8565" s="1"/>
      <c r="AF8565" s="1"/>
      <c r="AG8565" s="1"/>
      <c r="AH8565" s="1"/>
      <c r="AI8565" s="1"/>
      <c r="AJ8565" s="1"/>
      <c r="AK8565" s="1"/>
      <c r="AL8565" s="1"/>
      <c r="AM8565" s="1"/>
    </row>
    <row r="8566" spans="1:39" x14ac:dyDescent="0.25">
      <c r="A8566" s="620"/>
      <c r="B8566" s="620"/>
      <c r="C8566" s="620"/>
      <c r="D8566" s="620"/>
      <c r="E8566" s="620"/>
      <c r="F8566" s="620"/>
      <c r="G8566" s="620"/>
      <c r="H8566" s="620"/>
      <c r="I8566" s="620"/>
      <c r="J8566" s="620"/>
      <c r="K8566" s="620"/>
      <c r="L8566" s="620"/>
      <c r="M8566" s="620"/>
      <c r="N8566" s="620"/>
      <c r="O8566" s="620"/>
      <c r="P8566" s="49"/>
      <c r="Q8566" s="1"/>
      <c r="R8566" s="620"/>
      <c r="S8566" s="1"/>
      <c r="T8566" s="1"/>
      <c r="U8566" s="1"/>
      <c r="V8566" s="1"/>
      <c r="W8566" s="1"/>
      <c r="X8566" s="1"/>
      <c r="Y8566" s="1"/>
      <c r="Z8566" s="620"/>
      <c r="AA8566" s="620"/>
      <c r="AB8566" s="1"/>
      <c r="AC8566" s="1"/>
      <c r="AD8566" s="1"/>
      <c r="AE8566" s="1"/>
      <c r="AF8566" s="1"/>
      <c r="AG8566" s="1"/>
      <c r="AH8566" s="1"/>
      <c r="AI8566" s="1"/>
      <c r="AJ8566" s="1"/>
      <c r="AK8566" s="1"/>
      <c r="AL8566" s="1"/>
      <c r="AM8566" s="1"/>
    </row>
    <row r="8567" spans="1:39" x14ac:dyDescent="0.25">
      <c r="A8567" s="620"/>
      <c r="B8567" s="620"/>
      <c r="C8567" s="620"/>
      <c r="D8567" s="620"/>
      <c r="E8567" s="620"/>
      <c r="F8567" s="620"/>
      <c r="G8567" s="620"/>
      <c r="H8567" s="620"/>
      <c r="I8567" s="620"/>
      <c r="J8567" s="620"/>
      <c r="K8567" s="620"/>
      <c r="L8567" s="620"/>
      <c r="M8567" s="620"/>
      <c r="N8567" s="620"/>
      <c r="O8567" s="620"/>
      <c r="P8567" s="49"/>
      <c r="Q8567" s="1"/>
      <c r="R8567" s="620"/>
      <c r="S8567" s="1"/>
      <c r="T8567" s="1"/>
      <c r="U8567" s="1"/>
      <c r="V8567" s="1"/>
      <c r="W8567" s="1"/>
      <c r="X8567" s="1"/>
      <c r="Y8567" s="1"/>
      <c r="Z8567" s="620"/>
      <c r="AA8567" s="620"/>
      <c r="AB8567" s="1"/>
      <c r="AC8567" s="1"/>
      <c r="AD8567" s="1"/>
      <c r="AE8567" s="1"/>
      <c r="AF8567" s="1"/>
      <c r="AG8567" s="1"/>
      <c r="AH8567" s="1"/>
      <c r="AI8567" s="1"/>
      <c r="AJ8567" s="1"/>
      <c r="AK8567" s="1"/>
      <c r="AL8567" s="1"/>
      <c r="AM8567" s="1"/>
    </row>
    <row r="8568" spans="1:39" x14ac:dyDescent="0.25">
      <c r="A8568" s="620"/>
      <c r="B8568" s="620"/>
      <c r="C8568" s="620"/>
      <c r="D8568" s="620"/>
      <c r="E8568" s="620"/>
      <c r="F8568" s="620"/>
      <c r="G8568" s="620"/>
      <c r="H8568" s="620"/>
      <c r="I8568" s="620"/>
      <c r="J8568" s="620"/>
      <c r="K8568" s="620"/>
      <c r="L8568" s="620"/>
      <c r="M8568" s="620"/>
      <c r="N8568" s="620"/>
      <c r="O8568" s="620"/>
      <c r="P8568" s="49"/>
      <c r="Q8568" s="1"/>
      <c r="R8568" s="620"/>
      <c r="S8568" s="1"/>
      <c r="T8568" s="1"/>
      <c r="U8568" s="1"/>
      <c r="V8568" s="1"/>
      <c r="W8568" s="1"/>
      <c r="X8568" s="1"/>
      <c r="Y8568" s="1"/>
      <c r="Z8568" s="620"/>
      <c r="AA8568" s="620"/>
      <c r="AB8568" s="1"/>
      <c r="AC8568" s="1"/>
      <c r="AD8568" s="1"/>
      <c r="AE8568" s="1"/>
      <c r="AF8568" s="1"/>
      <c r="AG8568" s="1"/>
      <c r="AH8568" s="1"/>
      <c r="AI8568" s="1"/>
      <c r="AJ8568" s="1"/>
      <c r="AK8568" s="1"/>
      <c r="AL8568" s="1"/>
      <c r="AM8568" s="1"/>
    </row>
    <row r="8569" spans="1:39" x14ac:dyDescent="0.25">
      <c r="A8569" s="620"/>
      <c r="B8569" s="620"/>
      <c r="C8569" s="620"/>
      <c r="D8569" s="620"/>
      <c r="E8569" s="620"/>
      <c r="F8569" s="620"/>
      <c r="G8569" s="620"/>
      <c r="H8569" s="620"/>
      <c r="I8569" s="620"/>
      <c r="J8569" s="620"/>
      <c r="K8569" s="620"/>
      <c r="L8569" s="620"/>
      <c r="M8569" s="620"/>
      <c r="N8569" s="620"/>
      <c r="O8569" s="620"/>
      <c r="P8569" s="49"/>
      <c r="Q8569" s="1"/>
      <c r="R8569" s="620"/>
      <c r="S8569" s="1"/>
      <c r="T8569" s="1"/>
      <c r="U8569" s="1"/>
      <c r="V8569" s="1"/>
      <c r="W8569" s="1"/>
      <c r="X8569" s="1"/>
      <c r="Y8569" s="1"/>
      <c r="Z8569" s="620"/>
      <c r="AA8569" s="620"/>
      <c r="AB8569" s="1"/>
      <c r="AC8569" s="1"/>
      <c r="AD8569" s="1"/>
      <c r="AE8569" s="1"/>
      <c r="AF8569" s="1"/>
      <c r="AG8569" s="1"/>
      <c r="AH8569" s="1"/>
      <c r="AI8569" s="1"/>
      <c r="AJ8569" s="1"/>
      <c r="AK8569" s="1"/>
      <c r="AL8569" s="1"/>
      <c r="AM8569" s="1"/>
    </row>
    <row r="8570" spans="1:39" x14ac:dyDescent="0.25">
      <c r="A8570" s="620"/>
      <c r="B8570" s="620"/>
      <c r="C8570" s="620"/>
      <c r="D8570" s="620"/>
      <c r="E8570" s="620"/>
      <c r="F8570" s="620"/>
      <c r="G8570" s="620"/>
      <c r="H8570" s="620"/>
      <c r="I8570" s="620"/>
      <c r="J8570" s="620"/>
      <c r="K8570" s="620"/>
      <c r="L8570" s="620"/>
      <c r="M8570" s="620"/>
      <c r="N8570" s="620"/>
      <c r="O8570" s="620"/>
      <c r="P8570" s="49"/>
      <c r="Q8570" s="1"/>
      <c r="R8570" s="620"/>
      <c r="S8570" s="1"/>
      <c r="T8570" s="1"/>
      <c r="U8570" s="1"/>
      <c r="V8570" s="1"/>
      <c r="W8570" s="1"/>
      <c r="X8570" s="1"/>
      <c r="Y8570" s="1"/>
      <c r="Z8570" s="620"/>
      <c r="AA8570" s="620"/>
      <c r="AB8570" s="1"/>
      <c r="AC8570" s="1"/>
      <c r="AD8570" s="1"/>
      <c r="AE8570" s="1"/>
      <c r="AF8570" s="1"/>
      <c r="AG8570" s="1"/>
      <c r="AH8570" s="1"/>
      <c r="AI8570" s="1"/>
      <c r="AJ8570" s="1"/>
      <c r="AK8570" s="1"/>
      <c r="AL8570" s="1"/>
      <c r="AM8570" s="1"/>
    </row>
    <row r="8571" spans="1:39" x14ac:dyDescent="0.25">
      <c r="A8571" s="620"/>
      <c r="B8571" s="620"/>
      <c r="C8571" s="620"/>
      <c r="D8571" s="620"/>
      <c r="E8571" s="620"/>
      <c r="F8571" s="620"/>
      <c r="G8571" s="620"/>
      <c r="H8571" s="620"/>
      <c r="I8571" s="620"/>
      <c r="J8571" s="620"/>
      <c r="K8571" s="620"/>
      <c r="L8571" s="620"/>
      <c r="M8571" s="620"/>
      <c r="N8571" s="620"/>
      <c r="O8571" s="620"/>
      <c r="P8571" s="49"/>
      <c r="Q8571" s="1"/>
      <c r="R8571" s="620"/>
      <c r="S8571" s="1"/>
      <c r="T8571" s="1"/>
      <c r="U8571" s="1"/>
      <c r="V8571" s="1"/>
      <c r="W8571" s="1"/>
      <c r="X8571" s="1"/>
      <c r="Y8571" s="1"/>
      <c r="Z8571" s="620"/>
      <c r="AA8571" s="620"/>
      <c r="AB8571" s="1"/>
      <c r="AC8571" s="1"/>
      <c r="AD8571" s="1"/>
      <c r="AE8571" s="1"/>
      <c r="AF8571" s="1"/>
      <c r="AG8571" s="1"/>
      <c r="AH8571" s="1"/>
      <c r="AI8571" s="1"/>
      <c r="AJ8571" s="1"/>
      <c r="AK8571" s="1"/>
      <c r="AL8571" s="1"/>
      <c r="AM8571" s="1"/>
    </row>
    <row r="8572" spans="1:39" x14ac:dyDescent="0.25">
      <c r="A8572" s="620"/>
      <c r="B8572" s="620"/>
      <c r="C8572" s="620"/>
      <c r="D8572" s="620"/>
      <c r="E8572" s="620"/>
      <c r="F8572" s="620"/>
      <c r="G8572" s="620"/>
      <c r="H8572" s="620"/>
      <c r="I8572" s="620"/>
      <c r="J8572" s="620"/>
      <c r="K8572" s="620"/>
      <c r="L8572" s="620"/>
      <c r="M8572" s="620"/>
      <c r="N8572" s="620"/>
      <c r="O8572" s="620"/>
      <c r="P8572" s="49"/>
      <c r="Q8572" s="1"/>
      <c r="R8572" s="620"/>
      <c r="S8572" s="1"/>
      <c r="T8572" s="1"/>
      <c r="U8572" s="1"/>
      <c r="V8572" s="1"/>
      <c r="W8572" s="1"/>
      <c r="X8572" s="1"/>
      <c r="Y8572" s="1"/>
      <c r="Z8572" s="620"/>
      <c r="AA8572" s="620"/>
      <c r="AB8572" s="1"/>
      <c r="AC8572" s="1"/>
      <c r="AD8572" s="1"/>
      <c r="AE8572" s="1"/>
      <c r="AF8572" s="1"/>
      <c r="AG8572" s="1"/>
      <c r="AH8572" s="1"/>
      <c r="AI8572" s="1"/>
      <c r="AJ8572" s="1"/>
      <c r="AK8572" s="1"/>
      <c r="AL8572" s="1"/>
      <c r="AM8572" s="1"/>
    </row>
    <row r="8573" spans="1:39" x14ac:dyDescent="0.25">
      <c r="A8573" s="620"/>
      <c r="B8573" s="620"/>
      <c r="C8573" s="620"/>
      <c r="D8573" s="620"/>
      <c r="E8573" s="620"/>
      <c r="F8573" s="620"/>
      <c r="G8573" s="620"/>
      <c r="H8573" s="620"/>
      <c r="I8573" s="620"/>
      <c r="J8573" s="620"/>
      <c r="K8573" s="620"/>
      <c r="L8573" s="620"/>
      <c r="M8573" s="620"/>
      <c r="N8573" s="620"/>
      <c r="O8573" s="620"/>
      <c r="P8573" s="49"/>
      <c r="Q8573" s="1"/>
      <c r="R8573" s="620"/>
      <c r="S8573" s="1"/>
      <c r="T8573" s="1"/>
      <c r="U8573" s="1"/>
      <c r="V8573" s="1"/>
      <c r="W8573" s="1"/>
      <c r="X8573" s="1"/>
      <c r="Y8573" s="1"/>
      <c r="Z8573" s="620"/>
      <c r="AA8573" s="620"/>
      <c r="AB8573" s="1"/>
      <c r="AC8573" s="1"/>
      <c r="AD8573" s="1"/>
      <c r="AE8573" s="1"/>
      <c r="AF8573" s="1"/>
      <c r="AG8573" s="1"/>
      <c r="AH8573" s="1"/>
      <c r="AI8573" s="1"/>
      <c r="AJ8573" s="1"/>
      <c r="AK8573" s="1"/>
      <c r="AL8573" s="1"/>
      <c r="AM8573" s="1"/>
    </row>
    <row r="8574" spans="1:39" x14ac:dyDescent="0.25">
      <c r="A8574" s="620"/>
      <c r="B8574" s="620"/>
      <c r="C8574" s="620"/>
      <c r="D8574" s="620"/>
      <c r="E8574" s="620"/>
      <c r="F8574" s="620"/>
      <c r="G8574" s="620"/>
      <c r="H8574" s="620"/>
      <c r="I8574" s="620"/>
      <c r="J8574" s="620"/>
      <c r="K8574" s="620"/>
      <c r="L8574" s="620"/>
      <c r="M8574" s="620"/>
      <c r="N8574" s="620"/>
      <c r="O8574" s="620"/>
      <c r="P8574" s="49"/>
      <c r="Q8574" s="1"/>
      <c r="R8574" s="620"/>
      <c r="S8574" s="1"/>
      <c r="T8574" s="1"/>
      <c r="U8574" s="1"/>
      <c r="V8574" s="1"/>
      <c r="W8574" s="1"/>
      <c r="X8574" s="1"/>
      <c r="Y8574" s="1"/>
      <c r="Z8574" s="620"/>
      <c r="AA8574" s="620"/>
      <c r="AB8574" s="1"/>
      <c r="AC8574" s="1"/>
      <c r="AD8574" s="1"/>
      <c r="AE8574" s="1"/>
      <c r="AF8574" s="1"/>
      <c r="AG8574" s="1"/>
      <c r="AH8574" s="1"/>
      <c r="AI8574" s="1"/>
      <c r="AJ8574" s="1"/>
      <c r="AK8574" s="1"/>
      <c r="AL8574" s="1"/>
      <c r="AM8574" s="1"/>
    </row>
    <row r="8575" spans="1:39" x14ac:dyDescent="0.25">
      <c r="A8575" s="620"/>
      <c r="B8575" s="620"/>
      <c r="C8575" s="620"/>
      <c r="D8575" s="620"/>
      <c r="E8575" s="620"/>
      <c r="F8575" s="620"/>
      <c r="G8575" s="620"/>
      <c r="H8575" s="620"/>
      <c r="I8575" s="620"/>
      <c r="J8575" s="620"/>
      <c r="K8575" s="620"/>
      <c r="L8575" s="620"/>
      <c r="M8575" s="620"/>
      <c r="N8575" s="620"/>
      <c r="O8575" s="620"/>
      <c r="P8575" s="49"/>
      <c r="Q8575" s="1"/>
      <c r="R8575" s="620"/>
      <c r="S8575" s="1"/>
      <c r="T8575" s="1"/>
      <c r="U8575" s="1"/>
      <c r="V8575" s="1"/>
      <c r="W8575" s="1"/>
      <c r="X8575" s="1"/>
      <c r="Y8575" s="1"/>
      <c r="Z8575" s="620"/>
      <c r="AA8575" s="620"/>
      <c r="AB8575" s="1"/>
      <c r="AC8575" s="1"/>
      <c r="AD8575" s="1"/>
      <c r="AE8575" s="1"/>
      <c r="AF8575" s="1"/>
      <c r="AG8575" s="1"/>
      <c r="AH8575" s="1"/>
      <c r="AI8575" s="1"/>
      <c r="AJ8575" s="1"/>
      <c r="AK8575" s="1"/>
      <c r="AL8575" s="1"/>
      <c r="AM8575" s="1"/>
    </row>
    <row r="8576" spans="1:39" x14ac:dyDescent="0.25">
      <c r="A8576" s="620"/>
      <c r="B8576" s="620"/>
      <c r="C8576" s="620"/>
      <c r="D8576" s="620"/>
      <c r="E8576" s="620"/>
      <c r="F8576" s="620"/>
      <c r="G8576" s="620"/>
      <c r="H8576" s="620"/>
      <c r="I8576" s="620"/>
      <c r="J8576" s="620"/>
      <c r="K8576" s="620"/>
      <c r="L8576" s="620"/>
      <c r="M8576" s="620"/>
      <c r="N8576" s="620"/>
      <c r="O8576" s="620"/>
      <c r="P8576" s="49"/>
      <c r="Q8576" s="1"/>
      <c r="R8576" s="620"/>
      <c r="S8576" s="1"/>
      <c r="T8576" s="1"/>
      <c r="U8576" s="1"/>
      <c r="V8576" s="1"/>
      <c r="W8576" s="1"/>
      <c r="X8576" s="1"/>
      <c r="Y8576" s="1"/>
      <c r="Z8576" s="620"/>
      <c r="AA8576" s="620"/>
      <c r="AB8576" s="1"/>
      <c r="AC8576" s="1"/>
      <c r="AD8576" s="1"/>
      <c r="AE8576" s="1"/>
      <c r="AF8576" s="1"/>
      <c r="AG8576" s="1"/>
      <c r="AH8576" s="1"/>
      <c r="AI8576" s="1"/>
      <c r="AJ8576" s="1"/>
      <c r="AK8576" s="1"/>
      <c r="AL8576" s="1"/>
      <c r="AM8576" s="1"/>
    </row>
    <row r="8577" spans="1:39" x14ac:dyDescent="0.25">
      <c r="A8577" s="620"/>
      <c r="B8577" s="620"/>
      <c r="C8577" s="620"/>
      <c r="D8577" s="620"/>
      <c r="E8577" s="620"/>
      <c r="F8577" s="620"/>
      <c r="G8577" s="620"/>
      <c r="H8577" s="620"/>
      <c r="I8577" s="620"/>
      <c r="J8577" s="620"/>
      <c r="K8577" s="620"/>
      <c r="L8577" s="620"/>
      <c r="M8577" s="620"/>
      <c r="N8577" s="620"/>
      <c r="O8577" s="620"/>
      <c r="P8577" s="49"/>
      <c r="Q8577" s="1"/>
      <c r="R8577" s="620"/>
      <c r="S8577" s="1"/>
      <c r="T8577" s="1"/>
      <c r="U8577" s="1"/>
      <c r="V8577" s="1"/>
      <c r="W8577" s="1"/>
      <c r="X8577" s="1"/>
      <c r="Y8577" s="1"/>
      <c r="Z8577" s="620"/>
      <c r="AA8577" s="620"/>
      <c r="AB8577" s="1"/>
      <c r="AC8577" s="1"/>
      <c r="AD8577" s="1"/>
      <c r="AE8577" s="1"/>
      <c r="AF8577" s="1"/>
      <c r="AG8577" s="1"/>
      <c r="AH8577" s="1"/>
      <c r="AI8577" s="1"/>
      <c r="AJ8577" s="1"/>
      <c r="AK8577" s="1"/>
      <c r="AL8577" s="1"/>
      <c r="AM8577" s="1"/>
    </row>
    <row r="8578" spans="1:39" x14ac:dyDescent="0.25">
      <c r="A8578" s="620"/>
      <c r="B8578" s="620"/>
      <c r="C8578" s="620"/>
      <c r="D8578" s="620"/>
      <c r="E8578" s="620"/>
      <c r="F8578" s="620"/>
      <c r="G8578" s="620"/>
      <c r="H8578" s="620"/>
      <c r="I8578" s="620"/>
      <c r="J8578" s="620"/>
      <c r="K8578" s="620"/>
      <c r="L8578" s="620"/>
      <c r="M8578" s="620"/>
      <c r="N8578" s="620"/>
      <c r="O8578" s="620"/>
      <c r="P8578" s="49"/>
      <c r="Q8578" s="1"/>
      <c r="R8578" s="620"/>
      <c r="S8578" s="1"/>
      <c r="T8578" s="1"/>
      <c r="U8578" s="1"/>
      <c r="V8578" s="1"/>
      <c r="W8578" s="1"/>
      <c r="X8578" s="1"/>
      <c r="Y8578" s="1"/>
      <c r="Z8578" s="620"/>
      <c r="AA8578" s="620"/>
      <c r="AB8578" s="1"/>
      <c r="AC8578" s="1"/>
      <c r="AD8578" s="1"/>
      <c r="AE8578" s="1"/>
      <c r="AF8578" s="1"/>
      <c r="AG8578" s="1"/>
      <c r="AH8578" s="1"/>
      <c r="AI8578" s="1"/>
      <c r="AJ8578" s="1"/>
      <c r="AK8578" s="1"/>
      <c r="AL8578" s="1"/>
      <c r="AM8578" s="1"/>
    </row>
    <row r="8579" spans="1:39" x14ac:dyDescent="0.25">
      <c r="A8579" s="620"/>
      <c r="B8579" s="620"/>
      <c r="C8579" s="620"/>
      <c r="D8579" s="620"/>
      <c r="E8579" s="620"/>
      <c r="F8579" s="620"/>
      <c r="G8579" s="620"/>
      <c r="H8579" s="620"/>
      <c r="I8579" s="620"/>
      <c r="J8579" s="620"/>
      <c r="K8579" s="620"/>
      <c r="L8579" s="620"/>
      <c r="M8579" s="620"/>
      <c r="N8579" s="620"/>
      <c r="O8579" s="620"/>
      <c r="P8579" s="49"/>
      <c r="Q8579" s="1"/>
      <c r="R8579" s="620"/>
      <c r="S8579" s="1"/>
      <c r="T8579" s="1"/>
      <c r="U8579" s="1"/>
      <c r="V8579" s="1"/>
      <c r="W8579" s="1"/>
      <c r="X8579" s="1"/>
      <c r="Y8579" s="1"/>
      <c r="Z8579" s="620"/>
      <c r="AA8579" s="620"/>
      <c r="AB8579" s="1"/>
      <c r="AC8579" s="1"/>
      <c r="AD8579" s="1"/>
      <c r="AE8579" s="1"/>
      <c r="AF8579" s="1"/>
      <c r="AG8579" s="1"/>
      <c r="AH8579" s="1"/>
      <c r="AI8579" s="1"/>
      <c r="AJ8579" s="1"/>
      <c r="AK8579" s="1"/>
      <c r="AL8579" s="1"/>
      <c r="AM8579" s="1"/>
    </row>
    <row r="8580" spans="1:39" x14ac:dyDescent="0.25">
      <c r="A8580" s="620"/>
      <c r="B8580" s="620"/>
      <c r="C8580" s="620"/>
      <c r="D8580" s="620"/>
      <c r="E8580" s="620"/>
      <c r="F8580" s="620"/>
      <c r="G8580" s="620"/>
      <c r="H8580" s="620"/>
      <c r="I8580" s="620"/>
      <c r="J8580" s="620"/>
      <c r="K8580" s="620"/>
      <c r="L8580" s="620"/>
      <c r="M8580" s="620"/>
      <c r="N8580" s="620"/>
      <c r="O8580" s="620"/>
      <c r="P8580" s="49"/>
      <c r="Q8580" s="1"/>
      <c r="R8580" s="620"/>
      <c r="S8580" s="1"/>
      <c r="T8580" s="1"/>
      <c r="U8580" s="1"/>
      <c r="V8580" s="1"/>
      <c r="W8580" s="1"/>
      <c r="X8580" s="1"/>
      <c r="Y8580" s="1"/>
      <c r="Z8580" s="620"/>
      <c r="AA8580" s="620"/>
      <c r="AB8580" s="1"/>
      <c r="AC8580" s="1"/>
      <c r="AD8580" s="1"/>
      <c r="AE8580" s="1"/>
      <c r="AF8580" s="1"/>
      <c r="AG8580" s="1"/>
      <c r="AH8580" s="1"/>
      <c r="AI8580" s="1"/>
      <c r="AJ8580" s="1"/>
      <c r="AK8580" s="1"/>
      <c r="AL8580" s="1"/>
      <c r="AM8580" s="1"/>
    </row>
    <row r="8581" spans="1:39" x14ac:dyDescent="0.25">
      <c r="A8581" s="620"/>
      <c r="B8581" s="620"/>
      <c r="C8581" s="620"/>
      <c r="D8581" s="620"/>
      <c r="E8581" s="620"/>
      <c r="F8581" s="620"/>
      <c r="G8581" s="620"/>
      <c r="H8581" s="620"/>
      <c r="I8581" s="620"/>
      <c r="J8581" s="620"/>
      <c r="K8581" s="620"/>
      <c r="L8581" s="620"/>
      <c r="M8581" s="620"/>
      <c r="N8581" s="620"/>
      <c r="O8581" s="620"/>
      <c r="P8581" s="49"/>
      <c r="Q8581" s="1"/>
      <c r="R8581" s="620"/>
      <c r="S8581" s="1"/>
      <c r="T8581" s="1"/>
      <c r="U8581" s="1"/>
      <c r="V8581" s="1"/>
      <c r="W8581" s="1"/>
      <c r="X8581" s="1"/>
      <c r="Y8581" s="1"/>
      <c r="Z8581" s="620"/>
      <c r="AA8581" s="620"/>
      <c r="AB8581" s="1"/>
      <c r="AC8581" s="1"/>
      <c r="AD8581" s="1"/>
      <c r="AE8581" s="1"/>
      <c r="AF8581" s="1"/>
      <c r="AG8581" s="1"/>
      <c r="AH8581" s="1"/>
      <c r="AI8581" s="1"/>
      <c r="AJ8581" s="1"/>
      <c r="AK8581" s="1"/>
      <c r="AL8581" s="1"/>
      <c r="AM8581" s="1"/>
    </row>
    <row r="8582" spans="1:39" x14ac:dyDescent="0.25">
      <c r="A8582" s="620"/>
      <c r="B8582" s="620"/>
      <c r="C8582" s="620"/>
      <c r="D8582" s="620"/>
      <c r="E8582" s="620"/>
      <c r="F8582" s="620"/>
      <c r="G8582" s="620"/>
      <c r="H8582" s="620"/>
      <c r="I8582" s="620"/>
      <c r="J8582" s="620"/>
      <c r="K8582" s="620"/>
      <c r="L8582" s="620"/>
      <c r="M8582" s="620"/>
      <c r="N8582" s="620"/>
      <c r="O8582" s="620"/>
      <c r="P8582" s="49"/>
      <c r="Q8582" s="1"/>
      <c r="R8582" s="620"/>
      <c r="S8582" s="1"/>
      <c r="T8582" s="1"/>
      <c r="U8582" s="1"/>
      <c r="V8582" s="1"/>
      <c r="W8582" s="1"/>
      <c r="X8582" s="1"/>
      <c r="Y8582" s="1"/>
      <c r="Z8582" s="620"/>
      <c r="AA8582" s="620"/>
      <c r="AB8582" s="1"/>
      <c r="AC8582" s="1"/>
      <c r="AD8582" s="1"/>
      <c r="AE8582" s="1"/>
      <c r="AF8582" s="1"/>
      <c r="AG8582" s="1"/>
      <c r="AH8582" s="1"/>
      <c r="AI8582" s="1"/>
      <c r="AJ8582" s="1"/>
      <c r="AK8582" s="1"/>
      <c r="AL8582" s="1"/>
      <c r="AM8582" s="1"/>
    </row>
    <row r="8583" spans="1:39" x14ac:dyDescent="0.25">
      <c r="A8583" s="620"/>
      <c r="B8583" s="620"/>
      <c r="C8583" s="620"/>
      <c r="D8583" s="620"/>
      <c r="E8583" s="620"/>
      <c r="F8583" s="620"/>
      <c r="G8583" s="620"/>
      <c r="H8583" s="620"/>
      <c r="I8583" s="620"/>
      <c r="J8583" s="620"/>
      <c r="K8583" s="620"/>
      <c r="L8583" s="620"/>
      <c r="M8583" s="620"/>
      <c r="N8583" s="620"/>
      <c r="O8583" s="620"/>
      <c r="P8583" s="49"/>
      <c r="Q8583" s="1"/>
      <c r="R8583" s="620"/>
      <c r="S8583" s="1"/>
      <c r="T8583" s="1"/>
      <c r="U8583" s="1"/>
      <c r="V8583" s="1"/>
      <c r="W8583" s="1"/>
      <c r="X8583" s="1"/>
      <c r="Y8583" s="1"/>
      <c r="Z8583" s="620"/>
      <c r="AA8583" s="620"/>
      <c r="AB8583" s="1"/>
      <c r="AC8583" s="1"/>
      <c r="AD8583" s="1"/>
      <c r="AE8583" s="1"/>
      <c r="AF8583" s="1"/>
      <c r="AG8583" s="1"/>
      <c r="AH8583" s="1"/>
      <c r="AI8583" s="1"/>
      <c r="AJ8583" s="1"/>
      <c r="AK8583" s="1"/>
      <c r="AL8583" s="1"/>
      <c r="AM8583" s="1"/>
    </row>
    <row r="8584" spans="1:39" x14ac:dyDescent="0.25">
      <c r="A8584" s="620"/>
      <c r="B8584" s="620"/>
      <c r="C8584" s="620"/>
      <c r="D8584" s="620"/>
      <c r="E8584" s="620"/>
      <c r="F8584" s="620"/>
      <c r="G8584" s="620"/>
      <c r="H8584" s="620"/>
      <c r="I8584" s="620"/>
      <c r="J8584" s="620"/>
      <c r="K8584" s="620"/>
      <c r="L8584" s="620"/>
      <c r="M8584" s="620"/>
      <c r="N8584" s="620"/>
      <c r="O8584" s="620"/>
      <c r="P8584" s="49"/>
      <c r="Q8584" s="1"/>
      <c r="R8584" s="620"/>
      <c r="S8584" s="1"/>
      <c r="T8584" s="1"/>
      <c r="U8584" s="1"/>
      <c r="V8584" s="1"/>
      <c r="W8584" s="1"/>
      <c r="X8584" s="1"/>
      <c r="Y8584" s="1"/>
      <c r="Z8584" s="620"/>
      <c r="AA8584" s="620"/>
      <c r="AB8584" s="1"/>
      <c r="AC8584" s="1"/>
      <c r="AD8584" s="1"/>
      <c r="AE8584" s="1"/>
      <c r="AF8584" s="1"/>
      <c r="AG8584" s="1"/>
      <c r="AH8584" s="1"/>
      <c r="AI8584" s="1"/>
      <c r="AJ8584" s="1"/>
      <c r="AK8584" s="1"/>
      <c r="AL8584" s="1"/>
      <c r="AM8584" s="1"/>
    </row>
    <row r="8585" spans="1:39" x14ac:dyDescent="0.25">
      <c r="A8585" s="620"/>
      <c r="B8585" s="620"/>
      <c r="C8585" s="620"/>
      <c r="D8585" s="620"/>
      <c r="E8585" s="620"/>
      <c r="F8585" s="620"/>
      <c r="G8585" s="620"/>
      <c r="H8585" s="620"/>
      <c r="I8585" s="620"/>
      <c r="J8585" s="620"/>
      <c r="K8585" s="620"/>
      <c r="L8585" s="620"/>
      <c r="M8585" s="620"/>
      <c r="N8585" s="620"/>
      <c r="O8585" s="620"/>
      <c r="P8585" s="49"/>
      <c r="Q8585" s="1"/>
      <c r="R8585" s="620"/>
      <c r="S8585" s="1"/>
      <c r="T8585" s="1"/>
      <c r="U8585" s="1"/>
      <c r="V8585" s="1"/>
      <c r="W8585" s="1"/>
      <c r="X8585" s="1"/>
      <c r="Y8585" s="1"/>
      <c r="Z8585" s="620"/>
      <c r="AA8585" s="620"/>
      <c r="AB8585" s="1"/>
      <c r="AC8585" s="1"/>
      <c r="AD8585" s="1"/>
      <c r="AE8585" s="1"/>
      <c r="AF8585" s="1"/>
      <c r="AG8585" s="1"/>
      <c r="AH8585" s="1"/>
      <c r="AI8585" s="1"/>
      <c r="AJ8585" s="1"/>
      <c r="AK8585" s="1"/>
      <c r="AL8585" s="1"/>
      <c r="AM8585" s="1"/>
    </row>
    <row r="8586" spans="1:39" x14ac:dyDescent="0.25">
      <c r="A8586" s="620"/>
      <c r="B8586" s="620"/>
      <c r="C8586" s="620"/>
      <c r="D8586" s="620"/>
      <c r="E8586" s="620"/>
      <c r="F8586" s="620"/>
      <c r="G8586" s="620"/>
      <c r="H8586" s="620"/>
      <c r="I8586" s="620"/>
      <c r="J8586" s="620"/>
      <c r="K8586" s="620"/>
      <c r="L8586" s="620"/>
      <c r="M8586" s="620"/>
      <c r="N8586" s="620"/>
      <c r="O8586" s="620"/>
      <c r="P8586" s="49"/>
      <c r="Q8586" s="1"/>
      <c r="R8586" s="620"/>
      <c r="S8586" s="1"/>
      <c r="T8586" s="1"/>
      <c r="U8586" s="1"/>
      <c r="V8586" s="1"/>
      <c r="W8586" s="1"/>
      <c r="X8586" s="1"/>
      <c r="Y8586" s="1"/>
      <c r="Z8586" s="620"/>
      <c r="AA8586" s="620"/>
      <c r="AB8586" s="1"/>
      <c r="AC8586" s="1"/>
      <c r="AD8586" s="1"/>
      <c r="AE8586" s="1"/>
      <c r="AF8586" s="1"/>
      <c r="AG8586" s="1"/>
      <c r="AH8586" s="1"/>
      <c r="AI8586" s="1"/>
      <c r="AJ8586" s="1"/>
      <c r="AK8586" s="1"/>
      <c r="AL8586" s="1"/>
      <c r="AM8586" s="1"/>
    </row>
    <row r="8587" spans="1:39" x14ac:dyDescent="0.25">
      <c r="A8587" s="620"/>
      <c r="B8587" s="620"/>
      <c r="C8587" s="620"/>
      <c r="D8587" s="620"/>
      <c r="E8587" s="620"/>
      <c r="F8587" s="620"/>
      <c r="G8587" s="620"/>
      <c r="H8587" s="620"/>
      <c r="I8587" s="620"/>
      <c r="J8587" s="620"/>
      <c r="K8587" s="620"/>
      <c r="L8587" s="620"/>
      <c r="M8587" s="620"/>
      <c r="N8587" s="620"/>
      <c r="O8587" s="620"/>
      <c r="P8587" s="49"/>
      <c r="Q8587" s="1"/>
      <c r="R8587" s="620"/>
      <c r="S8587" s="1"/>
      <c r="T8587" s="1"/>
      <c r="U8587" s="1"/>
      <c r="V8587" s="1"/>
      <c r="W8587" s="1"/>
      <c r="X8587" s="1"/>
      <c r="Y8587" s="1"/>
      <c r="Z8587" s="620"/>
      <c r="AA8587" s="620"/>
      <c r="AB8587" s="1"/>
      <c r="AC8587" s="1"/>
      <c r="AD8587" s="1"/>
      <c r="AE8587" s="1"/>
      <c r="AF8587" s="1"/>
      <c r="AG8587" s="1"/>
      <c r="AH8587" s="1"/>
      <c r="AI8587" s="1"/>
      <c r="AJ8587" s="1"/>
      <c r="AK8587" s="1"/>
      <c r="AL8587" s="1"/>
      <c r="AM8587" s="1"/>
    </row>
    <row r="8588" spans="1:39" x14ac:dyDescent="0.25">
      <c r="A8588" s="620"/>
      <c r="B8588" s="620"/>
      <c r="C8588" s="620"/>
      <c r="D8588" s="620"/>
      <c r="E8588" s="620"/>
      <c r="F8588" s="620"/>
      <c r="G8588" s="620"/>
      <c r="H8588" s="620"/>
      <c r="I8588" s="620"/>
      <c r="J8588" s="620"/>
      <c r="K8588" s="620"/>
      <c r="L8588" s="620"/>
      <c r="M8588" s="620"/>
      <c r="N8588" s="620"/>
      <c r="O8588" s="620"/>
      <c r="P8588" s="49"/>
      <c r="Q8588" s="1"/>
      <c r="R8588" s="620"/>
      <c r="S8588" s="1"/>
      <c r="T8588" s="1"/>
      <c r="U8588" s="1"/>
      <c r="V8588" s="1"/>
      <c r="W8588" s="1"/>
      <c r="X8588" s="1"/>
      <c r="Y8588" s="1"/>
      <c r="Z8588" s="620"/>
      <c r="AA8588" s="620"/>
      <c r="AB8588" s="1"/>
      <c r="AC8588" s="1"/>
      <c r="AD8588" s="1"/>
      <c r="AE8588" s="1"/>
      <c r="AF8588" s="1"/>
      <c r="AG8588" s="1"/>
      <c r="AH8588" s="1"/>
      <c r="AI8588" s="1"/>
      <c r="AJ8588" s="1"/>
      <c r="AK8588" s="1"/>
      <c r="AL8588" s="1"/>
      <c r="AM8588" s="1"/>
    </row>
    <row r="8589" spans="1:39" x14ac:dyDescent="0.25">
      <c r="A8589" s="620"/>
      <c r="B8589" s="620"/>
      <c r="C8589" s="620"/>
      <c r="D8589" s="620"/>
      <c r="E8589" s="620"/>
      <c r="F8589" s="620"/>
      <c r="G8589" s="620"/>
      <c r="H8589" s="620"/>
      <c r="I8589" s="620"/>
      <c r="J8589" s="620"/>
      <c r="K8589" s="620"/>
      <c r="L8589" s="620"/>
      <c r="M8589" s="620"/>
      <c r="N8589" s="620"/>
      <c r="O8589" s="620"/>
      <c r="P8589" s="49"/>
      <c r="Q8589" s="1"/>
      <c r="R8589" s="620"/>
      <c r="S8589" s="1"/>
      <c r="T8589" s="1"/>
      <c r="U8589" s="1"/>
      <c r="V8589" s="1"/>
      <c r="W8589" s="1"/>
      <c r="X8589" s="1"/>
      <c r="Y8589" s="1"/>
      <c r="Z8589" s="620"/>
      <c r="AA8589" s="620"/>
      <c r="AB8589" s="1"/>
      <c r="AC8589" s="1"/>
      <c r="AD8589" s="1"/>
      <c r="AE8589" s="1"/>
      <c r="AF8589" s="1"/>
      <c r="AG8589" s="1"/>
      <c r="AH8589" s="1"/>
      <c r="AI8589" s="1"/>
      <c r="AJ8589" s="1"/>
      <c r="AK8589" s="1"/>
      <c r="AL8589" s="1"/>
      <c r="AM8589" s="1"/>
    </row>
    <row r="8590" spans="1:39" x14ac:dyDescent="0.25">
      <c r="A8590" s="620"/>
      <c r="B8590" s="620"/>
      <c r="C8590" s="620"/>
      <c r="D8590" s="620"/>
      <c r="E8590" s="620"/>
      <c r="F8590" s="620"/>
      <c r="G8590" s="620"/>
      <c r="H8590" s="620"/>
      <c r="I8590" s="620"/>
      <c r="J8590" s="620"/>
      <c r="K8590" s="620"/>
      <c r="L8590" s="620"/>
      <c r="M8590" s="620"/>
      <c r="N8590" s="620"/>
      <c r="O8590" s="620"/>
      <c r="P8590" s="49"/>
      <c r="Q8590" s="1"/>
      <c r="R8590" s="620"/>
      <c r="S8590" s="1"/>
      <c r="T8590" s="1"/>
      <c r="U8590" s="1"/>
      <c r="V8590" s="1"/>
      <c r="W8590" s="1"/>
      <c r="X8590" s="1"/>
      <c r="Y8590" s="1"/>
      <c r="Z8590" s="620"/>
      <c r="AA8590" s="620"/>
      <c r="AB8590" s="1"/>
      <c r="AC8590" s="1"/>
      <c r="AD8590" s="1"/>
      <c r="AE8590" s="1"/>
      <c r="AF8590" s="1"/>
      <c r="AG8590" s="1"/>
      <c r="AH8590" s="1"/>
      <c r="AI8590" s="1"/>
      <c r="AJ8590" s="1"/>
      <c r="AK8590" s="1"/>
      <c r="AL8590" s="1"/>
      <c r="AM8590" s="1"/>
    </row>
    <row r="8591" spans="1:39" x14ac:dyDescent="0.25">
      <c r="A8591" s="620"/>
      <c r="B8591" s="620"/>
      <c r="C8591" s="620"/>
      <c r="D8591" s="620"/>
      <c r="E8591" s="620"/>
      <c r="F8591" s="620"/>
      <c r="G8591" s="620"/>
      <c r="H8591" s="620"/>
      <c r="I8591" s="620"/>
      <c r="J8591" s="620"/>
      <c r="K8591" s="620"/>
      <c r="L8591" s="620"/>
      <c r="M8591" s="620"/>
      <c r="N8591" s="620"/>
      <c r="O8591" s="620"/>
      <c r="P8591" s="49"/>
      <c r="Q8591" s="1"/>
      <c r="R8591" s="620"/>
      <c r="S8591" s="1"/>
      <c r="T8591" s="1"/>
      <c r="U8591" s="1"/>
      <c r="V8591" s="1"/>
      <c r="W8591" s="1"/>
      <c r="X8591" s="1"/>
      <c r="Y8591" s="1"/>
      <c r="Z8591" s="620"/>
      <c r="AA8591" s="620"/>
      <c r="AB8591" s="1"/>
      <c r="AC8591" s="1"/>
      <c r="AD8591" s="1"/>
      <c r="AE8591" s="1"/>
      <c r="AF8591" s="1"/>
      <c r="AG8591" s="1"/>
      <c r="AH8591" s="1"/>
      <c r="AI8591" s="1"/>
      <c r="AJ8591" s="1"/>
      <c r="AK8591" s="1"/>
      <c r="AL8591" s="1"/>
      <c r="AM8591" s="1"/>
    </row>
    <row r="8592" spans="1:39" x14ac:dyDescent="0.25">
      <c r="A8592" s="620"/>
      <c r="B8592" s="620"/>
      <c r="C8592" s="620"/>
      <c r="D8592" s="620"/>
      <c r="E8592" s="620"/>
      <c r="F8592" s="620"/>
      <c r="G8592" s="620"/>
      <c r="H8592" s="620"/>
      <c r="I8592" s="620"/>
      <c r="J8592" s="620"/>
      <c r="K8592" s="620"/>
      <c r="L8592" s="620"/>
      <c r="M8592" s="620"/>
      <c r="N8592" s="620"/>
      <c r="O8592" s="620"/>
      <c r="P8592" s="49"/>
      <c r="Q8592" s="1"/>
      <c r="R8592" s="620"/>
      <c r="S8592" s="1"/>
      <c r="T8592" s="1"/>
      <c r="U8592" s="1"/>
      <c r="V8592" s="1"/>
      <c r="W8592" s="1"/>
      <c r="X8592" s="1"/>
      <c r="Y8592" s="1"/>
      <c r="Z8592" s="620"/>
      <c r="AA8592" s="620"/>
      <c r="AB8592" s="1"/>
      <c r="AC8592" s="1"/>
      <c r="AD8592" s="1"/>
      <c r="AE8592" s="1"/>
      <c r="AF8592" s="1"/>
      <c r="AG8592" s="1"/>
      <c r="AH8592" s="1"/>
      <c r="AI8592" s="1"/>
      <c r="AJ8592" s="1"/>
      <c r="AK8592" s="1"/>
      <c r="AL8592" s="1"/>
      <c r="AM8592" s="1"/>
    </row>
    <row r="8593" spans="1:39" x14ac:dyDescent="0.25">
      <c r="A8593" s="620"/>
      <c r="B8593" s="620"/>
      <c r="C8593" s="620"/>
      <c r="D8593" s="620"/>
      <c r="E8593" s="620"/>
      <c r="F8593" s="620"/>
      <c r="G8593" s="620"/>
      <c r="H8593" s="620"/>
      <c r="I8593" s="620"/>
      <c r="J8593" s="620"/>
      <c r="K8593" s="620"/>
      <c r="L8593" s="620"/>
      <c r="M8593" s="620"/>
      <c r="N8593" s="620"/>
      <c r="O8593" s="620"/>
      <c r="P8593" s="49"/>
      <c r="Q8593" s="1"/>
      <c r="R8593" s="620"/>
      <c r="S8593" s="1"/>
      <c r="T8593" s="1"/>
      <c r="U8593" s="1"/>
      <c r="V8593" s="1"/>
      <c r="W8593" s="1"/>
      <c r="X8593" s="1"/>
      <c r="Y8593" s="1"/>
      <c r="Z8593" s="620"/>
      <c r="AA8593" s="620"/>
      <c r="AB8593" s="1"/>
      <c r="AC8593" s="1"/>
      <c r="AD8593" s="1"/>
      <c r="AE8593" s="1"/>
      <c r="AF8593" s="1"/>
      <c r="AG8593" s="1"/>
      <c r="AH8593" s="1"/>
      <c r="AI8593" s="1"/>
      <c r="AJ8593" s="1"/>
      <c r="AK8593" s="1"/>
      <c r="AL8593" s="1"/>
      <c r="AM8593" s="1"/>
    </row>
    <row r="8594" spans="1:39" x14ac:dyDescent="0.25">
      <c r="A8594" s="620"/>
      <c r="B8594" s="620"/>
      <c r="C8594" s="620"/>
      <c r="D8594" s="620"/>
      <c r="E8594" s="620"/>
      <c r="F8594" s="620"/>
      <c r="G8594" s="620"/>
      <c r="H8594" s="620"/>
      <c r="I8594" s="620"/>
      <c r="J8594" s="620"/>
      <c r="K8594" s="620"/>
      <c r="L8594" s="620"/>
      <c r="M8594" s="620"/>
      <c r="N8594" s="620"/>
      <c r="O8594" s="620"/>
      <c r="P8594" s="49"/>
      <c r="Q8594" s="1"/>
      <c r="R8594" s="620"/>
      <c r="S8594" s="1"/>
      <c r="T8594" s="1"/>
      <c r="U8594" s="1"/>
      <c r="V8594" s="1"/>
      <c r="W8594" s="1"/>
      <c r="X8594" s="1"/>
      <c r="Y8594" s="1"/>
      <c r="Z8594" s="620"/>
      <c r="AA8594" s="620"/>
      <c r="AB8594" s="1"/>
      <c r="AC8594" s="1"/>
      <c r="AD8594" s="1"/>
      <c r="AE8594" s="1"/>
      <c r="AF8594" s="1"/>
      <c r="AG8594" s="1"/>
      <c r="AH8594" s="1"/>
      <c r="AI8594" s="1"/>
      <c r="AJ8594" s="1"/>
      <c r="AK8594" s="1"/>
      <c r="AL8594" s="1"/>
      <c r="AM8594" s="1"/>
    </row>
    <row r="8595" spans="1:39" x14ac:dyDescent="0.25">
      <c r="A8595" s="620"/>
      <c r="B8595" s="620"/>
      <c r="C8595" s="620"/>
      <c r="D8595" s="620"/>
      <c r="E8595" s="620"/>
      <c r="F8595" s="620"/>
      <c r="G8595" s="620"/>
      <c r="H8595" s="620"/>
      <c r="I8595" s="620"/>
      <c r="J8595" s="620"/>
      <c r="K8595" s="620"/>
      <c r="L8595" s="620"/>
      <c r="M8595" s="620"/>
      <c r="N8595" s="620"/>
      <c r="O8595" s="620"/>
      <c r="P8595" s="49"/>
      <c r="Q8595" s="1"/>
      <c r="R8595" s="620"/>
      <c r="S8595" s="1"/>
      <c r="T8595" s="1"/>
      <c r="U8595" s="1"/>
      <c r="V8595" s="1"/>
      <c r="W8595" s="1"/>
      <c r="X8595" s="1"/>
      <c r="Y8595" s="1"/>
      <c r="Z8595" s="620"/>
      <c r="AA8595" s="620"/>
      <c r="AB8595" s="1"/>
      <c r="AC8595" s="1"/>
      <c r="AD8595" s="1"/>
      <c r="AE8595" s="1"/>
      <c r="AF8595" s="1"/>
      <c r="AG8595" s="1"/>
      <c r="AH8595" s="1"/>
      <c r="AI8595" s="1"/>
      <c r="AJ8595" s="1"/>
      <c r="AK8595" s="1"/>
      <c r="AL8595" s="1"/>
      <c r="AM8595" s="1"/>
    </row>
    <row r="8596" spans="1:39" x14ac:dyDescent="0.25">
      <c r="A8596" s="620"/>
      <c r="B8596" s="620"/>
      <c r="C8596" s="620"/>
      <c r="D8596" s="620"/>
      <c r="E8596" s="620"/>
      <c r="F8596" s="620"/>
      <c r="G8596" s="620"/>
      <c r="H8596" s="620"/>
      <c r="I8596" s="620"/>
      <c r="J8596" s="620"/>
      <c r="K8596" s="620"/>
      <c r="L8596" s="620"/>
      <c r="M8596" s="620"/>
      <c r="N8596" s="620"/>
      <c r="O8596" s="620"/>
      <c r="P8596" s="49"/>
      <c r="Q8596" s="1"/>
      <c r="R8596" s="620"/>
      <c r="S8596" s="1"/>
      <c r="T8596" s="1"/>
      <c r="U8596" s="1"/>
      <c r="V8596" s="1"/>
      <c r="W8596" s="1"/>
      <c r="X8596" s="1"/>
      <c r="Y8596" s="1"/>
      <c r="Z8596" s="620"/>
      <c r="AA8596" s="620"/>
      <c r="AB8596" s="1"/>
      <c r="AC8596" s="1"/>
      <c r="AD8596" s="1"/>
      <c r="AE8596" s="1"/>
      <c r="AF8596" s="1"/>
      <c r="AG8596" s="1"/>
      <c r="AH8596" s="1"/>
      <c r="AI8596" s="1"/>
      <c r="AJ8596" s="1"/>
      <c r="AK8596" s="1"/>
      <c r="AL8596" s="1"/>
      <c r="AM8596" s="1"/>
    </row>
    <row r="8597" spans="1:39" x14ac:dyDescent="0.25">
      <c r="A8597" s="620"/>
      <c r="B8597" s="620"/>
      <c r="C8597" s="620"/>
      <c r="D8597" s="620"/>
      <c r="E8597" s="620"/>
      <c r="F8597" s="620"/>
      <c r="G8597" s="620"/>
      <c r="H8597" s="620"/>
      <c r="I8597" s="620"/>
      <c r="J8597" s="620"/>
      <c r="K8597" s="620"/>
      <c r="L8597" s="620"/>
      <c r="M8597" s="620"/>
      <c r="N8597" s="620"/>
      <c r="O8597" s="620"/>
      <c r="P8597" s="49"/>
      <c r="Q8597" s="1"/>
      <c r="R8597" s="620"/>
      <c r="S8597" s="1"/>
      <c r="T8597" s="1"/>
      <c r="U8597" s="1"/>
      <c r="V8597" s="1"/>
      <c r="W8597" s="1"/>
      <c r="X8597" s="1"/>
      <c r="Y8597" s="1"/>
      <c r="Z8597" s="620"/>
      <c r="AA8597" s="620"/>
      <c r="AB8597" s="1"/>
      <c r="AC8597" s="1"/>
      <c r="AD8597" s="1"/>
      <c r="AE8597" s="1"/>
      <c r="AF8597" s="1"/>
      <c r="AG8597" s="1"/>
      <c r="AH8597" s="1"/>
      <c r="AI8597" s="1"/>
      <c r="AJ8597" s="1"/>
      <c r="AK8597" s="1"/>
      <c r="AL8597" s="1"/>
      <c r="AM8597" s="1"/>
    </row>
    <row r="8598" spans="1:39" x14ac:dyDescent="0.25">
      <c r="A8598" s="620"/>
      <c r="B8598" s="620"/>
      <c r="C8598" s="620"/>
      <c r="D8598" s="620"/>
      <c r="E8598" s="620"/>
      <c r="F8598" s="620"/>
      <c r="G8598" s="620"/>
      <c r="H8598" s="620"/>
      <c r="I8598" s="620"/>
      <c r="J8598" s="620"/>
      <c r="K8598" s="620"/>
      <c r="L8598" s="620"/>
      <c r="M8598" s="620"/>
      <c r="N8598" s="620"/>
      <c r="O8598" s="620"/>
      <c r="P8598" s="49"/>
      <c r="Q8598" s="1"/>
      <c r="R8598" s="620"/>
      <c r="S8598" s="1"/>
      <c r="T8598" s="1"/>
      <c r="U8598" s="1"/>
      <c r="V8598" s="1"/>
      <c r="W8598" s="1"/>
      <c r="X8598" s="1"/>
      <c r="Y8598" s="1"/>
      <c r="Z8598" s="620"/>
      <c r="AA8598" s="620"/>
      <c r="AB8598" s="1"/>
      <c r="AC8598" s="1"/>
      <c r="AD8598" s="1"/>
      <c r="AE8598" s="1"/>
      <c r="AF8598" s="1"/>
      <c r="AG8598" s="1"/>
      <c r="AH8598" s="1"/>
      <c r="AI8598" s="1"/>
      <c r="AJ8598" s="1"/>
      <c r="AK8598" s="1"/>
      <c r="AL8598" s="1"/>
      <c r="AM8598" s="1"/>
    </row>
    <row r="8599" spans="1:39" x14ac:dyDescent="0.25">
      <c r="A8599" s="620"/>
      <c r="B8599" s="620"/>
      <c r="C8599" s="620"/>
      <c r="D8599" s="620"/>
      <c r="E8599" s="620"/>
      <c r="F8599" s="620"/>
      <c r="G8599" s="620"/>
      <c r="H8599" s="620"/>
      <c r="I8599" s="620"/>
      <c r="J8599" s="620"/>
      <c r="K8599" s="620"/>
      <c r="L8599" s="620"/>
      <c r="M8599" s="620"/>
      <c r="N8599" s="620"/>
      <c r="O8599" s="620"/>
      <c r="P8599" s="49"/>
      <c r="Q8599" s="1"/>
      <c r="R8599" s="620"/>
      <c r="S8599" s="1"/>
      <c r="T8599" s="1"/>
      <c r="U8599" s="1"/>
      <c r="V8599" s="1"/>
      <c r="W8599" s="1"/>
      <c r="X8599" s="1"/>
      <c r="Y8599" s="1"/>
      <c r="Z8599" s="620"/>
      <c r="AA8599" s="620"/>
      <c r="AB8599" s="1"/>
      <c r="AC8599" s="1"/>
      <c r="AD8599" s="1"/>
      <c r="AE8599" s="1"/>
      <c r="AF8599" s="1"/>
      <c r="AG8599" s="1"/>
      <c r="AH8599" s="1"/>
      <c r="AI8599" s="1"/>
      <c r="AJ8599" s="1"/>
      <c r="AK8599" s="1"/>
      <c r="AL8599" s="1"/>
      <c r="AM8599" s="1"/>
    </row>
    <row r="8600" spans="1:39" x14ac:dyDescent="0.25">
      <c r="A8600" s="620"/>
      <c r="B8600" s="620"/>
      <c r="C8600" s="620"/>
      <c r="D8600" s="620"/>
      <c r="E8600" s="620"/>
      <c r="F8600" s="620"/>
      <c r="G8600" s="620"/>
      <c r="H8600" s="620"/>
      <c r="I8600" s="620"/>
      <c r="J8600" s="620"/>
      <c r="K8600" s="620"/>
      <c r="L8600" s="620"/>
      <c r="M8600" s="620"/>
      <c r="N8600" s="620"/>
      <c r="O8600" s="620"/>
      <c r="P8600" s="49"/>
      <c r="Q8600" s="1"/>
      <c r="R8600" s="620"/>
      <c r="S8600" s="1"/>
      <c r="T8600" s="1"/>
      <c r="U8600" s="1"/>
      <c r="V8600" s="1"/>
      <c r="W8600" s="1"/>
      <c r="X8600" s="1"/>
      <c r="Y8600" s="1"/>
      <c r="Z8600" s="620"/>
      <c r="AA8600" s="620"/>
      <c r="AB8600" s="1"/>
      <c r="AC8600" s="1"/>
      <c r="AD8600" s="1"/>
      <c r="AE8600" s="1"/>
      <c r="AF8600" s="1"/>
      <c r="AG8600" s="1"/>
      <c r="AH8600" s="1"/>
      <c r="AI8600" s="1"/>
      <c r="AJ8600" s="1"/>
      <c r="AK8600" s="1"/>
      <c r="AL8600" s="1"/>
      <c r="AM8600" s="1"/>
    </row>
    <row r="8601" spans="1:39" x14ac:dyDescent="0.25">
      <c r="A8601" s="620"/>
      <c r="B8601" s="620"/>
      <c r="C8601" s="620"/>
      <c r="D8601" s="620"/>
      <c r="E8601" s="620"/>
      <c r="F8601" s="620"/>
      <c r="G8601" s="620"/>
      <c r="H8601" s="620"/>
      <c r="I8601" s="620"/>
      <c r="J8601" s="620"/>
      <c r="K8601" s="620"/>
      <c r="L8601" s="620"/>
      <c r="M8601" s="620"/>
      <c r="N8601" s="620"/>
      <c r="O8601" s="620"/>
      <c r="P8601" s="49"/>
      <c r="Q8601" s="1"/>
      <c r="R8601" s="620"/>
      <c r="S8601" s="1"/>
      <c r="T8601" s="1"/>
      <c r="U8601" s="1"/>
      <c r="V8601" s="1"/>
      <c r="W8601" s="1"/>
      <c r="X8601" s="1"/>
      <c r="Y8601" s="1"/>
      <c r="Z8601" s="620"/>
      <c r="AA8601" s="620"/>
      <c r="AB8601" s="1"/>
      <c r="AC8601" s="1"/>
      <c r="AD8601" s="1"/>
      <c r="AE8601" s="1"/>
      <c r="AF8601" s="1"/>
      <c r="AG8601" s="1"/>
      <c r="AH8601" s="1"/>
      <c r="AI8601" s="1"/>
      <c r="AJ8601" s="1"/>
      <c r="AK8601" s="1"/>
      <c r="AL8601" s="1"/>
      <c r="AM8601" s="1"/>
    </row>
    <row r="8602" spans="1:39" x14ac:dyDescent="0.25">
      <c r="A8602" s="620"/>
      <c r="B8602" s="620"/>
      <c r="C8602" s="620"/>
      <c r="D8602" s="620"/>
      <c r="E8602" s="620"/>
      <c r="F8602" s="620"/>
      <c r="G8602" s="620"/>
      <c r="H8602" s="620"/>
      <c r="I8602" s="620"/>
      <c r="J8602" s="620"/>
      <c r="K8602" s="620"/>
      <c r="L8602" s="620"/>
      <c r="M8602" s="620"/>
      <c r="N8602" s="620"/>
      <c r="O8602" s="620"/>
      <c r="P8602" s="49"/>
      <c r="Q8602" s="1"/>
      <c r="R8602" s="620"/>
      <c r="S8602" s="1"/>
      <c r="T8602" s="1"/>
      <c r="U8602" s="1"/>
      <c r="V8602" s="1"/>
      <c r="W8602" s="1"/>
      <c r="X8602" s="1"/>
      <c r="Y8602" s="1"/>
      <c r="Z8602" s="620"/>
      <c r="AA8602" s="620"/>
      <c r="AB8602" s="1"/>
      <c r="AC8602" s="1"/>
      <c r="AD8602" s="1"/>
      <c r="AE8602" s="1"/>
      <c r="AF8602" s="1"/>
      <c r="AG8602" s="1"/>
      <c r="AH8602" s="1"/>
      <c r="AI8602" s="1"/>
      <c r="AJ8602" s="1"/>
      <c r="AK8602" s="1"/>
      <c r="AL8602" s="1"/>
      <c r="AM8602" s="1"/>
    </row>
    <row r="8603" spans="1:39" x14ac:dyDescent="0.25">
      <c r="A8603" s="620"/>
      <c r="B8603" s="620"/>
      <c r="C8603" s="620"/>
      <c r="D8603" s="620"/>
      <c r="E8603" s="620"/>
      <c r="F8603" s="620"/>
      <c r="G8603" s="620"/>
      <c r="H8603" s="620"/>
      <c r="I8603" s="620"/>
      <c r="J8603" s="620"/>
      <c r="K8603" s="620"/>
      <c r="L8603" s="620"/>
      <c r="M8603" s="620"/>
      <c r="N8603" s="620"/>
      <c r="O8603" s="620"/>
      <c r="P8603" s="49"/>
      <c r="Q8603" s="1"/>
      <c r="R8603" s="620"/>
      <c r="S8603" s="1"/>
      <c r="T8603" s="1"/>
      <c r="U8603" s="1"/>
      <c r="V8603" s="1"/>
      <c r="W8603" s="1"/>
      <c r="X8603" s="1"/>
      <c r="Y8603" s="1"/>
      <c r="Z8603" s="620"/>
      <c r="AA8603" s="620"/>
      <c r="AB8603" s="1"/>
      <c r="AC8603" s="1"/>
      <c r="AD8603" s="1"/>
      <c r="AE8603" s="1"/>
      <c r="AF8603" s="1"/>
      <c r="AG8603" s="1"/>
      <c r="AH8603" s="1"/>
      <c r="AI8603" s="1"/>
      <c r="AJ8603" s="1"/>
      <c r="AK8603" s="1"/>
      <c r="AL8603" s="1"/>
      <c r="AM8603" s="1"/>
    </row>
    <row r="8604" spans="1:39" x14ac:dyDescent="0.25">
      <c r="A8604" s="620"/>
      <c r="B8604" s="620"/>
      <c r="C8604" s="620"/>
      <c r="D8604" s="620"/>
      <c r="E8604" s="620"/>
      <c r="F8604" s="620"/>
      <c r="G8604" s="620"/>
      <c r="H8604" s="620"/>
      <c r="I8604" s="620"/>
      <c r="J8604" s="620"/>
      <c r="K8604" s="620"/>
      <c r="L8604" s="620"/>
      <c r="M8604" s="620"/>
      <c r="N8604" s="620"/>
      <c r="O8604" s="620"/>
      <c r="P8604" s="49"/>
      <c r="Q8604" s="1"/>
      <c r="R8604" s="620"/>
      <c r="S8604" s="1"/>
      <c r="T8604" s="1"/>
      <c r="U8604" s="1"/>
      <c r="V8604" s="1"/>
      <c r="W8604" s="1"/>
      <c r="X8604" s="1"/>
      <c r="Y8604" s="1"/>
      <c r="Z8604" s="620"/>
      <c r="AA8604" s="620"/>
      <c r="AB8604" s="1"/>
      <c r="AC8604" s="1"/>
      <c r="AD8604" s="1"/>
      <c r="AE8604" s="1"/>
      <c r="AF8604" s="1"/>
      <c r="AG8604" s="1"/>
      <c r="AH8604" s="1"/>
      <c r="AI8604" s="1"/>
      <c r="AJ8604" s="1"/>
      <c r="AK8604" s="1"/>
      <c r="AL8604" s="1"/>
      <c r="AM8604" s="1"/>
    </row>
    <row r="8605" spans="1:39" x14ac:dyDescent="0.25">
      <c r="A8605" s="620"/>
      <c r="B8605" s="620"/>
      <c r="C8605" s="620"/>
      <c r="D8605" s="620"/>
      <c r="E8605" s="620"/>
      <c r="F8605" s="620"/>
      <c r="G8605" s="620"/>
      <c r="H8605" s="620"/>
      <c r="I8605" s="620"/>
      <c r="J8605" s="620"/>
      <c r="K8605" s="620"/>
      <c r="L8605" s="620"/>
      <c r="M8605" s="620"/>
      <c r="N8605" s="620"/>
      <c r="O8605" s="620"/>
      <c r="P8605" s="49"/>
      <c r="Q8605" s="1"/>
      <c r="R8605" s="620"/>
      <c r="S8605" s="1"/>
      <c r="T8605" s="1"/>
      <c r="U8605" s="1"/>
      <c r="V8605" s="1"/>
      <c r="W8605" s="1"/>
      <c r="X8605" s="1"/>
      <c r="Y8605" s="1"/>
      <c r="Z8605" s="620"/>
      <c r="AA8605" s="620"/>
      <c r="AB8605" s="1"/>
      <c r="AC8605" s="1"/>
      <c r="AD8605" s="1"/>
      <c r="AE8605" s="1"/>
      <c r="AF8605" s="1"/>
      <c r="AG8605" s="1"/>
      <c r="AH8605" s="1"/>
      <c r="AI8605" s="1"/>
      <c r="AJ8605" s="1"/>
      <c r="AK8605" s="1"/>
      <c r="AL8605" s="1"/>
      <c r="AM8605" s="1"/>
    </row>
    <row r="8606" spans="1:39" x14ac:dyDescent="0.25">
      <c r="A8606" s="620"/>
      <c r="B8606" s="620"/>
      <c r="C8606" s="620"/>
      <c r="D8606" s="620"/>
      <c r="E8606" s="620"/>
      <c r="F8606" s="620"/>
      <c r="G8606" s="620"/>
      <c r="H8606" s="620"/>
      <c r="I8606" s="620"/>
      <c r="J8606" s="620"/>
      <c r="K8606" s="620"/>
      <c r="L8606" s="620"/>
      <c r="M8606" s="620"/>
      <c r="N8606" s="620"/>
      <c r="O8606" s="620"/>
      <c r="P8606" s="49"/>
      <c r="Q8606" s="1"/>
      <c r="R8606" s="620"/>
      <c r="S8606" s="1"/>
      <c r="T8606" s="1"/>
      <c r="U8606" s="1"/>
      <c r="V8606" s="1"/>
      <c r="W8606" s="1"/>
      <c r="X8606" s="1"/>
      <c r="Y8606" s="1"/>
      <c r="Z8606" s="620"/>
      <c r="AA8606" s="620"/>
      <c r="AB8606" s="1"/>
      <c r="AC8606" s="1"/>
      <c r="AD8606" s="1"/>
      <c r="AE8606" s="1"/>
      <c r="AF8606" s="1"/>
      <c r="AG8606" s="1"/>
      <c r="AH8606" s="1"/>
      <c r="AI8606" s="1"/>
      <c r="AJ8606" s="1"/>
      <c r="AK8606" s="1"/>
      <c r="AL8606" s="1"/>
      <c r="AM8606" s="1"/>
    </row>
    <row r="8607" spans="1:39" x14ac:dyDescent="0.25">
      <c r="A8607" s="620"/>
      <c r="B8607" s="620"/>
      <c r="C8607" s="620"/>
      <c r="D8607" s="620"/>
      <c r="E8607" s="620"/>
      <c r="F8607" s="620"/>
      <c r="G8607" s="620"/>
      <c r="H8607" s="620"/>
      <c r="I8607" s="620"/>
      <c r="J8607" s="620"/>
      <c r="K8607" s="620"/>
      <c r="L8607" s="620"/>
      <c r="M8607" s="620"/>
      <c r="N8607" s="620"/>
      <c r="O8607" s="620"/>
      <c r="P8607" s="49"/>
      <c r="Q8607" s="1"/>
      <c r="R8607" s="620"/>
      <c r="S8607" s="1"/>
      <c r="T8607" s="1"/>
      <c r="U8607" s="1"/>
      <c r="V8607" s="1"/>
      <c r="W8607" s="1"/>
      <c r="X8607" s="1"/>
      <c r="Y8607" s="1"/>
      <c r="Z8607" s="620"/>
      <c r="AA8607" s="620"/>
      <c r="AB8607" s="1"/>
      <c r="AC8607" s="1"/>
      <c r="AD8607" s="1"/>
      <c r="AE8607" s="1"/>
      <c r="AF8607" s="1"/>
      <c r="AG8607" s="1"/>
      <c r="AH8607" s="1"/>
      <c r="AI8607" s="1"/>
      <c r="AJ8607" s="1"/>
      <c r="AK8607" s="1"/>
      <c r="AL8607" s="1"/>
      <c r="AM8607" s="1"/>
    </row>
    <row r="8608" spans="1:39" x14ac:dyDescent="0.25">
      <c r="A8608" s="620"/>
      <c r="B8608" s="620"/>
      <c r="C8608" s="620"/>
      <c r="D8608" s="620"/>
      <c r="E8608" s="620"/>
      <c r="F8608" s="620"/>
      <c r="G8608" s="620"/>
      <c r="H8608" s="620"/>
      <c r="I8608" s="620"/>
      <c r="J8608" s="620"/>
      <c r="K8608" s="620"/>
      <c r="L8608" s="620"/>
      <c r="M8608" s="620"/>
      <c r="N8608" s="620"/>
      <c r="O8608" s="620"/>
      <c r="P8608" s="49"/>
      <c r="Q8608" s="1"/>
      <c r="R8608" s="620"/>
      <c r="S8608" s="1"/>
      <c r="T8608" s="1"/>
      <c r="U8608" s="1"/>
      <c r="V8608" s="1"/>
      <c r="W8608" s="1"/>
      <c r="X8608" s="1"/>
      <c r="Y8608" s="1"/>
      <c r="Z8608" s="620"/>
      <c r="AA8608" s="620"/>
      <c r="AB8608" s="1"/>
      <c r="AC8608" s="1"/>
      <c r="AD8608" s="1"/>
      <c r="AE8608" s="1"/>
      <c r="AF8608" s="1"/>
      <c r="AG8608" s="1"/>
      <c r="AH8608" s="1"/>
      <c r="AI8608" s="1"/>
      <c r="AJ8608" s="1"/>
      <c r="AK8608" s="1"/>
      <c r="AL8608" s="1"/>
      <c r="AM8608" s="1"/>
    </row>
    <row r="8609" spans="1:39" x14ac:dyDescent="0.25">
      <c r="A8609" s="620"/>
      <c r="B8609" s="620"/>
      <c r="C8609" s="620"/>
      <c r="D8609" s="620"/>
      <c r="E8609" s="620"/>
      <c r="F8609" s="620"/>
      <c r="G8609" s="620"/>
      <c r="H8609" s="620"/>
      <c r="I8609" s="620"/>
      <c r="J8609" s="620"/>
      <c r="K8609" s="620"/>
      <c r="L8609" s="620"/>
      <c r="M8609" s="620"/>
      <c r="N8609" s="620"/>
      <c r="O8609" s="620"/>
      <c r="P8609" s="49"/>
      <c r="Q8609" s="1"/>
      <c r="R8609" s="620"/>
      <c r="S8609" s="1"/>
      <c r="T8609" s="1"/>
      <c r="U8609" s="1"/>
      <c r="V8609" s="1"/>
      <c r="W8609" s="1"/>
      <c r="X8609" s="1"/>
      <c r="Y8609" s="1"/>
      <c r="Z8609" s="620"/>
      <c r="AA8609" s="620"/>
      <c r="AB8609" s="1"/>
      <c r="AC8609" s="1"/>
      <c r="AD8609" s="1"/>
      <c r="AE8609" s="1"/>
      <c r="AF8609" s="1"/>
      <c r="AG8609" s="1"/>
      <c r="AH8609" s="1"/>
      <c r="AI8609" s="1"/>
      <c r="AJ8609" s="1"/>
      <c r="AK8609" s="1"/>
      <c r="AL8609" s="1"/>
      <c r="AM8609" s="1"/>
    </row>
    <row r="8610" spans="1:39" x14ac:dyDescent="0.25">
      <c r="A8610" s="620"/>
      <c r="B8610" s="620"/>
      <c r="C8610" s="620"/>
      <c r="D8610" s="620"/>
      <c r="E8610" s="620"/>
      <c r="F8610" s="620"/>
      <c r="G8610" s="620"/>
      <c r="H8610" s="620"/>
      <c r="I8610" s="620"/>
      <c r="J8610" s="620"/>
      <c r="K8610" s="620"/>
      <c r="L8610" s="620"/>
      <c r="M8610" s="620"/>
      <c r="N8610" s="620"/>
      <c r="O8610" s="620"/>
      <c r="P8610" s="49"/>
      <c r="Q8610" s="1"/>
      <c r="R8610" s="620"/>
      <c r="S8610" s="1"/>
      <c r="T8610" s="1"/>
      <c r="U8610" s="1"/>
      <c r="V8610" s="1"/>
      <c r="W8610" s="1"/>
      <c r="X8610" s="1"/>
      <c r="Y8610" s="1"/>
      <c r="Z8610" s="620"/>
      <c r="AA8610" s="620"/>
      <c r="AB8610" s="1"/>
      <c r="AC8610" s="1"/>
      <c r="AD8610" s="1"/>
      <c r="AE8610" s="1"/>
      <c r="AF8610" s="1"/>
      <c r="AG8610" s="1"/>
      <c r="AH8610" s="1"/>
      <c r="AI8610" s="1"/>
      <c r="AJ8610" s="1"/>
      <c r="AK8610" s="1"/>
      <c r="AL8610" s="1"/>
      <c r="AM8610" s="1"/>
    </row>
    <row r="8611" spans="1:39" x14ac:dyDescent="0.25">
      <c r="A8611" s="620"/>
      <c r="B8611" s="620"/>
      <c r="C8611" s="620"/>
      <c r="D8611" s="620"/>
      <c r="E8611" s="620"/>
      <c r="F8611" s="620"/>
      <c r="G8611" s="620"/>
      <c r="H8611" s="620"/>
      <c r="I8611" s="620"/>
      <c r="J8611" s="620"/>
      <c r="K8611" s="620"/>
      <c r="L8611" s="620"/>
      <c r="M8611" s="620"/>
      <c r="N8611" s="620"/>
      <c r="O8611" s="620"/>
      <c r="P8611" s="49"/>
      <c r="Q8611" s="1"/>
      <c r="R8611" s="620"/>
      <c r="S8611" s="1"/>
      <c r="T8611" s="1"/>
      <c r="U8611" s="1"/>
      <c r="V8611" s="1"/>
      <c r="W8611" s="1"/>
      <c r="X8611" s="1"/>
      <c r="Y8611" s="1"/>
      <c r="Z8611" s="620"/>
      <c r="AA8611" s="620"/>
      <c r="AB8611" s="1"/>
      <c r="AC8611" s="1"/>
      <c r="AD8611" s="1"/>
      <c r="AE8611" s="1"/>
      <c r="AF8611" s="1"/>
      <c r="AG8611" s="1"/>
      <c r="AH8611" s="1"/>
      <c r="AI8611" s="1"/>
      <c r="AJ8611" s="1"/>
      <c r="AK8611" s="1"/>
      <c r="AL8611" s="1"/>
      <c r="AM8611" s="1"/>
    </row>
    <row r="8612" spans="1:39" x14ac:dyDescent="0.25">
      <c r="A8612" s="620"/>
      <c r="B8612" s="620"/>
      <c r="C8612" s="620"/>
      <c r="D8612" s="620"/>
      <c r="E8612" s="620"/>
      <c r="F8612" s="620"/>
      <c r="G8612" s="620"/>
      <c r="H8612" s="620"/>
      <c r="I8612" s="620"/>
      <c r="J8612" s="620"/>
      <c r="K8612" s="620"/>
      <c r="L8612" s="620"/>
      <c r="M8612" s="620"/>
      <c r="N8612" s="620"/>
      <c r="O8612" s="620"/>
      <c r="P8612" s="49"/>
      <c r="Q8612" s="1"/>
      <c r="R8612" s="620"/>
      <c r="S8612" s="1"/>
      <c r="T8612" s="1"/>
      <c r="U8612" s="1"/>
      <c r="V8612" s="1"/>
      <c r="W8612" s="1"/>
      <c r="X8612" s="1"/>
      <c r="Y8612" s="1"/>
      <c r="Z8612" s="620"/>
      <c r="AA8612" s="620"/>
      <c r="AB8612" s="1"/>
      <c r="AC8612" s="1"/>
      <c r="AD8612" s="1"/>
      <c r="AE8612" s="1"/>
      <c r="AF8612" s="1"/>
      <c r="AG8612" s="1"/>
      <c r="AH8612" s="1"/>
      <c r="AI8612" s="1"/>
      <c r="AJ8612" s="1"/>
      <c r="AK8612" s="1"/>
      <c r="AL8612" s="1"/>
      <c r="AM8612" s="1"/>
    </row>
    <row r="8613" spans="1:39" x14ac:dyDescent="0.25">
      <c r="A8613" s="620"/>
      <c r="B8613" s="620"/>
      <c r="C8613" s="620"/>
      <c r="D8613" s="620"/>
      <c r="E8613" s="620"/>
      <c r="F8613" s="620"/>
      <c r="G8613" s="620"/>
      <c r="H8613" s="620"/>
      <c r="I8613" s="620"/>
      <c r="J8613" s="620"/>
      <c r="K8613" s="620"/>
      <c r="L8613" s="620"/>
      <c r="M8613" s="620"/>
      <c r="N8613" s="620"/>
      <c r="O8613" s="620"/>
      <c r="P8613" s="49"/>
      <c r="Q8613" s="1"/>
      <c r="R8613" s="620"/>
      <c r="S8613" s="1"/>
      <c r="T8613" s="1"/>
      <c r="U8613" s="1"/>
      <c r="V8613" s="1"/>
      <c r="W8613" s="1"/>
      <c r="X8613" s="1"/>
      <c r="Y8613" s="1"/>
      <c r="Z8613" s="620"/>
      <c r="AA8613" s="620"/>
      <c r="AB8613" s="1"/>
      <c r="AC8613" s="1"/>
      <c r="AD8613" s="1"/>
      <c r="AE8613" s="1"/>
      <c r="AF8613" s="1"/>
      <c r="AG8613" s="1"/>
      <c r="AH8613" s="1"/>
      <c r="AI8613" s="1"/>
      <c r="AJ8613" s="1"/>
      <c r="AK8613" s="1"/>
      <c r="AL8613" s="1"/>
      <c r="AM8613" s="1"/>
    </row>
    <row r="8614" spans="1:39" x14ac:dyDescent="0.25">
      <c r="A8614" s="620"/>
      <c r="B8614" s="620"/>
      <c r="C8614" s="620"/>
      <c r="D8614" s="620"/>
      <c r="E8614" s="620"/>
      <c r="F8614" s="620"/>
      <c r="G8614" s="620"/>
      <c r="H8614" s="620"/>
      <c r="I8614" s="620"/>
      <c r="J8614" s="620"/>
      <c r="K8614" s="620"/>
      <c r="L8614" s="620"/>
      <c r="M8614" s="620"/>
      <c r="N8614" s="620"/>
      <c r="O8614" s="620"/>
      <c r="P8614" s="49"/>
      <c r="Q8614" s="1"/>
      <c r="R8614" s="620"/>
      <c r="S8614" s="1"/>
      <c r="T8614" s="1"/>
      <c r="U8614" s="1"/>
      <c r="V8614" s="1"/>
      <c r="W8614" s="1"/>
      <c r="X8614" s="1"/>
      <c r="Y8614" s="1"/>
      <c r="Z8614" s="620"/>
      <c r="AA8614" s="620"/>
      <c r="AB8614" s="1"/>
      <c r="AC8614" s="1"/>
      <c r="AD8614" s="1"/>
      <c r="AE8614" s="1"/>
      <c r="AF8614" s="1"/>
      <c r="AG8614" s="1"/>
      <c r="AH8614" s="1"/>
      <c r="AI8614" s="1"/>
      <c r="AJ8614" s="1"/>
      <c r="AK8614" s="1"/>
      <c r="AL8614" s="1"/>
      <c r="AM8614" s="1"/>
    </row>
    <row r="8615" spans="1:39" x14ac:dyDescent="0.25">
      <c r="A8615" s="620"/>
      <c r="B8615" s="620"/>
      <c r="C8615" s="620"/>
      <c r="D8615" s="620"/>
      <c r="E8615" s="620"/>
      <c r="F8615" s="620"/>
      <c r="G8615" s="620"/>
      <c r="H8615" s="620"/>
      <c r="I8615" s="620"/>
      <c r="J8615" s="620"/>
      <c r="K8615" s="620"/>
      <c r="L8615" s="620"/>
      <c r="M8615" s="620"/>
      <c r="N8615" s="620"/>
      <c r="O8615" s="620"/>
      <c r="P8615" s="49"/>
      <c r="Q8615" s="1"/>
      <c r="R8615" s="620"/>
      <c r="S8615" s="1"/>
      <c r="T8615" s="1"/>
      <c r="U8615" s="1"/>
      <c r="V8615" s="1"/>
      <c r="W8615" s="1"/>
      <c r="X8615" s="1"/>
      <c r="Y8615" s="1"/>
      <c r="Z8615" s="620"/>
      <c r="AA8615" s="620"/>
      <c r="AB8615" s="1"/>
      <c r="AC8615" s="1"/>
      <c r="AD8615" s="1"/>
      <c r="AE8615" s="1"/>
      <c r="AF8615" s="1"/>
      <c r="AG8615" s="1"/>
      <c r="AH8615" s="1"/>
      <c r="AI8615" s="1"/>
      <c r="AJ8615" s="1"/>
      <c r="AK8615" s="1"/>
      <c r="AL8615" s="1"/>
      <c r="AM8615" s="1"/>
    </row>
    <row r="8616" spans="1:39" x14ac:dyDescent="0.25">
      <c r="A8616" s="620"/>
      <c r="B8616" s="620"/>
      <c r="C8616" s="620"/>
      <c r="D8616" s="620"/>
      <c r="E8616" s="620"/>
      <c r="F8616" s="620"/>
      <c r="G8616" s="620"/>
      <c r="H8616" s="620"/>
      <c r="I8616" s="620"/>
      <c r="J8616" s="620"/>
      <c r="K8616" s="620"/>
      <c r="L8616" s="620"/>
      <c r="M8616" s="620"/>
      <c r="N8616" s="620"/>
      <c r="O8616" s="620"/>
      <c r="P8616" s="49"/>
      <c r="Q8616" s="1"/>
      <c r="R8616" s="620"/>
      <c r="S8616" s="1"/>
      <c r="T8616" s="1"/>
      <c r="U8616" s="1"/>
      <c r="V8616" s="1"/>
      <c r="W8616" s="1"/>
      <c r="X8616" s="1"/>
      <c r="Y8616" s="1"/>
      <c r="Z8616" s="620"/>
      <c r="AA8616" s="620"/>
      <c r="AB8616" s="1"/>
      <c r="AC8616" s="1"/>
      <c r="AD8616" s="1"/>
      <c r="AE8616" s="1"/>
      <c r="AF8616" s="1"/>
      <c r="AG8616" s="1"/>
      <c r="AH8616" s="1"/>
      <c r="AI8616" s="1"/>
      <c r="AJ8616" s="1"/>
      <c r="AK8616" s="1"/>
      <c r="AL8616" s="1"/>
      <c r="AM8616" s="1"/>
    </row>
    <row r="8617" spans="1:39" x14ac:dyDescent="0.25">
      <c r="A8617" s="620"/>
      <c r="B8617" s="620"/>
      <c r="C8617" s="620"/>
      <c r="D8617" s="620"/>
      <c r="E8617" s="620"/>
      <c r="F8617" s="620"/>
      <c r="G8617" s="620"/>
      <c r="H8617" s="620"/>
      <c r="I8617" s="620"/>
      <c r="J8617" s="620"/>
      <c r="K8617" s="620"/>
      <c r="L8617" s="620"/>
      <c r="M8617" s="620"/>
      <c r="N8617" s="620"/>
      <c r="O8617" s="620"/>
      <c r="P8617" s="49"/>
      <c r="Q8617" s="1"/>
      <c r="R8617" s="620"/>
      <c r="S8617" s="1"/>
      <c r="T8617" s="1"/>
      <c r="U8617" s="1"/>
      <c r="V8617" s="1"/>
      <c r="W8617" s="1"/>
      <c r="X8617" s="1"/>
      <c r="Y8617" s="1"/>
      <c r="Z8617" s="620"/>
      <c r="AA8617" s="620"/>
      <c r="AB8617" s="1"/>
      <c r="AC8617" s="1"/>
      <c r="AD8617" s="1"/>
      <c r="AE8617" s="1"/>
      <c r="AF8617" s="1"/>
      <c r="AG8617" s="1"/>
      <c r="AH8617" s="1"/>
      <c r="AI8617" s="1"/>
      <c r="AJ8617" s="1"/>
      <c r="AK8617" s="1"/>
      <c r="AL8617" s="1"/>
      <c r="AM8617" s="1"/>
    </row>
    <row r="8618" spans="1:39" x14ac:dyDescent="0.25">
      <c r="A8618" s="620"/>
      <c r="B8618" s="620"/>
      <c r="C8618" s="620"/>
      <c r="D8618" s="620"/>
      <c r="E8618" s="620"/>
      <c r="F8618" s="620"/>
      <c r="G8618" s="620"/>
      <c r="H8618" s="620"/>
      <c r="I8618" s="620"/>
      <c r="J8618" s="620"/>
      <c r="K8618" s="620"/>
      <c r="L8618" s="620"/>
      <c r="M8618" s="620"/>
      <c r="N8618" s="620"/>
      <c r="O8618" s="620"/>
      <c r="P8618" s="49"/>
      <c r="Q8618" s="1"/>
      <c r="R8618" s="620"/>
      <c r="S8618" s="1"/>
      <c r="T8618" s="1"/>
      <c r="U8618" s="1"/>
      <c r="V8618" s="1"/>
      <c r="W8618" s="1"/>
      <c r="X8618" s="1"/>
      <c r="Y8618" s="1"/>
      <c r="Z8618" s="620"/>
      <c r="AA8618" s="620"/>
      <c r="AB8618" s="1"/>
      <c r="AC8618" s="1"/>
      <c r="AD8618" s="1"/>
      <c r="AE8618" s="1"/>
      <c r="AF8618" s="1"/>
      <c r="AG8618" s="1"/>
      <c r="AH8618" s="1"/>
      <c r="AI8618" s="1"/>
      <c r="AJ8618" s="1"/>
      <c r="AK8618" s="1"/>
      <c r="AL8618" s="1"/>
      <c r="AM8618" s="1"/>
    </row>
    <row r="8619" spans="1:39" x14ac:dyDescent="0.25">
      <c r="A8619" s="620"/>
      <c r="B8619" s="620"/>
      <c r="C8619" s="620"/>
      <c r="D8619" s="620"/>
      <c r="E8619" s="620"/>
      <c r="F8619" s="620"/>
      <c r="G8619" s="620"/>
      <c r="H8619" s="620"/>
      <c r="I8619" s="620"/>
      <c r="J8619" s="620"/>
      <c r="K8619" s="620"/>
      <c r="L8619" s="620"/>
      <c r="M8619" s="620"/>
      <c r="N8619" s="620"/>
      <c r="O8619" s="620"/>
      <c r="P8619" s="49"/>
      <c r="Q8619" s="1"/>
      <c r="R8619" s="620"/>
      <c r="S8619" s="1"/>
      <c r="T8619" s="1"/>
      <c r="U8619" s="1"/>
      <c r="V8619" s="1"/>
      <c r="W8619" s="1"/>
      <c r="X8619" s="1"/>
      <c r="Y8619" s="1"/>
      <c r="Z8619" s="620"/>
      <c r="AA8619" s="620"/>
      <c r="AB8619" s="1"/>
      <c r="AC8619" s="1"/>
      <c r="AD8619" s="1"/>
      <c r="AE8619" s="1"/>
      <c r="AF8619" s="1"/>
      <c r="AG8619" s="1"/>
      <c r="AH8619" s="1"/>
      <c r="AI8619" s="1"/>
      <c r="AJ8619" s="1"/>
      <c r="AK8619" s="1"/>
      <c r="AL8619" s="1"/>
      <c r="AM8619" s="1"/>
    </row>
    <row r="8620" spans="1:39" x14ac:dyDescent="0.25">
      <c r="A8620" s="620"/>
      <c r="B8620" s="620"/>
      <c r="C8620" s="620"/>
      <c r="D8620" s="620"/>
      <c r="E8620" s="620"/>
      <c r="F8620" s="620"/>
      <c r="G8620" s="620"/>
      <c r="H8620" s="620"/>
      <c r="I8620" s="620"/>
      <c r="J8620" s="620"/>
      <c r="K8620" s="620"/>
      <c r="L8620" s="620"/>
      <c r="M8620" s="620"/>
      <c r="N8620" s="620"/>
      <c r="O8620" s="620"/>
      <c r="P8620" s="49"/>
      <c r="Q8620" s="1"/>
      <c r="R8620" s="620"/>
      <c r="S8620" s="1"/>
      <c r="T8620" s="1"/>
      <c r="U8620" s="1"/>
      <c r="V8620" s="1"/>
      <c r="W8620" s="1"/>
      <c r="X8620" s="1"/>
      <c r="Y8620" s="1"/>
      <c r="Z8620" s="620"/>
      <c r="AA8620" s="620"/>
      <c r="AB8620" s="1"/>
      <c r="AC8620" s="1"/>
      <c r="AD8620" s="1"/>
      <c r="AE8620" s="1"/>
      <c r="AF8620" s="1"/>
      <c r="AG8620" s="1"/>
      <c r="AH8620" s="1"/>
      <c r="AI8620" s="1"/>
      <c r="AJ8620" s="1"/>
      <c r="AK8620" s="1"/>
      <c r="AL8620" s="1"/>
      <c r="AM8620" s="1"/>
    </row>
    <row r="8621" spans="1:39" x14ac:dyDescent="0.25">
      <c r="A8621" s="620"/>
      <c r="B8621" s="620"/>
      <c r="C8621" s="620"/>
      <c r="D8621" s="620"/>
      <c r="E8621" s="620"/>
      <c r="F8621" s="620"/>
      <c r="G8621" s="620"/>
      <c r="H8621" s="620"/>
      <c r="I8621" s="620"/>
      <c r="J8621" s="620"/>
      <c r="K8621" s="620"/>
      <c r="L8621" s="620"/>
      <c r="M8621" s="620"/>
      <c r="N8621" s="620"/>
      <c r="O8621" s="620"/>
      <c r="P8621" s="49"/>
      <c r="Q8621" s="1"/>
      <c r="R8621" s="620"/>
      <c r="S8621" s="1"/>
      <c r="T8621" s="1"/>
      <c r="U8621" s="1"/>
      <c r="V8621" s="1"/>
      <c r="W8621" s="1"/>
      <c r="X8621" s="1"/>
      <c r="Y8621" s="1"/>
      <c r="Z8621" s="620"/>
      <c r="AA8621" s="620"/>
      <c r="AB8621" s="1"/>
      <c r="AC8621" s="1"/>
      <c r="AD8621" s="1"/>
      <c r="AE8621" s="1"/>
      <c r="AF8621" s="1"/>
      <c r="AG8621" s="1"/>
      <c r="AH8621" s="1"/>
      <c r="AI8621" s="1"/>
      <c r="AJ8621" s="1"/>
      <c r="AK8621" s="1"/>
      <c r="AL8621" s="1"/>
      <c r="AM8621" s="1"/>
    </row>
    <row r="8622" spans="1:39" x14ac:dyDescent="0.25">
      <c r="A8622" s="620"/>
      <c r="B8622" s="620"/>
      <c r="C8622" s="620"/>
      <c r="D8622" s="620"/>
      <c r="E8622" s="620"/>
      <c r="F8622" s="620"/>
      <c r="G8622" s="620"/>
      <c r="H8622" s="620"/>
      <c r="I8622" s="620"/>
      <c r="J8622" s="620"/>
      <c r="K8622" s="620"/>
      <c r="L8622" s="620"/>
      <c r="M8622" s="620"/>
      <c r="N8622" s="620"/>
      <c r="O8622" s="620"/>
      <c r="P8622" s="49"/>
      <c r="Q8622" s="1"/>
      <c r="R8622" s="620"/>
      <c r="S8622" s="1"/>
      <c r="T8622" s="1"/>
      <c r="U8622" s="1"/>
      <c r="V8622" s="1"/>
      <c r="W8622" s="1"/>
      <c r="X8622" s="1"/>
      <c r="Y8622" s="1"/>
      <c r="Z8622" s="620"/>
      <c r="AA8622" s="620"/>
      <c r="AB8622" s="1"/>
      <c r="AC8622" s="1"/>
      <c r="AD8622" s="1"/>
      <c r="AE8622" s="1"/>
      <c r="AF8622" s="1"/>
      <c r="AG8622" s="1"/>
      <c r="AH8622" s="1"/>
      <c r="AI8622" s="1"/>
      <c r="AJ8622" s="1"/>
      <c r="AK8622" s="1"/>
      <c r="AL8622" s="1"/>
      <c r="AM8622" s="1"/>
    </row>
    <row r="8623" spans="1:39" x14ac:dyDescent="0.25">
      <c r="A8623" s="620"/>
      <c r="B8623" s="620"/>
      <c r="C8623" s="620"/>
      <c r="D8623" s="620"/>
      <c r="E8623" s="620"/>
      <c r="F8623" s="620"/>
      <c r="G8623" s="620"/>
      <c r="H8623" s="620"/>
      <c r="I8623" s="620"/>
      <c r="J8623" s="620"/>
      <c r="K8623" s="620"/>
      <c r="L8623" s="620"/>
      <c r="M8623" s="620"/>
      <c r="N8623" s="620"/>
      <c r="O8623" s="620"/>
      <c r="P8623" s="49"/>
      <c r="Q8623" s="1"/>
      <c r="R8623" s="620"/>
      <c r="S8623" s="1"/>
      <c r="T8623" s="1"/>
      <c r="U8623" s="1"/>
      <c r="V8623" s="1"/>
      <c r="W8623" s="1"/>
      <c r="X8623" s="1"/>
      <c r="Y8623" s="1"/>
      <c r="Z8623" s="620"/>
      <c r="AA8623" s="620"/>
      <c r="AB8623" s="1"/>
      <c r="AC8623" s="1"/>
      <c r="AD8623" s="1"/>
      <c r="AE8623" s="1"/>
      <c r="AF8623" s="1"/>
      <c r="AG8623" s="1"/>
      <c r="AH8623" s="1"/>
      <c r="AI8623" s="1"/>
      <c r="AJ8623" s="1"/>
      <c r="AK8623" s="1"/>
      <c r="AL8623" s="1"/>
      <c r="AM8623" s="1"/>
    </row>
    <row r="8624" spans="1:39" x14ac:dyDescent="0.25">
      <c r="A8624" s="620"/>
      <c r="B8624" s="620"/>
      <c r="C8624" s="620"/>
      <c r="D8624" s="620"/>
      <c r="E8624" s="620"/>
      <c r="F8624" s="620"/>
      <c r="G8624" s="620"/>
      <c r="H8624" s="620"/>
      <c r="I8624" s="620"/>
      <c r="J8624" s="620"/>
      <c r="K8624" s="620"/>
      <c r="L8624" s="620"/>
      <c r="M8624" s="620"/>
      <c r="N8624" s="620"/>
      <c r="O8624" s="620"/>
      <c r="P8624" s="49"/>
      <c r="Q8624" s="1"/>
      <c r="R8624" s="620"/>
      <c r="S8624" s="1"/>
      <c r="T8624" s="1"/>
      <c r="U8624" s="1"/>
      <c r="V8624" s="1"/>
      <c r="W8624" s="1"/>
      <c r="X8624" s="1"/>
      <c r="Y8624" s="1"/>
      <c r="Z8624" s="620"/>
      <c r="AA8624" s="620"/>
      <c r="AB8624" s="1"/>
      <c r="AC8624" s="1"/>
      <c r="AD8624" s="1"/>
      <c r="AE8624" s="1"/>
      <c r="AF8624" s="1"/>
      <c r="AG8624" s="1"/>
      <c r="AH8624" s="1"/>
      <c r="AI8624" s="1"/>
      <c r="AJ8624" s="1"/>
      <c r="AK8624" s="1"/>
      <c r="AL8624" s="1"/>
      <c r="AM8624" s="1"/>
    </row>
    <row r="8625" spans="1:39" x14ac:dyDescent="0.25">
      <c r="A8625" s="620"/>
      <c r="B8625" s="620"/>
      <c r="C8625" s="620"/>
      <c r="D8625" s="620"/>
      <c r="E8625" s="620"/>
      <c r="F8625" s="620"/>
      <c r="G8625" s="620"/>
      <c r="H8625" s="620"/>
      <c r="I8625" s="620"/>
      <c r="J8625" s="620"/>
      <c r="K8625" s="620"/>
      <c r="L8625" s="620"/>
      <c r="M8625" s="620"/>
      <c r="N8625" s="620"/>
      <c r="O8625" s="620"/>
      <c r="P8625" s="49"/>
      <c r="Q8625" s="1"/>
      <c r="R8625" s="620"/>
      <c r="S8625" s="1"/>
      <c r="T8625" s="1"/>
      <c r="U8625" s="1"/>
      <c r="V8625" s="1"/>
      <c r="W8625" s="1"/>
      <c r="X8625" s="1"/>
      <c r="Y8625" s="1"/>
      <c r="Z8625" s="620"/>
      <c r="AA8625" s="620"/>
      <c r="AB8625" s="1"/>
      <c r="AC8625" s="1"/>
      <c r="AD8625" s="1"/>
      <c r="AE8625" s="1"/>
      <c r="AF8625" s="1"/>
      <c r="AG8625" s="1"/>
      <c r="AH8625" s="1"/>
      <c r="AI8625" s="1"/>
      <c r="AJ8625" s="1"/>
      <c r="AK8625" s="1"/>
      <c r="AL8625" s="1"/>
      <c r="AM8625" s="1"/>
    </row>
    <row r="8626" spans="1:39" x14ac:dyDescent="0.25">
      <c r="A8626" s="620"/>
      <c r="B8626" s="620"/>
      <c r="C8626" s="620"/>
      <c r="D8626" s="620"/>
      <c r="E8626" s="620"/>
      <c r="F8626" s="620"/>
      <c r="G8626" s="620"/>
      <c r="H8626" s="620"/>
      <c r="I8626" s="620"/>
      <c r="J8626" s="620"/>
      <c r="K8626" s="620"/>
      <c r="L8626" s="620"/>
      <c r="M8626" s="620"/>
      <c r="N8626" s="620"/>
      <c r="O8626" s="620"/>
      <c r="P8626" s="49"/>
      <c r="Q8626" s="1"/>
      <c r="R8626" s="620"/>
      <c r="S8626" s="1"/>
      <c r="T8626" s="1"/>
      <c r="U8626" s="1"/>
      <c r="V8626" s="1"/>
      <c r="W8626" s="1"/>
      <c r="X8626" s="1"/>
      <c r="Y8626" s="1"/>
      <c r="Z8626" s="620"/>
      <c r="AA8626" s="620"/>
      <c r="AB8626" s="1"/>
      <c r="AC8626" s="1"/>
      <c r="AD8626" s="1"/>
      <c r="AE8626" s="1"/>
      <c r="AF8626" s="1"/>
      <c r="AG8626" s="1"/>
      <c r="AH8626" s="1"/>
      <c r="AI8626" s="1"/>
      <c r="AJ8626" s="1"/>
      <c r="AK8626" s="1"/>
      <c r="AL8626" s="1"/>
      <c r="AM8626" s="1"/>
    </row>
    <row r="8627" spans="1:39" x14ac:dyDescent="0.25">
      <c r="A8627" s="620"/>
      <c r="B8627" s="620"/>
      <c r="C8627" s="620"/>
      <c r="D8627" s="620"/>
      <c r="E8627" s="620"/>
      <c r="F8627" s="620"/>
      <c r="G8627" s="620"/>
      <c r="H8627" s="620"/>
      <c r="I8627" s="620"/>
      <c r="J8627" s="620"/>
      <c r="K8627" s="620"/>
      <c r="L8627" s="620"/>
      <c r="M8627" s="620"/>
      <c r="N8627" s="620"/>
      <c r="O8627" s="620"/>
      <c r="P8627" s="49"/>
      <c r="Q8627" s="1"/>
      <c r="R8627" s="620"/>
      <c r="S8627" s="1"/>
      <c r="T8627" s="1"/>
      <c r="U8627" s="1"/>
      <c r="V8627" s="1"/>
      <c r="W8627" s="1"/>
      <c r="X8627" s="1"/>
      <c r="Y8627" s="1"/>
      <c r="Z8627" s="620"/>
      <c r="AA8627" s="620"/>
      <c r="AB8627" s="1"/>
      <c r="AC8627" s="1"/>
      <c r="AD8627" s="1"/>
      <c r="AE8627" s="1"/>
      <c r="AF8627" s="1"/>
      <c r="AG8627" s="1"/>
      <c r="AH8627" s="1"/>
      <c r="AI8627" s="1"/>
      <c r="AJ8627" s="1"/>
      <c r="AK8627" s="1"/>
      <c r="AL8627" s="1"/>
      <c r="AM8627" s="1"/>
    </row>
    <row r="8628" spans="1:39" x14ac:dyDescent="0.25">
      <c r="A8628" s="620"/>
      <c r="B8628" s="620"/>
      <c r="C8628" s="620"/>
      <c r="D8628" s="620"/>
      <c r="E8628" s="620"/>
      <c r="F8628" s="620"/>
      <c r="G8628" s="620"/>
      <c r="H8628" s="620"/>
      <c r="I8628" s="620"/>
      <c r="J8628" s="620"/>
      <c r="K8628" s="620"/>
      <c r="L8628" s="620"/>
      <c r="M8628" s="620"/>
      <c r="N8628" s="620"/>
      <c r="O8628" s="620"/>
      <c r="P8628" s="49"/>
      <c r="Q8628" s="1"/>
      <c r="R8628" s="620"/>
      <c r="S8628" s="1"/>
      <c r="T8628" s="1"/>
      <c r="U8628" s="1"/>
      <c r="V8628" s="1"/>
      <c r="W8628" s="1"/>
      <c r="X8628" s="1"/>
      <c r="Y8628" s="1"/>
      <c r="Z8628" s="620"/>
      <c r="AA8628" s="620"/>
      <c r="AB8628" s="1"/>
      <c r="AC8628" s="1"/>
      <c r="AD8628" s="1"/>
      <c r="AE8628" s="1"/>
      <c r="AF8628" s="1"/>
      <c r="AG8628" s="1"/>
      <c r="AH8628" s="1"/>
      <c r="AI8628" s="1"/>
      <c r="AJ8628" s="1"/>
      <c r="AK8628" s="1"/>
      <c r="AL8628" s="1"/>
      <c r="AM8628" s="1"/>
    </row>
    <row r="8629" spans="1:39" x14ac:dyDescent="0.25">
      <c r="A8629" s="620"/>
      <c r="B8629" s="620"/>
      <c r="C8629" s="620"/>
      <c r="D8629" s="620"/>
      <c r="E8629" s="620"/>
      <c r="F8629" s="620"/>
      <c r="G8629" s="620"/>
      <c r="H8629" s="620"/>
      <c r="I8629" s="620"/>
      <c r="J8629" s="620"/>
      <c r="K8629" s="620"/>
      <c r="L8629" s="620"/>
      <c r="M8629" s="620"/>
      <c r="N8629" s="620"/>
      <c r="O8629" s="620"/>
      <c r="P8629" s="49"/>
      <c r="Q8629" s="1"/>
      <c r="R8629" s="620"/>
      <c r="S8629" s="1"/>
      <c r="T8629" s="1"/>
      <c r="U8629" s="1"/>
      <c r="V8629" s="1"/>
      <c r="W8629" s="1"/>
      <c r="X8629" s="1"/>
      <c r="Y8629" s="1"/>
      <c r="Z8629" s="620"/>
      <c r="AA8629" s="620"/>
      <c r="AB8629" s="1"/>
      <c r="AC8629" s="1"/>
      <c r="AD8629" s="1"/>
      <c r="AE8629" s="1"/>
      <c r="AF8629" s="1"/>
      <c r="AG8629" s="1"/>
      <c r="AH8629" s="1"/>
      <c r="AI8629" s="1"/>
      <c r="AJ8629" s="1"/>
      <c r="AK8629" s="1"/>
      <c r="AL8629" s="1"/>
      <c r="AM8629" s="1"/>
    </row>
    <row r="8630" spans="1:39" x14ac:dyDescent="0.25">
      <c r="A8630" s="620"/>
      <c r="B8630" s="620"/>
      <c r="C8630" s="620"/>
      <c r="D8630" s="620"/>
      <c r="E8630" s="620"/>
      <c r="F8630" s="620"/>
      <c r="G8630" s="620"/>
      <c r="H8630" s="620"/>
      <c r="I8630" s="620"/>
      <c r="J8630" s="620"/>
      <c r="K8630" s="620"/>
      <c r="L8630" s="620"/>
      <c r="M8630" s="620"/>
      <c r="N8630" s="620"/>
      <c r="O8630" s="620"/>
      <c r="P8630" s="49"/>
      <c r="Q8630" s="1"/>
      <c r="R8630" s="620"/>
      <c r="S8630" s="1"/>
      <c r="T8630" s="1"/>
      <c r="U8630" s="1"/>
      <c r="V8630" s="1"/>
      <c r="W8630" s="1"/>
      <c r="X8630" s="1"/>
      <c r="Y8630" s="1"/>
      <c r="Z8630" s="620"/>
      <c r="AA8630" s="620"/>
      <c r="AB8630" s="1"/>
      <c r="AC8630" s="1"/>
      <c r="AD8630" s="1"/>
      <c r="AE8630" s="1"/>
      <c r="AF8630" s="1"/>
      <c r="AG8630" s="1"/>
      <c r="AH8630" s="1"/>
      <c r="AI8630" s="1"/>
      <c r="AJ8630" s="1"/>
      <c r="AK8630" s="1"/>
      <c r="AL8630" s="1"/>
      <c r="AM8630" s="1"/>
    </row>
    <row r="8631" spans="1:39" x14ac:dyDescent="0.25">
      <c r="A8631" s="620"/>
      <c r="B8631" s="620"/>
      <c r="C8631" s="620"/>
      <c r="D8631" s="620"/>
      <c r="E8631" s="620"/>
      <c r="F8631" s="620"/>
      <c r="G8631" s="620"/>
      <c r="H8631" s="620"/>
      <c r="I8631" s="620"/>
      <c r="J8631" s="620"/>
      <c r="K8631" s="620"/>
      <c r="L8631" s="620"/>
      <c r="M8631" s="620"/>
      <c r="N8631" s="620"/>
      <c r="O8631" s="620"/>
      <c r="P8631" s="49"/>
      <c r="Q8631" s="1"/>
      <c r="R8631" s="620"/>
      <c r="S8631" s="1"/>
      <c r="T8631" s="1"/>
      <c r="U8631" s="1"/>
      <c r="V8631" s="1"/>
      <c r="W8631" s="1"/>
      <c r="X8631" s="1"/>
      <c r="Y8631" s="1"/>
      <c r="Z8631" s="620"/>
      <c r="AA8631" s="620"/>
      <c r="AB8631" s="1"/>
      <c r="AC8631" s="1"/>
      <c r="AD8631" s="1"/>
      <c r="AE8631" s="1"/>
      <c r="AF8631" s="1"/>
      <c r="AG8631" s="1"/>
      <c r="AH8631" s="1"/>
      <c r="AI8631" s="1"/>
      <c r="AJ8631" s="1"/>
      <c r="AK8631" s="1"/>
      <c r="AL8631" s="1"/>
      <c r="AM8631" s="1"/>
    </row>
    <row r="8632" spans="1:39" x14ac:dyDescent="0.25">
      <c r="A8632" s="620"/>
      <c r="B8632" s="620"/>
      <c r="C8632" s="620"/>
      <c r="D8632" s="620"/>
      <c r="E8632" s="620"/>
      <c r="F8632" s="620"/>
      <c r="G8632" s="620"/>
      <c r="H8632" s="620"/>
      <c r="I8632" s="620"/>
      <c r="J8632" s="620"/>
      <c r="K8632" s="620"/>
      <c r="L8632" s="620"/>
      <c r="M8632" s="620"/>
      <c r="N8632" s="620"/>
      <c r="O8632" s="620"/>
      <c r="P8632" s="49"/>
      <c r="Q8632" s="1"/>
      <c r="R8632" s="620"/>
      <c r="S8632" s="1"/>
      <c r="T8632" s="1"/>
      <c r="U8632" s="1"/>
      <c r="V8632" s="1"/>
      <c r="W8632" s="1"/>
      <c r="X8632" s="1"/>
      <c r="Y8632" s="1"/>
      <c r="Z8632" s="620"/>
      <c r="AA8632" s="620"/>
      <c r="AB8632" s="1"/>
      <c r="AC8632" s="1"/>
      <c r="AD8632" s="1"/>
      <c r="AE8632" s="1"/>
      <c r="AF8632" s="1"/>
      <c r="AG8632" s="1"/>
      <c r="AH8632" s="1"/>
      <c r="AI8632" s="1"/>
      <c r="AJ8632" s="1"/>
      <c r="AK8632" s="1"/>
      <c r="AL8632" s="1"/>
      <c r="AM8632" s="1"/>
    </row>
    <row r="8633" spans="1:39" x14ac:dyDescent="0.25">
      <c r="A8633" s="620"/>
      <c r="B8633" s="620"/>
      <c r="C8633" s="620"/>
      <c r="D8633" s="620"/>
      <c r="E8633" s="620"/>
      <c r="F8633" s="620"/>
      <c r="G8633" s="620"/>
      <c r="H8633" s="620"/>
      <c r="I8633" s="620"/>
      <c r="J8633" s="620"/>
      <c r="K8633" s="620"/>
      <c r="L8633" s="620"/>
      <c r="M8633" s="620"/>
      <c r="N8633" s="620"/>
      <c r="O8633" s="620"/>
      <c r="P8633" s="49"/>
      <c r="Q8633" s="1"/>
      <c r="R8633" s="620"/>
      <c r="S8633" s="1"/>
      <c r="T8633" s="1"/>
      <c r="U8633" s="1"/>
      <c r="V8633" s="1"/>
      <c r="W8633" s="1"/>
      <c r="X8633" s="1"/>
      <c r="Y8633" s="1"/>
      <c r="Z8633" s="620"/>
      <c r="AA8633" s="620"/>
      <c r="AB8633" s="1"/>
      <c r="AC8633" s="1"/>
      <c r="AD8633" s="1"/>
      <c r="AE8633" s="1"/>
      <c r="AF8633" s="1"/>
      <c r="AG8633" s="1"/>
      <c r="AH8633" s="1"/>
      <c r="AI8633" s="1"/>
      <c r="AJ8633" s="1"/>
      <c r="AK8633" s="1"/>
      <c r="AL8633" s="1"/>
      <c r="AM8633" s="1"/>
    </row>
    <row r="8634" spans="1:39" x14ac:dyDescent="0.25">
      <c r="A8634" s="620"/>
      <c r="B8634" s="620"/>
      <c r="C8634" s="620"/>
      <c r="D8634" s="620"/>
      <c r="E8634" s="620"/>
      <c r="F8634" s="620"/>
      <c r="G8634" s="620"/>
      <c r="H8634" s="620"/>
      <c r="I8634" s="620"/>
      <c r="J8634" s="620"/>
      <c r="K8634" s="620"/>
      <c r="L8634" s="620"/>
      <c r="M8634" s="620"/>
      <c r="N8634" s="620"/>
      <c r="O8634" s="620"/>
      <c r="P8634" s="49"/>
      <c r="Q8634" s="1"/>
      <c r="R8634" s="620"/>
      <c r="S8634" s="1"/>
      <c r="T8634" s="1"/>
      <c r="U8634" s="1"/>
      <c r="V8634" s="1"/>
      <c r="W8634" s="1"/>
      <c r="X8634" s="1"/>
      <c r="Y8634" s="1"/>
      <c r="Z8634" s="620"/>
      <c r="AA8634" s="620"/>
      <c r="AB8634" s="1"/>
      <c r="AC8634" s="1"/>
      <c r="AD8634" s="1"/>
      <c r="AE8634" s="1"/>
      <c r="AF8634" s="1"/>
      <c r="AG8634" s="1"/>
      <c r="AH8634" s="1"/>
      <c r="AI8634" s="1"/>
      <c r="AJ8634" s="1"/>
      <c r="AK8634" s="1"/>
      <c r="AL8634" s="1"/>
      <c r="AM8634" s="1"/>
    </row>
    <row r="8635" spans="1:39" x14ac:dyDescent="0.25">
      <c r="A8635" s="620"/>
      <c r="B8635" s="620"/>
      <c r="C8635" s="620"/>
      <c r="D8635" s="620"/>
      <c r="E8635" s="620"/>
      <c r="F8635" s="620"/>
      <c r="G8635" s="620"/>
      <c r="H8635" s="620"/>
      <c r="I8635" s="620"/>
      <c r="J8635" s="620"/>
      <c r="K8635" s="620"/>
      <c r="L8635" s="620"/>
      <c r="M8635" s="620"/>
      <c r="N8635" s="620"/>
      <c r="O8635" s="620"/>
      <c r="P8635" s="49"/>
      <c r="Q8635" s="1"/>
      <c r="R8635" s="620"/>
      <c r="S8635" s="1"/>
      <c r="T8635" s="1"/>
      <c r="U8635" s="1"/>
      <c r="V8635" s="1"/>
      <c r="W8635" s="1"/>
      <c r="X8635" s="1"/>
      <c r="Y8635" s="1"/>
      <c r="Z8635" s="620"/>
      <c r="AA8635" s="620"/>
      <c r="AB8635" s="1"/>
      <c r="AC8635" s="1"/>
      <c r="AD8635" s="1"/>
      <c r="AE8635" s="1"/>
      <c r="AF8635" s="1"/>
      <c r="AG8635" s="1"/>
      <c r="AH8635" s="1"/>
      <c r="AI8635" s="1"/>
      <c r="AJ8635" s="1"/>
      <c r="AK8635" s="1"/>
      <c r="AL8635" s="1"/>
      <c r="AM8635" s="1"/>
    </row>
    <row r="8636" spans="1:39" x14ac:dyDescent="0.25">
      <c r="A8636" s="620"/>
      <c r="B8636" s="620"/>
      <c r="C8636" s="620"/>
      <c r="D8636" s="620"/>
      <c r="E8636" s="620"/>
      <c r="F8636" s="620"/>
      <c r="G8636" s="620"/>
      <c r="H8636" s="620"/>
      <c r="I8636" s="620"/>
      <c r="J8636" s="620"/>
      <c r="K8636" s="620"/>
      <c r="L8636" s="620"/>
      <c r="M8636" s="620"/>
      <c r="N8636" s="620"/>
      <c r="O8636" s="620"/>
      <c r="P8636" s="49"/>
      <c r="Q8636" s="1"/>
      <c r="R8636" s="620"/>
      <c r="S8636" s="1"/>
      <c r="T8636" s="1"/>
      <c r="U8636" s="1"/>
      <c r="V8636" s="1"/>
      <c r="W8636" s="1"/>
      <c r="X8636" s="1"/>
      <c r="Y8636" s="1"/>
      <c r="Z8636" s="620"/>
      <c r="AA8636" s="620"/>
      <c r="AB8636" s="1"/>
      <c r="AC8636" s="1"/>
      <c r="AD8636" s="1"/>
      <c r="AE8636" s="1"/>
      <c r="AF8636" s="1"/>
      <c r="AG8636" s="1"/>
      <c r="AH8636" s="1"/>
      <c r="AI8636" s="1"/>
      <c r="AJ8636" s="1"/>
      <c r="AK8636" s="1"/>
      <c r="AL8636" s="1"/>
      <c r="AM8636" s="1"/>
    </row>
    <row r="8637" spans="1:39" x14ac:dyDescent="0.25">
      <c r="A8637" s="620"/>
      <c r="B8637" s="620"/>
      <c r="C8637" s="620"/>
      <c r="D8637" s="620"/>
      <c r="E8637" s="620"/>
      <c r="F8637" s="620"/>
      <c r="G8637" s="620"/>
      <c r="H8637" s="620"/>
      <c r="I8637" s="620"/>
      <c r="J8637" s="620"/>
      <c r="K8637" s="620"/>
      <c r="L8637" s="620"/>
      <c r="M8637" s="620"/>
      <c r="N8637" s="620"/>
      <c r="O8637" s="620"/>
      <c r="P8637" s="49"/>
      <c r="Q8637" s="1"/>
      <c r="R8637" s="620"/>
      <c r="S8637" s="1"/>
      <c r="T8637" s="1"/>
      <c r="U8637" s="1"/>
      <c r="V8637" s="1"/>
      <c r="W8637" s="1"/>
      <c r="X8637" s="1"/>
      <c r="Y8637" s="1"/>
      <c r="Z8637" s="620"/>
      <c r="AA8637" s="620"/>
      <c r="AB8637" s="1"/>
      <c r="AC8637" s="1"/>
      <c r="AD8637" s="1"/>
      <c r="AE8637" s="1"/>
      <c r="AF8637" s="1"/>
      <c r="AG8637" s="1"/>
      <c r="AH8637" s="1"/>
      <c r="AI8637" s="1"/>
      <c r="AJ8637" s="1"/>
      <c r="AK8637" s="1"/>
      <c r="AL8637" s="1"/>
      <c r="AM8637" s="1"/>
    </row>
    <row r="8638" spans="1:39" x14ac:dyDescent="0.25">
      <c r="A8638" s="620"/>
      <c r="B8638" s="620"/>
      <c r="C8638" s="620"/>
      <c r="D8638" s="620"/>
      <c r="E8638" s="620"/>
      <c r="F8638" s="620"/>
      <c r="G8638" s="620"/>
      <c r="H8638" s="620"/>
      <c r="I8638" s="620"/>
      <c r="J8638" s="620"/>
      <c r="K8638" s="620"/>
      <c r="L8638" s="620"/>
      <c r="M8638" s="620"/>
      <c r="N8638" s="620"/>
      <c r="O8638" s="620"/>
      <c r="P8638" s="49"/>
      <c r="Q8638" s="1"/>
      <c r="R8638" s="620"/>
      <c r="S8638" s="1"/>
      <c r="T8638" s="1"/>
      <c r="U8638" s="1"/>
      <c r="V8638" s="1"/>
      <c r="W8638" s="1"/>
      <c r="X8638" s="1"/>
      <c r="Y8638" s="1"/>
      <c r="Z8638" s="620"/>
      <c r="AA8638" s="620"/>
      <c r="AB8638" s="1"/>
      <c r="AC8638" s="1"/>
      <c r="AD8638" s="1"/>
      <c r="AE8638" s="1"/>
      <c r="AF8638" s="1"/>
      <c r="AG8638" s="1"/>
      <c r="AH8638" s="1"/>
      <c r="AI8638" s="1"/>
      <c r="AJ8638" s="1"/>
      <c r="AK8638" s="1"/>
      <c r="AL8638" s="1"/>
      <c r="AM8638" s="1"/>
    </row>
    <row r="8639" spans="1:39" x14ac:dyDescent="0.25">
      <c r="A8639" s="620"/>
      <c r="B8639" s="620"/>
      <c r="C8639" s="620"/>
      <c r="D8639" s="620"/>
      <c r="E8639" s="620"/>
      <c r="F8639" s="620"/>
      <c r="G8639" s="620"/>
      <c r="H8639" s="620"/>
      <c r="I8639" s="620"/>
      <c r="J8639" s="620"/>
      <c r="K8639" s="620"/>
      <c r="L8639" s="620"/>
      <c r="M8639" s="620"/>
      <c r="N8639" s="620"/>
      <c r="O8639" s="620"/>
      <c r="P8639" s="49"/>
      <c r="Q8639" s="1"/>
      <c r="R8639" s="620"/>
      <c r="S8639" s="1"/>
      <c r="T8639" s="1"/>
      <c r="U8639" s="1"/>
      <c r="V8639" s="1"/>
      <c r="W8639" s="1"/>
      <c r="X8639" s="1"/>
      <c r="Y8639" s="1"/>
      <c r="Z8639" s="620"/>
      <c r="AA8639" s="620"/>
      <c r="AB8639" s="1"/>
      <c r="AC8639" s="1"/>
      <c r="AD8639" s="1"/>
      <c r="AE8639" s="1"/>
      <c r="AF8639" s="1"/>
      <c r="AG8639" s="1"/>
      <c r="AH8639" s="1"/>
      <c r="AI8639" s="1"/>
      <c r="AJ8639" s="1"/>
      <c r="AK8639" s="1"/>
      <c r="AL8639" s="1"/>
      <c r="AM8639" s="1"/>
    </row>
    <row r="8640" spans="1:39" x14ac:dyDescent="0.25">
      <c r="A8640" s="620"/>
      <c r="B8640" s="620"/>
      <c r="C8640" s="620"/>
      <c r="D8640" s="620"/>
      <c r="E8640" s="620"/>
      <c r="F8640" s="620"/>
      <c r="G8640" s="620"/>
      <c r="H8640" s="620"/>
      <c r="I8640" s="620"/>
      <c r="J8640" s="620"/>
      <c r="K8640" s="620"/>
      <c r="L8640" s="620"/>
      <c r="M8640" s="620"/>
      <c r="N8640" s="620"/>
      <c r="O8640" s="620"/>
      <c r="P8640" s="49"/>
      <c r="Q8640" s="1"/>
      <c r="R8640" s="620"/>
      <c r="S8640" s="1"/>
      <c r="T8640" s="1"/>
      <c r="U8640" s="1"/>
      <c r="V8640" s="1"/>
      <c r="W8640" s="1"/>
      <c r="X8640" s="1"/>
      <c r="Y8640" s="1"/>
      <c r="Z8640" s="620"/>
      <c r="AA8640" s="620"/>
      <c r="AB8640" s="1"/>
      <c r="AC8640" s="1"/>
      <c r="AD8640" s="1"/>
      <c r="AE8640" s="1"/>
      <c r="AF8640" s="1"/>
      <c r="AG8640" s="1"/>
      <c r="AH8640" s="1"/>
      <c r="AI8640" s="1"/>
      <c r="AJ8640" s="1"/>
      <c r="AK8640" s="1"/>
      <c r="AL8640" s="1"/>
      <c r="AM8640" s="1"/>
    </row>
    <row r="8641" spans="1:39" x14ac:dyDescent="0.25">
      <c r="A8641" s="620"/>
      <c r="B8641" s="620"/>
      <c r="C8641" s="620"/>
      <c r="D8641" s="620"/>
      <c r="E8641" s="620"/>
      <c r="F8641" s="620"/>
      <c r="G8641" s="620"/>
      <c r="H8641" s="620"/>
      <c r="I8641" s="620"/>
      <c r="J8641" s="620"/>
      <c r="K8641" s="620"/>
      <c r="L8641" s="620"/>
      <c r="M8641" s="620"/>
      <c r="N8641" s="620"/>
      <c r="O8641" s="620"/>
      <c r="P8641" s="49"/>
      <c r="Q8641" s="1"/>
      <c r="R8641" s="620"/>
      <c r="S8641" s="1"/>
      <c r="T8641" s="1"/>
      <c r="U8641" s="1"/>
      <c r="V8641" s="1"/>
      <c r="W8641" s="1"/>
      <c r="X8641" s="1"/>
      <c r="Y8641" s="1"/>
      <c r="Z8641" s="620"/>
      <c r="AA8641" s="620"/>
      <c r="AB8641" s="1"/>
      <c r="AC8641" s="1"/>
      <c r="AD8641" s="1"/>
      <c r="AE8641" s="1"/>
      <c r="AF8641" s="1"/>
      <c r="AG8641" s="1"/>
      <c r="AH8641" s="1"/>
      <c r="AI8641" s="1"/>
      <c r="AJ8641" s="1"/>
      <c r="AK8641" s="1"/>
      <c r="AL8641" s="1"/>
      <c r="AM8641" s="1"/>
    </row>
    <row r="8642" spans="1:39" x14ac:dyDescent="0.25">
      <c r="A8642" s="620"/>
      <c r="B8642" s="620"/>
      <c r="C8642" s="620"/>
      <c r="D8642" s="620"/>
      <c r="E8642" s="620"/>
      <c r="F8642" s="620"/>
      <c r="G8642" s="620"/>
      <c r="H8642" s="620"/>
      <c r="I8642" s="620"/>
      <c r="J8642" s="620"/>
      <c r="K8642" s="620"/>
      <c r="L8642" s="620"/>
      <c r="M8642" s="620"/>
      <c r="N8642" s="620"/>
      <c r="O8642" s="620"/>
      <c r="P8642" s="49"/>
      <c r="Q8642" s="1"/>
      <c r="R8642" s="620"/>
      <c r="S8642" s="1"/>
      <c r="T8642" s="1"/>
      <c r="U8642" s="1"/>
      <c r="V8642" s="1"/>
      <c r="W8642" s="1"/>
      <c r="X8642" s="1"/>
      <c r="Y8642" s="1"/>
      <c r="Z8642" s="620"/>
      <c r="AA8642" s="620"/>
      <c r="AB8642" s="1"/>
      <c r="AC8642" s="1"/>
      <c r="AD8642" s="1"/>
      <c r="AE8642" s="1"/>
      <c r="AF8642" s="1"/>
      <c r="AG8642" s="1"/>
      <c r="AH8642" s="1"/>
      <c r="AI8642" s="1"/>
      <c r="AJ8642" s="1"/>
      <c r="AK8642" s="1"/>
      <c r="AL8642" s="1"/>
      <c r="AM8642" s="1"/>
    </row>
    <row r="8643" spans="1:39" x14ac:dyDescent="0.25">
      <c r="A8643" s="620"/>
      <c r="B8643" s="620"/>
      <c r="C8643" s="620"/>
      <c r="D8643" s="620"/>
      <c r="E8643" s="620"/>
      <c r="F8643" s="620"/>
      <c r="G8643" s="620"/>
      <c r="H8643" s="620"/>
      <c r="I8643" s="620"/>
      <c r="J8643" s="620"/>
      <c r="K8643" s="620"/>
      <c r="L8643" s="620"/>
      <c r="M8643" s="620"/>
      <c r="N8643" s="620"/>
      <c r="O8643" s="620"/>
      <c r="P8643" s="49"/>
      <c r="Q8643" s="1"/>
      <c r="R8643" s="620"/>
      <c r="S8643" s="1"/>
      <c r="T8643" s="1"/>
      <c r="U8643" s="1"/>
      <c r="V8643" s="1"/>
      <c r="W8643" s="1"/>
      <c r="X8643" s="1"/>
      <c r="Y8643" s="1"/>
      <c r="Z8643" s="620"/>
      <c r="AA8643" s="620"/>
      <c r="AB8643" s="1"/>
      <c r="AC8643" s="1"/>
      <c r="AD8643" s="1"/>
      <c r="AE8643" s="1"/>
      <c r="AF8643" s="1"/>
      <c r="AG8643" s="1"/>
      <c r="AH8643" s="1"/>
      <c r="AI8643" s="1"/>
      <c r="AJ8643" s="1"/>
      <c r="AK8643" s="1"/>
      <c r="AL8643" s="1"/>
      <c r="AM8643" s="1"/>
    </row>
    <row r="8644" spans="1:39" x14ac:dyDescent="0.25">
      <c r="A8644" s="620"/>
      <c r="B8644" s="620"/>
      <c r="C8644" s="620"/>
      <c r="D8644" s="620"/>
      <c r="E8644" s="620"/>
      <c r="F8644" s="620"/>
      <c r="G8644" s="620"/>
      <c r="H8644" s="620"/>
      <c r="I8644" s="620"/>
      <c r="J8644" s="620"/>
      <c r="K8644" s="620"/>
      <c r="L8644" s="620"/>
      <c r="M8644" s="620"/>
      <c r="N8644" s="620"/>
      <c r="O8644" s="620"/>
      <c r="P8644" s="49"/>
      <c r="Q8644" s="1"/>
      <c r="R8644" s="620"/>
      <c r="S8644" s="1"/>
      <c r="T8644" s="1"/>
      <c r="U8644" s="1"/>
      <c r="V8644" s="1"/>
      <c r="W8644" s="1"/>
      <c r="X8644" s="1"/>
      <c r="Y8644" s="1"/>
      <c r="Z8644" s="620"/>
      <c r="AA8644" s="620"/>
      <c r="AB8644" s="1"/>
      <c r="AC8644" s="1"/>
      <c r="AD8644" s="1"/>
      <c r="AE8644" s="1"/>
      <c r="AF8644" s="1"/>
      <c r="AG8644" s="1"/>
      <c r="AH8644" s="1"/>
      <c r="AI8644" s="1"/>
      <c r="AJ8644" s="1"/>
      <c r="AK8644" s="1"/>
      <c r="AL8644" s="1"/>
      <c r="AM8644" s="1"/>
    </row>
    <row r="8645" spans="1:39" x14ac:dyDescent="0.25">
      <c r="A8645" s="620"/>
      <c r="B8645" s="620"/>
      <c r="C8645" s="620"/>
      <c r="D8645" s="620"/>
      <c r="E8645" s="620"/>
      <c r="F8645" s="620"/>
      <c r="G8645" s="620"/>
      <c r="H8645" s="620"/>
      <c r="I8645" s="620"/>
      <c r="J8645" s="620"/>
      <c r="K8645" s="620"/>
      <c r="L8645" s="620"/>
      <c r="M8645" s="620"/>
      <c r="N8645" s="620"/>
      <c r="O8645" s="620"/>
      <c r="P8645" s="49"/>
      <c r="Q8645" s="1"/>
      <c r="R8645" s="620"/>
      <c r="S8645" s="1"/>
      <c r="T8645" s="1"/>
      <c r="U8645" s="1"/>
      <c r="V8645" s="1"/>
      <c r="W8645" s="1"/>
      <c r="X8645" s="1"/>
      <c r="Y8645" s="1"/>
      <c r="Z8645" s="620"/>
      <c r="AA8645" s="620"/>
      <c r="AB8645" s="1"/>
      <c r="AC8645" s="1"/>
      <c r="AD8645" s="1"/>
      <c r="AE8645" s="1"/>
      <c r="AF8645" s="1"/>
      <c r="AG8645" s="1"/>
      <c r="AH8645" s="1"/>
      <c r="AI8645" s="1"/>
      <c r="AJ8645" s="1"/>
      <c r="AK8645" s="1"/>
      <c r="AL8645" s="1"/>
      <c r="AM8645" s="1"/>
    </row>
    <row r="8646" spans="1:39" x14ac:dyDescent="0.25">
      <c r="A8646" s="620"/>
      <c r="B8646" s="620"/>
      <c r="C8646" s="620"/>
      <c r="D8646" s="620"/>
      <c r="E8646" s="620"/>
      <c r="F8646" s="620"/>
      <c r="G8646" s="620"/>
      <c r="H8646" s="620"/>
      <c r="I8646" s="620"/>
      <c r="J8646" s="620"/>
      <c r="K8646" s="620"/>
      <c r="L8646" s="620"/>
      <c r="M8646" s="620"/>
      <c r="N8646" s="620"/>
      <c r="O8646" s="620"/>
      <c r="P8646" s="49"/>
      <c r="Q8646" s="1"/>
      <c r="R8646" s="620"/>
      <c r="S8646" s="1"/>
      <c r="T8646" s="1"/>
      <c r="U8646" s="1"/>
      <c r="V8646" s="1"/>
      <c r="W8646" s="1"/>
      <c r="X8646" s="1"/>
      <c r="Y8646" s="1"/>
      <c r="Z8646" s="620"/>
      <c r="AA8646" s="620"/>
      <c r="AB8646" s="1"/>
      <c r="AC8646" s="1"/>
      <c r="AD8646" s="1"/>
      <c r="AE8646" s="1"/>
      <c r="AF8646" s="1"/>
      <c r="AG8646" s="1"/>
      <c r="AH8646" s="1"/>
      <c r="AI8646" s="1"/>
      <c r="AJ8646" s="1"/>
      <c r="AK8646" s="1"/>
      <c r="AL8646" s="1"/>
      <c r="AM8646" s="1"/>
    </row>
    <row r="8647" spans="1:39" x14ac:dyDescent="0.25">
      <c r="A8647" s="620"/>
      <c r="B8647" s="620"/>
      <c r="C8647" s="620"/>
      <c r="D8647" s="620"/>
      <c r="E8647" s="620"/>
      <c r="F8647" s="620"/>
      <c r="G8647" s="620"/>
      <c r="H8647" s="620"/>
      <c r="I8647" s="620"/>
      <c r="J8647" s="620"/>
      <c r="K8647" s="620"/>
      <c r="L8647" s="620"/>
      <c r="M8647" s="620"/>
      <c r="N8647" s="620"/>
      <c r="O8647" s="620"/>
      <c r="P8647" s="49"/>
      <c r="Q8647" s="1"/>
      <c r="R8647" s="620"/>
      <c r="S8647" s="1"/>
      <c r="T8647" s="1"/>
      <c r="U8647" s="1"/>
      <c r="V8647" s="1"/>
      <c r="W8647" s="1"/>
      <c r="X8647" s="1"/>
      <c r="Y8647" s="1"/>
      <c r="Z8647" s="620"/>
      <c r="AA8647" s="620"/>
      <c r="AB8647" s="1"/>
      <c r="AC8647" s="1"/>
      <c r="AD8647" s="1"/>
      <c r="AE8647" s="1"/>
      <c r="AF8647" s="1"/>
      <c r="AG8647" s="1"/>
      <c r="AH8647" s="1"/>
      <c r="AI8647" s="1"/>
      <c r="AJ8647" s="1"/>
      <c r="AK8647" s="1"/>
      <c r="AL8647" s="1"/>
      <c r="AM8647" s="1"/>
    </row>
    <row r="8648" spans="1:39" x14ac:dyDescent="0.25">
      <c r="A8648" s="620"/>
      <c r="B8648" s="620"/>
      <c r="C8648" s="620"/>
      <c r="D8648" s="620"/>
      <c r="E8648" s="620"/>
      <c r="F8648" s="620"/>
      <c r="G8648" s="620"/>
      <c r="H8648" s="620"/>
      <c r="I8648" s="620"/>
      <c r="J8648" s="620"/>
      <c r="K8648" s="620"/>
      <c r="L8648" s="620"/>
      <c r="M8648" s="620"/>
      <c r="N8648" s="620"/>
      <c r="O8648" s="620"/>
      <c r="P8648" s="49"/>
      <c r="Q8648" s="1"/>
      <c r="R8648" s="620"/>
      <c r="S8648" s="1"/>
      <c r="T8648" s="1"/>
      <c r="U8648" s="1"/>
      <c r="V8648" s="1"/>
      <c r="W8648" s="1"/>
      <c r="X8648" s="1"/>
      <c r="Y8648" s="1"/>
      <c r="Z8648" s="620"/>
      <c r="AA8648" s="620"/>
      <c r="AB8648" s="1"/>
      <c r="AC8648" s="1"/>
      <c r="AD8648" s="1"/>
      <c r="AE8648" s="1"/>
      <c r="AF8648" s="1"/>
      <c r="AG8648" s="1"/>
      <c r="AH8648" s="1"/>
      <c r="AI8648" s="1"/>
      <c r="AJ8648" s="1"/>
      <c r="AK8648" s="1"/>
      <c r="AL8648" s="1"/>
      <c r="AM8648" s="1"/>
    </row>
    <row r="8649" spans="1:39" x14ac:dyDescent="0.25">
      <c r="A8649" s="620"/>
      <c r="B8649" s="620"/>
      <c r="C8649" s="620"/>
      <c r="D8649" s="620"/>
      <c r="E8649" s="620"/>
      <c r="F8649" s="620"/>
      <c r="G8649" s="620"/>
      <c r="H8649" s="620"/>
      <c r="I8649" s="620"/>
      <c r="J8649" s="620"/>
      <c r="K8649" s="620"/>
      <c r="L8649" s="620"/>
      <c r="M8649" s="620"/>
      <c r="N8649" s="620"/>
      <c r="O8649" s="620"/>
      <c r="P8649" s="49"/>
      <c r="Q8649" s="1"/>
      <c r="R8649" s="620"/>
      <c r="S8649" s="1"/>
      <c r="T8649" s="1"/>
      <c r="U8649" s="1"/>
      <c r="V8649" s="1"/>
      <c r="W8649" s="1"/>
      <c r="X8649" s="1"/>
      <c r="Y8649" s="1"/>
      <c r="Z8649" s="620"/>
      <c r="AA8649" s="620"/>
      <c r="AB8649" s="1"/>
      <c r="AC8649" s="1"/>
      <c r="AD8649" s="1"/>
      <c r="AE8649" s="1"/>
      <c r="AF8649" s="1"/>
      <c r="AG8649" s="1"/>
      <c r="AH8649" s="1"/>
      <c r="AI8649" s="1"/>
      <c r="AJ8649" s="1"/>
      <c r="AK8649" s="1"/>
      <c r="AL8649" s="1"/>
      <c r="AM8649" s="1"/>
    </row>
    <row r="8650" spans="1:39" x14ac:dyDescent="0.25">
      <c r="A8650" s="620"/>
      <c r="B8650" s="620"/>
      <c r="C8650" s="620"/>
      <c r="D8650" s="620"/>
      <c r="E8650" s="620"/>
      <c r="F8650" s="620"/>
      <c r="G8650" s="620"/>
      <c r="H8650" s="620"/>
      <c r="I8650" s="620"/>
      <c r="J8650" s="620"/>
      <c r="K8650" s="620"/>
      <c r="L8650" s="620"/>
      <c r="M8650" s="620"/>
      <c r="N8650" s="620"/>
      <c r="O8650" s="620"/>
      <c r="P8650" s="49"/>
      <c r="Q8650" s="1"/>
      <c r="R8650" s="620"/>
      <c r="S8650" s="1"/>
      <c r="T8650" s="1"/>
      <c r="U8650" s="1"/>
      <c r="V8650" s="1"/>
      <c r="W8650" s="1"/>
      <c r="X8650" s="1"/>
      <c r="Y8650" s="1"/>
      <c r="Z8650" s="620"/>
      <c r="AA8650" s="620"/>
      <c r="AB8650" s="1"/>
      <c r="AC8650" s="1"/>
      <c r="AD8650" s="1"/>
      <c r="AE8650" s="1"/>
      <c r="AF8650" s="1"/>
      <c r="AG8650" s="1"/>
      <c r="AH8650" s="1"/>
      <c r="AI8650" s="1"/>
      <c r="AJ8650" s="1"/>
      <c r="AK8650" s="1"/>
      <c r="AL8650" s="1"/>
      <c r="AM8650" s="1"/>
    </row>
    <row r="8651" spans="1:39" x14ac:dyDescent="0.25">
      <c r="A8651" s="620"/>
      <c r="B8651" s="620"/>
      <c r="C8651" s="620"/>
      <c r="D8651" s="620"/>
      <c r="E8651" s="620"/>
      <c r="F8651" s="620"/>
      <c r="G8651" s="620"/>
      <c r="H8651" s="620"/>
      <c r="I8651" s="620"/>
      <c r="J8651" s="620"/>
      <c r="K8651" s="620"/>
      <c r="L8651" s="620"/>
      <c r="M8651" s="620"/>
      <c r="N8651" s="620"/>
      <c r="O8651" s="620"/>
      <c r="P8651" s="49"/>
      <c r="Q8651" s="1"/>
      <c r="R8651" s="620"/>
      <c r="S8651" s="1"/>
      <c r="T8651" s="1"/>
      <c r="U8651" s="1"/>
      <c r="V8651" s="1"/>
      <c r="W8651" s="1"/>
      <c r="X8651" s="1"/>
      <c r="Y8651" s="1"/>
      <c r="Z8651" s="620"/>
      <c r="AA8651" s="620"/>
      <c r="AB8651" s="1"/>
      <c r="AC8651" s="1"/>
      <c r="AD8651" s="1"/>
      <c r="AE8651" s="1"/>
      <c r="AF8651" s="1"/>
      <c r="AG8651" s="1"/>
      <c r="AH8651" s="1"/>
      <c r="AI8651" s="1"/>
      <c r="AJ8651" s="1"/>
      <c r="AK8651" s="1"/>
      <c r="AL8651" s="1"/>
      <c r="AM8651" s="1"/>
    </row>
    <row r="8652" spans="1:39" x14ac:dyDescent="0.25">
      <c r="A8652" s="620"/>
      <c r="B8652" s="620"/>
      <c r="C8652" s="620"/>
      <c r="D8652" s="620"/>
      <c r="E8652" s="620"/>
      <c r="F8652" s="620"/>
      <c r="G8652" s="620"/>
      <c r="H8652" s="620"/>
      <c r="I8652" s="620"/>
      <c r="J8652" s="620"/>
      <c r="K8652" s="620"/>
      <c r="L8652" s="620"/>
      <c r="M8652" s="620"/>
      <c r="N8652" s="620"/>
      <c r="O8652" s="620"/>
      <c r="P8652" s="49"/>
      <c r="Q8652" s="1"/>
      <c r="R8652" s="620"/>
      <c r="S8652" s="1"/>
      <c r="T8652" s="1"/>
      <c r="U8652" s="1"/>
      <c r="V8652" s="1"/>
      <c r="W8652" s="1"/>
      <c r="X8652" s="1"/>
      <c r="Y8652" s="1"/>
      <c r="Z8652" s="620"/>
      <c r="AA8652" s="620"/>
      <c r="AB8652" s="1"/>
      <c r="AC8652" s="1"/>
      <c r="AD8652" s="1"/>
      <c r="AE8652" s="1"/>
      <c r="AF8652" s="1"/>
      <c r="AG8652" s="1"/>
      <c r="AH8652" s="1"/>
      <c r="AI8652" s="1"/>
      <c r="AJ8652" s="1"/>
      <c r="AK8652" s="1"/>
      <c r="AL8652" s="1"/>
      <c r="AM8652" s="1"/>
    </row>
    <row r="8653" spans="1:39" x14ac:dyDescent="0.25">
      <c r="A8653" s="620"/>
      <c r="B8653" s="620"/>
      <c r="C8653" s="620"/>
      <c r="D8653" s="620"/>
      <c r="E8653" s="620"/>
      <c r="F8653" s="620"/>
      <c r="G8653" s="620"/>
      <c r="H8653" s="620"/>
      <c r="I8653" s="620"/>
      <c r="J8653" s="620"/>
      <c r="K8653" s="620"/>
      <c r="L8653" s="620"/>
      <c r="M8653" s="620"/>
      <c r="N8653" s="620"/>
      <c r="O8653" s="620"/>
      <c r="P8653" s="49"/>
      <c r="Q8653" s="1"/>
      <c r="R8653" s="620"/>
      <c r="S8653" s="1"/>
      <c r="T8653" s="1"/>
      <c r="U8653" s="1"/>
      <c r="V8653" s="1"/>
      <c r="W8653" s="1"/>
      <c r="X8653" s="1"/>
      <c r="Y8653" s="1"/>
      <c r="Z8653" s="620"/>
      <c r="AA8653" s="620"/>
      <c r="AB8653" s="1"/>
      <c r="AC8653" s="1"/>
      <c r="AD8653" s="1"/>
      <c r="AE8653" s="1"/>
      <c r="AF8653" s="1"/>
      <c r="AG8653" s="1"/>
      <c r="AH8653" s="1"/>
      <c r="AI8653" s="1"/>
      <c r="AJ8653" s="1"/>
      <c r="AK8653" s="1"/>
      <c r="AL8653" s="1"/>
      <c r="AM8653" s="1"/>
    </row>
    <row r="8654" spans="1:39" x14ac:dyDescent="0.25">
      <c r="A8654" s="620"/>
      <c r="B8654" s="620"/>
      <c r="C8654" s="620"/>
      <c r="D8654" s="620"/>
      <c r="E8654" s="620"/>
      <c r="F8654" s="620"/>
      <c r="G8654" s="620"/>
      <c r="H8654" s="620"/>
      <c r="I8654" s="620"/>
      <c r="J8654" s="620"/>
      <c r="K8654" s="620"/>
      <c r="L8654" s="620"/>
      <c r="M8654" s="620"/>
      <c r="N8654" s="620"/>
      <c r="O8654" s="620"/>
      <c r="P8654" s="49"/>
      <c r="Q8654" s="1"/>
      <c r="R8654" s="620"/>
      <c r="S8654" s="1"/>
      <c r="T8654" s="1"/>
      <c r="U8654" s="1"/>
      <c r="V8654" s="1"/>
      <c r="W8654" s="1"/>
      <c r="X8654" s="1"/>
      <c r="Y8654" s="1"/>
      <c r="Z8654" s="620"/>
      <c r="AA8654" s="620"/>
      <c r="AB8654" s="1"/>
      <c r="AC8654" s="1"/>
      <c r="AD8654" s="1"/>
      <c r="AE8654" s="1"/>
      <c r="AF8654" s="1"/>
      <c r="AG8654" s="1"/>
      <c r="AH8654" s="1"/>
      <c r="AI8654" s="1"/>
      <c r="AJ8654" s="1"/>
      <c r="AK8654" s="1"/>
      <c r="AL8654" s="1"/>
      <c r="AM8654" s="1"/>
    </row>
    <row r="8655" spans="1:39" x14ac:dyDescent="0.25">
      <c r="A8655" s="620"/>
      <c r="B8655" s="620"/>
      <c r="C8655" s="620"/>
      <c r="D8655" s="620"/>
      <c r="E8655" s="620"/>
      <c r="F8655" s="620"/>
      <c r="G8655" s="620"/>
      <c r="H8655" s="620"/>
      <c r="I8655" s="620"/>
      <c r="J8655" s="620"/>
      <c r="K8655" s="620"/>
      <c r="L8655" s="620"/>
      <c r="M8655" s="620"/>
      <c r="N8655" s="620"/>
      <c r="O8655" s="620"/>
      <c r="P8655" s="49"/>
      <c r="Q8655" s="1"/>
      <c r="R8655" s="620"/>
      <c r="S8655" s="1"/>
      <c r="T8655" s="1"/>
      <c r="U8655" s="1"/>
      <c r="V8655" s="1"/>
      <c r="W8655" s="1"/>
      <c r="X8655" s="1"/>
      <c r="Y8655" s="1"/>
      <c r="Z8655" s="620"/>
      <c r="AA8655" s="620"/>
      <c r="AB8655" s="1"/>
      <c r="AC8655" s="1"/>
      <c r="AD8655" s="1"/>
      <c r="AE8655" s="1"/>
      <c r="AF8655" s="1"/>
      <c r="AG8655" s="1"/>
      <c r="AH8655" s="1"/>
      <c r="AI8655" s="1"/>
      <c r="AJ8655" s="1"/>
      <c r="AK8655" s="1"/>
      <c r="AL8655" s="1"/>
      <c r="AM8655" s="1"/>
    </row>
    <row r="8656" spans="1:39" x14ac:dyDescent="0.25">
      <c r="A8656" s="620"/>
      <c r="B8656" s="620"/>
      <c r="C8656" s="620"/>
      <c r="D8656" s="620"/>
      <c r="E8656" s="620"/>
      <c r="F8656" s="620"/>
      <c r="G8656" s="620"/>
      <c r="H8656" s="620"/>
      <c r="I8656" s="620"/>
      <c r="J8656" s="620"/>
      <c r="K8656" s="620"/>
      <c r="L8656" s="620"/>
      <c r="M8656" s="620"/>
      <c r="N8656" s="620"/>
      <c r="O8656" s="620"/>
      <c r="P8656" s="49"/>
      <c r="Q8656" s="1"/>
      <c r="R8656" s="620"/>
      <c r="S8656" s="1"/>
      <c r="T8656" s="1"/>
      <c r="U8656" s="1"/>
      <c r="V8656" s="1"/>
      <c r="W8656" s="1"/>
      <c r="X8656" s="1"/>
      <c r="Y8656" s="1"/>
      <c r="Z8656" s="620"/>
      <c r="AA8656" s="620"/>
      <c r="AB8656" s="1"/>
      <c r="AC8656" s="1"/>
      <c r="AD8656" s="1"/>
      <c r="AE8656" s="1"/>
      <c r="AF8656" s="1"/>
      <c r="AG8656" s="1"/>
      <c r="AH8656" s="1"/>
      <c r="AI8656" s="1"/>
      <c r="AJ8656" s="1"/>
      <c r="AK8656" s="1"/>
      <c r="AL8656" s="1"/>
      <c r="AM8656" s="1"/>
    </row>
    <row r="8657" spans="1:39" x14ac:dyDescent="0.25">
      <c r="A8657" s="620"/>
      <c r="B8657" s="620"/>
      <c r="C8657" s="620"/>
      <c r="D8657" s="620"/>
      <c r="E8657" s="620"/>
      <c r="F8657" s="620"/>
      <c r="G8657" s="620"/>
      <c r="H8657" s="620"/>
      <c r="I8657" s="620"/>
      <c r="J8657" s="620"/>
      <c r="K8657" s="620"/>
      <c r="L8657" s="620"/>
      <c r="M8657" s="620"/>
      <c r="N8657" s="620"/>
      <c r="O8657" s="620"/>
      <c r="P8657" s="49"/>
      <c r="Q8657" s="1"/>
      <c r="R8657" s="620"/>
      <c r="S8657" s="1"/>
      <c r="T8657" s="1"/>
      <c r="U8657" s="1"/>
      <c r="V8657" s="1"/>
      <c r="W8657" s="1"/>
      <c r="X8657" s="1"/>
      <c r="Y8657" s="1"/>
      <c r="Z8657" s="620"/>
      <c r="AA8657" s="620"/>
      <c r="AB8657" s="1"/>
      <c r="AC8657" s="1"/>
      <c r="AD8657" s="1"/>
      <c r="AE8657" s="1"/>
      <c r="AF8657" s="1"/>
      <c r="AG8657" s="1"/>
      <c r="AH8657" s="1"/>
      <c r="AI8657" s="1"/>
      <c r="AJ8657" s="1"/>
      <c r="AK8657" s="1"/>
      <c r="AL8657" s="1"/>
      <c r="AM8657" s="1"/>
    </row>
    <row r="8658" spans="1:39" x14ac:dyDescent="0.25">
      <c r="A8658" s="620"/>
      <c r="B8658" s="620"/>
      <c r="C8658" s="620"/>
      <c r="D8658" s="620"/>
      <c r="E8658" s="620"/>
      <c r="F8658" s="620"/>
      <c r="G8658" s="620"/>
      <c r="H8658" s="620"/>
      <c r="I8658" s="620"/>
      <c r="J8658" s="620"/>
      <c r="K8658" s="620"/>
      <c r="L8658" s="620"/>
      <c r="M8658" s="620"/>
      <c r="N8658" s="620"/>
      <c r="O8658" s="620"/>
      <c r="P8658" s="49"/>
      <c r="Q8658" s="1"/>
      <c r="R8658" s="620"/>
      <c r="S8658" s="1"/>
      <c r="T8658" s="1"/>
      <c r="U8658" s="1"/>
      <c r="V8658" s="1"/>
      <c r="W8658" s="1"/>
      <c r="X8658" s="1"/>
      <c r="Y8658" s="1"/>
      <c r="Z8658" s="620"/>
      <c r="AA8658" s="620"/>
      <c r="AB8658" s="1"/>
      <c r="AC8658" s="1"/>
      <c r="AD8658" s="1"/>
      <c r="AE8658" s="1"/>
      <c r="AF8658" s="1"/>
      <c r="AG8658" s="1"/>
      <c r="AH8658" s="1"/>
      <c r="AI8658" s="1"/>
      <c r="AJ8658" s="1"/>
      <c r="AK8658" s="1"/>
      <c r="AL8658" s="1"/>
      <c r="AM8658" s="1"/>
    </row>
    <row r="8659" spans="1:39" x14ac:dyDescent="0.25">
      <c r="A8659" s="620"/>
      <c r="B8659" s="620"/>
      <c r="C8659" s="620"/>
      <c r="D8659" s="620"/>
      <c r="E8659" s="620"/>
      <c r="F8659" s="620"/>
      <c r="G8659" s="620"/>
      <c r="H8659" s="620"/>
      <c r="I8659" s="620"/>
      <c r="J8659" s="620"/>
      <c r="K8659" s="620"/>
      <c r="L8659" s="620"/>
      <c r="M8659" s="620"/>
      <c r="N8659" s="620"/>
      <c r="O8659" s="620"/>
      <c r="P8659" s="49"/>
      <c r="Q8659" s="1"/>
      <c r="R8659" s="620"/>
      <c r="S8659" s="1"/>
      <c r="T8659" s="1"/>
      <c r="U8659" s="1"/>
      <c r="V8659" s="1"/>
      <c r="W8659" s="1"/>
      <c r="X8659" s="1"/>
      <c r="Y8659" s="1"/>
      <c r="Z8659" s="620"/>
      <c r="AA8659" s="620"/>
      <c r="AB8659" s="1"/>
      <c r="AC8659" s="1"/>
      <c r="AD8659" s="1"/>
      <c r="AE8659" s="1"/>
      <c r="AF8659" s="1"/>
      <c r="AG8659" s="1"/>
      <c r="AH8659" s="1"/>
      <c r="AI8659" s="1"/>
      <c r="AJ8659" s="1"/>
      <c r="AK8659" s="1"/>
      <c r="AL8659" s="1"/>
      <c r="AM8659" s="1"/>
    </row>
    <row r="8660" spans="1:39" x14ac:dyDescent="0.25">
      <c r="A8660" s="620"/>
      <c r="B8660" s="620"/>
      <c r="C8660" s="620"/>
      <c r="D8660" s="620"/>
      <c r="E8660" s="620"/>
      <c r="F8660" s="620"/>
      <c r="G8660" s="620"/>
      <c r="H8660" s="620"/>
      <c r="I8660" s="620"/>
      <c r="J8660" s="620"/>
      <c r="K8660" s="620"/>
      <c r="L8660" s="620"/>
      <c r="M8660" s="620"/>
      <c r="N8660" s="620"/>
      <c r="O8660" s="620"/>
      <c r="P8660" s="49"/>
      <c r="Q8660" s="1"/>
      <c r="R8660" s="620"/>
      <c r="S8660" s="1"/>
      <c r="T8660" s="1"/>
      <c r="U8660" s="1"/>
      <c r="V8660" s="1"/>
      <c r="W8660" s="1"/>
      <c r="X8660" s="1"/>
      <c r="Y8660" s="1"/>
      <c r="Z8660" s="620"/>
      <c r="AA8660" s="620"/>
      <c r="AB8660" s="1"/>
      <c r="AC8660" s="1"/>
      <c r="AD8660" s="1"/>
      <c r="AE8660" s="1"/>
      <c r="AF8660" s="1"/>
      <c r="AG8660" s="1"/>
      <c r="AH8660" s="1"/>
      <c r="AI8660" s="1"/>
      <c r="AJ8660" s="1"/>
      <c r="AK8660" s="1"/>
      <c r="AL8660" s="1"/>
      <c r="AM8660" s="1"/>
    </row>
    <row r="8661" spans="1:39" x14ac:dyDescent="0.25">
      <c r="A8661" s="620"/>
      <c r="B8661" s="620"/>
      <c r="C8661" s="620"/>
      <c r="D8661" s="620"/>
      <c r="E8661" s="620"/>
      <c r="F8661" s="620"/>
      <c r="G8661" s="620"/>
      <c r="H8661" s="620"/>
      <c r="I8661" s="620"/>
      <c r="J8661" s="620"/>
      <c r="K8661" s="620"/>
      <c r="L8661" s="620"/>
      <c r="M8661" s="620"/>
      <c r="N8661" s="620"/>
      <c r="O8661" s="620"/>
      <c r="P8661" s="49"/>
      <c r="Q8661" s="1"/>
      <c r="R8661" s="620"/>
      <c r="S8661" s="1"/>
      <c r="T8661" s="1"/>
      <c r="U8661" s="1"/>
      <c r="V8661" s="1"/>
      <c r="W8661" s="1"/>
      <c r="X8661" s="1"/>
      <c r="Y8661" s="1"/>
      <c r="Z8661" s="620"/>
      <c r="AA8661" s="620"/>
      <c r="AB8661" s="1"/>
      <c r="AC8661" s="1"/>
      <c r="AD8661" s="1"/>
      <c r="AE8661" s="1"/>
      <c r="AF8661" s="1"/>
      <c r="AG8661" s="1"/>
      <c r="AH8661" s="1"/>
      <c r="AI8661" s="1"/>
      <c r="AJ8661" s="1"/>
      <c r="AK8661" s="1"/>
      <c r="AL8661" s="1"/>
      <c r="AM8661" s="1"/>
    </row>
    <row r="8662" spans="1:39" x14ac:dyDescent="0.25">
      <c r="A8662" s="620"/>
      <c r="B8662" s="620"/>
      <c r="C8662" s="620"/>
      <c r="D8662" s="620"/>
      <c r="E8662" s="620"/>
      <c r="F8662" s="620"/>
      <c r="G8662" s="620"/>
      <c r="H8662" s="620"/>
      <c r="I8662" s="620"/>
      <c r="J8662" s="620"/>
      <c r="K8662" s="620"/>
      <c r="L8662" s="620"/>
      <c r="M8662" s="620"/>
      <c r="N8662" s="620"/>
      <c r="O8662" s="620"/>
      <c r="P8662" s="49"/>
      <c r="Q8662" s="1"/>
      <c r="R8662" s="620"/>
      <c r="S8662" s="1"/>
      <c r="T8662" s="1"/>
      <c r="U8662" s="1"/>
      <c r="V8662" s="1"/>
      <c r="W8662" s="1"/>
      <c r="X8662" s="1"/>
      <c r="Y8662" s="1"/>
      <c r="Z8662" s="620"/>
      <c r="AA8662" s="620"/>
      <c r="AB8662" s="1"/>
      <c r="AC8662" s="1"/>
      <c r="AD8662" s="1"/>
      <c r="AE8662" s="1"/>
      <c r="AF8662" s="1"/>
      <c r="AG8662" s="1"/>
      <c r="AH8662" s="1"/>
      <c r="AI8662" s="1"/>
      <c r="AJ8662" s="1"/>
      <c r="AK8662" s="1"/>
      <c r="AL8662" s="1"/>
      <c r="AM8662" s="1"/>
    </row>
    <row r="8663" spans="1:39" x14ac:dyDescent="0.25">
      <c r="A8663" s="620"/>
      <c r="B8663" s="620"/>
      <c r="C8663" s="620"/>
      <c r="D8663" s="620"/>
      <c r="E8663" s="620"/>
      <c r="F8663" s="620"/>
      <c r="G8663" s="620"/>
      <c r="H8663" s="620"/>
      <c r="I8663" s="620"/>
      <c r="J8663" s="620"/>
      <c r="K8663" s="620"/>
      <c r="L8663" s="620"/>
      <c r="M8663" s="620"/>
      <c r="N8663" s="620"/>
      <c r="O8663" s="620"/>
      <c r="P8663" s="49"/>
      <c r="Q8663" s="1"/>
      <c r="R8663" s="620"/>
      <c r="S8663" s="1"/>
      <c r="T8663" s="1"/>
      <c r="U8663" s="1"/>
      <c r="V8663" s="1"/>
      <c r="W8663" s="1"/>
      <c r="X8663" s="1"/>
      <c r="Y8663" s="1"/>
      <c r="Z8663" s="620"/>
      <c r="AA8663" s="620"/>
      <c r="AB8663" s="1"/>
      <c r="AC8663" s="1"/>
      <c r="AD8663" s="1"/>
      <c r="AE8663" s="1"/>
      <c r="AF8663" s="1"/>
      <c r="AG8663" s="1"/>
      <c r="AH8663" s="1"/>
      <c r="AI8663" s="1"/>
      <c r="AJ8663" s="1"/>
      <c r="AK8663" s="1"/>
      <c r="AL8663" s="1"/>
      <c r="AM8663" s="1"/>
    </row>
    <row r="8664" spans="1:39" x14ac:dyDescent="0.25">
      <c r="A8664" s="620"/>
      <c r="B8664" s="620"/>
      <c r="C8664" s="620"/>
      <c r="D8664" s="620"/>
      <c r="E8664" s="620"/>
      <c r="F8664" s="620"/>
      <c r="G8664" s="620"/>
      <c r="H8664" s="620"/>
      <c r="I8664" s="620"/>
      <c r="J8664" s="620"/>
      <c r="K8664" s="620"/>
      <c r="L8664" s="620"/>
      <c r="M8664" s="620"/>
      <c r="N8664" s="620"/>
      <c r="O8664" s="620"/>
      <c r="P8664" s="49"/>
      <c r="Q8664" s="1"/>
      <c r="R8664" s="620"/>
      <c r="S8664" s="1"/>
      <c r="T8664" s="1"/>
      <c r="U8664" s="1"/>
      <c r="V8664" s="1"/>
      <c r="W8664" s="1"/>
      <c r="X8664" s="1"/>
      <c r="Y8664" s="1"/>
      <c r="Z8664" s="620"/>
      <c r="AA8664" s="620"/>
      <c r="AB8664" s="1"/>
      <c r="AC8664" s="1"/>
      <c r="AD8664" s="1"/>
      <c r="AE8664" s="1"/>
      <c r="AF8664" s="1"/>
      <c r="AG8664" s="1"/>
      <c r="AH8664" s="1"/>
      <c r="AI8664" s="1"/>
      <c r="AJ8664" s="1"/>
      <c r="AK8664" s="1"/>
      <c r="AL8664" s="1"/>
      <c r="AM8664" s="1"/>
    </row>
    <row r="8665" spans="1:39" x14ac:dyDescent="0.25">
      <c r="A8665" s="620"/>
      <c r="B8665" s="620"/>
      <c r="C8665" s="620"/>
      <c r="D8665" s="620"/>
      <c r="E8665" s="620"/>
      <c r="F8665" s="620"/>
      <c r="G8665" s="620"/>
      <c r="H8665" s="620"/>
      <c r="I8665" s="620"/>
      <c r="J8665" s="620"/>
      <c r="K8665" s="620"/>
      <c r="L8665" s="620"/>
      <c r="M8665" s="620"/>
      <c r="N8665" s="620"/>
      <c r="O8665" s="620"/>
      <c r="P8665" s="49"/>
      <c r="Q8665" s="1"/>
      <c r="R8665" s="620"/>
      <c r="S8665" s="1"/>
      <c r="T8665" s="1"/>
      <c r="U8665" s="1"/>
      <c r="V8665" s="1"/>
      <c r="W8665" s="1"/>
      <c r="X8665" s="1"/>
      <c r="Y8665" s="1"/>
      <c r="Z8665" s="620"/>
      <c r="AA8665" s="620"/>
      <c r="AB8665" s="1"/>
      <c r="AC8665" s="1"/>
      <c r="AD8665" s="1"/>
      <c r="AE8665" s="1"/>
      <c r="AF8665" s="1"/>
      <c r="AG8665" s="1"/>
      <c r="AH8665" s="1"/>
      <c r="AI8665" s="1"/>
      <c r="AJ8665" s="1"/>
      <c r="AK8665" s="1"/>
      <c r="AL8665" s="1"/>
      <c r="AM8665" s="1"/>
    </row>
    <row r="8666" spans="1:39" x14ac:dyDescent="0.25">
      <c r="A8666" s="620"/>
      <c r="B8666" s="620"/>
      <c r="C8666" s="620"/>
      <c r="D8666" s="620"/>
      <c r="E8666" s="620"/>
      <c r="F8666" s="620"/>
      <c r="G8666" s="620"/>
      <c r="H8666" s="620"/>
      <c r="I8666" s="620"/>
      <c r="J8666" s="620"/>
      <c r="K8666" s="620"/>
      <c r="L8666" s="620"/>
      <c r="M8666" s="620"/>
      <c r="N8666" s="620"/>
      <c r="O8666" s="620"/>
      <c r="P8666" s="49"/>
      <c r="Q8666" s="1"/>
      <c r="R8666" s="620"/>
      <c r="S8666" s="1"/>
      <c r="T8666" s="1"/>
      <c r="U8666" s="1"/>
      <c r="V8666" s="1"/>
      <c r="W8666" s="1"/>
      <c r="X8666" s="1"/>
      <c r="Y8666" s="1"/>
      <c r="Z8666" s="620"/>
      <c r="AA8666" s="620"/>
      <c r="AB8666" s="1"/>
      <c r="AC8666" s="1"/>
      <c r="AD8666" s="1"/>
      <c r="AE8666" s="1"/>
      <c r="AF8666" s="1"/>
      <c r="AG8666" s="1"/>
      <c r="AH8666" s="1"/>
      <c r="AI8666" s="1"/>
      <c r="AJ8666" s="1"/>
      <c r="AK8666" s="1"/>
      <c r="AL8666" s="1"/>
      <c r="AM8666" s="1"/>
    </row>
    <row r="8667" spans="1:39" x14ac:dyDescent="0.25">
      <c r="A8667" s="620"/>
      <c r="B8667" s="620"/>
      <c r="C8667" s="620"/>
      <c r="D8667" s="620"/>
      <c r="E8667" s="620"/>
      <c r="F8667" s="620"/>
      <c r="G8667" s="620"/>
      <c r="H8667" s="620"/>
      <c r="I8667" s="620"/>
      <c r="J8667" s="620"/>
      <c r="K8667" s="620"/>
      <c r="L8667" s="620"/>
      <c r="M8667" s="620"/>
      <c r="N8667" s="620"/>
      <c r="O8667" s="620"/>
      <c r="P8667" s="49"/>
      <c r="Q8667" s="1"/>
      <c r="R8667" s="620"/>
      <c r="S8667" s="1"/>
      <c r="T8667" s="1"/>
      <c r="U8667" s="1"/>
      <c r="V8667" s="1"/>
      <c r="W8667" s="1"/>
      <c r="X8667" s="1"/>
      <c r="Y8667" s="1"/>
      <c r="Z8667" s="620"/>
      <c r="AA8667" s="620"/>
      <c r="AB8667" s="1"/>
      <c r="AC8667" s="1"/>
      <c r="AD8667" s="1"/>
      <c r="AE8667" s="1"/>
      <c r="AF8667" s="1"/>
      <c r="AG8667" s="1"/>
      <c r="AH8667" s="1"/>
      <c r="AI8667" s="1"/>
      <c r="AJ8667" s="1"/>
      <c r="AK8667" s="1"/>
      <c r="AL8667" s="1"/>
      <c r="AM8667" s="1"/>
    </row>
    <row r="8668" spans="1:39" x14ac:dyDescent="0.25">
      <c r="A8668" s="620"/>
      <c r="B8668" s="620"/>
      <c r="C8668" s="620"/>
      <c r="D8668" s="620"/>
      <c r="E8668" s="620"/>
      <c r="F8668" s="620"/>
      <c r="G8668" s="620"/>
      <c r="H8668" s="620"/>
      <c r="I8668" s="620"/>
      <c r="J8668" s="620"/>
      <c r="K8668" s="620"/>
      <c r="L8668" s="620"/>
      <c r="M8668" s="620"/>
      <c r="N8668" s="620"/>
      <c r="O8668" s="620"/>
      <c r="P8668" s="49"/>
      <c r="Q8668" s="1"/>
      <c r="R8668" s="620"/>
      <c r="S8668" s="1"/>
      <c r="T8668" s="1"/>
      <c r="U8668" s="1"/>
      <c r="V8668" s="1"/>
      <c r="W8668" s="1"/>
      <c r="X8668" s="1"/>
      <c r="Y8668" s="1"/>
      <c r="Z8668" s="620"/>
      <c r="AA8668" s="620"/>
      <c r="AB8668" s="1"/>
      <c r="AC8668" s="1"/>
      <c r="AD8668" s="1"/>
      <c r="AE8668" s="1"/>
      <c r="AF8668" s="1"/>
      <c r="AG8668" s="1"/>
      <c r="AH8668" s="1"/>
      <c r="AI8668" s="1"/>
      <c r="AJ8668" s="1"/>
      <c r="AK8668" s="1"/>
      <c r="AL8668" s="1"/>
      <c r="AM8668" s="1"/>
    </row>
    <row r="8669" spans="1:39" x14ac:dyDescent="0.25">
      <c r="A8669" s="620"/>
      <c r="B8669" s="620"/>
      <c r="C8669" s="620"/>
      <c r="D8669" s="620"/>
      <c r="E8669" s="620"/>
      <c r="F8669" s="620"/>
      <c r="G8669" s="620"/>
      <c r="H8669" s="620"/>
      <c r="I8669" s="620"/>
      <c r="J8669" s="620"/>
      <c r="K8669" s="620"/>
      <c r="L8669" s="620"/>
      <c r="M8669" s="620"/>
      <c r="N8669" s="620"/>
      <c r="O8669" s="620"/>
      <c r="P8669" s="49"/>
      <c r="Q8669" s="1"/>
      <c r="R8669" s="620"/>
      <c r="S8669" s="1"/>
      <c r="T8669" s="1"/>
      <c r="U8669" s="1"/>
      <c r="V8669" s="1"/>
      <c r="W8669" s="1"/>
      <c r="X8669" s="1"/>
      <c r="Y8669" s="1"/>
      <c r="Z8669" s="620"/>
      <c r="AA8669" s="620"/>
      <c r="AB8669" s="1"/>
      <c r="AC8669" s="1"/>
      <c r="AD8669" s="1"/>
      <c r="AE8669" s="1"/>
      <c r="AF8669" s="1"/>
      <c r="AG8669" s="1"/>
      <c r="AH8669" s="1"/>
      <c r="AI8669" s="1"/>
      <c r="AJ8669" s="1"/>
      <c r="AK8669" s="1"/>
      <c r="AL8669" s="1"/>
      <c r="AM8669" s="1"/>
    </row>
    <row r="8670" spans="1:39" x14ac:dyDescent="0.25">
      <c r="A8670" s="620"/>
      <c r="B8670" s="620"/>
      <c r="C8670" s="620"/>
      <c r="D8670" s="620"/>
      <c r="E8670" s="620"/>
      <c r="F8670" s="620"/>
      <c r="G8670" s="620"/>
      <c r="H8670" s="620"/>
      <c r="I8670" s="620"/>
      <c r="J8670" s="620"/>
      <c r="K8670" s="620"/>
      <c r="L8670" s="620"/>
      <c r="M8670" s="620"/>
      <c r="N8670" s="620"/>
      <c r="O8670" s="620"/>
      <c r="P8670" s="49"/>
      <c r="Q8670" s="1"/>
      <c r="R8670" s="620"/>
      <c r="S8670" s="1"/>
      <c r="T8670" s="1"/>
      <c r="U8670" s="1"/>
      <c r="V8670" s="1"/>
      <c r="W8670" s="1"/>
      <c r="X8670" s="1"/>
      <c r="Y8670" s="1"/>
      <c r="Z8670" s="620"/>
      <c r="AA8670" s="620"/>
      <c r="AB8670" s="1"/>
      <c r="AC8670" s="1"/>
      <c r="AD8670" s="1"/>
      <c r="AE8670" s="1"/>
      <c r="AF8670" s="1"/>
      <c r="AG8670" s="1"/>
      <c r="AH8670" s="1"/>
      <c r="AI8670" s="1"/>
      <c r="AJ8670" s="1"/>
      <c r="AK8670" s="1"/>
      <c r="AL8670" s="1"/>
      <c r="AM8670" s="1"/>
    </row>
    <row r="8671" spans="1:39" x14ac:dyDescent="0.25">
      <c r="A8671" s="620"/>
      <c r="B8671" s="620"/>
      <c r="C8671" s="620"/>
      <c r="D8671" s="620"/>
      <c r="E8671" s="620"/>
      <c r="F8671" s="620"/>
      <c r="G8671" s="620"/>
      <c r="H8671" s="620"/>
      <c r="I8671" s="620"/>
      <c r="J8671" s="620"/>
      <c r="K8671" s="620"/>
      <c r="L8671" s="620"/>
      <c r="M8671" s="620"/>
      <c r="N8671" s="620"/>
      <c r="O8671" s="620"/>
      <c r="P8671" s="49"/>
      <c r="Q8671" s="1"/>
      <c r="R8671" s="620"/>
      <c r="S8671" s="1"/>
      <c r="T8671" s="1"/>
      <c r="U8671" s="1"/>
      <c r="V8671" s="1"/>
      <c r="W8671" s="1"/>
      <c r="X8671" s="1"/>
      <c r="Y8671" s="1"/>
      <c r="Z8671" s="620"/>
      <c r="AA8671" s="620"/>
      <c r="AB8671" s="1"/>
      <c r="AC8671" s="1"/>
      <c r="AD8671" s="1"/>
      <c r="AE8671" s="1"/>
      <c r="AF8671" s="1"/>
      <c r="AG8671" s="1"/>
      <c r="AH8671" s="1"/>
      <c r="AI8671" s="1"/>
      <c r="AJ8671" s="1"/>
      <c r="AK8671" s="1"/>
      <c r="AL8671" s="1"/>
      <c r="AM8671" s="1"/>
    </row>
    <row r="8672" spans="1:39" x14ac:dyDescent="0.25">
      <c r="A8672" s="620"/>
      <c r="B8672" s="620"/>
      <c r="C8672" s="620"/>
      <c r="D8672" s="620"/>
      <c r="E8672" s="620"/>
      <c r="F8672" s="620"/>
      <c r="G8672" s="620"/>
      <c r="H8672" s="620"/>
      <c r="I8672" s="620"/>
      <c r="J8672" s="620"/>
      <c r="K8672" s="620"/>
      <c r="L8672" s="620"/>
      <c r="M8672" s="620"/>
      <c r="N8672" s="620"/>
      <c r="O8672" s="620"/>
      <c r="P8672" s="49"/>
      <c r="Q8672" s="1"/>
      <c r="R8672" s="620"/>
      <c r="S8672" s="1"/>
      <c r="T8672" s="1"/>
      <c r="U8672" s="1"/>
      <c r="V8672" s="1"/>
      <c r="W8672" s="1"/>
      <c r="X8672" s="1"/>
      <c r="Y8672" s="1"/>
      <c r="Z8672" s="620"/>
      <c r="AA8672" s="620"/>
      <c r="AB8672" s="1"/>
      <c r="AC8672" s="1"/>
      <c r="AD8672" s="1"/>
      <c r="AE8672" s="1"/>
      <c r="AF8672" s="1"/>
      <c r="AG8672" s="1"/>
      <c r="AH8672" s="1"/>
      <c r="AI8672" s="1"/>
      <c r="AJ8672" s="1"/>
      <c r="AK8672" s="1"/>
      <c r="AL8672" s="1"/>
      <c r="AM8672" s="1"/>
    </row>
    <row r="8673" spans="1:39" x14ac:dyDescent="0.25">
      <c r="A8673" s="620"/>
      <c r="B8673" s="620"/>
      <c r="C8673" s="620"/>
      <c r="D8673" s="620"/>
      <c r="E8673" s="620"/>
      <c r="F8673" s="620"/>
      <c r="G8673" s="620"/>
      <c r="H8673" s="620"/>
      <c r="I8673" s="620"/>
      <c r="J8673" s="620"/>
      <c r="K8673" s="620"/>
      <c r="L8673" s="620"/>
      <c r="M8673" s="620"/>
      <c r="N8673" s="620"/>
      <c r="O8673" s="620"/>
      <c r="P8673" s="49"/>
      <c r="Q8673" s="1"/>
      <c r="R8673" s="620"/>
      <c r="S8673" s="1"/>
      <c r="T8673" s="1"/>
      <c r="U8673" s="1"/>
      <c r="V8673" s="1"/>
      <c r="W8673" s="1"/>
      <c r="X8673" s="1"/>
      <c r="Y8673" s="1"/>
      <c r="Z8673" s="620"/>
      <c r="AA8673" s="620"/>
      <c r="AB8673" s="1"/>
      <c r="AC8673" s="1"/>
      <c r="AD8673" s="1"/>
      <c r="AE8673" s="1"/>
      <c r="AF8673" s="1"/>
      <c r="AG8673" s="1"/>
      <c r="AH8673" s="1"/>
      <c r="AI8673" s="1"/>
      <c r="AJ8673" s="1"/>
      <c r="AK8673" s="1"/>
      <c r="AL8673" s="1"/>
      <c r="AM8673" s="1"/>
    </row>
    <row r="8674" spans="1:39" x14ac:dyDescent="0.25">
      <c r="A8674" s="620"/>
      <c r="B8674" s="620"/>
      <c r="C8674" s="620"/>
      <c r="D8674" s="620"/>
      <c r="E8674" s="620"/>
      <c r="F8674" s="620"/>
      <c r="G8674" s="620"/>
      <c r="H8674" s="620"/>
      <c r="I8674" s="620"/>
      <c r="J8674" s="620"/>
      <c r="K8674" s="620"/>
      <c r="L8674" s="620"/>
      <c r="M8674" s="620"/>
      <c r="N8674" s="620"/>
      <c r="O8674" s="620"/>
      <c r="P8674" s="49"/>
      <c r="Q8674" s="1"/>
      <c r="R8674" s="620"/>
      <c r="S8674" s="1"/>
      <c r="T8674" s="1"/>
      <c r="U8674" s="1"/>
      <c r="V8674" s="1"/>
      <c r="W8674" s="1"/>
      <c r="X8674" s="1"/>
      <c r="Y8674" s="1"/>
      <c r="Z8674" s="620"/>
      <c r="AA8674" s="620"/>
      <c r="AB8674" s="1"/>
      <c r="AC8674" s="1"/>
      <c r="AD8674" s="1"/>
      <c r="AE8674" s="1"/>
      <c r="AF8674" s="1"/>
      <c r="AG8674" s="1"/>
      <c r="AH8674" s="1"/>
      <c r="AI8674" s="1"/>
      <c r="AJ8674" s="1"/>
      <c r="AK8674" s="1"/>
      <c r="AL8674" s="1"/>
      <c r="AM8674" s="1"/>
    </row>
    <row r="8675" spans="1:39" x14ac:dyDescent="0.25">
      <c r="A8675" s="620"/>
      <c r="B8675" s="620"/>
      <c r="C8675" s="620"/>
      <c r="D8675" s="620"/>
      <c r="E8675" s="620"/>
      <c r="F8675" s="620"/>
      <c r="G8675" s="620"/>
      <c r="H8675" s="620"/>
      <c r="I8675" s="620"/>
      <c r="J8675" s="620"/>
      <c r="K8675" s="620"/>
      <c r="L8675" s="620"/>
      <c r="M8675" s="620"/>
      <c r="N8675" s="620"/>
      <c r="O8675" s="620"/>
      <c r="P8675" s="49"/>
      <c r="Q8675" s="1"/>
      <c r="R8675" s="620"/>
      <c r="S8675" s="1"/>
      <c r="T8675" s="1"/>
      <c r="U8675" s="1"/>
      <c r="V8675" s="1"/>
      <c r="W8675" s="1"/>
      <c r="X8675" s="1"/>
      <c r="Y8675" s="1"/>
      <c r="Z8675" s="620"/>
      <c r="AA8675" s="620"/>
      <c r="AB8675" s="1"/>
      <c r="AC8675" s="1"/>
      <c r="AD8675" s="1"/>
      <c r="AE8675" s="1"/>
      <c r="AF8675" s="1"/>
      <c r="AG8675" s="1"/>
      <c r="AH8675" s="1"/>
      <c r="AI8675" s="1"/>
      <c r="AJ8675" s="1"/>
      <c r="AK8675" s="1"/>
      <c r="AL8675" s="1"/>
      <c r="AM8675" s="1"/>
    </row>
    <row r="8676" spans="1:39" x14ac:dyDescent="0.25">
      <c r="A8676" s="620"/>
      <c r="B8676" s="620"/>
      <c r="C8676" s="620"/>
      <c r="D8676" s="620"/>
      <c r="E8676" s="620"/>
      <c r="F8676" s="620"/>
      <c r="G8676" s="620"/>
      <c r="H8676" s="620"/>
      <c r="I8676" s="620"/>
      <c r="J8676" s="620"/>
      <c r="K8676" s="620"/>
      <c r="L8676" s="620"/>
      <c r="M8676" s="620"/>
      <c r="N8676" s="620"/>
      <c r="O8676" s="620"/>
      <c r="P8676" s="49"/>
      <c r="Q8676" s="1"/>
      <c r="R8676" s="620"/>
      <c r="S8676" s="1"/>
      <c r="T8676" s="1"/>
      <c r="U8676" s="1"/>
      <c r="V8676" s="1"/>
      <c r="W8676" s="1"/>
      <c r="X8676" s="1"/>
      <c r="Y8676" s="1"/>
      <c r="Z8676" s="620"/>
      <c r="AA8676" s="620"/>
      <c r="AB8676" s="1"/>
      <c r="AC8676" s="1"/>
      <c r="AD8676" s="1"/>
      <c r="AE8676" s="1"/>
      <c r="AF8676" s="1"/>
      <c r="AG8676" s="1"/>
      <c r="AH8676" s="1"/>
      <c r="AI8676" s="1"/>
      <c r="AJ8676" s="1"/>
      <c r="AK8676" s="1"/>
      <c r="AL8676" s="1"/>
      <c r="AM8676" s="1"/>
    </row>
    <row r="8677" spans="1:39" x14ac:dyDescent="0.25">
      <c r="A8677" s="620"/>
      <c r="B8677" s="620"/>
      <c r="C8677" s="620"/>
      <c r="D8677" s="620"/>
      <c r="E8677" s="620"/>
      <c r="F8677" s="620"/>
      <c r="G8677" s="620"/>
      <c r="H8677" s="620"/>
      <c r="I8677" s="620"/>
      <c r="J8677" s="620"/>
      <c r="K8677" s="620"/>
      <c r="L8677" s="620"/>
      <c r="M8677" s="620"/>
      <c r="N8677" s="620"/>
      <c r="O8677" s="620"/>
      <c r="P8677" s="49"/>
      <c r="Q8677" s="1"/>
      <c r="R8677" s="620"/>
      <c r="S8677" s="1"/>
      <c r="T8677" s="1"/>
      <c r="U8677" s="1"/>
      <c r="V8677" s="1"/>
      <c r="W8677" s="1"/>
      <c r="X8677" s="1"/>
      <c r="Y8677" s="1"/>
      <c r="Z8677" s="620"/>
      <c r="AA8677" s="620"/>
      <c r="AB8677" s="1"/>
      <c r="AC8677" s="1"/>
      <c r="AD8677" s="1"/>
      <c r="AE8677" s="1"/>
      <c r="AF8677" s="1"/>
      <c r="AG8677" s="1"/>
      <c r="AH8677" s="1"/>
      <c r="AI8677" s="1"/>
      <c r="AJ8677" s="1"/>
      <c r="AK8677" s="1"/>
      <c r="AL8677" s="1"/>
      <c r="AM8677" s="1"/>
    </row>
    <row r="8678" spans="1:39" x14ac:dyDescent="0.25">
      <c r="A8678" s="620"/>
      <c r="B8678" s="620"/>
      <c r="C8678" s="620"/>
      <c r="D8678" s="620"/>
      <c r="E8678" s="620"/>
      <c r="F8678" s="620"/>
      <c r="G8678" s="620"/>
      <c r="H8678" s="620"/>
      <c r="I8678" s="620"/>
      <c r="J8678" s="620"/>
      <c r="K8678" s="620"/>
      <c r="L8678" s="620"/>
      <c r="M8678" s="620"/>
      <c r="N8678" s="620"/>
      <c r="O8678" s="620"/>
      <c r="P8678" s="49"/>
      <c r="Q8678" s="1"/>
      <c r="R8678" s="620"/>
      <c r="S8678" s="1"/>
      <c r="T8678" s="1"/>
      <c r="U8678" s="1"/>
      <c r="V8678" s="1"/>
      <c r="W8678" s="1"/>
      <c r="X8678" s="1"/>
      <c r="Y8678" s="1"/>
      <c r="Z8678" s="620"/>
      <c r="AA8678" s="620"/>
      <c r="AB8678" s="1"/>
      <c r="AC8678" s="1"/>
      <c r="AD8678" s="1"/>
      <c r="AE8678" s="1"/>
      <c r="AF8678" s="1"/>
      <c r="AG8678" s="1"/>
      <c r="AH8678" s="1"/>
      <c r="AI8678" s="1"/>
      <c r="AJ8678" s="1"/>
      <c r="AK8678" s="1"/>
      <c r="AL8678" s="1"/>
      <c r="AM8678" s="1"/>
    </row>
    <row r="8679" spans="1:39" x14ac:dyDescent="0.25">
      <c r="A8679" s="620"/>
      <c r="B8679" s="620"/>
      <c r="C8679" s="620"/>
      <c r="D8679" s="620"/>
      <c r="E8679" s="620"/>
      <c r="F8679" s="620"/>
      <c r="G8679" s="620"/>
      <c r="H8679" s="620"/>
      <c r="I8679" s="620"/>
      <c r="J8679" s="620"/>
      <c r="K8679" s="620"/>
      <c r="L8679" s="620"/>
      <c r="M8679" s="620"/>
      <c r="N8679" s="620"/>
      <c r="O8679" s="620"/>
      <c r="P8679" s="49"/>
      <c r="Q8679" s="1"/>
      <c r="R8679" s="620"/>
      <c r="S8679" s="1"/>
      <c r="T8679" s="1"/>
      <c r="U8679" s="1"/>
      <c r="V8679" s="1"/>
      <c r="W8679" s="1"/>
      <c r="X8679" s="1"/>
      <c r="Y8679" s="1"/>
      <c r="Z8679" s="620"/>
      <c r="AA8679" s="620"/>
      <c r="AB8679" s="1"/>
      <c r="AC8679" s="1"/>
      <c r="AD8679" s="1"/>
      <c r="AE8679" s="1"/>
      <c r="AF8679" s="1"/>
      <c r="AG8679" s="1"/>
      <c r="AH8679" s="1"/>
      <c r="AI8679" s="1"/>
      <c r="AJ8679" s="1"/>
      <c r="AK8679" s="1"/>
      <c r="AL8679" s="1"/>
      <c r="AM8679" s="1"/>
    </row>
    <row r="8680" spans="1:39" x14ac:dyDescent="0.25">
      <c r="A8680" s="620"/>
      <c r="B8680" s="620"/>
      <c r="C8680" s="620"/>
      <c r="D8680" s="620"/>
      <c r="E8680" s="620"/>
      <c r="F8680" s="620"/>
      <c r="G8680" s="620"/>
      <c r="H8680" s="620"/>
      <c r="I8680" s="620"/>
      <c r="J8680" s="620"/>
      <c r="K8680" s="620"/>
      <c r="L8680" s="620"/>
      <c r="M8680" s="620"/>
      <c r="N8680" s="620"/>
      <c r="O8680" s="620"/>
      <c r="P8680" s="49"/>
      <c r="Q8680" s="1"/>
      <c r="R8680" s="620"/>
      <c r="S8680" s="1"/>
      <c r="T8680" s="1"/>
      <c r="U8680" s="1"/>
      <c r="V8680" s="1"/>
      <c r="W8680" s="1"/>
      <c r="X8680" s="1"/>
      <c r="Y8680" s="1"/>
      <c r="Z8680" s="620"/>
      <c r="AA8680" s="620"/>
      <c r="AB8680" s="1"/>
      <c r="AC8680" s="1"/>
      <c r="AD8680" s="1"/>
      <c r="AE8680" s="1"/>
      <c r="AF8680" s="1"/>
      <c r="AG8680" s="1"/>
      <c r="AH8680" s="1"/>
      <c r="AI8680" s="1"/>
      <c r="AJ8680" s="1"/>
      <c r="AK8680" s="1"/>
      <c r="AL8680" s="1"/>
      <c r="AM8680" s="1"/>
    </row>
    <row r="8681" spans="1:39" x14ac:dyDescent="0.25">
      <c r="A8681" s="620"/>
      <c r="B8681" s="620"/>
      <c r="C8681" s="620"/>
      <c r="D8681" s="620"/>
      <c r="E8681" s="620"/>
      <c r="F8681" s="620"/>
      <c r="G8681" s="620"/>
      <c r="H8681" s="620"/>
      <c r="I8681" s="620"/>
      <c r="J8681" s="620"/>
      <c r="K8681" s="620"/>
      <c r="L8681" s="620"/>
      <c r="M8681" s="620"/>
      <c r="N8681" s="620"/>
      <c r="O8681" s="620"/>
      <c r="P8681" s="49"/>
      <c r="Q8681" s="1"/>
      <c r="R8681" s="620"/>
      <c r="S8681" s="1"/>
      <c r="T8681" s="1"/>
      <c r="U8681" s="1"/>
      <c r="V8681" s="1"/>
      <c r="W8681" s="1"/>
      <c r="X8681" s="1"/>
      <c r="Y8681" s="1"/>
      <c r="Z8681" s="620"/>
      <c r="AA8681" s="620"/>
      <c r="AB8681" s="1"/>
      <c r="AC8681" s="1"/>
      <c r="AD8681" s="1"/>
      <c r="AE8681" s="1"/>
      <c r="AF8681" s="1"/>
      <c r="AG8681" s="1"/>
      <c r="AH8681" s="1"/>
      <c r="AI8681" s="1"/>
      <c r="AJ8681" s="1"/>
      <c r="AK8681" s="1"/>
      <c r="AL8681" s="1"/>
      <c r="AM8681" s="1"/>
    </row>
    <row r="8682" spans="1:39" x14ac:dyDescent="0.25">
      <c r="A8682" s="620"/>
      <c r="B8682" s="620"/>
      <c r="C8682" s="620"/>
      <c r="D8682" s="620"/>
      <c r="E8682" s="620"/>
      <c r="F8682" s="620"/>
      <c r="G8682" s="620"/>
      <c r="H8682" s="620"/>
      <c r="I8682" s="620"/>
      <c r="J8682" s="620"/>
      <c r="K8682" s="620"/>
      <c r="L8682" s="620"/>
      <c r="M8682" s="620"/>
      <c r="N8682" s="620"/>
      <c r="O8682" s="620"/>
      <c r="P8682" s="49"/>
      <c r="Q8682" s="1"/>
      <c r="R8682" s="620"/>
      <c r="S8682" s="1"/>
      <c r="T8682" s="1"/>
      <c r="U8682" s="1"/>
      <c r="V8682" s="1"/>
      <c r="W8682" s="1"/>
      <c r="X8682" s="1"/>
      <c r="Y8682" s="1"/>
      <c r="Z8682" s="620"/>
      <c r="AA8682" s="620"/>
      <c r="AB8682" s="1"/>
      <c r="AC8682" s="1"/>
      <c r="AD8682" s="1"/>
      <c r="AE8682" s="1"/>
      <c r="AF8682" s="1"/>
      <c r="AG8682" s="1"/>
      <c r="AH8682" s="1"/>
      <c r="AI8682" s="1"/>
      <c r="AJ8682" s="1"/>
      <c r="AK8682" s="1"/>
      <c r="AL8682" s="1"/>
      <c r="AM8682" s="1"/>
    </row>
    <row r="8683" spans="1:39" x14ac:dyDescent="0.25">
      <c r="A8683" s="620"/>
      <c r="B8683" s="620"/>
      <c r="C8683" s="620"/>
      <c r="D8683" s="620"/>
      <c r="E8683" s="620"/>
      <c r="F8683" s="620"/>
      <c r="G8683" s="620"/>
      <c r="H8683" s="620"/>
      <c r="I8683" s="620"/>
      <c r="J8683" s="620"/>
      <c r="K8683" s="620"/>
      <c r="L8683" s="620"/>
      <c r="M8683" s="620"/>
      <c r="N8683" s="620"/>
      <c r="O8683" s="620"/>
      <c r="P8683" s="49"/>
      <c r="Q8683" s="1"/>
      <c r="R8683" s="620"/>
      <c r="S8683" s="1"/>
      <c r="T8683" s="1"/>
      <c r="U8683" s="1"/>
      <c r="V8683" s="1"/>
      <c r="W8683" s="1"/>
      <c r="X8683" s="1"/>
      <c r="Y8683" s="1"/>
      <c r="Z8683" s="620"/>
      <c r="AA8683" s="620"/>
      <c r="AB8683" s="1"/>
      <c r="AC8683" s="1"/>
      <c r="AD8683" s="1"/>
      <c r="AE8683" s="1"/>
      <c r="AF8683" s="1"/>
      <c r="AG8683" s="1"/>
      <c r="AH8683" s="1"/>
      <c r="AI8683" s="1"/>
      <c r="AJ8683" s="1"/>
      <c r="AK8683" s="1"/>
      <c r="AL8683" s="1"/>
      <c r="AM8683" s="1"/>
    </row>
    <row r="8684" spans="1:39" x14ac:dyDescent="0.25">
      <c r="A8684" s="620"/>
      <c r="B8684" s="620"/>
      <c r="C8684" s="620"/>
      <c r="D8684" s="620"/>
      <c r="E8684" s="620"/>
      <c r="F8684" s="620"/>
      <c r="G8684" s="620"/>
      <c r="H8684" s="620"/>
      <c r="I8684" s="620"/>
      <c r="J8684" s="620"/>
      <c r="K8684" s="620"/>
      <c r="L8684" s="620"/>
      <c r="M8684" s="620"/>
      <c r="N8684" s="620"/>
      <c r="O8684" s="620"/>
      <c r="P8684" s="49"/>
      <c r="Q8684" s="1"/>
      <c r="R8684" s="620"/>
      <c r="S8684" s="1"/>
      <c r="T8684" s="1"/>
      <c r="U8684" s="1"/>
      <c r="V8684" s="1"/>
      <c r="W8684" s="1"/>
      <c r="X8684" s="1"/>
      <c r="Y8684" s="1"/>
      <c r="Z8684" s="620"/>
      <c r="AA8684" s="620"/>
      <c r="AB8684" s="1"/>
      <c r="AC8684" s="1"/>
      <c r="AD8684" s="1"/>
      <c r="AE8684" s="1"/>
      <c r="AF8684" s="1"/>
      <c r="AG8684" s="1"/>
      <c r="AH8684" s="1"/>
      <c r="AI8684" s="1"/>
      <c r="AJ8684" s="1"/>
      <c r="AK8684" s="1"/>
      <c r="AL8684" s="1"/>
      <c r="AM8684" s="1"/>
    </row>
    <row r="8685" spans="1:39" x14ac:dyDescent="0.25">
      <c r="A8685" s="620"/>
      <c r="B8685" s="620"/>
      <c r="C8685" s="620"/>
      <c r="D8685" s="620"/>
      <c r="E8685" s="620"/>
      <c r="F8685" s="620"/>
      <c r="G8685" s="620"/>
      <c r="H8685" s="620"/>
      <c r="I8685" s="620"/>
      <c r="J8685" s="620"/>
      <c r="K8685" s="620"/>
      <c r="L8685" s="620"/>
      <c r="M8685" s="620"/>
      <c r="N8685" s="620"/>
      <c r="O8685" s="620"/>
      <c r="P8685" s="49"/>
      <c r="Q8685" s="1"/>
      <c r="R8685" s="620"/>
      <c r="S8685" s="1"/>
      <c r="T8685" s="1"/>
      <c r="U8685" s="1"/>
      <c r="V8685" s="1"/>
      <c r="W8685" s="1"/>
      <c r="X8685" s="1"/>
      <c r="Y8685" s="1"/>
      <c r="Z8685" s="620"/>
      <c r="AA8685" s="620"/>
      <c r="AB8685" s="1"/>
      <c r="AC8685" s="1"/>
      <c r="AD8685" s="1"/>
      <c r="AE8685" s="1"/>
      <c r="AF8685" s="1"/>
      <c r="AG8685" s="1"/>
      <c r="AH8685" s="1"/>
      <c r="AI8685" s="1"/>
      <c r="AJ8685" s="1"/>
      <c r="AK8685" s="1"/>
      <c r="AL8685" s="1"/>
      <c r="AM8685" s="1"/>
    </row>
    <row r="8686" spans="1:39" x14ac:dyDescent="0.25">
      <c r="A8686" s="620"/>
      <c r="B8686" s="620"/>
      <c r="C8686" s="620"/>
      <c r="D8686" s="620"/>
      <c r="E8686" s="620"/>
      <c r="F8686" s="620"/>
      <c r="G8686" s="620"/>
      <c r="H8686" s="620"/>
      <c r="I8686" s="620"/>
      <c r="J8686" s="620"/>
      <c r="K8686" s="620"/>
      <c r="L8686" s="620"/>
      <c r="M8686" s="620"/>
      <c r="N8686" s="620"/>
      <c r="O8686" s="620"/>
      <c r="P8686" s="49"/>
      <c r="Q8686" s="1"/>
      <c r="R8686" s="620"/>
      <c r="S8686" s="1"/>
      <c r="T8686" s="1"/>
      <c r="U8686" s="1"/>
      <c r="V8686" s="1"/>
      <c r="W8686" s="1"/>
      <c r="X8686" s="1"/>
      <c r="Y8686" s="1"/>
      <c r="Z8686" s="620"/>
      <c r="AA8686" s="620"/>
      <c r="AB8686" s="1"/>
      <c r="AC8686" s="1"/>
      <c r="AD8686" s="1"/>
      <c r="AE8686" s="1"/>
      <c r="AF8686" s="1"/>
      <c r="AG8686" s="1"/>
      <c r="AH8686" s="1"/>
      <c r="AI8686" s="1"/>
      <c r="AJ8686" s="1"/>
      <c r="AK8686" s="1"/>
      <c r="AL8686" s="1"/>
      <c r="AM8686" s="1"/>
    </row>
    <row r="8687" spans="1:39" x14ac:dyDescent="0.25">
      <c r="A8687" s="620"/>
      <c r="B8687" s="620"/>
      <c r="C8687" s="620"/>
      <c r="D8687" s="620"/>
      <c r="E8687" s="620"/>
      <c r="F8687" s="620"/>
      <c r="G8687" s="620"/>
      <c r="H8687" s="620"/>
      <c r="I8687" s="620"/>
      <c r="J8687" s="620"/>
      <c r="K8687" s="620"/>
      <c r="L8687" s="620"/>
      <c r="M8687" s="620"/>
      <c r="N8687" s="620"/>
      <c r="O8687" s="620"/>
      <c r="P8687" s="49"/>
      <c r="Q8687" s="1"/>
      <c r="R8687" s="620"/>
      <c r="S8687" s="1"/>
      <c r="T8687" s="1"/>
      <c r="U8687" s="1"/>
      <c r="V8687" s="1"/>
      <c r="W8687" s="1"/>
      <c r="X8687" s="1"/>
      <c r="Y8687" s="1"/>
      <c r="Z8687" s="620"/>
      <c r="AA8687" s="620"/>
      <c r="AB8687" s="1"/>
      <c r="AC8687" s="1"/>
      <c r="AD8687" s="1"/>
      <c r="AE8687" s="1"/>
      <c r="AF8687" s="1"/>
      <c r="AG8687" s="1"/>
      <c r="AH8687" s="1"/>
      <c r="AI8687" s="1"/>
      <c r="AJ8687" s="1"/>
      <c r="AK8687" s="1"/>
      <c r="AL8687" s="1"/>
      <c r="AM8687" s="1"/>
    </row>
    <row r="8688" spans="1:39" x14ac:dyDescent="0.25">
      <c r="A8688" s="620"/>
      <c r="B8688" s="620"/>
      <c r="C8688" s="620"/>
      <c r="D8688" s="620"/>
      <c r="E8688" s="620"/>
      <c r="F8688" s="620"/>
      <c r="G8688" s="620"/>
      <c r="H8688" s="620"/>
      <c r="I8688" s="620"/>
      <c r="J8688" s="620"/>
      <c r="K8688" s="620"/>
      <c r="L8688" s="620"/>
      <c r="M8688" s="620"/>
      <c r="N8688" s="620"/>
      <c r="O8688" s="620"/>
      <c r="P8688" s="49"/>
      <c r="Q8688" s="1"/>
      <c r="R8688" s="620"/>
      <c r="S8688" s="1"/>
      <c r="T8688" s="1"/>
      <c r="U8688" s="1"/>
      <c r="V8688" s="1"/>
      <c r="W8688" s="1"/>
      <c r="X8688" s="1"/>
      <c r="Y8688" s="1"/>
      <c r="Z8688" s="620"/>
      <c r="AA8688" s="620"/>
      <c r="AB8688" s="1"/>
      <c r="AC8688" s="1"/>
      <c r="AD8688" s="1"/>
      <c r="AE8688" s="1"/>
      <c r="AF8688" s="1"/>
      <c r="AG8688" s="1"/>
      <c r="AH8688" s="1"/>
      <c r="AI8688" s="1"/>
      <c r="AJ8688" s="1"/>
      <c r="AK8688" s="1"/>
      <c r="AL8688" s="1"/>
      <c r="AM8688" s="1"/>
    </row>
    <row r="8689" spans="1:39" x14ac:dyDescent="0.25">
      <c r="A8689" s="620"/>
      <c r="B8689" s="620"/>
      <c r="C8689" s="620"/>
      <c r="D8689" s="620"/>
      <c r="E8689" s="620"/>
      <c r="F8689" s="620"/>
      <c r="G8689" s="620"/>
      <c r="H8689" s="620"/>
      <c r="I8689" s="620"/>
      <c r="J8689" s="620"/>
      <c r="K8689" s="620"/>
      <c r="L8689" s="620"/>
      <c r="M8689" s="620"/>
      <c r="N8689" s="620"/>
      <c r="O8689" s="620"/>
      <c r="P8689" s="49"/>
      <c r="Q8689" s="1"/>
      <c r="R8689" s="620"/>
      <c r="S8689" s="1"/>
      <c r="T8689" s="1"/>
      <c r="U8689" s="1"/>
      <c r="V8689" s="1"/>
      <c r="W8689" s="1"/>
      <c r="X8689" s="1"/>
      <c r="Y8689" s="1"/>
      <c r="Z8689" s="620"/>
      <c r="AA8689" s="620"/>
      <c r="AB8689" s="1"/>
      <c r="AC8689" s="1"/>
      <c r="AD8689" s="1"/>
      <c r="AE8689" s="1"/>
      <c r="AF8689" s="1"/>
      <c r="AG8689" s="1"/>
      <c r="AH8689" s="1"/>
      <c r="AI8689" s="1"/>
      <c r="AJ8689" s="1"/>
      <c r="AK8689" s="1"/>
      <c r="AL8689" s="1"/>
      <c r="AM8689" s="1"/>
    </row>
    <row r="8690" spans="1:39" x14ac:dyDescent="0.25">
      <c r="A8690" s="620"/>
      <c r="B8690" s="620"/>
      <c r="C8690" s="620"/>
      <c r="D8690" s="620"/>
      <c r="E8690" s="620"/>
      <c r="F8690" s="620"/>
      <c r="G8690" s="620"/>
      <c r="H8690" s="620"/>
      <c r="I8690" s="620"/>
      <c r="J8690" s="620"/>
      <c r="K8690" s="620"/>
      <c r="L8690" s="620"/>
      <c r="M8690" s="620"/>
      <c r="N8690" s="620"/>
      <c r="O8690" s="620"/>
      <c r="P8690" s="49"/>
      <c r="Q8690" s="1"/>
      <c r="R8690" s="620"/>
      <c r="S8690" s="1"/>
      <c r="T8690" s="1"/>
      <c r="U8690" s="1"/>
      <c r="V8690" s="1"/>
      <c r="W8690" s="1"/>
      <c r="X8690" s="1"/>
      <c r="Y8690" s="1"/>
      <c r="Z8690" s="620"/>
      <c r="AA8690" s="620"/>
      <c r="AB8690" s="1"/>
      <c r="AC8690" s="1"/>
      <c r="AD8690" s="1"/>
      <c r="AE8690" s="1"/>
      <c r="AF8690" s="1"/>
      <c r="AG8690" s="1"/>
      <c r="AH8690" s="1"/>
      <c r="AI8690" s="1"/>
      <c r="AJ8690" s="1"/>
      <c r="AK8690" s="1"/>
      <c r="AL8690" s="1"/>
      <c r="AM8690" s="1"/>
    </row>
    <row r="8691" spans="1:39" x14ac:dyDescent="0.25">
      <c r="A8691" s="620"/>
      <c r="B8691" s="620"/>
      <c r="C8691" s="620"/>
      <c r="D8691" s="620"/>
      <c r="E8691" s="620"/>
      <c r="F8691" s="620"/>
      <c r="G8691" s="620"/>
      <c r="H8691" s="620"/>
      <c r="I8691" s="620"/>
      <c r="J8691" s="620"/>
      <c r="K8691" s="620"/>
      <c r="L8691" s="620"/>
      <c r="M8691" s="620"/>
      <c r="N8691" s="620"/>
      <c r="O8691" s="620"/>
      <c r="P8691" s="49"/>
      <c r="Q8691" s="1"/>
      <c r="R8691" s="620"/>
      <c r="S8691" s="1"/>
      <c r="T8691" s="1"/>
      <c r="U8691" s="1"/>
      <c r="V8691" s="1"/>
      <c r="W8691" s="1"/>
      <c r="X8691" s="1"/>
      <c r="Y8691" s="1"/>
      <c r="Z8691" s="620"/>
      <c r="AA8691" s="620"/>
      <c r="AB8691" s="1"/>
      <c r="AC8691" s="1"/>
      <c r="AD8691" s="1"/>
      <c r="AE8691" s="1"/>
      <c r="AF8691" s="1"/>
      <c r="AG8691" s="1"/>
      <c r="AH8691" s="1"/>
      <c r="AI8691" s="1"/>
      <c r="AJ8691" s="1"/>
      <c r="AK8691" s="1"/>
      <c r="AL8691" s="1"/>
      <c r="AM8691" s="1"/>
    </row>
    <row r="8692" spans="1:39" x14ac:dyDescent="0.25">
      <c r="A8692" s="620"/>
      <c r="B8692" s="620"/>
      <c r="C8692" s="620"/>
      <c r="D8692" s="620"/>
      <c r="E8692" s="620"/>
      <c r="F8692" s="620"/>
      <c r="G8692" s="620"/>
      <c r="H8692" s="620"/>
      <c r="I8692" s="620"/>
      <c r="J8692" s="620"/>
      <c r="K8692" s="620"/>
      <c r="L8692" s="620"/>
      <c r="M8692" s="620"/>
      <c r="N8692" s="620"/>
      <c r="O8692" s="620"/>
      <c r="P8692" s="49"/>
      <c r="Q8692" s="1"/>
      <c r="R8692" s="620"/>
      <c r="S8692" s="1"/>
      <c r="T8692" s="1"/>
      <c r="U8692" s="1"/>
      <c r="V8692" s="1"/>
      <c r="W8692" s="1"/>
      <c r="X8692" s="1"/>
      <c r="Y8692" s="1"/>
      <c r="Z8692" s="620"/>
      <c r="AA8692" s="620"/>
      <c r="AB8692" s="1"/>
      <c r="AC8692" s="1"/>
      <c r="AD8692" s="1"/>
      <c r="AE8692" s="1"/>
      <c r="AF8692" s="1"/>
      <c r="AG8692" s="1"/>
      <c r="AH8692" s="1"/>
      <c r="AI8692" s="1"/>
      <c r="AJ8692" s="1"/>
      <c r="AK8692" s="1"/>
      <c r="AL8692" s="1"/>
      <c r="AM8692" s="1"/>
    </row>
    <row r="8693" spans="1:39" x14ac:dyDescent="0.25">
      <c r="A8693" s="620"/>
      <c r="B8693" s="620"/>
      <c r="C8693" s="620"/>
      <c r="D8693" s="620"/>
      <c r="E8693" s="620"/>
      <c r="F8693" s="620"/>
      <c r="G8693" s="620"/>
      <c r="H8693" s="620"/>
      <c r="I8693" s="620"/>
      <c r="J8693" s="620"/>
      <c r="K8693" s="620"/>
      <c r="L8693" s="620"/>
      <c r="M8693" s="620"/>
      <c r="N8693" s="620"/>
      <c r="O8693" s="620"/>
      <c r="P8693" s="49"/>
      <c r="Q8693" s="1"/>
      <c r="R8693" s="620"/>
      <c r="S8693" s="1"/>
      <c r="T8693" s="1"/>
      <c r="U8693" s="1"/>
      <c r="V8693" s="1"/>
      <c r="W8693" s="1"/>
      <c r="X8693" s="1"/>
      <c r="Y8693" s="1"/>
      <c r="Z8693" s="620"/>
      <c r="AA8693" s="620"/>
      <c r="AB8693" s="1"/>
      <c r="AC8693" s="1"/>
      <c r="AD8693" s="1"/>
      <c r="AE8693" s="1"/>
      <c r="AF8693" s="1"/>
      <c r="AG8693" s="1"/>
      <c r="AH8693" s="1"/>
      <c r="AI8693" s="1"/>
      <c r="AJ8693" s="1"/>
      <c r="AK8693" s="1"/>
      <c r="AL8693" s="1"/>
      <c r="AM8693" s="1"/>
    </row>
    <row r="8694" spans="1:39" x14ac:dyDescent="0.25">
      <c r="A8694" s="620"/>
      <c r="B8694" s="620"/>
      <c r="C8694" s="620"/>
      <c r="D8694" s="620"/>
      <c r="E8694" s="620"/>
      <c r="F8694" s="620"/>
      <c r="G8694" s="620"/>
      <c r="H8694" s="620"/>
      <c r="I8694" s="620"/>
      <c r="J8694" s="620"/>
      <c r="K8694" s="620"/>
      <c r="L8694" s="620"/>
      <c r="M8694" s="620"/>
      <c r="N8694" s="620"/>
      <c r="O8694" s="620"/>
      <c r="P8694" s="49"/>
      <c r="Q8694" s="1"/>
      <c r="R8694" s="620"/>
      <c r="S8694" s="1"/>
      <c r="T8694" s="1"/>
      <c r="U8694" s="1"/>
      <c r="V8694" s="1"/>
      <c r="W8694" s="1"/>
      <c r="X8694" s="1"/>
      <c r="Y8694" s="1"/>
      <c r="Z8694" s="620"/>
      <c r="AA8694" s="620"/>
      <c r="AB8694" s="1"/>
      <c r="AC8694" s="1"/>
      <c r="AD8694" s="1"/>
      <c r="AE8694" s="1"/>
      <c r="AF8694" s="1"/>
      <c r="AG8694" s="1"/>
      <c r="AH8694" s="1"/>
      <c r="AI8694" s="1"/>
      <c r="AJ8694" s="1"/>
      <c r="AK8694" s="1"/>
      <c r="AL8694" s="1"/>
      <c r="AM8694" s="1"/>
    </row>
    <row r="8695" spans="1:39" x14ac:dyDescent="0.25">
      <c r="A8695" s="620"/>
      <c r="B8695" s="620"/>
      <c r="C8695" s="620"/>
      <c r="D8695" s="620"/>
      <c r="E8695" s="620"/>
      <c r="F8695" s="620"/>
      <c r="G8695" s="620"/>
      <c r="H8695" s="620"/>
      <c r="I8695" s="620"/>
      <c r="J8695" s="620"/>
      <c r="K8695" s="620"/>
      <c r="L8695" s="620"/>
      <c r="M8695" s="620"/>
      <c r="N8695" s="620"/>
      <c r="O8695" s="620"/>
      <c r="P8695" s="49"/>
      <c r="Q8695" s="1"/>
      <c r="R8695" s="620"/>
      <c r="S8695" s="1"/>
      <c r="T8695" s="1"/>
      <c r="U8695" s="1"/>
      <c r="V8695" s="1"/>
      <c r="W8695" s="1"/>
      <c r="X8695" s="1"/>
      <c r="Y8695" s="1"/>
      <c r="Z8695" s="620"/>
      <c r="AA8695" s="620"/>
      <c r="AB8695" s="1"/>
      <c r="AC8695" s="1"/>
      <c r="AD8695" s="1"/>
      <c r="AE8695" s="1"/>
      <c r="AF8695" s="1"/>
      <c r="AG8695" s="1"/>
      <c r="AH8695" s="1"/>
      <c r="AI8695" s="1"/>
      <c r="AJ8695" s="1"/>
      <c r="AK8695" s="1"/>
      <c r="AL8695" s="1"/>
      <c r="AM8695" s="1"/>
    </row>
    <row r="8696" spans="1:39" x14ac:dyDescent="0.25">
      <c r="A8696" s="620"/>
      <c r="B8696" s="620"/>
      <c r="C8696" s="620"/>
      <c r="D8696" s="620"/>
      <c r="E8696" s="620"/>
      <c r="F8696" s="620"/>
      <c r="G8696" s="620"/>
      <c r="H8696" s="620"/>
      <c r="I8696" s="620"/>
      <c r="J8696" s="620"/>
      <c r="K8696" s="620"/>
      <c r="L8696" s="620"/>
      <c r="M8696" s="620"/>
      <c r="N8696" s="620"/>
      <c r="O8696" s="620"/>
      <c r="P8696" s="49"/>
      <c r="Q8696" s="1"/>
      <c r="R8696" s="620"/>
      <c r="S8696" s="1"/>
      <c r="T8696" s="1"/>
      <c r="U8696" s="1"/>
      <c r="V8696" s="1"/>
      <c r="W8696" s="1"/>
      <c r="X8696" s="1"/>
      <c r="Y8696" s="1"/>
      <c r="Z8696" s="620"/>
      <c r="AA8696" s="620"/>
      <c r="AB8696" s="1"/>
      <c r="AC8696" s="1"/>
      <c r="AD8696" s="1"/>
      <c r="AE8696" s="1"/>
      <c r="AF8696" s="1"/>
      <c r="AG8696" s="1"/>
      <c r="AH8696" s="1"/>
      <c r="AI8696" s="1"/>
      <c r="AJ8696" s="1"/>
      <c r="AK8696" s="1"/>
      <c r="AL8696" s="1"/>
      <c r="AM8696" s="1"/>
    </row>
    <row r="8697" spans="1:39" x14ac:dyDescent="0.25">
      <c r="A8697" s="620"/>
      <c r="B8697" s="620"/>
      <c r="C8697" s="620"/>
      <c r="D8697" s="620"/>
      <c r="E8697" s="620"/>
      <c r="F8697" s="620"/>
      <c r="G8697" s="620"/>
      <c r="H8697" s="620"/>
      <c r="I8697" s="620"/>
      <c r="J8697" s="620"/>
      <c r="K8697" s="620"/>
      <c r="L8697" s="620"/>
      <c r="M8697" s="620"/>
      <c r="N8697" s="620"/>
      <c r="O8697" s="620"/>
      <c r="P8697" s="49"/>
      <c r="Q8697" s="1"/>
      <c r="R8697" s="620"/>
      <c r="S8697" s="1"/>
      <c r="T8697" s="1"/>
      <c r="U8697" s="1"/>
      <c r="V8697" s="1"/>
      <c r="W8697" s="1"/>
      <c r="X8697" s="1"/>
      <c r="Y8697" s="1"/>
      <c r="Z8697" s="620"/>
      <c r="AA8697" s="620"/>
      <c r="AB8697" s="1"/>
      <c r="AC8697" s="1"/>
      <c r="AD8697" s="1"/>
      <c r="AE8697" s="1"/>
      <c r="AF8697" s="1"/>
      <c r="AG8697" s="1"/>
      <c r="AH8697" s="1"/>
      <c r="AI8697" s="1"/>
      <c r="AJ8697" s="1"/>
      <c r="AK8697" s="1"/>
      <c r="AL8697" s="1"/>
      <c r="AM8697" s="1"/>
    </row>
    <row r="8698" spans="1:39" x14ac:dyDescent="0.25">
      <c r="A8698" s="620"/>
      <c r="B8698" s="620"/>
      <c r="C8698" s="620"/>
      <c r="D8698" s="620"/>
      <c r="E8698" s="620"/>
      <c r="F8698" s="620"/>
      <c r="G8698" s="620"/>
      <c r="H8698" s="620"/>
      <c r="I8698" s="620"/>
      <c r="J8698" s="620"/>
      <c r="K8698" s="620"/>
      <c r="L8698" s="620"/>
      <c r="M8698" s="620"/>
      <c r="N8698" s="620"/>
      <c r="O8698" s="620"/>
      <c r="P8698" s="49"/>
      <c r="Q8698" s="1"/>
      <c r="R8698" s="620"/>
      <c r="S8698" s="1"/>
      <c r="T8698" s="1"/>
      <c r="U8698" s="1"/>
      <c r="V8698" s="1"/>
      <c r="W8698" s="1"/>
      <c r="X8698" s="1"/>
      <c r="Y8698" s="1"/>
      <c r="Z8698" s="620"/>
      <c r="AA8698" s="620"/>
      <c r="AB8698" s="1"/>
      <c r="AC8698" s="1"/>
      <c r="AD8698" s="1"/>
      <c r="AE8698" s="1"/>
      <c r="AF8698" s="1"/>
      <c r="AG8698" s="1"/>
      <c r="AH8698" s="1"/>
      <c r="AI8698" s="1"/>
      <c r="AJ8698" s="1"/>
      <c r="AK8698" s="1"/>
      <c r="AL8698" s="1"/>
      <c r="AM8698" s="1"/>
    </row>
    <row r="8699" spans="1:39" x14ac:dyDescent="0.25">
      <c r="A8699" s="620"/>
      <c r="B8699" s="620"/>
      <c r="C8699" s="620"/>
      <c r="D8699" s="620"/>
      <c r="E8699" s="620"/>
      <c r="F8699" s="620"/>
      <c r="G8699" s="620"/>
      <c r="H8699" s="620"/>
      <c r="I8699" s="620"/>
      <c r="J8699" s="620"/>
      <c r="K8699" s="620"/>
      <c r="L8699" s="620"/>
      <c r="M8699" s="620"/>
      <c r="N8699" s="620"/>
      <c r="O8699" s="620"/>
      <c r="P8699" s="49"/>
      <c r="Q8699" s="1"/>
      <c r="R8699" s="620"/>
      <c r="S8699" s="1"/>
      <c r="T8699" s="1"/>
      <c r="U8699" s="1"/>
      <c r="V8699" s="1"/>
      <c r="W8699" s="1"/>
      <c r="X8699" s="1"/>
      <c r="Y8699" s="1"/>
      <c r="Z8699" s="620"/>
      <c r="AA8699" s="620"/>
      <c r="AB8699" s="1"/>
      <c r="AC8699" s="1"/>
      <c r="AD8699" s="1"/>
      <c r="AE8699" s="1"/>
      <c r="AF8699" s="1"/>
      <c r="AG8699" s="1"/>
      <c r="AH8699" s="1"/>
      <c r="AI8699" s="1"/>
      <c r="AJ8699" s="1"/>
      <c r="AK8699" s="1"/>
      <c r="AL8699" s="1"/>
      <c r="AM8699" s="1"/>
    </row>
    <row r="8700" spans="1:39" x14ac:dyDescent="0.25">
      <c r="A8700" s="620"/>
      <c r="B8700" s="620"/>
      <c r="C8700" s="620"/>
      <c r="D8700" s="620"/>
      <c r="E8700" s="620"/>
      <c r="F8700" s="620"/>
      <c r="G8700" s="620"/>
      <c r="H8700" s="620"/>
      <c r="I8700" s="620"/>
      <c r="J8700" s="620"/>
      <c r="K8700" s="620"/>
      <c r="L8700" s="620"/>
      <c r="M8700" s="620"/>
      <c r="N8700" s="620"/>
      <c r="O8700" s="620"/>
      <c r="P8700" s="49"/>
      <c r="Q8700" s="1"/>
      <c r="R8700" s="620"/>
      <c r="S8700" s="1"/>
      <c r="T8700" s="1"/>
      <c r="U8700" s="1"/>
      <c r="V8700" s="1"/>
      <c r="W8700" s="1"/>
      <c r="X8700" s="1"/>
      <c r="Y8700" s="1"/>
      <c r="Z8700" s="620"/>
      <c r="AA8700" s="620"/>
      <c r="AB8700" s="1"/>
      <c r="AC8700" s="1"/>
      <c r="AD8700" s="1"/>
      <c r="AE8700" s="1"/>
      <c r="AF8700" s="1"/>
      <c r="AG8700" s="1"/>
      <c r="AH8700" s="1"/>
      <c r="AI8700" s="1"/>
      <c r="AJ8700" s="1"/>
      <c r="AK8700" s="1"/>
      <c r="AL8700" s="1"/>
      <c r="AM8700" s="1"/>
    </row>
    <row r="8701" spans="1:39" x14ac:dyDescent="0.25">
      <c r="A8701" s="620"/>
      <c r="B8701" s="620"/>
      <c r="C8701" s="620"/>
      <c r="D8701" s="620"/>
      <c r="E8701" s="620"/>
      <c r="F8701" s="620"/>
      <c r="G8701" s="620"/>
      <c r="H8701" s="620"/>
      <c r="I8701" s="620"/>
      <c r="J8701" s="620"/>
      <c r="K8701" s="620"/>
      <c r="L8701" s="620"/>
      <c r="M8701" s="620"/>
      <c r="N8701" s="620"/>
      <c r="O8701" s="620"/>
      <c r="P8701" s="49"/>
      <c r="Q8701" s="1"/>
      <c r="R8701" s="620"/>
      <c r="S8701" s="1"/>
      <c r="T8701" s="1"/>
      <c r="U8701" s="1"/>
      <c r="V8701" s="1"/>
      <c r="W8701" s="1"/>
      <c r="X8701" s="1"/>
      <c r="Y8701" s="1"/>
      <c r="Z8701" s="620"/>
      <c r="AA8701" s="620"/>
      <c r="AB8701" s="1"/>
      <c r="AC8701" s="1"/>
      <c r="AD8701" s="1"/>
      <c r="AE8701" s="1"/>
      <c r="AF8701" s="1"/>
      <c r="AG8701" s="1"/>
      <c r="AH8701" s="1"/>
      <c r="AI8701" s="1"/>
      <c r="AJ8701" s="1"/>
      <c r="AK8701" s="1"/>
      <c r="AL8701" s="1"/>
      <c r="AM8701" s="1"/>
    </row>
    <row r="8702" spans="1:39" x14ac:dyDescent="0.25">
      <c r="A8702" s="620"/>
      <c r="B8702" s="620"/>
      <c r="C8702" s="620"/>
      <c r="D8702" s="620"/>
      <c r="E8702" s="620"/>
      <c r="F8702" s="620"/>
      <c r="G8702" s="620"/>
      <c r="H8702" s="620"/>
      <c r="I8702" s="620"/>
      <c r="J8702" s="620"/>
      <c r="K8702" s="620"/>
      <c r="L8702" s="620"/>
      <c r="M8702" s="620"/>
      <c r="N8702" s="620"/>
      <c r="O8702" s="620"/>
      <c r="P8702" s="49"/>
      <c r="Q8702" s="1"/>
      <c r="R8702" s="620"/>
      <c r="S8702" s="1"/>
      <c r="T8702" s="1"/>
      <c r="U8702" s="1"/>
      <c r="V8702" s="1"/>
      <c r="W8702" s="1"/>
      <c r="X8702" s="1"/>
      <c r="Y8702" s="1"/>
      <c r="Z8702" s="620"/>
      <c r="AA8702" s="620"/>
      <c r="AB8702" s="1"/>
      <c r="AC8702" s="1"/>
      <c r="AD8702" s="1"/>
      <c r="AE8702" s="1"/>
      <c r="AF8702" s="1"/>
      <c r="AG8702" s="1"/>
      <c r="AH8702" s="1"/>
      <c r="AI8702" s="1"/>
      <c r="AJ8702" s="1"/>
      <c r="AK8702" s="1"/>
      <c r="AL8702" s="1"/>
      <c r="AM8702" s="1"/>
    </row>
    <row r="8703" spans="1:39" x14ac:dyDescent="0.25">
      <c r="A8703" s="620"/>
      <c r="B8703" s="620"/>
      <c r="C8703" s="620"/>
      <c r="D8703" s="620"/>
      <c r="E8703" s="620"/>
      <c r="F8703" s="620"/>
      <c r="G8703" s="620"/>
      <c r="H8703" s="620"/>
      <c r="I8703" s="620"/>
      <c r="J8703" s="620"/>
      <c r="K8703" s="620"/>
      <c r="L8703" s="620"/>
      <c r="M8703" s="620"/>
      <c r="N8703" s="620"/>
      <c r="O8703" s="620"/>
      <c r="P8703" s="49"/>
      <c r="Q8703" s="1"/>
      <c r="R8703" s="620"/>
      <c r="S8703" s="1"/>
      <c r="T8703" s="1"/>
      <c r="U8703" s="1"/>
      <c r="V8703" s="1"/>
      <c r="W8703" s="1"/>
      <c r="X8703" s="1"/>
      <c r="Y8703" s="1"/>
      <c r="Z8703" s="620"/>
      <c r="AA8703" s="620"/>
      <c r="AB8703" s="1"/>
      <c r="AC8703" s="1"/>
      <c r="AD8703" s="1"/>
      <c r="AE8703" s="1"/>
      <c r="AF8703" s="1"/>
      <c r="AG8703" s="1"/>
      <c r="AH8703" s="1"/>
      <c r="AI8703" s="1"/>
      <c r="AJ8703" s="1"/>
      <c r="AK8703" s="1"/>
      <c r="AL8703" s="1"/>
      <c r="AM8703" s="1"/>
    </row>
    <row r="8704" spans="1:39" x14ac:dyDescent="0.25">
      <c r="A8704" s="620"/>
      <c r="B8704" s="620"/>
      <c r="C8704" s="620"/>
      <c r="D8704" s="620"/>
      <c r="E8704" s="620"/>
      <c r="F8704" s="620"/>
      <c r="G8704" s="620"/>
      <c r="H8704" s="620"/>
      <c r="I8704" s="620"/>
      <c r="J8704" s="620"/>
      <c r="K8704" s="620"/>
      <c r="L8704" s="620"/>
      <c r="M8704" s="620"/>
      <c r="N8704" s="620"/>
      <c r="O8704" s="620"/>
      <c r="P8704" s="49"/>
      <c r="Q8704" s="1"/>
      <c r="R8704" s="620"/>
      <c r="S8704" s="1"/>
      <c r="T8704" s="1"/>
      <c r="U8704" s="1"/>
      <c r="V8704" s="1"/>
      <c r="W8704" s="1"/>
      <c r="X8704" s="1"/>
      <c r="Y8704" s="1"/>
      <c r="Z8704" s="620"/>
      <c r="AA8704" s="620"/>
      <c r="AB8704" s="1"/>
      <c r="AC8704" s="1"/>
      <c r="AD8704" s="1"/>
      <c r="AE8704" s="1"/>
      <c r="AF8704" s="1"/>
      <c r="AG8704" s="1"/>
      <c r="AH8704" s="1"/>
      <c r="AI8704" s="1"/>
      <c r="AJ8704" s="1"/>
      <c r="AK8704" s="1"/>
      <c r="AL8704" s="1"/>
      <c r="AM8704" s="1"/>
    </row>
    <row r="8705" spans="1:39" x14ac:dyDescent="0.25">
      <c r="A8705" s="620"/>
      <c r="B8705" s="620"/>
      <c r="C8705" s="620"/>
      <c r="D8705" s="620"/>
      <c r="E8705" s="620"/>
      <c r="F8705" s="620"/>
      <c r="G8705" s="620"/>
      <c r="H8705" s="620"/>
      <c r="I8705" s="620"/>
      <c r="J8705" s="620"/>
      <c r="K8705" s="620"/>
      <c r="L8705" s="620"/>
      <c r="M8705" s="620"/>
      <c r="N8705" s="620"/>
      <c r="O8705" s="620"/>
      <c r="P8705" s="49"/>
      <c r="Q8705" s="1"/>
      <c r="R8705" s="620"/>
      <c r="S8705" s="1"/>
      <c r="T8705" s="1"/>
      <c r="U8705" s="1"/>
      <c r="V8705" s="1"/>
      <c r="W8705" s="1"/>
      <c r="X8705" s="1"/>
      <c r="Y8705" s="1"/>
      <c r="Z8705" s="620"/>
      <c r="AA8705" s="620"/>
      <c r="AB8705" s="1"/>
      <c r="AC8705" s="1"/>
      <c r="AD8705" s="1"/>
      <c r="AE8705" s="1"/>
      <c r="AF8705" s="1"/>
      <c r="AG8705" s="1"/>
      <c r="AH8705" s="1"/>
      <c r="AI8705" s="1"/>
      <c r="AJ8705" s="1"/>
      <c r="AK8705" s="1"/>
      <c r="AL8705" s="1"/>
      <c r="AM8705" s="1"/>
    </row>
    <row r="8706" spans="1:39" x14ac:dyDescent="0.25">
      <c r="A8706" s="620"/>
      <c r="B8706" s="620"/>
      <c r="C8706" s="620"/>
      <c r="D8706" s="620"/>
      <c r="E8706" s="620"/>
      <c r="F8706" s="620"/>
      <c r="G8706" s="620"/>
      <c r="H8706" s="620"/>
      <c r="I8706" s="620"/>
      <c r="J8706" s="620"/>
      <c r="K8706" s="620"/>
      <c r="L8706" s="620"/>
      <c r="M8706" s="620"/>
      <c r="N8706" s="620"/>
      <c r="O8706" s="620"/>
      <c r="P8706" s="49"/>
      <c r="Q8706" s="1"/>
      <c r="R8706" s="620"/>
      <c r="S8706" s="1"/>
      <c r="T8706" s="1"/>
      <c r="U8706" s="1"/>
      <c r="V8706" s="1"/>
      <c r="W8706" s="1"/>
      <c r="X8706" s="1"/>
      <c r="Y8706" s="1"/>
      <c r="Z8706" s="620"/>
      <c r="AA8706" s="620"/>
      <c r="AB8706" s="1"/>
      <c r="AC8706" s="1"/>
      <c r="AD8706" s="1"/>
      <c r="AE8706" s="1"/>
      <c r="AF8706" s="1"/>
      <c r="AG8706" s="1"/>
      <c r="AH8706" s="1"/>
      <c r="AI8706" s="1"/>
      <c r="AJ8706" s="1"/>
      <c r="AK8706" s="1"/>
      <c r="AL8706" s="1"/>
      <c r="AM8706" s="1"/>
    </row>
    <row r="8707" spans="1:39" x14ac:dyDescent="0.25">
      <c r="A8707" s="620"/>
      <c r="B8707" s="620"/>
      <c r="C8707" s="620"/>
      <c r="D8707" s="620"/>
      <c r="E8707" s="620"/>
      <c r="F8707" s="620"/>
      <c r="G8707" s="620"/>
      <c r="H8707" s="620"/>
      <c r="I8707" s="620"/>
      <c r="J8707" s="620"/>
      <c r="K8707" s="620"/>
      <c r="L8707" s="620"/>
      <c r="M8707" s="620"/>
      <c r="N8707" s="620"/>
      <c r="O8707" s="620"/>
      <c r="P8707" s="49"/>
      <c r="Q8707" s="1"/>
      <c r="R8707" s="620"/>
      <c r="S8707" s="1"/>
      <c r="T8707" s="1"/>
      <c r="U8707" s="1"/>
      <c r="V8707" s="1"/>
      <c r="W8707" s="1"/>
      <c r="X8707" s="1"/>
      <c r="Y8707" s="1"/>
      <c r="Z8707" s="620"/>
      <c r="AA8707" s="620"/>
      <c r="AB8707" s="1"/>
      <c r="AC8707" s="1"/>
      <c r="AD8707" s="1"/>
      <c r="AE8707" s="1"/>
      <c r="AF8707" s="1"/>
      <c r="AG8707" s="1"/>
      <c r="AH8707" s="1"/>
      <c r="AI8707" s="1"/>
      <c r="AJ8707" s="1"/>
      <c r="AK8707" s="1"/>
      <c r="AL8707" s="1"/>
      <c r="AM8707" s="1"/>
    </row>
    <row r="8708" spans="1:39" x14ac:dyDescent="0.25">
      <c r="A8708" s="620"/>
      <c r="B8708" s="620"/>
      <c r="C8708" s="620"/>
      <c r="D8708" s="620"/>
      <c r="E8708" s="620"/>
      <c r="F8708" s="620"/>
      <c r="G8708" s="620"/>
      <c r="H8708" s="620"/>
      <c r="I8708" s="620"/>
      <c r="J8708" s="620"/>
      <c r="K8708" s="620"/>
      <c r="L8708" s="620"/>
      <c r="M8708" s="620"/>
      <c r="N8708" s="620"/>
      <c r="O8708" s="620"/>
      <c r="P8708" s="49"/>
      <c r="Q8708" s="1"/>
      <c r="R8708" s="620"/>
      <c r="S8708" s="1"/>
      <c r="T8708" s="1"/>
      <c r="U8708" s="1"/>
      <c r="V8708" s="1"/>
      <c r="W8708" s="1"/>
      <c r="X8708" s="1"/>
      <c r="Y8708" s="1"/>
      <c r="Z8708" s="620"/>
      <c r="AA8708" s="620"/>
      <c r="AB8708" s="1"/>
      <c r="AC8708" s="1"/>
      <c r="AD8708" s="1"/>
      <c r="AE8708" s="1"/>
      <c r="AF8708" s="1"/>
      <c r="AG8708" s="1"/>
      <c r="AH8708" s="1"/>
      <c r="AI8708" s="1"/>
      <c r="AJ8708" s="1"/>
      <c r="AK8708" s="1"/>
      <c r="AL8708" s="1"/>
      <c r="AM8708" s="1"/>
    </row>
    <row r="8709" spans="1:39" x14ac:dyDescent="0.25">
      <c r="A8709" s="620"/>
      <c r="B8709" s="620"/>
      <c r="C8709" s="620"/>
      <c r="D8709" s="620"/>
      <c r="E8709" s="620"/>
      <c r="F8709" s="620"/>
      <c r="G8709" s="620"/>
      <c r="H8709" s="620"/>
      <c r="I8709" s="620"/>
      <c r="J8709" s="620"/>
      <c r="K8709" s="620"/>
      <c r="L8709" s="620"/>
      <c r="M8709" s="620"/>
      <c r="N8709" s="620"/>
      <c r="O8709" s="620"/>
      <c r="P8709" s="49"/>
      <c r="Q8709" s="1"/>
      <c r="R8709" s="620"/>
      <c r="S8709" s="1"/>
      <c r="T8709" s="1"/>
      <c r="U8709" s="1"/>
      <c r="V8709" s="1"/>
      <c r="W8709" s="1"/>
      <c r="X8709" s="1"/>
      <c r="Y8709" s="1"/>
      <c r="Z8709" s="620"/>
      <c r="AA8709" s="620"/>
      <c r="AB8709" s="1"/>
      <c r="AC8709" s="1"/>
      <c r="AD8709" s="1"/>
      <c r="AE8709" s="1"/>
      <c r="AF8709" s="1"/>
      <c r="AG8709" s="1"/>
      <c r="AH8709" s="1"/>
      <c r="AI8709" s="1"/>
      <c r="AJ8709" s="1"/>
      <c r="AK8709" s="1"/>
      <c r="AL8709" s="1"/>
      <c r="AM8709" s="1"/>
    </row>
    <row r="8710" spans="1:39" x14ac:dyDescent="0.25">
      <c r="A8710" s="620"/>
      <c r="B8710" s="620"/>
      <c r="C8710" s="620"/>
      <c r="D8710" s="620"/>
      <c r="E8710" s="620"/>
      <c r="F8710" s="620"/>
      <c r="G8710" s="620"/>
      <c r="H8710" s="620"/>
      <c r="I8710" s="620"/>
      <c r="J8710" s="620"/>
      <c r="K8710" s="620"/>
      <c r="L8710" s="620"/>
      <c r="M8710" s="620"/>
      <c r="N8710" s="620"/>
      <c r="O8710" s="620"/>
      <c r="P8710" s="49"/>
      <c r="Q8710" s="1"/>
      <c r="R8710" s="620"/>
      <c r="S8710" s="1"/>
      <c r="T8710" s="1"/>
      <c r="U8710" s="1"/>
      <c r="V8710" s="1"/>
      <c r="W8710" s="1"/>
      <c r="X8710" s="1"/>
      <c r="Y8710" s="1"/>
      <c r="Z8710" s="620"/>
      <c r="AA8710" s="620"/>
      <c r="AB8710" s="1"/>
      <c r="AC8710" s="1"/>
      <c r="AD8710" s="1"/>
      <c r="AE8710" s="1"/>
      <c r="AF8710" s="1"/>
      <c r="AG8710" s="1"/>
      <c r="AH8710" s="1"/>
      <c r="AI8710" s="1"/>
      <c r="AJ8710" s="1"/>
      <c r="AK8710" s="1"/>
      <c r="AL8710" s="1"/>
      <c r="AM8710" s="1"/>
    </row>
    <row r="8711" spans="1:39" x14ac:dyDescent="0.25">
      <c r="A8711" s="620"/>
      <c r="B8711" s="620"/>
      <c r="C8711" s="620"/>
      <c r="D8711" s="620"/>
      <c r="E8711" s="620"/>
      <c r="F8711" s="620"/>
      <c r="G8711" s="620"/>
      <c r="H8711" s="620"/>
      <c r="I8711" s="620"/>
      <c r="J8711" s="620"/>
      <c r="K8711" s="620"/>
      <c r="L8711" s="620"/>
      <c r="M8711" s="620"/>
      <c r="N8711" s="620"/>
      <c r="O8711" s="620"/>
      <c r="P8711" s="49"/>
      <c r="Q8711" s="1"/>
      <c r="R8711" s="620"/>
      <c r="S8711" s="1"/>
      <c r="T8711" s="1"/>
      <c r="U8711" s="1"/>
      <c r="V8711" s="1"/>
      <c r="W8711" s="1"/>
      <c r="X8711" s="1"/>
      <c r="Y8711" s="1"/>
      <c r="Z8711" s="620"/>
      <c r="AA8711" s="620"/>
      <c r="AB8711" s="1"/>
      <c r="AC8711" s="1"/>
      <c r="AD8711" s="1"/>
      <c r="AE8711" s="1"/>
      <c r="AF8711" s="1"/>
      <c r="AG8711" s="1"/>
      <c r="AH8711" s="1"/>
      <c r="AI8711" s="1"/>
      <c r="AJ8711" s="1"/>
      <c r="AK8711" s="1"/>
      <c r="AL8711" s="1"/>
      <c r="AM8711" s="1"/>
    </row>
    <row r="8712" spans="1:39" x14ac:dyDescent="0.25">
      <c r="A8712" s="620"/>
      <c r="B8712" s="620"/>
      <c r="C8712" s="620"/>
      <c r="D8712" s="620"/>
      <c r="E8712" s="620"/>
      <c r="F8712" s="620"/>
      <c r="G8712" s="620"/>
      <c r="H8712" s="620"/>
      <c r="I8712" s="620"/>
      <c r="J8712" s="620"/>
      <c r="K8712" s="620"/>
      <c r="L8712" s="620"/>
      <c r="M8712" s="620"/>
      <c r="N8712" s="620"/>
      <c r="O8712" s="620"/>
      <c r="P8712" s="49"/>
      <c r="Q8712" s="1"/>
      <c r="R8712" s="620"/>
      <c r="S8712" s="1"/>
      <c r="T8712" s="1"/>
      <c r="U8712" s="1"/>
      <c r="V8712" s="1"/>
      <c r="W8712" s="1"/>
      <c r="X8712" s="1"/>
      <c r="Y8712" s="1"/>
      <c r="Z8712" s="620"/>
      <c r="AA8712" s="620"/>
      <c r="AB8712" s="1"/>
      <c r="AC8712" s="1"/>
      <c r="AD8712" s="1"/>
      <c r="AE8712" s="1"/>
      <c r="AF8712" s="1"/>
      <c r="AG8712" s="1"/>
      <c r="AH8712" s="1"/>
      <c r="AI8712" s="1"/>
      <c r="AJ8712" s="1"/>
      <c r="AK8712" s="1"/>
      <c r="AL8712" s="1"/>
      <c r="AM8712" s="1"/>
    </row>
    <row r="8713" spans="1:39" x14ac:dyDescent="0.25">
      <c r="A8713" s="620"/>
      <c r="B8713" s="620"/>
      <c r="C8713" s="620"/>
      <c r="D8713" s="620"/>
      <c r="E8713" s="620"/>
      <c r="F8713" s="620"/>
      <c r="G8713" s="620"/>
      <c r="H8713" s="620"/>
      <c r="I8713" s="620"/>
      <c r="J8713" s="620"/>
      <c r="K8713" s="620"/>
      <c r="L8713" s="620"/>
      <c r="M8713" s="620"/>
      <c r="N8713" s="620"/>
      <c r="O8713" s="620"/>
      <c r="P8713" s="49"/>
      <c r="Q8713" s="1"/>
      <c r="R8713" s="620"/>
      <c r="S8713" s="1"/>
      <c r="T8713" s="1"/>
      <c r="U8713" s="1"/>
      <c r="V8713" s="1"/>
      <c r="W8713" s="1"/>
      <c r="X8713" s="1"/>
      <c r="Y8713" s="1"/>
      <c r="Z8713" s="620"/>
      <c r="AA8713" s="620"/>
      <c r="AB8713" s="1"/>
      <c r="AC8713" s="1"/>
      <c r="AD8713" s="1"/>
      <c r="AE8713" s="1"/>
      <c r="AF8713" s="1"/>
      <c r="AG8713" s="1"/>
      <c r="AH8713" s="1"/>
      <c r="AI8713" s="1"/>
      <c r="AJ8713" s="1"/>
      <c r="AK8713" s="1"/>
      <c r="AL8713" s="1"/>
      <c r="AM8713" s="1"/>
    </row>
    <row r="8714" spans="1:39" x14ac:dyDescent="0.25">
      <c r="A8714" s="620"/>
      <c r="B8714" s="620"/>
      <c r="C8714" s="620"/>
      <c r="D8714" s="620"/>
      <c r="E8714" s="620"/>
      <c r="F8714" s="620"/>
      <c r="G8714" s="620"/>
      <c r="H8714" s="620"/>
      <c r="I8714" s="620"/>
      <c r="J8714" s="620"/>
      <c r="K8714" s="620"/>
      <c r="L8714" s="620"/>
      <c r="M8714" s="620"/>
      <c r="N8714" s="620"/>
      <c r="O8714" s="620"/>
      <c r="P8714" s="49"/>
      <c r="Q8714" s="1"/>
      <c r="R8714" s="620"/>
      <c r="S8714" s="1"/>
      <c r="T8714" s="1"/>
      <c r="U8714" s="1"/>
      <c r="V8714" s="1"/>
      <c r="W8714" s="1"/>
      <c r="X8714" s="1"/>
      <c r="Y8714" s="1"/>
      <c r="Z8714" s="620"/>
      <c r="AA8714" s="620"/>
      <c r="AB8714" s="1"/>
      <c r="AC8714" s="1"/>
      <c r="AD8714" s="1"/>
      <c r="AE8714" s="1"/>
      <c r="AF8714" s="1"/>
      <c r="AG8714" s="1"/>
      <c r="AH8714" s="1"/>
      <c r="AI8714" s="1"/>
      <c r="AJ8714" s="1"/>
      <c r="AK8714" s="1"/>
      <c r="AL8714" s="1"/>
      <c r="AM8714" s="1"/>
    </row>
    <row r="8715" spans="1:39" x14ac:dyDescent="0.25">
      <c r="A8715" s="620"/>
      <c r="B8715" s="620"/>
      <c r="C8715" s="620"/>
      <c r="D8715" s="620"/>
      <c r="E8715" s="620"/>
      <c r="F8715" s="620"/>
      <c r="G8715" s="620"/>
      <c r="H8715" s="620"/>
      <c r="I8715" s="620"/>
      <c r="J8715" s="620"/>
      <c r="K8715" s="620"/>
      <c r="L8715" s="620"/>
      <c r="M8715" s="620"/>
      <c r="N8715" s="620"/>
      <c r="O8715" s="620"/>
      <c r="P8715" s="49"/>
      <c r="Q8715" s="1"/>
      <c r="R8715" s="620"/>
      <c r="S8715" s="1"/>
      <c r="T8715" s="1"/>
      <c r="U8715" s="1"/>
      <c r="V8715" s="1"/>
      <c r="W8715" s="1"/>
      <c r="X8715" s="1"/>
      <c r="Y8715" s="1"/>
      <c r="Z8715" s="620"/>
      <c r="AA8715" s="620"/>
      <c r="AB8715" s="1"/>
      <c r="AC8715" s="1"/>
      <c r="AD8715" s="1"/>
      <c r="AE8715" s="1"/>
      <c r="AF8715" s="1"/>
      <c r="AG8715" s="1"/>
      <c r="AH8715" s="1"/>
      <c r="AI8715" s="1"/>
      <c r="AJ8715" s="1"/>
      <c r="AK8715" s="1"/>
      <c r="AL8715" s="1"/>
      <c r="AM8715" s="1"/>
    </row>
    <row r="8716" spans="1:39" x14ac:dyDescent="0.25">
      <c r="A8716" s="620"/>
      <c r="B8716" s="620"/>
      <c r="C8716" s="620"/>
      <c r="D8716" s="620"/>
      <c r="E8716" s="620"/>
      <c r="F8716" s="620"/>
      <c r="G8716" s="620"/>
      <c r="H8716" s="620"/>
      <c r="I8716" s="620"/>
      <c r="J8716" s="620"/>
      <c r="K8716" s="620"/>
      <c r="L8716" s="620"/>
      <c r="M8716" s="620"/>
      <c r="N8716" s="620"/>
      <c r="O8716" s="620"/>
      <c r="P8716" s="49"/>
      <c r="Q8716" s="1"/>
      <c r="R8716" s="620"/>
      <c r="S8716" s="1"/>
      <c r="T8716" s="1"/>
      <c r="U8716" s="1"/>
      <c r="V8716" s="1"/>
      <c r="W8716" s="1"/>
      <c r="X8716" s="1"/>
      <c r="Y8716" s="1"/>
      <c r="Z8716" s="620"/>
      <c r="AA8716" s="620"/>
      <c r="AB8716" s="1"/>
      <c r="AC8716" s="1"/>
      <c r="AD8716" s="1"/>
      <c r="AE8716" s="1"/>
      <c r="AF8716" s="1"/>
      <c r="AG8716" s="1"/>
      <c r="AH8716" s="1"/>
      <c r="AI8716" s="1"/>
      <c r="AJ8716" s="1"/>
      <c r="AK8716" s="1"/>
      <c r="AL8716" s="1"/>
      <c r="AM8716" s="1"/>
    </row>
    <row r="8717" spans="1:39" x14ac:dyDescent="0.25">
      <c r="A8717" s="620"/>
      <c r="B8717" s="620"/>
      <c r="C8717" s="620"/>
      <c r="D8717" s="620"/>
      <c r="E8717" s="620"/>
      <c r="F8717" s="620"/>
      <c r="G8717" s="620"/>
      <c r="H8717" s="620"/>
      <c r="I8717" s="620"/>
      <c r="J8717" s="620"/>
      <c r="K8717" s="620"/>
      <c r="L8717" s="620"/>
      <c r="M8717" s="620"/>
      <c r="N8717" s="620"/>
      <c r="O8717" s="620"/>
      <c r="P8717" s="49"/>
      <c r="Q8717" s="1"/>
      <c r="R8717" s="620"/>
      <c r="S8717" s="1"/>
      <c r="T8717" s="1"/>
      <c r="U8717" s="1"/>
      <c r="V8717" s="1"/>
      <c r="W8717" s="1"/>
      <c r="X8717" s="1"/>
      <c r="Y8717" s="1"/>
      <c r="Z8717" s="620"/>
      <c r="AA8717" s="620"/>
      <c r="AB8717" s="1"/>
      <c r="AC8717" s="1"/>
      <c r="AD8717" s="1"/>
      <c r="AE8717" s="1"/>
      <c r="AF8717" s="1"/>
      <c r="AG8717" s="1"/>
      <c r="AH8717" s="1"/>
      <c r="AI8717" s="1"/>
      <c r="AJ8717" s="1"/>
      <c r="AK8717" s="1"/>
      <c r="AL8717" s="1"/>
      <c r="AM8717" s="1"/>
    </row>
    <row r="8718" spans="1:39" x14ac:dyDescent="0.25">
      <c r="A8718" s="620"/>
      <c r="B8718" s="620"/>
      <c r="C8718" s="620"/>
      <c r="D8718" s="620"/>
      <c r="E8718" s="620"/>
      <c r="F8718" s="620"/>
      <c r="G8718" s="620"/>
      <c r="H8718" s="620"/>
      <c r="I8718" s="620"/>
      <c r="J8718" s="620"/>
      <c r="K8718" s="620"/>
      <c r="L8718" s="620"/>
      <c r="M8718" s="620"/>
      <c r="N8718" s="620"/>
      <c r="O8718" s="620"/>
      <c r="P8718" s="49"/>
      <c r="Q8718" s="1"/>
      <c r="R8718" s="620"/>
      <c r="S8718" s="1"/>
      <c r="T8718" s="1"/>
      <c r="U8718" s="1"/>
      <c r="V8718" s="1"/>
      <c r="W8718" s="1"/>
      <c r="X8718" s="1"/>
      <c r="Y8718" s="1"/>
      <c r="Z8718" s="620"/>
      <c r="AA8718" s="620"/>
      <c r="AB8718" s="1"/>
      <c r="AC8718" s="1"/>
      <c r="AD8718" s="1"/>
      <c r="AE8718" s="1"/>
      <c r="AF8718" s="1"/>
      <c r="AG8718" s="1"/>
      <c r="AH8718" s="1"/>
      <c r="AI8718" s="1"/>
      <c r="AJ8718" s="1"/>
      <c r="AK8718" s="1"/>
      <c r="AL8718" s="1"/>
      <c r="AM8718" s="1"/>
    </row>
    <row r="8719" spans="1:39" x14ac:dyDescent="0.25">
      <c r="A8719" s="620"/>
      <c r="B8719" s="620"/>
      <c r="C8719" s="620"/>
      <c r="D8719" s="620"/>
      <c r="E8719" s="620"/>
      <c r="F8719" s="620"/>
      <c r="G8719" s="620"/>
      <c r="H8719" s="620"/>
      <c r="I8719" s="620"/>
      <c r="J8719" s="620"/>
      <c r="K8719" s="620"/>
      <c r="L8719" s="620"/>
      <c r="M8719" s="620"/>
      <c r="N8719" s="620"/>
      <c r="O8719" s="620"/>
      <c r="P8719" s="49"/>
      <c r="Q8719" s="1"/>
      <c r="R8719" s="620"/>
      <c r="S8719" s="1"/>
      <c r="T8719" s="1"/>
      <c r="U8719" s="1"/>
      <c r="V8719" s="1"/>
      <c r="W8719" s="1"/>
      <c r="X8719" s="1"/>
      <c r="Y8719" s="1"/>
      <c r="Z8719" s="620"/>
      <c r="AA8719" s="620"/>
      <c r="AB8719" s="1"/>
      <c r="AC8719" s="1"/>
      <c r="AD8719" s="1"/>
      <c r="AE8719" s="1"/>
      <c r="AF8719" s="1"/>
      <c r="AG8719" s="1"/>
      <c r="AH8719" s="1"/>
      <c r="AI8719" s="1"/>
      <c r="AJ8719" s="1"/>
      <c r="AK8719" s="1"/>
      <c r="AL8719" s="1"/>
      <c r="AM8719" s="1"/>
    </row>
    <row r="8720" spans="1:39" x14ac:dyDescent="0.25">
      <c r="A8720" s="620"/>
      <c r="B8720" s="620"/>
      <c r="C8720" s="620"/>
      <c r="D8720" s="620"/>
      <c r="E8720" s="620"/>
      <c r="F8720" s="620"/>
      <c r="G8720" s="620"/>
      <c r="H8720" s="620"/>
      <c r="I8720" s="620"/>
      <c r="J8720" s="620"/>
      <c r="K8720" s="620"/>
      <c r="L8720" s="620"/>
      <c r="M8720" s="620"/>
      <c r="N8720" s="620"/>
      <c r="O8720" s="620"/>
      <c r="P8720" s="49"/>
      <c r="Q8720" s="1"/>
      <c r="R8720" s="620"/>
      <c r="S8720" s="1"/>
      <c r="T8720" s="1"/>
      <c r="U8720" s="1"/>
      <c r="V8720" s="1"/>
      <c r="W8720" s="1"/>
      <c r="X8720" s="1"/>
      <c r="Y8720" s="1"/>
      <c r="Z8720" s="620"/>
      <c r="AA8720" s="620"/>
      <c r="AB8720" s="1"/>
      <c r="AC8720" s="1"/>
      <c r="AD8720" s="1"/>
      <c r="AE8720" s="1"/>
      <c r="AF8720" s="1"/>
      <c r="AG8720" s="1"/>
      <c r="AH8720" s="1"/>
      <c r="AI8720" s="1"/>
      <c r="AJ8720" s="1"/>
      <c r="AK8720" s="1"/>
      <c r="AL8720" s="1"/>
      <c r="AM8720" s="1"/>
    </row>
    <row r="8721" spans="1:39" x14ac:dyDescent="0.25">
      <c r="A8721" s="620"/>
      <c r="B8721" s="620"/>
      <c r="C8721" s="620"/>
      <c r="D8721" s="620"/>
      <c r="E8721" s="620"/>
      <c r="F8721" s="620"/>
      <c r="G8721" s="620"/>
      <c r="H8721" s="620"/>
      <c r="I8721" s="620"/>
      <c r="J8721" s="620"/>
      <c r="K8721" s="620"/>
      <c r="L8721" s="620"/>
      <c r="M8721" s="620"/>
      <c r="N8721" s="620"/>
      <c r="O8721" s="620"/>
      <c r="P8721" s="49"/>
      <c r="Q8721" s="1"/>
      <c r="R8721" s="620"/>
      <c r="S8721" s="1"/>
      <c r="T8721" s="1"/>
      <c r="U8721" s="1"/>
      <c r="V8721" s="1"/>
      <c r="W8721" s="1"/>
      <c r="X8721" s="1"/>
      <c r="Y8721" s="1"/>
      <c r="Z8721" s="620"/>
      <c r="AA8721" s="620"/>
      <c r="AB8721" s="1"/>
      <c r="AC8721" s="1"/>
      <c r="AD8721" s="1"/>
      <c r="AE8721" s="1"/>
      <c r="AF8721" s="1"/>
      <c r="AG8721" s="1"/>
      <c r="AH8721" s="1"/>
      <c r="AI8721" s="1"/>
      <c r="AJ8721" s="1"/>
      <c r="AK8721" s="1"/>
      <c r="AL8721" s="1"/>
      <c r="AM8721" s="1"/>
    </row>
    <row r="8722" spans="1:39" x14ac:dyDescent="0.25">
      <c r="A8722" s="620"/>
      <c r="B8722" s="620"/>
      <c r="C8722" s="620"/>
      <c r="D8722" s="620"/>
      <c r="E8722" s="620"/>
      <c r="F8722" s="620"/>
      <c r="G8722" s="620"/>
      <c r="H8722" s="620"/>
      <c r="I8722" s="620"/>
      <c r="J8722" s="620"/>
      <c r="K8722" s="620"/>
      <c r="L8722" s="620"/>
      <c r="M8722" s="620"/>
      <c r="N8722" s="620"/>
      <c r="O8722" s="620"/>
      <c r="P8722" s="49"/>
      <c r="Q8722" s="1"/>
      <c r="R8722" s="620"/>
      <c r="S8722" s="1"/>
      <c r="T8722" s="1"/>
      <c r="U8722" s="1"/>
      <c r="V8722" s="1"/>
      <c r="W8722" s="1"/>
      <c r="X8722" s="1"/>
      <c r="Y8722" s="1"/>
      <c r="Z8722" s="620"/>
      <c r="AA8722" s="620"/>
      <c r="AB8722" s="1"/>
      <c r="AC8722" s="1"/>
      <c r="AD8722" s="1"/>
      <c r="AE8722" s="1"/>
      <c r="AF8722" s="1"/>
      <c r="AG8722" s="1"/>
      <c r="AH8722" s="1"/>
      <c r="AI8722" s="1"/>
      <c r="AJ8722" s="1"/>
      <c r="AK8722" s="1"/>
      <c r="AL8722" s="1"/>
      <c r="AM8722" s="1"/>
    </row>
    <row r="8723" spans="1:39" x14ac:dyDescent="0.25">
      <c r="A8723" s="620"/>
      <c r="B8723" s="620"/>
      <c r="C8723" s="620"/>
      <c r="D8723" s="620"/>
      <c r="E8723" s="620"/>
      <c r="F8723" s="620"/>
      <c r="G8723" s="620"/>
      <c r="H8723" s="620"/>
      <c r="I8723" s="620"/>
      <c r="J8723" s="620"/>
      <c r="K8723" s="620"/>
      <c r="L8723" s="620"/>
      <c r="M8723" s="620"/>
      <c r="N8723" s="620"/>
      <c r="O8723" s="620"/>
      <c r="P8723" s="49"/>
      <c r="Q8723" s="1"/>
      <c r="R8723" s="620"/>
      <c r="S8723" s="1"/>
      <c r="T8723" s="1"/>
      <c r="U8723" s="1"/>
      <c r="V8723" s="1"/>
      <c r="W8723" s="1"/>
      <c r="X8723" s="1"/>
      <c r="Y8723" s="1"/>
      <c r="Z8723" s="620"/>
      <c r="AA8723" s="620"/>
      <c r="AB8723" s="1"/>
      <c r="AC8723" s="1"/>
      <c r="AD8723" s="1"/>
      <c r="AE8723" s="1"/>
      <c r="AF8723" s="1"/>
      <c r="AG8723" s="1"/>
      <c r="AH8723" s="1"/>
      <c r="AI8723" s="1"/>
      <c r="AJ8723" s="1"/>
      <c r="AK8723" s="1"/>
      <c r="AL8723" s="1"/>
      <c r="AM8723" s="1"/>
    </row>
    <row r="8724" spans="1:39" x14ac:dyDescent="0.25">
      <c r="A8724" s="620"/>
      <c r="B8724" s="620"/>
      <c r="C8724" s="620"/>
      <c r="D8724" s="620"/>
      <c r="E8724" s="620"/>
      <c r="F8724" s="620"/>
      <c r="G8724" s="620"/>
      <c r="H8724" s="620"/>
      <c r="I8724" s="620"/>
      <c r="J8724" s="620"/>
      <c r="K8724" s="620"/>
      <c r="L8724" s="620"/>
      <c r="M8724" s="620"/>
      <c r="N8724" s="620"/>
      <c r="O8724" s="620"/>
      <c r="P8724" s="49"/>
      <c r="Q8724" s="1"/>
      <c r="R8724" s="620"/>
      <c r="S8724" s="1"/>
      <c r="T8724" s="1"/>
      <c r="U8724" s="1"/>
      <c r="V8724" s="1"/>
      <c r="W8724" s="1"/>
      <c r="X8724" s="1"/>
      <c r="Y8724" s="1"/>
      <c r="Z8724" s="620"/>
      <c r="AA8724" s="620"/>
      <c r="AB8724" s="1"/>
      <c r="AC8724" s="1"/>
      <c r="AD8724" s="1"/>
      <c r="AE8724" s="1"/>
      <c r="AF8724" s="1"/>
      <c r="AG8724" s="1"/>
      <c r="AH8724" s="1"/>
      <c r="AI8724" s="1"/>
      <c r="AJ8724" s="1"/>
      <c r="AK8724" s="1"/>
      <c r="AL8724" s="1"/>
      <c r="AM8724" s="1"/>
    </row>
    <row r="8725" spans="1:39" x14ac:dyDescent="0.25">
      <c r="A8725" s="620"/>
      <c r="B8725" s="620"/>
      <c r="C8725" s="620"/>
      <c r="D8725" s="620"/>
      <c r="E8725" s="620"/>
      <c r="F8725" s="620"/>
      <c r="G8725" s="620"/>
      <c r="H8725" s="620"/>
      <c r="I8725" s="620"/>
      <c r="J8725" s="620"/>
      <c r="K8725" s="620"/>
      <c r="L8725" s="620"/>
      <c r="M8725" s="620"/>
      <c r="N8725" s="620"/>
      <c r="O8725" s="620"/>
      <c r="P8725" s="49"/>
      <c r="Q8725" s="1"/>
      <c r="R8725" s="620"/>
      <c r="S8725" s="1"/>
      <c r="T8725" s="1"/>
      <c r="U8725" s="1"/>
      <c r="V8725" s="1"/>
      <c r="W8725" s="1"/>
      <c r="X8725" s="1"/>
      <c r="Y8725" s="1"/>
      <c r="Z8725" s="620"/>
      <c r="AA8725" s="620"/>
      <c r="AB8725" s="1"/>
      <c r="AC8725" s="1"/>
      <c r="AD8725" s="1"/>
      <c r="AE8725" s="1"/>
      <c r="AF8725" s="1"/>
      <c r="AG8725" s="1"/>
      <c r="AH8725" s="1"/>
      <c r="AI8725" s="1"/>
      <c r="AJ8725" s="1"/>
      <c r="AK8725" s="1"/>
      <c r="AL8725" s="1"/>
      <c r="AM8725" s="1"/>
    </row>
    <row r="8726" spans="1:39" x14ac:dyDescent="0.25">
      <c r="A8726" s="620"/>
      <c r="B8726" s="620"/>
      <c r="C8726" s="620"/>
      <c r="D8726" s="620"/>
      <c r="E8726" s="620"/>
      <c r="F8726" s="620"/>
      <c r="G8726" s="620"/>
      <c r="H8726" s="620"/>
      <c r="I8726" s="620"/>
      <c r="J8726" s="620"/>
      <c r="K8726" s="620"/>
      <c r="L8726" s="620"/>
      <c r="M8726" s="620"/>
      <c r="N8726" s="620"/>
      <c r="O8726" s="620"/>
      <c r="P8726" s="49"/>
      <c r="Q8726" s="1"/>
      <c r="R8726" s="620"/>
      <c r="S8726" s="1"/>
      <c r="T8726" s="1"/>
      <c r="U8726" s="1"/>
      <c r="V8726" s="1"/>
      <c r="W8726" s="1"/>
      <c r="X8726" s="1"/>
      <c r="Y8726" s="1"/>
      <c r="Z8726" s="620"/>
      <c r="AA8726" s="620"/>
      <c r="AB8726" s="1"/>
      <c r="AC8726" s="1"/>
      <c r="AD8726" s="1"/>
      <c r="AE8726" s="1"/>
      <c r="AF8726" s="1"/>
      <c r="AG8726" s="1"/>
      <c r="AH8726" s="1"/>
      <c r="AI8726" s="1"/>
      <c r="AJ8726" s="1"/>
      <c r="AK8726" s="1"/>
      <c r="AL8726" s="1"/>
      <c r="AM8726" s="1"/>
    </row>
    <row r="8727" spans="1:39" x14ac:dyDescent="0.25">
      <c r="A8727" s="620"/>
      <c r="B8727" s="620"/>
      <c r="C8727" s="620"/>
      <c r="D8727" s="620"/>
      <c r="E8727" s="620"/>
      <c r="F8727" s="620"/>
      <c r="G8727" s="620"/>
      <c r="H8727" s="620"/>
      <c r="I8727" s="620"/>
      <c r="J8727" s="620"/>
      <c r="K8727" s="620"/>
      <c r="L8727" s="620"/>
      <c r="M8727" s="620"/>
      <c r="N8727" s="620"/>
      <c r="O8727" s="620"/>
      <c r="P8727" s="49"/>
      <c r="Q8727" s="1"/>
      <c r="R8727" s="620"/>
      <c r="S8727" s="1"/>
      <c r="T8727" s="1"/>
      <c r="U8727" s="1"/>
      <c r="V8727" s="1"/>
      <c r="W8727" s="1"/>
      <c r="X8727" s="1"/>
      <c r="Y8727" s="1"/>
      <c r="Z8727" s="620"/>
      <c r="AA8727" s="620"/>
      <c r="AB8727" s="1"/>
      <c r="AC8727" s="1"/>
      <c r="AD8727" s="1"/>
      <c r="AE8727" s="1"/>
      <c r="AF8727" s="1"/>
      <c r="AG8727" s="1"/>
      <c r="AH8727" s="1"/>
      <c r="AI8727" s="1"/>
      <c r="AJ8727" s="1"/>
      <c r="AK8727" s="1"/>
      <c r="AL8727" s="1"/>
      <c r="AM8727" s="1"/>
    </row>
    <row r="8728" spans="1:39" x14ac:dyDescent="0.25">
      <c r="A8728" s="620"/>
      <c r="B8728" s="620"/>
      <c r="C8728" s="620"/>
      <c r="D8728" s="620"/>
      <c r="E8728" s="620"/>
      <c r="F8728" s="620"/>
      <c r="G8728" s="620"/>
      <c r="H8728" s="620"/>
      <c r="I8728" s="620"/>
      <c r="J8728" s="620"/>
      <c r="K8728" s="620"/>
      <c r="L8728" s="620"/>
      <c r="M8728" s="620"/>
      <c r="N8728" s="620"/>
      <c r="O8728" s="620"/>
      <c r="P8728" s="49"/>
      <c r="Q8728" s="1"/>
      <c r="R8728" s="620"/>
      <c r="S8728" s="1"/>
      <c r="T8728" s="1"/>
      <c r="U8728" s="1"/>
      <c r="V8728" s="1"/>
      <c r="W8728" s="1"/>
      <c r="X8728" s="1"/>
      <c r="Y8728" s="1"/>
      <c r="Z8728" s="620"/>
      <c r="AA8728" s="620"/>
      <c r="AB8728" s="1"/>
      <c r="AC8728" s="1"/>
      <c r="AD8728" s="1"/>
      <c r="AE8728" s="1"/>
      <c r="AF8728" s="1"/>
      <c r="AG8728" s="1"/>
      <c r="AH8728" s="1"/>
      <c r="AI8728" s="1"/>
      <c r="AJ8728" s="1"/>
      <c r="AK8728" s="1"/>
      <c r="AL8728" s="1"/>
      <c r="AM8728" s="1"/>
    </row>
    <row r="8729" spans="1:39" x14ac:dyDescent="0.25">
      <c r="A8729" s="620"/>
      <c r="B8729" s="620"/>
      <c r="C8729" s="620"/>
      <c r="D8729" s="620"/>
      <c r="E8729" s="620"/>
      <c r="F8729" s="620"/>
      <c r="G8729" s="620"/>
      <c r="H8729" s="620"/>
      <c r="I8729" s="620"/>
      <c r="J8729" s="620"/>
      <c r="K8729" s="620"/>
      <c r="L8729" s="620"/>
      <c r="M8729" s="620"/>
      <c r="N8729" s="620"/>
      <c r="O8729" s="620"/>
      <c r="P8729" s="49"/>
      <c r="Q8729" s="1"/>
      <c r="R8729" s="620"/>
      <c r="S8729" s="1"/>
      <c r="T8729" s="1"/>
      <c r="U8729" s="1"/>
      <c r="V8729" s="1"/>
      <c r="W8729" s="1"/>
      <c r="X8729" s="1"/>
      <c r="Y8729" s="1"/>
      <c r="Z8729" s="620"/>
      <c r="AA8729" s="620"/>
      <c r="AB8729" s="1"/>
      <c r="AC8729" s="1"/>
      <c r="AD8729" s="1"/>
      <c r="AE8729" s="1"/>
      <c r="AF8729" s="1"/>
      <c r="AG8729" s="1"/>
      <c r="AH8729" s="1"/>
      <c r="AI8729" s="1"/>
      <c r="AJ8729" s="1"/>
      <c r="AK8729" s="1"/>
      <c r="AL8729" s="1"/>
      <c r="AM8729" s="1"/>
    </row>
    <row r="8730" spans="1:39" x14ac:dyDescent="0.25">
      <c r="A8730" s="620"/>
      <c r="B8730" s="620"/>
      <c r="C8730" s="620"/>
      <c r="D8730" s="620"/>
      <c r="E8730" s="620"/>
      <c r="F8730" s="620"/>
      <c r="G8730" s="620"/>
      <c r="H8730" s="620"/>
      <c r="I8730" s="620"/>
      <c r="J8730" s="620"/>
      <c r="K8730" s="620"/>
      <c r="L8730" s="620"/>
      <c r="M8730" s="620"/>
      <c r="N8730" s="620"/>
      <c r="O8730" s="620"/>
      <c r="P8730" s="49"/>
      <c r="Q8730" s="1"/>
      <c r="R8730" s="620"/>
      <c r="S8730" s="1"/>
      <c r="T8730" s="1"/>
      <c r="U8730" s="1"/>
      <c r="V8730" s="1"/>
      <c r="W8730" s="1"/>
      <c r="X8730" s="1"/>
      <c r="Y8730" s="1"/>
      <c r="Z8730" s="620"/>
      <c r="AA8730" s="620"/>
      <c r="AB8730" s="1"/>
      <c r="AC8730" s="1"/>
      <c r="AD8730" s="1"/>
      <c r="AE8730" s="1"/>
      <c r="AF8730" s="1"/>
      <c r="AG8730" s="1"/>
      <c r="AH8730" s="1"/>
      <c r="AI8730" s="1"/>
      <c r="AJ8730" s="1"/>
      <c r="AK8730" s="1"/>
      <c r="AL8730" s="1"/>
      <c r="AM8730" s="1"/>
    </row>
    <row r="8731" spans="1:39" x14ac:dyDescent="0.25">
      <c r="A8731" s="620"/>
      <c r="B8731" s="620"/>
      <c r="C8731" s="620"/>
      <c r="D8731" s="620"/>
      <c r="E8731" s="620"/>
      <c r="F8731" s="620"/>
      <c r="G8731" s="620"/>
      <c r="H8731" s="620"/>
      <c r="I8731" s="620"/>
      <c r="J8731" s="620"/>
      <c r="K8731" s="620"/>
      <c r="L8731" s="620"/>
      <c r="M8731" s="620"/>
      <c r="N8731" s="620"/>
      <c r="O8731" s="620"/>
      <c r="P8731" s="49"/>
      <c r="Q8731" s="1"/>
      <c r="R8731" s="620"/>
      <c r="S8731" s="1"/>
      <c r="T8731" s="1"/>
      <c r="U8731" s="1"/>
      <c r="V8731" s="1"/>
      <c r="W8731" s="1"/>
      <c r="X8731" s="1"/>
      <c r="Y8731" s="1"/>
      <c r="Z8731" s="620"/>
      <c r="AA8731" s="620"/>
      <c r="AB8731" s="1"/>
      <c r="AC8731" s="1"/>
      <c r="AD8731" s="1"/>
      <c r="AE8731" s="1"/>
      <c r="AF8731" s="1"/>
      <c r="AG8731" s="1"/>
      <c r="AH8731" s="1"/>
      <c r="AI8731" s="1"/>
      <c r="AJ8731" s="1"/>
      <c r="AK8731" s="1"/>
      <c r="AL8731" s="1"/>
      <c r="AM8731" s="1"/>
    </row>
    <row r="8732" spans="1:39" x14ac:dyDescent="0.25">
      <c r="A8732" s="620"/>
      <c r="B8732" s="620"/>
      <c r="C8732" s="620"/>
      <c r="D8732" s="620"/>
      <c r="E8732" s="620"/>
      <c r="F8732" s="620"/>
      <c r="G8732" s="620"/>
      <c r="H8732" s="620"/>
      <c r="I8732" s="620"/>
      <c r="J8732" s="620"/>
      <c r="K8732" s="620"/>
      <c r="L8732" s="620"/>
      <c r="M8732" s="620"/>
      <c r="N8732" s="620"/>
      <c r="O8732" s="620"/>
      <c r="P8732" s="49"/>
      <c r="Q8732" s="1"/>
      <c r="R8732" s="620"/>
      <c r="S8732" s="1"/>
      <c r="T8732" s="1"/>
      <c r="U8732" s="1"/>
      <c r="V8732" s="1"/>
      <c r="W8732" s="1"/>
      <c r="X8732" s="1"/>
      <c r="Y8732" s="1"/>
      <c r="Z8732" s="620"/>
      <c r="AA8732" s="620"/>
      <c r="AB8732" s="1"/>
      <c r="AC8732" s="1"/>
      <c r="AD8732" s="1"/>
      <c r="AE8732" s="1"/>
      <c r="AF8732" s="1"/>
      <c r="AG8732" s="1"/>
      <c r="AH8732" s="1"/>
      <c r="AI8732" s="1"/>
      <c r="AJ8732" s="1"/>
      <c r="AK8732" s="1"/>
      <c r="AL8732" s="1"/>
      <c r="AM8732" s="1"/>
    </row>
    <row r="8733" spans="1:39" x14ac:dyDescent="0.25">
      <c r="A8733" s="620"/>
      <c r="B8733" s="620"/>
      <c r="C8733" s="620"/>
      <c r="D8733" s="620"/>
      <c r="E8733" s="620"/>
      <c r="F8733" s="620"/>
      <c r="G8733" s="620"/>
      <c r="H8733" s="620"/>
      <c r="I8733" s="620"/>
      <c r="J8733" s="620"/>
      <c r="K8733" s="620"/>
      <c r="L8733" s="620"/>
      <c r="M8733" s="620"/>
      <c r="N8733" s="620"/>
      <c r="O8733" s="620"/>
      <c r="P8733" s="49"/>
      <c r="Q8733" s="1"/>
      <c r="R8733" s="620"/>
      <c r="S8733" s="1"/>
      <c r="T8733" s="1"/>
      <c r="U8733" s="1"/>
      <c r="V8733" s="1"/>
      <c r="W8733" s="1"/>
      <c r="X8733" s="1"/>
      <c r="Y8733" s="1"/>
      <c r="Z8733" s="620"/>
      <c r="AA8733" s="620"/>
      <c r="AB8733" s="1"/>
      <c r="AC8733" s="1"/>
      <c r="AD8733" s="1"/>
      <c r="AE8733" s="1"/>
      <c r="AF8733" s="1"/>
      <c r="AG8733" s="1"/>
      <c r="AH8733" s="1"/>
      <c r="AI8733" s="1"/>
      <c r="AJ8733" s="1"/>
      <c r="AK8733" s="1"/>
      <c r="AL8733" s="1"/>
      <c r="AM8733" s="1"/>
    </row>
    <row r="8734" spans="1:39" x14ac:dyDescent="0.25">
      <c r="A8734" s="620"/>
      <c r="B8734" s="620"/>
      <c r="C8734" s="620"/>
      <c r="D8734" s="620"/>
      <c r="E8734" s="620"/>
      <c r="F8734" s="620"/>
      <c r="G8734" s="620"/>
      <c r="H8734" s="620"/>
      <c r="I8734" s="620"/>
      <c r="J8734" s="620"/>
      <c r="K8734" s="620"/>
      <c r="L8734" s="620"/>
      <c r="M8734" s="620"/>
      <c r="N8734" s="620"/>
      <c r="O8734" s="620"/>
      <c r="P8734" s="49"/>
      <c r="Q8734" s="1"/>
      <c r="R8734" s="620"/>
      <c r="S8734" s="1"/>
      <c r="T8734" s="1"/>
      <c r="U8734" s="1"/>
      <c r="V8734" s="1"/>
      <c r="W8734" s="1"/>
      <c r="X8734" s="1"/>
      <c r="Y8734" s="1"/>
      <c r="Z8734" s="620"/>
      <c r="AA8734" s="620"/>
      <c r="AB8734" s="1"/>
      <c r="AC8734" s="1"/>
      <c r="AD8734" s="1"/>
      <c r="AE8734" s="1"/>
      <c r="AF8734" s="1"/>
      <c r="AG8734" s="1"/>
      <c r="AH8734" s="1"/>
      <c r="AI8734" s="1"/>
      <c r="AJ8734" s="1"/>
      <c r="AK8734" s="1"/>
      <c r="AL8734" s="1"/>
      <c r="AM8734" s="1"/>
    </row>
    <row r="8735" spans="1:39" x14ac:dyDescent="0.25">
      <c r="A8735" s="620"/>
      <c r="B8735" s="620"/>
      <c r="C8735" s="620"/>
      <c r="D8735" s="620"/>
      <c r="E8735" s="620"/>
      <c r="F8735" s="620"/>
      <c r="G8735" s="620"/>
      <c r="H8735" s="620"/>
      <c r="I8735" s="620"/>
      <c r="J8735" s="620"/>
      <c r="K8735" s="620"/>
      <c r="L8735" s="620"/>
      <c r="M8735" s="620"/>
      <c r="N8735" s="620"/>
      <c r="O8735" s="620"/>
      <c r="P8735" s="49"/>
      <c r="Q8735" s="1"/>
      <c r="R8735" s="620"/>
      <c r="S8735" s="1"/>
      <c r="T8735" s="1"/>
      <c r="U8735" s="1"/>
      <c r="V8735" s="1"/>
      <c r="W8735" s="1"/>
      <c r="X8735" s="1"/>
      <c r="Y8735" s="1"/>
      <c r="Z8735" s="620"/>
      <c r="AA8735" s="620"/>
      <c r="AB8735" s="1"/>
      <c r="AC8735" s="1"/>
      <c r="AD8735" s="1"/>
      <c r="AE8735" s="1"/>
      <c r="AF8735" s="1"/>
      <c r="AG8735" s="1"/>
      <c r="AH8735" s="1"/>
      <c r="AI8735" s="1"/>
      <c r="AJ8735" s="1"/>
      <c r="AK8735" s="1"/>
      <c r="AL8735" s="1"/>
      <c r="AM8735" s="1"/>
    </row>
    <row r="8736" spans="1:39" x14ac:dyDescent="0.25">
      <c r="A8736" s="620"/>
      <c r="B8736" s="620"/>
      <c r="C8736" s="620"/>
      <c r="D8736" s="620"/>
      <c r="E8736" s="620"/>
      <c r="F8736" s="620"/>
      <c r="G8736" s="620"/>
      <c r="H8736" s="620"/>
      <c r="I8736" s="620"/>
      <c r="J8736" s="620"/>
      <c r="K8736" s="620"/>
      <c r="L8736" s="620"/>
      <c r="M8736" s="620"/>
      <c r="N8736" s="620"/>
      <c r="O8736" s="620"/>
      <c r="P8736" s="49"/>
      <c r="Q8736" s="1"/>
      <c r="R8736" s="620"/>
      <c r="S8736" s="1"/>
      <c r="T8736" s="1"/>
      <c r="U8736" s="1"/>
      <c r="V8736" s="1"/>
      <c r="W8736" s="1"/>
      <c r="X8736" s="1"/>
      <c r="Y8736" s="1"/>
      <c r="Z8736" s="620"/>
      <c r="AA8736" s="620"/>
      <c r="AB8736" s="1"/>
      <c r="AC8736" s="1"/>
      <c r="AD8736" s="1"/>
      <c r="AE8736" s="1"/>
      <c r="AF8736" s="1"/>
      <c r="AG8736" s="1"/>
      <c r="AH8736" s="1"/>
      <c r="AI8736" s="1"/>
      <c r="AJ8736" s="1"/>
      <c r="AK8736" s="1"/>
      <c r="AL8736" s="1"/>
      <c r="AM8736" s="1"/>
    </row>
    <row r="8737" spans="1:39" x14ac:dyDescent="0.25">
      <c r="A8737" s="620"/>
      <c r="B8737" s="620"/>
      <c r="C8737" s="620"/>
      <c r="D8737" s="620"/>
      <c r="E8737" s="620"/>
      <c r="F8737" s="620"/>
      <c r="G8737" s="620"/>
      <c r="H8737" s="620"/>
      <c r="I8737" s="620"/>
      <c r="J8737" s="620"/>
      <c r="K8737" s="620"/>
      <c r="L8737" s="620"/>
      <c r="M8737" s="620"/>
      <c r="N8737" s="620"/>
      <c r="O8737" s="620"/>
      <c r="P8737" s="49"/>
      <c r="Q8737" s="1"/>
      <c r="R8737" s="620"/>
      <c r="S8737" s="1"/>
      <c r="T8737" s="1"/>
      <c r="U8737" s="1"/>
      <c r="V8737" s="1"/>
      <c r="W8737" s="1"/>
      <c r="X8737" s="1"/>
      <c r="Y8737" s="1"/>
      <c r="Z8737" s="620"/>
      <c r="AA8737" s="620"/>
      <c r="AB8737" s="1"/>
      <c r="AC8737" s="1"/>
      <c r="AD8737" s="1"/>
      <c r="AE8737" s="1"/>
      <c r="AF8737" s="1"/>
      <c r="AG8737" s="1"/>
      <c r="AH8737" s="1"/>
      <c r="AI8737" s="1"/>
      <c r="AJ8737" s="1"/>
      <c r="AK8737" s="1"/>
      <c r="AL8737" s="1"/>
      <c r="AM8737" s="1"/>
    </row>
    <row r="8738" spans="1:39" x14ac:dyDescent="0.25">
      <c r="A8738" s="620"/>
      <c r="B8738" s="620"/>
      <c r="C8738" s="620"/>
      <c r="D8738" s="620"/>
      <c r="E8738" s="620"/>
      <c r="F8738" s="620"/>
      <c r="G8738" s="620"/>
      <c r="H8738" s="620"/>
      <c r="I8738" s="620"/>
      <c r="J8738" s="620"/>
      <c r="K8738" s="620"/>
      <c r="L8738" s="620"/>
      <c r="M8738" s="620"/>
      <c r="N8738" s="620"/>
      <c r="O8738" s="620"/>
      <c r="P8738" s="49"/>
      <c r="Q8738" s="1"/>
      <c r="R8738" s="620"/>
      <c r="S8738" s="1"/>
      <c r="T8738" s="1"/>
      <c r="U8738" s="1"/>
      <c r="V8738" s="1"/>
      <c r="W8738" s="1"/>
      <c r="X8738" s="1"/>
      <c r="Y8738" s="1"/>
      <c r="Z8738" s="620"/>
      <c r="AA8738" s="620"/>
      <c r="AB8738" s="1"/>
      <c r="AC8738" s="1"/>
      <c r="AD8738" s="1"/>
      <c r="AE8738" s="1"/>
      <c r="AF8738" s="1"/>
      <c r="AG8738" s="1"/>
      <c r="AH8738" s="1"/>
      <c r="AI8738" s="1"/>
      <c r="AJ8738" s="1"/>
      <c r="AK8738" s="1"/>
      <c r="AL8738" s="1"/>
      <c r="AM8738" s="1"/>
    </row>
    <row r="8739" spans="1:39" x14ac:dyDescent="0.25">
      <c r="A8739" s="620"/>
      <c r="B8739" s="620"/>
      <c r="C8739" s="620"/>
      <c r="D8739" s="620"/>
      <c r="E8739" s="620"/>
      <c r="F8739" s="620"/>
      <c r="G8739" s="620"/>
      <c r="H8739" s="620"/>
      <c r="I8739" s="620"/>
      <c r="J8739" s="620"/>
      <c r="K8739" s="620"/>
      <c r="L8739" s="620"/>
      <c r="M8739" s="620"/>
      <c r="N8739" s="620"/>
      <c r="O8739" s="620"/>
      <c r="P8739" s="49"/>
      <c r="Q8739" s="1"/>
      <c r="R8739" s="620"/>
      <c r="S8739" s="1"/>
      <c r="T8739" s="1"/>
      <c r="U8739" s="1"/>
      <c r="V8739" s="1"/>
      <c r="W8739" s="1"/>
      <c r="X8739" s="1"/>
      <c r="Y8739" s="1"/>
      <c r="Z8739" s="620"/>
      <c r="AA8739" s="620"/>
      <c r="AB8739" s="1"/>
      <c r="AC8739" s="1"/>
      <c r="AD8739" s="1"/>
      <c r="AE8739" s="1"/>
      <c r="AF8739" s="1"/>
      <c r="AG8739" s="1"/>
      <c r="AH8739" s="1"/>
      <c r="AI8739" s="1"/>
      <c r="AJ8739" s="1"/>
      <c r="AK8739" s="1"/>
      <c r="AL8739" s="1"/>
      <c r="AM8739" s="1"/>
    </row>
    <row r="8740" spans="1:39" x14ac:dyDescent="0.25">
      <c r="A8740" s="620"/>
      <c r="B8740" s="620"/>
      <c r="C8740" s="620"/>
      <c r="D8740" s="620"/>
      <c r="E8740" s="620"/>
      <c r="F8740" s="620"/>
      <c r="G8740" s="620"/>
      <c r="H8740" s="620"/>
      <c r="I8740" s="620"/>
      <c r="J8740" s="620"/>
      <c r="K8740" s="620"/>
      <c r="L8740" s="620"/>
      <c r="M8740" s="620"/>
      <c r="N8740" s="620"/>
      <c r="O8740" s="620"/>
      <c r="P8740" s="49"/>
      <c r="Q8740" s="1"/>
      <c r="R8740" s="620"/>
      <c r="S8740" s="1"/>
      <c r="T8740" s="1"/>
      <c r="U8740" s="1"/>
      <c r="V8740" s="1"/>
      <c r="W8740" s="1"/>
      <c r="X8740" s="1"/>
      <c r="Y8740" s="1"/>
      <c r="Z8740" s="620"/>
      <c r="AA8740" s="620"/>
      <c r="AB8740" s="1"/>
      <c r="AC8740" s="1"/>
      <c r="AD8740" s="1"/>
      <c r="AE8740" s="1"/>
      <c r="AF8740" s="1"/>
      <c r="AG8740" s="1"/>
      <c r="AH8740" s="1"/>
      <c r="AI8740" s="1"/>
      <c r="AJ8740" s="1"/>
      <c r="AK8740" s="1"/>
      <c r="AL8740" s="1"/>
      <c r="AM8740" s="1"/>
    </row>
    <row r="8741" spans="1:39" x14ac:dyDescent="0.25">
      <c r="A8741" s="620"/>
      <c r="B8741" s="620"/>
      <c r="C8741" s="620"/>
      <c r="D8741" s="620"/>
      <c r="E8741" s="620"/>
      <c r="F8741" s="620"/>
      <c r="G8741" s="620"/>
      <c r="H8741" s="620"/>
      <c r="I8741" s="620"/>
      <c r="J8741" s="620"/>
      <c r="K8741" s="620"/>
      <c r="L8741" s="620"/>
      <c r="M8741" s="620"/>
      <c r="N8741" s="620"/>
      <c r="O8741" s="620"/>
      <c r="P8741" s="49"/>
      <c r="Q8741" s="1"/>
      <c r="R8741" s="620"/>
      <c r="S8741" s="1"/>
      <c r="T8741" s="1"/>
      <c r="U8741" s="1"/>
      <c r="V8741" s="1"/>
      <c r="W8741" s="1"/>
      <c r="X8741" s="1"/>
      <c r="Y8741" s="1"/>
      <c r="Z8741" s="620"/>
      <c r="AA8741" s="620"/>
      <c r="AB8741" s="1"/>
      <c r="AC8741" s="1"/>
      <c r="AD8741" s="1"/>
      <c r="AE8741" s="1"/>
      <c r="AF8741" s="1"/>
      <c r="AG8741" s="1"/>
      <c r="AH8741" s="1"/>
      <c r="AI8741" s="1"/>
      <c r="AJ8741" s="1"/>
      <c r="AK8741" s="1"/>
      <c r="AL8741" s="1"/>
      <c r="AM8741" s="1"/>
    </row>
    <row r="8742" spans="1:39" x14ac:dyDescent="0.25">
      <c r="A8742" s="620"/>
      <c r="B8742" s="620"/>
      <c r="C8742" s="620"/>
      <c r="D8742" s="620"/>
      <c r="E8742" s="620"/>
      <c r="F8742" s="620"/>
      <c r="G8742" s="620"/>
      <c r="H8742" s="620"/>
      <c r="I8742" s="620"/>
      <c r="J8742" s="620"/>
      <c r="K8742" s="620"/>
      <c r="L8742" s="620"/>
      <c r="M8742" s="620"/>
      <c r="N8742" s="620"/>
      <c r="O8742" s="620"/>
      <c r="P8742" s="49"/>
      <c r="Q8742" s="1"/>
      <c r="R8742" s="620"/>
      <c r="S8742" s="1"/>
      <c r="T8742" s="1"/>
      <c r="U8742" s="1"/>
      <c r="V8742" s="1"/>
      <c r="W8742" s="1"/>
      <c r="X8742" s="1"/>
      <c r="Y8742" s="1"/>
      <c r="Z8742" s="620"/>
      <c r="AA8742" s="620"/>
      <c r="AB8742" s="1"/>
      <c r="AC8742" s="1"/>
      <c r="AD8742" s="1"/>
      <c r="AE8742" s="1"/>
      <c r="AF8742" s="1"/>
      <c r="AG8742" s="1"/>
      <c r="AH8742" s="1"/>
      <c r="AI8742" s="1"/>
      <c r="AJ8742" s="1"/>
      <c r="AK8742" s="1"/>
      <c r="AL8742" s="1"/>
      <c r="AM8742" s="1"/>
    </row>
    <row r="8743" spans="1:39" x14ac:dyDescent="0.25">
      <c r="A8743" s="620"/>
      <c r="B8743" s="620"/>
      <c r="C8743" s="620"/>
      <c r="D8743" s="620"/>
      <c r="E8743" s="620"/>
      <c r="F8743" s="620"/>
      <c r="G8743" s="620"/>
      <c r="H8743" s="620"/>
      <c r="I8743" s="620"/>
      <c r="J8743" s="620"/>
      <c r="K8743" s="620"/>
      <c r="L8743" s="620"/>
      <c r="M8743" s="620"/>
      <c r="N8743" s="620"/>
      <c r="O8743" s="620"/>
      <c r="P8743" s="49"/>
      <c r="Q8743" s="1"/>
      <c r="R8743" s="620"/>
      <c r="S8743" s="1"/>
      <c r="T8743" s="1"/>
      <c r="U8743" s="1"/>
      <c r="V8743" s="1"/>
      <c r="W8743" s="1"/>
      <c r="X8743" s="1"/>
      <c r="Y8743" s="1"/>
      <c r="Z8743" s="620"/>
      <c r="AA8743" s="620"/>
      <c r="AB8743" s="1"/>
      <c r="AC8743" s="1"/>
      <c r="AD8743" s="1"/>
      <c r="AE8743" s="1"/>
      <c r="AF8743" s="1"/>
      <c r="AG8743" s="1"/>
      <c r="AH8743" s="1"/>
      <c r="AI8743" s="1"/>
      <c r="AJ8743" s="1"/>
      <c r="AK8743" s="1"/>
      <c r="AL8743" s="1"/>
      <c r="AM8743" s="1"/>
    </row>
    <row r="8744" spans="1:39" x14ac:dyDescent="0.25">
      <c r="A8744" s="620"/>
      <c r="B8744" s="620"/>
      <c r="C8744" s="620"/>
      <c r="D8744" s="620"/>
      <c r="E8744" s="620"/>
      <c r="F8744" s="620"/>
      <c r="G8744" s="620"/>
      <c r="H8744" s="620"/>
      <c r="I8744" s="620"/>
      <c r="J8744" s="620"/>
      <c r="K8744" s="620"/>
      <c r="L8744" s="620"/>
      <c r="M8744" s="620"/>
      <c r="N8744" s="620"/>
      <c r="O8744" s="620"/>
      <c r="P8744" s="49"/>
      <c r="Q8744" s="1"/>
      <c r="R8744" s="620"/>
      <c r="S8744" s="1"/>
      <c r="T8744" s="1"/>
      <c r="U8744" s="1"/>
      <c r="V8744" s="1"/>
      <c r="W8744" s="1"/>
      <c r="X8744" s="1"/>
      <c r="Y8744" s="1"/>
      <c r="Z8744" s="620"/>
      <c r="AA8744" s="620"/>
      <c r="AB8744" s="1"/>
      <c r="AC8744" s="1"/>
      <c r="AD8744" s="1"/>
      <c r="AE8744" s="1"/>
      <c r="AF8744" s="1"/>
      <c r="AG8744" s="1"/>
      <c r="AH8744" s="1"/>
      <c r="AI8744" s="1"/>
      <c r="AJ8744" s="1"/>
      <c r="AK8744" s="1"/>
      <c r="AL8744" s="1"/>
      <c r="AM8744" s="1"/>
    </row>
    <row r="8745" spans="1:39" x14ac:dyDescent="0.25">
      <c r="A8745" s="620"/>
      <c r="B8745" s="620"/>
      <c r="C8745" s="620"/>
      <c r="D8745" s="620"/>
      <c r="E8745" s="620"/>
      <c r="F8745" s="620"/>
      <c r="G8745" s="620"/>
      <c r="H8745" s="620"/>
      <c r="I8745" s="620"/>
      <c r="J8745" s="620"/>
      <c r="K8745" s="620"/>
      <c r="L8745" s="620"/>
      <c r="M8745" s="620"/>
      <c r="N8745" s="620"/>
      <c r="O8745" s="620"/>
      <c r="P8745" s="49"/>
      <c r="Q8745" s="1"/>
      <c r="R8745" s="620"/>
      <c r="S8745" s="1"/>
      <c r="T8745" s="1"/>
      <c r="U8745" s="1"/>
      <c r="V8745" s="1"/>
      <c r="W8745" s="1"/>
      <c r="X8745" s="1"/>
      <c r="Y8745" s="1"/>
      <c r="Z8745" s="620"/>
      <c r="AA8745" s="620"/>
      <c r="AB8745" s="1"/>
      <c r="AC8745" s="1"/>
      <c r="AD8745" s="1"/>
      <c r="AE8745" s="1"/>
      <c r="AF8745" s="1"/>
      <c r="AG8745" s="1"/>
      <c r="AH8745" s="1"/>
      <c r="AI8745" s="1"/>
      <c r="AJ8745" s="1"/>
      <c r="AK8745" s="1"/>
      <c r="AL8745" s="1"/>
      <c r="AM8745" s="1"/>
    </row>
    <row r="8746" spans="1:39" x14ac:dyDescent="0.25">
      <c r="A8746" s="620"/>
      <c r="B8746" s="620"/>
      <c r="C8746" s="620"/>
      <c r="D8746" s="620"/>
      <c r="E8746" s="620"/>
      <c r="F8746" s="620"/>
      <c r="G8746" s="620"/>
      <c r="H8746" s="620"/>
      <c r="I8746" s="620"/>
      <c r="J8746" s="620"/>
      <c r="K8746" s="620"/>
      <c r="L8746" s="620"/>
      <c r="M8746" s="620"/>
      <c r="N8746" s="620"/>
      <c r="O8746" s="620"/>
      <c r="P8746" s="49"/>
      <c r="Q8746" s="1"/>
      <c r="R8746" s="620"/>
      <c r="S8746" s="1"/>
      <c r="T8746" s="1"/>
      <c r="U8746" s="1"/>
      <c r="V8746" s="1"/>
      <c r="W8746" s="1"/>
      <c r="X8746" s="1"/>
      <c r="Y8746" s="1"/>
      <c r="Z8746" s="620"/>
      <c r="AA8746" s="620"/>
      <c r="AB8746" s="1"/>
      <c r="AC8746" s="1"/>
      <c r="AD8746" s="1"/>
      <c r="AE8746" s="1"/>
      <c r="AF8746" s="1"/>
      <c r="AG8746" s="1"/>
      <c r="AH8746" s="1"/>
      <c r="AI8746" s="1"/>
      <c r="AJ8746" s="1"/>
      <c r="AK8746" s="1"/>
      <c r="AL8746" s="1"/>
      <c r="AM8746" s="1"/>
    </row>
    <row r="8747" spans="1:39" x14ac:dyDescent="0.25">
      <c r="A8747" s="620"/>
      <c r="B8747" s="620"/>
      <c r="C8747" s="620"/>
      <c r="D8747" s="620"/>
      <c r="E8747" s="620"/>
      <c r="F8747" s="620"/>
      <c r="G8747" s="620"/>
      <c r="H8747" s="620"/>
      <c r="I8747" s="620"/>
      <c r="J8747" s="620"/>
      <c r="K8747" s="620"/>
      <c r="L8747" s="620"/>
      <c r="M8747" s="620"/>
      <c r="N8747" s="620"/>
      <c r="O8747" s="620"/>
      <c r="P8747" s="49"/>
      <c r="Q8747" s="1"/>
      <c r="R8747" s="620"/>
      <c r="S8747" s="1"/>
      <c r="T8747" s="1"/>
      <c r="U8747" s="1"/>
      <c r="V8747" s="1"/>
      <c r="W8747" s="1"/>
      <c r="X8747" s="1"/>
      <c r="Y8747" s="1"/>
      <c r="Z8747" s="620"/>
      <c r="AA8747" s="620"/>
      <c r="AB8747" s="1"/>
      <c r="AC8747" s="1"/>
      <c r="AD8747" s="1"/>
      <c r="AE8747" s="1"/>
      <c r="AF8747" s="1"/>
      <c r="AG8747" s="1"/>
      <c r="AH8747" s="1"/>
      <c r="AI8747" s="1"/>
      <c r="AJ8747" s="1"/>
      <c r="AK8747" s="1"/>
      <c r="AL8747" s="1"/>
      <c r="AM8747" s="1"/>
    </row>
    <row r="8748" spans="1:39" x14ac:dyDescent="0.25">
      <c r="A8748" s="620"/>
      <c r="B8748" s="620"/>
      <c r="C8748" s="620"/>
      <c r="D8748" s="620"/>
      <c r="E8748" s="620"/>
      <c r="F8748" s="620"/>
      <c r="G8748" s="620"/>
      <c r="H8748" s="620"/>
      <c r="I8748" s="620"/>
      <c r="J8748" s="620"/>
      <c r="K8748" s="620"/>
      <c r="L8748" s="620"/>
      <c r="M8748" s="620"/>
      <c r="N8748" s="620"/>
      <c r="O8748" s="620"/>
      <c r="P8748" s="49"/>
      <c r="Q8748" s="1"/>
      <c r="R8748" s="620"/>
      <c r="S8748" s="1"/>
      <c r="T8748" s="1"/>
      <c r="U8748" s="1"/>
      <c r="V8748" s="1"/>
      <c r="W8748" s="1"/>
      <c r="X8748" s="1"/>
      <c r="Y8748" s="1"/>
      <c r="Z8748" s="620"/>
      <c r="AA8748" s="620"/>
      <c r="AB8748" s="1"/>
      <c r="AC8748" s="1"/>
      <c r="AD8748" s="1"/>
      <c r="AE8748" s="1"/>
      <c r="AF8748" s="1"/>
      <c r="AG8748" s="1"/>
      <c r="AH8748" s="1"/>
      <c r="AI8748" s="1"/>
      <c r="AJ8748" s="1"/>
      <c r="AK8748" s="1"/>
      <c r="AL8748" s="1"/>
      <c r="AM8748" s="1"/>
    </row>
    <row r="8749" spans="1:39" x14ac:dyDescent="0.25">
      <c r="A8749" s="620"/>
      <c r="B8749" s="620"/>
      <c r="C8749" s="620"/>
      <c r="D8749" s="620"/>
      <c r="E8749" s="620"/>
      <c r="F8749" s="620"/>
      <c r="G8749" s="620"/>
      <c r="H8749" s="620"/>
      <c r="I8749" s="620"/>
      <c r="J8749" s="620"/>
      <c r="K8749" s="620"/>
      <c r="L8749" s="620"/>
      <c r="M8749" s="620"/>
      <c r="N8749" s="620"/>
      <c r="O8749" s="620"/>
      <c r="P8749" s="49"/>
      <c r="Q8749" s="1"/>
      <c r="R8749" s="620"/>
      <c r="S8749" s="1"/>
      <c r="T8749" s="1"/>
      <c r="U8749" s="1"/>
      <c r="V8749" s="1"/>
      <c r="W8749" s="1"/>
      <c r="X8749" s="1"/>
      <c r="Y8749" s="1"/>
      <c r="Z8749" s="620"/>
      <c r="AA8749" s="620"/>
      <c r="AB8749" s="1"/>
      <c r="AC8749" s="1"/>
      <c r="AD8749" s="1"/>
      <c r="AE8749" s="1"/>
      <c r="AF8749" s="1"/>
      <c r="AG8749" s="1"/>
      <c r="AH8749" s="1"/>
      <c r="AI8749" s="1"/>
      <c r="AJ8749" s="1"/>
      <c r="AK8749" s="1"/>
      <c r="AL8749" s="1"/>
      <c r="AM8749" s="1"/>
    </row>
    <row r="8750" spans="1:39" x14ac:dyDescent="0.25">
      <c r="A8750" s="620"/>
      <c r="B8750" s="620"/>
      <c r="C8750" s="620"/>
      <c r="D8750" s="620"/>
      <c r="E8750" s="620"/>
      <c r="F8750" s="620"/>
      <c r="G8750" s="620"/>
      <c r="H8750" s="620"/>
      <c r="I8750" s="620"/>
      <c r="J8750" s="620"/>
      <c r="K8750" s="620"/>
      <c r="L8750" s="620"/>
      <c r="M8750" s="620"/>
      <c r="N8750" s="620"/>
      <c r="O8750" s="620"/>
      <c r="P8750" s="49"/>
      <c r="Q8750" s="1"/>
      <c r="R8750" s="620"/>
      <c r="S8750" s="1"/>
      <c r="T8750" s="1"/>
      <c r="U8750" s="1"/>
      <c r="V8750" s="1"/>
      <c r="W8750" s="1"/>
      <c r="X8750" s="1"/>
      <c r="Y8750" s="1"/>
      <c r="Z8750" s="620"/>
      <c r="AA8750" s="620"/>
      <c r="AB8750" s="1"/>
      <c r="AC8750" s="1"/>
      <c r="AD8750" s="1"/>
      <c r="AE8750" s="1"/>
      <c r="AF8750" s="1"/>
      <c r="AG8750" s="1"/>
      <c r="AH8750" s="1"/>
      <c r="AI8750" s="1"/>
      <c r="AJ8750" s="1"/>
      <c r="AK8750" s="1"/>
      <c r="AL8750" s="1"/>
      <c r="AM8750" s="1"/>
    </row>
    <row r="8751" spans="1:39" x14ac:dyDescent="0.25">
      <c r="A8751" s="620"/>
      <c r="B8751" s="620"/>
      <c r="C8751" s="620"/>
      <c r="D8751" s="620"/>
      <c r="E8751" s="620"/>
      <c r="F8751" s="620"/>
      <c r="G8751" s="620"/>
      <c r="H8751" s="620"/>
      <c r="I8751" s="620"/>
      <c r="J8751" s="620"/>
      <c r="K8751" s="620"/>
      <c r="L8751" s="620"/>
      <c r="M8751" s="620"/>
      <c r="N8751" s="620"/>
      <c r="O8751" s="620"/>
      <c r="P8751" s="49"/>
      <c r="Q8751" s="1"/>
      <c r="R8751" s="620"/>
      <c r="S8751" s="1"/>
      <c r="T8751" s="1"/>
      <c r="U8751" s="1"/>
      <c r="V8751" s="1"/>
      <c r="W8751" s="1"/>
      <c r="X8751" s="1"/>
      <c r="Y8751" s="1"/>
      <c r="Z8751" s="620"/>
      <c r="AA8751" s="620"/>
      <c r="AB8751" s="1"/>
      <c r="AC8751" s="1"/>
      <c r="AD8751" s="1"/>
      <c r="AE8751" s="1"/>
      <c r="AF8751" s="1"/>
      <c r="AG8751" s="1"/>
      <c r="AH8751" s="1"/>
      <c r="AI8751" s="1"/>
      <c r="AJ8751" s="1"/>
      <c r="AK8751" s="1"/>
      <c r="AL8751" s="1"/>
      <c r="AM8751" s="1"/>
    </row>
    <row r="8752" spans="1:39" x14ac:dyDescent="0.25">
      <c r="A8752" s="620"/>
      <c r="B8752" s="620"/>
      <c r="C8752" s="620"/>
      <c r="D8752" s="620"/>
      <c r="E8752" s="620"/>
      <c r="F8752" s="620"/>
      <c r="G8752" s="620"/>
      <c r="H8752" s="620"/>
      <c r="I8752" s="620"/>
      <c r="J8752" s="620"/>
      <c r="K8752" s="620"/>
      <c r="L8752" s="620"/>
      <c r="M8752" s="620"/>
      <c r="N8752" s="620"/>
      <c r="O8752" s="620"/>
      <c r="P8752" s="49"/>
      <c r="Q8752" s="1"/>
      <c r="R8752" s="620"/>
      <c r="S8752" s="1"/>
      <c r="T8752" s="1"/>
      <c r="U8752" s="1"/>
      <c r="V8752" s="1"/>
      <c r="W8752" s="1"/>
      <c r="X8752" s="1"/>
      <c r="Y8752" s="1"/>
      <c r="Z8752" s="620"/>
      <c r="AA8752" s="620"/>
      <c r="AB8752" s="1"/>
      <c r="AC8752" s="1"/>
      <c r="AD8752" s="1"/>
      <c r="AE8752" s="1"/>
      <c r="AF8752" s="1"/>
      <c r="AG8752" s="1"/>
      <c r="AH8752" s="1"/>
      <c r="AI8752" s="1"/>
      <c r="AJ8752" s="1"/>
      <c r="AK8752" s="1"/>
      <c r="AL8752" s="1"/>
      <c r="AM8752" s="1"/>
    </row>
    <row r="8753" spans="1:39" x14ac:dyDescent="0.25">
      <c r="A8753" s="620"/>
      <c r="B8753" s="620"/>
      <c r="C8753" s="620"/>
      <c r="D8753" s="620"/>
      <c r="E8753" s="620"/>
      <c r="F8753" s="620"/>
      <c r="G8753" s="620"/>
      <c r="H8753" s="620"/>
      <c r="I8753" s="620"/>
      <c r="J8753" s="620"/>
      <c r="K8753" s="620"/>
      <c r="L8753" s="620"/>
      <c r="M8753" s="620"/>
      <c r="N8753" s="620"/>
      <c r="O8753" s="620"/>
      <c r="P8753" s="49"/>
      <c r="Q8753" s="1"/>
      <c r="R8753" s="620"/>
      <c r="S8753" s="1"/>
      <c r="T8753" s="1"/>
      <c r="U8753" s="1"/>
      <c r="V8753" s="1"/>
      <c r="W8753" s="1"/>
      <c r="X8753" s="1"/>
      <c r="Y8753" s="1"/>
      <c r="Z8753" s="620"/>
      <c r="AA8753" s="620"/>
      <c r="AB8753" s="1"/>
      <c r="AC8753" s="1"/>
      <c r="AD8753" s="1"/>
      <c r="AE8753" s="1"/>
      <c r="AF8753" s="1"/>
      <c r="AG8753" s="1"/>
      <c r="AH8753" s="1"/>
      <c r="AI8753" s="1"/>
      <c r="AJ8753" s="1"/>
      <c r="AK8753" s="1"/>
      <c r="AL8753" s="1"/>
      <c r="AM8753" s="1"/>
    </row>
    <row r="8754" spans="1:39" x14ac:dyDescent="0.25">
      <c r="A8754" s="620"/>
      <c r="B8754" s="620"/>
      <c r="C8754" s="620"/>
      <c r="D8754" s="620"/>
      <c r="E8754" s="620"/>
      <c r="F8754" s="620"/>
      <c r="G8754" s="620"/>
      <c r="H8754" s="620"/>
      <c r="I8754" s="620"/>
      <c r="J8754" s="620"/>
      <c r="K8754" s="620"/>
      <c r="L8754" s="620"/>
      <c r="M8754" s="620"/>
      <c r="N8754" s="620"/>
      <c r="O8754" s="620"/>
      <c r="P8754" s="49"/>
      <c r="Q8754" s="1"/>
      <c r="R8754" s="620"/>
      <c r="S8754" s="1"/>
      <c r="T8754" s="1"/>
      <c r="U8754" s="1"/>
      <c r="V8754" s="1"/>
      <c r="W8754" s="1"/>
      <c r="X8754" s="1"/>
      <c r="Y8754" s="1"/>
      <c r="Z8754" s="620"/>
      <c r="AA8754" s="620"/>
      <c r="AB8754" s="1"/>
      <c r="AC8754" s="1"/>
      <c r="AD8754" s="1"/>
      <c r="AE8754" s="1"/>
      <c r="AF8754" s="1"/>
      <c r="AG8754" s="1"/>
      <c r="AH8754" s="1"/>
      <c r="AI8754" s="1"/>
      <c r="AJ8754" s="1"/>
      <c r="AK8754" s="1"/>
      <c r="AL8754" s="1"/>
      <c r="AM8754" s="1"/>
    </row>
    <row r="8755" spans="1:39" x14ac:dyDescent="0.25">
      <c r="A8755" s="620"/>
      <c r="B8755" s="620"/>
      <c r="C8755" s="620"/>
      <c r="D8755" s="620"/>
      <c r="E8755" s="620"/>
      <c r="F8755" s="620"/>
      <c r="G8755" s="620"/>
      <c r="H8755" s="620"/>
      <c r="I8755" s="620"/>
      <c r="J8755" s="620"/>
      <c r="K8755" s="620"/>
      <c r="L8755" s="620"/>
      <c r="M8755" s="620"/>
      <c r="N8755" s="620"/>
      <c r="O8755" s="620"/>
      <c r="P8755" s="49"/>
      <c r="Q8755" s="1"/>
      <c r="R8755" s="620"/>
      <c r="S8755" s="1"/>
      <c r="T8755" s="1"/>
      <c r="U8755" s="1"/>
      <c r="V8755" s="1"/>
      <c r="W8755" s="1"/>
      <c r="X8755" s="1"/>
      <c r="Y8755" s="1"/>
      <c r="Z8755" s="620"/>
      <c r="AA8755" s="620"/>
      <c r="AB8755" s="1"/>
      <c r="AC8755" s="1"/>
      <c r="AD8755" s="1"/>
      <c r="AE8755" s="1"/>
      <c r="AF8755" s="1"/>
      <c r="AG8755" s="1"/>
      <c r="AH8755" s="1"/>
      <c r="AI8755" s="1"/>
      <c r="AJ8755" s="1"/>
      <c r="AK8755" s="1"/>
      <c r="AL8755" s="1"/>
      <c r="AM8755" s="1"/>
    </row>
    <row r="8756" spans="1:39" x14ac:dyDescent="0.25">
      <c r="A8756" s="620"/>
      <c r="B8756" s="620"/>
      <c r="C8756" s="620"/>
      <c r="D8756" s="620"/>
      <c r="E8756" s="620"/>
      <c r="F8756" s="620"/>
      <c r="G8756" s="620"/>
      <c r="H8756" s="620"/>
      <c r="I8756" s="620"/>
      <c r="J8756" s="620"/>
      <c r="K8756" s="620"/>
      <c r="L8756" s="620"/>
      <c r="M8756" s="620"/>
      <c r="N8756" s="620"/>
      <c r="O8756" s="620"/>
      <c r="P8756" s="49"/>
      <c r="Q8756" s="1"/>
      <c r="R8756" s="620"/>
      <c r="S8756" s="1"/>
      <c r="T8756" s="1"/>
      <c r="U8756" s="1"/>
      <c r="V8756" s="1"/>
      <c r="W8756" s="1"/>
      <c r="X8756" s="1"/>
      <c r="Y8756" s="1"/>
      <c r="Z8756" s="620"/>
      <c r="AA8756" s="620"/>
      <c r="AB8756" s="1"/>
      <c r="AC8756" s="1"/>
      <c r="AD8756" s="1"/>
      <c r="AE8756" s="1"/>
      <c r="AF8756" s="1"/>
      <c r="AG8756" s="1"/>
      <c r="AH8756" s="1"/>
      <c r="AI8756" s="1"/>
      <c r="AJ8756" s="1"/>
      <c r="AK8756" s="1"/>
      <c r="AL8756" s="1"/>
      <c r="AM8756" s="1"/>
    </row>
    <row r="8757" spans="1:39" x14ac:dyDescent="0.25">
      <c r="A8757" s="620"/>
      <c r="B8757" s="620"/>
      <c r="C8757" s="620"/>
      <c r="D8757" s="620"/>
      <c r="E8757" s="620"/>
      <c r="F8757" s="620"/>
      <c r="G8757" s="620"/>
      <c r="H8757" s="620"/>
      <c r="I8757" s="620"/>
      <c r="J8757" s="620"/>
      <c r="K8757" s="620"/>
      <c r="L8757" s="620"/>
      <c r="M8757" s="620"/>
      <c r="N8757" s="620"/>
      <c r="O8757" s="620"/>
      <c r="P8757" s="49"/>
      <c r="Q8757" s="1"/>
      <c r="R8757" s="620"/>
      <c r="S8757" s="1"/>
      <c r="T8757" s="1"/>
      <c r="U8757" s="1"/>
      <c r="V8757" s="1"/>
      <c r="W8757" s="1"/>
      <c r="X8757" s="1"/>
      <c r="Y8757" s="1"/>
      <c r="Z8757" s="620"/>
      <c r="AA8757" s="620"/>
      <c r="AB8757" s="1"/>
      <c r="AC8757" s="1"/>
      <c r="AD8757" s="1"/>
      <c r="AE8757" s="1"/>
      <c r="AF8757" s="1"/>
      <c r="AG8757" s="1"/>
      <c r="AH8757" s="1"/>
      <c r="AI8757" s="1"/>
      <c r="AJ8757" s="1"/>
      <c r="AK8757" s="1"/>
      <c r="AL8757" s="1"/>
      <c r="AM8757" s="1"/>
    </row>
    <row r="8758" spans="1:39" x14ac:dyDescent="0.25">
      <c r="A8758" s="620"/>
      <c r="B8758" s="620"/>
      <c r="C8758" s="620"/>
      <c r="D8758" s="620"/>
      <c r="E8758" s="620"/>
      <c r="F8758" s="620"/>
      <c r="G8758" s="620"/>
      <c r="H8758" s="620"/>
      <c r="I8758" s="620"/>
      <c r="J8758" s="620"/>
      <c r="K8758" s="620"/>
      <c r="L8758" s="620"/>
      <c r="M8758" s="620"/>
      <c r="N8758" s="620"/>
      <c r="O8758" s="620"/>
      <c r="P8758" s="49"/>
      <c r="Q8758" s="1"/>
      <c r="R8758" s="620"/>
      <c r="S8758" s="1"/>
      <c r="T8758" s="1"/>
      <c r="U8758" s="1"/>
      <c r="V8758" s="1"/>
      <c r="W8758" s="1"/>
      <c r="X8758" s="1"/>
      <c r="Y8758" s="1"/>
      <c r="Z8758" s="620"/>
      <c r="AA8758" s="620"/>
      <c r="AB8758" s="1"/>
      <c r="AC8758" s="1"/>
      <c r="AD8758" s="1"/>
      <c r="AE8758" s="1"/>
      <c r="AF8758" s="1"/>
      <c r="AG8758" s="1"/>
      <c r="AH8758" s="1"/>
      <c r="AI8758" s="1"/>
      <c r="AJ8758" s="1"/>
      <c r="AK8758" s="1"/>
      <c r="AL8758" s="1"/>
      <c r="AM8758" s="1"/>
    </row>
    <row r="8759" spans="1:39" x14ac:dyDescent="0.25">
      <c r="A8759" s="620"/>
      <c r="B8759" s="620"/>
      <c r="C8759" s="620"/>
      <c r="D8759" s="620"/>
      <c r="E8759" s="620"/>
      <c r="F8759" s="620"/>
      <c r="G8759" s="620"/>
      <c r="H8759" s="620"/>
      <c r="I8759" s="620"/>
      <c r="J8759" s="620"/>
      <c r="K8759" s="620"/>
      <c r="L8759" s="620"/>
      <c r="M8759" s="620"/>
      <c r="N8759" s="620"/>
      <c r="O8759" s="620"/>
      <c r="P8759" s="49"/>
      <c r="Q8759" s="1"/>
      <c r="R8759" s="620"/>
      <c r="S8759" s="1"/>
      <c r="T8759" s="1"/>
      <c r="U8759" s="1"/>
      <c r="V8759" s="1"/>
      <c r="W8759" s="1"/>
      <c r="X8759" s="1"/>
      <c r="Y8759" s="1"/>
      <c r="Z8759" s="620"/>
      <c r="AA8759" s="620"/>
      <c r="AB8759" s="1"/>
      <c r="AC8759" s="1"/>
      <c r="AD8759" s="1"/>
      <c r="AE8759" s="1"/>
      <c r="AF8759" s="1"/>
      <c r="AG8759" s="1"/>
      <c r="AH8759" s="1"/>
      <c r="AI8759" s="1"/>
      <c r="AJ8759" s="1"/>
      <c r="AK8759" s="1"/>
      <c r="AL8759" s="1"/>
      <c r="AM8759" s="1"/>
    </row>
    <row r="8760" spans="1:39" x14ac:dyDescent="0.25">
      <c r="A8760" s="620"/>
      <c r="B8760" s="620"/>
      <c r="C8760" s="620"/>
      <c r="D8760" s="620"/>
      <c r="E8760" s="620"/>
      <c r="F8760" s="620"/>
      <c r="G8760" s="620"/>
      <c r="H8760" s="620"/>
      <c r="I8760" s="620"/>
      <c r="J8760" s="620"/>
      <c r="K8760" s="620"/>
      <c r="L8760" s="620"/>
      <c r="M8760" s="620"/>
      <c r="N8760" s="620"/>
      <c r="O8760" s="620"/>
      <c r="P8760" s="49"/>
      <c r="Q8760" s="1"/>
      <c r="R8760" s="620"/>
      <c r="S8760" s="1"/>
      <c r="T8760" s="1"/>
      <c r="U8760" s="1"/>
      <c r="V8760" s="1"/>
      <c r="W8760" s="1"/>
      <c r="X8760" s="1"/>
      <c r="Y8760" s="1"/>
      <c r="Z8760" s="620"/>
      <c r="AA8760" s="620"/>
      <c r="AB8760" s="1"/>
      <c r="AC8760" s="1"/>
      <c r="AD8760" s="1"/>
      <c r="AE8760" s="1"/>
      <c r="AF8760" s="1"/>
      <c r="AG8760" s="1"/>
      <c r="AH8760" s="1"/>
      <c r="AI8760" s="1"/>
      <c r="AJ8760" s="1"/>
      <c r="AK8760" s="1"/>
      <c r="AL8760" s="1"/>
      <c r="AM8760" s="1"/>
    </row>
    <row r="8761" spans="1:39" x14ac:dyDescent="0.25">
      <c r="A8761" s="620"/>
      <c r="B8761" s="620"/>
      <c r="C8761" s="620"/>
      <c r="D8761" s="620"/>
      <c r="E8761" s="620"/>
      <c r="F8761" s="620"/>
      <c r="G8761" s="620"/>
      <c r="H8761" s="620"/>
      <c r="I8761" s="620"/>
      <c r="J8761" s="620"/>
      <c r="K8761" s="620"/>
      <c r="L8761" s="620"/>
      <c r="M8761" s="620"/>
      <c r="N8761" s="620"/>
      <c r="O8761" s="620"/>
      <c r="P8761" s="49"/>
      <c r="Q8761" s="1"/>
      <c r="R8761" s="620"/>
      <c r="S8761" s="1"/>
      <c r="T8761" s="1"/>
      <c r="U8761" s="1"/>
      <c r="V8761" s="1"/>
      <c r="W8761" s="1"/>
      <c r="X8761" s="1"/>
      <c r="Y8761" s="1"/>
      <c r="Z8761" s="620"/>
      <c r="AA8761" s="620"/>
      <c r="AB8761" s="1"/>
      <c r="AC8761" s="1"/>
      <c r="AD8761" s="1"/>
      <c r="AE8761" s="1"/>
      <c r="AF8761" s="1"/>
      <c r="AG8761" s="1"/>
      <c r="AH8761" s="1"/>
      <c r="AI8761" s="1"/>
      <c r="AJ8761" s="1"/>
      <c r="AK8761" s="1"/>
      <c r="AL8761" s="1"/>
      <c r="AM8761" s="1"/>
    </row>
    <row r="8762" spans="1:39" x14ac:dyDescent="0.25">
      <c r="A8762" s="620"/>
      <c r="B8762" s="620"/>
      <c r="C8762" s="620"/>
      <c r="D8762" s="620"/>
      <c r="E8762" s="620"/>
      <c r="F8762" s="620"/>
      <c r="G8762" s="620"/>
      <c r="H8762" s="620"/>
      <c r="I8762" s="620"/>
      <c r="J8762" s="620"/>
      <c r="K8762" s="620"/>
      <c r="L8762" s="620"/>
      <c r="M8762" s="620"/>
      <c r="N8762" s="620"/>
      <c r="O8762" s="620"/>
      <c r="P8762" s="49"/>
      <c r="Q8762" s="1"/>
      <c r="R8762" s="620"/>
      <c r="S8762" s="1"/>
      <c r="T8762" s="1"/>
      <c r="U8762" s="1"/>
      <c r="V8762" s="1"/>
      <c r="W8762" s="1"/>
      <c r="X8762" s="1"/>
      <c r="Y8762" s="1"/>
      <c r="Z8762" s="620"/>
      <c r="AA8762" s="620"/>
      <c r="AB8762" s="1"/>
      <c r="AC8762" s="1"/>
      <c r="AD8762" s="1"/>
      <c r="AE8762" s="1"/>
      <c r="AF8762" s="1"/>
      <c r="AG8762" s="1"/>
      <c r="AH8762" s="1"/>
      <c r="AI8762" s="1"/>
      <c r="AJ8762" s="1"/>
      <c r="AK8762" s="1"/>
      <c r="AL8762" s="1"/>
      <c r="AM8762" s="1"/>
    </row>
    <row r="8763" spans="1:39" x14ac:dyDescent="0.25">
      <c r="A8763" s="620"/>
      <c r="B8763" s="620"/>
      <c r="C8763" s="620"/>
      <c r="D8763" s="620"/>
      <c r="E8763" s="620"/>
      <c r="F8763" s="620"/>
      <c r="G8763" s="620"/>
      <c r="H8763" s="620"/>
      <c r="I8763" s="620"/>
      <c r="J8763" s="620"/>
      <c r="K8763" s="620"/>
      <c r="L8763" s="620"/>
      <c r="M8763" s="620"/>
      <c r="N8763" s="620"/>
      <c r="O8763" s="620"/>
      <c r="P8763" s="49"/>
      <c r="Q8763" s="1"/>
      <c r="R8763" s="620"/>
      <c r="S8763" s="1"/>
      <c r="T8763" s="1"/>
      <c r="U8763" s="1"/>
      <c r="V8763" s="1"/>
      <c r="W8763" s="1"/>
      <c r="X8763" s="1"/>
      <c r="Y8763" s="1"/>
      <c r="Z8763" s="620"/>
      <c r="AA8763" s="620"/>
      <c r="AB8763" s="1"/>
      <c r="AC8763" s="1"/>
      <c r="AD8763" s="1"/>
      <c r="AE8763" s="1"/>
      <c r="AF8763" s="1"/>
      <c r="AG8763" s="1"/>
      <c r="AH8763" s="1"/>
      <c r="AI8763" s="1"/>
      <c r="AJ8763" s="1"/>
      <c r="AK8763" s="1"/>
      <c r="AL8763" s="1"/>
      <c r="AM8763" s="1"/>
    </row>
    <row r="8764" spans="1:39" x14ac:dyDescent="0.25">
      <c r="A8764" s="620"/>
      <c r="B8764" s="620"/>
      <c r="C8764" s="620"/>
      <c r="D8764" s="620"/>
      <c r="E8764" s="620"/>
      <c r="F8764" s="620"/>
      <c r="G8764" s="620"/>
      <c r="H8764" s="620"/>
      <c r="I8764" s="620"/>
      <c r="J8764" s="620"/>
      <c r="K8764" s="620"/>
      <c r="L8764" s="620"/>
      <c r="M8764" s="620"/>
      <c r="N8764" s="620"/>
      <c r="O8764" s="620"/>
      <c r="P8764" s="49"/>
      <c r="Q8764" s="1"/>
      <c r="R8764" s="620"/>
      <c r="S8764" s="1"/>
      <c r="T8764" s="1"/>
      <c r="U8764" s="1"/>
      <c r="V8764" s="1"/>
      <c r="W8764" s="1"/>
      <c r="X8764" s="1"/>
      <c r="Y8764" s="1"/>
      <c r="Z8764" s="620"/>
      <c r="AA8764" s="620"/>
      <c r="AB8764" s="1"/>
      <c r="AC8764" s="1"/>
      <c r="AD8764" s="1"/>
      <c r="AE8764" s="1"/>
      <c r="AF8764" s="1"/>
      <c r="AG8764" s="1"/>
      <c r="AH8764" s="1"/>
      <c r="AI8764" s="1"/>
      <c r="AJ8764" s="1"/>
      <c r="AK8764" s="1"/>
      <c r="AL8764" s="1"/>
      <c r="AM8764" s="1"/>
    </row>
    <row r="8765" spans="1:39" x14ac:dyDescent="0.25">
      <c r="A8765" s="620"/>
      <c r="B8765" s="620"/>
      <c r="C8765" s="620"/>
      <c r="D8765" s="620"/>
      <c r="E8765" s="620"/>
      <c r="F8765" s="620"/>
      <c r="G8765" s="620"/>
      <c r="H8765" s="620"/>
      <c r="I8765" s="620"/>
      <c r="J8765" s="620"/>
      <c r="K8765" s="620"/>
      <c r="L8765" s="620"/>
      <c r="M8765" s="620"/>
      <c r="N8765" s="620"/>
      <c r="O8765" s="620"/>
      <c r="P8765" s="49"/>
      <c r="Q8765" s="1"/>
      <c r="R8765" s="620"/>
      <c r="S8765" s="1"/>
      <c r="T8765" s="1"/>
      <c r="U8765" s="1"/>
      <c r="V8765" s="1"/>
      <c r="W8765" s="1"/>
      <c r="X8765" s="1"/>
      <c r="Y8765" s="1"/>
      <c r="Z8765" s="620"/>
      <c r="AA8765" s="620"/>
      <c r="AB8765" s="1"/>
      <c r="AC8765" s="1"/>
      <c r="AD8765" s="1"/>
      <c r="AE8765" s="1"/>
      <c r="AF8765" s="1"/>
      <c r="AG8765" s="1"/>
      <c r="AH8765" s="1"/>
      <c r="AI8765" s="1"/>
      <c r="AJ8765" s="1"/>
      <c r="AK8765" s="1"/>
      <c r="AL8765" s="1"/>
      <c r="AM8765" s="1"/>
    </row>
    <row r="8766" spans="1:39" x14ac:dyDescent="0.25">
      <c r="A8766" s="620"/>
      <c r="B8766" s="620"/>
      <c r="C8766" s="620"/>
      <c r="D8766" s="620"/>
      <c r="E8766" s="620"/>
      <c r="F8766" s="620"/>
      <c r="G8766" s="620"/>
      <c r="H8766" s="620"/>
      <c r="I8766" s="620"/>
      <c r="J8766" s="620"/>
      <c r="K8766" s="620"/>
      <c r="L8766" s="620"/>
      <c r="M8766" s="620"/>
      <c r="N8766" s="620"/>
      <c r="O8766" s="620"/>
      <c r="P8766" s="49"/>
      <c r="Q8766" s="1"/>
      <c r="R8766" s="620"/>
      <c r="S8766" s="1"/>
      <c r="T8766" s="1"/>
      <c r="U8766" s="1"/>
      <c r="V8766" s="1"/>
      <c r="W8766" s="1"/>
      <c r="X8766" s="1"/>
      <c r="Y8766" s="1"/>
      <c r="Z8766" s="620"/>
      <c r="AA8766" s="620"/>
      <c r="AB8766" s="1"/>
      <c r="AC8766" s="1"/>
      <c r="AD8766" s="1"/>
      <c r="AE8766" s="1"/>
      <c r="AF8766" s="1"/>
      <c r="AG8766" s="1"/>
      <c r="AH8766" s="1"/>
      <c r="AI8766" s="1"/>
      <c r="AJ8766" s="1"/>
      <c r="AK8766" s="1"/>
      <c r="AL8766" s="1"/>
      <c r="AM8766" s="1"/>
    </row>
    <row r="8767" spans="1:39" x14ac:dyDescent="0.25">
      <c r="A8767" s="620"/>
      <c r="B8767" s="620"/>
      <c r="C8767" s="620"/>
      <c r="D8767" s="620"/>
      <c r="E8767" s="620"/>
      <c r="F8767" s="620"/>
      <c r="G8767" s="620"/>
      <c r="H8767" s="620"/>
      <c r="I8767" s="620"/>
      <c r="J8767" s="620"/>
      <c r="K8767" s="620"/>
      <c r="L8767" s="620"/>
      <c r="M8767" s="620"/>
      <c r="N8767" s="620"/>
      <c r="O8767" s="620"/>
      <c r="P8767" s="49"/>
      <c r="Q8767" s="1"/>
      <c r="R8767" s="620"/>
      <c r="S8767" s="1"/>
      <c r="T8767" s="1"/>
      <c r="U8767" s="1"/>
      <c r="V8767" s="1"/>
      <c r="W8767" s="1"/>
      <c r="X8767" s="1"/>
      <c r="Y8767" s="1"/>
      <c r="Z8767" s="620"/>
      <c r="AA8767" s="620"/>
      <c r="AB8767" s="1"/>
      <c r="AC8767" s="1"/>
      <c r="AD8767" s="1"/>
      <c r="AE8767" s="1"/>
      <c r="AF8767" s="1"/>
      <c r="AG8767" s="1"/>
      <c r="AH8767" s="1"/>
      <c r="AI8767" s="1"/>
      <c r="AJ8767" s="1"/>
      <c r="AK8767" s="1"/>
      <c r="AL8767" s="1"/>
      <c r="AM8767" s="1"/>
    </row>
    <row r="8768" spans="1:39" x14ac:dyDescent="0.25">
      <c r="A8768" s="620"/>
      <c r="B8768" s="620"/>
      <c r="C8768" s="620"/>
      <c r="D8768" s="620"/>
      <c r="E8768" s="620"/>
      <c r="F8768" s="620"/>
      <c r="G8768" s="620"/>
      <c r="H8768" s="620"/>
      <c r="I8768" s="620"/>
      <c r="J8768" s="620"/>
      <c r="K8768" s="620"/>
      <c r="L8768" s="620"/>
      <c r="M8768" s="620"/>
      <c r="N8768" s="620"/>
      <c r="O8768" s="620"/>
      <c r="P8768" s="49"/>
      <c r="Q8768" s="1"/>
      <c r="R8768" s="620"/>
      <c r="S8768" s="1"/>
      <c r="T8768" s="1"/>
      <c r="U8768" s="1"/>
      <c r="V8768" s="1"/>
      <c r="W8768" s="1"/>
      <c r="X8768" s="1"/>
      <c r="Y8768" s="1"/>
      <c r="Z8768" s="620"/>
      <c r="AA8768" s="620"/>
      <c r="AB8768" s="1"/>
      <c r="AC8768" s="1"/>
      <c r="AD8768" s="1"/>
      <c r="AE8768" s="1"/>
      <c r="AF8768" s="1"/>
      <c r="AG8768" s="1"/>
      <c r="AH8768" s="1"/>
      <c r="AI8768" s="1"/>
      <c r="AJ8768" s="1"/>
      <c r="AK8768" s="1"/>
      <c r="AL8768" s="1"/>
      <c r="AM8768" s="1"/>
    </row>
    <row r="8769" spans="1:39" x14ac:dyDescent="0.25">
      <c r="A8769" s="620"/>
      <c r="B8769" s="620"/>
      <c r="C8769" s="620"/>
      <c r="D8769" s="620"/>
      <c r="E8769" s="620"/>
      <c r="F8769" s="620"/>
      <c r="G8769" s="620"/>
      <c r="H8769" s="620"/>
      <c r="I8769" s="620"/>
      <c r="J8769" s="620"/>
      <c r="K8769" s="620"/>
      <c r="L8769" s="620"/>
      <c r="M8769" s="620"/>
      <c r="N8769" s="620"/>
      <c r="O8769" s="620"/>
      <c r="P8769" s="49"/>
      <c r="Q8769" s="1"/>
      <c r="R8769" s="620"/>
      <c r="S8769" s="1"/>
      <c r="T8769" s="1"/>
      <c r="U8769" s="1"/>
      <c r="V8769" s="1"/>
      <c r="W8769" s="1"/>
      <c r="X8769" s="1"/>
      <c r="Y8769" s="1"/>
      <c r="Z8769" s="620"/>
      <c r="AA8769" s="620"/>
      <c r="AB8769" s="1"/>
      <c r="AC8769" s="1"/>
      <c r="AD8769" s="1"/>
      <c r="AE8769" s="1"/>
      <c r="AF8769" s="1"/>
      <c r="AG8769" s="1"/>
      <c r="AH8769" s="1"/>
      <c r="AI8769" s="1"/>
      <c r="AJ8769" s="1"/>
      <c r="AK8769" s="1"/>
      <c r="AL8769" s="1"/>
      <c r="AM8769" s="1"/>
    </row>
    <row r="8770" spans="1:39" x14ac:dyDescent="0.25">
      <c r="A8770" s="620"/>
      <c r="B8770" s="620"/>
      <c r="C8770" s="620"/>
      <c r="D8770" s="620"/>
      <c r="E8770" s="620"/>
      <c r="F8770" s="620"/>
      <c r="G8770" s="620"/>
      <c r="H8770" s="620"/>
      <c r="I8770" s="620"/>
      <c r="J8770" s="620"/>
      <c r="K8770" s="620"/>
      <c r="L8770" s="620"/>
      <c r="M8770" s="620"/>
      <c r="N8770" s="620"/>
      <c r="O8770" s="620"/>
      <c r="P8770" s="49"/>
      <c r="Q8770" s="1"/>
      <c r="R8770" s="620"/>
      <c r="S8770" s="1"/>
      <c r="T8770" s="1"/>
      <c r="U8770" s="1"/>
      <c r="V8770" s="1"/>
      <c r="W8770" s="1"/>
      <c r="X8770" s="1"/>
      <c r="Y8770" s="1"/>
      <c r="Z8770" s="620"/>
      <c r="AA8770" s="620"/>
      <c r="AB8770" s="1"/>
      <c r="AC8770" s="1"/>
      <c r="AD8770" s="1"/>
      <c r="AE8770" s="1"/>
      <c r="AF8770" s="1"/>
      <c r="AG8770" s="1"/>
      <c r="AH8770" s="1"/>
      <c r="AI8770" s="1"/>
      <c r="AJ8770" s="1"/>
      <c r="AK8770" s="1"/>
      <c r="AL8770" s="1"/>
      <c r="AM8770" s="1"/>
    </row>
    <row r="8771" spans="1:39" x14ac:dyDescent="0.25">
      <c r="A8771" s="620"/>
      <c r="B8771" s="620"/>
      <c r="C8771" s="620"/>
      <c r="D8771" s="620"/>
      <c r="E8771" s="620"/>
      <c r="F8771" s="620"/>
      <c r="G8771" s="620"/>
      <c r="H8771" s="620"/>
      <c r="I8771" s="620"/>
      <c r="J8771" s="620"/>
      <c r="K8771" s="620"/>
      <c r="L8771" s="620"/>
      <c r="M8771" s="620"/>
      <c r="N8771" s="620"/>
      <c r="O8771" s="620"/>
      <c r="P8771" s="49"/>
      <c r="Q8771" s="1"/>
      <c r="R8771" s="620"/>
      <c r="S8771" s="1"/>
      <c r="T8771" s="1"/>
      <c r="U8771" s="1"/>
      <c r="V8771" s="1"/>
      <c r="W8771" s="1"/>
      <c r="X8771" s="1"/>
      <c r="Y8771" s="1"/>
      <c r="Z8771" s="620"/>
      <c r="AA8771" s="620"/>
      <c r="AB8771" s="1"/>
      <c r="AC8771" s="1"/>
      <c r="AD8771" s="1"/>
      <c r="AE8771" s="1"/>
      <c r="AF8771" s="1"/>
      <c r="AG8771" s="1"/>
      <c r="AH8771" s="1"/>
      <c r="AI8771" s="1"/>
      <c r="AJ8771" s="1"/>
      <c r="AK8771" s="1"/>
      <c r="AL8771" s="1"/>
      <c r="AM8771" s="1"/>
    </row>
    <row r="8772" spans="1:39" x14ac:dyDescent="0.25">
      <c r="A8772" s="620"/>
      <c r="B8772" s="620"/>
      <c r="C8772" s="620"/>
      <c r="D8772" s="620"/>
      <c r="E8772" s="620"/>
      <c r="F8772" s="620"/>
      <c r="G8772" s="620"/>
      <c r="H8772" s="620"/>
      <c r="I8772" s="620"/>
      <c r="J8772" s="620"/>
      <c r="K8772" s="620"/>
      <c r="L8772" s="620"/>
      <c r="M8772" s="620"/>
      <c r="N8772" s="620"/>
      <c r="O8772" s="620"/>
      <c r="P8772" s="49"/>
      <c r="Q8772" s="1"/>
      <c r="R8772" s="620"/>
      <c r="S8772" s="1"/>
      <c r="T8772" s="1"/>
      <c r="U8772" s="1"/>
      <c r="V8772" s="1"/>
      <c r="W8772" s="1"/>
      <c r="X8772" s="1"/>
      <c r="Y8772" s="1"/>
      <c r="Z8772" s="620"/>
      <c r="AA8772" s="620"/>
      <c r="AB8772" s="1"/>
      <c r="AC8772" s="1"/>
      <c r="AD8772" s="1"/>
      <c r="AE8772" s="1"/>
      <c r="AF8772" s="1"/>
      <c r="AG8772" s="1"/>
      <c r="AH8772" s="1"/>
      <c r="AI8772" s="1"/>
      <c r="AJ8772" s="1"/>
      <c r="AK8772" s="1"/>
      <c r="AL8772" s="1"/>
      <c r="AM8772" s="1"/>
    </row>
    <row r="8773" spans="1:39" x14ac:dyDescent="0.25">
      <c r="A8773" s="620"/>
      <c r="B8773" s="620"/>
      <c r="C8773" s="620"/>
      <c r="D8773" s="620"/>
      <c r="E8773" s="620"/>
      <c r="F8773" s="620"/>
      <c r="G8773" s="620"/>
      <c r="H8773" s="620"/>
      <c r="I8773" s="620"/>
      <c r="J8773" s="620"/>
      <c r="K8773" s="620"/>
      <c r="L8773" s="620"/>
      <c r="M8773" s="620"/>
      <c r="N8773" s="620"/>
      <c r="O8773" s="620"/>
      <c r="P8773" s="49"/>
      <c r="Q8773" s="1"/>
      <c r="R8773" s="620"/>
      <c r="S8773" s="1"/>
      <c r="T8773" s="1"/>
      <c r="U8773" s="1"/>
      <c r="V8773" s="1"/>
      <c r="W8773" s="1"/>
      <c r="X8773" s="1"/>
      <c r="Y8773" s="1"/>
      <c r="Z8773" s="620"/>
      <c r="AA8773" s="620"/>
      <c r="AB8773" s="1"/>
      <c r="AC8773" s="1"/>
      <c r="AD8773" s="1"/>
      <c r="AE8773" s="1"/>
      <c r="AF8773" s="1"/>
      <c r="AG8773" s="1"/>
      <c r="AH8773" s="1"/>
      <c r="AI8773" s="1"/>
      <c r="AJ8773" s="1"/>
      <c r="AK8773" s="1"/>
      <c r="AL8773" s="1"/>
      <c r="AM8773" s="1"/>
    </row>
    <row r="8774" spans="1:39" x14ac:dyDescent="0.25">
      <c r="A8774" s="620"/>
      <c r="B8774" s="620"/>
      <c r="C8774" s="620"/>
      <c r="D8774" s="620"/>
      <c r="E8774" s="620"/>
      <c r="F8774" s="620"/>
      <c r="G8774" s="620"/>
      <c r="H8774" s="620"/>
      <c r="I8774" s="620"/>
      <c r="J8774" s="620"/>
      <c r="K8774" s="620"/>
      <c r="L8774" s="620"/>
      <c r="M8774" s="620"/>
      <c r="N8774" s="620"/>
      <c r="O8774" s="620"/>
      <c r="P8774" s="49"/>
      <c r="Q8774" s="1"/>
      <c r="R8774" s="620"/>
      <c r="S8774" s="1"/>
      <c r="T8774" s="1"/>
      <c r="U8774" s="1"/>
      <c r="V8774" s="1"/>
      <c r="W8774" s="1"/>
      <c r="X8774" s="1"/>
      <c r="Y8774" s="1"/>
      <c r="Z8774" s="620"/>
      <c r="AA8774" s="620"/>
      <c r="AB8774" s="1"/>
      <c r="AC8774" s="1"/>
      <c r="AD8774" s="1"/>
      <c r="AE8774" s="1"/>
      <c r="AF8774" s="1"/>
      <c r="AG8774" s="1"/>
      <c r="AH8774" s="1"/>
      <c r="AI8774" s="1"/>
      <c r="AJ8774" s="1"/>
      <c r="AK8774" s="1"/>
      <c r="AL8774" s="1"/>
      <c r="AM8774" s="1"/>
    </row>
    <row r="8775" spans="1:39" x14ac:dyDescent="0.25">
      <c r="A8775" s="620"/>
      <c r="B8775" s="620"/>
      <c r="C8775" s="620"/>
      <c r="D8775" s="620"/>
      <c r="E8775" s="620"/>
      <c r="F8775" s="620"/>
      <c r="G8775" s="620"/>
      <c r="H8775" s="620"/>
      <c r="I8775" s="620"/>
      <c r="J8775" s="620"/>
      <c r="K8775" s="620"/>
      <c r="L8775" s="620"/>
      <c r="M8775" s="620"/>
      <c r="N8775" s="620"/>
      <c r="O8775" s="620"/>
      <c r="P8775" s="49"/>
      <c r="Q8775" s="1"/>
      <c r="R8775" s="620"/>
      <c r="S8775" s="1"/>
      <c r="T8775" s="1"/>
      <c r="U8775" s="1"/>
      <c r="V8775" s="1"/>
      <c r="W8775" s="1"/>
      <c r="X8775" s="1"/>
      <c r="Y8775" s="1"/>
      <c r="Z8775" s="620"/>
      <c r="AA8775" s="620"/>
      <c r="AB8775" s="1"/>
      <c r="AC8775" s="1"/>
      <c r="AD8775" s="1"/>
      <c r="AE8775" s="1"/>
      <c r="AF8775" s="1"/>
      <c r="AG8775" s="1"/>
      <c r="AH8775" s="1"/>
      <c r="AI8775" s="1"/>
      <c r="AJ8775" s="1"/>
      <c r="AK8775" s="1"/>
      <c r="AL8775" s="1"/>
      <c r="AM8775" s="1"/>
    </row>
    <row r="8776" spans="1:39" x14ac:dyDescent="0.25">
      <c r="A8776" s="620"/>
      <c r="B8776" s="620"/>
      <c r="C8776" s="620"/>
      <c r="D8776" s="620"/>
      <c r="E8776" s="620"/>
      <c r="F8776" s="620"/>
      <c r="G8776" s="620"/>
      <c r="H8776" s="620"/>
      <c r="I8776" s="620"/>
      <c r="J8776" s="620"/>
      <c r="K8776" s="620"/>
      <c r="L8776" s="620"/>
      <c r="M8776" s="620"/>
      <c r="N8776" s="620"/>
      <c r="O8776" s="620"/>
      <c r="P8776" s="49"/>
      <c r="Q8776" s="1"/>
      <c r="R8776" s="620"/>
      <c r="S8776" s="1"/>
      <c r="T8776" s="1"/>
      <c r="U8776" s="1"/>
      <c r="V8776" s="1"/>
      <c r="W8776" s="1"/>
      <c r="X8776" s="1"/>
      <c r="Y8776" s="1"/>
      <c r="Z8776" s="620"/>
      <c r="AA8776" s="620"/>
      <c r="AB8776" s="1"/>
      <c r="AC8776" s="1"/>
      <c r="AD8776" s="1"/>
      <c r="AE8776" s="1"/>
      <c r="AF8776" s="1"/>
      <c r="AG8776" s="1"/>
      <c r="AH8776" s="1"/>
      <c r="AI8776" s="1"/>
      <c r="AJ8776" s="1"/>
      <c r="AK8776" s="1"/>
      <c r="AL8776" s="1"/>
      <c r="AM8776" s="1"/>
    </row>
    <row r="8777" spans="1:39" x14ac:dyDescent="0.25">
      <c r="A8777" s="620"/>
      <c r="B8777" s="620"/>
      <c r="C8777" s="620"/>
      <c r="D8777" s="620"/>
      <c r="E8777" s="620"/>
      <c r="F8777" s="620"/>
      <c r="G8777" s="620"/>
      <c r="H8777" s="620"/>
      <c r="I8777" s="620"/>
      <c r="J8777" s="620"/>
      <c r="K8777" s="620"/>
      <c r="L8777" s="620"/>
      <c r="M8777" s="620"/>
      <c r="N8777" s="620"/>
      <c r="O8777" s="620"/>
      <c r="P8777" s="49"/>
      <c r="Q8777" s="1"/>
      <c r="R8777" s="620"/>
      <c r="S8777" s="1"/>
      <c r="T8777" s="1"/>
      <c r="U8777" s="1"/>
      <c r="V8777" s="1"/>
      <c r="W8777" s="1"/>
      <c r="X8777" s="1"/>
      <c r="Y8777" s="1"/>
      <c r="Z8777" s="620"/>
      <c r="AA8777" s="620"/>
      <c r="AB8777" s="1"/>
      <c r="AC8777" s="1"/>
      <c r="AD8777" s="1"/>
      <c r="AE8777" s="1"/>
      <c r="AF8777" s="1"/>
      <c r="AG8777" s="1"/>
      <c r="AH8777" s="1"/>
      <c r="AI8777" s="1"/>
      <c r="AJ8777" s="1"/>
      <c r="AK8777" s="1"/>
      <c r="AL8777" s="1"/>
      <c r="AM8777" s="1"/>
    </row>
    <row r="8778" spans="1:39" x14ac:dyDescent="0.25">
      <c r="A8778" s="620"/>
      <c r="B8778" s="620"/>
      <c r="C8778" s="620"/>
      <c r="D8778" s="620"/>
      <c r="E8778" s="620"/>
      <c r="F8778" s="620"/>
      <c r="G8778" s="620"/>
      <c r="H8778" s="620"/>
      <c r="I8778" s="620"/>
      <c r="J8778" s="620"/>
      <c r="K8778" s="620"/>
      <c r="L8778" s="620"/>
      <c r="M8778" s="620"/>
      <c r="N8778" s="620"/>
      <c r="O8778" s="620"/>
      <c r="P8778" s="49"/>
      <c r="Q8778" s="1"/>
      <c r="R8778" s="620"/>
      <c r="S8778" s="1"/>
      <c r="T8778" s="1"/>
      <c r="U8778" s="1"/>
      <c r="V8778" s="1"/>
      <c r="W8778" s="1"/>
      <c r="X8778" s="1"/>
      <c r="Y8778" s="1"/>
      <c r="Z8778" s="620"/>
      <c r="AA8778" s="620"/>
      <c r="AB8778" s="1"/>
      <c r="AC8778" s="1"/>
      <c r="AD8778" s="1"/>
      <c r="AE8778" s="1"/>
      <c r="AF8778" s="1"/>
      <c r="AG8778" s="1"/>
      <c r="AH8778" s="1"/>
      <c r="AI8778" s="1"/>
      <c r="AJ8778" s="1"/>
      <c r="AK8778" s="1"/>
      <c r="AL8778" s="1"/>
      <c r="AM8778" s="1"/>
    </row>
    <row r="8779" spans="1:39" x14ac:dyDescent="0.25">
      <c r="A8779" s="620"/>
      <c r="B8779" s="620"/>
      <c r="C8779" s="620"/>
      <c r="D8779" s="620"/>
      <c r="E8779" s="620"/>
      <c r="F8779" s="620"/>
      <c r="G8779" s="620"/>
      <c r="H8779" s="620"/>
      <c r="I8779" s="620"/>
      <c r="J8779" s="620"/>
      <c r="K8779" s="620"/>
      <c r="L8779" s="620"/>
      <c r="M8779" s="620"/>
      <c r="N8779" s="620"/>
      <c r="O8779" s="620"/>
      <c r="P8779" s="49"/>
      <c r="Q8779" s="1"/>
      <c r="R8779" s="620"/>
      <c r="S8779" s="1"/>
      <c r="T8779" s="1"/>
      <c r="U8779" s="1"/>
      <c r="V8779" s="1"/>
      <c r="W8779" s="1"/>
      <c r="X8779" s="1"/>
      <c r="Y8779" s="1"/>
      <c r="Z8779" s="620"/>
      <c r="AA8779" s="620"/>
      <c r="AB8779" s="1"/>
      <c r="AC8779" s="1"/>
      <c r="AD8779" s="1"/>
      <c r="AE8779" s="1"/>
      <c r="AF8779" s="1"/>
      <c r="AG8779" s="1"/>
      <c r="AH8779" s="1"/>
      <c r="AI8779" s="1"/>
      <c r="AJ8779" s="1"/>
      <c r="AK8779" s="1"/>
      <c r="AL8779" s="1"/>
      <c r="AM8779" s="1"/>
    </row>
    <row r="8780" spans="1:39" x14ac:dyDescent="0.25">
      <c r="A8780" s="620"/>
      <c r="B8780" s="620"/>
      <c r="C8780" s="620"/>
      <c r="D8780" s="620"/>
      <c r="E8780" s="620"/>
      <c r="F8780" s="620"/>
      <c r="G8780" s="620"/>
      <c r="H8780" s="620"/>
      <c r="I8780" s="620"/>
      <c r="J8780" s="620"/>
      <c r="K8780" s="620"/>
      <c r="L8780" s="620"/>
      <c r="M8780" s="620"/>
      <c r="N8780" s="620"/>
      <c r="O8780" s="620"/>
      <c r="P8780" s="49"/>
      <c r="Q8780" s="1"/>
      <c r="R8780" s="620"/>
      <c r="S8780" s="1"/>
      <c r="T8780" s="1"/>
      <c r="U8780" s="1"/>
      <c r="V8780" s="1"/>
      <c r="W8780" s="1"/>
      <c r="X8780" s="1"/>
      <c r="Y8780" s="1"/>
      <c r="Z8780" s="620"/>
      <c r="AA8780" s="620"/>
      <c r="AB8780" s="1"/>
      <c r="AC8780" s="1"/>
      <c r="AD8780" s="1"/>
      <c r="AE8780" s="1"/>
      <c r="AF8780" s="1"/>
      <c r="AG8780" s="1"/>
      <c r="AH8780" s="1"/>
      <c r="AI8780" s="1"/>
      <c r="AJ8780" s="1"/>
      <c r="AK8780" s="1"/>
      <c r="AL8780" s="1"/>
      <c r="AM8780" s="1"/>
    </row>
    <row r="8781" spans="1:39" x14ac:dyDescent="0.25">
      <c r="A8781" s="620"/>
      <c r="B8781" s="620"/>
      <c r="C8781" s="620"/>
      <c r="D8781" s="620"/>
      <c r="E8781" s="620"/>
      <c r="F8781" s="620"/>
      <c r="G8781" s="620"/>
      <c r="H8781" s="620"/>
      <c r="I8781" s="620"/>
      <c r="J8781" s="620"/>
      <c r="K8781" s="620"/>
      <c r="L8781" s="620"/>
      <c r="M8781" s="620"/>
      <c r="N8781" s="620"/>
      <c r="O8781" s="620"/>
      <c r="P8781" s="49"/>
      <c r="Q8781" s="1"/>
      <c r="R8781" s="620"/>
      <c r="S8781" s="1"/>
      <c r="T8781" s="1"/>
      <c r="U8781" s="1"/>
      <c r="V8781" s="1"/>
      <c r="W8781" s="1"/>
      <c r="X8781" s="1"/>
      <c r="Y8781" s="1"/>
      <c r="Z8781" s="620"/>
      <c r="AA8781" s="620"/>
      <c r="AB8781" s="1"/>
      <c r="AC8781" s="1"/>
      <c r="AD8781" s="1"/>
      <c r="AE8781" s="1"/>
      <c r="AF8781" s="1"/>
      <c r="AG8781" s="1"/>
      <c r="AH8781" s="1"/>
      <c r="AI8781" s="1"/>
      <c r="AJ8781" s="1"/>
      <c r="AK8781" s="1"/>
      <c r="AL8781" s="1"/>
      <c r="AM8781" s="1"/>
    </row>
    <row r="8782" spans="1:39" x14ac:dyDescent="0.25">
      <c r="A8782" s="620"/>
      <c r="B8782" s="620"/>
      <c r="C8782" s="620"/>
      <c r="D8782" s="620"/>
      <c r="E8782" s="620"/>
      <c r="F8782" s="620"/>
      <c r="G8782" s="620"/>
      <c r="H8782" s="620"/>
      <c r="I8782" s="620"/>
      <c r="J8782" s="620"/>
      <c r="K8782" s="620"/>
      <c r="L8782" s="620"/>
      <c r="M8782" s="620"/>
      <c r="N8782" s="620"/>
      <c r="O8782" s="620"/>
      <c r="P8782" s="49"/>
      <c r="Q8782" s="1"/>
      <c r="R8782" s="620"/>
      <c r="S8782" s="1"/>
      <c r="T8782" s="1"/>
      <c r="U8782" s="1"/>
      <c r="V8782" s="1"/>
      <c r="W8782" s="1"/>
      <c r="X8782" s="1"/>
      <c r="Y8782" s="1"/>
      <c r="Z8782" s="620"/>
      <c r="AA8782" s="620"/>
      <c r="AB8782" s="1"/>
      <c r="AC8782" s="1"/>
      <c r="AD8782" s="1"/>
      <c r="AE8782" s="1"/>
      <c r="AF8782" s="1"/>
      <c r="AG8782" s="1"/>
      <c r="AH8782" s="1"/>
      <c r="AI8782" s="1"/>
      <c r="AJ8782" s="1"/>
      <c r="AK8782" s="1"/>
      <c r="AL8782" s="1"/>
      <c r="AM8782" s="1"/>
    </row>
    <row r="8783" spans="1:39" x14ac:dyDescent="0.25">
      <c r="A8783" s="620"/>
      <c r="B8783" s="620"/>
      <c r="C8783" s="620"/>
      <c r="D8783" s="620"/>
      <c r="E8783" s="620"/>
      <c r="F8783" s="620"/>
      <c r="G8783" s="620"/>
      <c r="H8783" s="620"/>
      <c r="I8783" s="620"/>
      <c r="J8783" s="620"/>
      <c r="K8783" s="620"/>
      <c r="L8783" s="620"/>
      <c r="M8783" s="620"/>
      <c r="N8783" s="620"/>
      <c r="O8783" s="620"/>
      <c r="P8783" s="49"/>
      <c r="Q8783" s="1"/>
      <c r="R8783" s="620"/>
      <c r="S8783" s="1"/>
      <c r="T8783" s="1"/>
      <c r="U8783" s="1"/>
      <c r="V8783" s="1"/>
      <c r="W8783" s="1"/>
      <c r="X8783" s="1"/>
      <c r="Y8783" s="1"/>
      <c r="Z8783" s="620"/>
      <c r="AA8783" s="620"/>
      <c r="AB8783" s="1"/>
      <c r="AC8783" s="1"/>
      <c r="AD8783" s="1"/>
      <c r="AE8783" s="1"/>
      <c r="AF8783" s="1"/>
      <c r="AG8783" s="1"/>
      <c r="AH8783" s="1"/>
      <c r="AI8783" s="1"/>
      <c r="AJ8783" s="1"/>
      <c r="AK8783" s="1"/>
      <c r="AL8783" s="1"/>
      <c r="AM8783" s="1"/>
    </row>
    <row r="8784" spans="1:39" x14ac:dyDescent="0.25">
      <c r="A8784" s="620"/>
      <c r="B8784" s="620"/>
      <c r="C8784" s="620"/>
      <c r="D8784" s="620"/>
      <c r="E8784" s="620"/>
      <c r="F8784" s="620"/>
      <c r="G8784" s="620"/>
      <c r="H8784" s="620"/>
      <c r="I8784" s="620"/>
      <c r="J8784" s="620"/>
      <c r="K8784" s="620"/>
      <c r="L8784" s="620"/>
      <c r="M8784" s="620"/>
      <c r="N8784" s="620"/>
      <c r="O8784" s="620"/>
      <c r="P8784" s="49"/>
      <c r="Q8784" s="1"/>
      <c r="R8784" s="620"/>
      <c r="S8784" s="1"/>
      <c r="T8784" s="1"/>
      <c r="U8784" s="1"/>
      <c r="V8784" s="1"/>
      <c r="W8784" s="1"/>
      <c r="X8784" s="1"/>
      <c r="Y8784" s="1"/>
      <c r="Z8784" s="620"/>
      <c r="AA8784" s="620"/>
      <c r="AB8784" s="1"/>
      <c r="AC8784" s="1"/>
      <c r="AD8784" s="1"/>
      <c r="AE8784" s="1"/>
      <c r="AF8784" s="1"/>
      <c r="AG8784" s="1"/>
      <c r="AH8784" s="1"/>
      <c r="AI8784" s="1"/>
      <c r="AJ8784" s="1"/>
      <c r="AK8784" s="1"/>
      <c r="AL8784" s="1"/>
      <c r="AM8784" s="1"/>
    </row>
    <row r="8785" spans="1:39" x14ac:dyDescent="0.25">
      <c r="A8785" s="620"/>
      <c r="B8785" s="620"/>
      <c r="C8785" s="620"/>
      <c r="D8785" s="620"/>
      <c r="E8785" s="620"/>
      <c r="F8785" s="620"/>
      <c r="G8785" s="620"/>
      <c r="H8785" s="620"/>
      <c r="I8785" s="620"/>
      <c r="J8785" s="620"/>
      <c r="K8785" s="620"/>
      <c r="L8785" s="620"/>
      <c r="M8785" s="620"/>
      <c r="N8785" s="620"/>
      <c r="O8785" s="620"/>
      <c r="P8785" s="49"/>
      <c r="Q8785" s="1"/>
      <c r="R8785" s="620"/>
      <c r="S8785" s="1"/>
      <c r="T8785" s="1"/>
      <c r="U8785" s="1"/>
      <c r="V8785" s="1"/>
      <c r="W8785" s="1"/>
      <c r="X8785" s="1"/>
      <c r="Y8785" s="1"/>
      <c r="Z8785" s="620"/>
      <c r="AA8785" s="620"/>
      <c r="AB8785" s="1"/>
      <c r="AC8785" s="1"/>
      <c r="AD8785" s="1"/>
      <c r="AE8785" s="1"/>
      <c r="AF8785" s="1"/>
      <c r="AG8785" s="1"/>
      <c r="AH8785" s="1"/>
      <c r="AI8785" s="1"/>
      <c r="AJ8785" s="1"/>
      <c r="AK8785" s="1"/>
      <c r="AL8785" s="1"/>
      <c r="AM8785" s="1"/>
    </row>
    <row r="8786" spans="1:39" x14ac:dyDescent="0.25">
      <c r="A8786" s="620"/>
      <c r="B8786" s="620"/>
      <c r="C8786" s="620"/>
      <c r="D8786" s="620"/>
      <c r="E8786" s="620"/>
      <c r="F8786" s="620"/>
      <c r="G8786" s="620"/>
      <c r="H8786" s="620"/>
      <c r="I8786" s="620"/>
      <c r="J8786" s="620"/>
      <c r="K8786" s="620"/>
      <c r="L8786" s="620"/>
      <c r="M8786" s="620"/>
      <c r="N8786" s="620"/>
      <c r="O8786" s="620"/>
      <c r="P8786" s="49"/>
      <c r="Q8786" s="1"/>
      <c r="R8786" s="620"/>
      <c r="S8786" s="1"/>
      <c r="T8786" s="1"/>
      <c r="U8786" s="1"/>
      <c r="V8786" s="1"/>
      <c r="W8786" s="1"/>
      <c r="X8786" s="1"/>
      <c r="Y8786" s="1"/>
      <c r="Z8786" s="620"/>
      <c r="AA8786" s="620"/>
      <c r="AB8786" s="1"/>
      <c r="AC8786" s="1"/>
      <c r="AD8786" s="1"/>
      <c r="AE8786" s="1"/>
      <c r="AF8786" s="1"/>
      <c r="AG8786" s="1"/>
      <c r="AH8786" s="1"/>
      <c r="AI8786" s="1"/>
      <c r="AJ8786" s="1"/>
      <c r="AK8786" s="1"/>
      <c r="AL8786" s="1"/>
      <c r="AM8786" s="1"/>
    </row>
    <row r="8787" spans="1:39" x14ac:dyDescent="0.25">
      <c r="A8787" s="620"/>
      <c r="B8787" s="620"/>
      <c r="C8787" s="620"/>
      <c r="D8787" s="620"/>
      <c r="E8787" s="620"/>
      <c r="F8787" s="620"/>
      <c r="G8787" s="620"/>
      <c r="H8787" s="620"/>
      <c r="I8787" s="620"/>
      <c r="J8787" s="620"/>
      <c r="K8787" s="620"/>
      <c r="L8787" s="620"/>
      <c r="M8787" s="620"/>
      <c r="N8787" s="620"/>
      <c r="O8787" s="620"/>
      <c r="P8787" s="49"/>
      <c r="Q8787" s="1"/>
      <c r="R8787" s="620"/>
      <c r="S8787" s="1"/>
      <c r="T8787" s="1"/>
      <c r="U8787" s="1"/>
      <c r="V8787" s="1"/>
      <c r="W8787" s="1"/>
      <c r="X8787" s="1"/>
      <c r="Y8787" s="1"/>
      <c r="Z8787" s="620"/>
      <c r="AA8787" s="620"/>
      <c r="AB8787" s="1"/>
      <c r="AC8787" s="1"/>
      <c r="AD8787" s="1"/>
      <c r="AE8787" s="1"/>
      <c r="AF8787" s="1"/>
      <c r="AG8787" s="1"/>
      <c r="AH8787" s="1"/>
      <c r="AI8787" s="1"/>
      <c r="AJ8787" s="1"/>
      <c r="AK8787" s="1"/>
      <c r="AL8787" s="1"/>
      <c r="AM8787" s="1"/>
    </row>
    <row r="8788" spans="1:39" x14ac:dyDescent="0.25">
      <c r="A8788" s="620"/>
      <c r="B8788" s="620"/>
      <c r="C8788" s="620"/>
      <c r="D8788" s="620"/>
      <c r="E8788" s="620"/>
      <c r="F8788" s="620"/>
      <c r="G8788" s="620"/>
      <c r="H8788" s="620"/>
      <c r="I8788" s="620"/>
      <c r="J8788" s="620"/>
      <c r="K8788" s="620"/>
      <c r="L8788" s="620"/>
      <c r="M8788" s="620"/>
      <c r="N8788" s="620"/>
      <c r="O8788" s="620"/>
      <c r="P8788" s="49"/>
      <c r="Q8788" s="1"/>
      <c r="R8788" s="620"/>
      <c r="S8788" s="1"/>
      <c r="T8788" s="1"/>
      <c r="U8788" s="1"/>
      <c r="V8788" s="1"/>
      <c r="W8788" s="1"/>
      <c r="X8788" s="1"/>
      <c r="Y8788" s="1"/>
      <c r="Z8788" s="620"/>
      <c r="AA8788" s="620"/>
      <c r="AB8788" s="1"/>
      <c r="AC8788" s="1"/>
      <c r="AD8788" s="1"/>
      <c r="AE8788" s="1"/>
      <c r="AF8788" s="1"/>
      <c r="AG8788" s="1"/>
      <c r="AH8788" s="1"/>
      <c r="AI8788" s="1"/>
      <c r="AJ8788" s="1"/>
      <c r="AK8788" s="1"/>
      <c r="AL8788" s="1"/>
      <c r="AM8788" s="1"/>
    </row>
    <row r="8789" spans="1:39" x14ac:dyDescent="0.25">
      <c r="A8789" s="620"/>
      <c r="B8789" s="620"/>
      <c r="C8789" s="620"/>
      <c r="D8789" s="620"/>
      <c r="E8789" s="620"/>
      <c r="F8789" s="620"/>
      <c r="G8789" s="620"/>
      <c r="H8789" s="620"/>
      <c r="I8789" s="620"/>
      <c r="J8789" s="620"/>
      <c r="K8789" s="620"/>
      <c r="L8789" s="620"/>
      <c r="M8789" s="620"/>
      <c r="N8789" s="620"/>
      <c r="O8789" s="620"/>
      <c r="P8789" s="49"/>
      <c r="Q8789" s="1"/>
      <c r="R8789" s="620"/>
      <c r="S8789" s="1"/>
      <c r="T8789" s="1"/>
      <c r="U8789" s="1"/>
      <c r="V8789" s="1"/>
      <c r="W8789" s="1"/>
      <c r="X8789" s="1"/>
      <c r="Y8789" s="1"/>
      <c r="Z8789" s="620"/>
      <c r="AA8789" s="620"/>
      <c r="AB8789" s="1"/>
      <c r="AC8789" s="1"/>
      <c r="AD8789" s="1"/>
      <c r="AE8789" s="1"/>
      <c r="AF8789" s="1"/>
      <c r="AG8789" s="1"/>
      <c r="AH8789" s="1"/>
      <c r="AI8789" s="1"/>
      <c r="AJ8789" s="1"/>
      <c r="AK8789" s="1"/>
      <c r="AL8789" s="1"/>
      <c r="AM8789" s="1"/>
    </row>
    <row r="8790" spans="1:39" x14ac:dyDescent="0.25">
      <c r="A8790" s="2066"/>
      <c r="B8790" s="2066"/>
      <c r="C8790" s="2066"/>
      <c r="D8790" s="2066"/>
      <c r="E8790" s="2066"/>
      <c r="F8790" s="2066"/>
      <c r="G8790" s="2066"/>
      <c r="H8790" s="2066"/>
      <c r="I8790" s="2066"/>
      <c r="J8790" s="2066"/>
      <c r="K8790" s="2066"/>
      <c r="L8790" s="2066"/>
      <c r="M8790" s="2066"/>
      <c r="N8790" s="2066"/>
      <c r="O8790" s="2066"/>
      <c r="P8790" s="49"/>
      <c r="Q8790" s="1"/>
      <c r="R8790" s="2066"/>
      <c r="S8790" s="1"/>
      <c r="T8790" s="1"/>
      <c r="U8790" s="1"/>
      <c r="V8790" s="1"/>
      <c r="W8790" s="1"/>
      <c r="X8790" s="1"/>
      <c r="Y8790" s="1"/>
      <c r="Z8790" s="2066"/>
      <c r="AA8790" s="2066"/>
      <c r="AB8790" s="1"/>
      <c r="AC8790" s="1"/>
      <c r="AD8790" s="1"/>
      <c r="AE8790" s="1"/>
      <c r="AF8790" s="1"/>
      <c r="AG8790" s="1"/>
      <c r="AH8790" s="1"/>
      <c r="AI8790" s="1"/>
      <c r="AJ8790" s="1"/>
      <c r="AK8790" s="1"/>
      <c r="AL8790" s="1"/>
      <c r="AM8790" s="1"/>
    </row>
    <row r="8791" spans="1:39" x14ac:dyDescent="0.25">
      <c r="A8791" s="2066"/>
      <c r="B8791" s="2066"/>
      <c r="C8791" s="2066"/>
      <c r="D8791" s="2066"/>
      <c r="E8791" s="2066"/>
      <c r="F8791" s="2066"/>
      <c r="G8791" s="2066"/>
      <c r="H8791" s="2066"/>
      <c r="I8791" s="2066"/>
      <c r="J8791" s="2066"/>
      <c r="K8791" s="2066"/>
      <c r="L8791" s="2066"/>
      <c r="M8791" s="2066"/>
      <c r="N8791" s="2066"/>
      <c r="O8791" s="2066"/>
      <c r="P8791" s="49"/>
      <c r="Q8791" s="1"/>
      <c r="R8791" s="2066"/>
      <c r="S8791" s="1"/>
      <c r="T8791" s="1"/>
      <c r="U8791" s="1"/>
      <c r="V8791" s="1"/>
      <c r="W8791" s="1"/>
      <c r="X8791" s="1"/>
      <c r="Y8791" s="1"/>
      <c r="Z8791" s="2066"/>
      <c r="AA8791" s="2066"/>
      <c r="AB8791" s="1"/>
      <c r="AC8791" s="1"/>
      <c r="AD8791" s="1"/>
      <c r="AE8791" s="1"/>
      <c r="AF8791" s="1"/>
      <c r="AG8791" s="1"/>
      <c r="AH8791" s="1"/>
      <c r="AI8791" s="1"/>
      <c r="AJ8791" s="1"/>
      <c r="AK8791" s="1"/>
      <c r="AL8791" s="1"/>
      <c r="AM8791" s="1"/>
    </row>
    <row r="8792" spans="1:39" x14ac:dyDescent="0.25">
      <c r="A8792" s="2066"/>
      <c r="B8792" s="2066"/>
      <c r="C8792" s="2066"/>
      <c r="D8792" s="2066"/>
      <c r="E8792" s="2066"/>
      <c r="F8792" s="2066"/>
      <c r="G8792" s="2066"/>
      <c r="H8792" s="2066"/>
      <c r="I8792" s="2066"/>
      <c r="J8792" s="2066"/>
      <c r="K8792" s="2066"/>
      <c r="L8792" s="2066"/>
      <c r="M8792" s="2066"/>
      <c r="N8792" s="2066"/>
      <c r="O8792" s="2066"/>
      <c r="P8792" s="49"/>
      <c r="Q8792" s="1"/>
      <c r="R8792" s="2066"/>
      <c r="S8792" s="1"/>
      <c r="T8792" s="1"/>
      <c r="U8792" s="1"/>
      <c r="V8792" s="1"/>
      <c r="W8792" s="1"/>
      <c r="X8792" s="1"/>
      <c r="Y8792" s="1"/>
      <c r="Z8792" s="2066"/>
      <c r="AA8792" s="2066"/>
      <c r="AB8792" s="1"/>
      <c r="AC8792" s="1"/>
      <c r="AD8792" s="1"/>
      <c r="AE8792" s="1"/>
      <c r="AF8792" s="1"/>
      <c r="AG8792" s="1"/>
      <c r="AH8792" s="1"/>
      <c r="AI8792" s="1"/>
      <c r="AJ8792" s="1"/>
      <c r="AK8792" s="1"/>
      <c r="AL8792" s="1"/>
      <c r="AM8792" s="1"/>
    </row>
    <row r="8793" spans="1:39" x14ac:dyDescent="0.25">
      <c r="A8793" s="2066"/>
      <c r="B8793" s="2066"/>
      <c r="C8793" s="2066"/>
      <c r="D8793" s="2066"/>
      <c r="E8793" s="2066"/>
      <c r="F8793" s="2066"/>
      <c r="G8793" s="2066"/>
      <c r="H8793" s="2066"/>
      <c r="I8793" s="2066"/>
      <c r="J8793" s="2066"/>
      <c r="K8793" s="2066"/>
      <c r="L8793" s="2066"/>
      <c r="M8793" s="2066"/>
      <c r="N8793" s="2066"/>
      <c r="O8793" s="2066"/>
      <c r="P8793" s="49"/>
      <c r="Q8793" s="1"/>
      <c r="R8793" s="2066"/>
      <c r="S8793" s="1"/>
      <c r="T8793" s="1"/>
      <c r="U8793" s="1"/>
      <c r="V8793" s="1"/>
      <c r="W8793" s="1"/>
      <c r="X8793" s="1"/>
      <c r="Y8793" s="1"/>
      <c r="Z8793" s="2066"/>
      <c r="AA8793" s="2066"/>
      <c r="AB8793" s="1"/>
      <c r="AC8793" s="1"/>
      <c r="AD8793" s="1"/>
      <c r="AE8793" s="1"/>
      <c r="AF8793" s="1"/>
      <c r="AG8793" s="1"/>
      <c r="AH8793" s="1"/>
      <c r="AI8793" s="1"/>
      <c r="AJ8793" s="1"/>
      <c r="AK8793" s="1"/>
      <c r="AL8793" s="1"/>
      <c r="AM8793" s="1"/>
    </row>
    <row r="8794" spans="1:39" x14ac:dyDescent="0.25">
      <c r="A8794" s="2066"/>
      <c r="B8794" s="2066"/>
      <c r="C8794" s="2066"/>
      <c r="D8794" s="2066"/>
      <c r="E8794" s="2066"/>
      <c r="F8794" s="2066"/>
      <c r="G8794" s="2066"/>
      <c r="H8794" s="2066"/>
      <c r="I8794" s="2066"/>
      <c r="J8794" s="2066"/>
      <c r="K8794" s="2066"/>
      <c r="L8794" s="2066"/>
      <c r="M8794" s="2066"/>
      <c r="N8794" s="2066"/>
      <c r="O8794" s="2066"/>
      <c r="P8794" s="49"/>
      <c r="Q8794" s="1"/>
      <c r="R8794" s="2066"/>
      <c r="S8794" s="1"/>
      <c r="T8794" s="1"/>
      <c r="U8794" s="1"/>
      <c r="V8794" s="1"/>
      <c r="W8794" s="1"/>
      <c r="X8794" s="1"/>
      <c r="Y8794" s="1"/>
      <c r="Z8794" s="2066"/>
      <c r="AA8794" s="2066"/>
      <c r="AB8794" s="1"/>
      <c r="AC8794" s="1"/>
      <c r="AD8794" s="1"/>
      <c r="AE8794" s="1"/>
      <c r="AF8794" s="1"/>
      <c r="AG8794" s="1"/>
      <c r="AH8794" s="1"/>
      <c r="AI8794" s="1"/>
      <c r="AJ8794" s="1"/>
      <c r="AK8794" s="1"/>
      <c r="AL8794" s="1"/>
      <c r="AM8794" s="1"/>
    </row>
    <row r="8795" spans="1:39" x14ac:dyDescent="0.25">
      <c r="A8795" s="2066"/>
      <c r="B8795" s="2066"/>
      <c r="C8795" s="2066"/>
      <c r="D8795" s="2066"/>
      <c r="E8795" s="2066"/>
      <c r="F8795" s="2066"/>
      <c r="G8795" s="2066"/>
      <c r="H8795" s="2066"/>
      <c r="I8795" s="2066"/>
      <c r="J8795" s="2066"/>
      <c r="K8795" s="2066"/>
      <c r="L8795" s="2066"/>
      <c r="M8795" s="2066"/>
      <c r="N8795" s="2066"/>
      <c r="O8795" s="2066"/>
      <c r="P8795" s="49"/>
      <c r="Q8795" s="1"/>
      <c r="R8795" s="2066"/>
      <c r="S8795" s="1"/>
      <c r="T8795" s="1"/>
      <c r="U8795" s="1"/>
      <c r="V8795" s="1"/>
      <c r="W8795" s="1"/>
      <c r="X8795" s="1"/>
      <c r="Y8795" s="1"/>
      <c r="Z8795" s="2066"/>
      <c r="AA8795" s="2066"/>
      <c r="AB8795" s="1"/>
      <c r="AC8795" s="1"/>
      <c r="AD8795" s="1"/>
      <c r="AE8795" s="1"/>
      <c r="AF8795" s="1"/>
      <c r="AG8795" s="1"/>
      <c r="AH8795" s="1"/>
      <c r="AI8795" s="1"/>
      <c r="AJ8795" s="1"/>
      <c r="AK8795" s="1"/>
      <c r="AL8795" s="1"/>
      <c r="AM8795" s="1"/>
    </row>
    <row r="8796" spans="1:39" x14ac:dyDescent="0.25">
      <c r="A8796" s="2066"/>
      <c r="B8796" s="2066"/>
      <c r="C8796" s="2066"/>
      <c r="D8796" s="2066"/>
      <c r="E8796" s="2066"/>
      <c r="F8796" s="2066"/>
      <c r="G8796" s="2066"/>
      <c r="H8796" s="2066"/>
      <c r="I8796" s="2066"/>
      <c r="J8796" s="2066"/>
      <c r="K8796" s="2066"/>
      <c r="L8796" s="2066"/>
      <c r="M8796" s="2066"/>
      <c r="N8796" s="2066"/>
      <c r="O8796" s="2066"/>
      <c r="P8796" s="49"/>
      <c r="Q8796" s="1"/>
      <c r="R8796" s="2066"/>
      <c r="S8796" s="1"/>
      <c r="T8796" s="1"/>
      <c r="U8796" s="1"/>
      <c r="V8796" s="1"/>
      <c r="W8796" s="1"/>
      <c r="X8796" s="1"/>
      <c r="Y8796" s="1"/>
      <c r="Z8796" s="2066"/>
      <c r="AA8796" s="2066"/>
      <c r="AB8796" s="1"/>
      <c r="AC8796" s="1"/>
      <c r="AD8796" s="1"/>
      <c r="AE8796" s="1"/>
      <c r="AF8796" s="1"/>
      <c r="AG8796" s="1"/>
      <c r="AH8796" s="1"/>
      <c r="AI8796" s="1"/>
      <c r="AJ8796" s="1"/>
      <c r="AK8796" s="1"/>
      <c r="AL8796" s="1"/>
      <c r="AM8796" s="1"/>
    </row>
    <row r="8797" spans="1:39" x14ac:dyDescent="0.25">
      <c r="A8797" s="2066"/>
      <c r="B8797" s="2066"/>
      <c r="C8797" s="2066"/>
      <c r="D8797" s="2066"/>
      <c r="E8797" s="2066"/>
      <c r="F8797" s="2066"/>
      <c r="G8797" s="2066"/>
      <c r="H8797" s="2066"/>
      <c r="I8797" s="2066"/>
      <c r="J8797" s="2066"/>
      <c r="K8797" s="2066"/>
      <c r="L8797" s="2066"/>
      <c r="M8797" s="2066"/>
      <c r="N8797" s="2066"/>
      <c r="O8797" s="2066"/>
      <c r="P8797" s="49"/>
      <c r="Q8797" s="1"/>
      <c r="R8797" s="2066"/>
      <c r="S8797" s="1"/>
      <c r="T8797" s="1"/>
      <c r="U8797" s="1"/>
      <c r="V8797" s="1"/>
      <c r="W8797" s="1"/>
      <c r="X8797" s="1"/>
      <c r="Y8797" s="1"/>
      <c r="Z8797" s="2066"/>
      <c r="AA8797" s="2066"/>
      <c r="AB8797" s="1"/>
      <c r="AC8797" s="1"/>
      <c r="AD8797" s="1"/>
      <c r="AE8797" s="1"/>
      <c r="AF8797" s="1"/>
      <c r="AG8797" s="1"/>
      <c r="AH8797" s="1"/>
      <c r="AI8797" s="1"/>
      <c r="AJ8797" s="1"/>
      <c r="AK8797" s="1"/>
      <c r="AL8797" s="1"/>
      <c r="AM8797" s="1"/>
    </row>
    <row r="8798" spans="1:39" x14ac:dyDescent="0.25">
      <c r="A8798" s="2066"/>
      <c r="B8798" s="2066"/>
      <c r="C8798" s="2066"/>
      <c r="D8798" s="2066"/>
      <c r="E8798" s="2066"/>
      <c r="F8798" s="2066"/>
      <c r="G8798" s="2066"/>
      <c r="H8798" s="2066"/>
      <c r="I8798" s="2066"/>
      <c r="J8798" s="2066"/>
      <c r="K8798" s="2066"/>
      <c r="L8798" s="2066"/>
      <c r="M8798" s="2066"/>
      <c r="N8798" s="2066"/>
      <c r="O8798" s="2066"/>
      <c r="P8798" s="49"/>
      <c r="Q8798" s="1"/>
      <c r="R8798" s="2066"/>
      <c r="S8798" s="1"/>
      <c r="T8798" s="1"/>
      <c r="U8798" s="1"/>
      <c r="V8798" s="1"/>
      <c r="W8798" s="1"/>
      <c r="X8798" s="1"/>
      <c r="Y8798" s="1"/>
      <c r="Z8798" s="2066"/>
      <c r="AA8798" s="2066"/>
      <c r="AB8798" s="1"/>
      <c r="AC8798" s="1"/>
      <c r="AD8798" s="1"/>
      <c r="AE8798" s="1"/>
      <c r="AF8798" s="1"/>
      <c r="AG8798" s="1"/>
      <c r="AH8798" s="1"/>
      <c r="AI8798" s="1"/>
      <c r="AJ8798" s="1"/>
      <c r="AK8798" s="1"/>
      <c r="AL8798" s="1"/>
      <c r="AM8798" s="1"/>
    </row>
    <row r="8799" spans="1:39" x14ac:dyDescent="0.25">
      <c r="A8799" s="2066"/>
      <c r="B8799" s="2066"/>
      <c r="C8799" s="2066"/>
      <c r="D8799" s="2066"/>
      <c r="E8799" s="2066"/>
      <c r="F8799" s="2066"/>
      <c r="G8799" s="2066"/>
      <c r="H8799" s="2066"/>
      <c r="I8799" s="2066"/>
      <c r="J8799" s="2066"/>
      <c r="K8799" s="2066"/>
      <c r="L8799" s="2066"/>
      <c r="M8799" s="2066"/>
      <c r="N8799" s="2066"/>
      <c r="O8799" s="2066"/>
      <c r="P8799" s="49"/>
      <c r="Q8799" s="1"/>
      <c r="R8799" s="2066"/>
      <c r="S8799" s="1"/>
      <c r="T8799" s="1"/>
      <c r="U8799" s="1"/>
      <c r="V8799" s="1"/>
      <c r="W8799" s="1"/>
      <c r="X8799" s="1"/>
      <c r="Y8799" s="1"/>
      <c r="Z8799" s="2066"/>
      <c r="AA8799" s="2066"/>
      <c r="AB8799" s="1"/>
      <c r="AC8799" s="1"/>
      <c r="AD8799" s="1"/>
      <c r="AE8799" s="1"/>
      <c r="AF8799" s="1"/>
      <c r="AG8799" s="1"/>
      <c r="AH8799" s="1"/>
      <c r="AI8799" s="1"/>
      <c r="AJ8799" s="1"/>
      <c r="AK8799" s="1"/>
      <c r="AL8799" s="1"/>
      <c r="AM8799" s="1"/>
    </row>
    <row r="8800" spans="1:39" x14ac:dyDescent="0.25">
      <c r="A8800" s="2066"/>
      <c r="B8800" s="2066"/>
      <c r="C8800" s="2066"/>
      <c r="D8800" s="2066"/>
      <c r="E8800" s="2066"/>
      <c r="F8800" s="2066"/>
      <c r="G8800" s="2066"/>
      <c r="H8800" s="2066"/>
      <c r="I8800" s="2066"/>
      <c r="J8800" s="2066"/>
      <c r="K8800" s="2066"/>
      <c r="L8800" s="2066"/>
      <c r="M8800" s="2066"/>
      <c r="N8800" s="2066"/>
      <c r="O8800" s="2066"/>
      <c r="P8800" s="49"/>
      <c r="Q8800" s="1"/>
      <c r="R8800" s="2066"/>
      <c r="S8800" s="1"/>
      <c r="T8800" s="1"/>
      <c r="U8800" s="1"/>
      <c r="V8800" s="1"/>
      <c r="W8800" s="1"/>
      <c r="X8800" s="1"/>
      <c r="Y8800" s="1"/>
      <c r="Z8800" s="2066"/>
      <c r="AA8800" s="2066"/>
      <c r="AB8800" s="1"/>
      <c r="AC8800" s="1"/>
      <c r="AD8800" s="1"/>
      <c r="AE8800" s="1"/>
      <c r="AF8800" s="1"/>
      <c r="AG8800" s="1"/>
      <c r="AH8800" s="1"/>
      <c r="AI8800" s="1"/>
      <c r="AJ8800" s="1"/>
      <c r="AK8800" s="1"/>
      <c r="AL8800" s="1"/>
      <c r="AM8800" s="1"/>
    </row>
    <row r="8801" spans="1:39" x14ac:dyDescent="0.25">
      <c r="A8801" s="2066"/>
      <c r="B8801" s="2066"/>
      <c r="C8801" s="2066"/>
      <c r="D8801" s="2066"/>
      <c r="E8801" s="2066"/>
      <c r="F8801" s="2066"/>
      <c r="G8801" s="2066"/>
      <c r="H8801" s="2066"/>
      <c r="I8801" s="2066"/>
      <c r="J8801" s="2066"/>
      <c r="K8801" s="2066"/>
      <c r="L8801" s="2066"/>
      <c r="M8801" s="2066"/>
      <c r="N8801" s="2066"/>
      <c r="O8801" s="2066"/>
      <c r="P8801" s="49"/>
      <c r="Q8801" s="1"/>
      <c r="R8801" s="2066"/>
      <c r="S8801" s="1"/>
      <c r="T8801" s="1"/>
      <c r="U8801" s="1"/>
      <c r="V8801" s="1"/>
      <c r="W8801" s="1"/>
      <c r="X8801" s="1"/>
      <c r="Y8801" s="1"/>
      <c r="Z8801" s="2066"/>
      <c r="AA8801" s="2066"/>
      <c r="AB8801" s="1"/>
      <c r="AC8801" s="1"/>
      <c r="AD8801" s="1"/>
      <c r="AE8801" s="1"/>
      <c r="AF8801" s="1"/>
      <c r="AG8801" s="1"/>
      <c r="AH8801" s="1"/>
      <c r="AI8801" s="1"/>
      <c r="AJ8801" s="1"/>
      <c r="AK8801" s="1"/>
      <c r="AL8801" s="1"/>
      <c r="AM8801" s="1"/>
    </row>
    <row r="8802" spans="1:39" x14ac:dyDescent="0.25">
      <c r="A8802" s="2066"/>
      <c r="B8802" s="2066"/>
      <c r="C8802" s="2066"/>
      <c r="D8802" s="2066"/>
      <c r="E8802" s="2066"/>
      <c r="F8802" s="2066"/>
      <c r="G8802" s="2066"/>
      <c r="H8802" s="2066"/>
      <c r="I8802" s="2066"/>
      <c r="J8802" s="2066"/>
      <c r="K8802" s="2066"/>
      <c r="L8802" s="2066"/>
      <c r="M8802" s="2066"/>
      <c r="N8802" s="2066"/>
      <c r="O8802" s="2066"/>
      <c r="P8802" s="49"/>
      <c r="Q8802" s="1"/>
      <c r="R8802" s="2066"/>
      <c r="S8802" s="1"/>
      <c r="T8802" s="1"/>
      <c r="U8802" s="1"/>
      <c r="V8802" s="1"/>
      <c r="W8802" s="1"/>
      <c r="X8802" s="1"/>
      <c r="Y8802" s="1"/>
      <c r="Z8802" s="2066"/>
      <c r="AA8802" s="2066"/>
      <c r="AB8802" s="1"/>
      <c r="AC8802" s="1"/>
      <c r="AD8802" s="1"/>
      <c r="AE8802" s="1"/>
      <c r="AF8802" s="1"/>
      <c r="AG8802" s="1"/>
      <c r="AH8802" s="1"/>
      <c r="AI8802" s="1"/>
      <c r="AJ8802" s="1"/>
      <c r="AK8802" s="1"/>
      <c r="AL8802" s="1"/>
      <c r="AM8802" s="1"/>
    </row>
    <row r="8803" spans="1:39" x14ac:dyDescent="0.25">
      <c r="A8803" s="2066"/>
      <c r="B8803" s="2066"/>
      <c r="C8803" s="2066"/>
      <c r="D8803" s="2066"/>
      <c r="E8803" s="2066"/>
      <c r="F8803" s="2066"/>
      <c r="G8803" s="2066"/>
      <c r="H8803" s="2066"/>
      <c r="I8803" s="2066"/>
      <c r="J8803" s="2066"/>
      <c r="K8803" s="2066"/>
      <c r="L8803" s="2066"/>
      <c r="M8803" s="2066"/>
      <c r="N8803" s="2066"/>
      <c r="O8803" s="2066"/>
      <c r="P8803" s="49"/>
      <c r="Q8803" s="1"/>
      <c r="R8803" s="2066"/>
      <c r="S8803" s="1"/>
      <c r="T8803" s="1"/>
      <c r="U8803" s="1"/>
      <c r="V8803" s="1"/>
      <c r="W8803" s="1"/>
      <c r="X8803" s="1"/>
      <c r="Y8803" s="1"/>
      <c r="Z8803" s="2066"/>
      <c r="AA8803" s="2066"/>
      <c r="AB8803" s="1"/>
      <c r="AC8803" s="1"/>
      <c r="AD8803" s="1"/>
      <c r="AE8803" s="1"/>
      <c r="AF8803" s="1"/>
      <c r="AG8803" s="1"/>
      <c r="AH8803" s="1"/>
      <c r="AI8803" s="1"/>
      <c r="AJ8803" s="1"/>
      <c r="AK8803" s="1"/>
      <c r="AL8803" s="1"/>
      <c r="AM8803" s="1"/>
    </row>
    <row r="8804" spans="1:39" x14ac:dyDescent="0.25">
      <c r="A8804" s="2066"/>
      <c r="B8804" s="2066"/>
      <c r="C8804" s="2066"/>
      <c r="D8804" s="2066"/>
      <c r="E8804" s="2066"/>
      <c r="F8804" s="2066"/>
      <c r="G8804" s="2066"/>
      <c r="H8804" s="2066"/>
      <c r="I8804" s="2066"/>
      <c r="J8804" s="2066"/>
      <c r="K8804" s="2066"/>
      <c r="L8804" s="2066"/>
      <c r="M8804" s="2066"/>
      <c r="N8804" s="2066"/>
      <c r="O8804" s="2066"/>
      <c r="P8804" s="49"/>
      <c r="Q8804" s="1"/>
      <c r="R8804" s="2066"/>
      <c r="S8804" s="1"/>
      <c r="T8804" s="1"/>
      <c r="U8804" s="1"/>
      <c r="V8804" s="1"/>
      <c r="W8804" s="1"/>
      <c r="X8804" s="1"/>
      <c r="Y8804" s="1"/>
      <c r="Z8804" s="2066"/>
      <c r="AA8804" s="2066"/>
      <c r="AB8804" s="1"/>
      <c r="AC8804" s="1"/>
      <c r="AD8804" s="1"/>
      <c r="AE8804" s="1"/>
      <c r="AF8804" s="1"/>
      <c r="AG8804" s="1"/>
      <c r="AH8804" s="1"/>
      <c r="AI8804" s="1"/>
      <c r="AJ8804" s="1"/>
      <c r="AK8804" s="1"/>
      <c r="AL8804" s="1"/>
      <c r="AM8804" s="1"/>
    </row>
    <row r="8805" spans="1:39" x14ac:dyDescent="0.25">
      <c r="A8805" s="2066"/>
      <c r="B8805" s="2066"/>
      <c r="C8805" s="2066"/>
      <c r="D8805" s="2066"/>
      <c r="E8805" s="2066"/>
      <c r="F8805" s="2066"/>
      <c r="G8805" s="2066"/>
      <c r="H8805" s="2066"/>
      <c r="I8805" s="2066"/>
      <c r="J8805" s="2066"/>
      <c r="K8805" s="2066"/>
      <c r="L8805" s="2066"/>
      <c r="M8805" s="2066"/>
      <c r="N8805" s="2066"/>
      <c r="O8805" s="2066"/>
      <c r="P8805" s="49"/>
      <c r="Q8805" s="1"/>
      <c r="R8805" s="2066"/>
      <c r="S8805" s="1"/>
      <c r="T8805" s="1"/>
      <c r="U8805" s="1"/>
      <c r="V8805" s="1"/>
      <c r="W8805" s="1"/>
      <c r="X8805" s="1"/>
      <c r="Y8805" s="1"/>
      <c r="Z8805" s="2066"/>
      <c r="AA8805" s="2066"/>
      <c r="AB8805" s="1"/>
      <c r="AC8805" s="1"/>
      <c r="AD8805" s="1"/>
      <c r="AE8805" s="1"/>
      <c r="AF8805" s="1"/>
      <c r="AG8805" s="1"/>
      <c r="AH8805" s="1"/>
      <c r="AI8805" s="1"/>
      <c r="AJ8805" s="1"/>
      <c r="AK8805" s="1"/>
      <c r="AL8805" s="1"/>
      <c r="AM8805" s="1"/>
    </row>
    <row r="8806" spans="1:39" x14ac:dyDescent="0.25">
      <c r="A8806" s="2066"/>
      <c r="B8806" s="2066"/>
      <c r="C8806" s="2066"/>
      <c r="D8806" s="2066"/>
      <c r="E8806" s="2066"/>
      <c r="F8806" s="2066"/>
      <c r="G8806" s="2066"/>
      <c r="H8806" s="2066"/>
      <c r="I8806" s="2066"/>
      <c r="J8806" s="2066"/>
      <c r="K8806" s="2066"/>
      <c r="L8806" s="2066"/>
      <c r="M8806" s="2066"/>
      <c r="N8806" s="2066"/>
      <c r="O8806" s="2066"/>
      <c r="P8806" s="49"/>
      <c r="Q8806" s="1"/>
      <c r="R8806" s="2066"/>
      <c r="S8806" s="1"/>
      <c r="T8806" s="1"/>
      <c r="U8806" s="1"/>
      <c r="V8806" s="1"/>
      <c r="W8806" s="1"/>
      <c r="X8806" s="1"/>
      <c r="Y8806" s="1"/>
      <c r="Z8806" s="2066"/>
      <c r="AA8806" s="2066"/>
      <c r="AB8806" s="1"/>
      <c r="AC8806" s="1"/>
      <c r="AD8806" s="1"/>
      <c r="AE8806" s="1"/>
      <c r="AF8806" s="1"/>
      <c r="AG8806" s="1"/>
      <c r="AH8806" s="1"/>
      <c r="AI8806" s="1"/>
      <c r="AJ8806" s="1"/>
      <c r="AK8806" s="1"/>
      <c r="AL8806" s="1"/>
      <c r="AM8806" s="1"/>
    </row>
    <row r="8807" spans="1:39" x14ac:dyDescent="0.25">
      <c r="A8807" s="2066"/>
      <c r="B8807" s="2066"/>
      <c r="C8807" s="2066"/>
      <c r="D8807" s="2066"/>
      <c r="E8807" s="2066"/>
      <c r="F8807" s="2066"/>
      <c r="G8807" s="2066"/>
      <c r="H8807" s="2066"/>
      <c r="I8807" s="2066"/>
      <c r="J8807" s="2066"/>
      <c r="K8807" s="2066"/>
      <c r="L8807" s="2066"/>
      <c r="M8807" s="2066"/>
      <c r="N8807" s="2066"/>
      <c r="O8807" s="2066"/>
      <c r="P8807" s="49"/>
      <c r="Q8807" s="1"/>
      <c r="R8807" s="2066"/>
      <c r="S8807" s="1"/>
      <c r="T8807" s="1"/>
      <c r="U8807" s="1"/>
      <c r="V8807" s="1"/>
      <c r="W8807" s="1"/>
      <c r="X8807" s="1"/>
      <c r="Y8807" s="1"/>
      <c r="Z8807" s="2066"/>
      <c r="AA8807" s="2066"/>
      <c r="AB8807" s="1"/>
      <c r="AC8807" s="1"/>
      <c r="AD8807" s="1"/>
      <c r="AE8807" s="1"/>
      <c r="AF8807" s="1"/>
      <c r="AG8807" s="1"/>
      <c r="AH8807" s="1"/>
      <c r="AI8807" s="1"/>
      <c r="AJ8807" s="1"/>
      <c r="AK8807" s="1"/>
      <c r="AL8807" s="1"/>
      <c r="AM8807" s="1"/>
    </row>
    <row r="8808" spans="1:39" x14ac:dyDescent="0.25">
      <c r="A8808" s="2066"/>
      <c r="B8808" s="2066"/>
      <c r="C8808" s="2066"/>
      <c r="D8808" s="2066"/>
      <c r="E8808" s="2066"/>
      <c r="F8808" s="2066"/>
      <c r="G8808" s="2066"/>
      <c r="H8808" s="2066"/>
      <c r="I8808" s="2066"/>
      <c r="J8808" s="2066"/>
      <c r="K8808" s="2066"/>
      <c r="L8808" s="2066"/>
      <c r="M8808" s="2066"/>
      <c r="N8808" s="2066"/>
      <c r="O8808" s="2066"/>
      <c r="P8808" s="49"/>
      <c r="Q8808" s="1"/>
      <c r="R8808" s="2066"/>
      <c r="S8808" s="1"/>
      <c r="T8808" s="1"/>
      <c r="U8808" s="1"/>
      <c r="V8808" s="1"/>
      <c r="W8808" s="1"/>
      <c r="X8808" s="1"/>
      <c r="Y8808" s="1"/>
      <c r="Z8808" s="2066"/>
      <c r="AA8808" s="2066"/>
      <c r="AB8808" s="1"/>
      <c r="AC8808" s="1"/>
      <c r="AD8808" s="1"/>
      <c r="AE8808" s="1"/>
      <c r="AF8808" s="1"/>
      <c r="AG8808" s="1"/>
      <c r="AH8808" s="1"/>
      <c r="AI8808" s="1"/>
      <c r="AJ8808" s="1"/>
      <c r="AK8808" s="1"/>
      <c r="AL8808" s="1"/>
      <c r="AM8808" s="1"/>
    </row>
    <row r="8809" spans="1:39" x14ac:dyDescent="0.25">
      <c r="A8809" s="2066"/>
      <c r="B8809" s="2066"/>
      <c r="C8809" s="2066"/>
      <c r="D8809" s="2066"/>
      <c r="E8809" s="2066"/>
      <c r="F8809" s="2066"/>
      <c r="G8809" s="2066"/>
      <c r="H8809" s="2066"/>
      <c r="I8809" s="2066"/>
      <c r="J8809" s="2066"/>
      <c r="K8809" s="2066"/>
      <c r="L8809" s="2066"/>
      <c r="M8809" s="2066"/>
      <c r="N8809" s="2066"/>
      <c r="O8809" s="2066"/>
      <c r="P8809" s="49"/>
      <c r="Q8809" s="1"/>
      <c r="R8809" s="2066"/>
      <c r="S8809" s="1"/>
      <c r="T8809" s="1"/>
      <c r="U8809" s="1"/>
      <c r="V8809" s="1"/>
      <c r="W8809" s="1"/>
      <c r="X8809" s="1"/>
      <c r="Y8809" s="1"/>
      <c r="Z8809" s="2066"/>
      <c r="AA8809" s="2066"/>
      <c r="AB8809" s="1"/>
      <c r="AC8809" s="1"/>
      <c r="AD8809" s="1"/>
      <c r="AE8809" s="1"/>
      <c r="AF8809" s="1"/>
      <c r="AG8809" s="1"/>
      <c r="AH8809" s="1"/>
      <c r="AI8809" s="1"/>
      <c r="AJ8809" s="1"/>
      <c r="AK8809" s="1"/>
      <c r="AL8809" s="1"/>
      <c r="AM8809" s="1"/>
    </row>
    <row r="8810" spans="1:39" x14ac:dyDescent="0.25">
      <c r="A8810" s="2066"/>
      <c r="B8810" s="2066"/>
      <c r="C8810" s="2066"/>
      <c r="D8810" s="2066"/>
      <c r="E8810" s="2066"/>
      <c r="F8810" s="2066"/>
      <c r="G8810" s="2066"/>
      <c r="H8810" s="2066"/>
      <c r="I8810" s="2066"/>
      <c r="J8810" s="2066"/>
      <c r="K8810" s="2066"/>
      <c r="L8810" s="2066"/>
      <c r="M8810" s="2066"/>
      <c r="N8810" s="2066"/>
      <c r="O8810" s="2066"/>
      <c r="P8810" s="49"/>
      <c r="Q8810" s="1"/>
      <c r="R8810" s="2066"/>
      <c r="S8810" s="1"/>
      <c r="T8810" s="1"/>
      <c r="U8810" s="1"/>
      <c r="V8810" s="1"/>
      <c r="W8810" s="1"/>
      <c r="X8810" s="1"/>
      <c r="Y8810" s="1"/>
      <c r="Z8810" s="2066"/>
      <c r="AA8810" s="2066"/>
      <c r="AB8810" s="1"/>
      <c r="AC8810" s="1"/>
      <c r="AD8810" s="1"/>
      <c r="AE8810" s="1"/>
      <c r="AF8810" s="1"/>
      <c r="AG8810" s="1"/>
      <c r="AH8810" s="1"/>
      <c r="AI8810" s="1"/>
      <c r="AJ8810" s="1"/>
      <c r="AK8810" s="1"/>
      <c r="AL8810" s="1"/>
      <c r="AM8810" s="1"/>
    </row>
    <row r="8811" spans="1:39" x14ac:dyDescent="0.25">
      <c r="A8811" s="2066"/>
      <c r="B8811" s="2066"/>
      <c r="C8811" s="2066"/>
      <c r="D8811" s="2066"/>
      <c r="E8811" s="2066"/>
      <c r="F8811" s="2066"/>
      <c r="G8811" s="2066"/>
      <c r="H8811" s="2066"/>
      <c r="I8811" s="2066"/>
      <c r="J8811" s="2066"/>
      <c r="K8811" s="2066"/>
      <c r="L8811" s="2066"/>
      <c r="M8811" s="2066"/>
      <c r="N8811" s="2066"/>
      <c r="O8811" s="2066"/>
      <c r="P8811" s="49"/>
      <c r="Q8811" s="1"/>
      <c r="R8811" s="2066"/>
      <c r="S8811" s="1"/>
      <c r="T8811" s="1"/>
      <c r="U8811" s="1"/>
      <c r="V8811" s="1"/>
      <c r="W8811" s="1"/>
      <c r="X8811" s="1"/>
      <c r="Y8811" s="1"/>
      <c r="Z8811" s="2066"/>
      <c r="AA8811" s="2066"/>
      <c r="AB8811" s="1"/>
      <c r="AC8811" s="1"/>
      <c r="AD8811" s="1"/>
      <c r="AE8811" s="1"/>
      <c r="AF8811" s="1"/>
      <c r="AG8811" s="1"/>
      <c r="AH8811" s="1"/>
      <c r="AI8811" s="1"/>
      <c r="AJ8811" s="1"/>
      <c r="AK8811" s="1"/>
      <c r="AL8811" s="1"/>
      <c r="AM8811" s="1"/>
    </row>
    <row r="8812" spans="1:39" x14ac:dyDescent="0.25">
      <c r="A8812" s="2066"/>
      <c r="B8812" s="2066"/>
      <c r="C8812" s="2066"/>
      <c r="D8812" s="2066"/>
      <c r="E8812" s="2066"/>
      <c r="F8812" s="2066"/>
      <c r="G8812" s="2066"/>
      <c r="H8812" s="2066"/>
      <c r="I8812" s="2066"/>
      <c r="J8812" s="2066"/>
      <c r="K8812" s="2066"/>
      <c r="L8812" s="2066"/>
      <c r="M8812" s="2066"/>
      <c r="N8812" s="2066"/>
      <c r="O8812" s="2066"/>
      <c r="P8812" s="49"/>
      <c r="Q8812" s="1"/>
      <c r="R8812" s="2066"/>
      <c r="S8812" s="1"/>
      <c r="T8812" s="1"/>
      <c r="U8812" s="1"/>
      <c r="V8812" s="1"/>
      <c r="W8812" s="1"/>
      <c r="X8812" s="1"/>
      <c r="Y8812" s="1"/>
      <c r="Z8812" s="2066"/>
      <c r="AA8812" s="2066"/>
      <c r="AB8812" s="1"/>
      <c r="AC8812" s="1"/>
      <c r="AD8812" s="1"/>
      <c r="AE8812" s="1"/>
      <c r="AF8812" s="1"/>
      <c r="AG8812" s="1"/>
      <c r="AH8812" s="1"/>
      <c r="AI8812" s="1"/>
      <c r="AJ8812" s="1"/>
      <c r="AK8812" s="1"/>
      <c r="AL8812" s="1"/>
      <c r="AM8812" s="1"/>
    </row>
    <row r="8813" spans="1:39" x14ac:dyDescent="0.25">
      <c r="A8813" s="2066"/>
      <c r="B8813" s="2066"/>
      <c r="C8813" s="2066"/>
      <c r="D8813" s="2066"/>
      <c r="E8813" s="2066"/>
      <c r="F8813" s="2066"/>
      <c r="G8813" s="2066"/>
      <c r="H8813" s="2066"/>
      <c r="I8813" s="2066"/>
      <c r="J8813" s="2066"/>
      <c r="K8813" s="2066"/>
      <c r="L8813" s="2066"/>
      <c r="M8813" s="2066"/>
      <c r="N8813" s="2066"/>
      <c r="O8813" s="2066"/>
      <c r="P8813" s="49"/>
      <c r="Q8813" s="1"/>
      <c r="R8813" s="2066"/>
      <c r="S8813" s="1"/>
      <c r="T8813" s="1"/>
      <c r="U8813" s="1"/>
      <c r="V8813" s="1"/>
      <c r="W8813" s="1"/>
      <c r="X8813" s="1"/>
      <c r="Y8813" s="1"/>
      <c r="Z8813" s="2066"/>
      <c r="AA8813" s="2066"/>
      <c r="AB8813" s="1"/>
      <c r="AC8813" s="1"/>
      <c r="AD8813" s="1"/>
      <c r="AE8813" s="1"/>
      <c r="AF8813" s="1"/>
      <c r="AG8813" s="1"/>
      <c r="AH8813" s="1"/>
      <c r="AI8813" s="1"/>
      <c r="AJ8813" s="1"/>
      <c r="AK8813" s="1"/>
      <c r="AL8813" s="1"/>
      <c r="AM8813" s="1"/>
    </row>
    <row r="8814" spans="1:39" x14ac:dyDescent="0.25">
      <c r="A8814" s="2066"/>
      <c r="B8814" s="2066"/>
      <c r="C8814" s="2066"/>
      <c r="D8814" s="2066"/>
      <c r="E8814" s="2066"/>
      <c r="F8814" s="2066"/>
      <c r="G8814" s="2066"/>
      <c r="H8814" s="2066"/>
      <c r="I8814" s="2066"/>
      <c r="J8814" s="2066"/>
      <c r="K8814" s="2066"/>
      <c r="L8814" s="2066"/>
      <c r="M8814" s="2066"/>
      <c r="N8814" s="2066"/>
      <c r="O8814" s="2066"/>
      <c r="P8814" s="49"/>
      <c r="Q8814" s="1"/>
      <c r="R8814" s="2066"/>
      <c r="S8814" s="1"/>
      <c r="T8814" s="1"/>
      <c r="U8814" s="1"/>
      <c r="V8814" s="1"/>
      <c r="W8814" s="1"/>
      <c r="X8814" s="1"/>
      <c r="Y8814" s="1"/>
      <c r="Z8814" s="2066"/>
      <c r="AA8814" s="2066"/>
      <c r="AB8814" s="1"/>
      <c r="AC8814" s="1"/>
      <c r="AD8814" s="1"/>
      <c r="AE8814" s="1"/>
      <c r="AF8814" s="1"/>
      <c r="AG8814" s="1"/>
      <c r="AH8814" s="1"/>
      <c r="AI8814" s="1"/>
      <c r="AJ8814" s="1"/>
      <c r="AK8814" s="1"/>
      <c r="AL8814" s="1"/>
      <c r="AM8814" s="1"/>
    </row>
    <row r="8815" spans="1:39" x14ac:dyDescent="0.25">
      <c r="A8815" s="2066"/>
      <c r="B8815" s="2066"/>
      <c r="C8815" s="2066"/>
      <c r="D8815" s="2066"/>
      <c r="E8815" s="2066"/>
      <c r="F8815" s="2066"/>
      <c r="G8815" s="2066"/>
      <c r="H8815" s="2066"/>
      <c r="I8815" s="2066"/>
      <c r="J8815" s="2066"/>
      <c r="K8815" s="2066"/>
      <c r="L8815" s="2066"/>
      <c r="M8815" s="2066"/>
      <c r="N8815" s="2066"/>
      <c r="O8815" s="2066"/>
      <c r="P8815" s="49"/>
      <c r="Q8815" s="1"/>
      <c r="R8815" s="2066"/>
      <c r="S8815" s="1"/>
      <c r="T8815" s="1"/>
      <c r="U8815" s="1"/>
      <c r="V8815" s="1"/>
      <c r="W8815" s="1"/>
      <c r="X8815" s="1"/>
      <c r="Y8815" s="1"/>
      <c r="Z8815" s="2066"/>
      <c r="AA8815" s="2066"/>
      <c r="AB8815" s="1"/>
      <c r="AC8815" s="1"/>
      <c r="AD8815" s="1"/>
      <c r="AE8815" s="1"/>
      <c r="AF8815" s="1"/>
      <c r="AG8815" s="1"/>
      <c r="AH8815" s="1"/>
      <c r="AI8815" s="1"/>
      <c r="AJ8815" s="1"/>
      <c r="AK8815" s="1"/>
      <c r="AL8815" s="1"/>
      <c r="AM8815" s="1"/>
    </row>
    <row r="8816" spans="1:39" x14ac:dyDescent="0.25">
      <c r="A8816" s="2066"/>
      <c r="B8816" s="2066"/>
      <c r="C8816" s="2066"/>
      <c r="D8816" s="2066"/>
      <c r="E8816" s="2066"/>
      <c r="F8816" s="2066"/>
      <c r="G8816" s="2066"/>
      <c r="H8816" s="2066"/>
      <c r="I8816" s="2066"/>
      <c r="J8816" s="2066"/>
      <c r="K8816" s="2066"/>
      <c r="L8816" s="2066"/>
      <c r="M8816" s="2066"/>
      <c r="N8816" s="2066"/>
      <c r="O8816" s="2066"/>
      <c r="P8816" s="49"/>
      <c r="Q8816" s="1"/>
      <c r="R8816" s="2066"/>
      <c r="S8816" s="1"/>
      <c r="T8816" s="1"/>
      <c r="U8816" s="1"/>
      <c r="V8816" s="1"/>
      <c r="W8816" s="1"/>
      <c r="X8816" s="1"/>
      <c r="Y8816" s="1"/>
      <c r="Z8816" s="2066"/>
      <c r="AA8816" s="2066"/>
      <c r="AB8816" s="1"/>
      <c r="AC8816" s="1"/>
      <c r="AD8816" s="1"/>
      <c r="AE8816" s="1"/>
      <c r="AF8816" s="1"/>
      <c r="AG8816" s="1"/>
      <c r="AH8816" s="1"/>
      <c r="AI8816" s="1"/>
      <c r="AJ8816" s="1"/>
      <c r="AK8816" s="1"/>
      <c r="AL8816" s="1"/>
      <c r="AM8816" s="1"/>
    </row>
    <row r="8817" spans="1:39" x14ac:dyDescent="0.25">
      <c r="A8817" s="2066"/>
      <c r="B8817" s="2066"/>
      <c r="C8817" s="2066"/>
      <c r="D8817" s="2066"/>
      <c r="E8817" s="2066"/>
      <c r="F8817" s="2066"/>
      <c r="G8817" s="2066"/>
      <c r="H8817" s="2066"/>
      <c r="I8817" s="2066"/>
      <c r="J8817" s="2066"/>
      <c r="K8817" s="2066"/>
      <c r="L8817" s="2066"/>
      <c r="M8817" s="2066"/>
      <c r="N8817" s="2066"/>
      <c r="O8817" s="2066"/>
      <c r="P8817" s="49"/>
      <c r="Q8817" s="1"/>
      <c r="R8817" s="2066"/>
      <c r="S8817" s="1"/>
      <c r="T8817" s="1"/>
      <c r="U8817" s="1"/>
      <c r="V8817" s="1"/>
      <c r="W8817" s="1"/>
      <c r="X8817" s="1"/>
      <c r="Y8817" s="1"/>
      <c r="Z8817" s="2066"/>
      <c r="AA8817" s="2066"/>
      <c r="AB8817" s="1"/>
      <c r="AC8817" s="1"/>
      <c r="AD8817" s="1"/>
      <c r="AE8817" s="1"/>
      <c r="AF8817" s="1"/>
      <c r="AG8817" s="1"/>
      <c r="AH8817" s="1"/>
      <c r="AI8817" s="1"/>
      <c r="AJ8817" s="1"/>
      <c r="AK8817" s="1"/>
      <c r="AL8817" s="1"/>
      <c r="AM8817" s="1"/>
    </row>
    <row r="8818" spans="1:39" x14ac:dyDescent="0.25">
      <c r="A8818" s="2066"/>
      <c r="B8818" s="2066"/>
      <c r="C8818" s="2066"/>
      <c r="D8818" s="2066"/>
      <c r="E8818" s="2066"/>
      <c r="F8818" s="2066"/>
      <c r="G8818" s="2066"/>
      <c r="H8818" s="2066"/>
      <c r="I8818" s="2066"/>
      <c r="J8818" s="2066"/>
      <c r="K8818" s="2066"/>
      <c r="L8818" s="2066"/>
      <c r="M8818" s="2066"/>
      <c r="N8818" s="2066"/>
      <c r="O8818" s="2066"/>
      <c r="P8818" s="49"/>
      <c r="Q8818" s="1"/>
      <c r="R8818" s="2066"/>
      <c r="S8818" s="1"/>
      <c r="T8818" s="1"/>
      <c r="U8818" s="1"/>
      <c r="V8818" s="1"/>
      <c r="W8818" s="1"/>
      <c r="X8818" s="1"/>
      <c r="Y8818" s="1"/>
      <c r="Z8818" s="2066"/>
      <c r="AA8818" s="2066"/>
      <c r="AB8818" s="1"/>
      <c r="AC8818" s="1"/>
      <c r="AD8818" s="1"/>
      <c r="AE8818" s="1"/>
      <c r="AF8818" s="1"/>
      <c r="AG8818" s="1"/>
      <c r="AH8818" s="1"/>
      <c r="AI8818" s="1"/>
      <c r="AJ8818" s="1"/>
      <c r="AK8818" s="1"/>
      <c r="AL8818" s="1"/>
      <c r="AM8818" s="1"/>
    </row>
    <row r="8819" spans="1:39" x14ac:dyDescent="0.25">
      <c r="A8819" s="2066"/>
      <c r="B8819" s="2066"/>
      <c r="C8819" s="2066"/>
      <c r="D8819" s="2066"/>
      <c r="E8819" s="2066"/>
      <c r="F8819" s="2066"/>
      <c r="G8819" s="2066"/>
      <c r="H8819" s="2066"/>
      <c r="I8819" s="2066"/>
      <c r="J8819" s="2066"/>
      <c r="K8819" s="2066"/>
      <c r="L8819" s="2066"/>
      <c r="M8819" s="2066"/>
      <c r="N8819" s="2066"/>
      <c r="O8819" s="2066"/>
      <c r="P8819" s="49"/>
      <c r="Q8819" s="1"/>
      <c r="R8819" s="2066"/>
      <c r="S8819" s="1"/>
      <c r="T8819" s="1"/>
      <c r="U8819" s="1"/>
      <c r="V8819" s="1"/>
      <c r="W8819" s="1"/>
      <c r="X8819" s="1"/>
      <c r="Y8819" s="1"/>
      <c r="Z8819" s="2066"/>
      <c r="AA8819" s="2066"/>
      <c r="AB8819" s="1"/>
      <c r="AC8819" s="1"/>
      <c r="AD8819" s="1"/>
      <c r="AE8819" s="1"/>
      <c r="AF8819" s="1"/>
      <c r="AG8819" s="1"/>
      <c r="AH8819" s="1"/>
      <c r="AI8819" s="1"/>
      <c r="AJ8819" s="1"/>
      <c r="AK8819" s="1"/>
      <c r="AL8819" s="1"/>
      <c r="AM8819" s="1"/>
    </row>
    <row r="8820" spans="1:39" x14ac:dyDescent="0.25">
      <c r="A8820" s="2066"/>
      <c r="B8820" s="2066"/>
      <c r="C8820" s="2066"/>
      <c r="D8820" s="2066"/>
      <c r="E8820" s="2066"/>
      <c r="F8820" s="2066"/>
      <c r="G8820" s="2066"/>
      <c r="H8820" s="2066"/>
      <c r="I8820" s="2066"/>
      <c r="J8820" s="2066"/>
      <c r="K8820" s="2066"/>
      <c r="L8820" s="2066"/>
      <c r="M8820" s="2066"/>
      <c r="N8820" s="2066"/>
      <c r="O8820" s="2066"/>
      <c r="P8820" s="49"/>
      <c r="Q8820" s="1"/>
      <c r="R8820" s="2066"/>
      <c r="S8820" s="1"/>
      <c r="T8820" s="1"/>
      <c r="U8820" s="1"/>
      <c r="V8820" s="1"/>
      <c r="W8820" s="1"/>
      <c r="X8820" s="1"/>
      <c r="Y8820" s="1"/>
      <c r="Z8820" s="2066"/>
      <c r="AA8820" s="2066"/>
      <c r="AB8820" s="1"/>
      <c r="AC8820" s="1"/>
      <c r="AD8820" s="1"/>
      <c r="AE8820" s="1"/>
      <c r="AF8820" s="1"/>
      <c r="AG8820" s="1"/>
      <c r="AH8820" s="1"/>
      <c r="AI8820" s="1"/>
      <c r="AJ8820" s="1"/>
      <c r="AK8820" s="1"/>
      <c r="AL8820" s="1"/>
      <c r="AM8820" s="1"/>
    </row>
    <row r="8821" spans="1:39" x14ac:dyDescent="0.25">
      <c r="A8821" s="2066"/>
      <c r="B8821" s="2066"/>
      <c r="C8821" s="2066"/>
      <c r="D8821" s="2066"/>
      <c r="E8821" s="2066"/>
      <c r="F8821" s="2066"/>
      <c r="G8821" s="2066"/>
      <c r="H8821" s="2066"/>
      <c r="I8821" s="2066"/>
      <c r="J8821" s="2066"/>
      <c r="K8821" s="2066"/>
      <c r="L8821" s="2066"/>
      <c r="M8821" s="2066"/>
      <c r="N8821" s="2066"/>
      <c r="O8821" s="2066"/>
      <c r="P8821" s="49"/>
      <c r="Q8821" s="1"/>
      <c r="R8821" s="2066"/>
      <c r="S8821" s="1"/>
      <c r="T8821" s="1"/>
      <c r="U8821" s="1"/>
      <c r="V8821" s="1"/>
      <c r="W8821" s="1"/>
      <c r="X8821" s="1"/>
      <c r="Y8821" s="1"/>
      <c r="Z8821" s="2066"/>
      <c r="AA8821" s="2066"/>
      <c r="AB8821" s="1"/>
      <c r="AC8821" s="1"/>
      <c r="AD8821" s="1"/>
      <c r="AE8821" s="1"/>
      <c r="AF8821" s="1"/>
      <c r="AG8821" s="1"/>
      <c r="AH8821" s="1"/>
      <c r="AI8821" s="1"/>
      <c r="AJ8821" s="1"/>
      <c r="AK8821" s="1"/>
      <c r="AL8821" s="1"/>
      <c r="AM8821" s="1"/>
    </row>
    <row r="8822" spans="1:39" x14ac:dyDescent="0.25">
      <c r="A8822" s="2066"/>
      <c r="B8822" s="2066"/>
      <c r="C8822" s="2066"/>
      <c r="D8822" s="2066"/>
      <c r="E8822" s="2066"/>
      <c r="F8822" s="2066"/>
      <c r="G8822" s="2066"/>
      <c r="H8822" s="2066"/>
      <c r="I8822" s="2066"/>
      <c r="J8822" s="2066"/>
      <c r="K8822" s="2066"/>
      <c r="L8822" s="2066"/>
      <c r="M8822" s="2066"/>
      <c r="N8822" s="2066"/>
      <c r="O8822" s="2066"/>
      <c r="P8822" s="49"/>
      <c r="Q8822" s="1"/>
      <c r="R8822" s="2066"/>
      <c r="S8822" s="1"/>
      <c r="T8822" s="1"/>
      <c r="U8822" s="1"/>
      <c r="V8822" s="1"/>
      <c r="W8822" s="1"/>
      <c r="X8822" s="1"/>
      <c r="Y8822" s="1"/>
      <c r="Z8822" s="2066"/>
      <c r="AA8822" s="2066"/>
      <c r="AB8822" s="1"/>
      <c r="AC8822" s="1"/>
      <c r="AD8822" s="1"/>
      <c r="AE8822" s="1"/>
      <c r="AF8822" s="1"/>
      <c r="AG8822" s="1"/>
      <c r="AH8822" s="1"/>
      <c r="AI8822" s="1"/>
      <c r="AJ8822" s="1"/>
      <c r="AK8822" s="1"/>
      <c r="AL8822" s="1"/>
      <c r="AM8822" s="1"/>
    </row>
    <row r="8823" spans="1:39" x14ac:dyDescent="0.25">
      <c r="A8823" s="2066"/>
      <c r="B8823" s="2066"/>
      <c r="C8823" s="2066"/>
      <c r="D8823" s="2066"/>
      <c r="E8823" s="2066"/>
      <c r="F8823" s="2066"/>
      <c r="G8823" s="2066"/>
      <c r="H8823" s="2066"/>
      <c r="I8823" s="2066"/>
      <c r="J8823" s="2066"/>
      <c r="K8823" s="2066"/>
      <c r="L8823" s="2066"/>
      <c r="M8823" s="2066"/>
      <c r="N8823" s="2066"/>
      <c r="O8823" s="2066"/>
      <c r="P8823" s="49"/>
      <c r="Q8823" s="1"/>
      <c r="R8823" s="2066"/>
      <c r="S8823" s="1"/>
      <c r="T8823" s="1"/>
      <c r="U8823" s="1"/>
      <c r="V8823" s="1"/>
      <c r="W8823" s="1"/>
      <c r="X8823" s="1"/>
      <c r="Y8823" s="1"/>
      <c r="Z8823" s="2066"/>
      <c r="AA8823" s="2066"/>
      <c r="AB8823" s="1"/>
      <c r="AC8823" s="1"/>
      <c r="AD8823" s="1"/>
      <c r="AE8823" s="1"/>
      <c r="AF8823" s="1"/>
      <c r="AG8823" s="1"/>
      <c r="AH8823" s="1"/>
      <c r="AI8823" s="1"/>
      <c r="AJ8823" s="1"/>
      <c r="AK8823" s="1"/>
      <c r="AL8823" s="1"/>
      <c r="AM8823" s="1"/>
    </row>
    <row r="8824" spans="1:39" x14ac:dyDescent="0.25">
      <c r="A8824" s="2066"/>
      <c r="B8824" s="2066"/>
      <c r="C8824" s="2066"/>
      <c r="D8824" s="2066"/>
      <c r="E8824" s="2066"/>
      <c r="F8824" s="2066"/>
      <c r="G8824" s="2066"/>
      <c r="H8824" s="2066"/>
      <c r="I8824" s="2066"/>
      <c r="J8824" s="2066"/>
      <c r="K8824" s="2066"/>
      <c r="L8824" s="2066"/>
      <c r="M8824" s="2066"/>
      <c r="N8824" s="2066"/>
      <c r="O8824" s="2066"/>
      <c r="P8824" s="49"/>
      <c r="Q8824" s="1"/>
      <c r="R8824" s="2066"/>
      <c r="S8824" s="1"/>
      <c r="T8824" s="1"/>
      <c r="U8824" s="1"/>
      <c r="V8824" s="1"/>
      <c r="W8824" s="1"/>
      <c r="X8824" s="1"/>
      <c r="Y8824" s="1"/>
      <c r="Z8824" s="2066"/>
      <c r="AA8824" s="2066"/>
      <c r="AB8824" s="1"/>
      <c r="AC8824" s="1"/>
      <c r="AD8824" s="1"/>
      <c r="AE8824" s="1"/>
      <c r="AF8824" s="1"/>
      <c r="AG8824" s="1"/>
      <c r="AH8824" s="1"/>
      <c r="AI8824" s="1"/>
      <c r="AJ8824" s="1"/>
      <c r="AK8824" s="1"/>
      <c r="AL8824" s="1"/>
      <c r="AM8824" s="1"/>
    </row>
    <row r="8825" spans="1:39" x14ac:dyDescent="0.25">
      <c r="A8825" s="2066"/>
      <c r="B8825" s="2066"/>
      <c r="C8825" s="2066"/>
      <c r="D8825" s="2066"/>
      <c r="E8825" s="2066"/>
      <c r="F8825" s="2066"/>
      <c r="G8825" s="2066"/>
      <c r="H8825" s="2066"/>
      <c r="I8825" s="2066"/>
      <c r="J8825" s="2066"/>
      <c r="K8825" s="2066"/>
      <c r="L8825" s="2066"/>
      <c r="M8825" s="2066"/>
      <c r="N8825" s="2066"/>
      <c r="O8825" s="2066"/>
      <c r="P8825" s="49"/>
      <c r="Q8825" s="1"/>
      <c r="R8825" s="2066"/>
      <c r="S8825" s="1"/>
      <c r="T8825" s="1"/>
      <c r="U8825" s="1"/>
      <c r="V8825" s="1"/>
      <c r="W8825" s="1"/>
      <c r="X8825" s="1"/>
      <c r="Y8825" s="1"/>
      <c r="Z8825" s="2066"/>
      <c r="AA8825" s="2066"/>
      <c r="AB8825" s="1"/>
      <c r="AC8825" s="1"/>
      <c r="AD8825" s="1"/>
      <c r="AE8825" s="1"/>
      <c r="AF8825" s="1"/>
      <c r="AG8825" s="1"/>
      <c r="AH8825" s="1"/>
      <c r="AI8825" s="1"/>
      <c r="AJ8825" s="1"/>
      <c r="AK8825" s="1"/>
      <c r="AL8825" s="1"/>
      <c r="AM8825" s="1"/>
    </row>
    <row r="8826" spans="1:39" x14ac:dyDescent="0.25">
      <c r="A8826" s="2066"/>
      <c r="B8826" s="2066"/>
      <c r="C8826" s="2066"/>
      <c r="D8826" s="2066"/>
      <c r="E8826" s="2066"/>
      <c r="F8826" s="2066"/>
      <c r="G8826" s="2066"/>
      <c r="H8826" s="2066"/>
      <c r="I8826" s="2066"/>
      <c r="J8826" s="2066"/>
      <c r="K8826" s="2066"/>
      <c r="L8826" s="2066"/>
      <c r="M8826" s="2066"/>
      <c r="N8826" s="2066"/>
      <c r="O8826" s="2066"/>
      <c r="P8826" s="49"/>
      <c r="Q8826" s="1"/>
      <c r="R8826" s="2066"/>
      <c r="S8826" s="1"/>
      <c r="T8826" s="1"/>
      <c r="U8826" s="1"/>
      <c r="V8826" s="1"/>
      <c r="W8826" s="1"/>
      <c r="X8826" s="1"/>
      <c r="Y8826" s="1"/>
      <c r="Z8826" s="2066"/>
      <c r="AA8826" s="2066"/>
      <c r="AB8826" s="1"/>
      <c r="AC8826" s="1"/>
      <c r="AD8826" s="1"/>
      <c r="AE8826" s="1"/>
      <c r="AF8826" s="1"/>
      <c r="AG8826" s="1"/>
      <c r="AH8826" s="1"/>
      <c r="AI8826" s="1"/>
      <c r="AJ8826" s="1"/>
      <c r="AK8826" s="1"/>
      <c r="AL8826" s="1"/>
      <c r="AM8826" s="1"/>
    </row>
    <row r="8827" spans="1:39" x14ac:dyDescent="0.25">
      <c r="A8827" s="2066"/>
      <c r="B8827" s="2066"/>
      <c r="C8827" s="2066"/>
      <c r="D8827" s="2066"/>
      <c r="E8827" s="2066"/>
      <c r="F8827" s="2066"/>
      <c r="G8827" s="2066"/>
      <c r="H8827" s="2066"/>
      <c r="I8827" s="2066"/>
      <c r="J8827" s="2066"/>
      <c r="K8827" s="2066"/>
      <c r="L8827" s="2066"/>
      <c r="M8827" s="2066"/>
      <c r="N8827" s="2066"/>
      <c r="O8827" s="2066"/>
      <c r="P8827" s="49"/>
      <c r="Q8827" s="1"/>
      <c r="R8827" s="2066"/>
      <c r="S8827" s="1"/>
      <c r="T8827" s="1"/>
      <c r="U8827" s="1"/>
      <c r="V8827" s="1"/>
      <c r="W8827" s="1"/>
      <c r="X8827" s="1"/>
      <c r="Y8827" s="1"/>
      <c r="Z8827" s="2066"/>
      <c r="AA8827" s="2066"/>
      <c r="AB8827" s="1"/>
      <c r="AC8827" s="1"/>
      <c r="AD8827" s="1"/>
      <c r="AE8827" s="1"/>
      <c r="AF8827" s="1"/>
      <c r="AG8827" s="1"/>
      <c r="AH8827" s="1"/>
      <c r="AI8827" s="1"/>
      <c r="AJ8827" s="1"/>
      <c r="AK8827" s="1"/>
      <c r="AL8827" s="1"/>
      <c r="AM8827" s="1"/>
    </row>
    <row r="8828" spans="1:39" x14ac:dyDescent="0.25">
      <c r="A8828" s="2066"/>
      <c r="B8828" s="2066"/>
      <c r="C8828" s="2066"/>
      <c r="D8828" s="2066"/>
      <c r="E8828" s="2066"/>
      <c r="F8828" s="2066"/>
      <c r="G8828" s="2066"/>
      <c r="H8828" s="2066"/>
      <c r="I8828" s="2066"/>
      <c r="J8828" s="2066"/>
      <c r="K8828" s="2066"/>
      <c r="L8828" s="2066"/>
      <c r="M8828" s="2066"/>
      <c r="N8828" s="2066"/>
      <c r="O8828" s="2066"/>
      <c r="P8828" s="49"/>
      <c r="Q8828" s="1"/>
      <c r="R8828" s="2066"/>
      <c r="S8828" s="1"/>
      <c r="T8828" s="1"/>
      <c r="U8828" s="1"/>
      <c r="V8828" s="1"/>
      <c r="W8828" s="1"/>
      <c r="X8828" s="1"/>
      <c r="Y8828" s="1"/>
      <c r="Z8828" s="2066"/>
      <c r="AA8828" s="2066"/>
      <c r="AB8828" s="1"/>
      <c r="AC8828" s="1"/>
      <c r="AD8828" s="1"/>
      <c r="AE8828" s="1"/>
      <c r="AF8828" s="1"/>
      <c r="AG8828" s="1"/>
      <c r="AH8828" s="1"/>
      <c r="AI8828" s="1"/>
      <c r="AJ8828" s="1"/>
      <c r="AK8828" s="1"/>
      <c r="AL8828" s="1"/>
      <c r="AM8828" s="1"/>
    </row>
    <row r="8829" spans="1:39" x14ac:dyDescent="0.25">
      <c r="A8829" s="2066"/>
      <c r="B8829" s="2066"/>
      <c r="C8829" s="2066"/>
      <c r="D8829" s="2066"/>
      <c r="E8829" s="2066"/>
      <c r="F8829" s="2066"/>
      <c r="G8829" s="2066"/>
      <c r="H8829" s="2066"/>
      <c r="I8829" s="2066"/>
      <c r="J8829" s="2066"/>
      <c r="K8829" s="2066"/>
      <c r="L8829" s="2066"/>
      <c r="M8829" s="2066"/>
      <c r="N8829" s="2066"/>
      <c r="O8829" s="2066"/>
      <c r="P8829" s="49"/>
      <c r="Q8829" s="1"/>
      <c r="R8829" s="2066"/>
      <c r="S8829" s="1"/>
      <c r="T8829" s="1"/>
      <c r="U8829" s="1"/>
      <c r="V8829" s="1"/>
      <c r="W8829" s="1"/>
      <c r="X8829" s="1"/>
      <c r="Y8829" s="1"/>
      <c r="Z8829" s="2066"/>
      <c r="AA8829" s="2066"/>
      <c r="AB8829" s="1"/>
      <c r="AC8829" s="1"/>
      <c r="AD8829" s="1"/>
      <c r="AE8829" s="1"/>
      <c r="AF8829" s="1"/>
      <c r="AG8829" s="1"/>
      <c r="AH8829" s="1"/>
      <c r="AI8829" s="1"/>
      <c r="AJ8829" s="1"/>
      <c r="AK8829" s="1"/>
      <c r="AL8829" s="1"/>
      <c r="AM8829" s="1"/>
    </row>
    <row r="8830" spans="1:39" x14ac:dyDescent="0.25">
      <c r="A8830" s="2066"/>
      <c r="B8830" s="2066"/>
      <c r="C8830" s="2066"/>
      <c r="D8830" s="2066"/>
      <c r="E8830" s="2066"/>
      <c r="F8830" s="2066"/>
      <c r="G8830" s="2066"/>
      <c r="H8830" s="2066"/>
      <c r="I8830" s="2066"/>
      <c r="J8830" s="2066"/>
      <c r="K8830" s="2066"/>
      <c r="L8830" s="2066"/>
      <c r="M8830" s="2066"/>
      <c r="N8830" s="2066"/>
      <c r="O8830" s="2066"/>
      <c r="P8830" s="49"/>
      <c r="Q8830" s="1"/>
      <c r="R8830" s="2066"/>
      <c r="S8830" s="1"/>
      <c r="T8830" s="1"/>
      <c r="U8830" s="1"/>
      <c r="V8830" s="1"/>
      <c r="W8830" s="1"/>
      <c r="X8830" s="1"/>
      <c r="Y8830" s="1"/>
      <c r="Z8830" s="2066"/>
      <c r="AA8830" s="2066"/>
      <c r="AB8830" s="1"/>
      <c r="AC8830" s="1"/>
      <c r="AD8830" s="1"/>
      <c r="AE8830" s="1"/>
      <c r="AF8830" s="1"/>
      <c r="AG8830" s="1"/>
      <c r="AH8830" s="1"/>
      <c r="AI8830" s="1"/>
      <c r="AJ8830" s="1"/>
      <c r="AK8830" s="1"/>
      <c r="AL8830" s="1"/>
      <c r="AM8830" s="1"/>
    </row>
    <row r="8831" spans="1:39" x14ac:dyDescent="0.25">
      <c r="A8831" s="2066"/>
      <c r="B8831" s="2066"/>
      <c r="C8831" s="2066"/>
      <c r="D8831" s="2066"/>
      <c r="E8831" s="2066"/>
      <c r="F8831" s="2066"/>
      <c r="G8831" s="2066"/>
      <c r="H8831" s="2066"/>
      <c r="I8831" s="2066"/>
      <c r="J8831" s="2066"/>
      <c r="K8831" s="2066"/>
      <c r="L8831" s="2066"/>
      <c r="M8831" s="2066"/>
      <c r="N8831" s="2066"/>
      <c r="O8831" s="2066"/>
      <c r="P8831" s="49"/>
      <c r="Q8831" s="1"/>
      <c r="R8831" s="2066"/>
      <c r="S8831" s="1"/>
      <c r="T8831" s="1"/>
      <c r="U8831" s="1"/>
      <c r="V8831" s="1"/>
      <c r="W8831" s="1"/>
      <c r="X8831" s="1"/>
      <c r="Y8831" s="1"/>
      <c r="Z8831" s="2066"/>
      <c r="AA8831" s="2066"/>
      <c r="AB8831" s="1"/>
      <c r="AC8831" s="1"/>
      <c r="AD8831" s="1"/>
      <c r="AE8831" s="1"/>
      <c r="AF8831" s="1"/>
      <c r="AG8831" s="1"/>
      <c r="AH8831" s="1"/>
      <c r="AI8831" s="1"/>
      <c r="AJ8831" s="1"/>
      <c r="AK8831" s="1"/>
      <c r="AL8831" s="1"/>
      <c r="AM8831" s="1"/>
    </row>
    <row r="8832" spans="1:39" x14ac:dyDescent="0.25">
      <c r="A8832" s="2066"/>
      <c r="B8832" s="2066"/>
      <c r="C8832" s="2066"/>
      <c r="D8832" s="2066"/>
      <c r="E8832" s="2066"/>
      <c r="F8832" s="2066"/>
      <c r="G8832" s="2066"/>
      <c r="H8832" s="2066"/>
      <c r="I8832" s="2066"/>
      <c r="J8832" s="2066"/>
      <c r="K8832" s="2066"/>
      <c r="L8832" s="2066"/>
      <c r="M8832" s="2066"/>
      <c r="N8832" s="2066"/>
      <c r="O8832" s="2066"/>
      <c r="P8832" s="49"/>
      <c r="Q8832" s="1"/>
      <c r="R8832" s="2066"/>
      <c r="S8832" s="1"/>
      <c r="T8832" s="1"/>
      <c r="U8832" s="1"/>
      <c r="V8832" s="1"/>
      <c r="W8832" s="1"/>
      <c r="X8832" s="1"/>
      <c r="Y8832" s="1"/>
      <c r="Z8832" s="2066"/>
      <c r="AA8832" s="2066"/>
      <c r="AB8832" s="1"/>
      <c r="AC8832" s="1"/>
      <c r="AD8832" s="1"/>
      <c r="AE8832" s="1"/>
      <c r="AF8832" s="1"/>
      <c r="AG8832" s="1"/>
      <c r="AH8832" s="1"/>
      <c r="AI8832" s="1"/>
      <c r="AJ8832" s="1"/>
      <c r="AK8832" s="1"/>
      <c r="AL8832" s="1"/>
      <c r="AM8832" s="1"/>
    </row>
    <row r="8833" spans="1:39" x14ac:dyDescent="0.25">
      <c r="A8833" s="2066"/>
      <c r="B8833" s="2066"/>
      <c r="C8833" s="2066"/>
      <c r="D8833" s="2066"/>
      <c r="E8833" s="2066"/>
      <c r="F8833" s="2066"/>
      <c r="G8833" s="2066"/>
      <c r="H8833" s="2066"/>
      <c r="I8833" s="2066"/>
      <c r="J8833" s="2066"/>
      <c r="K8833" s="2066"/>
      <c r="L8833" s="2066"/>
      <c r="M8833" s="2066"/>
      <c r="N8833" s="2066"/>
      <c r="O8833" s="2066"/>
      <c r="P8833" s="49"/>
      <c r="Q8833" s="1"/>
      <c r="R8833" s="2066"/>
      <c r="S8833" s="1"/>
      <c r="T8833" s="1"/>
      <c r="U8833" s="1"/>
      <c r="V8833" s="1"/>
      <c r="W8833" s="1"/>
      <c r="X8833" s="1"/>
      <c r="Y8833" s="1"/>
      <c r="Z8833" s="2066"/>
      <c r="AA8833" s="2066"/>
      <c r="AB8833" s="1"/>
      <c r="AC8833" s="1"/>
      <c r="AD8833" s="1"/>
      <c r="AE8833" s="1"/>
      <c r="AF8833" s="1"/>
      <c r="AG8833" s="1"/>
      <c r="AH8833" s="1"/>
      <c r="AI8833" s="1"/>
      <c r="AJ8833" s="1"/>
      <c r="AK8833" s="1"/>
      <c r="AL8833" s="1"/>
      <c r="AM8833" s="1"/>
    </row>
    <row r="8834" spans="1:39" x14ac:dyDescent="0.25">
      <c r="A8834" s="2066"/>
      <c r="B8834" s="2066"/>
      <c r="C8834" s="2066"/>
      <c r="D8834" s="2066"/>
      <c r="E8834" s="2066"/>
      <c r="F8834" s="2066"/>
      <c r="G8834" s="2066"/>
      <c r="H8834" s="2066"/>
      <c r="I8834" s="2066"/>
      <c r="J8834" s="2066"/>
      <c r="K8834" s="2066"/>
      <c r="L8834" s="2066"/>
      <c r="M8834" s="2066"/>
      <c r="N8834" s="2066"/>
      <c r="O8834" s="2066"/>
      <c r="P8834" s="49"/>
      <c r="Q8834" s="1"/>
      <c r="R8834" s="2066"/>
      <c r="S8834" s="1"/>
      <c r="T8834" s="1"/>
      <c r="U8834" s="1"/>
      <c r="V8834" s="1"/>
      <c r="W8834" s="1"/>
      <c r="X8834" s="1"/>
      <c r="Y8834" s="1"/>
      <c r="Z8834" s="2066"/>
      <c r="AA8834" s="2066"/>
      <c r="AB8834" s="1"/>
      <c r="AC8834" s="1"/>
      <c r="AD8834" s="1"/>
      <c r="AE8834" s="1"/>
      <c r="AF8834" s="1"/>
      <c r="AG8834" s="1"/>
      <c r="AH8834" s="1"/>
      <c r="AI8834" s="1"/>
      <c r="AJ8834" s="1"/>
      <c r="AK8834" s="1"/>
      <c r="AL8834" s="1"/>
      <c r="AM8834" s="1"/>
    </row>
    <row r="8835" spans="1:39" x14ac:dyDescent="0.25">
      <c r="A8835" s="2066"/>
      <c r="B8835" s="2066"/>
      <c r="C8835" s="2066"/>
      <c r="D8835" s="2066"/>
      <c r="E8835" s="2066"/>
      <c r="F8835" s="2066"/>
      <c r="G8835" s="2066"/>
      <c r="H8835" s="2066"/>
      <c r="I8835" s="2066"/>
      <c r="J8835" s="2066"/>
      <c r="K8835" s="2066"/>
      <c r="L8835" s="2066"/>
      <c r="M8835" s="2066"/>
      <c r="N8835" s="2066"/>
      <c r="O8835" s="2066"/>
      <c r="P8835" s="49"/>
      <c r="Q8835" s="1"/>
      <c r="R8835" s="2066"/>
      <c r="S8835" s="1"/>
      <c r="T8835" s="1"/>
      <c r="U8835" s="1"/>
      <c r="V8835" s="1"/>
      <c r="W8835" s="1"/>
      <c r="X8835" s="1"/>
      <c r="Y8835" s="1"/>
      <c r="Z8835" s="2066"/>
      <c r="AA8835" s="2066"/>
      <c r="AB8835" s="1"/>
      <c r="AC8835" s="1"/>
      <c r="AD8835" s="1"/>
      <c r="AE8835" s="1"/>
      <c r="AF8835" s="1"/>
      <c r="AG8835" s="1"/>
      <c r="AH8835" s="1"/>
      <c r="AI8835" s="1"/>
      <c r="AJ8835" s="1"/>
      <c r="AK8835" s="1"/>
      <c r="AL8835" s="1"/>
      <c r="AM8835" s="1"/>
    </row>
    <row r="8836" spans="1:39" x14ac:dyDescent="0.25">
      <c r="A8836" s="2066"/>
      <c r="B8836" s="2066"/>
      <c r="C8836" s="2066"/>
      <c r="D8836" s="2066"/>
      <c r="E8836" s="2066"/>
      <c r="F8836" s="2066"/>
      <c r="G8836" s="2066"/>
      <c r="H8836" s="2066"/>
      <c r="I8836" s="2066"/>
      <c r="J8836" s="2066"/>
      <c r="K8836" s="2066"/>
      <c r="L8836" s="2066"/>
      <c r="M8836" s="2066"/>
      <c r="N8836" s="2066"/>
      <c r="O8836" s="2066"/>
      <c r="P8836" s="49"/>
      <c r="Q8836" s="1"/>
      <c r="R8836" s="2066"/>
      <c r="S8836" s="1"/>
      <c r="T8836" s="1"/>
      <c r="U8836" s="1"/>
      <c r="V8836" s="1"/>
      <c r="W8836" s="1"/>
      <c r="X8836" s="1"/>
      <c r="Y8836" s="1"/>
      <c r="Z8836" s="2066"/>
      <c r="AA8836" s="2066"/>
      <c r="AB8836" s="1"/>
      <c r="AC8836" s="1"/>
      <c r="AD8836" s="1"/>
      <c r="AE8836" s="1"/>
      <c r="AF8836" s="1"/>
      <c r="AG8836" s="1"/>
      <c r="AH8836" s="1"/>
      <c r="AI8836" s="1"/>
      <c r="AJ8836" s="1"/>
      <c r="AK8836" s="1"/>
      <c r="AL8836" s="1"/>
      <c r="AM8836" s="1"/>
    </row>
    <row r="8837" spans="1:39" x14ac:dyDescent="0.25">
      <c r="A8837" s="2066"/>
      <c r="B8837" s="2066"/>
      <c r="C8837" s="2066"/>
      <c r="D8837" s="2066"/>
      <c r="E8837" s="2066"/>
      <c r="F8837" s="2066"/>
      <c r="G8837" s="2066"/>
      <c r="H8837" s="2066"/>
      <c r="I8837" s="2066"/>
      <c r="J8837" s="2066"/>
      <c r="K8837" s="2066"/>
      <c r="L8837" s="2066"/>
      <c r="M8837" s="2066"/>
      <c r="N8837" s="2066"/>
      <c r="O8837" s="2066"/>
      <c r="P8837" s="49"/>
      <c r="Q8837" s="1"/>
      <c r="R8837" s="2066"/>
      <c r="S8837" s="1"/>
      <c r="T8837" s="1"/>
      <c r="U8837" s="1"/>
      <c r="V8837" s="1"/>
      <c r="W8837" s="1"/>
      <c r="X8837" s="1"/>
      <c r="Y8837" s="1"/>
      <c r="Z8837" s="2066"/>
      <c r="AA8837" s="2066"/>
      <c r="AB8837" s="1"/>
      <c r="AC8837" s="1"/>
      <c r="AD8837" s="1"/>
      <c r="AE8837" s="1"/>
      <c r="AF8837" s="1"/>
      <c r="AG8837" s="1"/>
      <c r="AH8837" s="1"/>
      <c r="AI8837" s="1"/>
      <c r="AJ8837" s="1"/>
      <c r="AK8837" s="1"/>
      <c r="AL8837" s="1"/>
      <c r="AM8837" s="1"/>
    </row>
    <row r="8838" spans="1:39" x14ac:dyDescent="0.25">
      <c r="A8838" s="2066"/>
      <c r="B8838" s="2066"/>
      <c r="C8838" s="2066"/>
      <c r="D8838" s="2066"/>
      <c r="E8838" s="2066"/>
      <c r="F8838" s="2066"/>
      <c r="G8838" s="2066"/>
      <c r="H8838" s="2066"/>
      <c r="I8838" s="2066"/>
      <c r="J8838" s="2066"/>
      <c r="K8838" s="2066"/>
      <c r="L8838" s="2066"/>
      <c r="M8838" s="2066"/>
      <c r="N8838" s="2066"/>
      <c r="O8838" s="2066"/>
      <c r="P8838" s="49"/>
      <c r="Q8838" s="1"/>
      <c r="R8838" s="2066"/>
      <c r="S8838" s="1"/>
      <c r="T8838" s="1"/>
      <c r="U8838" s="1"/>
      <c r="V8838" s="1"/>
      <c r="W8838" s="1"/>
      <c r="X8838" s="1"/>
      <c r="Y8838" s="1"/>
      <c r="Z8838" s="2066"/>
      <c r="AA8838" s="2066"/>
      <c r="AB8838" s="1"/>
      <c r="AC8838" s="1"/>
      <c r="AD8838" s="1"/>
      <c r="AE8838" s="1"/>
      <c r="AF8838" s="1"/>
      <c r="AG8838" s="1"/>
      <c r="AH8838" s="1"/>
      <c r="AI8838" s="1"/>
      <c r="AJ8838" s="1"/>
      <c r="AK8838" s="1"/>
      <c r="AL8838" s="1"/>
      <c r="AM8838" s="1"/>
    </row>
    <row r="8839" spans="1:39" x14ac:dyDescent="0.25">
      <c r="A8839" s="2066"/>
      <c r="B8839" s="2066"/>
      <c r="C8839" s="2066"/>
      <c r="D8839" s="2066"/>
      <c r="E8839" s="2066"/>
      <c r="F8839" s="2066"/>
      <c r="G8839" s="2066"/>
      <c r="H8839" s="2066"/>
      <c r="I8839" s="2066"/>
      <c r="J8839" s="2066"/>
      <c r="K8839" s="2066"/>
      <c r="L8839" s="2066"/>
      <c r="M8839" s="2066"/>
      <c r="N8839" s="2066"/>
      <c r="O8839" s="2066"/>
      <c r="P8839" s="49"/>
      <c r="Q8839" s="1"/>
      <c r="R8839" s="2066"/>
      <c r="S8839" s="1"/>
      <c r="T8839" s="1"/>
      <c r="U8839" s="1"/>
      <c r="V8839" s="1"/>
      <c r="W8839" s="1"/>
      <c r="X8839" s="1"/>
      <c r="Y8839" s="1"/>
      <c r="Z8839" s="2066"/>
      <c r="AA8839" s="2066"/>
      <c r="AB8839" s="1"/>
      <c r="AC8839" s="1"/>
      <c r="AD8839" s="1"/>
      <c r="AE8839" s="1"/>
      <c r="AF8839" s="1"/>
      <c r="AG8839" s="1"/>
      <c r="AH8839" s="1"/>
      <c r="AI8839" s="1"/>
      <c r="AJ8839" s="1"/>
      <c r="AK8839" s="1"/>
      <c r="AL8839" s="1"/>
      <c r="AM8839" s="1"/>
    </row>
    <row r="8840" spans="1:39" x14ac:dyDescent="0.25">
      <c r="A8840" s="2066"/>
      <c r="B8840" s="2066"/>
      <c r="C8840" s="2066"/>
      <c r="D8840" s="2066"/>
      <c r="E8840" s="2066"/>
      <c r="F8840" s="2066"/>
      <c r="G8840" s="2066"/>
      <c r="H8840" s="2066"/>
      <c r="I8840" s="2066"/>
      <c r="J8840" s="2066"/>
      <c r="K8840" s="2066"/>
      <c r="L8840" s="2066"/>
      <c r="M8840" s="2066"/>
      <c r="N8840" s="2066"/>
      <c r="O8840" s="2066"/>
      <c r="P8840" s="49"/>
      <c r="Q8840" s="1"/>
      <c r="R8840" s="2066"/>
      <c r="S8840" s="1"/>
      <c r="T8840" s="1"/>
      <c r="U8840" s="1"/>
      <c r="V8840" s="1"/>
      <c r="W8840" s="1"/>
      <c r="X8840" s="1"/>
      <c r="Y8840" s="1"/>
      <c r="Z8840" s="2066"/>
      <c r="AA8840" s="2066"/>
      <c r="AB8840" s="1"/>
      <c r="AC8840" s="1"/>
      <c r="AD8840" s="1"/>
      <c r="AE8840" s="1"/>
      <c r="AF8840" s="1"/>
      <c r="AG8840" s="1"/>
      <c r="AH8840" s="1"/>
      <c r="AI8840" s="1"/>
      <c r="AJ8840" s="1"/>
      <c r="AK8840" s="1"/>
      <c r="AL8840" s="1"/>
      <c r="AM8840" s="1"/>
    </row>
    <row r="8841" spans="1:39" x14ac:dyDescent="0.25">
      <c r="A8841" s="2066"/>
      <c r="B8841" s="2066"/>
      <c r="C8841" s="2066"/>
      <c r="D8841" s="2066"/>
      <c r="E8841" s="2066"/>
      <c r="F8841" s="2066"/>
      <c r="G8841" s="2066"/>
      <c r="H8841" s="2066"/>
      <c r="I8841" s="2066"/>
      <c r="J8841" s="2066"/>
      <c r="K8841" s="2066"/>
      <c r="L8841" s="2066"/>
      <c r="M8841" s="2066"/>
      <c r="N8841" s="2066"/>
      <c r="O8841" s="2066"/>
      <c r="P8841" s="49"/>
      <c r="Q8841" s="1"/>
      <c r="R8841" s="2066"/>
      <c r="S8841" s="1"/>
      <c r="T8841" s="1"/>
      <c r="U8841" s="1"/>
      <c r="V8841" s="1"/>
      <c r="W8841" s="1"/>
      <c r="X8841" s="1"/>
      <c r="Y8841" s="1"/>
      <c r="Z8841" s="2066"/>
      <c r="AA8841" s="2066"/>
      <c r="AB8841" s="1"/>
      <c r="AC8841" s="1"/>
      <c r="AD8841" s="1"/>
      <c r="AE8841" s="1"/>
      <c r="AF8841" s="1"/>
      <c r="AG8841" s="1"/>
      <c r="AH8841" s="1"/>
      <c r="AI8841" s="1"/>
      <c r="AJ8841" s="1"/>
      <c r="AK8841" s="1"/>
      <c r="AL8841" s="1"/>
      <c r="AM8841" s="1"/>
    </row>
    <row r="8842" spans="1:39" x14ac:dyDescent="0.25">
      <c r="A8842" s="2066"/>
      <c r="B8842" s="2066"/>
      <c r="C8842" s="2066"/>
      <c r="D8842" s="2066"/>
      <c r="E8842" s="2066"/>
      <c r="F8842" s="2066"/>
      <c r="G8842" s="2066"/>
      <c r="H8842" s="2066"/>
      <c r="I8842" s="2066"/>
      <c r="J8842" s="2066"/>
      <c r="K8842" s="2066"/>
      <c r="L8842" s="2066"/>
      <c r="M8842" s="2066"/>
      <c r="N8842" s="2066"/>
      <c r="O8842" s="2066"/>
      <c r="P8842" s="49"/>
      <c r="Q8842" s="1"/>
      <c r="R8842" s="2066"/>
      <c r="S8842" s="1"/>
      <c r="T8842" s="1"/>
      <c r="U8842" s="1"/>
      <c r="V8842" s="1"/>
      <c r="W8842" s="1"/>
      <c r="X8842" s="1"/>
      <c r="Y8842" s="1"/>
      <c r="Z8842" s="2066"/>
      <c r="AA8842" s="2066"/>
      <c r="AB8842" s="1"/>
      <c r="AC8842" s="1"/>
      <c r="AD8842" s="1"/>
      <c r="AE8842" s="1"/>
      <c r="AF8842" s="1"/>
      <c r="AG8842" s="1"/>
      <c r="AH8842" s="1"/>
      <c r="AI8842" s="1"/>
      <c r="AJ8842" s="1"/>
      <c r="AK8842" s="1"/>
      <c r="AL8842" s="1"/>
      <c r="AM8842" s="1"/>
    </row>
    <row r="8843" spans="1:39" x14ac:dyDescent="0.25">
      <c r="A8843" s="2066"/>
      <c r="B8843" s="2066"/>
      <c r="C8843" s="2066"/>
      <c r="D8843" s="2066"/>
      <c r="E8843" s="2066"/>
      <c r="F8843" s="2066"/>
      <c r="G8843" s="2066"/>
      <c r="H8843" s="2066"/>
      <c r="I8843" s="2066"/>
      <c r="J8843" s="2066"/>
      <c r="K8843" s="2066"/>
      <c r="L8843" s="2066"/>
      <c r="M8843" s="2066"/>
      <c r="N8843" s="2066"/>
      <c r="O8843" s="2066"/>
      <c r="P8843" s="49"/>
      <c r="Q8843" s="1"/>
      <c r="R8843" s="2066"/>
      <c r="S8843" s="1"/>
      <c r="T8843" s="1"/>
      <c r="U8843" s="1"/>
      <c r="V8843" s="1"/>
      <c r="W8843" s="1"/>
      <c r="X8843" s="1"/>
      <c r="Y8843" s="1"/>
      <c r="Z8843" s="2066"/>
      <c r="AA8843" s="2066"/>
      <c r="AB8843" s="1"/>
      <c r="AC8843" s="1"/>
      <c r="AD8843" s="1"/>
      <c r="AE8843" s="1"/>
      <c r="AF8843" s="1"/>
      <c r="AG8843" s="1"/>
      <c r="AH8843" s="1"/>
      <c r="AI8843" s="1"/>
      <c r="AJ8843" s="1"/>
      <c r="AK8843" s="1"/>
      <c r="AL8843" s="1"/>
      <c r="AM8843" s="1"/>
    </row>
    <row r="8844" spans="1:39" x14ac:dyDescent="0.25">
      <c r="A8844" s="2066"/>
      <c r="B8844" s="2066"/>
      <c r="C8844" s="2066"/>
      <c r="D8844" s="2066"/>
      <c r="E8844" s="2066"/>
      <c r="F8844" s="2066"/>
      <c r="G8844" s="2066"/>
      <c r="H8844" s="2066"/>
      <c r="I8844" s="2066"/>
      <c r="J8844" s="2066"/>
      <c r="K8844" s="2066"/>
      <c r="L8844" s="2066"/>
      <c r="M8844" s="2066"/>
      <c r="N8844" s="2066"/>
      <c r="O8844" s="2066"/>
      <c r="P8844" s="49"/>
      <c r="Q8844" s="1"/>
      <c r="R8844" s="2066"/>
      <c r="S8844" s="1"/>
      <c r="T8844" s="1"/>
      <c r="U8844" s="1"/>
      <c r="V8844" s="1"/>
      <c r="W8844" s="1"/>
      <c r="X8844" s="1"/>
      <c r="Y8844" s="1"/>
      <c r="Z8844" s="2066"/>
      <c r="AA8844" s="2066"/>
      <c r="AB8844" s="1"/>
      <c r="AC8844" s="1"/>
      <c r="AD8844" s="1"/>
      <c r="AE8844" s="1"/>
      <c r="AF8844" s="1"/>
      <c r="AG8844" s="1"/>
      <c r="AH8844" s="1"/>
      <c r="AI8844" s="1"/>
      <c r="AJ8844" s="1"/>
      <c r="AK8844" s="1"/>
      <c r="AL8844" s="1"/>
      <c r="AM8844" s="1"/>
    </row>
    <row r="8845" spans="1:39" x14ac:dyDescent="0.25">
      <c r="A8845" s="2066"/>
      <c r="B8845" s="2066"/>
      <c r="C8845" s="2066"/>
      <c r="D8845" s="2066"/>
      <c r="E8845" s="2066"/>
      <c r="F8845" s="2066"/>
      <c r="G8845" s="2066"/>
      <c r="H8845" s="2066"/>
      <c r="I8845" s="2066"/>
      <c r="J8845" s="2066"/>
      <c r="K8845" s="2066"/>
      <c r="L8845" s="2066"/>
      <c r="M8845" s="2066"/>
      <c r="N8845" s="2066"/>
      <c r="O8845" s="2066"/>
      <c r="P8845" s="49"/>
      <c r="Q8845" s="1"/>
      <c r="R8845" s="2066"/>
      <c r="S8845" s="1"/>
      <c r="T8845" s="1"/>
      <c r="U8845" s="1"/>
      <c r="V8845" s="1"/>
      <c r="W8845" s="1"/>
      <c r="X8845" s="1"/>
      <c r="Y8845" s="1"/>
      <c r="Z8845" s="2066"/>
      <c r="AA8845" s="2066"/>
      <c r="AB8845" s="1"/>
      <c r="AC8845" s="1"/>
      <c r="AD8845" s="1"/>
      <c r="AE8845" s="1"/>
      <c r="AF8845" s="1"/>
      <c r="AG8845" s="1"/>
      <c r="AH8845" s="1"/>
      <c r="AI8845" s="1"/>
      <c r="AJ8845" s="1"/>
      <c r="AK8845" s="1"/>
      <c r="AL8845" s="1"/>
      <c r="AM8845" s="1"/>
    </row>
    <row r="8846" spans="1:39" x14ac:dyDescent="0.25">
      <c r="A8846" s="2066"/>
      <c r="B8846" s="2066"/>
      <c r="C8846" s="2066"/>
      <c r="D8846" s="2066"/>
      <c r="E8846" s="2066"/>
      <c r="F8846" s="2066"/>
      <c r="G8846" s="2066"/>
      <c r="H8846" s="2066"/>
      <c r="I8846" s="2066"/>
      <c r="J8846" s="2066"/>
      <c r="K8846" s="2066"/>
      <c r="L8846" s="2066"/>
      <c r="M8846" s="2066"/>
      <c r="N8846" s="2066"/>
      <c r="O8846" s="2066"/>
      <c r="P8846" s="49"/>
      <c r="Q8846" s="1"/>
      <c r="R8846" s="2066"/>
      <c r="S8846" s="1"/>
      <c r="T8846" s="1"/>
      <c r="U8846" s="1"/>
      <c r="V8846" s="1"/>
      <c r="W8846" s="1"/>
      <c r="X8846" s="1"/>
      <c r="Y8846" s="1"/>
      <c r="Z8846" s="2066"/>
      <c r="AA8846" s="2066"/>
      <c r="AB8846" s="1"/>
      <c r="AC8846" s="1"/>
      <c r="AD8846" s="1"/>
      <c r="AE8846" s="1"/>
      <c r="AF8846" s="1"/>
      <c r="AG8846" s="1"/>
      <c r="AH8846" s="1"/>
      <c r="AI8846" s="1"/>
      <c r="AJ8846" s="1"/>
      <c r="AK8846" s="1"/>
      <c r="AL8846" s="1"/>
      <c r="AM8846" s="1"/>
    </row>
    <row r="8847" spans="1:39" x14ac:dyDescent="0.25">
      <c r="A8847" s="2066"/>
      <c r="B8847" s="2066"/>
      <c r="C8847" s="2066"/>
      <c r="D8847" s="2066"/>
      <c r="E8847" s="2066"/>
      <c r="F8847" s="2066"/>
      <c r="G8847" s="2066"/>
      <c r="H8847" s="2066"/>
      <c r="I8847" s="2066"/>
      <c r="J8847" s="2066"/>
      <c r="K8847" s="2066"/>
      <c r="L8847" s="2066"/>
      <c r="M8847" s="2066"/>
      <c r="N8847" s="2066"/>
      <c r="O8847" s="2066"/>
      <c r="P8847" s="49"/>
      <c r="Q8847" s="1"/>
      <c r="R8847" s="2066"/>
      <c r="S8847" s="1"/>
      <c r="T8847" s="1"/>
      <c r="U8847" s="1"/>
      <c r="V8847" s="1"/>
      <c r="W8847" s="1"/>
      <c r="X8847" s="1"/>
      <c r="Y8847" s="1"/>
      <c r="Z8847" s="2066"/>
      <c r="AA8847" s="2066"/>
      <c r="AB8847" s="1"/>
      <c r="AC8847" s="1"/>
      <c r="AD8847" s="1"/>
      <c r="AE8847" s="1"/>
      <c r="AF8847" s="1"/>
      <c r="AG8847" s="1"/>
      <c r="AH8847" s="1"/>
      <c r="AI8847" s="1"/>
      <c r="AJ8847" s="1"/>
      <c r="AK8847" s="1"/>
      <c r="AL8847" s="1"/>
      <c r="AM8847" s="1"/>
    </row>
    <row r="8848" spans="1:39" x14ac:dyDescent="0.25">
      <c r="A8848" s="2066"/>
      <c r="B8848" s="2066"/>
      <c r="C8848" s="2066"/>
      <c r="D8848" s="2066"/>
      <c r="E8848" s="2066"/>
      <c r="F8848" s="2066"/>
      <c r="G8848" s="2066"/>
      <c r="H8848" s="2066"/>
      <c r="I8848" s="2066"/>
      <c r="J8848" s="2066"/>
      <c r="K8848" s="2066"/>
      <c r="L8848" s="2066"/>
      <c r="M8848" s="2066"/>
      <c r="N8848" s="2066"/>
      <c r="O8848" s="2066"/>
      <c r="P8848" s="49"/>
      <c r="Q8848" s="1"/>
      <c r="R8848" s="2066"/>
      <c r="S8848" s="1"/>
      <c r="T8848" s="1"/>
      <c r="U8848" s="1"/>
      <c r="V8848" s="1"/>
      <c r="W8848" s="1"/>
      <c r="X8848" s="1"/>
      <c r="Y8848" s="1"/>
      <c r="Z8848" s="2066"/>
      <c r="AA8848" s="2066"/>
      <c r="AB8848" s="1"/>
      <c r="AC8848" s="1"/>
      <c r="AD8848" s="1"/>
      <c r="AE8848" s="1"/>
      <c r="AF8848" s="1"/>
      <c r="AG8848" s="1"/>
      <c r="AH8848" s="1"/>
      <c r="AI8848" s="1"/>
      <c r="AJ8848" s="1"/>
      <c r="AK8848" s="1"/>
      <c r="AL8848" s="1"/>
      <c r="AM8848" s="1"/>
    </row>
    <row r="8849" spans="1:39" x14ac:dyDescent="0.25">
      <c r="A8849" s="2066"/>
      <c r="B8849" s="2066"/>
      <c r="C8849" s="2066"/>
      <c r="D8849" s="2066"/>
      <c r="E8849" s="2066"/>
      <c r="F8849" s="2066"/>
      <c r="G8849" s="2066"/>
      <c r="H8849" s="2066"/>
      <c r="I8849" s="2066"/>
      <c r="J8849" s="2066"/>
      <c r="K8849" s="2066"/>
      <c r="L8849" s="2066"/>
      <c r="M8849" s="2066"/>
      <c r="N8849" s="2066"/>
      <c r="O8849" s="2066"/>
      <c r="P8849" s="49"/>
      <c r="Q8849" s="1"/>
      <c r="R8849" s="2066"/>
      <c r="S8849" s="1"/>
      <c r="T8849" s="1"/>
      <c r="U8849" s="1"/>
      <c r="V8849" s="1"/>
      <c r="W8849" s="1"/>
      <c r="X8849" s="1"/>
      <c r="Y8849" s="1"/>
      <c r="Z8849" s="2066"/>
      <c r="AA8849" s="2066"/>
      <c r="AB8849" s="1"/>
      <c r="AC8849" s="1"/>
      <c r="AD8849" s="1"/>
      <c r="AE8849" s="1"/>
      <c r="AF8849" s="1"/>
      <c r="AG8849" s="1"/>
      <c r="AH8849" s="1"/>
      <c r="AI8849" s="1"/>
      <c r="AJ8849" s="1"/>
      <c r="AK8849" s="1"/>
      <c r="AL8849" s="1"/>
      <c r="AM8849" s="1"/>
    </row>
    <row r="8850" spans="1:39" x14ac:dyDescent="0.25">
      <c r="A8850" s="2066"/>
      <c r="B8850" s="2066"/>
      <c r="C8850" s="2066"/>
      <c r="D8850" s="2066"/>
      <c r="E8850" s="2066"/>
      <c r="F8850" s="2066"/>
      <c r="G8850" s="2066"/>
      <c r="H8850" s="2066"/>
      <c r="I8850" s="2066"/>
      <c r="J8850" s="2066"/>
      <c r="K8850" s="2066"/>
      <c r="L8850" s="2066"/>
      <c r="M8850" s="2066"/>
      <c r="N8850" s="2066"/>
      <c r="O8850" s="2066"/>
      <c r="P8850" s="49"/>
      <c r="Q8850" s="1"/>
      <c r="R8850" s="2066"/>
      <c r="S8850" s="1"/>
      <c r="T8850" s="1"/>
      <c r="U8850" s="1"/>
      <c r="V8850" s="1"/>
      <c r="W8850" s="1"/>
      <c r="X8850" s="1"/>
      <c r="Y8850" s="1"/>
      <c r="Z8850" s="2066"/>
      <c r="AA8850" s="2066"/>
      <c r="AB8850" s="1"/>
      <c r="AC8850" s="1"/>
      <c r="AD8850" s="1"/>
      <c r="AE8850" s="1"/>
      <c r="AF8850" s="1"/>
      <c r="AG8850" s="1"/>
      <c r="AH8850" s="1"/>
      <c r="AI8850" s="1"/>
      <c r="AJ8850" s="1"/>
      <c r="AK8850" s="1"/>
      <c r="AL8850" s="1"/>
      <c r="AM8850" s="1"/>
    </row>
    <row r="8851" spans="1:39" x14ac:dyDescent="0.25">
      <c r="A8851" s="2066"/>
      <c r="B8851" s="2066"/>
      <c r="C8851" s="2066"/>
      <c r="D8851" s="2066"/>
      <c r="E8851" s="2066"/>
      <c r="F8851" s="2066"/>
      <c r="G8851" s="2066"/>
      <c r="H8851" s="2066"/>
      <c r="I8851" s="2066"/>
      <c r="J8851" s="2066"/>
      <c r="K8851" s="2066"/>
      <c r="L8851" s="2066"/>
      <c r="M8851" s="2066"/>
      <c r="N8851" s="2066"/>
      <c r="O8851" s="2066"/>
      <c r="P8851" s="49"/>
      <c r="Q8851" s="1"/>
      <c r="R8851" s="2066"/>
      <c r="S8851" s="1"/>
      <c r="T8851" s="1"/>
      <c r="U8851" s="1"/>
      <c r="V8851" s="1"/>
      <c r="W8851" s="1"/>
      <c r="X8851" s="1"/>
      <c r="Y8851" s="1"/>
      <c r="Z8851" s="2066"/>
      <c r="AA8851" s="2066"/>
      <c r="AB8851" s="1"/>
      <c r="AC8851" s="1"/>
      <c r="AD8851" s="1"/>
      <c r="AE8851" s="1"/>
      <c r="AF8851" s="1"/>
      <c r="AG8851" s="1"/>
      <c r="AH8851" s="1"/>
      <c r="AI8851" s="1"/>
      <c r="AJ8851" s="1"/>
      <c r="AK8851" s="1"/>
      <c r="AL8851" s="1"/>
      <c r="AM8851" s="1"/>
    </row>
    <row r="8852" spans="1:39" x14ac:dyDescent="0.25">
      <c r="A8852" s="2066"/>
      <c r="B8852" s="2066"/>
      <c r="C8852" s="2066"/>
      <c r="D8852" s="2066"/>
      <c r="E8852" s="2066"/>
      <c r="F8852" s="2066"/>
      <c r="G8852" s="2066"/>
      <c r="H8852" s="2066"/>
      <c r="I8852" s="2066"/>
      <c r="J8852" s="2066"/>
      <c r="K8852" s="2066"/>
      <c r="L8852" s="2066"/>
      <c r="M8852" s="2066"/>
      <c r="N8852" s="2066"/>
      <c r="O8852" s="2066"/>
      <c r="P8852" s="49"/>
      <c r="Q8852" s="1"/>
      <c r="R8852" s="2066"/>
      <c r="S8852" s="1"/>
      <c r="T8852" s="1"/>
      <c r="U8852" s="1"/>
      <c r="V8852" s="1"/>
      <c r="W8852" s="1"/>
      <c r="X8852" s="1"/>
      <c r="Y8852" s="1"/>
      <c r="Z8852" s="2066"/>
      <c r="AA8852" s="2066"/>
      <c r="AB8852" s="1"/>
      <c r="AC8852" s="1"/>
      <c r="AD8852" s="1"/>
      <c r="AE8852" s="1"/>
      <c r="AF8852" s="1"/>
      <c r="AG8852" s="1"/>
      <c r="AH8852" s="1"/>
      <c r="AI8852" s="1"/>
      <c r="AJ8852" s="1"/>
      <c r="AK8852" s="1"/>
      <c r="AL8852" s="1"/>
      <c r="AM8852" s="1"/>
    </row>
    <row r="8853" spans="1:39" x14ac:dyDescent="0.25">
      <c r="A8853" s="2066"/>
      <c r="B8853" s="2066"/>
      <c r="C8853" s="2066"/>
      <c r="D8853" s="2066"/>
      <c r="E8853" s="2066"/>
      <c r="F8853" s="2066"/>
      <c r="G8853" s="2066"/>
      <c r="H8853" s="2066"/>
      <c r="I8853" s="2066"/>
      <c r="J8853" s="2066"/>
      <c r="K8853" s="2066"/>
      <c r="L8853" s="2066"/>
      <c r="M8853" s="2066"/>
      <c r="N8853" s="2066"/>
      <c r="O8853" s="2066"/>
      <c r="P8853" s="49"/>
      <c r="Q8853" s="1"/>
      <c r="R8853" s="2066"/>
      <c r="S8853" s="1"/>
      <c r="T8853" s="1"/>
      <c r="U8853" s="1"/>
      <c r="V8853" s="1"/>
      <c r="W8853" s="1"/>
      <c r="X8853" s="1"/>
      <c r="Y8853" s="1"/>
      <c r="Z8853" s="2066"/>
      <c r="AA8853" s="2066"/>
      <c r="AB8853" s="1"/>
      <c r="AC8853" s="1"/>
      <c r="AD8853" s="1"/>
      <c r="AE8853" s="1"/>
      <c r="AF8853" s="1"/>
      <c r="AG8853" s="1"/>
      <c r="AH8853" s="1"/>
      <c r="AI8853" s="1"/>
      <c r="AJ8853" s="1"/>
      <c r="AK8853" s="1"/>
      <c r="AL8853" s="1"/>
      <c r="AM8853" s="1"/>
    </row>
    <row r="8854" spans="1:39" x14ac:dyDescent="0.25">
      <c r="A8854" s="2066"/>
      <c r="B8854" s="2066"/>
      <c r="C8854" s="2066"/>
      <c r="D8854" s="2066"/>
      <c r="E8854" s="2066"/>
      <c r="F8854" s="2066"/>
      <c r="G8854" s="2066"/>
      <c r="H8854" s="2066"/>
      <c r="I8854" s="2066"/>
      <c r="J8854" s="2066"/>
      <c r="K8854" s="2066"/>
      <c r="L8854" s="2066"/>
      <c r="M8854" s="2066"/>
      <c r="N8854" s="2066"/>
      <c r="O8854" s="2066"/>
      <c r="P8854" s="49"/>
      <c r="Q8854" s="1"/>
      <c r="R8854" s="2066"/>
      <c r="S8854" s="1"/>
      <c r="T8854" s="1"/>
      <c r="U8854" s="1"/>
      <c r="V8854" s="1"/>
      <c r="W8854" s="1"/>
      <c r="X8854" s="1"/>
      <c r="Y8854" s="1"/>
      <c r="Z8854" s="2066"/>
      <c r="AA8854" s="2066"/>
      <c r="AB8854" s="1"/>
      <c r="AC8854" s="1"/>
      <c r="AD8854" s="1"/>
      <c r="AE8854" s="1"/>
      <c r="AF8854" s="1"/>
      <c r="AG8854" s="1"/>
      <c r="AH8854" s="1"/>
      <c r="AI8854" s="1"/>
      <c r="AJ8854" s="1"/>
      <c r="AK8854" s="1"/>
      <c r="AL8854" s="1"/>
      <c r="AM8854" s="1"/>
    </row>
    <row r="8855" spans="1:39" x14ac:dyDescent="0.25">
      <c r="A8855" s="2066"/>
      <c r="B8855" s="2066"/>
      <c r="C8855" s="2066"/>
      <c r="D8855" s="2066"/>
      <c r="E8855" s="2066"/>
      <c r="F8855" s="2066"/>
      <c r="G8855" s="2066"/>
      <c r="H8855" s="2066"/>
      <c r="I8855" s="2066"/>
      <c r="J8855" s="2066"/>
      <c r="K8855" s="2066"/>
      <c r="L8855" s="2066"/>
      <c r="M8855" s="2066"/>
      <c r="N8855" s="2066"/>
      <c r="O8855" s="2066"/>
      <c r="P8855" s="49"/>
      <c r="Q8855" s="1"/>
      <c r="R8855" s="2066"/>
      <c r="S8855" s="1"/>
      <c r="T8855" s="1"/>
      <c r="U8855" s="1"/>
      <c r="V8855" s="1"/>
      <c r="W8855" s="1"/>
      <c r="X8855" s="1"/>
      <c r="Y8855" s="1"/>
      <c r="Z8855" s="2066"/>
      <c r="AA8855" s="2066"/>
      <c r="AB8855" s="1"/>
      <c r="AC8855" s="1"/>
      <c r="AD8855" s="1"/>
      <c r="AE8855" s="1"/>
      <c r="AF8855" s="1"/>
      <c r="AG8855" s="1"/>
      <c r="AH8855" s="1"/>
      <c r="AI8855" s="1"/>
      <c r="AJ8855" s="1"/>
      <c r="AK8855" s="1"/>
      <c r="AL8855" s="1"/>
      <c r="AM8855" s="1"/>
    </row>
    <row r="8856" spans="1:39" x14ac:dyDescent="0.25">
      <c r="A8856" s="2066"/>
      <c r="B8856" s="2066"/>
      <c r="C8856" s="2066"/>
      <c r="D8856" s="2066"/>
      <c r="E8856" s="2066"/>
      <c r="F8856" s="2066"/>
      <c r="G8856" s="2066"/>
      <c r="H8856" s="2066"/>
      <c r="I8856" s="2066"/>
      <c r="J8856" s="2066"/>
      <c r="K8856" s="2066"/>
      <c r="L8856" s="2066"/>
      <c r="M8856" s="2066"/>
      <c r="N8856" s="2066"/>
      <c r="O8856" s="2066"/>
      <c r="P8856" s="49"/>
      <c r="Q8856" s="1"/>
      <c r="R8856" s="2066"/>
      <c r="S8856" s="1"/>
      <c r="T8856" s="1"/>
      <c r="U8856" s="1"/>
      <c r="V8856" s="1"/>
      <c r="W8856" s="1"/>
      <c r="X8856" s="1"/>
      <c r="Y8856" s="1"/>
      <c r="Z8856" s="2066"/>
      <c r="AA8856" s="2066"/>
      <c r="AB8856" s="1"/>
      <c r="AC8856" s="1"/>
      <c r="AD8856" s="1"/>
      <c r="AE8856" s="1"/>
      <c r="AF8856" s="1"/>
      <c r="AG8856" s="1"/>
      <c r="AH8856" s="1"/>
      <c r="AI8856" s="1"/>
      <c r="AJ8856" s="1"/>
      <c r="AK8856" s="1"/>
      <c r="AL8856" s="1"/>
      <c r="AM8856" s="1"/>
    </row>
    <row r="8857" spans="1:39" x14ac:dyDescent="0.25">
      <c r="A8857" s="2066"/>
      <c r="B8857" s="2066"/>
      <c r="C8857" s="2066"/>
      <c r="D8857" s="2066"/>
      <c r="E8857" s="2066"/>
      <c r="F8857" s="2066"/>
      <c r="G8857" s="2066"/>
      <c r="H8857" s="2066"/>
      <c r="I8857" s="2066"/>
      <c r="J8857" s="2066"/>
      <c r="K8857" s="2066"/>
      <c r="L8857" s="2066"/>
      <c r="M8857" s="2066"/>
      <c r="N8857" s="2066"/>
      <c r="O8857" s="2066"/>
      <c r="P8857" s="49"/>
      <c r="Q8857" s="1"/>
      <c r="R8857" s="2066"/>
      <c r="S8857" s="1"/>
      <c r="T8857" s="1"/>
      <c r="U8857" s="1"/>
      <c r="V8857" s="1"/>
      <c r="W8857" s="1"/>
      <c r="X8857" s="1"/>
      <c r="Y8857" s="1"/>
      <c r="Z8857" s="2066"/>
      <c r="AA8857" s="2066"/>
      <c r="AB8857" s="1"/>
      <c r="AC8857" s="1"/>
      <c r="AD8857" s="1"/>
      <c r="AE8857" s="1"/>
      <c r="AF8857" s="1"/>
      <c r="AG8857" s="1"/>
      <c r="AH8857" s="1"/>
      <c r="AI8857" s="1"/>
      <c r="AJ8857" s="1"/>
      <c r="AK8857" s="1"/>
      <c r="AL8857" s="1"/>
      <c r="AM8857" s="1"/>
    </row>
    <row r="8858" spans="1:39" x14ac:dyDescent="0.25">
      <c r="A8858" s="2066"/>
      <c r="B8858" s="2066"/>
      <c r="C8858" s="2066"/>
      <c r="D8858" s="2066"/>
      <c r="E8858" s="2066"/>
      <c r="F8858" s="2066"/>
      <c r="G8858" s="2066"/>
      <c r="H8858" s="2066"/>
      <c r="I8858" s="2066"/>
      <c r="J8858" s="2066"/>
      <c r="K8858" s="2066"/>
      <c r="L8858" s="2066"/>
      <c r="M8858" s="2066"/>
      <c r="N8858" s="2066"/>
      <c r="O8858" s="2066"/>
      <c r="P8858" s="49"/>
      <c r="Q8858" s="1"/>
      <c r="R8858" s="2066"/>
      <c r="S8858" s="1"/>
      <c r="T8858" s="1"/>
      <c r="U8858" s="1"/>
      <c r="V8858" s="1"/>
      <c r="W8858" s="1"/>
      <c r="X8858" s="1"/>
      <c r="Y8858" s="1"/>
      <c r="Z8858" s="2066"/>
      <c r="AA8858" s="2066"/>
      <c r="AB8858" s="1"/>
      <c r="AC8858" s="1"/>
      <c r="AD8858" s="1"/>
      <c r="AE8858" s="1"/>
      <c r="AF8858" s="1"/>
      <c r="AG8858" s="1"/>
      <c r="AH8858" s="1"/>
      <c r="AI8858" s="1"/>
      <c r="AJ8858" s="1"/>
      <c r="AK8858" s="1"/>
      <c r="AL8858" s="1"/>
      <c r="AM8858" s="1"/>
    </row>
    <row r="8859" spans="1:39" x14ac:dyDescent="0.25">
      <c r="A8859" s="2066"/>
      <c r="B8859" s="2066"/>
      <c r="C8859" s="2066"/>
      <c r="D8859" s="2066"/>
      <c r="E8859" s="2066"/>
      <c r="F8859" s="2066"/>
      <c r="G8859" s="2066"/>
      <c r="H8859" s="2066"/>
      <c r="I8859" s="2066"/>
      <c r="J8859" s="2066"/>
      <c r="K8859" s="2066"/>
      <c r="L8859" s="2066"/>
      <c r="M8859" s="2066"/>
      <c r="N8859" s="2066"/>
      <c r="O8859" s="2066"/>
      <c r="P8859" s="49"/>
      <c r="Q8859" s="1"/>
      <c r="R8859" s="2066"/>
      <c r="S8859" s="1"/>
      <c r="T8859" s="1"/>
      <c r="U8859" s="1"/>
      <c r="V8859" s="1"/>
      <c r="W8859" s="1"/>
      <c r="X8859" s="1"/>
      <c r="Y8859" s="1"/>
      <c r="Z8859" s="2066"/>
      <c r="AA8859" s="2066"/>
      <c r="AB8859" s="1"/>
      <c r="AC8859" s="1"/>
      <c r="AD8859" s="1"/>
      <c r="AE8859" s="1"/>
      <c r="AF8859" s="1"/>
      <c r="AG8859" s="1"/>
      <c r="AH8859" s="1"/>
      <c r="AI8859" s="1"/>
      <c r="AJ8859" s="1"/>
      <c r="AK8859" s="1"/>
      <c r="AL8859" s="1"/>
      <c r="AM8859" s="1"/>
    </row>
    <row r="8860" spans="1:39" x14ac:dyDescent="0.25">
      <c r="A8860" s="2066"/>
      <c r="B8860" s="2066"/>
      <c r="C8860" s="2066"/>
      <c r="D8860" s="2066"/>
      <c r="E8860" s="2066"/>
      <c r="F8860" s="2066"/>
      <c r="G8860" s="2066"/>
      <c r="H8860" s="2066"/>
      <c r="I8860" s="2066"/>
      <c r="J8860" s="2066"/>
      <c r="K8860" s="2066"/>
      <c r="L8860" s="2066"/>
      <c r="M8860" s="2066"/>
      <c r="N8860" s="2066"/>
      <c r="O8860" s="2066"/>
      <c r="P8860" s="49"/>
      <c r="Q8860" s="1"/>
      <c r="R8860" s="2066"/>
      <c r="S8860" s="1"/>
      <c r="T8860" s="1"/>
      <c r="U8860" s="1"/>
      <c r="V8860" s="1"/>
      <c r="W8860" s="1"/>
      <c r="X8860" s="1"/>
      <c r="Y8860" s="1"/>
      <c r="Z8860" s="2066"/>
      <c r="AA8860" s="2066"/>
      <c r="AB8860" s="1"/>
      <c r="AC8860" s="1"/>
      <c r="AD8860" s="1"/>
      <c r="AE8860" s="1"/>
      <c r="AF8860" s="1"/>
      <c r="AG8860" s="1"/>
      <c r="AH8860" s="1"/>
      <c r="AI8860" s="1"/>
      <c r="AJ8860" s="1"/>
      <c r="AK8860" s="1"/>
      <c r="AL8860" s="1"/>
      <c r="AM8860" s="1"/>
    </row>
    <row r="8861" spans="1:39" x14ac:dyDescent="0.25">
      <c r="A8861" s="2066"/>
      <c r="B8861" s="2066"/>
      <c r="C8861" s="2066"/>
      <c r="D8861" s="2066"/>
      <c r="E8861" s="2066"/>
      <c r="F8861" s="2066"/>
      <c r="G8861" s="2066"/>
      <c r="H8861" s="2066"/>
      <c r="I8861" s="2066"/>
      <c r="J8861" s="2066"/>
      <c r="K8861" s="2066"/>
      <c r="L8861" s="2066"/>
      <c r="M8861" s="2066"/>
      <c r="N8861" s="2066"/>
      <c r="O8861" s="2066"/>
      <c r="P8861" s="49"/>
      <c r="Q8861" s="1"/>
      <c r="R8861" s="2066"/>
      <c r="S8861" s="1"/>
      <c r="T8861" s="1"/>
      <c r="U8861" s="1"/>
      <c r="V8861" s="1"/>
      <c r="W8861" s="1"/>
      <c r="X8861" s="1"/>
      <c r="Y8861" s="1"/>
      <c r="Z8861" s="2066"/>
      <c r="AA8861" s="2066"/>
      <c r="AB8861" s="1"/>
      <c r="AC8861" s="1"/>
      <c r="AD8861" s="1"/>
      <c r="AE8861" s="1"/>
      <c r="AF8861" s="1"/>
      <c r="AG8861" s="1"/>
      <c r="AH8861" s="1"/>
      <c r="AI8861" s="1"/>
      <c r="AJ8861" s="1"/>
      <c r="AK8861" s="1"/>
      <c r="AL8861" s="1"/>
      <c r="AM8861" s="1"/>
    </row>
    <row r="8862" spans="1:39" x14ac:dyDescent="0.25">
      <c r="A8862" s="2066"/>
      <c r="B8862" s="2066"/>
      <c r="C8862" s="2066"/>
      <c r="D8862" s="2066"/>
      <c r="E8862" s="2066"/>
      <c r="F8862" s="2066"/>
      <c r="G8862" s="2066"/>
      <c r="H8862" s="2066"/>
      <c r="I8862" s="2066"/>
      <c r="J8862" s="2066"/>
      <c r="K8862" s="2066"/>
      <c r="L8862" s="2066"/>
      <c r="M8862" s="2066"/>
      <c r="N8862" s="2066"/>
      <c r="O8862" s="2066"/>
      <c r="P8862" s="49"/>
      <c r="Q8862" s="1"/>
      <c r="R8862" s="2066"/>
      <c r="S8862" s="1"/>
      <c r="T8862" s="1"/>
      <c r="U8862" s="1"/>
      <c r="V8862" s="1"/>
      <c r="W8862" s="1"/>
      <c r="X8862" s="1"/>
      <c r="Y8862" s="1"/>
      <c r="Z8862" s="2066"/>
      <c r="AA8862" s="2066"/>
      <c r="AB8862" s="1"/>
      <c r="AC8862" s="1"/>
      <c r="AD8862" s="1"/>
      <c r="AE8862" s="1"/>
      <c r="AF8862" s="1"/>
      <c r="AG8862" s="1"/>
      <c r="AH8862" s="1"/>
      <c r="AI8862" s="1"/>
      <c r="AJ8862" s="1"/>
      <c r="AK8862" s="1"/>
      <c r="AL8862" s="1"/>
      <c r="AM8862" s="1"/>
    </row>
    <row r="8863" spans="1:39" x14ac:dyDescent="0.25">
      <c r="A8863" s="2066"/>
      <c r="B8863" s="2066"/>
      <c r="C8863" s="2066"/>
      <c r="D8863" s="2066"/>
      <c r="E8863" s="2066"/>
      <c r="F8863" s="2066"/>
      <c r="G8863" s="2066"/>
      <c r="H8863" s="2066"/>
      <c r="I8863" s="2066"/>
      <c r="J8863" s="2066"/>
      <c r="K8863" s="2066"/>
      <c r="L8863" s="2066"/>
      <c r="M8863" s="2066"/>
      <c r="N8863" s="2066"/>
      <c r="O8863" s="2066"/>
      <c r="P8863" s="49"/>
      <c r="Q8863" s="1"/>
      <c r="R8863" s="2066"/>
      <c r="S8863" s="1"/>
      <c r="T8863" s="1"/>
      <c r="U8863" s="1"/>
      <c r="V8863" s="1"/>
      <c r="W8863" s="1"/>
      <c r="X8863" s="1"/>
      <c r="Y8863" s="1"/>
      <c r="Z8863" s="2066"/>
      <c r="AA8863" s="2066"/>
      <c r="AB8863" s="1"/>
      <c r="AC8863" s="1"/>
      <c r="AD8863" s="1"/>
      <c r="AE8863" s="1"/>
      <c r="AF8863" s="1"/>
      <c r="AG8863" s="1"/>
      <c r="AH8863" s="1"/>
      <c r="AI8863" s="1"/>
      <c r="AJ8863" s="1"/>
      <c r="AK8863" s="1"/>
      <c r="AL8863" s="1"/>
      <c r="AM8863" s="1"/>
    </row>
    <row r="8864" spans="1:39" x14ac:dyDescent="0.25">
      <c r="A8864" s="2066"/>
      <c r="B8864" s="2066"/>
      <c r="C8864" s="2066"/>
      <c r="D8864" s="2066"/>
      <c r="E8864" s="2066"/>
      <c r="F8864" s="2066"/>
      <c r="G8864" s="2066"/>
      <c r="H8864" s="2066"/>
      <c r="I8864" s="2066"/>
      <c r="J8864" s="2066"/>
      <c r="K8864" s="2066"/>
      <c r="L8864" s="2066"/>
      <c r="M8864" s="2066"/>
      <c r="N8864" s="2066"/>
      <c r="O8864" s="2066"/>
      <c r="P8864" s="49"/>
      <c r="Q8864" s="1"/>
      <c r="R8864" s="2066"/>
      <c r="S8864" s="1"/>
      <c r="T8864" s="1"/>
      <c r="U8864" s="1"/>
      <c r="V8864" s="1"/>
      <c r="W8864" s="1"/>
      <c r="X8864" s="1"/>
      <c r="Y8864" s="1"/>
      <c r="Z8864" s="2066"/>
      <c r="AA8864" s="2066"/>
      <c r="AB8864" s="1"/>
      <c r="AC8864" s="1"/>
      <c r="AD8864" s="1"/>
      <c r="AE8864" s="1"/>
      <c r="AF8864" s="1"/>
      <c r="AG8864" s="1"/>
      <c r="AH8864" s="1"/>
      <c r="AI8864" s="1"/>
      <c r="AJ8864" s="1"/>
      <c r="AK8864" s="1"/>
      <c r="AL8864" s="1"/>
      <c r="AM8864" s="1"/>
    </row>
    <row r="8865" spans="1:39" x14ac:dyDescent="0.25">
      <c r="A8865" s="2066"/>
      <c r="B8865" s="2066"/>
      <c r="C8865" s="2066"/>
      <c r="D8865" s="2066"/>
      <c r="E8865" s="2066"/>
      <c r="F8865" s="2066"/>
      <c r="G8865" s="2066"/>
      <c r="H8865" s="2066"/>
      <c r="I8865" s="2066"/>
      <c r="J8865" s="2066"/>
      <c r="K8865" s="2066"/>
      <c r="L8865" s="2066"/>
      <c r="M8865" s="2066"/>
      <c r="N8865" s="2066"/>
      <c r="O8865" s="2066"/>
      <c r="P8865" s="49"/>
      <c r="Q8865" s="1"/>
      <c r="R8865" s="2066"/>
      <c r="S8865" s="1"/>
      <c r="T8865" s="1"/>
      <c r="U8865" s="1"/>
      <c r="V8865" s="1"/>
      <c r="W8865" s="1"/>
      <c r="X8865" s="1"/>
      <c r="Y8865" s="1"/>
      <c r="Z8865" s="2066"/>
      <c r="AA8865" s="2066"/>
      <c r="AB8865" s="1"/>
      <c r="AC8865" s="1"/>
      <c r="AD8865" s="1"/>
      <c r="AE8865" s="1"/>
      <c r="AF8865" s="1"/>
      <c r="AG8865" s="1"/>
      <c r="AH8865" s="1"/>
      <c r="AI8865" s="1"/>
      <c r="AJ8865" s="1"/>
      <c r="AK8865" s="1"/>
      <c r="AL8865" s="1"/>
      <c r="AM8865" s="1"/>
    </row>
    <row r="8866" spans="1:39" x14ac:dyDescent="0.25">
      <c r="A8866" s="2066"/>
      <c r="B8866" s="2066"/>
      <c r="C8866" s="2066"/>
      <c r="D8866" s="2066"/>
      <c r="E8866" s="2066"/>
      <c r="F8866" s="2066"/>
      <c r="G8866" s="2066"/>
      <c r="H8866" s="2066"/>
      <c r="I8866" s="2066"/>
      <c r="J8866" s="2066"/>
      <c r="K8866" s="2066"/>
      <c r="L8866" s="2066"/>
      <c r="M8866" s="2066"/>
      <c r="N8866" s="2066"/>
      <c r="O8866" s="2066"/>
      <c r="P8866" s="49"/>
      <c r="Q8866" s="1"/>
      <c r="R8866" s="2066"/>
      <c r="S8866" s="1"/>
      <c r="T8866" s="1"/>
      <c r="U8866" s="1"/>
      <c r="V8866" s="1"/>
      <c r="W8866" s="1"/>
      <c r="X8866" s="1"/>
      <c r="Y8866" s="1"/>
      <c r="Z8866" s="2066"/>
      <c r="AA8866" s="2066"/>
      <c r="AB8866" s="1"/>
      <c r="AC8866" s="1"/>
      <c r="AD8866" s="1"/>
      <c r="AE8866" s="1"/>
      <c r="AF8866" s="1"/>
      <c r="AG8866" s="1"/>
      <c r="AH8866" s="1"/>
      <c r="AI8866" s="1"/>
      <c r="AJ8866" s="1"/>
      <c r="AK8866" s="1"/>
      <c r="AL8866" s="1"/>
      <c r="AM8866" s="1"/>
    </row>
    <row r="8867" spans="1:39" x14ac:dyDescent="0.25">
      <c r="A8867" s="2066"/>
      <c r="B8867" s="2066"/>
      <c r="C8867" s="2066"/>
      <c r="D8867" s="2066"/>
      <c r="E8867" s="2066"/>
      <c r="F8867" s="2066"/>
      <c r="G8867" s="2066"/>
      <c r="H8867" s="2066"/>
      <c r="I8867" s="2066"/>
      <c r="J8867" s="2066"/>
      <c r="K8867" s="2066"/>
      <c r="L8867" s="2066"/>
      <c r="M8867" s="2066"/>
      <c r="N8867" s="2066"/>
      <c r="O8867" s="2066"/>
      <c r="P8867" s="49"/>
      <c r="Q8867" s="1"/>
      <c r="R8867" s="2066"/>
      <c r="S8867" s="1"/>
      <c r="T8867" s="1"/>
      <c r="U8867" s="1"/>
      <c r="V8867" s="1"/>
      <c r="W8867" s="1"/>
      <c r="X8867" s="1"/>
      <c r="Y8867" s="1"/>
      <c r="Z8867" s="2066"/>
      <c r="AA8867" s="2066"/>
      <c r="AB8867" s="1"/>
      <c r="AC8867" s="1"/>
      <c r="AD8867" s="1"/>
      <c r="AE8867" s="1"/>
      <c r="AF8867" s="1"/>
      <c r="AG8867" s="1"/>
      <c r="AH8867" s="1"/>
      <c r="AI8867" s="1"/>
      <c r="AJ8867" s="1"/>
      <c r="AK8867" s="1"/>
      <c r="AL8867" s="1"/>
      <c r="AM8867" s="1"/>
    </row>
    <row r="8868" spans="1:39" x14ac:dyDescent="0.25">
      <c r="A8868" s="2066"/>
      <c r="B8868" s="2066"/>
      <c r="C8868" s="2066"/>
      <c r="D8868" s="2066"/>
      <c r="E8868" s="2066"/>
      <c r="F8868" s="2066"/>
      <c r="G8868" s="2066"/>
      <c r="H8868" s="2066"/>
      <c r="I8868" s="2066"/>
      <c r="J8868" s="2066"/>
      <c r="K8868" s="2066"/>
      <c r="L8868" s="2066"/>
      <c r="M8868" s="2066"/>
      <c r="N8868" s="2066"/>
      <c r="O8868" s="2066"/>
      <c r="P8868" s="49"/>
      <c r="Q8868" s="1"/>
      <c r="R8868" s="2066"/>
      <c r="S8868" s="1"/>
      <c r="T8868" s="1"/>
      <c r="U8868" s="1"/>
      <c r="V8868" s="1"/>
      <c r="W8868" s="1"/>
      <c r="X8868" s="1"/>
      <c r="Y8868" s="1"/>
      <c r="Z8868" s="2066"/>
      <c r="AA8868" s="2066"/>
      <c r="AB8868" s="1"/>
      <c r="AC8868" s="1"/>
      <c r="AD8868" s="1"/>
      <c r="AE8868" s="1"/>
      <c r="AF8868" s="1"/>
      <c r="AG8868" s="1"/>
      <c r="AH8868" s="1"/>
      <c r="AI8868" s="1"/>
      <c r="AJ8868" s="1"/>
      <c r="AK8868" s="1"/>
      <c r="AL8868" s="1"/>
      <c r="AM8868" s="1"/>
    </row>
    <row r="8869" spans="1:39" x14ac:dyDescent="0.25">
      <c r="A8869" s="2066"/>
      <c r="B8869" s="2066"/>
      <c r="C8869" s="2066"/>
      <c r="D8869" s="2066"/>
      <c r="E8869" s="2066"/>
      <c r="F8869" s="2066"/>
      <c r="G8869" s="2066"/>
      <c r="H8869" s="2066"/>
      <c r="I8869" s="2066"/>
      <c r="J8869" s="2066"/>
      <c r="K8869" s="2066"/>
      <c r="L8869" s="2066"/>
      <c r="M8869" s="2066"/>
      <c r="N8869" s="2066"/>
      <c r="O8869" s="2066"/>
      <c r="P8869" s="49"/>
      <c r="Q8869" s="1"/>
      <c r="R8869" s="2066"/>
      <c r="S8869" s="1"/>
      <c r="T8869" s="1"/>
      <c r="U8869" s="1"/>
      <c r="V8869" s="1"/>
      <c r="W8869" s="1"/>
      <c r="X8869" s="1"/>
      <c r="Y8869" s="1"/>
      <c r="Z8869" s="2066"/>
      <c r="AA8869" s="2066"/>
      <c r="AB8869" s="1"/>
      <c r="AC8869" s="1"/>
      <c r="AD8869" s="1"/>
      <c r="AE8869" s="1"/>
      <c r="AF8869" s="1"/>
      <c r="AG8869" s="1"/>
      <c r="AH8869" s="1"/>
      <c r="AI8869" s="1"/>
      <c r="AJ8869" s="1"/>
      <c r="AK8869" s="1"/>
      <c r="AL8869" s="1"/>
      <c r="AM8869" s="1"/>
    </row>
    <row r="8870" spans="1:39" x14ac:dyDescent="0.25">
      <c r="A8870" s="2066"/>
      <c r="B8870" s="2066"/>
      <c r="C8870" s="2066"/>
      <c r="D8870" s="2066"/>
      <c r="E8870" s="2066"/>
      <c r="F8870" s="2066"/>
      <c r="G8870" s="2066"/>
      <c r="H8870" s="2066"/>
      <c r="I8870" s="2066"/>
      <c r="J8870" s="2066"/>
      <c r="K8870" s="2066"/>
      <c r="L8870" s="2066"/>
      <c r="M8870" s="2066"/>
      <c r="N8870" s="2066"/>
      <c r="O8870" s="2066"/>
      <c r="P8870" s="49"/>
      <c r="Q8870" s="1"/>
      <c r="R8870" s="2066"/>
      <c r="S8870" s="1"/>
      <c r="T8870" s="1"/>
      <c r="U8870" s="1"/>
      <c r="V8870" s="1"/>
      <c r="W8870" s="1"/>
      <c r="X8870" s="1"/>
      <c r="Y8870" s="1"/>
      <c r="Z8870" s="2066"/>
      <c r="AA8870" s="2066"/>
      <c r="AB8870" s="1"/>
      <c r="AC8870" s="1"/>
      <c r="AD8870" s="1"/>
      <c r="AE8870" s="1"/>
      <c r="AF8870" s="1"/>
      <c r="AG8870" s="1"/>
      <c r="AH8870" s="1"/>
      <c r="AI8870" s="1"/>
      <c r="AJ8870" s="1"/>
      <c r="AK8870" s="1"/>
      <c r="AL8870" s="1"/>
      <c r="AM8870" s="1"/>
    </row>
    <row r="8871" spans="1:39" x14ac:dyDescent="0.25">
      <c r="A8871" s="2066"/>
      <c r="B8871" s="2066"/>
      <c r="C8871" s="2066"/>
      <c r="D8871" s="2066"/>
      <c r="E8871" s="2066"/>
      <c r="F8871" s="2066"/>
      <c r="G8871" s="2066"/>
      <c r="H8871" s="2066"/>
      <c r="I8871" s="2066"/>
      <c r="J8871" s="2066"/>
      <c r="K8871" s="2066"/>
      <c r="L8871" s="2066"/>
      <c r="M8871" s="2066"/>
      <c r="N8871" s="2066"/>
      <c r="O8871" s="2066"/>
      <c r="P8871" s="49"/>
      <c r="Q8871" s="1"/>
      <c r="R8871" s="2066"/>
      <c r="S8871" s="1"/>
      <c r="T8871" s="1"/>
      <c r="U8871" s="1"/>
      <c r="V8871" s="1"/>
      <c r="W8871" s="1"/>
      <c r="X8871" s="1"/>
      <c r="Y8871" s="1"/>
      <c r="Z8871" s="2066"/>
      <c r="AA8871" s="2066"/>
      <c r="AB8871" s="1"/>
      <c r="AC8871" s="1"/>
      <c r="AD8871" s="1"/>
      <c r="AE8871" s="1"/>
      <c r="AF8871" s="1"/>
      <c r="AG8871" s="1"/>
      <c r="AH8871" s="1"/>
      <c r="AI8871" s="1"/>
      <c r="AJ8871" s="1"/>
      <c r="AK8871" s="1"/>
      <c r="AL8871" s="1"/>
      <c r="AM8871" s="1"/>
    </row>
    <row r="8872" spans="1:39" x14ac:dyDescent="0.25">
      <c r="A8872" s="2066"/>
      <c r="B8872" s="2066"/>
      <c r="C8872" s="2066"/>
      <c r="D8872" s="2066"/>
      <c r="E8872" s="2066"/>
      <c r="F8872" s="2066"/>
      <c r="G8872" s="2066"/>
      <c r="H8872" s="2066"/>
      <c r="I8872" s="2066"/>
      <c r="J8872" s="2066"/>
      <c r="K8872" s="2066"/>
      <c r="L8872" s="2066"/>
      <c r="M8872" s="2066"/>
      <c r="N8872" s="2066"/>
      <c r="O8872" s="2066"/>
      <c r="P8872" s="49"/>
      <c r="Q8872" s="1"/>
      <c r="R8872" s="2066"/>
      <c r="S8872" s="1"/>
      <c r="T8872" s="1"/>
      <c r="U8872" s="1"/>
      <c r="V8872" s="1"/>
      <c r="W8872" s="1"/>
      <c r="X8872" s="1"/>
      <c r="Y8872" s="1"/>
      <c r="Z8872" s="2066"/>
      <c r="AA8872" s="2066"/>
      <c r="AB8872" s="1"/>
      <c r="AC8872" s="1"/>
      <c r="AD8872" s="1"/>
      <c r="AE8872" s="1"/>
      <c r="AF8872" s="1"/>
      <c r="AG8872" s="1"/>
      <c r="AH8872" s="1"/>
      <c r="AI8872" s="1"/>
      <c r="AJ8872" s="1"/>
      <c r="AK8872" s="1"/>
      <c r="AL8872" s="1"/>
      <c r="AM8872" s="1"/>
    </row>
    <row r="8873" spans="1:39" x14ac:dyDescent="0.25">
      <c r="A8873" s="2066"/>
      <c r="B8873" s="2066"/>
      <c r="C8873" s="2066"/>
      <c r="D8873" s="2066"/>
      <c r="E8873" s="2066"/>
      <c r="F8873" s="2066"/>
      <c r="G8873" s="2066"/>
      <c r="H8873" s="2066"/>
      <c r="I8873" s="2066"/>
      <c r="J8873" s="2066"/>
      <c r="K8873" s="2066"/>
      <c r="L8873" s="2066"/>
      <c r="M8873" s="2066"/>
      <c r="N8873" s="2066"/>
      <c r="O8873" s="2066"/>
      <c r="P8873" s="49"/>
      <c r="Q8873" s="1"/>
      <c r="R8873" s="2066"/>
      <c r="S8873" s="1"/>
      <c r="T8873" s="1"/>
      <c r="U8873" s="1"/>
      <c r="V8873" s="1"/>
      <c r="W8873" s="1"/>
      <c r="X8873" s="1"/>
      <c r="Y8873" s="1"/>
      <c r="Z8873" s="2066"/>
      <c r="AA8873" s="2066"/>
      <c r="AB8873" s="1"/>
      <c r="AC8873" s="1"/>
      <c r="AD8873" s="1"/>
      <c r="AE8873" s="1"/>
      <c r="AF8873" s="1"/>
      <c r="AG8873" s="1"/>
      <c r="AH8873" s="1"/>
      <c r="AI8873" s="1"/>
      <c r="AJ8873" s="1"/>
      <c r="AK8873" s="1"/>
      <c r="AL8873" s="1"/>
      <c r="AM8873" s="1"/>
    </row>
    <row r="8874" spans="1:39" x14ac:dyDescent="0.25">
      <c r="A8874" s="2066"/>
      <c r="B8874" s="2066"/>
      <c r="C8874" s="2066"/>
      <c r="D8874" s="2066"/>
      <c r="E8874" s="2066"/>
      <c r="F8874" s="2066"/>
      <c r="G8874" s="2066"/>
      <c r="H8874" s="2066"/>
      <c r="I8874" s="2066"/>
      <c r="J8874" s="2066"/>
      <c r="K8874" s="2066"/>
      <c r="L8874" s="2066"/>
      <c r="M8874" s="2066"/>
      <c r="N8874" s="2066"/>
      <c r="O8874" s="2066"/>
      <c r="P8874" s="49"/>
      <c r="Q8874" s="1"/>
      <c r="R8874" s="2066"/>
      <c r="S8874" s="1"/>
      <c r="T8874" s="1"/>
      <c r="U8874" s="1"/>
      <c r="V8874" s="1"/>
      <c r="W8874" s="1"/>
      <c r="X8874" s="1"/>
      <c r="Y8874" s="1"/>
      <c r="Z8874" s="2066"/>
      <c r="AA8874" s="2066"/>
      <c r="AB8874" s="1"/>
      <c r="AC8874" s="1"/>
      <c r="AD8874" s="1"/>
      <c r="AE8874" s="1"/>
      <c r="AF8874" s="1"/>
      <c r="AG8874" s="1"/>
      <c r="AH8874" s="1"/>
      <c r="AI8874" s="1"/>
      <c r="AJ8874" s="1"/>
      <c r="AK8874" s="1"/>
      <c r="AL8874" s="1"/>
      <c r="AM8874" s="1"/>
    </row>
    <row r="8875" spans="1:39" x14ac:dyDescent="0.25">
      <c r="A8875" s="2066"/>
      <c r="B8875" s="2066"/>
      <c r="C8875" s="2066"/>
      <c r="D8875" s="2066"/>
      <c r="E8875" s="2066"/>
      <c r="F8875" s="2066"/>
      <c r="G8875" s="2066"/>
      <c r="H8875" s="2066"/>
      <c r="I8875" s="2066"/>
      <c r="J8875" s="2066"/>
      <c r="K8875" s="2066"/>
      <c r="L8875" s="2066"/>
      <c r="M8875" s="2066"/>
      <c r="N8875" s="2066"/>
      <c r="O8875" s="2066"/>
      <c r="P8875" s="49"/>
      <c r="Q8875" s="1"/>
      <c r="R8875" s="2066"/>
      <c r="S8875" s="1"/>
      <c r="T8875" s="1"/>
      <c r="U8875" s="1"/>
      <c r="V8875" s="1"/>
      <c r="W8875" s="1"/>
      <c r="X8875" s="1"/>
      <c r="Y8875" s="1"/>
      <c r="Z8875" s="2066"/>
      <c r="AA8875" s="2066"/>
      <c r="AB8875" s="1"/>
      <c r="AC8875" s="1"/>
      <c r="AD8875" s="1"/>
      <c r="AE8875" s="1"/>
      <c r="AF8875" s="1"/>
      <c r="AG8875" s="1"/>
      <c r="AH8875" s="1"/>
      <c r="AI8875" s="1"/>
      <c r="AJ8875" s="1"/>
      <c r="AK8875" s="1"/>
      <c r="AL8875" s="1"/>
      <c r="AM8875" s="1"/>
    </row>
    <row r="8876" spans="1:39" x14ac:dyDescent="0.25">
      <c r="A8876" s="2066"/>
      <c r="B8876" s="2066"/>
      <c r="C8876" s="2066"/>
      <c r="D8876" s="2066"/>
      <c r="E8876" s="2066"/>
      <c r="F8876" s="2066"/>
      <c r="G8876" s="2066"/>
      <c r="H8876" s="2066"/>
      <c r="I8876" s="2066"/>
      <c r="J8876" s="2066"/>
      <c r="K8876" s="2066"/>
      <c r="L8876" s="2066"/>
      <c r="M8876" s="2066"/>
      <c r="N8876" s="2066"/>
      <c r="O8876" s="2066"/>
      <c r="P8876" s="49"/>
      <c r="Q8876" s="1"/>
      <c r="R8876" s="2066"/>
      <c r="S8876" s="1"/>
      <c r="T8876" s="1"/>
      <c r="U8876" s="1"/>
      <c r="V8876" s="1"/>
      <c r="W8876" s="1"/>
      <c r="X8876" s="1"/>
      <c r="Y8876" s="1"/>
      <c r="Z8876" s="2066"/>
      <c r="AA8876" s="2066"/>
      <c r="AB8876" s="1"/>
      <c r="AC8876" s="1"/>
      <c r="AD8876" s="1"/>
      <c r="AE8876" s="1"/>
      <c r="AF8876" s="1"/>
      <c r="AG8876" s="1"/>
      <c r="AH8876" s="1"/>
      <c r="AI8876" s="1"/>
      <c r="AJ8876" s="1"/>
      <c r="AK8876" s="1"/>
      <c r="AL8876" s="1"/>
      <c r="AM8876" s="1"/>
    </row>
    <row r="8877" spans="1:39" x14ac:dyDescent="0.25">
      <c r="A8877" s="2066"/>
      <c r="B8877" s="2066"/>
      <c r="C8877" s="2066"/>
      <c r="D8877" s="2066"/>
      <c r="E8877" s="2066"/>
      <c r="F8877" s="2066"/>
      <c r="G8877" s="2066"/>
      <c r="H8877" s="2066"/>
      <c r="I8877" s="2066"/>
      <c r="J8877" s="2066"/>
      <c r="K8877" s="2066"/>
      <c r="L8877" s="2066"/>
      <c r="M8877" s="2066"/>
      <c r="N8877" s="2066"/>
      <c r="O8877" s="2066"/>
      <c r="P8877" s="49"/>
      <c r="Q8877" s="1"/>
      <c r="R8877" s="2066"/>
      <c r="S8877" s="1"/>
      <c r="T8877" s="1"/>
      <c r="U8877" s="1"/>
      <c r="V8877" s="1"/>
      <c r="W8877" s="1"/>
      <c r="X8877" s="1"/>
      <c r="Y8877" s="1"/>
      <c r="Z8877" s="2066"/>
      <c r="AA8877" s="2066"/>
      <c r="AB8877" s="1"/>
      <c r="AC8877" s="1"/>
      <c r="AD8877" s="1"/>
      <c r="AE8877" s="1"/>
      <c r="AF8877" s="1"/>
      <c r="AG8877" s="1"/>
      <c r="AH8877" s="1"/>
      <c r="AI8877" s="1"/>
      <c r="AJ8877" s="1"/>
      <c r="AK8877" s="1"/>
      <c r="AL8877" s="1"/>
      <c r="AM8877" s="1"/>
    </row>
    <row r="8878" spans="1:39" x14ac:dyDescent="0.25">
      <c r="A8878" s="2066"/>
      <c r="B8878" s="2066"/>
      <c r="C8878" s="2066"/>
      <c r="D8878" s="2066"/>
      <c r="E8878" s="2066"/>
      <c r="F8878" s="2066"/>
      <c r="G8878" s="2066"/>
      <c r="H8878" s="2066"/>
      <c r="I8878" s="2066"/>
      <c r="J8878" s="2066"/>
      <c r="K8878" s="2066"/>
      <c r="L8878" s="2066"/>
      <c r="M8878" s="2066"/>
      <c r="N8878" s="2066"/>
      <c r="O8878" s="2066"/>
      <c r="P8878" s="49"/>
      <c r="Q8878" s="1"/>
      <c r="R8878" s="2066"/>
      <c r="S8878" s="1"/>
      <c r="T8878" s="1"/>
      <c r="U8878" s="1"/>
      <c r="V8878" s="1"/>
      <c r="W8878" s="1"/>
      <c r="X8878" s="1"/>
      <c r="Y8878" s="1"/>
      <c r="Z8878" s="2066"/>
      <c r="AA8878" s="2066"/>
      <c r="AB8878" s="1"/>
      <c r="AC8878" s="1"/>
      <c r="AD8878" s="1"/>
      <c r="AE8878" s="1"/>
      <c r="AF8878" s="1"/>
      <c r="AG8878" s="1"/>
      <c r="AH8878" s="1"/>
      <c r="AI8878" s="1"/>
      <c r="AJ8878" s="1"/>
      <c r="AK8878" s="1"/>
      <c r="AL8878" s="1"/>
      <c r="AM8878" s="1"/>
    </row>
    <row r="8879" spans="1:39" x14ac:dyDescent="0.25">
      <c r="A8879" s="2066"/>
      <c r="B8879" s="2066"/>
      <c r="C8879" s="2066"/>
      <c r="D8879" s="2066"/>
      <c r="E8879" s="2066"/>
      <c r="F8879" s="2066"/>
      <c r="G8879" s="2066"/>
      <c r="H8879" s="2066"/>
      <c r="I8879" s="2066"/>
      <c r="J8879" s="2066"/>
      <c r="K8879" s="2066"/>
      <c r="L8879" s="2066"/>
      <c r="M8879" s="2066"/>
      <c r="N8879" s="2066"/>
      <c r="O8879" s="2066"/>
      <c r="P8879" s="49"/>
      <c r="Q8879" s="1"/>
      <c r="R8879" s="2066"/>
      <c r="S8879" s="1"/>
      <c r="T8879" s="1"/>
      <c r="U8879" s="1"/>
      <c r="V8879" s="1"/>
      <c r="W8879" s="1"/>
      <c r="X8879" s="1"/>
      <c r="Y8879" s="1"/>
      <c r="Z8879" s="2066"/>
      <c r="AA8879" s="2066"/>
      <c r="AB8879" s="1"/>
      <c r="AC8879" s="1"/>
      <c r="AD8879" s="1"/>
      <c r="AE8879" s="1"/>
      <c r="AF8879" s="1"/>
      <c r="AG8879" s="1"/>
      <c r="AH8879" s="1"/>
      <c r="AI8879" s="1"/>
      <c r="AJ8879" s="1"/>
      <c r="AK8879" s="1"/>
      <c r="AL8879" s="1"/>
      <c r="AM8879" s="1"/>
    </row>
    <row r="8880" spans="1:39" x14ac:dyDescent="0.25">
      <c r="A8880" s="2066"/>
      <c r="B8880" s="2066"/>
      <c r="C8880" s="2066"/>
      <c r="D8880" s="2066"/>
      <c r="E8880" s="2066"/>
      <c r="F8880" s="2066"/>
      <c r="G8880" s="2066"/>
      <c r="H8880" s="2066"/>
      <c r="I8880" s="2066"/>
      <c r="J8880" s="2066"/>
      <c r="K8880" s="2066"/>
      <c r="L8880" s="2066"/>
      <c r="M8880" s="2066"/>
      <c r="N8880" s="2066"/>
      <c r="O8880" s="2066"/>
      <c r="P8880" s="49"/>
      <c r="Q8880" s="1"/>
      <c r="R8880" s="2066"/>
      <c r="S8880" s="1"/>
      <c r="T8880" s="1"/>
      <c r="U8880" s="1"/>
      <c r="V8880" s="1"/>
      <c r="W8880" s="1"/>
      <c r="X8880" s="1"/>
      <c r="Y8880" s="1"/>
      <c r="Z8880" s="2066"/>
      <c r="AA8880" s="2066"/>
      <c r="AB8880" s="1"/>
      <c r="AC8880" s="1"/>
      <c r="AD8880" s="1"/>
      <c r="AE8880" s="1"/>
      <c r="AF8880" s="1"/>
      <c r="AG8880" s="1"/>
      <c r="AH8880" s="1"/>
      <c r="AI8880" s="1"/>
      <c r="AJ8880" s="1"/>
      <c r="AK8880" s="1"/>
      <c r="AL8880" s="1"/>
      <c r="AM8880" s="1"/>
    </row>
    <row r="8881" spans="1:39" x14ac:dyDescent="0.25">
      <c r="A8881" s="2066"/>
      <c r="B8881" s="2066"/>
      <c r="C8881" s="2066"/>
      <c r="D8881" s="2066"/>
      <c r="E8881" s="2066"/>
      <c r="F8881" s="2066"/>
      <c r="G8881" s="2066"/>
      <c r="H8881" s="2066"/>
      <c r="I8881" s="2066"/>
      <c r="J8881" s="2066"/>
      <c r="K8881" s="2066"/>
      <c r="L8881" s="2066"/>
      <c r="M8881" s="2066"/>
      <c r="N8881" s="2066"/>
      <c r="O8881" s="2066"/>
      <c r="P8881" s="49"/>
      <c r="Q8881" s="1"/>
      <c r="R8881" s="2066"/>
      <c r="S8881" s="1"/>
      <c r="T8881" s="1"/>
      <c r="U8881" s="1"/>
      <c r="V8881" s="1"/>
      <c r="W8881" s="1"/>
      <c r="X8881" s="1"/>
      <c r="Y8881" s="1"/>
      <c r="Z8881" s="2066"/>
      <c r="AA8881" s="2066"/>
      <c r="AB8881" s="1"/>
      <c r="AC8881" s="1"/>
      <c r="AD8881" s="1"/>
      <c r="AE8881" s="1"/>
      <c r="AF8881" s="1"/>
      <c r="AG8881" s="1"/>
      <c r="AH8881" s="1"/>
      <c r="AI8881" s="1"/>
      <c r="AJ8881" s="1"/>
      <c r="AK8881" s="1"/>
      <c r="AL8881" s="1"/>
      <c r="AM8881" s="1"/>
    </row>
    <row r="8882" spans="1:39" x14ac:dyDescent="0.25">
      <c r="A8882" s="2066"/>
      <c r="B8882" s="2066"/>
      <c r="C8882" s="2066"/>
      <c r="D8882" s="2066"/>
      <c r="E8882" s="2066"/>
      <c r="F8882" s="2066"/>
      <c r="G8882" s="2066"/>
      <c r="H8882" s="2066"/>
      <c r="I8882" s="2066"/>
      <c r="J8882" s="2066"/>
      <c r="K8882" s="2066"/>
      <c r="L8882" s="2066"/>
      <c r="M8882" s="2066"/>
      <c r="N8882" s="2066"/>
      <c r="O8882" s="2066"/>
      <c r="P8882" s="49"/>
      <c r="Q8882" s="1"/>
      <c r="R8882" s="2066"/>
      <c r="S8882" s="1"/>
      <c r="T8882" s="1"/>
      <c r="U8882" s="1"/>
      <c r="V8882" s="1"/>
      <c r="W8882" s="1"/>
      <c r="X8882" s="1"/>
      <c r="Y8882" s="1"/>
      <c r="Z8882" s="2066"/>
      <c r="AA8882" s="2066"/>
      <c r="AB8882" s="1"/>
      <c r="AC8882" s="1"/>
      <c r="AD8882" s="1"/>
      <c r="AE8882" s="1"/>
      <c r="AF8882" s="1"/>
      <c r="AG8882" s="1"/>
      <c r="AH8882" s="1"/>
      <c r="AI8882" s="1"/>
      <c r="AJ8882" s="1"/>
      <c r="AK8882" s="1"/>
      <c r="AL8882" s="1"/>
      <c r="AM8882" s="1"/>
    </row>
    <row r="8883" spans="1:39" x14ac:dyDescent="0.25">
      <c r="A8883" s="2066"/>
      <c r="B8883" s="2066"/>
      <c r="C8883" s="2066"/>
      <c r="D8883" s="2066"/>
      <c r="E8883" s="2066"/>
      <c r="F8883" s="2066"/>
      <c r="G8883" s="2066"/>
      <c r="H8883" s="2066"/>
      <c r="I8883" s="2066"/>
      <c r="J8883" s="2066"/>
      <c r="K8883" s="2066"/>
      <c r="L8883" s="2066"/>
      <c r="M8883" s="2066"/>
      <c r="N8883" s="2066"/>
      <c r="O8883" s="2066"/>
      <c r="P8883" s="49"/>
      <c r="Q8883" s="1"/>
      <c r="R8883" s="2066"/>
      <c r="S8883" s="1"/>
      <c r="T8883" s="1"/>
      <c r="U8883" s="1"/>
      <c r="V8883" s="1"/>
      <c r="W8883" s="1"/>
      <c r="X8883" s="1"/>
      <c r="Y8883" s="1"/>
      <c r="Z8883" s="2066"/>
      <c r="AA8883" s="2066"/>
      <c r="AB8883" s="1"/>
      <c r="AC8883" s="1"/>
      <c r="AD8883" s="1"/>
      <c r="AE8883" s="1"/>
      <c r="AF8883" s="1"/>
      <c r="AG8883" s="1"/>
      <c r="AH8883" s="1"/>
      <c r="AI8883" s="1"/>
      <c r="AJ8883" s="1"/>
      <c r="AK8883" s="1"/>
      <c r="AL8883" s="1"/>
      <c r="AM8883" s="1"/>
    </row>
    <row r="8884" spans="1:39" x14ac:dyDescent="0.25">
      <c r="A8884" s="2066"/>
      <c r="B8884" s="2066"/>
      <c r="C8884" s="2066"/>
      <c r="D8884" s="2066"/>
      <c r="E8884" s="2066"/>
      <c r="F8884" s="2066"/>
      <c r="G8884" s="2066"/>
      <c r="H8884" s="2066"/>
      <c r="I8884" s="2066"/>
      <c r="J8884" s="2066"/>
      <c r="K8884" s="2066"/>
      <c r="L8884" s="2066"/>
      <c r="M8884" s="2066"/>
      <c r="N8884" s="2066"/>
      <c r="O8884" s="2066"/>
      <c r="P8884" s="49"/>
      <c r="Q8884" s="1"/>
      <c r="R8884" s="2066"/>
      <c r="S8884" s="1"/>
      <c r="T8884" s="1"/>
      <c r="U8884" s="1"/>
      <c r="V8884" s="1"/>
      <c r="W8884" s="1"/>
      <c r="X8884" s="1"/>
      <c r="Y8884" s="1"/>
      <c r="Z8884" s="2066"/>
      <c r="AA8884" s="2066"/>
      <c r="AB8884" s="1"/>
      <c r="AC8884" s="1"/>
      <c r="AD8884" s="1"/>
      <c r="AE8884" s="1"/>
      <c r="AF8884" s="1"/>
      <c r="AG8884" s="1"/>
      <c r="AH8884" s="1"/>
      <c r="AI8884" s="1"/>
      <c r="AJ8884" s="1"/>
      <c r="AK8884" s="1"/>
      <c r="AL8884" s="1"/>
      <c r="AM8884" s="1"/>
    </row>
    <row r="8885" spans="1:39" x14ac:dyDescent="0.25">
      <c r="A8885" s="2066"/>
      <c r="B8885" s="2066"/>
      <c r="C8885" s="2066"/>
      <c r="D8885" s="2066"/>
      <c r="E8885" s="2066"/>
      <c r="F8885" s="2066"/>
      <c r="G8885" s="2066"/>
      <c r="H8885" s="2066"/>
      <c r="I8885" s="2066"/>
      <c r="J8885" s="2066"/>
      <c r="K8885" s="2066"/>
      <c r="L8885" s="2066"/>
      <c r="M8885" s="2066"/>
      <c r="N8885" s="2066"/>
      <c r="O8885" s="2066"/>
      <c r="P8885" s="49"/>
      <c r="Q8885" s="1"/>
      <c r="R8885" s="2066"/>
      <c r="S8885" s="1"/>
      <c r="T8885" s="1"/>
      <c r="U8885" s="1"/>
      <c r="V8885" s="1"/>
      <c r="W8885" s="1"/>
      <c r="X8885" s="1"/>
      <c r="Y8885" s="1"/>
      <c r="Z8885" s="2066"/>
      <c r="AA8885" s="2066"/>
      <c r="AB8885" s="1"/>
      <c r="AC8885" s="1"/>
      <c r="AD8885" s="1"/>
      <c r="AE8885" s="1"/>
      <c r="AF8885" s="1"/>
      <c r="AG8885" s="1"/>
      <c r="AH8885" s="1"/>
      <c r="AI8885" s="1"/>
      <c r="AJ8885" s="1"/>
      <c r="AK8885" s="1"/>
      <c r="AL8885" s="1"/>
      <c r="AM8885" s="1"/>
    </row>
    <row r="8886" spans="1:39" x14ac:dyDescent="0.25">
      <c r="A8886" s="2066"/>
      <c r="B8886" s="2066"/>
      <c r="C8886" s="2066"/>
      <c r="D8886" s="2066"/>
      <c r="E8886" s="2066"/>
      <c r="F8886" s="2066"/>
      <c r="G8886" s="2066"/>
      <c r="H8886" s="2066"/>
      <c r="I8886" s="2066"/>
      <c r="J8886" s="2066"/>
      <c r="K8886" s="2066"/>
      <c r="L8886" s="2066"/>
      <c r="M8886" s="2066"/>
      <c r="N8886" s="2066"/>
      <c r="O8886" s="2066"/>
      <c r="P8886" s="49"/>
      <c r="Q8886" s="1"/>
      <c r="R8886" s="2066"/>
      <c r="S8886" s="1"/>
      <c r="T8886" s="1"/>
      <c r="U8886" s="1"/>
      <c r="V8886" s="1"/>
      <c r="W8886" s="1"/>
      <c r="X8886" s="1"/>
      <c r="Y8886" s="1"/>
      <c r="Z8886" s="2066"/>
      <c r="AA8886" s="2066"/>
      <c r="AB8886" s="1"/>
      <c r="AC8886" s="1"/>
      <c r="AD8886" s="1"/>
      <c r="AE8886" s="1"/>
      <c r="AF8886" s="1"/>
      <c r="AG8886" s="1"/>
      <c r="AH8886" s="1"/>
      <c r="AI8886" s="1"/>
      <c r="AJ8886" s="1"/>
      <c r="AK8886" s="1"/>
      <c r="AL8886" s="1"/>
      <c r="AM8886" s="1"/>
    </row>
    <row r="8887" spans="1:39" x14ac:dyDescent="0.25">
      <c r="A8887" s="2066"/>
      <c r="B8887" s="2066"/>
      <c r="C8887" s="2066"/>
      <c r="D8887" s="2066"/>
      <c r="E8887" s="2066"/>
      <c r="F8887" s="2066"/>
      <c r="G8887" s="2066"/>
      <c r="H8887" s="2066"/>
      <c r="I8887" s="2066"/>
      <c r="J8887" s="2066"/>
      <c r="K8887" s="2066"/>
      <c r="L8887" s="2066"/>
      <c r="M8887" s="2066"/>
      <c r="N8887" s="2066"/>
      <c r="O8887" s="2066"/>
      <c r="P8887" s="49"/>
      <c r="Q8887" s="1"/>
      <c r="R8887" s="2066"/>
      <c r="S8887" s="1"/>
      <c r="T8887" s="1"/>
      <c r="U8887" s="1"/>
      <c r="V8887" s="1"/>
      <c r="W8887" s="1"/>
      <c r="X8887" s="1"/>
      <c r="Y8887" s="1"/>
      <c r="Z8887" s="2066"/>
      <c r="AA8887" s="2066"/>
      <c r="AB8887" s="1"/>
      <c r="AC8887" s="1"/>
      <c r="AD8887" s="1"/>
      <c r="AE8887" s="1"/>
      <c r="AF8887" s="1"/>
      <c r="AG8887" s="1"/>
      <c r="AH8887" s="1"/>
      <c r="AI8887" s="1"/>
      <c r="AJ8887" s="1"/>
      <c r="AK8887" s="1"/>
      <c r="AL8887" s="1"/>
      <c r="AM8887" s="1"/>
    </row>
    <row r="8888" spans="1:39" x14ac:dyDescent="0.25">
      <c r="A8888" s="2066"/>
      <c r="B8888" s="2066"/>
      <c r="C8888" s="2066"/>
      <c r="D8888" s="2066"/>
      <c r="E8888" s="2066"/>
      <c r="F8888" s="2066"/>
      <c r="G8888" s="2066"/>
      <c r="H8888" s="2066"/>
      <c r="I8888" s="2066"/>
      <c r="J8888" s="2066"/>
      <c r="K8888" s="2066"/>
      <c r="L8888" s="2066"/>
      <c r="M8888" s="2066"/>
      <c r="N8888" s="2066"/>
      <c r="O8888" s="2066"/>
      <c r="P8888" s="49"/>
      <c r="Q8888" s="1"/>
      <c r="R8888" s="2066"/>
      <c r="S8888" s="1"/>
      <c r="T8888" s="1"/>
      <c r="U8888" s="1"/>
      <c r="V8888" s="1"/>
      <c r="W8888" s="1"/>
      <c r="X8888" s="1"/>
      <c r="Y8888" s="1"/>
      <c r="Z8888" s="2066"/>
      <c r="AA8888" s="2066"/>
      <c r="AB8888" s="1"/>
      <c r="AC8888" s="1"/>
      <c r="AD8888" s="1"/>
      <c r="AE8888" s="1"/>
      <c r="AF8888" s="1"/>
      <c r="AG8888" s="1"/>
      <c r="AH8888" s="1"/>
      <c r="AI8888" s="1"/>
      <c r="AJ8888" s="1"/>
      <c r="AK8888" s="1"/>
      <c r="AL8888" s="1"/>
      <c r="AM8888" s="1"/>
    </row>
    <row r="8889" spans="1:39" x14ac:dyDescent="0.25">
      <c r="A8889" s="2066"/>
      <c r="B8889" s="2066"/>
      <c r="C8889" s="2066"/>
      <c r="D8889" s="2066"/>
      <c r="E8889" s="2066"/>
      <c r="F8889" s="2066"/>
      <c r="G8889" s="2066"/>
      <c r="H8889" s="2066"/>
      <c r="I8889" s="2066"/>
      <c r="J8889" s="2066"/>
      <c r="K8889" s="2066"/>
      <c r="L8889" s="2066"/>
      <c r="M8889" s="2066"/>
      <c r="N8889" s="2066"/>
      <c r="O8889" s="2066"/>
      <c r="P8889" s="49"/>
      <c r="Q8889" s="1"/>
      <c r="R8889" s="2066"/>
      <c r="S8889" s="1"/>
      <c r="T8889" s="1"/>
      <c r="U8889" s="1"/>
      <c r="V8889" s="1"/>
      <c r="W8889" s="1"/>
      <c r="X8889" s="1"/>
      <c r="Y8889" s="1"/>
      <c r="Z8889" s="2066"/>
      <c r="AA8889" s="2066"/>
      <c r="AB8889" s="1"/>
      <c r="AC8889" s="1"/>
      <c r="AD8889" s="1"/>
      <c r="AE8889" s="1"/>
      <c r="AF8889" s="1"/>
      <c r="AG8889" s="1"/>
      <c r="AH8889" s="1"/>
      <c r="AI8889" s="1"/>
      <c r="AJ8889" s="1"/>
      <c r="AK8889" s="1"/>
      <c r="AL8889" s="1"/>
      <c r="AM8889" s="1"/>
    </row>
    <row r="8890" spans="1:39" x14ac:dyDescent="0.25">
      <c r="A8890" s="2066"/>
      <c r="B8890" s="2066"/>
      <c r="C8890" s="2066"/>
      <c r="D8890" s="2066"/>
      <c r="E8890" s="2066"/>
      <c r="F8890" s="2066"/>
      <c r="G8890" s="2066"/>
      <c r="H8890" s="2066"/>
      <c r="I8890" s="2066"/>
      <c r="J8890" s="2066"/>
      <c r="K8890" s="2066"/>
      <c r="L8890" s="2066"/>
      <c r="M8890" s="2066"/>
      <c r="N8890" s="2066"/>
      <c r="O8890" s="2066"/>
      <c r="P8890" s="49"/>
      <c r="Q8890" s="1"/>
      <c r="R8890" s="2066"/>
      <c r="S8890" s="1"/>
      <c r="T8890" s="1"/>
      <c r="U8890" s="1"/>
      <c r="V8890" s="1"/>
      <c r="W8890" s="1"/>
      <c r="X8890" s="1"/>
      <c r="Y8890" s="1"/>
      <c r="Z8890" s="2066"/>
      <c r="AA8890" s="2066"/>
      <c r="AB8890" s="1"/>
      <c r="AC8890" s="1"/>
      <c r="AD8890" s="1"/>
      <c r="AE8890" s="1"/>
      <c r="AF8890" s="1"/>
      <c r="AG8890" s="1"/>
      <c r="AH8890" s="1"/>
      <c r="AI8890" s="1"/>
      <c r="AJ8890" s="1"/>
      <c r="AK8890" s="1"/>
      <c r="AL8890" s="1"/>
      <c r="AM8890" s="1"/>
    </row>
    <row r="8891" spans="1:39" x14ac:dyDescent="0.25">
      <c r="A8891" s="2066"/>
      <c r="B8891" s="2066"/>
      <c r="C8891" s="2066"/>
      <c r="D8891" s="2066"/>
      <c r="E8891" s="2066"/>
      <c r="F8891" s="2066"/>
      <c r="G8891" s="2066"/>
      <c r="H8891" s="2066"/>
      <c r="I8891" s="2066"/>
      <c r="J8891" s="2066"/>
      <c r="K8891" s="2066"/>
      <c r="L8891" s="2066"/>
      <c r="M8891" s="2066"/>
      <c r="N8891" s="2066"/>
      <c r="O8891" s="2066"/>
      <c r="P8891" s="49"/>
      <c r="Q8891" s="1"/>
      <c r="R8891" s="2066"/>
      <c r="S8891" s="1"/>
      <c r="T8891" s="1"/>
      <c r="U8891" s="1"/>
      <c r="V8891" s="1"/>
      <c r="W8891" s="1"/>
      <c r="X8891" s="1"/>
      <c r="Y8891" s="1"/>
      <c r="Z8891" s="2066"/>
      <c r="AA8891" s="2066"/>
      <c r="AB8891" s="1"/>
      <c r="AC8891" s="1"/>
      <c r="AD8891" s="1"/>
      <c r="AE8891" s="1"/>
      <c r="AF8891" s="1"/>
      <c r="AG8891" s="1"/>
      <c r="AH8891" s="1"/>
      <c r="AI8891" s="1"/>
      <c r="AJ8891" s="1"/>
      <c r="AK8891" s="1"/>
      <c r="AL8891" s="1"/>
      <c r="AM8891" s="1"/>
    </row>
    <row r="8892" spans="1:39" x14ac:dyDescent="0.25">
      <c r="A8892" s="2066"/>
      <c r="B8892" s="2066"/>
      <c r="C8892" s="2066"/>
      <c r="D8892" s="2066"/>
      <c r="E8892" s="2066"/>
      <c r="F8892" s="2066"/>
      <c r="G8892" s="2066"/>
      <c r="H8892" s="2066"/>
      <c r="I8892" s="2066"/>
      <c r="J8892" s="2066"/>
      <c r="K8892" s="2066"/>
      <c r="L8892" s="2066"/>
      <c r="M8892" s="2066"/>
      <c r="N8892" s="2066"/>
      <c r="O8892" s="2066"/>
      <c r="P8892" s="49"/>
      <c r="Q8892" s="1"/>
      <c r="R8892" s="2066"/>
      <c r="S8892" s="1"/>
      <c r="T8892" s="1"/>
      <c r="U8892" s="1"/>
      <c r="V8892" s="1"/>
      <c r="W8892" s="1"/>
      <c r="X8892" s="1"/>
      <c r="Y8892" s="1"/>
      <c r="Z8892" s="2066"/>
      <c r="AA8892" s="2066"/>
      <c r="AB8892" s="1"/>
      <c r="AC8892" s="1"/>
      <c r="AD8892" s="1"/>
      <c r="AE8892" s="1"/>
      <c r="AF8892" s="1"/>
      <c r="AG8892" s="1"/>
      <c r="AH8892" s="1"/>
      <c r="AI8892" s="1"/>
      <c r="AJ8892" s="1"/>
      <c r="AK8892" s="1"/>
      <c r="AL8892" s="1"/>
      <c r="AM8892" s="1"/>
    </row>
    <row r="8893" spans="1:39" x14ac:dyDescent="0.25">
      <c r="A8893" s="2066"/>
      <c r="B8893" s="2066"/>
      <c r="C8893" s="2066"/>
      <c r="D8893" s="2066"/>
      <c r="E8893" s="2066"/>
      <c r="F8893" s="2066"/>
      <c r="G8893" s="2066"/>
      <c r="H8893" s="2066"/>
      <c r="I8893" s="2066"/>
      <c r="J8893" s="2066"/>
      <c r="K8893" s="2066"/>
      <c r="L8893" s="2066"/>
      <c r="M8893" s="2066"/>
      <c r="N8893" s="2066"/>
      <c r="O8893" s="2066"/>
      <c r="P8893" s="49"/>
      <c r="Q8893" s="1"/>
      <c r="R8893" s="2066"/>
      <c r="S8893" s="1"/>
      <c r="T8893" s="1"/>
      <c r="U8893" s="1"/>
      <c r="V8893" s="1"/>
      <c r="W8893" s="1"/>
      <c r="X8893" s="1"/>
      <c r="Y8893" s="1"/>
      <c r="Z8893" s="2066"/>
      <c r="AA8893" s="2066"/>
      <c r="AB8893" s="1"/>
      <c r="AC8893" s="1"/>
      <c r="AD8893" s="1"/>
      <c r="AE8893" s="1"/>
      <c r="AF8893" s="1"/>
      <c r="AG8893" s="1"/>
      <c r="AH8893" s="1"/>
      <c r="AI8893" s="1"/>
      <c r="AJ8893" s="1"/>
      <c r="AK8893" s="1"/>
      <c r="AL8893" s="1"/>
      <c r="AM8893" s="1"/>
    </row>
    <row r="8894" spans="1:39" x14ac:dyDescent="0.25">
      <c r="A8894" s="2066"/>
      <c r="B8894" s="2066"/>
      <c r="C8894" s="2066"/>
      <c r="D8894" s="2066"/>
      <c r="E8894" s="2066"/>
      <c r="F8894" s="2066"/>
      <c r="G8894" s="2066"/>
      <c r="H8894" s="2066"/>
      <c r="I8894" s="2066"/>
      <c r="J8894" s="2066"/>
      <c r="K8894" s="2066"/>
      <c r="L8894" s="2066"/>
      <c r="M8894" s="2066"/>
      <c r="N8894" s="2066"/>
      <c r="O8894" s="2066"/>
      <c r="P8894" s="49"/>
      <c r="Q8894" s="1"/>
      <c r="R8894" s="2066"/>
      <c r="S8894" s="1"/>
      <c r="T8894" s="1"/>
      <c r="U8894" s="1"/>
      <c r="V8894" s="1"/>
      <c r="W8894" s="1"/>
      <c r="X8894" s="1"/>
      <c r="Y8894" s="1"/>
      <c r="Z8894" s="2066"/>
      <c r="AA8894" s="2066"/>
      <c r="AB8894" s="1"/>
      <c r="AC8894" s="1"/>
      <c r="AD8894" s="1"/>
      <c r="AE8894" s="1"/>
      <c r="AF8894" s="1"/>
      <c r="AG8894" s="1"/>
      <c r="AH8894" s="1"/>
      <c r="AI8894" s="1"/>
      <c r="AJ8894" s="1"/>
      <c r="AK8894" s="1"/>
      <c r="AL8894" s="1"/>
      <c r="AM8894" s="1"/>
    </row>
    <row r="8895" spans="1:39" x14ac:dyDescent="0.25">
      <c r="A8895" s="2066"/>
      <c r="B8895" s="2066"/>
      <c r="C8895" s="2066"/>
      <c r="D8895" s="2066"/>
      <c r="E8895" s="2066"/>
      <c r="F8895" s="2066"/>
      <c r="G8895" s="2066"/>
      <c r="H8895" s="2066"/>
      <c r="I8895" s="2066"/>
      <c r="J8895" s="2066"/>
      <c r="K8895" s="2066"/>
      <c r="L8895" s="2066"/>
      <c r="M8895" s="2066"/>
      <c r="N8895" s="2066"/>
      <c r="O8895" s="2066"/>
      <c r="P8895" s="49"/>
      <c r="Q8895" s="1"/>
      <c r="R8895" s="2066"/>
      <c r="S8895" s="1"/>
      <c r="T8895" s="1"/>
      <c r="U8895" s="1"/>
      <c r="V8895" s="1"/>
      <c r="W8895" s="1"/>
      <c r="X8895" s="1"/>
      <c r="Y8895" s="1"/>
      <c r="Z8895" s="2066"/>
      <c r="AA8895" s="2066"/>
      <c r="AB8895" s="1"/>
      <c r="AC8895" s="1"/>
      <c r="AD8895" s="1"/>
      <c r="AE8895" s="1"/>
      <c r="AF8895" s="1"/>
      <c r="AG8895" s="1"/>
      <c r="AH8895" s="1"/>
      <c r="AI8895" s="1"/>
      <c r="AJ8895" s="1"/>
      <c r="AK8895" s="1"/>
      <c r="AL8895" s="1"/>
      <c r="AM8895" s="1"/>
    </row>
    <row r="8896" spans="1:39" x14ac:dyDescent="0.25">
      <c r="A8896" s="2066"/>
      <c r="B8896" s="2066"/>
      <c r="C8896" s="2066"/>
      <c r="D8896" s="2066"/>
      <c r="E8896" s="2066"/>
      <c r="F8896" s="2066"/>
      <c r="G8896" s="2066"/>
      <c r="H8896" s="2066"/>
      <c r="I8896" s="2066"/>
      <c r="J8896" s="2066"/>
      <c r="K8896" s="2066"/>
      <c r="L8896" s="2066"/>
      <c r="M8896" s="2066"/>
      <c r="N8896" s="2066"/>
      <c r="O8896" s="2066"/>
      <c r="P8896" s="49"/>
      <c r="Q8896" s="1"/>
      <c r="R8896" s="2066"/>
      <c r="S8896" s="1"/>
      <c r="T8896" s="1"/>
      <c r="U8896" s="1"/>
      <c r="V8896" s="1"/>
      <c r="W8896" s="1"/>
      <c r="X8896" s="1"/>
      <c r="Y8896" s="1"/>
      <c r="Z8896" s="2066"/>
      <c r="AA8896" s="2066"/>
      <c r="AB8896" s="1"/>
      <c r="AC8896" s="1"/>
      <c r="AD8896" s="1"/>
      <c r="AE8896" s="1"/>
      <c r="AF8896" s="1"/>
      <c r="AG8896" s="1"/>
      <c r="AH8896" s="1"/>
      <c r="AI8896" s="1"/>
      <c r="AJ8896" s="1"/>
      <c r="AK8896" s="1"/>
      <c r="AL8896" s="1"/>
      <c r="AM8896" s="1"/>
    </row>
    <row r="8897" spans="1:39" x14ac:dyDescent="0.25">
      <c r="A8897" s="2066"/>
      <c r="B8897" s="2066"/>
      <c r="C8897" s="2066"/>
      <c r="D8897" s="2066"/>
      <c r="E8897" s="2066"/>
      <c r="F8897" s="2066"/>
      <c r="G8897" s="2066"/>
      <c r="H8897" s="2066"/>
      <c r="I8897" s="2066"/>
      <c r="J8897" s="2066"/>
      <c r="K8897" s="2066"/>
      <c r="L8897" s="2066"/>
      <c r="M8897" s="2066"/>
      <c r="N8897" s="2066"/>
      <c r="O8897" s="2066"/>
      <c r="P8897" s="49"/>
      <c r="Q8897" s="1"/>
      <c r="R8897" s="2066"/>
      <c r="S8897" s="1"/>
      <c r="T8897" s="1"/>
      <c r="U8897" s="1"/>
      <c r="V8897" s="1"/>
      <c r="W8897" s="1"/>
      <c r="X8897" s="1"/>
      <c r="Y8897" s="1"/>
      <c r="Z8897" s="2066"/>
      <c r="AA8897" s="2066"/>
      <c r="AB8897" s="1"/>
      <c r="AC8897" s="1"/>
      <c r="AD8897" s="1"/>
      <c r="AE8897" s="1"/>
      <c r="AF8897" s="1"/>
      <c r="AG8897" s="1"/>
      <c r="AH8897" s="1"/>
      <c r="AI8897" s="1"/>
      <c r="AJ8897" s="1"/>
      <c r="AK8897" s="1"/>
      <c r="AL8897" s="1"/>
      <c r="AM8897" s="1"/>
    </row>
    <row r="8898" spans="1:39" x14ac:dyDescent="0.25">
      <c r="A8898" s="2066"/>
      <c r="B8898" s="2066"/>
      <c r="C8898" s="2066"/>
      <c r="D8898" s="2066"/>
      <c r="E8898" s="2066"/>
      <c r="F8898" s="2066"/>
      <c r="G8898" s="2066"/>
      <c r="H8898" s="2066"/>
      <c r="I8898" s="2066"/>
      <c r="J8898" s="2066"/>
      <c r="K8898" s="2066"/>
      <c r="L8898" s="2066"/>
      <c r="M8898" s="2066"/>
      <c r="N8898" s="2066"/>
      <c r="O8898" s="2066"/>
      <c r="P8898" s="49"/>
      <c r="Q8898" s="1"/>
      <c r="R8898" s="2066"/>
      <c r="S8898" s="1"/>
      <c r="T8898" s="1"/>
      <c r="U8898" s="1"/>
      <c r="V8898" s="1"/>
      <c r="W8898" s="1"/>
      <c r="X8898" s="1"/>
      <c r="Y8898" s="1"/>
      <c r="Z8898" s="2066"/>
      <c r="AA8898" s="2066"/>
      <c r="AB8898" s="1"/>
      <c r="AC8898" s="1"/>
      <c r="AD8898" s="1"/>
      <c r="AE8898" s="1"/>
      <c r="AF8898" s="1"/>
      <c r="AG8898" s="1"/>
      <c r="AH8898" s="1"/>
      <c r="AI8898" s="1"/>
      <c r="AJ8898" s="1"/>
      <c r="AK8898" s="1"/>
      <c r="AL8898" s="1"/>
      <c r="AM8898" s="1"/>
    </row>
    <row r="8899" spans="1:39" x14ac:dyDescent="0.25">
      <c r="A8899" s="2066"/>
      <c r="B8899" s="2066"/>
      <c r="C8899" s="2066"/>
      <c r="D8899" s="2066"/>
      <c r="E8899" s="2066"/>
      <c r="F8899" s="2066"/>
      <c r="G8899" s="2066"/>
      <c r="H8899" s="2066"/>
      <c r="I8899" s="2066"/>
      <c r="J8899" s="2066"/>
      <c r="K8899" s="2066"/>
      <c r="L8899" s="2066"/>
      <c r="M8899" s="2066"/>
      <c r="N8899" s="2066"/>
      <c r="O8899" s="2066"/>
      <c r="P8899" s="49"/>
      <c r="Q8899" s="1"/>
      <c r="R8899" s="2066"/>
      <c r="S8899" s="1"/>
      <c r="T8899" s="1"/>
      <c r="U8899" s="1"/>
      <c r="V8899" s="1"/>
      <c r="W8899" s="1"/>
      <c r="X8899" s="1"/>
      <c r="Y8899" s="1"/>
      <c r="Z8899" s="2066"/>
      <c r="AA8899" s="2066"/>
      <c r="AB8899" s="1"/>
      <c r="AC8899" s="1"/>
      <c r="AD8899" s="1"/>
      <c r="AE8899" s="1"/>
      <c r="AF8899" s="1"/>
      <c r="AG8899" s="1"/>
      <c r="AH8899" s="1"/>
      <c r="AI8899" s="1"/>
      <c r="AJ8899" s="1"/>
      <c r="AK8899" s="1"/>
      <c r="AL8899" s="1"/>
      <c r="AM8899" s="1"/>
    </row>
    <row r="8900" spans="1:39" x14ac:dyDescent="0.25">
      <c r="A8900" s="2066"/>
      <c r="B8900" s="2066"/>
      <c r="C8900" s="2066"/>
      <c r="D8900" s="2066"/>
      <c r="E8900" s="2066"/>
      <c r="F8900" s="2066"/>
      <c r="G8900" s="2066"/>
      <c r="H8900" s="2066"/>
      <c r="I8900" s="2066"/>
      <c r="J8900" s="2066"/>
      <c r="K8900" s="2066"/>
      <c r="L8900" s="2066"/>
      <c r="M8900" s="2066"/>
      <c r="N8900" s="2066"/>
      <c r="O8900" s="2066"/>
      <c r="P8900" s="49"/>
      <c r="Q8900" s="1"/>
      <c r="R8900" s="2066"/>
      <c r="S8900" s="1"/>
      <c r="T8900" s="1"/>
      <c r="U8900" s="1"/>
      <c r="V8900" s="1"/>
      <c r="W8900" s="1"/>
      <c r="X8900" s="1"/>
      <c r="Y8900" s="1"/>
      <c r="Z8900" s="2066"/>
      <c r="AA8900" s="2066"/>
      <c r="AB8900" s="1"/>
      <c r="AC8900" s="1"/>
      <c r="AD8900" s="1"/>
      <c r="AE8900" s="1"/>
      <c r="AF8900" s="1"/>
      <c r="AG8900" s="1"/>
      <c r="AH8900" s="1"/>
      <c r="AI8900" s="1"/>
      <c r="AJ8900" s="1"/>
      <c r="AK8900" s="1"/>
      <c r="AL8900" s="1"/>
      <c r="AM8900" s="1"/>
    </row>
    <row r="8901" spans="1:39" x14ac:dyDescent="0.25">
      <c r="A8901" s="2066"/>
      <c r="B8901" s="2066"/>
      <c r="C8901" s="2066"/>
      <c r="D8901" s="2066"/>
      <c r="E8901" s="2066"/>
      <c r="F8901" s="2066"/>
      <c r="G8901" s="2066"/>
      <c r="H8901" s="2066"/>
      <c r="I8901" s="2066"/>
      <c r="J8901" s="2066"/>
      <c r="K8901" s="2066"/>
      <c r="L8901" s="2066"/>
      <c r="M8901" s="2066"/>
      <c r="N8901" s="2066"/>
      <c r="O8901" s="2066"/>
      <c r="P8901" s="49"/>
      <c r="Q8901" s="1"/>
      <c r="R8901" s="2066"/>
      <c r="S8901" s="1"/>
      <c r="T8901" s="1"/>
      <c r="U8901" s="1"/>
      <c r="V8901" s="1"/>
      <c r="W8901" s="1"/>
      <c r="X8901" s="1"/>
      <c r="Y8901" s="1"/>
      <c r="Z8901" s="2066"/>
      <c r="AA8901" s="2066"/>
      <c r="AB8901" s="1"/>
      <c r="AC8901" s="1"/>
      <c r="AD8901" s="1"/>
      <c r="AE8901" s="1"/>
      <c r="AF8901" s="1"/>
      <c r="AG8901" s="1"/>
      <c r="AH8901" s="1"/>
      <c r="AI8901" s="1"/>
      <c r="AJ8901" s="1"/>
      <c r="AK8901" s="1"/>
      <c r="AL8901" s="1"/>
      <c r="AM8901" s="1"/>
    </row>
    <row r="8902" spans="1:39" x14ac:dyDescent="0.25">
      <c r="A8902" s="2066"/>
      <c r="B8902" s="2066"/>
      <c r="C8902" s="2066"/>
      <c r="D8902" s="2066"/>
      <c r="E8902" s="2066"/>
      <c r="F8902" s="2066"/>
      <c r="G8902" s="2066"/>
      <c r="H8902" s="2066"/>
      <c r="I8902" s="2066"/>
      <c r="J8902" s="2066"/>
      <c r="K8902" s="2066"/>
      <c r="L8902" s="2066"/>
      <c r="M8902" s="2066"/>
      <c r="N8902" s="2066"/>
      <c r="O8902" s="2066"/>
      <c r="P8902" s="49"/>
      <c r="Q8902" s="1"/>
      <c r="R8902" s="2066"/>
      <c r="S8902" s="1"/>
      <c r="T8902" s="1"/>
      <c r="U8902" s="1"/>
      <c r="V8902" s="1"/>
      <c r="W8902" s="1"/>
      <c r="X8902" s="1"/>
      <c r="Y8902" s="1"/>
      <c r="Z8902" s="2066"/>
      <c r="AA8902" s="2066"/>
      <c r="AB8902" s="1"/>
      <c r="AC8902" s="1"/>
      <c r="AD8902" s="1"/>
      <c r="AE8902" s="1"/>
      <c r="AF8902" s="1"/>
      <c r="AG8902" s="1"/>
      <c r="AH8902" s="1"/>
      <c r="AI8902" s="1"/>
      <c r="AJ8902" s="1"/>
      <c r="AK8902" s="1"/>
      <c r="AL8902" s="1"/>
      <c r="AM8902" s="1"/>
    </row>
    <row r="8903" spans="1:39" x14ac:dyDescent="0.25">
      <c r="A8903" s="2066"/>
      <c r="B8903" s="2066"/>
      <c r="C8903" s="2066"/>
      <c r="D8903" s="2066"/>
      <c r="E8903" s="2066"/>
      <c r="F8903" s="2066"/>
      <c r="G8903" s="2066"/>
      <c r="H8903" s="2066"/>
      <c r="I8903" s="2066"/>
      <c r="J8903" s="2066"/>
      <c r="K8903" s="2066"/>
      <c r="L8903" s="2066"/>
      <c r="M8903" s="2066"/>
      <c r="N8903" s="2066"/>
      <c r="O8903" s="2066"/>
      <c r="P8903" s="49"/>
      <c r="Q8903" s="1"/>
      <c r="R8903" s="2066"/>
      <c r="S8903" s="1"/>
      <c r="T8903" s="1"/>
      <c r="U8903" s="1"/>
      <c r="V8903" s="1"/>
      <c r="W8903" s="1"/>
      <c r="X8903" s="1"/>
      <c r="Y8903" s="1"/>
      <c r="Z8903" s="2066"/>
      <c r="AA8903" s="2066"/>
      <c r="AB8903" s="1"/>
      <c r="AC8903" s="1"/>
      <c r="AD8903" s="1"/>
      <c r="AE8903" s="1"/>
      <c r="AF8903" s="1"/>
      <c r="AG8903" s="1"/>
      <c r="AH8903" s="1"/>
      <c r="AI8903" s="1"/>
      <c r="AJ8903" s="1"/>
      <c r="AK8903" s="1"/>
      <c r="AL8903" s="1"/>
      <c r="AM8903" s="1"/>
    </row>
    <row r="8904" spans="1:39" x14ac:dyDescent="0.25">
      <c r="A8904" s="2066"/>
      <c r="B8904" s="2066"/>
      <c r="C8904" s="2066"/>
      <c r="D8904" s="2066"/>
      <c r="E8904" s="2066"/>
      <c r="F8904" s="2066"/>
      <c r="G8904" s="2066"/>
      <c r="H8904" s="2066"/>
      <c r="I8904" s="2066"/>
      <c r="J8904" s="2066"/>
      <c r="K8904" s="2066"/>
      <c r="L8904" s="2066"/>
      <c r="M8904" s="2066"/>
      <c r="N8904" s="2066"/>
      <c r="O8904" s="2066"/>
      <c r="P8904" s="49"/>
      <c r="Q8904" s="1"/>
      <c r="R8904" s="2066"/>
      <c r="S8904" s="1"/>
      <c r="T8904" s="1"/>
      <c r="U8904" s="1"/>
      <c r="V8904" s="1"/>
      <c r="W8904" s="1"/>
      <c r="X8904" s="1"/>
      <c r="Y8904" s="1"/>
      <c r="Z8904" s="2066"/>
      <c r="AA8904" s="2066"/>
      <c r="AB8904" s="1"/>
      <c r="AC8904" s="1"/>
      <c r="AD8904" s="1"/>
      <c r="AE8904" s="1"/>
      <c r="AF8904" s="1"/>
      <c r="AG8904" s="1"/>
      <c r="AH8904" s="1"/>
      <c r="AI8904" s="1"/>
      <c r="AJ8904" s="1"/>
      <c r="AK8904" s="1"/>
      <c r="AL8904" s="1"/>
      <c r="AM8904" s="1"/>
    </row>
    <row r="8905" spans="1:39" x14ac:dyDescent="0.25">
      <c r="A8905" s="2066"/>
      <c r="B8905" s="2066"/>
      <c r="C8905" s="2066"/>
      <c r="D8905" s="2066"/>
      <c r="E8905" s="2066"/>
      <c r="F8905" s="2066"/>
      <c r="G8905" s="2066"/>
      <c r="H8905" s="2066"/>
      <c r="I8905" s="2066"/>
      <c r="J8905" s="2066"/>
      <c r="K8905" s="2066"/>
      <c r="L8905" s="2066"/>
      <c r="M8905" s="2066"/>
      <c r="N8905" s="2066"/>
      <c r="O8905" s="2066"/>
      <c r="P8905" s="49"/>
      <c r="Q8905" s="1"/>
      <c r="R8905" s="2066"/>
      <c r="S8905" s="1"/>
      <c r="T8905" s="1"/>
      <c r="U8905" s="1"/>
      <c r="V8905" s="1"/>
      <c r="W8905" s="1"/>
      <c r="X8905" s="1"/>
      <c r="Y8905" s="1"/>
      <c r="Z8905" s="2066"/>
      <c r="AA8905" s="2066"/>
      <c r="AB8905" s="1"/>
      <c r="AC8905" s="1"/>
      <c r="AD8905" s="1"/>
      <c r="AE8905" s="1"/>
      <c r="AF8905" s="1"/>
      <c r="AG8905" s="1"/>
      <c r="AH8905" s="1"/>
      <c r="AI8905" s="1"/>
      <c r="AJ8905" s="1"/>
      <c r="AK8905" s="1"/>
      <c r="AL8905" s="1"/>
      <c r="AM8905" s="1"/>
    </row>
    <row r="8906" spans="1:39" x14ac:dyDescent="0.25">
      <c r="A8906" s="2066"/>
      <c r="B8906" s="2066"/>
      <c r="C8906" s="2066"/>
      <c r="D8906" s="2066"/>
      <c r="E8906" s="2066"/>
      <c r="F8906" s="2066"/>
      <c r="G8906" s="2066"/>
      <c r="H8906" s="2066"/>
      <c r="I8906" s="2066"/>
      <c r="J8906" s="2066"/>
      <c r="K8906" s="2066"/>
      <c r="L8906" s="2066"/>
      <c r="M8906" s="2066"/>
      <c r="N8906" s="2066"/>
      <c r="O8906" s="2066"/>
      <c r="P8906" s="49"/>
      <c r="Q8906" s="1"/>
      <c r="R8906" s="2066"/>
      <c r="S8906" s="1"/>
      <c r="T8906" s="1"/>
      <c r="U8906" s="1"/>
      <c r="V8906" s="1"/>
      <c r="W8906" s="1"/>
      <c r="X8906" s="1"/>
      <c r="Y8906" s="1"/>
      <c r="Z8906" s="2066"/>
      <c r="AA8906" s="2066"/>
      <c r="AB8906" s="1"/>
      <c r="AC8906" s="1"/>
      <c r="AD8906" s="1"/>
      <c r="AE8906" s="1"/>
      <c r="AF8906" s="1"/>
      <c r="AG8906" s="1"/>
      <c r="AH8906" s="1"/>
      <c r="AI8906" s="1"/>
      <c r="AJ8906" s="1"/>
      <c r="AK8906" s="1"/>
      <c r="AL8906" s="1"/>
      <c r="AM8906" s="1"/>
    </row>
    <row r="8907" spans="1:39" x14ac:dyDescent="0.25">
      <c r="A8907" s="2066"/>
      <c r="B8907" s="2066"/>
      <c r="C8907" s="2066"/>
      <c r="D8907" s="2066"/>
      <c r="E8907" s="2066"/>
      <c r="F8907" s="2066"/>
      <c r="G8907" s="2066"/>
      <c r="H8907" s="2066"/>
      <c r="I8907" s="2066"/>
      <c r="J8907" s="2066"/>
      <c r="K8907" s="2066"/>
      <c r="L8907" s="2066"/>
      <c r="M8907" s="2066"/>
      <c r="N8907" s="2066"/>
      <c r="O8907" s="2066"/>
      <c r="P8907" s="49"/>
      <c r="Q8907" s="1"/>
      <c r="R8907" s="2066"/>
      <c r="S8907" s="1"/>
      <c r="T8907" s="1"/>
      <c r="U8907" s="1"/>
      <c r="V8907" s="1"/>
      <c r="W8907" s="1"/>
      <c r="X8907" s="1"/>
      <c r="Y8907" s="1"/>
      <c r="Z8907" s="2066"/>
      <c r="AA8907" s="2066"/>
      <c r="AB8907" s="1"/>
      <c r="AC8907" s="1"/>
      <c r="AD8907" s="1"/>
      <c r="AE8907" s="1"/>
      <c r="AF8907" s="1"/>
      <c r="AG8907" s="1"/>
      <c r="AH8907" s="1"/>
      <c r="AI8907" s="1"/>
      <c r="AJ8907" s="1"/>
      <c r="AK8907" s="1"/>
      <c r="AL8907" s="1"/>
      <c r="AM8907" s="1"/>
    </row>
    <row r="8908" spans="1:39" x14ac:dyDescent="0.25">
      <c r="A8908" s="2066"/>
      <c r="B8908" s="2066"/>
      <c r="C8908" s="2066"/>
      <c r="D8908" s="2066"/>
      <c r="E8908" s="2066"/>
      <c r="F8908" s="2066"/>
      <c r="G8908" s="2066"/>
      <c r="H8908" s="2066"/>
      <c r="I8908" s="2066"/>
      <c r="J8908" s="2066"/>
      <c r="K8908" s="2066"/>
      <c r="L8908" s="2066"/>
      <c r="M8908" s="2066"/>
      <c r="N8908" s="2066"/>
      <c r="O8908" s="2066"/>
      <c r="P8908" s="49"/>
      <c r="Q8908" s="1"/>
      <c r="R8908" s="2066"/>
      <c r="S8908" s="1"/>
      <c r="T8908" s="1"/>
      <c r="U8908" s="1"/>
      <c r="V8908" s="1"/>
      <c r="W8908" s="1"/>
      <c r="X8908" s="1"/>
      <c r="Y8908" s="1"/>
      <c r="Z8908" s="2066"/>
      <c r="AA8908" s="2066"/>
      <c r="AB8908" s="1"/>
      <c r="AC8908" s="1"/>
      <c r="AD8908" s="1"/>
      <c r="AE8908" s="1"/>
      <c r="AF8908" s="1"/>
      <c r="AG8908" s="1"/>
      <c r="AH8908" s="1"/>
      <c r="AI8908" s="1"/>
      <c r="AJ8908" s="1"/>
      <c r="AK8908" s="1"/>
      <c r="AL8908" s="1"/>
      <c r="AM8908" s="1"/>
    </row>
    <row r="8909" spans="1:39" x14ac:dyDescent="0.25">
      <c r="A8909" s="2066"/>
      <c r="B8909" s="2066"/>
      <c r="C8909" s="2066"/>
      <c r="D8909" s="2066"/>
      <c r="E8909" s="2066"/>
      <c r="F8909" s="2066"/>
      <c r="G8909" s="2066"/>
      <c r="H8909" s="2066"/>
      <c r="I8909" s="2066"/>
      <c r="J8909" s="2066"/>
      <c r="K8909" s="2066"/>
      <c r="L8909" s="2066"/>
      <c r="M8909" s="2066"/>
      <c r="N8909" s="2066"/>
      <c r="O8909" s="2066"/>
      <c r="P8909" s="49"/>
      <c r="Q8909" s="1"/>
      <c r="R8909" s="2066"/>
      <c r="S8909" s="1"/>
      <c r="T8909" s="1"/>
      <c r="U8909" s="1"/>
      <c r="V8909" s="1"/>
      <c r="W8909" s="1"/>
      <c r="X8909" s="1"/>
      <c r="Y8909" s="1"/>
      <c r="Z8909" s="2066"/>
      <c r="AA8909" s="2066"/>
      <c r="AB8909" s="1"/>
      <c r="AC8909" s="1"/>
      <c r="AD8909" s="1"/>
      <c r="AE8909" s="1"/>
      <c r="AF8909" s="1"/>
      <c r="AG8909" s="1"/>
      <c r="AH8909" s="1"/>
      <c r="AI8909" s="1"/>
      <c r="AJ8909" s="1"/>
      <c r="AK8909" s="1"/>
      <c r="AL8909" s="1"/>
      <c r="AM8909" s="1"/>
    </row>
    <row r="8910" spans="1:39" x14ac:dyDescent="0.25">
      <c r="A8910" s="2066"/>
      <c r="B8910" s="2066"/>
      <c r="C8910" s="2066"/>
      <c r="D8910" s="2066"/>
      <c r="E8910" s="2066"/>
      <c r="F8910" s="2066"/>
      <c r="G8910" s="2066"/>
      <c r="H8910" s="2066"/>
      <c r="I8910" s="2066"/>
      <c r="J8910" s="2066"/>
      <c r="K8910" s="2066"/>
      <c r="L8910" s="2066"/>
      <c r="M8910" s="2066"/>
      <c r="N8910" s="2066"/>
      <c r="O8910" s="2066"/>
      <c r="P8910" s="49"/>
      <c r="Q8910" s="1"/>
      <c r="R8910" s="2066"/>
      <c r="S8910" s="1"/>
      <c r="T8910" s="1"/>
      <c r="U8910" s="1"/>
      <c r="V8910" s="1"/>
      <c r="W8910" s="1"/>
      <c r="X8910" s="1"/>
      <c r="Y8910" s="1"/>
      <c r="Z8910" s="2066"/>
      <c r="AA8910" s="2066"/>
      <c r="AB8910" s="1"/>
      <c r="AC8910" s="1"/>
      <c r="AD8910" s="1"/>
      <c r="AE8910" s="1"/>
      <c r="AF8910" s="1"/>
      <c r="AG8910" s="1"/>
      <c r="AH8910" s="1"/>
      <c r="AI8910" s="1"/>
      <c r="AJ8910" s="1"/>
      <c r="AK8910" s="1"/>
      <c r="AL8910" s="1"/>
      <c r="AM8910" s="1"/>
    </row>
    <row r="8911" spans="1:39" x14ac:dyDescent="0.25">
      <c r="A8911" s="2066"/>
      <c r="B8911" s="2066"/>
      <c r="C8911" s="2066"/>
      <c r="D8911" s="2066"/>
      <c r="E8911" s="2066"/>
      <c r="F8911" s="2066"/>
      <c r="G8911" s="2066"/>
      <c r="H8911" s="2066"/>
      <c r="I8911" s="2066"/>
      <c r="J8911" s="2066"/>
      <c r="K8911" s="2066"/>
      <c r="L8911" s="2066"/>
      <c r="M8911" s="2066"/>
      <c r="N8911" s="2066"/>
      <c r="O8911" s="2066"/>
      <c r="P8911" s="49"/>
      <c r="Q8911" s="1"/>
      <c r="R8911" s="2066"/>
      <c r="S8911" s="1"/>
      <c r="T8911" s="1"/>
      <c r="U8911" s="1"/>
      <c r="V8911" s="1"/>
      <c r="W8911" s="1"/>
      <c r="X8911" s="1"/>
      <c r="Y8911" s="1"/>
      <c r="Z8911" s="2066"/>
      <c r="AA8911" s="2066"/>
      <c r="AB8911" s="1"/>
      <c r="AC8911" s="1"/>
      <c r="AD8911" s="1"/>
      <c r="AE8911" s="1"/>
      <c r="AF8911" s="1"/>
      <c r="AG8911" s="1"/>
      <c r="AH8911" s="1"/>
      <c r="AI8911" s="1"/>
      <c r="AJ8911" s="1"/>
      <c r="AK8911" s="1"/>
      <c r="AL8911" s="1"/>
      <c r="AM8911" s="1"/>
    </row>
    <row r="8912" spans="1:39" x14ac:dyDescent="0.25">
      <c r="A8912" s="2066"/>
      <c r="B8912" s="2066"/>
      <c r="C8912" s="2066"/>
      <c r="D8912" s="2066"/>
      <c r="E8912" s="2066"/>
      <c r="F8912" s="2066"/>
      <c r="G8912" s="2066"/>
      <c r="H8912" s="2066"/>
      <c r="I8912" s="2066"/>
      <c r="J8912" s="2066"/>
      <c r="K8912" s="2066"/>
      <c r="L8912" s="2066"/>
      <c r="M8912" s="2066"/>
      <c r="N8912" s="2066"/>
      <c r="O8912" s="2066"/>
      <c r="P8912" s="49"/>
      <c r="Q8912" s="1"/>
      <c r="R8912" s="2066"/>
      <c r="S8912" s="1"/>
      <c r="T8912" s="1"/>
      <c r="U8912" s="1"/>
      <c r="V8912" s="1"/>
      <c r="W8912" s="1"/>
      <c r="X8912" s="1"/>
      <c r="Y8912" s="1"/>
      <c r="Z8912" s="2066"/>
      <c r="AA8912" s="2066"/>
      <c r="AB8912" s="1"/>
      <c r="AC8912" s="1"/>
      <c r="AD8912" s="1"/>
      <c r="AE8912" s="1"/>
      <c r="AF8912" s="1"/>
      <c r="AG8912" s="1"/>
      <c r="AH8912" s="1"/>
      <c r="AI8912" s="1"/>
      <c r="AJ8912" s="1"/>
      <c r="AK8912" s="1"/>
      <c r="AL8912" s="1"/>
      <c r="AM8912" s="1"/>
    </row>
    <row r="8913" spans="1:39" x14ac:dyDescent="0.25">
      <c r="A8913" s="2066"/>
      <c r="B8913" s="2066"/>
      <c r="C8913" s="2066"/>
      <c r="D8913" s="2066"/>
      <c r="E8913" s="2066"/>
      <c r="F8913" s="2066"/>
      <c r="G8913" s="2066"/>
      <c r="H8913" s="2066"/>
      <c r="I8913" s="2066"/>
      <c r="J8913" s="2066"/>
      <c r="K8913" s="2066"/>
      <c r="L8913" s="2066"/>
      <c r="M8913" s="2066"/>
      <c r="N8913" s="2066"/>
      <c r="O8913" s="2066"/>
      <c r="P8913" s="49"/>
      <c r="Q8913" s="1"/>
      <c r="R8913" s="2066"/>
      <c r="S8913" s="1"/>
      <c r="T8913" s="1"/>
      <c r="U8913" s="1"/>
      <c r="V8913" s="1"/>
      <c r="W8913" s="1"/>
      <c r="X8913" s="1"/>
      <c r="Y8913" s="1"/>
      <c r="Z8913" s="2066"/>
      <c r="AA8913" s="2066"/>
      <c r="AB8913" s="1"/>
      <c r="AC8913" s="1"/>
      <c r="AD8913" s="1"/>
      <c r="AE8913" s="1"/>
      <c r="AF8913" s="1"/>
      <c r="AG8913" s="1"/>
      <c r="AH8913" s="1"/>
      <c r="AI8913" s="1"/>
      <c r="AJ8913" s="1"/>
      <c r="AK8913" s="1"/>
      <c r="AL8913" s="1"/>
      <c r="AM8913" s="1"/>
    </row>
    <row r="8914" spans="1:39" x14ac:dyDescent="0.25">
      <c r="A8914" s="2066"/>
      <c r="B8914" s="2066"/>
      <c r="C8914" s="2066"/>
      <c r="D8914" s="2066"/>
      <c r="E8914" s="2066"/>
      <c r="F8914" s="2066"/>
      <c r="G8914" s="2066"/>
      <c r="H8914" s="2066"/>
      <c r="I8914" s="2066"/>
      <c r="J8914" s="2066"/>
      <c r="K8914" s="2066"/>
      <c r="L8914" s="2066"/>
      <c r="M8914" s="2066"/>
      <c r="N8914" s="2066"/>
      <c r="O8914" s="2066"/>
      <c r="P8914" s="49"/>
      <c r="Q8914" s="1"/>
      <c r="R8914" s="2066"/>
      <c r="S8914" s="1"/>
      <c r="T8914" s="1"/>
      <c r="U8914" s="1"/>
      <c r="V8914" s="1"/>
      <c r="W8914" s="1"/>
      <c r="X8914" s="1"/>
      <c r="Y8914" s="1"/>
      <c r="Z8914" s="2066"/>
      <c r="AA8914" s="2066"/>
      <c r="AB8914" s="1"/>
      <c r="AC8914" s="1"/>
      <c r="AD8914" s="1"/>
      <c r="AE8914" s="1"/>
      <c r="AF8914" s="1"/>
      <c r="AG8914" s="1"/>
      <c r="AH8914" s="1"/>
      <c r="AI8914" s="1"/>
      <c r="AJ8914" s="1"/>
      <c r="AK8914" s="1"/>
      <c r="AL8914" s="1"/>
      <c r="AM8914" s="1"/>
    </row>
    <row r="8915" spans="1:39" x14ac:dyDescent="0.25">
      <c r="A8915" s="2066"/>
      <c r="B8915" s="2066"/>
      <c r="C8915" s="2066"/>
      <c r="D8915" s="2066"/>
      <c r="E8915" s="2066"/>
      <c r="F8915" s="2066"/>
      <c r="G8915" s="2066"/>
      <c r="H8915" s="2066"/>
      <c r="I8915" s="2066"/>
      <c r="J8915" s="2066"/>
      <c r="K8915" s="2066"/>
      <c r="L8915" s="2066"/>
      <c r="M8915" s="2066"/>
      <c r="N8915" s="2066"/>
      <c r="O8915" s="2066"/>
      <c r="P8915" s="49"/>
      <c r="Q8915" s="1"/>
      <c r="R8915" s="2066"/>
      <c r="S8915" s="1"/>
      <c r="T8915" s="1"/>
      <c r="U8915" s="1"/>
      <c r="V8915" s="1"/>
      <c r="W8915" s="1"/>
      <c r="X8915" s="1"/>
      <c r="Y8915" s="1"/>
      <c r="Z8915" s="2066"/>
      <c r="AA8915" s="2066"/>
      <c r="AB8915" s="1"/>
      <c r="AC8915" s="1"/>
      <c r="AD8915" s="1"/>
      <c r="AE8915" s="1"/>
      <c r="AF8915" s="1"/>
      <c r="AG8915" s="1"/>
      <c r="AH8915" s="1"/>
      <c r="AI8915" s="1"/>
      <c r="AJ8915" s="1"/>
      <c r="AK8915" s="1"/>
      <c r="AL8915" s="1"/>
      <c r="AM8915" s="1"/>
    </row>
    <row r="8916" spans="1:39" x14ac:dyDescent="0.25">
      <c r="A8916" s="2066"/>
      <c r="B8916" s="2066"/>
      <c r="C8916" s="2066"/>
      <c r="D8916" s="2066"/>
      <c r="E8916" s="2066"/>
      <c r="F8916" s="2066"/>
      <c r="G8916" s="2066"/>
      <c r="H8916" s="2066"/>
      <c r="I8916" s="2066"/>
      <c r="J8916" s="2066"/>
      <c r="K8916" s="2066"/>
      <c r="L8916" s="2066"/>
      <c r="M8916" s="2066"/>
      <c r="N8916" s="2066"/>
      <c r="O8916" s="2066"/>
      <c r="P8916" s="49"/>
      <c r="Q8916" s="1"/>
      <c r="R8916" s="2066"/>
      <c r="S8916" s="1"/>
      <c r="T8916" s="1"/>
      <c r="U8916" s="1"/>
      <c r="V8916" s="1"/>
      <c r="W8916" s="1"/>
      <c r="X8916" s="1"/>
      <c r="Y8916" s="1"/>
      <c r="Z8916" s="2066"/>
      <c r="AA8916" s="2066"/>
      <c r="AB8916" s="1"/>
      <c r="AC8916" s="1"/>
      <c r="AD8916" s="1"/>
      <c r="AE8916" s="1"/>
      <c r="AF8916" s="1"/>
      <c r="AG8916" s="1"/>
      <c r="AH8916" s="1"/>
      <c r="AI8916" s="1"/>
      <c r="AJ8916" s="1"/>
      <c r="AK8916" s="1"/>
      <c r="AL8916" s="1"/>
      <c r="AM8916" s="1"/>
    </row>
    <row r="8917" spans="1:39" x14ac:dyDescent="0.25">
      <c r="A8917" s="2066"/>
      <c r="B8917" s="2066"/>
      <c r="C8917" s="2066"/>
      <c r="D8917" s="2066"/>
      <c r="E8917" s="2066"/>
      <c r="F8917" s="2066"/>
      <c r="G8917" s="2066"/>
      <c r="H8917" s="2066"/>
      <c r="I8917" s="2066"/>
      <c r="J8917" s="2066"/>
      <c r="K8917" s="2066"/>
      <c r="L8917" s="2066"/>
      <c r="M8917" s="2066"/>
      <c r="N8917" s="2066"/>
      <c r="O8917" s="2066"/>
      <c r="P8917" s="49"/>
      <c r="Q8917" s="1"/>
      <c r="R8917" s="2066"/>
      <c r="S8917" s="1"/>
      <c r="T8917" s="1"/>
      <c r="U8917" s="1"/>
      <c r="V8917" s="1"/>
      <c r="W8917" s="1"/>
      <c r="X8917" s="1"/>
      <c r="Y8917" s="1"/>
      <c r="Z8917" s="2066"/>
      <c r="AA8917" s="2066"/>
      <c r="AB8917" s="1"/>
      <c r="AC8917" s="1"/>
      <c r="AD8917" s="1"/>
      <c r="AE8917" s="1"/>
      <c r="AF8917" s="1"/>
      <c r="AG8917" s="1"/>
      <c r="AH8917" s="1"/>
      <c r="AI8917" s="1"/>
      <c r="AJ8917" s="1"/>
      <c r="AK8917" s="1"/>
      <c r="AL8917" s="1"/>
      <c r="AM8917" s="1"/>
    </row>
    <row r="8918" spans="1:39" x14ac:dyDescent="0.25">
      <c r="A8918" s="2066"/>
      <c r="B8918" s="2066"/>
      <c r="C8918" s="2066"/>
      <c r="D8918" s="2066"/>
      <c r="E8918" s="2066"/>
      <c r="F8918" s="2066"/>
      <c r="G8918" s="2066"/>
      <c r="H8918" s="2066"/>
      <c r="I8918" s="2066"/>
      <c r="J8918" s="2066"/>
      <c r="K8918" s="2066"/>
      <c r="L8918" s="2066"/>
      <c r="M8918" s="2066"/>
      <c r="N8918" s="2066"/>
      <c r="O8918" s="2066"/>
      <c r="P8918" s="49"/>
      <c r="Q8918" s="1"/>
      <c r="R8918" s="2066"/>
      <c r="S8918" s="1"/>
      <c r="T8918" s="1"/>
      <c r="U8918" s="1"/>
      <c r="V8918" s="1"/>
      <c r="W8918" s="1"/>
      <c r="X8918" s="1"/>
      <c r="Y8918" s="1"/>
      <c r="Z8918" s="2066"/>
      <c r="AA8918" s="2066"/>
      <c r="AB8918" s="1"/>
      <c r="AC8918" s="1"/>
      <c r="AD8918" s="1"/>
      <c r="AE8918" s="1"/>
      <c r="AF8918" s="1"/>
      <c r="AG8918" s="1"/>
      <c r="AH8918" s="1"/>
      <c r="AI8918" s="1"/>
      <c r="AJ8918" s="1"/>
      <c r="AK8918" s="1"/>
      <c r="AL8918" s="1"/>
      <c r="AM8918" s="1"/>
    </row>
    <row r="8919" spans="1:39" x14ac:dyDescent="0.25">
      <c r="A8919" s="2066"/>
      <c r="B8919" s="2066"/>
      <c r="C8919" s="2066"/>
      <c r="D8919" s="2066"/>
      <c r="E8919" s="2066"/>
      <c r="F8919" s="2066"/>
      <c r="G8919" s="2066"/>
      <c r="H8919" s="2066"/>
      <c r="I8919" s="2066"/>
      <c r="J8919" s="2066"/>
      <c r="K8919" s="2066"/>
      <c r="L8919" s="2066"/>
      <c r="M8919" s="2066"/>
      <c r="N8919" s="2066"/>
      <c r="O8919" s="2066"/>
      <c r="P8919" s="49"/>
      <c r="Q8919" s="1"/>
      <c r="R8919" s="2066"/>
      <c r="S8919" s="1"/>
      <c r="T8919" s="1"/>
      <c r="U8919" s="1"/>
      <c r="V8919" s="1"/>
      <c r="W8919" s="1"/>
      <c r="X8919" s="1"/>
      <c r="Y8919" s="1"/>
      <c r="Z8919" s="2066"/>
      <c r="AA8919" s="2066"/>
      <c r="AB8919" s="1"/>
      <c r="AC8919" s="1"/>
      <c r="AD8919" s="1"/>
      <c r="AE8919" s="1"/>
      <c r="AF8919" s="1"/>
      <c r="AG8919" s="1"/>
      <c r="AH8919" s="1"/>
      <c r="AI8919" s="1"/>
      <c r="AJ8919" s="1"/>
      <c r="AK8919" s="1"/>
      <c r="AL8919" s="1"/>
      <c r="AM8919" s="1"/>
    </row>
    <row r="8920" spans="1:39" x14ac:dyDescent="0.25">
      <c r="A8920" s="2066"/>
      <c r="B8920" s="2066"/>
      <c r="C8920" s="2066"/>
      <c r="D8920" s="2066"/>
      <c r="E8920" s="2066"/>
      <c r="F8920" s="2066"/>
      <c r="G8920" s="2066"/>
      <c r="H8920" s="2066"/>
      <c r="I8920" s="2066"/>
      <c r="J8920" s="2066"/>
      <c r="K8920" s="2066"/>
      <c r="L8920" s="2066"/>
      <c r="M8920" s="2066"/>
      <c r="N8920" s="2066"/>
      <c r="O8920" s="2066"/>
      <c r="P8920" s="49"/>
      <c r="Q8920" s="1"/>
      <c r="R8920" s="2066"/>
      <c r="S8920" s="1"/>
      <c r="T8920" s="1"/>
      <c r="U8920" s="1"/>
      <c r="V8920" s="1"/>
      <c r="W8920" s="1"/>
      <c r="X8920" s="1"/>
      <c r="Y8920" s="1"/>
      <c r="Z8920" s="2066"/>
      <c r="AA8920" s="2066"/>
      <c r="AB8920" s="1"/>
      <c r="AC8920" s="1"/>
      <c r="AD8920" s="1"/>
      <c r="AE8920" s="1"/>
      <c r="AF8920" s="1"/>
      <c r="AG8920" s="1"/>
      <c r="AH8920" s="1"/>
      <c r="AI8920" s="1"/>
      <c r="AJ8920" s="1"/>
      <c r="AK8920" s="1"/>
      <c r="AL8920" s="1"/>
      <c r="AM8920" s="1"/>
    </row>
    <row r="8921" spans="1:39" x14ac:dyDescent="0.25">
      <c r="A8921" s="2066"/>
      <c r="B8921" s="2066"/>
      <c r="C8921" s="2066"/>
      <c r="D8921" s="2066"/>
      <c r="E8921" s="2066"/>
      <c r="F8921" s="2066"/>
      <c r="G8921" s="2066"/>
      <c r="H8921" s="2066"/>
      <c r="I8921" s="2066"/>
      <c r="J8921" s="2066"/>
      <c r="K8921" s="2066"/>
      <c r="L8921" s="2066"/>
      <c r="M8921" s="2066"/>
      <c r="N8921" s="2066"/>
      <c r="O8921" s="2066"/>
      <c r="P8921" s="49"/>
      <c r="Q8921" s="1"/>
      <c r="R8921" s="2066"/>
      <c r="S8921" s="1"/>
      <c r="T8921" s="1"/>
      <c r="U8921" s="1"/>
      <c r="V8921" s="1"/>
      <c r="W8921" s="1"/>
      <c r="X8921" s="1"/>
      <c r="Y8921" s="1"/>
      <c r="Z8921" s="2066"/>
      <c r="AA8921" s="2066"/>
      <c r="AB8921" s="1"/>
      <c r="AC8921" s="1"/>
      <c r="AD8921" s="1"/>
      <c r="AE8921" s="1"/>
      <c r="AF8921" s="1"/>
      <c r="AG8921" s="1"/>
      <c r="AH8921" s="1"/>
      <c r="AI8921" s="1"/>
      <c r="AJ8921" s="1"/>
      <c r="AK8921" s="1"/>
      <c r="AL8921" s="1"/>
      <c r="AM8921" s="1"/>
    </row>
    <row r="8922" spans="1:39" x14ac:dyDescent="0.25">
      <c r="A8922" s="2066"/>
      <c r="B8922" s="2066"/>
      <c r="C8922" s="2066"/>
      <c r="D8922" s="2066"/>
      <c r="E8922" s="2066"/>
      <c r="F8922" s="2066"/>
      <c r="G8922" s="2066"/>
      <c r="H8922" s="2066"/>
      <c r="I8922" s="2066"/>
      <c r="J8922" s="2066"/>
      <c r="K8922" s="2066"/>
      <c r="L8922" s="2066"/>
      <c r="M8922" s="2066"/>
      <c r="N8922" s="2066"/>
      <c r="O8922" s="2066"/>
      <c r="P8922" s="49"/>
      <c r="Q8922" s="1"/>
      <c r="R8922" s="2066"/>
      <c r="S8922" s="1"/>
      <c r="T8922" s="1"/>
      <c r="U8922" s="1"/>
      <c r="V8922" s="1"/>
      <c r="W8922" s="1"/>
      <c r="X8922" s="1"/>
      <c r="Y8922" s="1"/>
      <c r="Z8922" s="2066"/>
      <c r="AA8922" s="2066"/>
      <c r="AB8922" s="1"/>
      <c r="AC8922" s="1"/>
      <c r="AD8922" s="1"/>
      <c r="AE8922" s="1"/>
      <c r="AF8922" s="1"/>
      <c r="AG8922" s="1"/>
      <c r="AH8922" s="1"/>
      <c r="AI8922" s="1"/>
      <c r="AJ8922" s="1"/>
      <c r="AK8922" s="1"/>
      <c r="AL8922" s="1"/>
      <c r="AM8922" s="1"/>
    </row>
    <row r="8923" spans="1:39" x14ac:dyDescent="0.25">
      <c r="A8923" s="2066"/>
      <c r="B8923" s="2066"/>
      <c r="C8923" s="2066"/>
      <c r="D8923" s="2066"/>
      <c r="E8923" s="2066"/>
      <c r="F8923" s="2066"/>
      <c r="G8923" s="2066"/>
      <c r="H8923" s="2066"/>
      <c r="I8923" s="2066"/>
      <c r="J8923" s="2066"/>
      <c r="K8923" s="2066"/>
      <c r="L8923" s="2066"/>
      <c r="M8923" s="2066"/>
      <c r="N8923" s="2066"/>
      <c r="O8923" s="2066"/>
      <c r="P8923" s="49"/>
      <c r="Q8923" s="1"/>
      <c r="R8923" s="2066"/>
      <c r="S8923" s="1"/>
      <c r="T8923" s="1"/>
      <c r="U8923" s="1"/>
      <c r="V8923" s="1"/>
      <c r="W8923" s="1"/>
      <c r="X8923" s="1"/>
      <c r="Y8923" s="1"/>
      <c r="Z8923" s="2066"/>
      <c r="AA8923" s="2066"/>
      <c r="AB8923" s="1"/>
      <c r="AC8923" s="1"/>
      <c r="AD8923" s="1"/>
      <c r="AE8923" s="1"/>
      <c r="AF8923" s="1"/>
      <c r="AG8923" s="1"/>
      <c r="AH8923" s="1"/>
      <c r="AI8923" s="1"/>
      <c r="AJ8923" s="1"/>
      <c r="AK8923" s="1"/>
      <c r="AL8923" s="1"/>
      <c r="AM8923" s="1"/>
    </row>
    <row r="8924" spans="1:39" x14ac:dyDescent="0.25">
      <c r="A8924" s="2066"/>
      <c r="B8924" s="2066"/>
      <c r="C8924" s="2066"/>
      <c r="D8924" s="2066"/>
      <c r="E8924" s="2066"/>
      <c r="F8924" s="2066"/>
      <c r="G8924" s="2066"/>
      <c r="H8924" s="2066"/>
      <c r="I8924" s="2066"/>
      <c r="J8924" s="2066"/>
      <c r="K8924" s="2066"/>
      <c r="L8924" s="2066"/>
      <c r="M8924" s="2066"/>
      <c r="N8924" s="2066"/>
      <c r="O8924" s="2066"/>
      <c r="P8924" s="49"/>
      <c r="Q8924" s="1"/>
      <c r="R8924" s="2066"/>
      <c r="S8924" s="1"/>
      <c r="T8924" s="1"/>
      <c r="U8924" s="1"/>
      <c r="V8924" s="1"/>
      <c r="W8924" s="1"/>
      <c r="X8924" s="1"/>
      <c r="Y8924" s="1"/>
      <c r="Z8924" s="2066"/>
      <c r="AA8924" s="2066"/>
      <c r="AB8924" s="1"/>
      <c r="AC8924" s="1"/>
      <c r="AD8924" s="1"/>
      <c r="AE8924" s="1"/>
      <c r="AF8924" s="1"/>
      <c r="AG8924" s="1"/>
      <c r="AH8924" s="1"/>
      <c r="AI8924" s="1"/>
      <c r="AJ8924" s="1"/>
      <c r="AK8924" s="1"/>
      <c r="AL8924" s="1"/>
      <c r="AM8924" s="1"/>
    </row>
    <row r="8925" spans="1:39" x14ac:dyDescent="0.25">
      <c r="A8925" s="2066"/>
      <c r="B8925" s="2066"/>
      <c r="C8925" s="2066"/>
      <c r="D8925" s="2066"/>
      <c r="E8925" s="2066"/>
      <c r="F8925" s="2066"/>
      <c r="G8925" s="2066"/>
      <c r="H8925" s="2066"/>
      <c r="I8925" s="2066"/>
      <c r="J8925" s="2066"/>
      <c r="K8925" s="2066"/>
      <c r="L8925" s="2066"/>
      <c r="M8925" s="2066"/>
      <c r="N8925" s="2066"/>
      <c r="O8925" s="2066"/>
      <c r="P8925" s="49"/>
      <c r="Q8925" s="1"/>
      <c r="R8925" s="2066"/>
      <c r="S8925" s="1"/>
      <c r="T8925" s="1"/>
      <c r="U8925" s="1"/>
      <c r="V8925" s="1"/>
      <c r="W8925" s="1"/>
      <c r="X8925" s="1"/>
      <c r="Y8925" s="1"/>
      <c r="Z8925" s="2066"/>
      <c r="AA8925" s="2066"/>
      <c r="AB8925" s="1"/>
      <c r="AC8925" s="1"/>
      <c r="AD8925" s="1"/>
      <c r="AE8925" s="1"/>
      <c r="AF8925" s="1"/>
      <c r="AG8925" s="1"/>
      <c r="AH8925" s="1"/>
      <c r="AI8925" s="1"/>
      <c r="AJ8925" s="1"/>
      <c r="AK8925" s="1"/>
      <c r="AL8925" s="1"/>
      <c r="AM8925" s="1"/>
    </row>
    <row r="8926" spans="1:39" x14ac:dyDescent="0.25">
      <c r="A8926" s="2066"/>
      <c r="B8926" s="2066"/>
      <c r="C8926" s="2066"/>
      <c r="D8926" s="2066"/>
      <c r="E8926" s="2066"/>
      <c r="F8926" s="2066"/>
      <c r="G8926" s="2066"/>
      <c r="H8926" s="2066"/>
      <c r="I8926" s="2066"/>
      <c r="J8926" s="2066"/>
      <c r="K8926" s="2066"/>
      <c r="L8926" s="2066"/>
      <c r="M8926" s="2066"/>
      <c r="N8926" s="2066"/>
      <c r="O8926" s="2066"/>
      <c r="P8926" s="49"/>
      <c r="Q8926" s="1"/>
      <c r="R8926" s="2066"/>
      <c r="S8926" s="1"/>
      <c r="T8926" s="1"/>
      <c r="U8926" s="1"/>
      <c r="V8926" s="1"/>
      <c r="W8926" s="1"/>
      <c r="X8926" s="1"/>
      <c r="Y8926" s="1"/>
      <c r="Z8926" s="2066"/>
      <c r="AA8926" s="2066"/>
      <c r="AB8926" s="1"/>
      <c r="AC8926" s="1"/>
      <c r="AD8926" s="1"/>
      <c r="AE8926" s="1"/>
      <c r="AF8926" s="1"/>
      <c r="AG8926" s="1"/>
      <c r="AH8926" s="1"/>
      <c r="AI8926" s="1"/>
      <c r="AJ8926" s="1"/>
      <c r="AK8926" s="1"/>
      <c r="AL8926" s="1"/>
      <c r="AM8926" s="1"/>
    </row>
    <row r="8927" spans="1:39" x14ac:dyDescent="0.25">
      <c r="A8927" s="2066"/>
      <c r="B8927" s="2066"/>
      <c r="C8927" s="2066"/>
      <c r="D8927" s="2066"/>
      <c r="E8927" s="2066"/>
      <c r="F8927" s="2066"/>
      <c r="G8927" s="2066"/>
      <c r="H8927" s="2066"/>
      <c r="I8927" s="2066"/>
      <c r="J8927" s="2066"/>
      <c r="K8927" s="2066"/>
      <c r="L8927" s="2066"/>
      <c r="M8927" s="2066"/>
      <c r="N8927" s="2066"/>
      <c r="O8927" s="2066"/>
      <c r="P8927" s="49"/>
      <c r="Q8927" s="1"/>
      <c r="R8927" s="2066"/>
      <c r="S8927" s="1"/>
      <c r="T8927" s="1"/>
      <c r="U8927" s="1"/>
      <c r="V8927" s="1"/>
      <c r="W8927" s="1"/>
      <c r="X8927" s="1"/>
      <c r="Y8927" s="1"/>
      <c r="Z8927" s="2066"/>
      <c r="AA8927" s="2066"/>
      <c r="AB8927" s="1"/>
      <c r="AC8927" s="1"/>
      <c r="AD8927" s="1"/>
      <c r="AE8927" s="1"/>
      <c r="AF8927" s="1"/>
      <c r="AG8927" s="1"/>
      <c r="AH8927" s="1"/>
      <c r="AI8927" s="1"/>
      <c r="AJ8927" s="1"/>
      <c r="AK8927" s="1"/>
      <c r="AL8927" s="1"/>
      <c r="AM8927" s="1"/>
    </row>
    <row r="8928" spans="1:39" x14ac:dyDescent="0.25">
      <c r="A8928" s="2066"/>
      <c r="B8928" s="2066"/>
      <c r="C8928" s="2066"/>
      <c r="D8928" s="2066"/>
      <c r="E8928" s="2066"/>
      <c r="F8928" s="2066"/>
      <c r="G8928" s="2066"/>
      <c r="H8928" s="2066"/>
      <c r="I8928" s="2066"/>
      <c r="J8928" s="2066"/>
      <c r="K8928" s="2066"/>
      <c r="L8928" s="2066"/>
      <c r="M8928" s="2066"/>
      <c r="N8928" s="2066"/>
      <c r="O8928" s="2066"/>
      <c r="P8928" s="49"/>
      <c r="Q8928" s="1"/>
      <c r="R8928" s="2066"/>
      <c r="S8928" s="1"/>
      <c r="T8928" s="1"/>
      <c r="U8928" s="1"/>
      <c r="V8928" s="1"/>
      <c r="W8928" s="1"/>
      <c r="X8928" s="1"/>
      <c r="Y8928" s="1"/>
      <c r="Z8928" s="2066"/>
      <c r="AA8928" s="2066"/>
      <c r="AB8928" s="1"/>
      <c r="AC8928" s="1"/>
      <c r="AD8928" s="1"/>
      <c r="AE8928" s="1"/>
      <c r="AF8928" s="1"/>
      <c r="AG8928" s="1"/>
      <c r="AH8928" s="1"/>
      <c r="AI8928" s="1"/>
      <c r="AJ8928" s="1"/>
      <c r="AK8928" s="1"/>
      <c r="AL8928" s="1"/>
      <c r="AM8928" s="1"/>
    </row>
    <row r="8929" spans="1:39" x14ac:dyDescent="0.25">
      <c r="A8929" s="2066"/>
      <c r="B8929" s="2066"/>
      <c r="C8929" s="2066"/>
      <c r="D8929" s="2066"/>
      <c r="E8929" s="2066"/>
      <c r="F8929" s="2066"/>
      <c r="G8929" s="2066"/>
      <c r="H8929" s="2066"/>
      <c r="I8929" s="2066"/>
      <c r="J8929" s="2066"/>
      <c r="K8929" s="2066"/>
      <c r="L8929" s="2066"/>
      <c r="M8929" s="2066"/>
      <c r="N8929" s="2066"/>
      <c r="O8929" s="2066"/>
      <c r="P8929" s="49"/>
      <c r="Q8929" s="1"/>
      <c r="R8929" s="2066"/>
      <c r="S8929" s="1"/>
      <c r="T8929" s="1"/>
      <c r="U8929" s="1"/>
      <c r="V8929" s="1"/>
      <c r="W8929" s="1"/>
      <c r="X8929" s="1"/>
      <c r="Y8929" s="1"/>
      <c r="Z8929" s="2066"/>
      <c r="AA8929" s="2066"/>
      <c r="AB8929" s="1"/>
      <c r="AC8929" s="1"/>
      <c r="AD8929" s="1"/>
      <c r="AE8929" s="1"/>
      <c r="AF8929" s="1"/>
      <c r="AG8929" s="1"/>
      <c r="AH8929" s="1"/>
      <c r="AI8929" s="1"/>
      <c r="AJ8929" s="1"/>
      <c r="AK8929" s="1"/>
      <c r="AL8929" s="1"/>
      <c r="AM8929" s="1"/>
    </row>
    <row r="8930" spans="1:39" x14ac:dyDescent="0.25">
      <c r="A8930" s="2066"/>
      <c r="B8930" s="2066"/>
      <c r="C8930" s="2066"/>
      <c r="D8930" s="2066"/>
      <c r="E8930" s="2066"/>
      <c r="F8930" s="2066"/>
      <c r="G8930" s="2066"/>
      <c r="H8930" s="2066"/>
      <c r="I8930" s="2066"/>
      <c r="J8930" s="2066"/>
      <c r="K8930" s="2066"/>
      <c r="L8930" s="2066"/>
      <c r="M8930" s="2066"/>
      <c r="N8930" s="2066"/>
      <c r="O8930" s="2066"/>
      <c r="P8930" s="49"/>
      <c r="Q8930" s="1"/>
      <c r="R8930" s="2066"/>
      <c r="S8930" s="1"/>
      <c r="T8930" s="1"/>
      <c r="U8930" s="1"/>
      <c r="V8930" s="1"/>
      <c r="W8930" s="1"/>
      <c r="X8930" s="1"/>
      <c r="Y8930" s="1"/>
      <c r="Z8930" s="2066"/>
      <c r="AA8930" s="2066"/>
      <c r="AB8930" s="1"/>
      <c r="AC8930" s="1"/>
      <c r="AD8930" s="1"/>
      <c r="AE8930" s="1"/>
      <c r="AF8930" s="1"/>
      <c r="AG8930" s="1"/>
      <c r="AH8930" s="1"/>
      <c r="AI8930" s="1"/>
      <c r="AJ8930" s="1"/>
      <c r="AK8930" s="1"/>
      <c r="AL8930" s="1"/>
      <c r="AM8930" s="1"/>
    </row>
    <row r="8931" spans="1:39" x14ac:dyDescent="0.25">
      <c r="A8931" s="2066"/>
      <c r="B8931" s="2066"/>
      <c r="C8931" s="2066"/>
      <c r="D8931" s="2066"/>
      <c r="E8931" s="2066"/>
      <c r="F8931" s="2066"/>
      <c r="G8931" s="2066"/>
      <c r="H8931" s="2066"/>
      <c r="I8931" s="2066"/>
      <c r="J8931" s="2066"/>
      <c r="K8931" s="2066"/>
      <c r="L8931" s="2066"/>
      <c r="M8931" s="2066"/>
      <c r="N8931" s="2066"/>
      <c r="O8931" s="2066"/>
      <c r="P8931" s="49"/>
      <c r="Q8931" s="1"/>
      <c r="R8931" s="2066"/>
      <c r="S8931" s="1"/>
      <c r="T8931" s="1"/>
      <c r="U8931" s="1"/>
      <c r="V8931" s="1"/>
      <c r="W8931" s="1"/>
      <c r="X8931" s="1"/>
      <c r="Y8931" s="1"/>
      <c r="Z8931" s="2066"/>
      <c r="AA8931" s="2066"/>
      <c r="AB8931" s="1"/>
      <c r="AC8931" s="1"/>
      <c r="AD8931" s="1"/>
      <c r="AE8931" s="1"/>
      <c r="AF8931" s="1"/>
      <c r="AG8931" s="1"/>
      <c r="AH8931" s="1"/>
      <c r="AI8931" s="1"/>
      <c r="AJ8931" s="1"/>
      <c r="AK8931" s="1"/>
      <c r="AL8931" s="1"/>
      <c r="AM8931" s="1"/>
    </row>
    <row r="8932" spans="1:39" x14ac:dyDescent="0.25">
      <c r="A8932" s="2066"/>
      <c r="B8932" s="2066"/>
      <c r="C8932" s="2066"/>
      <c r="D8932" s="2066"/>
      <c r="E8932" s="2066"/>
      <c r="F8932" s="2066"/>
      <c r="G8932" s="2066"/>
      <c r="H8932" s="2066"/>
      <c r="I8932" s="2066"/>
      <c r="J8932" s="2066"/>
      <c r="K8932" s="2066"/>
      <c r="L8932" s="2066"/>
      <c r="M8932" s="2066"/>
      <c r="N8932" s="2066"/>
      <c r="O8932" s="2066"/>
      <c r="P8932" s="49"/>
      <c r="Q8932" s="1"/>
      <c r="R8932" s="2066"/>
      <c r="S8932" s="1"/>
      <c r="T8932" s="1"/>
      <c r="U8932" s="1"/>
      <c r="V8932" s="1"/>
      <c r="W8932" s="1"/>
      <c r="X8932" s="1"/>
      <c r="Y8932" s="1"/>
      <c r="Z8932" s="2066"/>
      <c r="AA8932" s="2066"/>
      <c r="AB8932" s="1"/>
      <c r="AC8932" s="1"/>
      <c r="AD8932" s="1"/>
      <c r="AE8932" s="1"/>
      <c r="AF8932" s="1"/>
      <c r="AG8932" s="1"/>
      <c r="AH8932" s="1"/>
      <c r="AI8932" s="1"/>
      <c r="AJ8932" s="1"/>
      <c r="AK8932" s="1"/>
      <c r="AL8932" s="1"/>
      <c r="AM8932" s="1"/>
    </row>
    <row r="8933" spans="1:39" x14ac:dyDescent="0.25">
      <c r="A8933" s="2066"/>
      <c r="B8933" s="2066"/>
      <c r="C8933" s="2066"/>
      <c r="D8933" s="2066"/>
      <c r="E8933" s="2066"/>
      <c r="F8933" s="2066"/>
      <c r="G8933" s="2066"/>
      <c r="H8933" s="2066"/>
      <c r="I8933" s="2066"/>
      <c r="J8933" s="2066"/>
      <c r="K8933" s="2066"/>
      <c r="L8933" s="2066"/>
      <c r="M8933" s="2066"/>
      <c r="N8933" s="2066"/>
      <c r="O8933" s="2066"/>
      <c r="P8933" s="49"/>
      <c r="Q8933" s="1"/>
      <c r="R8933" s="2066"/>
      <c r="S8933" s="1"/>
      <c r="T8933" s="1"/>
      <c r="U8933" s="1"/>
      <c r="V8933" s="1"/>
      <c r="W8933" s="1"/>
      <c r="X8933" s="1"/>
      <c r="Y8933" s="1"/>
      <c r="Z8933" s="2066"/>
      <c r="AA8933" s="2066"/>
      <c r="AB8933" s="1"/>
      <c r="AC8933" s="1"/>
      <c r="AD8933" s="1"/>
      <c r="AE8933" s="1"/>
      <c r="AF8933" s="1"/>
      <c r="AG8933" s="1"/>
      <c r="AH8933" s="1"/>
      <c r="AI8933" s="1"/>
      <c r="AJ8933" s="1"/>
      <c r="AK8933" s="1"/>
      <c r="AL8933" s="1"/>
      <c r="AM8933" s="1"/>
    </row>
    <row r="8934" spans="1:39" x14ac:dyDescent="0.25">
      <c r="A8934" s="2066"/>
      <c r="B8934" s="2066"/>
      <c r="C8934" s="2066"/>
      <c r="D8934" s="2066"/>
      <c r="E8934" s="2066"/>
      <c r="F8934" s="2066"/>
      <c r="G8934" s="2066"/>
      <c r="H8934" s="2066"/>
      <c r="I8934" s="2066"/>
      <c r="J8934" s="2066"/>
      <c r="K8934" s="2066"/>
      <c r="L8934" s="2066"/>
      <c r="M8934" s="2066"/>
      <c r="N8934" s="2066"/>
      <c r="O8934" s="2066"/>
      <c r="P8934" s="49"/>
      <c r="Q8934" s="1"/>
      <c r="R8934" s="2066"/>
      <c r="S8934" s="1"/>
      <c r="T8934" s="1"/>
      <c r="U8934" s="1"/>
      <c r="V8934" s="1"/>
      <c r="W8934" s="1"/>
      <c r="X8934" s="1"/>
      <c r="Y8934" s="1"/>
      <c r="Z8934" s="2066"/>
      <c r="AA8934" s="2066"/>
      <c r="AB8934" s="1"/>
      <c r="AC8934" s="1"/>
      <c r="AD8934" s="1"/>
      <c r="AE8934" s="1"/>
      <c r="AF8934" s="1"/>
      <c r="AG8934" s="1"/>
      <c r="AH8934" s="1"/>
      <c r="AI8934" s="1"/>
      <c r="AJ8934" s="1"/>
      <c r="AK8934" s="1"/>
      <c r="AL8934" s="1"/>
      <c r="AM8934" s="1"/>
    </row>
    <row r="8935" spans="1:39" x14ac:dyDescent="0.25">
      <c r="A8935" s="2066"/>
      <c r="B8935" s="2066"/>
      <c r="C8935" s="2066"/>
      <c r="D8935" s="2066"/>
      <c r="E8935" s="2066"/>
      <c r="F8935" s="2066"/>
      <c r="G8935" s="2066"/>
      <c r="H8935" s="2066"/>
      <c r="I8935" s="2066"/>
      <c r="J8935" s="2066"/>
      <c r="K8935" s="2066"/>
      <c r="L8935" s="2066"/>
      <c r="M8935" s="2066"/>
      <c r="N8935" s="2066"/>
      <c r="O8935" s="2066"/>
      <c r="P8935" s="49"/>
      <c r="Q8935" s="1"/>
      <c r="R8935" s="2066"/>
      <c r="S8935" s="1"/>
      <c r="T8935" s="1"/>
      <c r="U8935" s="1"/>
      <c r="V8935" s="1"/>
      <c r="W8935" s="1"/>
      <c r="X8935" s="1"/>
      <c r="Y8935" s="1"/>
      <c r="Z8935" s="2066"/>
      <c r="AA8935" s="2066"/>
      <c r="AB8935" s="1"/>
      <c r="AC8935" s="1"/>
      <c r="AD8935" s="1"/>
      <c r="AE8935" s="1"/>
      <c r="AF8935" s="1"/>
      <c r="AG8935" s="1"/>
      <c r="AH8935" s="1"/>
      <c r="AI8935" s="1"/>
      <c r="AJ8935" s="1"/>
      <c r="AK8935" s="1"/>
      <c r="AL8935" s="1"/>
      <c r="AM8935" s="1"/>
    </row>
    <row r="8936" spans="1:39" x14ac:dyDescent="0.25">
      <c r="A8936" s="2066"/>
      <c r="B8936" s="2066"/>
      <c r="C8936" s="2066"/>
      <c r="D8936" s="2066"/>
      <c r="E8936" s="2066"/>
      <c r="F8936" s="2066"/>
      <c r="G8936" s="2066"/>
      <c r="H8936" s="2066"/>
      <c r="I8936" s="2066"/>
      <c r="J8936" s="2066"/>
      <c r="K8936" s="2066"/>
      <c r="L8936" s="2066"/>
      <c r="M8936" s="2066"/>
      <c r="N8936" s="2066"/>
      <c r="O8936" s="2066"/>
      <c r="P8936" s="49"/>
      <c r="Q8936" s="1"/>
      <c r="R8936" s="2066"/>
      <c r="S8936" s="1"/>
      <c r="T8936" s="1"/>
      <c r="U8936" s="1"/>
      <c r="V8936" s="1"/>
      <c r="W8936" s="1"/>
      <c r="X8936" s="1"/>
      <c r="Y8936" s="1"/>
      <c r="Z8936" s="2066"/>
      <c r="AA8936" s="2066"/>
      <c r="AB8936" s="1"/>
      <c r="AC8936" s="1"/>
      <c r="AD8936" s="1"/>
      <c r="AE8936" s="1"/>
      <c r="AF8936" s="1"/>
      <c r="AG8936" s="1"/>
      <c r="AH8936" s="1"/>
      <c r="AI8936" s="1"/>
      <c r="AJ8936" s="1"/>
      <c r="AK8936" s="1"/>
      <c r="AL8936" s="1"/>
      <c r="AM8936" s="1"/>
    </row>
    <row r="8937" spans="1:39" x14ac:dyDescent="0.25">
      <c r="A8937" s="2066"/>
      <c r="B8937" s="2066"/>
      <c r="C8937" s="2066"/>
      <c r="D8937" s="2066"/>
      <c r="E8937" s="2066"/>
      <c r="F8937" s="2066"/>
      <c r="G8937" s="2066"/>
      <c r="H8937" s="2066"/>
      <c r="I8937" s="2066"/>
      <c r="J8937" s="2066"/>
      <c r="K8937" s="2066"/>
      <c r="L8937" s="2066"/>
      <c r="M8937" s="2066"/>
      <c r="N8937" s="2066"/>
      <c r="O8937" s="2066"/>
      <c r="P8937" s="49"/>
      <c r="Q8937" s="1"/>
      <c r="R8937" s="2066"/>
      <c r="S8937" s="1"/>
      <c r="T8937" s="1"/>
      <c r="U8937" s="1"/>
      <c r="V8937" s="1"/>
      <c r="W8937" s="1"/>
      <c r="X8937" s="1"/>
      <c r="Y8937" s="1"/>
      <c r="Z8937" s="2066"/>
      <c r="AA8937" s="2066"/>
      <c r="AB8937" s="1"/>
      <c r="AC8937" s="1"/>
      <c r="AD8937" s="1"/>
      <c r="AE8937" s="1"/>
      <c r="AF8937" s="1"/>
      <c r="AG8937" s="1"/>
      <c r="AH8937" s="1"/>
      <c r="AI8937" s="1"/>
      <c r="AJ8937" s="1"/>
      <c r="AK8937" s="1"/>
      <c r="AL8937" s="1"/>
      <c r="AM8937" s="1"/>
    </row>
    <row r="8938" spans="1:39" x14ac:dyDescent="0.25">
      <c r="A8938" s="2066"/>
      <c r="B8938" s="2066"/>
      <c r="C8938" s="2066"/>
      <c r="D8938" s="2066"/>
      <c r="E8938" s="2066"/>
      <c r="F8938" s="2066"/>
      <c r="G8938" s="2066"/>
      <c r="H8938" s="2066"/>
      <c r="I8938" s="2066"/>
      <c r="J8938" s="2066"/>
      <c r="K8938" s="2066"/>
      <c r="L8938" s="2066"/>
      <c r="M8938" s="2066"/>
      <c r="N8938" s="2066"/>
      <c r="O8938" s="2066"/>
      <c r="P8938" s="49"/>
      <c r="Q8938" s="1"/>
      <c r="R8938" s="2066"/>
      <c r="S8938" s="1"/>
      <c r="T8938" s="1"/>
      <c r="U8938" s="1"/>
      <c r="V8938" s="1"/>
      <c r="W8938" s="1"/>
      <c r="X8938" s="1"/>
      <c r="Y8938" s="1"/>
      <c r="Z8938" s="2066"/>
      <c r="AA8938" s="2066"/>
      <c r="AB8938" s="1"/>
      <c r="AC8938" s="1"/>
      <c r="AD8938" s="1"/>
      <c r="AE8938" s="1"/>
      <c r="AF8938" s="1"/>
      <c r="AG8938" s="1"/>
      <c r="AH8938" s="1"/>
      <c r="AI8938" s="1"/>
      <c r="AJ8938" s="1"/>
      <c r="AK8938" s="1"/>
      <c r="AL8938" s="1"/>
      <c r="AM8938" s="1"/>
    </row>
    <row r="8939" spans="1:39" x14ac:dyDescent="0.25">
      <c r="A8939" s="2066"/>
      <c r="B8939" s="2066"/>
      <c r="C8939" s="2066"/>
      <c r="D8939" s="2066"/>
      <c r="E8939" s="2066"/>
      <c r="F8939" s="2066"/>
      <c r="G8939" s="2066"/>
      <c r="H8939" s="2066"/>
      <c r="I8939" s="2066"/>
      <c r="J8939" s="2066"/>
      <c r="K8939" s="2066"/>
      <c r="L8939" s="2066"/>
      <c r="M8939" s="2066"/>
      <c r="N8939" s="2066"/>
      <c r="O8939" s="2066"/>
      <c r="P8939" s="49"/>
      <c r="Q8939" s="1"/>
      <c r="R8939" s="2066"/>
      <c r="S8939" s="1"/>
      <c r="T8939" s="1"/>
      <c r="U8939" s="1"/>
      <c r="V8939" s="1"/>
      <c r="W8939" s="1"/>
      <c r="X8939" s="1"/>
      <c r="Y8939" s="1"/>
      <c r="Z8939" s="2066"/>
      <c r="AA8939" s="2066"/>
      <c r="AB8939" s="1"/>
      <c r="AC8939" s="1"/>
      <c r="AD8939" s="1"/>
      <c r="AE8939" s="1"/>
      <c r="AF8939" s="1"/>
      <c r="AG8939" s="1"/>
      <c r="AH8939" s="1"/>
      <c r="AI8939" s="1"/>
      <c r="AJ8939" s="1"/>
      <c r="AK8939" s="1"/>
      <c r="AL8939" s="1"/>
      <c r="AM8939" s="1"/>
    </row>
    <row r="8940" spans="1:39" x14ac:dyDescent="0.25">
      <c r="A8940" s="2066"/>
      <c r="B8940" s="2066"/>
      <c r="C8940" s="2066"/>
      <c r="D8940" s="2066"/>
      <c r="E8940" s="2066"/>
      <c r="F8940" s="2066"/>
      <c r="G8940" s="2066"/>
      <c r="H8940" s="2066"/>
      <c r="I8940" s="2066"/>
      <c r="J8940" s="2066"/>
      <c r="K8940" s="2066"/>
      <c r="L8940" s="2066"/>
      <c r="M8940" s="2066"/>
      <c r="N8940" s="2066"/>
      <c r="O8940" s="2066"/>
      <c r="P8940" s="49"/>
      <c r="Q8940" s="1"/>
      <c r="R8940" s="2066"/>
      <c r="S8940" s="1"/>
      <c r="T8940" s="1"/>
      <c r="U8940" s="1"/>
      <c r="V8940" s="1"/>
      <c r="W8940" s="1"/>
      <c r="X8940" s="1"/>
      <c r="Y8940" s="1"/>
      <c r="Z8940" s="2066"/>
      <c r="AA8940" s="2066"/>
      <c r="AB8940" s="1"/>
      <c r="AC8940" s="1"/>
      <c r="AD8940" s="1"/>
      <c r="AE8940" s="1"/>
      <c r="AF8940" s="1"/>
      <c r="AG8940" s="1"/>
      <c r="AH8940" s="1"/>
      <c r="AI8940" s="1"/>
      <c r="AJ8940" s="1"/>
      <c r="AK8940" s="1"/>
      <c r="AL8940" s="1"/>
      <c r="AM8940" s="1"/>
    </row>
    <row r="8941" spans="1:39" x14ac:dyDescent="0.25">
      <c r="A8941" s="2066"/>
      <c r="B8941" s="2066"/>
      <c r="C8941" s="2066"/>
      <c r="D8941" s="2066"/>
      <c r="E8941" s="2066"/>
      <c r="F8941" s="2066"/>
      <c r="G8941" s="2066"/>
      <c r="H8941" s="2066"/>
      <c r="I8941" s="2066"/>
      <c r="J8941" s="2066"/>
      <c r="K8941" s="2066"/>
      <c r="L8941" s="2066"/>
      <c r="M8941" s="2066"/>
      <c r="N8941" s="2066"/>
      <c r="O8941" s="2066"/>
      <c r="P8941" s="49"/>
      <c r="Q8941" s="1"/>
      <c r="R8941" s="2066"/>
      <c r="S8941" s="1"/>
      <c r="T8941" s="1"/>
      <c r="U8941" s="1"/>
      <c r="V8941" s="1"/>
      <c r="W8941" s="1"/>
      <c r="X8941" s="1"/>
      <c r="Y8941" s="1"/>
      <c r="Z8941" s="2066"/>
      <c r="AA8941" s="2066"/>
      <c r="AB8941" s="1"/>
      <c r="AC8941" s="1"/>
      <c r="AD8941" s="1"/>
      <c r="AE8941" s="1"/>
      <c r="AF8941" s="1"/>
      <c r="AG8941" s="1"/>
      <c r="AH8941" s="1"/>
      <c r="AI8941" s="1"/>
      <c r="AJ8941" s="1"/>
      <c r="AK8941" s="1"/>
      <c r="AL8941" s="1"/>
      <c r="AM8941" s="1"/>
    </row>
    <row r="8942" spans="1:39" x14ac:dyDescent="0.25">
      <c r="A8942" s="2066"/>
      <c r="B8942" s="2066"/>
      <c r="C8942" s="2066"/>
      <c r="D8942" s="2066"/>
      <c r="E8942" s="2066"/>
      <c r="F8942" s="2066"/>
      <c r="G8942" s="2066"/>
      <c r="H8942" s="2066"/>
      <c r="I8942" s="2066"/>
      <c r="J8942" s="2066"/>
      <c r="K8942" s="2066"/>
      <c r="L8942" s="2066"/>
      <c r="M8942" s="2066"/>
      <c r="N8942" s="2066"/>
      <c r="O8942" s="2066"/>
      <c r="P8942" s="49"/>
      <c r="Q8942" s="1"/>
      <c r="R8942" s="2066"/>
      <c r="S8942" s="1"/>
      <c r="T8942" s="1"/>
      <c r="U8942" s="1"/>
      <c r="V8942" s="1"/>
      <c r="W8942" s="1"/>
      <c r="X8942" s="1"/>
      <c r="Y8942" s="1"/>
      <c r="Z8942" s="2066"/>
      <c r="AA8942" s="2066"/>
      <c r="AB8942" s="1"/>
      <c r="AC8942" s="1"/>
      <c r="AD8942" s="1"/>
      <c r="AE8942" s="1"/>
      <c r="AF8942" s="1"/>
      <c r="AG8942" s="1"/>
      <c r="AH8942" s="1"/>
      <c r="AI8942" s="1"/>
      <c r="AJ8942" s="1"/>
      <c r="AK8942" s="1"/>
      <c r="AL8942" s="1"/>
      <c r="AM8942" s="1"/>
    </row>
    <row r="8943" spans="1:39" x14ac:dyDescent="0.25">
      <c r="A8943" s="2066"/>
      <c r="B8943" s="2066"/>
      <c r="C8943" s="2066"/>
      <c r="D8943" s="2066"/>
      <c r="E8943" s="2066"/>
      <c r="F8943" s="2066"/>
      <c r="G8943" s="2066"/>
      <c r="H8943" s="2066"/>
      <c r="I8943" s="2066"/>
      <c r="J8943" s="2066"/>
      <c r="K8943" s="2066"/>
      <c r="L8943" s="2066"/>
      <c r="M8943" s="2066"/>
      <c r="N8943" s="2066"/>
      <c r="O8943" s="2066"/>
      <c r="P8943" s="49"/>
      <c r="Q8943" s="1"/>
      <c r="R8943" s="2066"/>
      <c r="S8943" s="1"/>
      <c r="T8943" s="1"/>
      <c r="U8943" s="1"/>
      <c r="V8943" s="1"/>
      <c r="W8943" s="1"/>
      <c r="X8943" s="1"/>
      <c r="Y8943" s="1"/>
      <c r="Z8943" s="2066"/>
      <c r="AA8943" s="2066"/>
      <c r="AB8943" s="1"/>
      <c r="AC8943" s="1"/>
      <c r="AD8943" s="1"/>
      <c r="AE8943" s="1"/>
      <c r="AF8943" s="1"/>
      <c r="AG8943" s="1"/>
      <c r="AH8943" s="1"/>
      <c r="AI8943" s="1"/>
      <c r="AJ8943" s="1"/>
      <c r="AK8943" s="1"/>
      <c r="AL8943" s="1"/>
      <c r="AM8943" s="1"/>
    </row>
    <row r="8944" spans="1:39" x14ac:dyDescent="0.25">
      <c r="A8944" s="2066"/>
      <c r="B8944" s="2066"/>
      <c r="C8944" s="2066"/>
      <c r="D8944" s="2066"/>
      <c r="E8944" s="2066"/>
      <c r="F8944" s="2066"/>
      <c r="G8944" s="2066"/>
      <c r="H8944" s="2066"/>
      <c r="I8944" s="2066"/>
      <c r="J8944" s="2066"/>
      <c r="K8944" s="2066"/>
      <c r="L8944" s="2066"/>
      <c r="M8944" s="2066"/>
      <c r="N8944" s="2066"/>
      <c r="O8944" s="2066"/>
      <c r="P8944" s="49"/>
      <c r="Q8944" s="1"/>
      <c r="R8944" s="2066"/>
      <c r="S8944" s="1"/>
      <c r="T8944" s="1"/>
      <c r="U8944" s="1"/>
      <c r="V8944" s="1"/>
      <c r="W8944" s="1"/>
      <c r="X8944" s="1"/>
      <c r="Y8944" s="1"/>
      <c r="Z8944" s="2066"/>
      <c r="AA8944" s="2066"/>
      <c r="AB8944" s="1"/>
      <c r="AC8944" s="1"/>
      <c r="AD8944" s="1"/>
      <c r="AE8944" s="1"/>
      <c r="AF8944" s="1"/>
      <c r="AG8944" s="1"/>
      <c r="AH8944" s="1"/>
      <c r="AI8944" s="1"/>
      <c r="AJ8944" s="1"/>
      <c r="AK8944" s="1"/>
      <c r="AL8944" s="1"/>
      <c r="AM8944" s="1"/>
    </row>
    <row r="8945" spans="1:39" x14ac:dyDescent="0.25">
      <c r="A8945" s="2066"/>
      <c r="B8945" s="2066"/>
      <c r="C8945" s="2066"/>
      <c r="D8945" s="2066"/>
      <c r="E8945" s="2066"/>
      <c r="F8945" s="2066"/>
      <c r="G8945" s="2066"/>
      <c r="H8945" s="2066"/>
      <c r="I8945" s="2066"/>
      <c r="J8945" s="2066"/>
      <c r="K8945" s="2066"/>
      <c r="L8945" s="2066"/>
      <c r="M8945" s="2066"/>
      <c r="N8945" s="2066"/>
      <c r="O8945" s="2066"/>
      <c r="P8945" s="49"/>
      <c r="Q8945" s="1"/>
      <c r="R8945" s="2066"/>
      <c r="S8945" s="1"/>
      <c r="T8945" s="1"/>
      <c r="U8945" s="1"/>
      <c r="V8945" s="1"/>
      <c r="W8945" s="1"/>
      <c r="X8945" s="1"/>
      <c r="Y8945" s="1"/>
      <c r="Z8945" s="2066"/>
      <c r="AA8945" s="2066"/>
      <c r="AB8945" s="1"/>
      <c r="AC8945" s="1"/>
      <c r="AD8945" s="1"/>
      <c r="AE8945" s="1"/>
      <c r="AF8945" s="1"/>
      <c r="AG8945" s="1"/>
      <c r="AH8945" s="1"/>
      <c r="AI8945" s="1"/>
      <c r="AJ8945" s="1"/>
      <c r="AK8945" s="1"/>
      <c r="AL8945" s="1"/>
      <c r="AM8945" s="1"/>
    </row>
    <row r="8946" spans="1:39" x14ac:dyDescent="0.25">
      <c r="A8946" s="2066"/>
      <c r="B8946" s="2066"/>
      <c r="C8946" s="2066"/>
      <c r="D8946" s="2066"/>
      <c r="E8946" s="2066"/>
      <c r="F8946" s="2066"/>
      <c r="G8946" s="2066"/>
      <c r="H8946" s="2066"/>
      <c r="I8946" s="2066"/>
      <c r="J8946" s="2066"/>
      <c r="K8946" s="2066"/>
      <c r="L8946" s="2066"/>
      <c r="M8946" s="2066"/>
      <c r="N8946" s="2066"/>
      <c r="O8946" s="2066"/>
      <c r="P8946" s="49"/>
      <c r="Q8946" s="1"/>
      <c r="R8946" s="2066"/>
      <c r="S8946" s="1"/>
      <c r="T8946" s="1"/>
      <c r="U8946" s="1"/>
      <c r="V8946" s="1"/>
      <c r="W8946" s="1"/>
      <c r="X8946" s="1"/>
      <c r="Y8946" s="1"/>
      <c r="Z8946" s="2066"/>
      <c r="AA8946" s="2066"/>
      <c r="AB8946" s="1"/>
      <c r="AC8946" s="1"/>
      <c r="AD8946" s="1"/>
      <c r="AE8946" s="1"/>
      <c r="AF8946" s="1"/>
      <c r="AG8946" s="1"/>
      <c r="AH8946" s="1"/>
      <c r="AI8946" s="1"/>
      <c r="AJ8946" s="1"/>
      <c r="AK8946" s="1"/>
      <c r="AL8946" s="1"/>
      <c r="AM8946" s="1"/>
    </row>
    <row r="8947" spans="1:39" x14ac:dyDescent="0.25">
      <c r="A8947" s="2066"/>
      <c r="B8947" s="2066"/>
      <c r="C8947" s="2066"/>
      <c r="D8947" s="2066"/>
      <c r="E8947" s="2066"/>
      <c r="F8947" s="2066"/>
      <c r="G8947" s="2066"/>
      <c r="H8947" s="2066"/>
      <c r="I8947" s="2066"/>
      <c r="J8947" s="2066"/>
      <c r="K8947" s="2066"/>
      <c r="L8947" s="2066"/>
      <c r="M8947" s="2066"/>
      <c r="N8947" s="2066"/>
      <c r="O8947" s="2066"/>
      <c r="P8947" s="49"/>
      <c r="Q8947" s="1"/>
      <c r="R8947" s="2066"/>
      <c r="S8947" s="1"/>
      <c r="T8947" s="1"/>
      <c r="U8947" s="1"/>
      <c r="V8947" s="1"/>
      <c r="W8947" s="1"/>
      <c r="X8947" s="1"/>
      <c r="Y8947" s="1"/>
      <c r="Z8947" s="2066"/>
      <c r="AA8947" s="2066"/>
      <c r="AB8947" s="1"/>
      <c r="AC8947" s="1"/>
      <c r="AD8947" s="1"/>
      <c r="AE8947" s="1"/>
      <c r="AF8947" s="1"/>
      <c r="AG8947" s="1"/>
      <c r="AH8947" s="1"/>
      <c r="AI8947" s="1"/>
      <c r="AJ8947" s="1"/>
      <c r="AK8947" s="1"/>
      <c r="AL8947" s="1"/>
      <c r="AM8947" s="1"/>
    </row>
    <row r="8948" spans="1:39" x14ac:dyDescent="0.25">
      <c r="A8948" s="2066"/>
      <c r="B8948" s="2066"/>
      <c r="C8948" s="2066"/>
      <c r="D8948" s="2066"/>
      <c r="E8948" s="2066"/>
      <c r="F8948" s="2066"/>
      <c r="G8948" s="2066"/>
      <c r="H8948" s="2066"/>
      <c r="I8948" s="2066"/>
      <c r="J8948" s="2066"/>
      <c r="K8948" s="2066"/>
      <c r="L8948" s="2066"/>
      <c r="M8948" s="2066"/>
      <c r="N8948" s="2066"/>
      <c r="O8948" s="2066"/>
      <c r="P8948" s="49"/>
      <c r="Q8948" s="1"/>
      <c r="R8948" s="2066"/>
      <c r="S8948" s="1"/>
      <c r="T8948" s="1"/>
      <c r="U8948" s="1"/>
      <c r="V8948" s="1"/>
      <c r="W8948" s="1"/>
      <c r="X8948" s="1"/>
      <c r="Y8948" s="1"/>
      <c r="Z8948" s="2066"/>
      <c r="AA8948" s="2066"/>
      <c r="AB8948" s="1"/>
      <c r="AC8948" s="1"/>
      <c r="AD8948" s="1"/>
      <c r="AE8948" s="1"/>
      <c r="AF8948" s="1"/>
      <c r="AG8948" s="1"/>
      <c r="AH8948" s="1"/>
      <c r="AI8948" s="1"/>
      <c r="AJ8948" s="1"/>
      <c r="AK8948" s="1"/>
      <c r="AL8948" s="1"/>
      <c r="AM8948" s="1"/>
    </row>
    <row r="8949" spans="1:39" x14ac:dyDescent="0.25">
      <c r="A8949" s="2066"/>
      <c r="B8949" s="2066"/>
      <c r="C8949" s="2066"/>
      <c r="D8949" s="2066"/>
      <c r="E8949" s="2066"/>
      <c r="F8949" s="2066"/>
      <c r="G8949" s="2066"/>
      <c r="H8949" s="2066"/>
      <c r="I8949" s="2066"/>
      <c r="J8949" s="2066"/>
      <c r="K8949" s="2066"/>
      <c r="L8949" s="2066"/>
      <c r="M8949" s="2066"/>
      <c r="N8949" s="2066"/>
      <c r="O8949" s="2066"/>
      <c r="P8949" s="49"/>
      <c r="Q8949" s="1"/>
      <c r="R8949" s="2066"/>
      <c r="S8949" s="1"/>
      <c r="T8949" s="1"/>
      <c r="U8949" s="1"/>
      <c r="V8949" s="1"/>
      <c r="W8949" s="1"/>
      <c r="X8949" s="1"/>
      <c r="Y8949" s="1"/>
      <c r="Z8949" s="2066"/>
      <c r="AA8949" s="2066"/>
      <c r="AB8949" s="1"/>
      <c r="AC8949" s="1"/>
      <c r="AD8949" s="1"/>
      <c r="AE8949" s="1"/>
      <c r="AF8949" s="1"/>
      <c r="AG8949" s="1"/>
      <c r="AH8949" s="1"/>
      <c r="AI8949" s="1"/>
      <c r="AJ8949" s="1"/>
      <c r="AK8949" s="1"/>
      <c r="AL8949" s="1"/>
      <c r="AM8949" s="1"/>
    </row>
    <row r="8950" spans="1:39" x14ac:dyDescent="0.25">
      <c r="A8950" s="2066"/>
      <c r="B8950" s="2066"/>
      <c r="C8950" s="2066"/>
      <c r="D8950" s="2066"/>
      <c r="E8950" s="2066"/>
      <c r="F8950" s="2066"/>
      <c r="G8950" s="2066"/>
      <c r="H8950" s="2066"/>
      <c r="I8950" s="2066"/>
      <c r="J8950" s="2066"/>
      <c r="K8950" s="2066"/>
      <c r="L8950" s="2066"/>
      <c r="M8950" s="2066"/>
      <c r="N8950" s="2066"/>
      <c r="O8950" s="2066"/>
      <c r="P8950" s="49"/>
      <c r="Q8950" s="1"/>
      <c r="R8950" s="2066"/>
      <c r="S8950" s="1"/>
      <c r="T8950" s="1"/>
      <c r="U8950" s="1"/>
      <c r="V8950" s="1"/>
      <c r="W8950" s="1"/>
      <c r="X8950" s="1"/>
      <c r="Y8950" s="1"/>
      <c r="Z8950" s="2066"/>
      <c r="AA8950" s="2066"/>
      <c r="AB8950" s="1"/>
      <c r="AC8950" s="1"/>
      <c r="AD8950" s="1"/>
      <c r="AE8950" s="1"/>
      <c r="AF8950" s="1"/>
      <c r="AG8950" s="1"/>
      <c r="AH8950" s="1"/>
      <c r="AI8950" s="1"/>
      <c r="AJ8950" s="1"/>
      <c r="AK8950" s="1"/>
      <c r="AL8950" s="1"/>
      <c r="AM8950" s="1"/>
    </row>
    <row r="8951" spans="1:39" x14ac:dyDescent="0.25">
      <c r="A8951" s="2066"/>
      <c r="B8951" s="2066"/>
      <c r="C8951" s="2066"/>
      <c r="D8951" s="2066"/>
      <c r="E8951" s="2066"/>
      <c r="F8951" s="2066"/>
      <c r="G8951" s="2066"/>
      <c r="H8951" s="2066"/>
      <c r="I8951" s="2066"/>
      <c r="J8951" s="2066"/>
      <c r="K8951" s="2066"/>
      <c r="L8951" s="2066"/>
      <c r="M8951" s="2066"/>
      <c r="N8951" s="2066"/>
      <c r="O8951" s="2066"/>
      <c r="P8951" s="49"/>
      <c r="Q8951" s="1"/>
      <c r="R8951" s="2066"/>
      <c r="S8951" s="1"/>
      <c r="T8951" s="1"/>
      <c r="U8951" s="1"/>
      <c r="V8951" s="1"/>
      <c r="W8951" s="1"/>
      <c r="X8951" s="1"/>
      <c r="Y8951" s="1"/>
      <c r="Z8951" s="2066"/>
      <c r="AA8951" s="2066"/>
      <c r="AB8951" s="1"/>
      <c r="AC8951" s="1"/>
      <c r="AD8951" s="1"/>
      <c r="AE8951" s="1"/>
      <c r="AF8951" s="1"/>
      <c r="AG8951" s="1"/>
      <c r="AH8951" s="1"/>
      <c r="AI8951" s="1"/>
      <c r="AJ8951" s="1"/>
      <c r="AK8951" s="1"/>
      <c r="AL8951" s="1"/>
      <c r="AM8951" s="1"/>
    </row>
    <row r="8952" spans="1:39" x14ac:dyDescent="0.25">
      <c r="A8952" s="2066"/>
      <c r="B8952" s="2066"/>
      <c r="C8952" s="2066"/>
      <c r="D8952" s="2066"/>
      <c r="E8952" s="2066"/>
      <c r="F8952" s="2066"/>
      <c r="G8952" s="2066"/>
      <c r="H8952" s="2066"/>
      <c r="I8952" s="2066"/>
      <c r="J8952" s="2066"/>
      <c r="K8952" s="2066"/>
      <c r="L8952" s="2066"/>
      <c r="M8952" s="2066"/>
      <c r="N8952" s="2066"/>
      <c r="O8952" s="2066"/>
      <c r="P8952" s="49"/>
      <c r="Q8952" s="1"/>
      <c r="R8952" s="2066"/>
      <c r="S8952" s="1"/>
      <c r="T8952" s="1"/>
      <c r="U8952" s="1"/>
      <c r="V8952" s="1"/>
      <c r="W8952" s="1"/>
      <c r="X8952" s="1"/>
      <c r="Y8952" s="1"/>
      <c r="Z8952" s="2066"/>
      <c r="AA8952" s="2066"/>
      <c r="AB8952" s="1"/>
      <c r="AC8952" s="1"/>
      <c r="AD8952" s="1"/>
      <c r="AE8952" s="1"/>
      <c r="AF8952" s="1"/>
      <c r="AG8952" s="1"/>
      <c r="AH8952" s="1"/>
      <c r="AI8952" s="1"/>
      <c r="AJ8952" s="1"/>
      <c r="AK8952" s="1"/>
      <c r="AL8952" s="1"/>
      <c r="AM8952" s="1"/>
    </row>
    <row r="8953" spans="1:39" x14ac:dyDescent="0.25">
      <c r="A8953" s="2066"/>
      <c r="B8953" s="2066"/>
      <c r="C8953" s="2066"/>
      <c r="D8953" s="2066"/>
      <c r="E8953" s="2066"/>
      <c r="F8953" s="2066"/>
      <c r="G8953" s="2066"/>
      <c r="H8953" s="2066"/>
      <c r="I8953" s="2066"/>
      <c r="J8953" s="2066"/>
      <c r="K8953" s="2066"/>
      <c r="L8953" s="2066"/>
      <c r="M8953" s="2066"/>
      <c r="N8953" s="2066"/>
      <c r="O8953" s="2066"/>
      <c r="P8953" s="49"/>
      <c r="Q8953" s="1"/>
      <c r="R8953" s="2066"/>
      <c r="S8953" s="1"/>
      <c r="T8953" s="1"/>
      <c r="U8953" s="1"/>
      <c r="V8953" s="1"/>
      <c r="W8953" s="1"/>
      <c r="X8953" s="1"/>
      <c r="Y8953" s="1"/>
      <c r="Z8953" s="2066"/>
      <c r="AA8953" s="2066"/>
      <c r="AB8953" s="1"/>
      <c r="AC8953" s="1"/>
      <c r="AD8953" s="1"/>
      <c r="AE8953" s="1"/>
      <c r="AF8953" s="1"/>
      <c r="AG8953" s="1"/>
      <c r="AH8953" s="1"/>
      <c r="AI8953" s="1"/>
      <c r="AJ8953" s="1"/>
      <c r="AK8953" s="1"/>
      <c r="AL8953" s="1"/>
      <c r="AM8953" s="1"/>
    </row>
    <row r="8954" spans="1:39" x14ac:dyDescent="0.25">
      <c r="A8954" s="2066"/>
      <c r="B8954" s="2066"/>
      <c r="C8954" s="2066"/>
      <c r="D8954" s="2066"/>
      <c r="E8954" s="2066"/>
      <c r="F8954" s="2066"/>
      <c r="G8954" s="2066"/>
      <c r="H8954" s="2066"/>
      <c r="I8954" s="2066"/>
      <c r="J8954" s="2066"/>
      <c r="K8954" s="2066"/>
      <c r="L8954" s="2066"/>
      <c r="M8954" s="2066"/>
      <c r="N8954" s="2066"/>
      <c r="O8954" s="2066"/>
      <c r="P8954" s="49"/>
      <c r="Q8954" s="1"/>
      <c r="R8954" s="2066"/>
      <c r="S8954" s="1"/>
      <c r="T8954" s="1"/>
      <c r="U8954" s="1"/>
      <c r="V8954" s="1"/>
      <c r="W8954" s="1"/>
      <c r="X8954" s="1"/>
      <c r="Y8954" s="1"/>
      <c r="Z8954" s="2066"/>
      <c r="AA8954" s="2066"/>
      <c r="AB8954" s="1"/>
      <c r="AC8954" s="1"/>
      <c r="AD8954" s="1"/>
      <c r="AE8954" s="1"/>
      <c r="AF8954" s="1"/>
      <c r="AG8954" s="1"/>
      <c r="AH8954" s="1"/>
      <c r="AI8954" s="1"/>
      <c r="AJ8954" s="1"/>
      <c r="AK8954" s="1"/>
      <c r="AL8954" s="1"/>
      <c r="AM8954" s="1"/>
    </row>
    <row r="8955" spans="1:39" x14ac:dyDescent="0.25">
      <c r="A8955" s="2066"/>
      <c r="B8955" s="2066"/>
      <c r="C8955" s="2066"/>
      <c r="D8955" s="2066"/>
      <c r="E8955" s="2066"/>
      <c r="F8955" s="2066"/>
      <c r="G8955" s="2066"/>
      <c r="H8955" s="2066"/>
      <c r="I8955" s="2066"/>
      <c r="J8955" s="2066"/>
      <c r="K8955" s="2066"/>
      <c r="L8955" s="2066"/>
      <c r="M8955" s="2066"/>
      <c r="N8955" s="2066"/>
      <c r="O8955" s="2066"/>
      <c r="P8955" s="49"/>
      <c r="Q8955" s="1"/>
      <c r="R8955" s="2066"/>
      <c r="S8955" s="1"/>
      <c r="T8955" s="1"/>
      <c r="U8955" s="1"/>
      <c r="V8955" s="1"/>
      <c r="W8955" s="1"/>
      <c r="X8955" s="1"/>
      <c r="Y8955" s="1"/>
      <c r="Z8955" s="2066"/>
      <c r="AA8955" s="2066"/>
      <c r="AB8955" s="1"/>
      <c r="AC8955" s="1"/>
      <c r="AD8955" s="1"/>
      <c r="AE8955" s="1"/>
      <c r="AF8955" s="1"/>
      <c r="AG8955" s="1"/>
      <c r="AH8955" s="1"/>
      <c r="AI8955" s="1"/>
      <c r="AJ8955" s="1"/>
      <c r="AK8955" s="1"/>
      <c r="AL8955" s="1"/>
      <c r="AM8955" s="1"/>
    </row>
    <row r="8956" spans="1:39" x14ac:dyDescent="0.25">
      <c r="A8956" s="2066"/>
      <c r="B8956" s="2066"/>
      <c r="C8956" s="2066"/>
      <c r="D8956" s="2066"/>
      <c r="E8956" s="2066"/>
      <c r="F8956" s="2066"/>
      <c r="G8956" s="2066"/>
      <c r="H8956" s="2066"/>
      <c r="I8956" s="2066"/>
      <c r="J8956" s="2066"/>
      <c r="K8956" s="2066"/>
      <c r="L8956" s="2066"/>
      <c r="M8956" s="2066"/>
      <c r="N8956" s="2066"/>
      <c r="O8956" s="2066"/>
      <c r="P8956" s="49"/>
      <c r="Q8956" s="1"/>
      <c r="R8956" s="2066"/>
      <c r="S8956" s="1"/>
      <c r="T8956" s="1"/>
      <c r="U8956" s="1"/>
      <c r="V8956" s="1"/>
      <c r="W8956" s="1"/>
      <c r="X8956" s="1"/>
      <c r="Y8956" s="1"/>
      <c r="Z8956" s="2066"/>
      <c r="AA8956" s="2066"/>
      <c r="AB8956" s="1"/>
      <c r="AC8956" s="1"/>
      <c r="AD8956" s="1"/>
      <c r="AE8956" s="1"/>
      <c r="AF8956" s="1"/>
      <c r="AG8956" s="1"/>
      <c r="AH8956" s="1"/>
      <c r="AI8956" s="1"/>
      <c r="AJ8956" s="1"/>
      <c r="AK8956" s="1"/>
      <c r="AL8956" s="1"/>
      <c r="AM8956" s="1"/>
    </row>
    <row r="8957" spans="1:39" x14ac:dyDescent="0.25">
      <c r="A8957" s="2066"/>
      <c r="B8957" s="2066"/>
      <c r="C8957" s="2066"/>
      <c r="D8957" s="2066"/>
      <c r="E8957" s="2066"/>
      <c r="F8957" s="2066"/>
      <c r="G8957" s="2066"/>
      <c r="H8957" s="2066"/>
      <c r="I8957" s="2066"/>
      <c r="J8957" s="2066"/>
      <c r="K8957" s="2066"/>
      <c r="L8957" s="2066"/>
      <c r="M8957" s="2066"/>
      <c r="N8957" s="2066"/>
      <c r="O8957" s="2066"/>
      <c r="P8957" s="49"/>
      <c r="Q8957" s="1"/>
      <c r="R8957" s="2066"/>
      <c r="S8957" s="1"/>
      <c r="T8957" s="1"/>
      <c r="U8957" s="1"/>
      <c r="V8957" s="1"/>
      <c r="W8957" s="1"/>
      <c r="X8957" s="1"/>
      <c r="Y8957" s="1"/>
      <c r="Z8957" s="2066"/>
      <c r="AA8957" s="2066"/>
      <c r="AB8957" s="1"/>
      <c r="AC8957" s="1"/>
      <c r="AD8957" s="1"/>
      <c r="AE8957" s="1"/>
      <c r="AF8957" s="1"/>
      <c r="AG8957" s="1"/>
      <c r="AH8957" s="1"/>
      <c r="AI8957" s="1"/>
      <c r="AJ8957" s="1"/>
      <c r="AK8957" s="1"/>
      <c r="AL8957" s="1"/>
      <c r="AM8957" s="1"/>
    </row>
    <row r="8958" spans="1:39" x14ac:dyDescent="0.25">
      <c r="A8958" s="2066"/>
      <c r="B8958" s="2066"/>
      <c r="C8958" s="2066"/>
      <c r="D8958" s="2066"/>
      <c r="E8958" s="2066"/>
      <c r="F8958" s="2066"/>
      <c r="G8958" s="2066"/>
      <c r="H8958" s="2066"/>
      <c r="I8958" s="2066"/>
      <c r="J8958" s="2066"/>
      <c r="K8958" s="2066"/>
      <c r="L8958" s="2066"/>
      <c r="M8958" s="2066"/>
      <c r="N8958" s="2066"/>
      <c r="O8958" s="2066"/>
      <c r="P8958" s="49"/>
      <c r="Q8958" s="1"/>
      <c r="R8958" s="2066"/>
      <c r="S8958" s="1"/>
      <c r="T8958" s="1"/>
      <c r="U8958" s="1"/>
      <c r="V8958" s="1"/>
      <c r="W8958" s="1"/>
      <c r="X8958" s="1"/>
      <c r="Y8958" s="1"/>
      <c r="Z8958" s="2066"/>
      <c r="AA8958" s="2066"/>
      <c r="AB8958" s="1"/>
      <c r="AC8958" s="1"/>
      <c r="AD8958" s="1"/>
      <c r="AE8958" s="1"/>
      <c r="AF8958" s="1"/>
      <c r="AG8958" s="1"/>
      <c r="AH8958" s="1"/>
      <c r="AI8958" s="1"/>
      <c r="AJ8958" s="1"/>
      <c r="AK8958" s="1"/>
      <c r="AL8958" s="1"/>
      <c r="AM8958" s="1"/>
    </row>
    <row r="8959" spans="1:39" x14ac:dyDescent="0.25">
      <c r="A8959" s="2066"/>
      <c r="B8959" s="2066"/>
      <c r="C8959" s="2066"/>
      <c r="D8959" s="2066"/>
      <c r="E8959" s="2066"/>
      <c r="F8959" s="2066"/>
      <c r="G8959" s="2066"/>
      <c r="H8959" s="2066"/>
      <c r="I8959" s="2066"/>
      <c r="J8959" s="2066"/>
      <c r="K8959" s="2066"/>
      <c r="L8959" s="2066"/>
      <c r="M8959" s="2066"/>
      <c r="N8959" s="2066"/>
      <c r="O8959" s="2066"/>
      <c r="P8959" s="49"/>
      <c r="Q8959" s="1"/>
      <c r="R8959" s="2066"/>
      <c r="S8959" s="1"/>
      <c r="T8959" s="1"/>
      <c r="U8959" s="1"/>
      <c r="V8959" s="1"/>
      <c r="W8959" s="1"/>
      <c r="X8959" s="1"/>
      <c r="Y8959" s="1"/>
      <c r="Z8959" s="2066"/>
      <c r="AA8959" s="2066"/>
      <c r="AB8959" s="1"/>
      <c r="AC8959" s="1"/>
      <c r="AD8959" s="1"/>
      <c r="AE8959" s="1"/>
      <c r="AF8959" s="1"/>
      <c r="AG8959" s="1"/>
      <c r="AH8959" s="1"/>
      <c r="AI8959" s="1"/>
      <c r="AJ8959" s="1"/>
      <c r="AK8959" s="1"/>
      <c r="AL8959" s="1"/>
      <c r="AM8959" s="1"/>
    </row>
    <row r="8960" spans="1:39" x14ac:dyDescent="0.25">
      <c r="A8960" s="2066"/>
      <c r="B8960" s="2066"/>
      <c r="C8960" s="2066"/>
      <c r="D8960" s="2066"/>
      <c r="E8960" s="2066"/>
      <c r="F8960" s="2066"/>
      <c r="G8960" s="2066"/>
      <c r="H8960" s="2066"/>
      <c r="I8960" s="2066"/>
      <c r="J8960" s="2066"/>
      <c r="K8960" s="2066"/>
      <c r="L8960" s="2066"/>
      <c r="M8960" s="2066"/>
      <c r="N8960" s="2066"/>
      <c r="O8960" s="2066"/>
      <c r="P8960" s="49"/>
      <c r="Q8960" s="1"/>
      <c r="R8960" s="2066"/>
      <c r="S8960" s="1"/>
      <c r="T8960" s="1"/>
      <c r="U8960" s="1"/>
      <c r="V8960" s="1"/>
      <c r="W8960" s="1"/>
      <c r="X8960" s="1"/>
      <c r="Y8960" s="1"/>
      <c r="Z8960" s="2066"/>
      <c r="AA8960" s="2066"/>
      <c r="AB8960" s="1"/>
      <c r="AC8960" s="1"/>
      <c r="AD8960" s="1"/>
      <c r="AE8960" s="1"/>
      <c r="AF8960" s="1"/>
      <c r="AG8960" s="1"/>
      <c r="AH8960" s="1"/>
      <c r="AI8960" s="1"/>
      <c r="AJ8960" s="1"/>
      <c r="AK8960" s="1"/>
      <c r="AL8960" s="1"/>
      <c r="AM8960" s="1"/>
    </row>
    <row r="8961" spans="1:39" x14ac:dyDescent="0.25">
      <c r="A8961" s="2066"/>
      <c r="B8961" s="2066"/>
      <c r="C8961" s="2066"/>
      <c r="D8961" s="2066"/>
      <c r="E8961" s="2066"/>
      <c r="F8961" s="2066"/>
      <c r="G8961" s="2066"/>
      <c r="H8961" s="2066"/>
      <c r="I8961" s="2066"/>
      <c r="J8961" s="2066"/>
      <c r="K8961" s="2066"/>
      <c r="L8961" s="2066"/>
      <c r="M8961" s="2066"/>
      <c r="N8961" s="2066"/>
      <c r="O8961" s="2066"/>
      <c r="P8961" s="49"/>
      <c r="Q8961" s="1"/>
      <c r="R8961" s="2066"/>
      <c r="S8961" s="1"/>
      <c r="T8961" s="1"/>
      <c r="U8961" s="1"/>
      <c r="V8961" s="1"/>
      <c r="W8961" s="1"/>
      <c r="X8961" s="1"/>
      <c r="Y8961" s="1"/>
      <c r="Z8961" s="2066"/>
      <c r="AA8961" s="2066"/>
      <c r="AB8961" s="1"/>
      <c r="AC8961" s="1"/>
      <c r="AD8961" s="1"/>
      <c r="AE8961" s="1"/>
      <c r="AF8961" s="1"/>
      <c r="AG8961" s="1"/>
      <c r="AH8961" s="1"/>
      <c r="AI8961" s="1"/>
      <c r="AJ8961" s="1"/>
      <c r="AK8961" s="1"/>
      <c r="AL8961" s="1"/>
      <c r="AM8961" s="1"/>
    </row>
    <row r="8962" spans="1:39" x14ac:dyDescent="0.25">
      <c r="A8962" s="2066"/>
      <c r="B8962" s="2066"/>
      <c r="C8962" s="2066"/>
      <c r="D8962" s="2066"/>
      <c r="E8962" s="2066"/>
      <c r="F8962" s="2066"/>
      <c r="G8962" s="2066"/>
      <c r="H8962" s="2066"/>
      <c r="I8962" s="2066"/>
      <c r="J8962" s="2066"/>
      <c r="K8962" s="2066"/>
      <c r="L8962" s="2066"/>
      <c r="M8962" s="2066"/>
      <c r="N8962" s="2066"/>
      <c r="O8962" s="2066"/>
      <c r="P8962" s="49"/>
      <c r="Q8962" s="1"/>
      <c r="R8962" s="2066"/>
      <c r="S8962" s="1"/>
      <c r="T8962" s="1"/>
      <c r="U8962" s="1"/>
      <c r="V8962" s="1"/>
      <c r="W8962" s="1"/>
      <c r="X8962" s="1"/>
      <c r="Y8962" s="1"/>
      <c r="Z8962" s="2066"/>
      <c r="AA8962" s="2066"/>
      <c r="AB8962" s="1"/>
      <c r="AC8962" s="1"/>
      <c r="AD8962" s="1"/>
      <c r="AE8962" s="1"/>
      <c r="AF8962" s="1"/>
      <c r="AG8962" s="1"/>
      <c r="AH8962" s="1"/>
      <c r="AI8962" s="1"/>
      <c r="AJ8962" s="1"/>
      <c r="AK8962" s="1"/>
      <c r="AL8962" s="1"/>
      <c r="AM8962" s="1"/>
    </row>
    <row r="8963" spans="1:39" x14ac:dyDescent="0.25">
      <c r="A8963" s="2066"/>
      <c r="B8963" s="2066"/>
      <c r="C8963" s="2066"/>
      <c r="D8963" s="2066"/>
      <c r="E8963" s="2066"/>
      <c r="F8963" s="2066"/>
      <c r="G8963" s="2066"/>
      <c r="H8963" s="2066"/>
      <c r="I8963" s="2066"/>
      <c r="J8963" s="2066"/>
      <c r="K8963" s="2066"/>
      <c r="L8963" s="2066"/>
      <c r="M8963" s="2066"/>
      <c r="N8963" s="2066"/>
      <c r="O8963" s="2066"/>
      <c r="P8963" s="49"/>
      <c r="Q8963" s="1"/>
      <c r="R8963" s="2066"/>
      <c r="S8963" s="1"/>
      <c r="T8963" s="1"/>
      <c r="U8963" s="1"/>
      <c r="V8963" s="1"/>
      <c r="W8963" s="1"/>
      <c r="X8963" s="1"/>
      <c r="Y8963" s="1"/>
      <c r="Z8963" s="2066"/>
      <c r="AA8963" s="2066"/>
      <c r="AB8963" s="1"/>
      <c r="AC8963" s="1"/>
      <c r="AD8963" s="1"/>
      <c r="AE8963" s="1"/>
      <c r="AF8963" s="1"/>
      <c r="AG8963" s="1"/>
      <c r="AH8963" s="1"/>
      <c r="AI8963" s="1"/>
      <c r="AJ8963" s="1"/>
      <c r="AK8963" s="1"/>
      <c r="AL8963" s="1"/>
      <c r="AM8963" s="1"/>
    </row>
    <row r="8964" spans="1:39" x14ac:dyDescent="0.25">
      <c r="A8964" s="2066"/>
      <c r="B8964" s="2066"/>
      <c r="C8964" s="2066"/>
      <c r="D8964" s="2066"/>
      <c r="E8964" s="2066"/>
      <c r="F8964" s="2066"/>
      <c r="G8964" s="2066"/>
      <c r="H8964" s="2066"/>
      <c r="I8964" s="2066"/>
      <c r="J8964" s="2066"/>
      <c r="K8964" s="2066"/>
      <c r="L8964" s="2066"/>
      <c r="M8964" s="2066"/>
      <c r="N8964" s="2066"/>
      <c r="O8964" s="2066"/>
      <c r="P8964" s="49"/>
      <c r="Q8964" s="1"/>
      <c r="R8964" s="2066"/>
      <c r="S8964" s="1"/>
      <c r="T8964" s="1"/>
      <c r="U8964" s="1"/>
      <c r="V8964" s="1"/>
      <c r="W8964" s="1"/>
      <c r="X8964" s="1"/>
      <c r="Y8964" s="1"/>
      <c r="Z8964" s="2066"/>
      <c r="AA8964" s="2066"/>
      <c r="AB8964" s="1"/>
      <c r="AC8964" s="1"/>
      <c r="AD8964" s="1"/>
      <c r="AE8964" s="1"/>
      <c r="AF8964" s="1"/>
      <c r="AG8964" s="1"/>
      <c r="AH8964" s="1"/>
      <c r="AI8964" s="1"/>
      <c r="AJ8964" s="1"/>
      <c r="AK8964" s="1"/>
      <c r="AL8964" s="1"/>
      <c r="AM8964" s="1"/>
    </row>
    <row r="8965" spans="1:39" x14ac:dyDescent="0.25">
      <c r="A8965" s="2066"/>
      <c r="B8965" s="2066"/>
      <c r="C8965" s="2066"/>
      <c r="D8965" s="2066"/>
      <c r="E8965" s="2066"/>
      <c r="F8965" s="2066"/>
      <c r="G8965" s="2066"/>
      <c r="H8965" s="2066"/>
      <c r="I8965" s="2066"/>
      <c r="J8965" s="2066"/>
      <c r="K8965" s="2066"/>
      <c r="L8965" s="2066"/>
      <c r="M8965" s="2066"/>
      <c r="N8965" s="2066"/>
      <c r="O8965" s="2066"/>
      <c r="P8965" s="49"/>
      <c r="Q8965" s="1"/>
      <c r="R8965" s="2066"/>
      <c r="S8965" s="1"/>
      <c r="T8965" s="1"/>
      <c r="U8965" s="1"/>
      <c r="V8965" s="1"/>
      <c r="W8965" s="1"/>
      <c r="X8965" s="1"/>
      <c r="Y8965" s="1"/>
      <c r="Z8965" s="2066"/>
      <c r="AA8965" s="2066"/>
      <c r="AB8965" s="1"/>
      <c r="AC8965" s="1"/>
      <c r="AD8965" s="1"/>
      <c r="AE8965" s="1"/>
      <c r="AF8965" s="1"/>
      <c r="AG8965" s="1"/>
      <c r="AH8965" s="1"/>
      <c r="AI8965" s="1"/>
      <c r="AJ8965" s="1"/>
      <c r="AK8965" s="1"/>
      <c r="AL8965" s="1"/>
      <c r="AM8965" s="1"/>
    </row>
    <row r="8966" spans="1:39" x14ac:dyDescent="0.25">
      <c r="A8966" s="2066"/>
      <c r="B8966" s="2066"/>
      <c r="C8966" s="2066"/>
      <c r="D8966" s="2066"/>
      <c r="E8966" s="2066"/>
      <c r="F8966" s="2066"/>
      <c r="G8966" s="2066"/>
      <c r="H8966" s="2066"/>
      <c r="I8966" s="2066"/>
      <c r="J8966" s="2066"/>
      <c r="K8966" s="2066"/>
      <c r="L8966" s="2066"/>
      <c r="M8966" s="2066"/>
      <c r="N8966" s="2066"/>
      <c r="O8966" s="2066"/>
      <c r="P8966" s="49"/>
      <c r="Q8966" s="1"/>
      <c r="R8966" s="2066"/>
      <c r="S8966" s="1"/>
      <c r="T8966" s="1"/>
      <c r="U8966" s="1"/>
      <c r="V8966" s="1"/>
      <c r="W8966" s="1"/>
      <c r="X8966" s="1"/>
      <c r="Y8966" s="1"/>
      <c r="Z8966" s="2066"/>
      <c r="AA8966" s="2066"/>
      <c r="AB8966" s="1"/>
      <c r="AC8966" s="1"/>
      <c r="AD8966" s="1"/>
      <c r="AE8966" s="1"/>
      <c r="AF8966" s="1"/>
      <c r="AG8966" s="1"/>
      <c r="AH8966" s="1"/>
      <c r="AI8966" s="1"/>
      <c r="AJ8966" s="1"/>
      <c r="AK8966" s="1"/>
      <c r="AL8966" s="1"/>
      <c r="AM8966" s="1"/>
    </row>
    <row r="8967" spans="1:39" x14ac:dyDescent="0.25">
      <c r="A8967" s="2066"/>
      <c r="B8967" s="2066"/>
      <c r="C8967" s="2066"/>
      <c r="D8967" s="2066"/>
      <c r="E8967" s="2066"/>
      <c r="F8967" s="2066"/>
      <c r="G8967" s="2066"/>
      <c r="H8967" s="2066"/>
      <c r="I8967" s="2066"/>
      <c r="J8967" s="2066"/>
      <c r="K8967" s="2066"/>
      <c r="L8967" s="2066"/>
      <c r="M8967" s="2066"/>
      <c r="N8967" s="2066"/>
      <c r="O8967" s="2066"/>
      <c r="P8967" s="49"/>
      <c r="Q8967" s="1"/>
      <c r="R8967" s="2066"/>
      <c r="S8967" s="1"/>
      <c r="T8967" s="1"/>
      <c r="U8967" s="1"/>
      <c r="V8967" s="1"/>
      <c r="W8967" s="1"/>
      <c r="X8967" s="1"/>
      <c r="Y8967" s="1"/>
      <c r="Z8967" s="2066"/>
      <c r="AA8967" s="2066"/>
      <c r="AB8967" s="1"/>
      <c r="AC8967" s="1"/>
      <c r="AD8967" s="1"/>
      <c r="AE8967" s="1"/>
      <c r="AF8967" s="1"/>
      <c r="AG8967" s="1"/>
      <c r="AH8967" s="1"/>
      <c r="AI8967" s="1"/>
      <c r="AJ8967" s="1"/>
      <c r="AK8967" s="1"/>
      <c r="AL8967" s="1"/>
      <c r="AM8967" s="1"/>
    </row>
    <row r="8968" spans="1:39" x14ac:dyDescent="0.25">
      <c r="A8968" s="2066"/>
      <c r="B8968" s="2066"/>
      <c r="C8968" s="2066"/>
      <c r="D8968" s="2066"/>
      <c r="E8968" s="2066"/>
      <c r="F8968" s="2066"/>
      <c r="G8968" s="2066"/>
      <c r="H8968" s="2066"/>
      <c r="I8968" s="2066"/>
      <c r="J8968" s="2066"/>
      <c r="K8968" s="2066"/>
      <c r="L8968" s="2066"/>
      <c r="M8968" s="2066"/>
      <c r="N8968" s="2066"/>
      <c r="O8968" s="2066"/>
      <c r="P8968" s="49"/>
      <c r="Q8968" s="1"/>
      <c r="R8968" s="2066"/>
      <c r="S8968" s="1"/>
      <c r="T8968" s="1"/>
      <c r="U8968" s="1"/>
      <c r="V8968" s="1"/>
      <c r="W8968" s="1"/>
      <c r="X8968" s="1"/>
      <c r="Y8968" s="1"/>
      <c r="Z8968" s="2066"/>
      <c r="AA8968" s="2066"/>
      <c r="AB8968" s="1"/>
      <c r="AC8968" s="1"/>
      <c r="AD8968" s="1"/>
      <c r="AE8968" s="1"/>
      <c r="AF8968" s="1"/>
      <c r="AG8968" s="1"/>
      <c r="AH8968" s="1"/>
      <c r="AI8968" s="1"/>
      <c r="AJ8968" s="1"/>
      <c r="AK8968" s="1"/>
      <c r="AL8968" s="1"/>
      <c r="AM8968" s="1"/>
    </row>
    <row r="8969" spans="1:39" x14ac:dyDescent="0.25">
      <c r="A8969" s="2066"/>
      <c r="B8969" s="2066"/>
      <c r="C8969" s="2066"/>
      <c r="D8969" s="2066"/>
      <c r="E8969" s="2066"/>
      <c r="F8969" s="2066"/>
      <c r="G8969" s="2066"/>
      <c r="H8969" s="2066"/>
      <c r="I8969" s="2066"/>
      <c r="J8969" s="2066"/>
      <c r="K8969" s="2066"/>
      <c r="L8969" s="2066"/>
      <c r="M8969" s="2066"/>
      <c r="N8969" s="2066"/>
      <c r="O8969" s="2066"/>
      <c r="P8969" s="49"/>
      <c r="Q8969" s="1"/>
      <c r="R8969" s="2066"/>
      <c r="S8969" s="1"/>
      <c r="T8969" s="1"/>
      <c r="U8969" s="1"/>
      <c r="V8969" s="1"/>
      <c r="W8969" s="1"/>
      <c r="X8969" s="1"/>
      <c r="Y8969" s="1"/>
      <c r="Z8969" s="2066"/>
      <c r="AA8969" s="2066"/>
      <c r="AB8969" s="1"/>
      <c r="AC8969" s="1"/>
      <c r="AD8969" s="1"/>
      <c r="AE8969" s="1"/>
      <c r="AF8969" s="1"/>
      <c r="AG8969" s="1"/>
      <c r="AH8969" s="1"/>
      <c r="AI8969" s="1"/>
      <c r="AJ8969" s="1"/>
      <c r="AK8969" s="1"/>
      <c r="AL8969" s="1"/>
      <c r="AM8969" s="1"/>
    </row>
    <row r="8970" spans="1:39" x14ac:dyDescent="0.25">
      <c r="A8970" s="2066"/>
      <c r="B8970" s="2066"/>
      <c r="C8970" s="2066"/>
      <c r="D8970" s="2066"/>
      <c r="E8970" s="2066"/>
      <c r="F8970" s="2066"/>
      <c r="G8970" s="2066"/>
      <c r="H8970" s="2066"/>
      <c r="I8970" s="2066"/>
      <c r="J8970" s="2066"/>
      <c r="K8970" s="2066"/>
      <c r="L8970" s="2066"/>
      <c r="M8970" s="2066"/>
      <c r="N8970" s="2066"/>
      <c r="O8970" s="2066"/>
      <c r="P8970" s="49"/>
      <c r="Q8970" s="1"/>
      <c r="R8970" s="2066"/>
      <c r="S8970" s="1"/>
      <c r="T8970" s="1"/>
      <c r="U8970" s="1"/>
      <c r="V8970" s="1"/>
      <c r="W8970" s="1"/>
      <c r="X8970" s="1"/>
      <c r="Y8970" s="1"/>
      <c r="Z8970" s="2066"/>
      <c r="AA8970" s="2066"/>
      <c r="AB8970" s="1"/>
      <c r="AC8970" s="1"/>
      <c r="AD8970" s="1"/>
      <c r="AE8970" s="1"/>
      <c r="AF8970" s="1"/>
      <c r="AG8970" s="1"/>
      <c r="AH8970" s="1"/>
      <c r="AI8970" s="1"/>
      <c r="AJ8970" s="1"/>
      <c r="AK8970" s="1"/>
      <c r="AL8970" s="1"/>
      <c r="AM8970" s="1"/>
    </row>
    <row r="8971" spans="1:39" x14ac:dyDescent="0.25">
      <c r="A8971" s="2066"/>
      <c r="B8971" s="2066"/>
      <c r="C8971" s="2066"/>
      <c r="D8971" s="2066"/>
      <c r="E8971" s="2066"/>
      <c r="F8971" s="2066"/>
      <c r="G8971" s="2066"/>
      <c r="H8971" s="2066"/>
      <c r="I8971" s="2066"/>
      <c r="J8971" s="2066"/>
      <c r="K8971" s="2066"/>
      <c r="L8971" s="2066"/>
      <c r="M8971" s="2066"/>
      <c r="N8971" s="2066"/>
      <c r="O8971" s="2066"/>
      <c r="P8971" s="49"/>
      <c r="Q8971" s="1"/>
      <c r="R8971" s="2066"/>
      <c r="S8971" s="1"/>
      <c r="T8971" s="1"/>
      <c r="U8971" s="1"/>
      <c r="V8971" s="1"/>
      <c r="W8971" s="1"/>
      <c r="X8971" s="1"/>
      <c r="Y8971" s="1"/>
      <c r="Z8971" s="2066"/>
      <c r="AA8971" s="2066"/>
      <c r="AB8971" s="1"/>
      <c r="AC8971" s="1"/>
      <c r="AD8971" s="1"/>
      <c r="AE8971" s="1"/>
      <c r="AF8971" s="1"/>
      <c r="AG8971" s="1"/>
      <c r="AH8971" s="1"/>
      <c r="AI8971" s="1"/>
      <c r="AJ8971" s="1"/>
      <c r="AK8971" s="1"/>
      <c r="AL8971" s="1"/>
      <c r="AM8971" s="1"/>
    </row>
    <row r="8972" spans="1:39" x14ac:dyDescent="0.25">
      <c r="A8972" s="2066"/>
      <c r="B8972" s="2066"/>
      <c r="C8972" s="2066"/>
      <c r="D8972" s="2066"/>
      <c r="E8972" s="2066"/>
      <c r="F8972" s="2066"/>
      <c r="G8972" s="2066"/>
      <c r="H8972" s="2066"/>
      <c r="I8972" s="2066"/>
      <c r="J8972" s="2066"/>
      <c r="K8972" s="2066"/>
      <c r="L8972" s="2066"/>
      <c r="M8972" s="2066"/>
      <c r="N8972" s="2066"/>
      <c r="O8972" s="2066"/>
      <c r="P8972" s="49"/>
      <c r="Q8972" s="1"/>
      <c r="R8972" s="2066"/>
      <c r="S8972" s="1"/>
      <c r="T8972" s="1"/>
      <c r="U8972" s="1"/>
      <c r="V8972" s="1"/>
      <c r="W8972" s="1"/>
      <c r="X8972" s="1"/>
      <c r="Y8972" s="1"/>
      <c r="Z8972" s="2066"/>
      <c r="AA8972" s="2066"/>
      <c r="AB8972" s="1"/>
      <c r="AC8972" s="1"/>
      <c r="AD8972" s="1"/>
      <c r="AE8972" s="1"/>
      <c r="AF8972" s="1"/>
      <c r="AG8972" s="1"/>
      <c r="AH8972" s="1"/>
      <c r="AI8972" s="1"/>
      <c r="AJ8972" s="1"/>
      <c r="AK8972" s="1"/>
      <c r="AL8972" s="1"/>
      <c r="AM8972" s="1"/>
    </row>
    <row r="8973" spans="1:39" x14ac:dyDescent="0.25">
      <c r="A8973" s="2066"/>
      <c r="B8973" s="2066"/>
      <c r="C8973" s="2066"/>
      <c r="D8973" s="2066"/>
      <c r="E8973" s="2066"/>
      <c r="F8973" s="2066"/>
      <c r="G8973" s="2066"/>
      <c r="H8973" s="2066"/>
      <c r="I8973" s="2066"/>
      <c r="J8973" s="2066"/>
      <c r="K8973" s="2066"/>
      <c r="L8973" s="2066"/>
      <c r="M8973" s="2066"/>
      <c r="N8973" s="2066"/>
      <c r="O8973" s="2066"/>
      <c r="P8973" s="49"/>
      <c r="Q8973" s="1"/>
      <c r="R8973" s="2066"/>
      <c r="S8973" s="1"/>
      <c r="T8973" s="1"/>
      <c r="U8973" s="1"/>
      <c r="V8973" s="1"/>
      <c r="W8973" s="1"/>
      <c r="X8973" s="1"/>
      <c r="Y8973" s="1"/>
      <c r="Z8973" s="2066"/>
      <c r="AA8973" s="2066"/>
      <c r="AB8973" s="1"/>
      <c r="AC8973" s="1"/>
      <c r="AD8973" s="1"/>
      <c r="AE8973" s="1"/>
      <c r="AF8973" s="1"/>
      <c r="AG8973" s="1"/>
      <c r="AH8973" s="1"/>
      <c r="AI8973" s="1"/>
      <c r="AJ8973" s="1"/>
      <c r="AK8973" s="1"/>
      <c r="AL8973" s="1"/>
      <c r="AM8973" s="1"/>
    </row>
    <row r="8974" spans="1:39" x14ac:dyDescent="0.25">
      <c r="A8974" s="2066"/>
      <c r="B8974" s="2066"/>
      <c r="C8974" s="2066"/>
      <c r="D8974" s="2066"/>
      <c r="E8974" s="2066"/>
      <c r="F8974" s="2066"/>
      <c r="G8974" s="2066"/>
      <c r="H8974" s="2066"/>
      <c r="I8974" s="2066"/>
      <c r="J8974" s="2066"/>
      <c r="K8974" s="2066"/>
      <c r="L8974" s="2066"/>
      <c r="M8974" s="2066"/>
      <c r="N8974" s="2066"/>
      <c r="O8974" s="2066"/>
      <c r="P8974" s="49"/>
      <c r="Q8974" s="1"/>
      <c r="R8974" s="2066"/>
      <c r="S8974" s="1"/>
      <c r="T8974" s="1"/>
      <c r="U8974" s="1"/>
      <c r="V8974" s="1"/>
      <c r="W8974" s="1"/>
      <c r="X8974" s="1"/>
      <c r="Y8974" s="1"/>
      <c r="Z8974" s="2066"/>
      <c r="AA8974" s="2066"/>
      <c r="AB8974" s="1"/>
      <c r="AC8974" s="1"/>
      <c r="AD8974" s="1"/>
      <c r="AE8974" s="1"/>
      <c r="AF8974" s="1"/>
      <c r="AG8974" s="1"/>
      <c r="AH8974" s="1"/>
      <c r="AI8974" s="1"/>
      <c r="AJ8974" s="1"/>
      <c r="AK8974" s="1"/>
      <c r="AL8974" s="1"/>
      <c r="AM8974" s="1"/>
    </row>
    <row r="8975" spans="1:39" x14ac:dyDescent="0.25">
      <c r="A8975" s="2066"/>
      <c r="B8975" s="2066"/>
      <c r="C8975" s="2066"/>
      <c r="D8975" s="2066"/>
      <c r="E8975" s="2066"/>
      <c r="F8975" s="2066"/>
      <c r="G8975" s="2066"/>
      <c r="H8975" s="2066"/>
      <c r="I8975" s="2066"/>
      <c r="J8975" s="2066"/>
      <c r="K8975" s="2066"/>
      <c r="L8975" s="2066"/>
      <c r="M8975" s="2066"/>
      <c r="N8975" s="2066"/>
      <c r="O8975" s="2066"/>
      <c r="P8975" s="49"/>
      <c r="Q8975" s="1"/>
      <c r="R8975" s="2066"/>
      <c r="S8975" s="1"/>
      <c r="T8975" s="1"/>
      <c r="U8975" s="1"/>
      <c r="V8975" s="1"/>
      <c r="W8975" s="1"/>
      <c r="X8975" s="1"/>
      <c r="Y8975" s="1"/>
      <c r="Z8975" s="2066"/>
      <c r="AA8975" s="2066"/>
      <c r="AB8975" s="1"/>
      <c r="AC8975" s="1"/>
      <c r="AD8975" s="1"/>
      <c r="AE8975" s="1"/>
      <c r="AF8975" s="1"/>
      <c r="AG8975" s="1"/>
      <c r="AH8975" s="1"/>
      <c r="AI8975" s="1"/>
      <c r="AJ8975" s="1"/>
      <c r="AK8975" s="1"/>
      <c r="AL8975" s="1"/>
      <c r="AM8975" s="1"/>
    </row>
    <row r="8976" spans="1:39" x14ac:dyDescent="0.25">
      <c r="A8976" s="2066"/>
      <c r="B8976" s="2066"/>
      <c r="C8976" s="2066"/>
      <c r="D8976" s="2066"/>
      <c r="E8976" s="2066"/>
      <c r="F8976" s="2066"/>
      <c r="G8976" s="2066"/>
      <c r="H8976" s="2066"/>
      <c r="I8976" s="2066"/>
      <c r="J8976" s="2066"/>
      <c r="K8976" s="2066"/>
      <c r="L8976" s="2066"/>
      <c r="M8976" s="2066"/>
      <c r="N8976" s="2066"/>
      <c r="O8976" s="2066"/>
      <c r="P8976" s="49"/>
      <c r="Q8976" s="1"/>
      <c r="R8976" s="2066"/>
      <c r="S8976" s="1"/>
      <c r="T8976" s="1"/>
      <c r="U8976" s="1"/>
      <c r="V8976" s="1"/>
      <c r="W8976" s="1"/>
      <c r="X8976" s="1"/>
      <c r="Y8976" s="1"/>
      <c r="Z8976" s="2066"/>
      <c r="AA8976" s="2066"/>
      <c r="AB8976" s="1"/>
      <c r="AC8976" s="1"/>
      <c r="AD8976" s="1"/>
      <c r="AE8976" s="1"/>
      <c r="AF8976" s="1"/>
      <c r="AG8976" s="1"/>
      <c r="AH8976" s="1"/>
      <c r="AI8976" s="1"/>
      <c r="AJ8976" s="1"/>
      <c r="AK8976" s="1"/>
      <c r="AL8976" s="1"/>
      <c r="AM8976" s="1"/>
    </row>
    <row r="8977" spans="1:39" x14ac:dyDescent="0.25">
      <c r="A8977" s="2066"/>
      <c r="B8977" s="2066"/>
      <c r="C8977" s="2066"/>
      <c r="D8977" s="2066"/>
      <c r="E8977" s="2066"/>
      <c r="F8977" s="2066"/>
      <c r="G8977" s="2066"/>
      <c r="H8977" s="2066"/>
      <c r="I8977" s="2066"/>
      <c r="J8977" s="2066"/>
      <c r="K8977" s="2066"/>
      <c r="L8977" s="2066"/>
      <c r="M8977" s="2066"/>
      <c r="N8977" s="2066"/>
      <c r="O8977" s="2066"/>
      <c r="P8977" s="49"/>
      <c r="Q8977" s="1"/>
      <c r="R8977" s="2066"/>
      <c r="S8977" s="1"/>
      <c r="T8977" s="1"/>
      <c r="U8977" s="1"/>
      <c r="V8977" s="1"/>
      <c r="W8977" s="1"/>
      <c r="X8977" s="1"/>
      <c r="Y8977" s="1"/>
      <c r="Z8977" s="2066"/>
      <c r="AA8977" s="2066"/>
      <c r="AB8977" s="1"/>
      <c r="AC8977" s="1"/>
      <c r="AD8977" s="1"/>
      <c r="AE8977" s="1"/>
      <c r="AF8977" s="1"/>
      <c r="AG8977" s="1"/>
      <c r="AH8977" s="1"/>
      <c r="AI8977" s="1"/>
      <c r="AJ8977" s="1"/>
      <c r="AK8977" s="1"/>
      <c r="AL8977" s="1"/>
      <c r="AM8977" s="1"/>
    </row>
    <row r="8978" spans="1:39" x14ac:dyDescent="0.25">
      <c r="A8978" s="2066"/>
      <c r="B8978" s="2066"/>
      <c r="C8978" s="2066"/>
      <c r="D8978" s="2066"/>
      <c r="E8978" s="2066"/>
      <c r="F8978" s="2066"/>
      <c r="G8978" s="2066"/>
      <c r="H8978" s="2066"/>
      <c r="I8978" s="2066"/>
      <c r="J8978" s="2066"/>
      <c r="K8978" s="2066"/>
      <c r="L8978" s="2066"/>
      <c r="M8978" s="2066"/>
      <c r="N8978" s="2066"/>
      <c r="O8978" s="2066"/>
      <c r="P8978" s="49"/>
      <c r="Q8978" s="1"/>
      <c r="R8978" s="2066"/>
      <c r="S8978" s="1"/>
      <c r="T8978" s="1"/>
      <c r="U8978" s="1"/>
      <c r="V8978" s="1"/>
      <c r="W8978" s="1"/>
      <c r="X8978" s="1"/>
      <c r="Y8978" s="1"/>
      <c r="Z8978" s="2066"/>
      <c r="AA8978" s="2066"/>
      <c r="AB8978" s="1"/>
      <c r="AC8978" s="1"/>
      <c r="AD8978" s="1"/>
      <c r="AE8978" s="1"/>
      <c r="AF8978" s="1"/>
      <c r="AG8978" s="1"/>
      <c r="AH8978" s="1"/>
      <c r="AI8978" s="1"/>
      <c r="AJ8978" s="1"/>
      <c r="AK8978" s="1"/>
      <c r="AL8978" s="1"/>
      <c r="AM8978" s="1"/>
    </row>
    <row r="8979" spans="1:39" x14ac:dyDescent="0.25">
      <c r="A8979" s="2066"/>
      <c r="B8979" s="2066"/>
      <c r="C8979" s="2066"/>
      <c r="D8979" s="2066"/>
      <c r="E8979" s="2066"/>
      <c r="F8979" s="2066"/>
      <c r="G8979" s="2066"/>
      <c r="H8979" s="2066"/>
      <c r="I8979" s="2066"/>
      <c r="J8979" s="2066"/>
      <c r="K8979" s="2066"/>
      <c r="L8979" s="2066"/>
      <c r="M8979" s="2066"/>
      <c r="N8979" s="2066"/>
      <c r="O8979" s="2066"/>
      <c r="P8979" s="49"/>
      <c r="Q8979" s="1"/>
      <c r="R8979" s="2066"/>
      <c r="S8979" s="1"/>
      <c r="T8979" s="1"/>
      <c r="U8979" s="1"/>
      <c r="V8979" s="1"/>
      <c r="W8979" s="1"/>
      <c r="X8979" s="1"/>
      <c r="Y8979" s="1"/>
      <c r="Z8979" s="2066"/>
      <c r="AA8979" s="2066"/>
      <c r="AB8979" s="1"/>
      <c r="AC8979" s="1"/>
      <c r="AD8979" s="1"/>
      <c r="AE8979" s="1"/>
      <c r="AF8979" s="1"/>
      <c r="AG8979" s="1"/>
      <c r="AH8979" s="1"/>
      <c r="AI8979" s="1"/>
      <c r="AJ8979" s="1"/>
      <c r="AK8979" s="1"/>
      <c r="AL8979" s="1"/>
      <c r="AM8979" s="1"/>
    </row>
    <row r="8980" spans="1:39" x14ac:dyDescent="0.25">
      <c r="A8980" s="2066"/>
      <c r="B8980" s="2066"/>
      <c r="C8980" s="2066"/>
      <c r="D8980" s="2066"/>
      <c r="E8980" s="2066"/>
      <c r="F8980" s="2066"/>
      <c r="G8980" s="2066"/>
      <c r="H8980" s="2066"/>
      <c r="I8980" s="2066"/>
      <c r="J8980" s="2066"/>
      <c r="K8980" s="2066"/>
      <c r="L8980" s="2066"/>
      <c r="M8980" s="2066"/>
      <c r="N8980" s="2066"/>
      <c r="O8980" s="2066"/>
      <c r="P8980" s="49"/>
      <c r="Q8980" s="1"/>
      <c r="R8980" s="2066"/>
      <c r="S8980" s="1"/>
      <c r="T8980" s="1"/>
      <c r="U8980" s="1"/>
      <c r="V8980" s="1"/>
      <c r="W8980" s="1"/>
      <c r="X8980" s="1"/>
      <c r="Y8980" s="1"/>
      <c r="Z8980" s="2066"/>
      <c r="AA8980" s="2066"/>
      <c r="AB8980" s="1"/>
      <c r="AC8980" s="1"/>
      <c r="AD8980" s="1"/>
      <c r="AE8980" s="1"/>
      <c r="AF8980" s="1"/>
      <c r="AG8980" s="1"/>
      <c r="AH8980" s="1"/>
      <c r="AI8980" s="1"/>
      <c r="AJ8980" s="1"/>
      <c r="AK8980" s="1"/>
      <c r="AL8980" s="1"/>
      <c r="AM8980" s="1"/>
    </row>
    <row r="8981" spans="1:39" x14ac:dyDescent="0.25">
      <c r="A8981" s="2066"/>
      <c r="B8981" s="2066"/>
      <c r="C8981" s="2066"/>
      <c r="D8981" s="2066"/>
      <c r="E8981" s="2066"/>
      <c r="F8981" s="2066"/>
      <c r="G8981" s="2066"/>
      <c r="H8981" s="2066"/>
      <c r="I8981" s="2066"/>
      <c r="J8981" s="2066"/>
      <c r="K8981" s="2066"/>
      <c r="L8981" s="2066"/>
      <c r="M8981" s="2066"/>
      <c r="N8981" s="2066"/>
      <c r="O8981" s="2066"/>
      <c r="P8981" s="49"/>
      <c r="Q8981" s="1"/>
      <c r="R8981" s="2066"/>
      <c r="S8981" s="1"/>
      <c r="T8981" s="1"/>
      <c r="U8981" s="1"/>
      <c r="V8981" s="1"/>
      <c r="W8981" s="1"/>
      <c r="X8981" s="1"/>
      <c r="Y8981" s="1"/>
      <c r="Z8981" s="2066"/>
      <c r="AA8981" s="2066"/>
      <c r="AB8981" s="1"/>
      <c r="AC8981" s="1"/>
      <c r="AD8981" s="1"/>
      <c r="AE8981" s="1"/>
      <c r="AF8981" s="1"/>
      <c r="AG8981" s="1"/>
      <c r="AH8981" s="1"/>
      <c r="AI8981" s="1"/>
      <c r="AJ8981" s="1"/>
      <c r="AK8981" s="1"/>
      <c r="AL8981" s="1"/>
      <c r="AM8981" s="1"/>
    </row>
    <row r="8982" spans="1:39" x14ac:dyDescent="0.25">
      <c r="A8982" s="2066"/>
      <c r="B8982" s="2066"/>
      <c r="C8982" s="2066"/>
      <c r="D8982" s="2066"/>
      <c r="E8982" s="2066"/>
      <c r="F8982" s="2066"/>
      <c r="G8982" s="2066"/>
      <c r="H8982" s="2066"/>
      <c r="I8982" s="2066"/>
      <c r="J8982" s="2066"/>
      <c r="K8982" s="2066"/>
      <c r="L8982" s="2066"/>
      <c r="M8982" s="2066"/>
      <c r="N8982" s="2066"/>
      <c r="O8982" s="2066"/>
      <c r="P8982" s="49"/>
      <c r="Q8982" s="1"/>
      <c r="R8982" s="2066"/>
      <c r="S8982" s="1"/>
      <c r="T8982" s="1"/>
      <c r="U8982" s="1"/>
      <c r="V8982" s="1"/>
      <c r="W8982" s="1"/>
      <c r="X8982" s="1"/>
      <c r="Y8982" s="1"/>
      <c r="Z8982" s="2066"/>
      <c r="AA8982" s="2066"/>
      <c r="AB8982" s="1"/>
      <c r="AC8982" s="1"/>
      <c r="AD8982" s="1"/>
      <c r="AE8982" s="1"/>
      <c r="AF8982" s="1"/>
      <c r="AG8982" s="1"/>
      <c r="AH8982" s="1"/>
      <c r="AI8982" s="1"/>
      <c r="AJ8982" s="1"/>
      <c r="AK8982" s="1"/>
      <c r="AL8982" s="1"/>
      <c r="AM8982" s="1"/>
    </row>
    <row r="8983" spans="1:39" x14ac:dyDescent="0.25">
      <c r="A8983" s="2066"/>
      <c r="B8983" s="2066"/>
      <c r="C8983" s="2066"/>
      <c r="D8983" s="2066"/>
      <c r="E8983" s="2066"/>
      <c r="F8983" s="2066"/>
      <c r="G8983" s="2066"/>
      <c r="H8983" s="2066"/>
      <c r="I8983" s="2066"/>
      <c r="J8983" s="2066"/>
      <c r="K8983" s="2066"/>
      <c r="L8983" s="2066"/>
      <c r="M8983" s="2066"/>
      <c r="N8983" s="2066"/>
      <c r="O8983" s="2066"/>
      <c r="P8983" s="49"/>
      <c r="Q8983" s="1"/>
      <c r="R8983" s="2066"/>
      <c r="S8983" s="1"/>
      <c r="T8983" s="1"/>
      <c r="U8983" s="1"/>
      <c r="V8983" s="1"/>
      <c r="W8983" s="1"/>
      <c r="X8983" s="1"/>
      <c r="Y8983" s="1"/>
      <c r="Z8983" s="2066"/>
      <c r="AA8983" s="2066"/>
      <c r="AB8983" s="1"/>
      <c r="AC8983" s="1"/>
      <c r="AD8983" s="1"/>
      <c r="AE8983" s="1"/>
      <c r="AF8983" s="1"/>
      <c r="AG8983" s="1"/>
      <c r="AH8983" s="1"/>
      <c r="AI8983" s="1"/>
      <c r="AJ8983" s="1"/>
      <c r="AK8983" s="1"/>
      <c r="AL8983" s="1"/>
      <c r="AM8983" s="1"/>
    </row>
    <row r="8984" spans="1:39" x14ac:dyDescent="0.25">
      <c r="A8984" s="2066"/>
      <c r="B8984" s="2066"/>
      <c r="C8984" s="2066"/>
      <c r="D8984" s="2066"/>
      <c r="E8984" s="2066"/>
      <c r="F8984" s="2066"/>
      <c r="G8984" s="2066"/>
      <c r="H8984" s="2066"/>
      <c r="I8984" s="2066"/>
      <c r="J8984" s="2066"/>
      <c r="K8984" s="2066"/>
      <c r="L8984" s="2066"/>
      <c r="M8984" s="2066"/>
      <c r="N8984" s="2066"/>
      <c r="O8984" s="2066"/>
      <c r="P8984" s="49"/>
      <c r="Q8984" s="1"/>
      <c r="R8984" s="2066"/>
      <c r="S8984" s="1"/>
      <c r="T8984" s="1"/>
      <c r="U8984" s="1"/>
      <c r="V8984" s="1"/>
      <c r="W8984" s="1"/>
      <c r="X8984" s="1"/>
      <c r="Y8984" s="1"/>
      <c r="Z8984" s="2066"/>
      <c r="AA8984" s="2066"/>
      <c r="AB8984" s="1"/>
      <c r="AC8984" s="1"/>
      <c r="AD8984" s="1"/>
      <c r="AE8984" s="1"/>
      <c r="AF8984" s="1"/>
      <c r="AG8984" s="1"/>
      <c r="AH8984" s="1"/>
      <c r="AI8984" s="1"/>
      <c r="AJ8984" s="1"/>
      <c r="AK8984" s="1"/>
      <c r="AL8984" s="1"/>
      <c r="AM8984" s="1"/>
    </row>
    <row r="8985" spans="1:39" x14ac:dyDescent="0.25">
      <c r="A8985" s="2066"/>
      <c r="B8985" s="2066"/>
      <c r="C8985" s="2066"/>
      <c r="D8985" s="2066"/>
      <c r="E8985" s="2066"/>
      <c r="F8985" s="2066"/>
      <c r="G8985" s="2066"/>
      <c r="H8985" s="2066"/>
      <c r="I8985" s="2066"/>
      <c r="J8985" s="2066"/>
      <c r="K8985" s="2066"/>
      <c r="L8985" s="2066"/>
      <c r="M8985" s="2066"/>
      <c r="N8985" s="2066"/>
      <c r="O8985" s="2066"/>
      <c r="P8985" s="49"/>
      <c r="Q8985" s="1"/>
      <c r="R8985" s="2066"/>
      <c r="S8985" s="1"/>
      <c r="T8985" s="1"/>
      <c r="U8985" s="1"/>
      <c r="V8985" s="1"/>
      <c r="W8985" s="1"/>
      <c r="X8985" s="1"/>
      <c r="Y8985" s="1"/>
      <c r="Z8985" s="2066"/>
      <c r="AA8985" s="2066"/>
      <c r="AB8985" s="1"/>
      <c r="AC8985" s="1"/>
      <c r="AD8985" s="1"/>
      <c r="AE8985" s="1"/>
      <c r="AF8985" s="1"/>
      <c r="AG8985" s="1"/>
      <c r="AH8985" s="1"/>
      <c r="AI8985" s="1"/>
      <c r="AJ8985" s="1"/>
      <c r="AK8985" s="1"/>
      <c r="AL8985" s="1"/>
      <c r="AM8985" s="1"/>
    </row>
    <row r="8986" spans="1:39" x14ac:dyDescent="0.25">
      <c r="A8986" s="2066"/>
      <c r="B8986" s="2066"/>
      <c r="C8986" s="2066"/>
      <c r="D8986" s="2066"/>
      <c r="E8986" s="2066"/>
      <c r="F8986" s="2066"/>
      <c r="G8986" s="2066"/>
      <c r="H8986" s="2066"/>
      <c r="I8986" s="2066"/>
      <c r="J8986" s="2066"/>
      <c r="K8986" s="2066"/>
      <c r="L8986" s="2066"/>
      <c r="M8986" s="2066"/>
      <c r="N8986" s="2066"/>
      <c r="O8986" s="2066"/>
      <c r="P8986" s="49"/>
      <c r="Q8986" s="1"/>
      <c r="R8986" s="2066"/>
      <c r="S8986" s="1"/>
      <c r="T8986" s="1"/>
      <c r="U8986" s="1"/>
      <c r="V8986" s="1"/>
      <c r="W8986" s="1"/>
      <c r="X8986" s="1"/>
      <c r="Y8986" s="1"/>
      <c r="Z8986" s="2066"/>
      <c r="AA8986" s="2066"/>
      <c r="AB8986" s="1"/>
      <c r="AC8986" s="1"/>
      <c r="AD8986" s="1"/>
      <c r="AE8986" s="1"/>
      <c r="AF8986" s="1"/>
      <c r="AG8986" s="1"/>
      <c r="AH8986" s="1"/>
      <c r="AI8986" s="1"/>
      <c r="AJ8986" s="1"/>
      <c r="AK8986" s="1"/>
      <c r="AL8986" s="1"/>
      <c r="AM8986" s="1"/>
    </row>
    <row r="8987" spans="1:39" x14ac:dyDescent="0.25">
      <c r="A8987" s="2066"/>
      <c r="B8987" s="2066"/>
      <c r="C8987" s="2066"/>
      <c r="D8987" s="2066"/>
      <c r="E8987" s="2066"/>
      <c r="F8987" s="2066"/>
      <c r="G8987" s="2066"/>
      <c r="H8987" s="2066"/>
      <c r="I8987" s="2066"/>
      <c r="J8987" s="2066"/>
      <c r="K8987" s="2066"/>
      <c r="L8987" s="2066"/>
      <c r="M8987" s="2066"/>
      <c r="N8987" s="2066"/>
      <c r="O8987" s="2066"/>
      <c r="P8987" s="49"/>
      <c r="Q8987" s="1"/>
      <c r="R8987" s="2066"/>
      <c r="S8987" s="1"/>
      <c r="T8987" s="1"/>
      <c r="U8987" s="1"/>
      <c r="V8987" s="1"/>
      <c r="W8987" s="1"/>
      <c r="X8987" s="1"/>
      <c r="Y8987" s="1"/>
      <c r="Z8987" s="2066"/>
      <c r="AA8987" s="2066"/>
      <c r="AB8987" s="1"/>
      <c r="AC8987" s="1"/>
      <c r="AD8987" s="1"/>
      <c r="AE8987" s="1"/>
      <c r="AF8987" s="1"/>
      <c r="AG8987" s="1"/>
      <c r="AH8987" s="1"/>
      <c r="AI8987" s="1"/>
      <c r="AJ8987" s="1"/>
      <c r="AK8987" s="1"/>
      <c r="AL8987" s="1"/>
      <c r="AM8987" s="1"/>
    </row>
    <row r="8988" spans="1:39" x14ac:dyDescent="0.25">
      <c r="A8988" s="2066"/>
      <c r="B8988" s="2066"/>
      <c r="C8988" s="2066"/>
      <c r="D8988" s="2066"/>
      <c r="E8988" s="2066"/>
      <c r="F8988" s="2066"/>
      <c r="G8988" s="2066"/>
      <c r="H8988" s="2066"/>
      <c r="I8988" s="2066"/>
      <c r="J8988" s="2066"/>
      <c r="K8988" s="2066"/>
      <c r="L8988" s="2066"/>
      <c r="M8988" s="2066"/>
      <c r="N8988" s="2066"/>
      <c r="O8988" s="2066"/>
      <c r="P8988" s="49"/>
      <c r="Q8988" s="1"/>
      <c r="R8988" s="2066"/>
      <c r="S8988" s="1"/>
      <c r="T8988" s="1"/>
      <c r="U8988" s="1"/>
      <c r="V8988" s="1"/>
      <c r="W8988" s="1"/>
      <c r="X8988" s="1"/>
      <c r="Y8988" s="1"/>
      <c r="Z8988" s="2066"/>
      <c r="AA8988" s="2066"/>
      <c r="AB8988" s="1"/>
      <c r="AC8988" s="1"/>
      <c r="AD8988" s="1"/>
      <c r="AE8988" s="1"/>
      <c r="AF8988" s="1"/>
      <c r="AG8988" s="1"/>
      <c r="AH8988" s="1"/>
      <c r="AI8988" s="1"/>
      <c r="AJ8988" s="1"/>
      <c r="AK8988" s="1"/>
      <c r="AL8988" s="1"/>
      <c r="AM8988" s="1"/>
    </row>
    <row r="8989" spans="1:39" x14ac:dyDescent="0.25">
      <c r="A8989" s="2066"/>
      <c r="B8989" s="2066"/>
      <c r="C8989" s="2066"/>
      <c r="D8989" s="2066"/>
      <c r="E8989" s="2066"/>
      <c r="F8989" s="2066"/>
      <c r="G8989" s="2066"/>
      <c r="H8989" s="2066"/>
      <c r="I8989" s="2066"/>
      <c r="J8989" s="2066"/>
      <c r="K8989" s="2066"/>
      <c r="L8989" s="2066"/>
      <c r="M8989" s="2066"/>
      <c r="N8989" s="2066"/>
      <c r="O8989" s="2066"/>
      <c r="P8989" s="49"/>
      <c r="Q8989" s="1"/>
      <c r="R8989" s="2066"/>
      <c r="S8989" s="1"/>
      <c r="T8989" s="1"/>
      <c r="U8989" s="1"/>
      <c r="V8989" s="1"/>
      <c r="W8989" s="1"/>
      <c r="X8989" s="1"/>
      <c r="Y8989" s="1"/>
      <c r="Z8989" s="2066"/>
      <c r="AA8989" s="2066"/>
      <c r="AB8989" s="1"/>
      <c r="AC8989" s="1"/>
      <c r="AD8989" s="1"/>
      <c r="AE8989" s="1"/>
      <c r="AF8989" s="1"/>
      <c r="AG8989" s="1"/>
      <c r="AH8989" s="1"/>
      <c r="AI8989" s="1"/>
      <c r="AJ8989" s="1"/>
      <c r="AK8989" s="1"/>
      <c r="AL8989" s="1"/>
      <c r="AM8989" s="1"/>
    </row>
    <row r="8990" spans="1:39" x14ac:dyDescent="0.25">
      <c r="A8990" s="2066"/>
      <c r="B8990" s="2066"/>
      <c r="C8990" s="2066"/>
      <c r="D8990" s="2066"/>
      <c r="E8990" s="2066"/>
      <c r="F8990" s="2066"/>
      <c r="G8990" s="2066"/>
      <c r="H8990" s="2066"/>
      <c r="I8990" s="2066"/>
      <c r="J8990" s="2066"/>
      <c r="K8990" s="2066"/>
      <c r="L8990" s="2066"/>
      <c r="M8990" s="2066"/>
      <c r="N8990" s="2066"/>
      <c r="O8990" s="2066"/>
      <c r="P8990" s="49"/>
      <c r="Q8990" s="1"/>
      <c r="R8990" s="2066"/>
      <c r="S8990" s="1"/>
      <c r="T8990" s="1"/>
      <c r="U8990" s="1"/>
      <c r="V8990" s="1"/>
      <c r="W8990" s="1"/>
      <c r="X8990" s="1"/>
      <c r="Y8990" s="1"/>
      <c r="Z8990" s="2066"/>
      <c r="AA8990" s="2066"/>
      <c r="AB8990" s="1"/>
      <c r="AC8990" s="1"/>
      <c r="AD8990" s="1"/>
      <c r="AE8990" s="1"/>
      <c r="AF8990" s="1"/>
      <c r="AG8990" s="1"/>
      <c r="AH8990" s="1"/>
      <c r="AI8990" s="1"/>
      <c r="AJ8990" s="1"/>
      <c r="AK8990" s="1"/>
      <c r="AL8990" s="1"/>
      <c r="AM8990" s="1"/>
    </row>
    <row r="8991" spans="1:39" x14ac:dyDescent="0.25">
      <c r="A8991" s="2066"/>
      <c r="B8991" s="2066"/>
      <c r="C8991" s="2066"/>
      <c r="D8991" s="2066"/>
      <c r="E8991" s="2066"/>
      <c r="F8991" s="2066"/>
      <c r="G8991" s="2066"/>
      <c r="H8991" s="2066"/>
      <c r="I8991" s="2066"/>
      <c r="J8991" s="2066"/>
      <c r="K8991" s="2066"/>
      <c r="L8991" s="2066"/>
      <c r="M8991" s="2066"/>
      <c r="N8991" s="2066"/>
      <c r="O8991" s="2066"/>
      <c r="P8991" s="49"/>
      <c r="Q8991" s="1"/>
      <c r="R8991" s="2066"/>
      <c r="S8991" s="1"/>
      <c r="T8991" s="1"/>
      <c r="U8991" s="1"/>
      <c r="V8991" s="1"/>
      <c r="W8991" s="1"/>
      <c r="X8991" s="1"/>
      <c r="Y8991" s="1"/>
      <c r="Z8991" s="2066"/>
      <c r="AA8991" s="2066"/>
      <c r="AB8991" s="1"/>
      <c r="AC8991" s="1"/>
      <c r="AD8991" s="1"/>
      <c r="AE8991" s="1"/>
      <c r="AF8991" s="1"/>
      <c r="AG8991" s="1"/>
      <c r="AH8991" s="1"/>
      <c r="AI8991" s="1"/>
      <c r="AJ8991" s="1"/>
      <c r="AK8991" s="1"/>
      <c r="AL8991" s="1"/>
      <c r="AM8991" s="1"/>
    </row>
    <row r="8992" spans="1:39" x14ac:dyDescent="0.25">
      <c r="A8992" s="2066"/>
      <c r="B8992" s="2066"/>
      <c r="C8992" s="2066"/>
      <c r="D8992" s="2066"/>
      <c r="E8992" s="2066"/>
      <c r="F8992" s="2066"/>
      <c r="G8992" s="2066"/>
      <c r="H8992" s="2066"/>
      <c r="I8992" s="2066"/>
      <c r="J8992" s="2066"/>
      <c r="K8992" s="2066"/>
      <c r="L8992" s="2066"/>
      <c r="M8992" s="2066"/>
      <c r="N8992" s="2066"/>
      <c r="O8992" s="2066"/>
      <c r="P8992" s="49"/>
      <c r="Q8992" s="1"/>
      <c r="R8992" s="2066"/>
      <c r="S8992" s="1"/>
      <c r="T8992" s="1"/>
      <c r="U8992" s="1"/>
      <c r="V8992" s="1"/>
      <c r="W8992" s="1"/>
      <c r="X8992" s="1"/>
      <c r="Y8992" s="1"/>
      <c r="Z8992" s="2066"/>
      <c r="AA8992" s="2066"/>
      <c r="AB8992" s="1"/>
      <c r="AC8992" s="1"/>
      <c r="AD8992" s="1"/>
      <c r="AE8992" s="1"/>
      <c r="AF8992" s="1"/>
      <c r="AG8992" s="1"/>
      <c r="AH8992" s="1"/>
      <c r="AI8992" s="1"/>
      <c r="AJ8992" s="1"/>
      <c r="AK8992" s="1"/>
      <c r="AL8992" s="1"/>
      <c r="AM8992" s="1"/>
    </row>
    <row r="8993" spans="1:39" x14ac:dyDescent="0.25">
      <c r="A8993" s="2066"/>
      <c r="B8993" s="2066"/>
      <c r="C8993" s="2066"/>
      <c r="D8993" s="2066"/>
      <c r="E8993" s="2066"/>
      <c r="F8993" s="2066"/>
      <c r="G8993" s="2066"/>
      <c r="H8993" s="2066"/>
      <c r="I8993" s="2066"/>
      <c r="J8993" s="2066"/>
      <c r="K8993" s="2066"/>
      <c r="L8993" s="2066"/>
      <c r="M8993" s="2066"/>
      <c r="N8993" s="2066"/>
      <c r="O8993" s="2066"/>
      <c r="P8993" s="49"/>
      <c r="Q8993" s="1"/>
      <c r="R8993" s="2066"/>
      <c r="S8993" s="1"/>
      <c r="T8993" s="1"/>
      <c r="U8993" s="1"/>
      <c r="V8993" s="1"/>
      <c r="W8993" s="1"/>
      <c r="X8993" s="1"/>
      <c r="Y8993" s="1"/>
      <c r="Z8993" s="2066"/>
      <c r="AA8993" s="2066"/>
      <c r="AB8993" s="1"/>
      <c r="AC8993" s="1"/>
      <c r="AD8993" s="1"/>
      <c r="AE8993" s="1"/>
      <c r="AF8993" s="1"/>
      <c r="AG8993" s="1"/>
      <c r="AH8993" s="1"/>
      <c r="AI8993" s="1"/>
      <c r="AJ8993" s="1"/>
      <c r="AK8993" s="1"/>
      <c r="AL8993" s="1"/>
      <c r="AM8993" s="1"/>
    </row>
    <row r="8994" spans="1:39" x14ac:dyDescent="0.25">
      <c r="A8994" s="2066"/>
      <c r="B8994" s="2066"/>
      <c r="C8994" s="2066"/>
      <c r="D8994" s="2066"/>
      <c r="E8994" s="2066"/>
      <c r="F8994" s="2066"/>
      <c r="G8994" s="2066"/>
      <c r="H8994" s="2066"/>
      <c r="I8994" s="2066"/>
      <c r="J8994" s="2066"/>
      <c r="K8994" s="2066"/>
      <c r="L8994" s="2066"/>
      <c r="M8994" s="2066"/>
      <c r="N8994" s="2066"/>
      <c r="O8994" s="2066"/>
      <c r="P8994" s="49"/>
      <c r="Q8994" s="1"/>
      <c r="R8994" s="2066"/>
      <c r="S8994" s="1"/>
      <c r="T8994" s="1"/>
      <c r="U8994" s="1"/>
      <c r="V8994" s="1"/>
      <c r="W8994" s="1"/>
      <c r="X8994" s="1"/>
      <c r="Y8994" s="1"/>
      <c r="Z8994" s="2066"/>
      <c r="AA8994" s="2066"/>
      <c r="AB8994" s="1"/>
      <c r="AC8994" s="1"/>
      <c r="AD8994" s="1"/>
      <c r="AE8994" s="1"/>
      <c r="AF8994" s="1"/>
      <c r="AG8994" s="1"/>
      <c r="AH8994" s="1"/>
      <c r="AI8994" s="1"/>
      <c r="AJ8994" s="1"/>
      <c r="AK8994" s="1"/>
      <c r="AL8994" s="1"/>
      <c r="AM8994" s="1"/>
    </row>
    <row r="8995" spans="1:39" x14ac:dyDescent="0.25">
      <c r="A8995" s="2066"/>
      <c r="B8995" s="2066"/>
      <c r="C8995" s="2066"/>
      <c r="D8995" s="2066"/>
      <c r="E8995" s="2066"/>
      <c r="F8995" s="2066"/>
      <c r="G8995" s="2066"/>
      <c r="H8995" s="2066"/>
      <c r="I8995" s="2066"/>
      <c r="J8995" s="2066"/>
      <c r="K8995" s="2066"/>
      <c r="L8995" s="2066"/>
      <c r="M8995" s="2066"/>
      <c r="N8995" s="2066"/>
      <c r="O8995" s="2066"/>
      <c r="P8995" s="49"/>
      <c r="Q8995" s="1"/>
      <c r="R8995" s="2066"/>
      <c r="S8995" s="1"/>
      <c r="T8995" s="1"/>
      <c r="U8995" s="1"/>
      <c r="V8995" s="1"/>
      <c r="W8995" s="1"/>
      <c r="X8995" s="1"/>
      <c r="Y8995" s="1"/>
      <c r="Z8995" s="2066"/>
      <c r="AA8995" s="2066"/>
      <c r="AB8995" s="1"/>
      <c r="AC8995" s="1"/>
      <c r="AD8995" s="1"/>
      <c r="AE8995" s="1"/>
      <c r="AF8995" s="1"/>
      <c r="AG8995" s="1"/>
      <c r="AH8995" s="1"/>
      <c r="AI8995" s="1"/>
      <c r="AJ8995" s="1"/>
      <c r="AK8995" s="1"/>
      <c r="AL8995" s="1"/>
      <c r="AM8995" s="1"/>
    </row>
    <row r="8996" spans="1:39" x14ac:dyDescent="0.25">
      <c r="A8996" s="2066"/>
      <c r="B8996" s="2066"/>
      <c r="C8996" s="2066"/>
      <c r="D8996" s="2066"/>
      <c r="E8996" s="2066"/>
      <c r="F8996" s="2066"/>
      <c r="G8996" s="2066"/>
      <c r="H8996" s="2066"/>
      <c r="I8996" s="2066"/>
      <c r="J8996" s="2066"/>
      <c r="K8996" s="2066"/>
      <c r="L8996" s="2066"/>
      <c r="M8996" s="2066"/>
      <c r="N8996" s="2066"/>
      <c r="O8996" s="2066"/>
      <c r="P8996" s="49"/>
      <c r="Q8996" s="1"/>
      <c r="R8996" s="2066"/>
      <c r="S8996" s="1"/>
      <c r="T8996" s="1"/>
      <c r="U8996" s="1"/>
      <c r="V8996" s="1"/>
      <c r="W8996" s="1"/>
      <c r="X8996" s="1"/>
      <c r="Y8996" s="1"/>
      <c r="Z8996" s="2066"/>
      <c r="AA8996" s="2066"/>
      <c r="AB8996" s="1"/>
      <c r="AC8996" s="1"/>
      <c r="AD8996" s="1"/>
      <c r="AE8996" s="1"/>
      <c r="AF8996" s="1"/>
      <c r="AG8996" s="1"/>
      <c r="AH8996" s="1"/>
      <c r="AI8996" s="1"/>
      <c r="AJ8996" s="1"/>
      <c r="AK8996" s="1"/>
      <c r="AL8996" s="1"/>
      <c r="AM8996" s="1"/>
    </row>
    <row r="8997" spans="1:39" x14ac:dyDescent="0.25">
      <c r="A8997" s="2066"/>
      <c r="B8997" s="2066"/>
      <c r="C8997" s="2066"/>
      <c r="D8997" s="2066"/>
      <c r="E8997" s="2066"/>
      <c r="F8997" s="2066"/>
      <c r="G8997" s="2066"/>
      <c r="H8997" s="2066"/>
      <c r="I8997" s="2066"/>
      <c r="J8997" s="2066"/>
      <c r="K8997" s="2066"/>
      <c r="L8997" s="2066"/>
      <c r="M8997" s="2066"/>
      <c r="N8997" s="2066"/>
      <c r="O8997" s="2066"/>
      <c r="P8997" s="49"/>
      <c r="Q8997" s="1"/>
      <c r="R8997" s="2066"/>
      <c r="S8997" s="1"/>
      <c r="T8997" s="1"/>
      <c r="U8997" s="1"/>
      <c r="V8997" s="1"/>
      <c r="W8997" s="1"/>
      <c r="X8997" s="1"/>
      <c r="Y8997" s="1"/>
      <c r="Z8997" s="2066"/>
      <c r="AA8997" s="2066"/>
      <c r="AB8997" s="1"/>
      <c r="AC8997" s="1"/>
      <c r="AD8997" s="1"/>
      <c r="AE8997" s="1"/>
      <c r="AF8997" s="1"/>
      <c r="AG8997" s="1"/>
      <c r="AH8997" s="1"/>
      <c r="AI8997" s="1"/>
      <c r="AJ8997" s="1"/>
      <c r="AK8997" s="1"/>
      <c r="AL8997" s="1"/>
      <c r="AM8997" s="1"/>
    </row>
    <row r="8998" spans="1:39" x14ac:dyDescent="0.25">
      <c r="A8998" s="2066"/>
      <c r="B8998" s="2066"/>
      <c r="C8998" s="2066"/>
      <c r="D8998" s="2066"/>
      <c r="E8998" s="2066"/>
      <c r="F8998" s="2066"/>
      <c r="G8998" s="2066"/>
      <c r="H8998" s="2066"/>
      <c r="I8998" s="2066"/>
      <c r="J8998" s="2066"/>
      <c r="K8998" s="2066"/>
      <c r="L8998" s="2066"/>
      <c r="M8998" s="2066"/>
      <c r="N8998" s="2066"/>
      <c r="O8998" s="2066"/>
      <c r="P8998" s="49"/>
      <c r="Q8998" s="1"/>
      <c r="R8998" s="2066"/>
      <c r="S8998" s="1"/>
      <c r="T8998" s="1"/>
      <c r="U8998" s="1"/>
      <c r="V8998" s="1"/>
      <c r="W8998" s="1"/>
      <c r="X8998" s="1"/>
      <c r="Y8998" s="1"/>
      <c r="Z8998" s="2066"/>
      <c r="AA8998" s="2066"/>
      <c r="AB8998" s="1"/>
      <c r="AC8998" s="1"/>
      <c r="AD8998" s="1"/>
      <c r="AE8998" s="1"/>
      <c r="AF8998" s="1"/>
      <c r="AG8998" s="1"/>
      <c r="AH8998" s="1"/>
      <c r="AI8998" s="1"/>
      <c r="AJ8998" s="1"/>
      <c r="AK8998" s="1"/>
      <c r="AL8998" s="1"/>
      <c r="AM8998" s="1"/>
    </row>
    <row r="8999" spans="1:39" x14ac:dyDescent="0.25">
      <c r="A8999" s="2066"/>
      <c r="B8999" s="2066"/>
      <c r="C8999" s="2066"/>
      <c r="D8999" s="2066"/>
      <c r="E8999" s="2066"/>
      <c r="F8999" s="2066"/>
      <c r="G8999" s="2066"/>
      <c r="H8999" s="2066"/>
      <c r="I8999" s="2066"/>
      <c r="J8999" s="2066"/>
      <c r="K8999" s="2066"/>
      <c r="L8999" s="2066"/>
      <c r="M8999" s="2066"/>
      <c r="N8999" s="2066"/>
      <c r="O8999" s="2066"/>
      <c r="P8999" s="49"/>
      <c r="Q8999" s="1"/>
      <c r="R8999" s="2066"/>
      <c r="S8999" s="1"/>
      <c r="T8999" s="1"/>
      <c r="U8999" s="1"/>
      <c r="V8999" s="1"/>
      <c r="W8999" s="1"/>
      <c r="X8999" s="1"/>
      <c r="Y8999" s="1"/>
      <c r="Z8999" s="2066"/>
      <c r="AA8999" s="2066"/>
      <c r="AB8999" s="1"/>
      <c r="AC8999" s="1"/>
      <c r="AD8999" s="1"/>
      <c r="AE8999" s="1"/>
      <c r="AF8999" s="1"/>
      <c r="AG8999" s="1"/>
      <c r="AH8999" s="1"/>
      <c r="AI8999" s="1"/>
      <c r="AJ8999" s="1"/>
      <c r="AK8999" s="1"/>
      <c r="AL8999" s="1"/>
      <c r="AM8999" s="1"/>
    </row>
    <row r="9000" spans="1:39" x14ac:dyDescent="0.25">
      <c r="A9000" s="2066"/>
      <c r="B9000" s="2066"/>
      <c r="C9000" s="2066"/>
      <c r="D9000" s="2066"/>
      <c r="E9000" s="2066"/>
      <c r="F9000" s="2066"/>
      <c r="G9000" s="2066"/>
      <c r="H9000" s="2066"/>
      <c r="I9000" s="2066"/>
      <c r="J9000" s="2066"/>
      <c r="K9000" s="2066"/>
      <c r="L9000" s="2066"/>
      <c r="M9000" s="2066"/>
      <c r="N9000" s="2066"/>
      <c r="O9000" s="2066"/>
      <c r="P9000" s="49"/>
      <c r="Q9000" s="1"/>
      <c r="R9000" s="2066"/>
      <c r="S9000" s="1"/>
      <c r="T9000" s="1"/>
      <c r="U9000" s="1"/>
      <c r="V9000" s="1"/>
      <c r="W9000" s="1"/>
      <c r="X9000" s="1"/>
      <c r="Y9000" s="1"/>
      <c r="Z9000" s="2066"/>
      <c r="AA9000" s="2066"/>
      <c r="AB9000" s="1"/>
      <c r="AC9000" s="1"/>
      <c r="AD9000" s="1"/>
      <c r="AE9000" s="1"/>
      <c r="AF9000" s="1"/>
      <c r="AG9000" s="1"/>
      <c r="AH9000" s="1"/>
      <c r="AI9000" s="1"/>
      <c r="AJ9000" s="1"/>
      <c r="AK9000" s="1"/>
      <c r="AL9000" s="1"/>
      <c r="AM9000" s="1"/>
    </row>
    <row r="9001" spans="1:39" x14ac:dyDescent="0.25">
      <c r="A9001" s="2066"/>
      <c r="B9001" s="2066"/>
      <c r="C9001" s="2066"/>
      <c r="D9001" s="2066"/>
      <c r="E9001" s="2066"/>
      <c r="F9001" s="2066"/>
      <c r="G9001" s="2066"/>
      <c r="H9001" s="2066"/>
      <c r="I9001" s="2066"/>
      <c r="J9001" s="2066"/>
      <c r="K9001" s="2066"/>
      <c r="L9001" s="2066"/>
      <c r="M9001" s="2066"/>
      <c r="N9001" s="2066"/>
      <c r="O9001" s="2066"/>
      <c r="P9001" s="49"/>
      <c r="Q9001" s="1"/>
      <c r="R9001" s="2066"/>
      <c r="S9001" s="1"/>
      <c r="T9001" s="1"/>
      <c r="U9001" s="1"/>
      <c r="V9001" s="1"/>
      <c r="W9001" s="1"/>
      <c r="X9001" s="1"/>
      <c r="Y9001" s="1"/>
      <c r="Z9001" s="2066"/>
      <c r="AA9001" s="2066"/>
      <c r="AB9001" s="1"/>
      <c r="AC9001" s="1"/>
      <c r="AD9001" s="1"/>
      <c r="AE9001" s="1"/>
      <c r="AF9001" s="1"/>
      <c r="AG9001" s="1"/>
      <c r="AH9001" s="1"/>
      <c r="AI9001" s="1"/>
      <c r="AJ9001" s="1"/>
      <c r="AK9001" s="1"/>
      <c r="AL9001" s="1"/>
      <c r="AM9001" s="1"/>
    </row>
    <row r="9002" spans="1:39" x14ac:dyDescent="0.25">
      <c r="A9002" s="2066"/>
      <c r="B9002" s="2066"/>
      <c r="C9002" s="2066"/>
      <c r="D9002" s="2066"/>
      <c r="E9002" s="2066"/>
      <c r="F9002" s="2066"/>
      <c r="G9002" s="2066"/>
      <c r="H9002" s="2066"/>
      <c r="I9002" s="2066"/>
      <c r="J9002" s="2066"/>
      <c r="K9002" s="2066"/>
      <c r="L9002" s="2066"/>
      <c r="M9002" s="2066"/>
      <c r="N9002" s="2066"/>
      <c r="O9002" s="2066"/>
      <c r="P9002" s="49"/>
      <c r="Q9002" s="1"/>
      <c r="R9002" s="2066"/>
      <c r="S9002" s="1"/>
      <c r="T9002" s="1"/>
      <c r="U9002" s="1"/>
      <c r="V9002" s="1"/>
      <c r="W9002" s="1"/>
      <c r="X9002" s="1"/>
      <c r="Y9002" s="1"/>
      <c r="Z9002" s="2066"/>
      <c r="AA9002" s="2066"/>
      <c r="AB9002" s="1"/>
      <c r="AC9002" s="1"/>
      <c r="AD9002" s="1"/>
      <c r="AE9002" s="1"/>
      <c r="AF9002" s="1"/>
      <c r="AG9002" s="1"/>
      <c r="AH9002" s="1"/>
      <c r="AI9002" s="1"/>
      <c r="AJ9002" s="1"/>
      <c r="AK9002" s="1"/>
      <c r="AL9002" s="1"/>
      <c r="AM9002" s="1"/>
    </row>
    <row r="9003" spans="1:39" x14ac:dyDescent="0.25">
      <c r="A9003" s="2066"/>
      <c r="B9003" s="2066"/>
      <c r="C9003" s="2066"/>
      <c r="D9003" s="2066"/>
      <c r="E9003" s="2066"/>
      <c r="F9003" s="2066"/>
      <c r="G9003" s="2066"/>
      <c r="H9003" s="2066"/>
      <c r="I9003" s="2066"/>
      <c r="J9003" s="2066"/>
      <c r="K9003" s="2066"/>
      <c r="L9003" s="2066"/>
      <c r="M9003" s="2066"/>
      <c r="N9003" s="2066"/>
      <c r="O9003" s="2066"/>
      <c r="P9003" s="49"/>
      <c r="Q9003" s="1"/>
      <c r="R9003" s="2066"/>
      <c r="S9003" s="1"/>
      <c r="T9003" s="1"/>
      <c r="U9003" s="1"/>
      <c r="V9003" s="1"/>
      <c r="W9003" s="1"/>
      <c r="X9003" s="1"/>
      <c r="Y9003" s="1"/>
      <c r="Z9003" s="2066"/>
      <c r="AA9003" s="2066"/>
      <c r="AB9003" s="1"/>
      <c r="AC9003" s="1"/>
      <c r="AD9003" s="1"/>
      <c r="AE9003" s="1"/>
      <c r="AF9003" s="1"/>
      <c r="AG9003" s="1"/>
      <c r="AH9003" s="1"/>
      <c r="AI9003" s="1"/>
      <c r="AJ9003" s="1"/>
      <c r="AK9003" s="1"/>
      <c r="AL9003" s="1"/>
      <c r="AM9003" s="1"/>
    </row>
    <row r="9004" spans="1:39" x14ac:dyDescent="0.25">
      <c r="A9004" s="2066"/>
      <c r="B9004" s="2066"/>
      <c r="C9004" s="2066"/>
      <c r="D9004" s="2066"/>
      <c r="E9004" s="2066"/>
      <c r="F9004" s="2066"/>
      <c r="G9004" s="2066"/>
      <c r="H9004" s="2066"/>
      <c r="I9004" s="2066"/>
      <c r="J9004" s="2066"/>
      <c r="K9004" s="2066"/>
      <c r="L9004" s="2066"/>
      <c r="M9004" s="2066"/>
      <c r="N9004" s="2066"/>
      <c r="O9004" s="2066"/>
      <c r="P9004" s="49"/>
      <c r="Q9004" s="1"/>
      <c r="R9004" s="2066"/>
      <c r="S9004" s="1"/>
      <c r="T9004" s="1"/>
      <c r="U9004" s="1"/>
      <c r="V9004" s="1"/>
      <c r="W9004" s="1"/>
      <c r="X9004" s="1"/>
      <c r="Y9004" s="1"/>
      <c r="Z9004" s="2066"/>
      <c r="AA9004" s="2066"/>
      <c r="AB9004" s="1"/>
      <c r="AC9004" s="1"/>
      <c r="AD9004" s="1"/>
      <c r="AE9004" s="1"/>
      <c r="AF9004" s="1"/>
      <c r="AG9004" s="1"/>
      <c r="AH9004" s="1"/>
      <c r="AI9004" s="1"/>
      <c r="AJ9004" s="1"/>
      <c r="AK9004" s="1"/>
      <c r="AL9004" s="1"/>
      <c r="AM9004" s="1"/>
    </row>
    <row r="9005" spans="1:39" x14ac:dyDescent="0.25">
      <c r="A9005" s="2066"/>
      <c r="B9005" s="2066"/>
      <c r="C9005" s="2066"/>
      <c r="D9005" s="2066"/>
      <c r="E9005" s="2066"/>
      <c r="F9005" s="2066"/>
      <c r="G9005" s="2066"/>
      <c r="H9005" s="2066"/>
      <c r="I9005" s="2066"/>
      <c r="J9005" s="2066"/>
      <c r="K9005" s="2066"/>
      <c r="L9005" s="2066"/>
      <c r="M9005" s="2066"/>
      <c r="N9005" s="2066"/>
      <c r="O9005" s="2066"/>
      <c r="P9005" s="49"/>
      <c r="Q9005" s="1"/>
      <c r="R9005" s="2066"/>
      <c r="S9005" s="1"/>
      <c r="T9005" s="1"/>
      <c r="U9005" s="1"/>
      <c r="V9005" s="1"/>
      <c r="W9005" s="1"/>
      <c r="X9005" s="1"/>
      <c r="Y9005" s="1"/>
      <c r="Z9005" s="2066"/>
      <c r="AA9005" s="2066"/>
      <c r="AB9005" s="1"/>
      <c r="AC9005" s="1"/>
      <c r="AD9005" s="1"/>
      <c r="AE9005" s="1"/>
      <c r="AF9005" s="1"/>
      <c r="AG9005" s="1"/>
      <c r="AH9005" s="1"/>
      <c r="AI9005" s="1"/>
      <c r="AJ9005" s="1"/>
      <c r="AK9005" s="1"/>
      <c r="AL9005" s="1"/>
      <c r="AM9005" s="1"/>
    </row>
    <row r="9006" spans="1:39" x14ac:dyDescent="0.25">
      <c r="A9006" s="2066"/>
      <c r="B9006" s="2066"/>
      <c r="C9006" s="2066"/>
      <c r="D9006" s="2066"/>
      <c r="E9006" s="2066"/>
      <c r="F9006" s="2066"/>
      <c r="G9006" s="2066"/>
      <c r="H9006" s="2066"/>
      <c r="I9006" s="2066"/>
      <c r="J9006" s="2066"/>
      <c r="K9006" s="2066"/>
      <c r="L9006" s="2066"/>
      <c r="M9006" s="2066"/>
      <c r="N9006" s="2066"/>
      <c r="O9006" s="2066"/>
      <c r="P9006" s="49"/>
      <c r="Q9006" s="1"/>
      <c r="R9006" s="2066"/>
      <c r="S9006" s="1"/>
      <c r="T9006" s="1"/>
      <c r="U9006" s="1"/>
      <c r="V9006" s="1"/>
      <c r="W9006" s="1"/>
      <c r="X9006" s="1"/>
      <c r="Y9006" s="1"/>
      <c r="Z9006" s="2066"/>
      <c r="AA9006" s="2066"/>
      <c r="AB9006" s="1"/>
      <c r="AC9006" s="1"/>
      <c r="AD9006" s="1"/>
      <c r="AE9006" s="1"/>
      <c r="AF9006" s="1"/>
      <c r="AG9006" s="1"/>
      <c r="AH9006" s="1"/>
      <c r="AI9006" s="1"/>
      <c r="AJ9006" s="1"/>
      <c r="AK9006" s="1"/>
      <c r="AL9006" s="1"/>
      <c r="AM9006" s="1"/>
    </row>
    <row r="9007" spans="1:39" x14ac:dyDescent="0.25">
      <c r="A9007" s="2066"/>
      <c r="B9007" s="2066"/>
      <c r="C9007" s="2066"/>
      <c r="D9007" s="2066"/>
      <c r="E9007" s="2066"/>
      <c r="F9007" s="2066"/>
      <c r="G9007" s="2066"/>
      <c r="H9007" s="2066"/>
      <c r="I9007" s="2066"/>
      <c r="J9007" s="2066"/>
      <c r="K9007" s="2066"/>
      <c r="L9007" s="2066"/>
      <c r="M9007" s="2066"/>
      <c r="N9007" s="2066"/>
      <c r="O9007" s="2066"/>
      <c r="P9007" s="49"/>
      <c r="Q9007" s="1"/>
      <c r="R9007" s="2066"/>
      <c r="S9007" s="1"/>
      <c r="T9007" s="1"/>
      <c r="U9007" s="1"/>
      <c r="V9007" s="1"/>
      <c r="W9007" s="1"/>
      <c r="X9007" s="1"/>
      <c r="Y9007" s="1"/>
      <c r="Z9007" s="2066"/>
      <c r="AA9007" s="2066"/>
      <c r="AB9007" s="1"/>
      <c r="AC9007" s="1"/>
      <c r="AD9007" s="1"/>
      <c r="AE9007" s="1"/>
      <c r="AF9007" s="1"/>
      <c r="AG9007" s="1"/>
      <c r="AH9007" s="1"/>
      <c r="AI9007" s="1"/>
      <c r="AJ9007" s="1"/>
      <c r="AK9007" s="1"/>
      <c r="AL9007" s="1"/>
      <c r="AM9007" s="1"/>
    </row>
    <row r="9008" spans="1:39" x14ac:dyDescent="0.25">
      <c r="A9008" s="2066"/>
      <c r="B9008" s="2066"/>
      <c r="C9008" s="2066"/>
      <c r="D9008" s="2066"/>
      <c r="E9008" s="2066"/>
      <c r="F9008" s="2066"/>
      <c r="G9008" s="2066"/>
      <c r="H9008" s="2066"/>
      <c r="I9008" s="2066"/>
      <c r="J9008" s="2066"/>
      <c r="K9008" s="2066"/>
      <c r="L9008" s="2066"/>
      <c r="M9008" s="2066"/>
      <c r="N9008" s="2066"/>
      <c r="O9008" s="2066"/>
      <c r="P9008" s="49"/>
      <c r="Q9008" s="1"/>
      <c r="R9008" s="2066"/>
      <c r="S9008" s="1"/>
      <c r="T9008" s="1"/>
      <c r="U9008" s="1"/>
      <c r="V9008" s="1"/>
      <c r="W9008" s="1"/>
      <c r="X9008" s="1"/>
      <c r="Y9008" s="1"/>
      <c r="Z9008" s="2066"/>
      <c r="AA9008" s="2066"/>
      <c r="AB9008" s="1"/>
      <c r="AC9008" s="1"/>
      <c r="AD9008" s="1"/>
      <c r="AE9008" s="1"/>
      <c r="AF9008" s="1"/>
      <c r="AG9008" s="1"/>
      <c r="AH9008" s="1"/>
      <c r="AI9008" s="1"/>
      <c r="AJ9008" s="1"/>
      <c r="AK9008" s="1"/>
      <c r="AL9008" s="1"/>
      <c r="AM9008" s="1"/>
    </row>
    <row r="9009" spans="1:39" x14ac:dyDescent="0.25">
      <c r="A9009" s="2066"/>
      <c r="B9009" s="2066"/>
      <c r="C9009" s="2066"/>
      <c r="D9009" s="2066"/>
      <c r="E9009" s="2066"/>
      <c r="F9009" s="2066"/>
      <c r="G9009" s="2066"/>
      <c r="H9009" s="2066"/>
      <c r="I9009" s="2066"/>
      <c r="J9009" s="2066"/>
      <c r="K9009" s="2066"/>
      <c r="L9009" s="2066"/>
      <c r="M9009" s="2066"/>
      <c r="N9009" s="2066"/>
      <c r="O9009" s="2066"/>
      <c r="P9009" s="49"/>
      <c r="Q9009" s="1"/>
      <c r="R9009" s="2066"/>
      <c r="S9009" s="1"/>
      <c r="T9009" s="1"/>
      <c r="U9009" s="1"/>
      <c r="V9009" s="1"/>
      <c r="W9009" s="1"/>
      <c r="X9009" s="1"/>
      <c r="Y9009" s="1"/>
      <c r="Z9009" s="2066"/>
      <c r="AA9009" s="2066"/>
      <c r="AB9009" s="1"/>
      <c r="AC9009" s="1"/>
      <c r="AD9009" s="1"/>
      <c r="AE9009" s="1"/>
      <c r="AF9009" s="1"/>
      <c r="AG9009" s="1"/>
      <c r="AH9009" s="1"/>
      <c r="AI9009" s="1"/>
      <c r="AJ9009" s="1"/>
      <c r="AK9009" s="1"/>
      <c r="AL9009" s="1"/>
      <c r="AM9009" s="1"/>
    </row>
    <row r="9010" spans="1:39" x14ac:dyDescent="0.25">
      <c r="A9010" s="2066"/>
      <c r="B9010" s="2066"/>
      <c r="C9010" s="2066"/>
      <c r="D9010" s="2066"/>
      <c r="E9010" s="2066"/>
      <c r="F9010" s="2066"/>
      <c r="G9010" s="2066"/>
      <c r="H9010" s="2066"/>
      <c r="I9010" s="2066"/>
      <c r="J9010" s="2066"/>
      <c r="K9010" s="2066"/>
      <c r="L9010" s="2066"/>
      <c r="M9010" s="2066"/>
      <c r="N9010" s="2066"/>
      <c r="O9010" s="2066"/>
      <c r="P9010" s="49"/>
      <c r="Q9010" s="1"/>
      <c r="R9010" s="2066"/>
      <c r="S9010" s="1"/>
      <c r="T9010" s="1"/>
      <c r="U9010" s="1"/>
      <c r="V9010" s="1"/>
      <c r="W9010" s="1"/>
      <c r="X9010" s="1"/>
      <c r="Y9010" s="1"/>
      <c r="Z9010" s="2066"/>
      <c r="AA9010" s="2066"/>
      <c r="AB9010" s="1"/>
      <c r="AC9010" s="1"/>
      <c r="AD9010" s="1"/>
      <c r="AE9010" s="1"/>
      <c r="AF9010" s="1"/>
      <c r="AG9010" s="1"/>
      <c r="AH9010" s="1"/>
      <c r="AI9010" s="1"/>
      <c r="AJ9010" s="1"/>
      <c r="AK9010" s="1"/>
      <c r="AL9010" s="1"/>
      <c r="AM9010" s="1"/>
    </row>
    <row r="9011" spans="1:39" x14ac:dyDescent="0.25">
      <c r="A9011" s="2066"/>
      <c r="B9011" s="2066"/>
      <c r="C9011" s="2066"/>
      <c r="D9011" s="2066"/>
      <c r="E9011" s="2066"/>
      <c r="F9011" s="2066"/>
      <c r="G9011" s="2066"/>
      <c r="H9011" s="2066"/>
      <c r="I9011" s="2066"/>
      <c r="J9011" s="2066"/>
      <c r="K9011" s="2066"/>
      <c r="L9011" s="2066"/>
      <c r="M9011" s="2066"/>
      <c r="N9011" s="2066"/>
      <c r="O9011" s="2066"/>
      <c r="P9011" s="49"/>
      <c r="Q9011" s="1"/>
      <c r="R9011" s="2066"/>
      <c r="S9011" s="1"/>
      <c r="T9011" s="1"/>
      <c r="U9011" s="1"/>
      <c r="V9011" s="1"/>
      <c r="W9011" s="1"/>
      <c r="X9011" s="1"/>
      <c r="Y9011" s="1"/>
      <c r="Z9011" s="2066"/>
      <c r="AA9011" s="2066"/>
      <c r="AB9011" s="1"/>
      <c r="AC9011" s="1"/>
      <c r="AD9011" s="1"/>
      <c r="AE9011" s="1"/>
      <c r="AF9011" s="1"/>
      <c r="AG9011" s="1"/>
      <c r="AH9011" s="1"/>
      <c r="AI9011" s="1"/>
      <c r="AJ9011" s="1"/>
      <c r="AK9011" s="1"/>
      <c r="AL9011" s="1"/>
      <c r="AM9011" s="1"/>
    </row>
    <row r="9012" spans="1:39" x14ac:dyDescent="0.25">
      <c r="A9012" s="2066"/>
      <c r="B9012" s="2066"/>
      <c r="C9012" s="2066"/>
      <c r="D9012" s="2066"/>
      <c r="E9012" s="2066"/>
      <c r="F9012" s="2066"/>
      <c r="G9012" s="2066"/>
      <c r="H9012" s="2066"/>
      <c r="I9012" s="2066"/>
      <c r="J9012" s="2066"/>
      <c r="K9012" s="2066"/>
      <c r="L9012" s="2066"/>
      <c r="M9012" s="2066"/>
      <c r="N9012" s="2066"/>
      <c r="O9012" s="2066"/>
      <c r="P9012" s="49"/>
      <c r="Q9012" s="1"/>
      <c r="R9012" s="2066"/>
      <c r="S9012" s="1"/>
      <c r="T9012" s="1"/>
      <c r="U9012" s="1"/>
      <c r="V9012" s="1"/>
      <c r="W9012" s="1"/>
      <c r="X9012" s="1"/>
      <c r="Y9012" s="1"/>
      <c r="Z9012" s="2066"/>
      <c r="AA9012" s="2066"/>
      <c r="AB9012" s="1"/>
      <c r="AC9012" s="1"/>
      <c r="AD9012" s="1"/>
      <c r="AE9012" s="1"/>
      <c r="AF9012" s="1"/>
      <c r="AG9012" s="1"/>
      <c r="AH9012" s="1"/>
      <c r="AI9012" s="1"/>
      <c r="AJ9012" s="1"/>
      <c r="AK9012" s="1"/>
      <c r="AL9012" s="1"/>
      <c r="AM9012" s="1"/>
    </row>
    <row r="9013" spans="1:39" x14ac:dyDescent="0.25">
      <c r="A9013" s="2066"/>
      <c r="B9013" s="2066"/>
      <c r="C9013" s="2066"/>
      <c r="D9013" s="2066"/>
      <c r="E9013" s="2066"/>
      <c r="F9013" s="2066"/>
      <c r="G9013" s="2066"/>
      <c r="H9013" s="2066"/>
      <c r="I9013" s="2066"/>
      <c r="J9013" s="2066"/>
      <c r="K9013" s="2066"/>
      <c r="L9013" s="2066"/>
      <c r="M9013" s="2066"/>
      <c r="N9013" s="2066"/>
      <c r="O9013" s="2066"/>
      <c r="P9013" s="49"/>
      <c r="Q9013" s="1"/>
      <c r="R9013" s="2066"/>
      <c r="S9013" s="1"/>
      <c r="T9013" s="1"/>
      <c r="U9013" s="1"/>
      <c r="V9013" s="1"/>
      <c r="W9013" s="1"/>
      <c r="X9013" s="1"/>
      <c r="Y9013" s="1"/>
      <c r="Z9013" s="2066"/>
      <c r="AA9013" s="2066"/>
      <c r="AB9013" s="1"/>
      <c r="AC9013" s="1"/>
      <c r="AD9013" s="1"/>
      <c r="AE9013" s="1"/>
      <c r="AF9013" s="1"/>
      <c r="AG9013" s="1"/>
      <c r="AH9013" s="1"/>
      <c r="AI9013" s="1"/>
      <c r="AJ9013" s="1"/>
      <c r="AK9013" s="1"/>
      <c r="AL9013" s="1"/>
      <c r="AM9013" s="1"/>
    </row>
    <row r="9014" spans="1:39" x14ac:dyDescent="0.25">
      <c r="A9014" s="2066"/>
      <c r="B9014" s="2066"/>
      <c r="C9014" s="2066"/>
      <c r="D9014" s="2066"/>
      <c r="E9014" s="2066"/>
      <c r="F9014" s="2066"/>
      <c r="G9014" s="2066"/>
      <c r="H9014" s="2066"/>
      <c r="I9014" s="2066"/>
      <c r="J9014" s="2066"/>
      <c r="K9014" s="2066"/>
      <c r="L9014" s="2066"/>
      <c r="M9014" s="2066"/>
      <c r="N9014" s="2066"/>
      <c r="O9014" s="2066"/>
      <c r="P9014" s="49"/>
      <c r="Q9014" s="1"/>
      <c r="R9014" s="2066"/>
      <c r="S9014" s="1"/>
      <c r="T9014" s="1"/>
      <c r="U9014" s="1"/>
      <c r="V9014" s="1"/>
      <c r="W9014" s="1"/>
      <c r="X9014" s="1"/>
      <c r="Y9014" s="1"/>
      <c r="Z9014" s="2066"/>
      <c r="AA9014" s="2066"/>
      <c r="AB9014" s="1"/>
      <c r="AC9014" s="1"/>
      <c r="AD9014" s="1"/>
      <c r="AE9014" s="1"/>
      <c r="AF9014" s="1"/>
      <c r="AG9014" s="1"/>
      <c r="AH9014" s="1"/>
      <c r="AI9014" s="1"/>
      <c r="AJ9014" s="1"/>
      <c r="AK9014" s="1"/>
      <c r="AL9014" s="1"/>
      <c r="AM9014" s="1"/>
    </row>
    <row r="9015" spans="1:39" x14ac:dyDescent="0.25">
      <c r="A9015" s="2066"/>
      <c r="B9015" s="2066"/>
      <c r="C9015" s="2066"/>
      <c r="D9015" s="2066"/>
      <c r="E9015" s="2066"/>
      <c r="F9015" s="2066"/>
      <c r="G9015" s="2066"/>
      <c r="H9015" s="2066"/>
      <c r="I9015" s="2066"/>
      <c r="J9015" s="2066"/>
      <c r="K9015" s="2066"/>
      <c r="L9015" s="2066"/>
      <c r="M9015" s="2066"/>
      <c r="N9015" s="2066"/>
      <c r="O9015" s="2066"/>
      <c r="P9015" s="49"/>
      <c r="Q9015" s="1"/>
      <c r="R9015" s="2066"/>
      <c r="S9015" s="1"/>
      <c r="T9015" s="1"/>
      <c r="U9015" s="1"/>
      <c r="V9015" s="1"/>
      <c r="W9015" s="1"/>
      <c r="X9015" s="1"/>
      <c r="Y9015" s="1"/>
      <c r="Z9015" s="2066"/>
      <c r="AA9015" s="2066"/>
      <c r="AB9015" s="1"/>
      <c r="AC9015" s="1"/>
      <c r="AD9015" s="1"/>
      <c r="AE9015" s="1"/>
      <c r="AF9015" s="1"/>
      <c r="AG9015" s="1"/>
      <c r="AH9015" s="1"/>
      <c r="AI9015" s="1"/>
      <c r="AJ9015" s="1"/>
      <c r="AK9015" s="1"/>
      <c r="AL9015" s="1"/>
      <c r="AM9015" s="1"/>
    </row>
    <row r="9016" spans="1:39" x14ac:dyDescent="0.25">
      <c r="A9016" s="2066"/>
      <c r="B9016" s="2066"/>
      <c r="C9016" s="2066"/>
      <c r="D9016" s="2066"/>
      <c r="E9016" s="2066"/>
      <c r="F9016" s="2066"/>
      <c r="G9016" s="2066"/>
      <c r="H9016" s="2066"/>
      <c r="I9016" s="2066"/>
      <c r="J9016" s="2066"/>
      <c r="K9016" s="2066"/>
      <c r="L9016" s="2066"/>
      <c r="M9016" s="2066"/>
      <c r="N9016" s="2066"/>
      <c r="O9016" s="2066"/>
      <c r="P9016" s="49"/>
      <c r="Q9016" s="1"/>
      <c r="R9016" s="2066"/>
      <c r="S9016" s="1"/>
      <c r="T9016" s="1"/>
      <c r="U9016" s="1"/>
      <c r="V9016" s="1"/>
      <c r="W9016" s="1"/>
      <c r="X9016" s="1"/>
      <c r="Y9016" s="1"/>
      <c r="Z9016" s="2066"/>
      <c r="AA9016" s="2066"/>
      <c r="AB9016" s="1"/>
      <c r="AC9016" s="1"/>
      <c r="AD9016" s="1"/>
      <c r="AE9016" s="1"/>
      <c r="AF9016" s="1"/>
      <c r="AG9016" s="1"/>
      <c r="AH9016" s="1"/>
      <c r="AI9016" s="1"/>
      <c r="AJ9016" s="1"/>
      <c r="AK9016" s="1"/>
      <c r="AL9016" s="1"/>
      <c r="AM9016" s="1"/>
    </row>
    <row r="9017" spans="1:39" x14ac:dyDescent="0.25">
      <c r="A9017" s="2066"/>
      <c r="B9017" s="2066"/>
      <c r="C9017" s="2066"/>
      <c r="D9017" s="2066"/>
      <c r="E9017" s="2066"/>
      <c r="F9017" s="2066"/>
      <c r="G9017" s="2066"/>
      <c r="H9017" s="2066"/>
      <c r="I9017" s="2066"/>
      <c r="J9017" s="2066"/>
      <c r="K9017" s="2066"/>
      <c r="L9017" s="2066"/>
      <c r="M9017" s="2066"/>
      <c r="N9017" s="2066"/>
      <c r="O9017" s="2066"/>
      <c r="P9017" s="49"/>
      <c r="Q9017" s="1"/>
      <c r="R9017" s="2066"/>
      <c r="S9017" s="1"/>
      <c r="T9017" s="1"/>
      <c r="U9017" s="1"/>
      <c r="V9017" s="1"/>
      <c r="W9017" s="1"/>
      <c r="X9017" s="1"/>
      <c r="Y9017" s="1"/>
      <c r="Z9017" s="2066"/>
      <c r="AA9017" s="2066"/>
      <c r="AB9017" s="1"/>
      <c r="AC9017" s="1"/>
      <c r="AD9017" s="1"/>
      <c r="AE9017" s="1"/>
      <c r="AF9017" s="1"/>
      <c r="AG9017" s="1"/>
      <c r="AH9017" s="1"/>
      <c r="AI9017" s="1"/>
      <c r="AJ9017" s="1"/>
      <c r="AK9017" s="1"/>
      <c r="AL9017" s="1"/>
      <c r="AM9017" s="1"/>
    </row>
    <row r="9018" spans="1:39" x14ac:dyDescent="0.25">
      <c r="A9018" s="2066"/>
      <c r="B9018" s="2066"/>
      <c r="C9018" s="2066"/>
      <c r="D9018" s="2066"/>
      <c r="E9018" s="2066"/>
      <c r="F9018" s="2066"/>
      <c r="G9018" s="2066"/>
      <c r="H9018" s="2066"/>
      <c r="I9018" s="2066"/>
      <c r="J9018" s="2066"/>
      <c r="K9018" s="2066"/>
      <c r="L9018" s="2066"/>
      <c r="M9018" s="2066"/>
      <c r="N9018" s="2066"/>
      <c r="O9018" s="2066"/>
      <c r="P9018" s="49"/>
      <c r="Q9018" s="1"/>
      <c r="R9018" s="2066"/>
      <c r="S9018" s="1"/>
      <c r="T9018" s="1"/>
      <c r="U9018" s="1"/>
      <c r="V9018" s="1"/>
      <c r="W9018" s="1"/>
      <c r="X9018" s="1"/>
      <c r="Y9018" s="1"/>
      <c r="Z9018" s="2066"/>
      <c r="AA9018" s="2066"/>
      <c r="AB9018" s="1"/>
      <c r="AC9018" s="1"/>
      <c r="AD9018" s="1"/>
      <c r="AE9018" s="1"/>
      <c r="AF9018" s="1"/>
      <c r="AG9018" s="1"/>
      <c r="AH9018" s="1"/>
      <c r="AI9018" s="1"/>
      <c r="AJ9018" s="1"/>
      <c r="AK9018" s="1"/>
      <c r="AL9018" s="1"/>
      <c r="AM9018" s="1"/>
    </row>
    <row r="9019" spans="1:39" x14ac:dyDescent="0.25">
      <c r="A9019" s="2066"/>
      <c r="B9019" s="2066"/>
      <c r="C9019" s="2066"/>
      <c r="D9019" s="2066"/>
      <c r="E9019" s="2066"/>
      <c r="F9019" s="2066"/>
      <c r="G9019" s="2066"/>
      <c r="H9019" s="2066"/>
      <c r="I9019" s="2066"/>
      <c r="J9019" s="2066"/>
      <c r="K9019" s="2066"/>
      <c r="L9019" s="2066"/>
      <c r="M9019" s="2066"/>
      <c r="N9019" s="2066"/>
      <c r="O9019" s="2066"/>
      <c r="P9019" s="49"/>
      <c r="Q9019" s="1"/>
      <c r="R9019" s="2066"/>
      <c r="S9019" s="1"/>
      <c r="T9019" s="1"/>
      <c r="U9019" s="1"/>
      <c r="V9019" s="1"/>
      <c r="W9019" s="1"/>
      <c r="X9019" s="1"/>
      <c r="Y9019" s="1"/>
      <c r="Z9019" s="2066"/>
      <c r="AA9019" s="2066"/>
      <c r="AB9019" s="1"/>
      <c r="AC9019" s="1"/>
      <c r="AD9019" s="1"/>
      <c r="AE9019" s="1"/>
      <c r="AF9019" s="1"/>
      <c r="AG9019" s="1"/>
      <c r="AH9019" s="1"/>
      <c r="AI9019" s="1"/>
      <c r="AJ9019" s="1"/>
      <c r="AK9019" s="1"/>
      <c r="AL9019" s="1"/>
      <c r="AM9019" s="1"/>
    </row>
    <row r="9020" spans="1:39" x14ac:dyDescent="0.25">
      <c r="A9020" s="2066"/>
      <c r="B9020" s="2066"/>
      <c r="C9020" s="2066"/>
      <c r="D9020" s="2066"/>
      <c r="E9020" s="2066"/>
      <c r="F9020" s="2066"/>
      <c r="G9020" s="2066"/>
      <c r="H9020" s="2066"/>
      <c r="I9020" s="2066"/>
      <c r="J9020" s="2066"/>
      <c r="K9020" s="2066"/>
      <c r="L9020" s="2066"/>
      <c r="M9020" s="2066"/>
      <c r="N9020" s="2066"/>
      <c r="O9020" s="2066"/>
      <c r="P9020" s="49"/>
      <c r="Q9020" s="1"/>
      <c r="R9020" s="2066"/>
      <c r="S9020" s="1"/>
      <c r="T9020" s="1"/>
      <c r="U9020" s="1"/>
      <c r="V9020" s="1"/>
      <c r="W9020" s="1"/>
      <c r="X9020" s="1"/>
      <c r="Y9020" s="1"/>
      <c r="Z9020" s="2066"/>
      <c r="AA9020" s="2066"/>
      <c r="AB9020" s="1"/>
      <c r="AC9020" s="1"/>
      <c r="AD9020" s="1"/>
      <c r="AE9020" s="1"/>
      <c r="AF9020" s="1"/>
      <c r="AG9020" s="1"/>
      <c r="AH9020" s="1"/>
      <c r="AI9020" s="1"/>
      <c r="AJ9020" s="1"/>
      <c r="AK9020" s="1"/>
      <c r="AL9020" s="1"/>
      <c r="AM9020" s="1"/>
    </row>
    <row r="9021" spans="1:39" x14ac:dyDescent="0.25">
      <c r="A9021" s="2066"/>
      <c r="B9021" s="2066"/>
      <c r="C9021" s="2066"/>
      <c r="D9021" s="2066"/>
      <c r="E9021" s="2066"/>
      <c r="F9021" s="2066"/>
      <c r="G9021" s="2066"/>
      <c r="H9021" s="2066"/>
      <c r="I9021" s="2066"/>
      <c r="J9021" s="2066"/>
      <c r="K9021" s="2066"/>
      <c r="L9021" s="2066"/>
      <c r="M9021" s="2066"/>
      <c r="N9021" s="2066"/>
      <c r="O9021" s="2066"/>
      <c r="P9021" s="49"/>
      <c r="Q9021" s="1"/>
      <c r="R9021" s="2066"/>
      <c r="S9021" s="1"/>
      <c r="T9021" s="1"/>
      <c r="U9021" s="1"/>
      <c r="V9021" s="1"/>
      <c r="W9021" s="1"/>
      <c r="X9021" s="1"/>
      <c r="Y9021" s="1"/>
      <c r="Z9021" s="2066"/>
      <c r="AA9021" s="2066"/>
      <c r="AB9021" s="1"/>
      <c r="AC9021" s="1"/>
      <c r="AD9021" s="1"/>
      <c r="AE9021" s="1"/>
      <c r="AF9021" s="1"/>
      <c r="AG9021" s="1"/>
      <c r="AH9021" s="1"/>
      <c r="AI9021" s="1"/>
      <c r="AJ9021" s="1"/>
      <c r="AK9021" s="1"/>
      <c r="AL9021" s="1"/>
      <c r="AM9021" s="1"/>
    </row>
    <row r="9022" spans="1:39" x14ac:dyDescent="0.25">
      <c r="A9022" s="2066"/>
      <c r="B9022" s="2066"/>
      <c r="C9022" s="2066"/>
      <c r="D9022" s="2066"/>
      <c r="E9022" s="2066"/>
      <c r="F9022" s="2066"/>
      <c r="G9022" s="2066"/>
      <c r="H9022" s="2066"/>
      <c r="I9022" s="2066"/>
      <c r="J9022" s="2066"/>
      <c r="K9022" s="2066"/>
      <c r="L9022" s="2066"/>
      <c r="M9022" s="2066"/>
      <c r="N9022" s="2066"/>
      <c r="O9022" s="2066"/>
      <c r="P9022" s="49"/>
      <c r="Q9022" s="1"/>
      <c r="R9022" s="2066"/>
      <c r="S9022" s="1"/>
      <c r="T9022" s="1"/>
      <c r="U9022" s="1"/>
      <c r="V9022" s="1"/>
      <c r="W9022" s="1"/>
      <c r="X9022" s="1"/>
      <c r="Y9022" s="1"/>
      <c r="Z9022" s="2066"/>
      <c r="AA9022" s="2066"/>
      <c r="AB9022" s="1"/>
      <c r="AC9022" s="1"/>
      <c r="AD9022" s="1"/>
      <c r="AE9022" s="1"/>
      <c r="AF9022" s="1"/>
      <c r="AG9022" s="1"/>
      <c r="AH9022" s="1"/>
      <c r="AI9022" s="1"/>
      <c r="AJ9022" s="1"/>
      <c r="AK9022" s="1"/>
      <c r="AL9022" s="1"/>
      <c r="AM9022" s="1"/>
    </row>
    <row r="9023" spans="1:39" x14ac:dyDescent="0.25">
      <c r="A9023" s="2066"/>
      <c r="B9023" s="2066"/>
      <c r="C9023" s="2066"/>
      <c r="D9023" s="2066"/>
      <c r="E9023" s="2066"/>
      <c r="F9023" s="2066"/>
      <c r="G9023" s="2066"/>
      <c r="H9023" s="2066"/>
      <c r="I9023" s="2066"/>
      <c r="J9023" s="2066"/>
      <c r="K9023" s="2066"/>
      <c r="L9023" s="2066"/>
      <c r="M9023" s="2066"/>
      <c r="N9023" s="2066"/>
      <c r="O9023" s="2066"/>
      <c r="P9023" s="49"/>
      <c r="Q9023" s="1"/>
      <c r="R9023" s="2066"/>
      <c r="S9023" s="1"/>
      <c r="T9023" s="1"/>
      <c r="U9023" s="1"/>
      <c r="V9023" s="1"/>
      <c r="W9023" s="1"/>
      <c r="X9023" s="1"/>
      <c r="Y9023" s="1"/>
      <c r="Z9023" s="2066"/>
      <c r="AA9023" s="2066"/>
      <c r="AB9023" s="1"/>
      <c r="AC9023" s="1"/>
      <c r="AD9023" s="1"/>
      <c r="AE9023" s="1"/>
      <c r="AF9023" s="1"/>
      <c r="AG9023" s="1"/>
      <c r="AH9023" s="1"/>
      <c r="AI9023" s="1"/>
      <c r="AJ9023" s="1"/>
      <c r="AK9023" s="1"/>
      <c r="AL9023" s="1"/>
      <c r="AM9023" s="1"/>
    </row>
    <row r="9024" spans="1:39" x14ac:dyDescent="0.25">
      <c r="A9024" s="2066"/>
      <c r="B9024" s="2066"/>
      <c r="C9024" s="2066"/>
      <c r="D9024" s="2066"/>
      <c r="E9024" s="2066"/>
      <c r="F9024" s="2066"/>
      <c r="G9024" s="2066"/>
      <c r="H9024" s="2066"/>
      <c r="I9024" s="2066"/>
      <c r="J9024" s="2066"/>
      <c r="K9024" s="2066"/>
      <c r="L9024" s="2066"/>
      <c r="M9024" s="2066"/>
      <c r="N9024" s="2066"/>
      <c r="O9024" s="2066"/>
      <c r="P9024" s="49"/>
      <c r="Q9024" s="1"/>
      <c r="R9024" s="2066"/>
      <c r="S9024" s="1"/>
      <c r="T9024" s="1"/>
      <c r="U9024" s="1"/>
      <c r="V9024" s="1"/>
      <c r="W9024" s="1"/>
      <c r="X9024" s="1"/>
      <c r="Y9024" s="1"/>
      <c r="Z9024" s="2066"/>
      <c r="AA9024" s="2066"/>
      <c r="AB9024" s="1"/>
      <c r="AC9024" s="1"/>
      <c r="AD9024" s="1"/>
      <c r="AE9024" s="1"/>
      <c r="AF9024" s="1"/>
      <c r="AG9024" s="1"/>
      <c r="AH9024" s="1"/>
      <c r="AI9024" s="1"/>
      <c r="AJ9024" s="1"/>
      <c r="AK9024" s="1"/>
      <c r="AL9024" s="1"/>
      <c r="AM9024" s="1"/>
    </row>
    <row r="9025" spans="1:39" x14ac:dyDescent="0.25">
      <c r="A9025" s="2066"/>
      <c r="B9025" s="2066"/>
      <c r="C9025" s="2066"/>
      <c r="D9025" s="2066"/>
      <c r="E9025" s="2066"/>
      <c r="F9025" s="2066"/>
      <c r="G9025" s="2066"/>
      <c r="H9025" s="2066"/>
      <c r="I9025" s="2066"/>
      <c r="J9025" s="2066"/>
      <c r="K9025" s="2066"/>
      <c r="L9025" s="2066"/>
      <c r="M9025" s="2066"/>
      <c r="N9025" s="2066"/>
      <c r="O9025" s="2066"/>
      <c r="P9025" s="49"/>
      <c r="Q9025" s="1"/>
      <c r="R9025" s="2066"/>
      <c r="S9025" s="1"/>
      <c r="T9025" s="1"/>
      <c r="U9025" s="1"/>
      <c r="V9025" s="1"/>
      <c r="W9025" s="1"/>
      <c r="X9025" s="1"/>
      <c r="Y9025" s="1"/>
      <c r="Z9025" s="2066"/>
      <c r="AA9025" s="2066"/>
      <c r="AB9025" s="1"/>
      <c r="AC9025" s="1"/>
      <c r="AD9025" s="1"/>
      <c r="AE9025" s="1"/>
      <c r="AF9025" s="1"/>
      <c r="AG9025" s="1"/>
      <c r="AH9025" s="1"/>
      <c r="AI9025" s="1"/>
      <c r="AJ9025" s="1"/>
      <c r="AK9025" s="1"/>
      <c r="AL9025" s="1"/>
      <c r="AM9025" s="1"/>
    </row>
    <row r="9026" spans="1:39" x14ac:dyDescent="0.25">
      <c r="A9026" s="2066"/>
      <c r="B9026" s="2066"/>
      <c r="C9026" s="2066"/>
      <c r="D9026" s="2066"/>
      <c r="E9026" s="2066"/>
      <c r="F9026" s="2066"/>
      <c r="G9026" s="2066"/>
      <c r="H9026" s="2066"/>
      <c r="I9026" s="2066"/>
      <c r="J9026" s="2066"/>
      <c r="K9026" s="2066"/>
      <c r="L9026" s="2066"/>
      <c r="M9026" s="2066"/>
      <c r="N9026" s="2066"/>
      <c r="O9026" s="2066"/>
      <c r="P9026" s="49"/>
      <c r="Q9026" s="1"/>
      <c r="R9026" s="2066"/>
      <c r="S9026" s="1"/>
      <c r="T9026" s="1"/>
      <c r="U9026" s="1"/>
      <c r="V9026" s="1"/>
      <c r="W9026" s="1"/>
      <c r="X9026" s="1"/>
      <c r="Y9026" s="1"/>
      <c r="Z9026" s="2066"/>
      <c r="AA9026" s="2066"/>
      <c r="AB9026" s="1"/>
      <c r="AC9026" s="1"/>
      <c r="AD9026" s="1"/>
      <c r="AE9026" s="1"/>
      <c r="AF9026" s="1"/>
      <c r="AG9026" s="1"/>
      <c r="AH9026" s="1"/>
      <c r="AI9026" s="1"/>
      <c r="AJ9026" s="1"/>
      <c r="AK9026" s="1"/>
      <c r="AL9026" s="1"/>
      <c r="AM9026" s="1"/>
    </row>
    <row r="9027" spans="1:39" x14ac:dyDescent="0.25">
      <c r="A9027" s="2066"/>
      <c r="B9027" s="2066"/>
      <c r="C9027" s="2066"/>
      <c r="D9027" s="2066"/>
      <c r="E9027" s="2066"/>
      <c r="F9027" s="2066"/>
      <c r="G9027" s="2066"/>
      <c r="H9027" s="2066"/>
      <c r="I9027" s="2066"/>
      <c r="J9027" s="2066"/>
      <c r="K9027" s="2066"/>
      <c r="L9027" s="2066"/>
      <c r="M9027" s="2066"/>
      <c r="N9027" s="2066"/>
      <c r="O9027" s="2066"/>
      <c r="P9027" s="49"/>
      <c r="Q9027" s="1"/>
      <c r="R9027" s="2066"/>
      <c r="S9027" s="1"/>
      <c r="T9027" s="1"/>
      <c r="U9027" s="1"/>
      <c r="V9027" s="1"/>
      <c r="W9027" s="1"/>
      <c r="X9027" s="1"/>
      <c r="Y9027" s="1"/>
      <c r="Z9027" s="2066"/>
      <c r="AA9027" s="2066"/>
      <c r="AB9027" s="1"/>
      <c r="AC9027" s="1"/>
      <c r="AD9027" s="1"/>
      <c r="AE9027" s="1"/>
      <c r="AF9027" s="1"/>
      <c r="AG9027" s="1"/>
      <c r="AH9027" s="1"/>
      <c r="AI9027" s="1"/>
      <c r="AJ9027" s="1"/>
      <c r="AK9027" s="1"/>
      <c r="AL9027" s="1"/>
      <c r="AM9027" s="1"/>
    </row>
    <row r="9028" spans="1:39" x14ac:dyDescent="0.25">
      <c r="A9028" s="2066"/>
      <c r="B9028" s="2066"/>
      <c r="C9028" s="2066"/>
      <c r="D9028" s="2066"/>
      <c r="E9028" s="2066"/>
      <c r="F9028" s="2066"/>
      <c r="G9028" s="2066"/>
      <c r="H9028" s="2066"/>
      <c r="I9028" s="2066"/>
      <c r="J9028" s="2066"/>
      <c r="K9028" s="2066"/>
      <c r="L9028" s="2066"/>
      <c r="M9028" s="2066"/>
      <c r="N9028" s="2066"/>
      <c r="O9028" s="2066"/>
      <c r="P9028" s="49"/>
      <c r="Q9028" s="1"/>
      <c r="R9028" s="2066"/>
      <c r="S9028" s="1"/>
      <c r="T9028" s="1"/>
      <c r="U9028" s="1"/>
      <c r="V9028" s="1"/>
      <c r="W9028" s="1"/>
      <c r="X9028" s="1"/>
      <c r="Y9028" s="1"/>
      <c r="Z9028" s="2066"/>
      <c r="AA9028" s="2066"/>
      <c r="AB9028" s="1"/>
      <c r="AC9028" s="1"/>
      <c r="AD9028" s="1"/>
      <c r="AE9028" s="1"/>
      <c r="AF9028" s="1"/>
      <c r="AG9028" s="1"/>
      <c r="AH9028" s="1"/>
      <c r="AI9028" s="1"/>
      <c r="AJ9028" s="1"/>
      <c r="AK9028" s="1"/>
      <c r="AL9028" s="1"/>
      <c r="AM9028" s="1"/>
    </row>
    <row r="9029" spans="1:39" x14ac:dyDescent="0.25">
      <c r="A9029" s="2066"/>
      <c r="B9029" s="2066"/>
      <c r="C9029" s="2066"/>
      <c r="D9029" s="2066"/>
      <c r="E9029" s="2066"/>
      <c r="F9029" s="2066"/>
      <c r="G9029" s="2066"/>
      <c r="H9029" s="2066"/>
      <c r="I9029" s="2066"/>
      <c r="J9029" s="2066"/>
      <c r="K9029" s="2066"/>
      <c r="L9029" s="2066"/>
      <c r="M9029" s="2066"/>
      <c r="N9029" s="2066"/>
      <c r="O9029" s="2066"/>
      <c r="P9029" s="49"/>
      <c r="Q9029" s="1"/>
      <c r="R9029" s="2066"/>
      <c r="S9029" s="1"/>
      <c r="T9029" s="1"/>
      <c r="U9029" s="1"/>
      <c r="V9029" s="1"/>
      <c r="W9029" s="1"/>
      <c r="X9029" s="1"/>
      <c r="Y9029" s="1"/>
      <c r="Z9029" s="2066"/>
      <c r="AA9029" s="2066"/>
      <c r="AB9029" s="1"/>
      <c r="AC9029" s="1"/>
      <c r="AD9029" s="1"/>
      <c r="AE9029" s="1"/>
      <c r="AF9029" s="1"/>
      <c r="AG9029" s="1"/>
      <c r="AH9029" s="1"/>
      <c r="AI9029" s="1"/>
      <c r="AJ9029" s="1"/>
      <c r="AK9029" s="1"/>
      <c r="AL9029" s="1"/>
      <c r="AM9029" s="1"/>
    </row>
    <row r="9030" spans="1:39" x14ac:dyDescent="0.25">
      <c r="A9030" s="2066"/>
      <c r="B9030" s="2066"/>
      <c r="C9030" s="2066"/>
      <c r="D9030" s="2066"/>
      <c r="E9030" s="2066"/>
      <c r="F9030" s="2066"/>
      <c r="G9030" s="2066"/>
      <c r="H9030" s="2066"/>
      <c r="I9030" s="2066"/>
      <c r="J9030" s="2066"/>
      <c r="K9030" s="2066"/>
      <c r="L9030" s="2066"/>
      <c r="M9030" s="2066"/>
      <c r="N9030" s="2066"/>
      <c r="O9030" s="2066"/>
      <c r="P9030" s="49"/>
      <c r="Q9030" s="1"/>
      <c r="R9030" s="2066"/>
      <c r="S9030" s="1"/>
      <c r="T9030" s="1"/>
      <c r="U9030" s="1"/>
      <c r="V9030" s="1"/>
      <c r="W9030" s="1"/>
      <c r="X9030" s="1"/>
      <c r="Y9030" s="1"/>
      <c r="Z9030" s="2066"/>
      <c r="AA9030" s="2066"/>
      <c r="AB9030" s="1"/>
      <c r="AC9030" s="1"/>
      <c r="AD9030" s="1"/>
      <c r="AE9030" s="1"/>
      <c r="AF9030" s="1"/>
      <c r="AG9030" s="1"/>
      <c r="AH9030" s="1"/>
      <c r="AI9030" s="1"/>
      <c r="AJ9030" s="1"/>
      <c r="AK9030" s="1"/>
      <c r="AL9030" s="1"/>
      <c r="AM9030" s="1"/>
    </row>
    <row r="9031" spans="1:39" x14ac:dyDescent="0.25">
      <c r="A9031" s="2066"/>
      <c r="B9031" s="2066"/>
      <c r="C9031" s="2066"/>
      <c r="D9031" s="2066"/>
      <c r="E9031" s="2066"/>
      <c r="F9031" s="2066"/>
      <c r="G9031" s="2066"/>
      <c r="H9031" s="2066"/>
      <c r="I9031" s="2066"/>
      <c r="J9031" s="2066"/>
      <c r="K9031" s="2066"/>
      <c r="L9031" s="2066"/>
      <c r="M9031" s="2066"/>
      <c r="N9031" s="2066"/>
      <c r="O9031" s="2066"/>
      <c r="P9031" s="49"/>
      <c r="Q9031" s="1"/>
      <c r="R9031" s="2066"/>
      <c r="S9031" s="1"/>
      <c r="T9031" s="1"/>
      <c r="U9031" s="1"/>
      <c r="V9031" s="1"/>
      <c r="W9031" s="1"/>
      <c r="X9031" s="1"/>
      <c r="Y9031" s="1"/>
      <c r="Z9031" s="2066"/>
      <c r="AA9031" s="2066"/>
      <c r="AB9031" s="1"/>
      <c r="AC9031" s="1"/>
      <c r="AD9031" s="1"/>
      <c r="AE9031" s="1"/>
      <c r="AF9031" s="1"/>
      <c r="AG9031" s="1"/>
      <c r="AH9031" s="1"/>
      <c r="AI9031" s="1"/>
      <c r="AJ9031" s="1"/>
      <c r="AK9031" s="1"/>
      <c r="AL9031" s="1"/>
      <c r="AM9031" s="1"/>
    </row>
    <row r="9032" spans="1:39" x14ac:dyDescent="0.25">
      <c r="A9032" s="2066"/>
      <c r="B9032" s="2066"/>
      <c r="C9032" s="2066"/>
      <c r="D9032" s="2066"/>
      <c r="E9032" s="2066"/>
      <c r="F9032" s="2066"/>
      <c r="G9032" s="2066"/>
      <c r="H9032" s="2066"/>
      <c r="I9032" s="2066"/>
      <c r="J9032" s="2066"/>
      <c r="K9032" s="2066"/>
      <c r="L9032" s="2066"/>
      <c r="M9032" s="2066"/>
      <c r="N9032" s="2066"/>
      <c r="O9032" s="2066"/>
      <c r="P9032" s="49"/>
      <c r="Q9032" s="1"/>
      <c r="R9032" s="2066"/>
      <c r="S9032" s="1"/>
      <c r="T9032" s="1"/>
      <c r="U9032" s="1"/>
      <c r="V9032" s="1"/>
      <c r="W9032" s="1"/>
      <c r="X9032" s="1"/>
      <c r="Y9032" s="1"/>
      <c r="Z9032" s="2066"/>
      <c r="AA9032" s="2066"/>
      <c r="AB9032" s="1"/>
      <c r="AC9032" s="1"/>
      <c r="AD9032" s="1"/>
      <c r="AE9032" s="1"/>
      <c r="AF9032" s="1"/>
      <c r="AG9032" s="1"/>
      <c r="AH9032" s="1"/>
      <c r="AI9032" s="1"/>
      <c r="AJ9032" s="1"/>
      <c r="AK9032" s="1"/>
      <c r="AL9032" s="1"/>
      <c r="AM9032" s="1"/>
    </row>
    <row r="9033" spans="1:39" x14ac:dyDescent="0.25">
      <c r="A9033" s="2066"/>
      <c r="B9033" s="2066"/>
      <c r="C9033" s="2066"/>
      <c r="D9033" s="2066"/>
      <c r="E9033" s="2066"/>
      <c r="F9033" s="2066"/>
      <c r="G9033" s="2066"/>
      <c r="H9033" s="2066"/>
      <c r="I9033" s="2066"/>
      <c r="J9033" s="2066"/>
      <c r="K9033" s="2066"/>
      <c r="L9033" s="2066"/>
      <c r="M9033" s="2066"/>
      <c r="N9033" s="2066"/>
      <c r="O9033" s="2066"/>
      <c r="P9033" s="49"/>
      <c r="Q9033" s="1"/>
      <c r="R9033" s="2066"/>
      <c r="S9033" s="1"/>
      <c r="T9033" s="1"/>
      <c r="U9033" s="1"/>
      <c r="V9033" s="1"/>
      <c r="W9033" s="1"/>
      <c r="X9033" s="1"/>
      <c r="Y9033" s="1"/>
      <c r="Z9033" s="2066"/>
      <c r="AA9033" s="2066"/>
      <c r="AB9033" s="1"/>
      <c r="AC9033" s="1"/>
      <c r="AD9033" s="1"/>
      <c r="AE9033" s="1"/>
      <c r="AF9033" s="1"/>
      <c r="AG9033" s="1"/>
      <c r="AH9033" s="1"/>
      <c r="AI9033" s="1"/>
      <c r="AJ9033" s="1"/>
      <c r="AK9033" s="1"/>
      <c r="AL9033" s="1"/>
      <c r="AM9033" s="1"/>
    </row>
    <row r="9034" spans="1:39" x14ac:dyDescent="0.25">
      <c r="A9034" s="2066"/>
      <c r="B9034" s="2066"/>
      <c r="C9034" s="2066"/>
      <c r="D9034" s="2066"/>
      <c r="E9034" s="2066"/>
      <c r="F9034" s="2066"/>
      <c r="G9034" s="2066"/>
      <c r="H9034" s="2066"/>
      <c r="I9034" s="2066"/>
      <c r="J9034" s="2066"/>
      <c r="K9034" s="2066"/>
      <c r="L9034" s="2066"/>
      <c r="M9034" s="2066"/>
      <c r="N9034" s="2066"/>
      <c r="O9034" s="2066"/>
      <c r="P9034" s="49"/>
      <c r="Q9034" s="1"/>
      <c r="R9034" s="2066"/>
      <c r="S9034" s="1"/>
      <c r="T9034" s="1"/>
      <c r="U9034" s="1"/>
      <c r="V9034" s="1"/>
      <c r="W9034" s="1"/>
      <c r="X9034" s="1"/>
      <c r="Y9034" s="1"/>
      <c r="Z9034" s="2066"/>
      <c r="AA9034" s="2066"/>
      <c r="AB9034" s="1"/>
      <c r="AC9034" s="1"/>
      <c r="AD9034" s="1"/>
      <c r="AE9034" s="1"/>
      <c r="AF9034" s="1"/>
      <c r="AG9034" s="1"/>
      <c r="AH9034" s="1"/>
      <c r="AI9034" s="1"/>
      <c r="AJ9034" s="1"/>
      <c r="AK9034" s="1"/>
      <c r="AL9034" s="1"/>
      <c r="AM9034" s="1"/>
    </row>
    <row r="9035" spans="1:39" x14ac:dyDescent="0.25">
      <c r="A9035" s="2066"/>
      <c r="B9035" s="2066"/>
      <c r="C9035" s="2066"/>
      <c r="D9035" s="2066"/>
      <c r="E9035" s="2066"/>
      <c r="F9035" s="2066"/>
      <c r="G9035" s="2066"/>
      <c r="H9035" s="2066"/>
      <c r="I9035" s="2066"/>
      <c r="J9035" s="2066"/>
      <c r="K9035" s="2066"/>
      <c r="L9035" s="2066"/>
      <c r="M9035" s="2066"/>
      <c r="N9035" s="2066"/>
      <c r="O9035" s="2066"/>
      <c r="P9035" s="49"/>
      <c r="Q9035" s="1"/>
      <c r="R9035" s="2066"/>
      <c r="S9035" s="1"/>
      <c r="T9035" s="1"/>
      <c r="U9035" s="1"/>
      <c r="V9035" s="1"/>
      <c r="W9035" s="1"/>
      <c r="X9035" s="1"/>
      <c r="Y9035" s="1"/>
      <c r="Z9035" s="2066"/>
      <c r="AA9035" s="2066"/>
      <c r="AB9035" s="1"/>
      <c r="AC9035" s="1"/>
      <c r="AD9035" s="1"/>
      <c r="AE9035" s="1"/>
      <c r="AF9035" s="1"/>
      <c r="AG9035" s="1"/>
      <c r="AH9035" s="1"/>
      <c r="AI9035" s="1"/>
      <c r="AJ9035" s="1"/>
      <c r="AK9035" s="1"/>
      <c r="AL9035" s="1"/>
      <c r="AM9035" s="1"/>
    </row>
    <row r="9036" spans="1:39" x14ac:dyDescent="0.25">
      <c r="A9036" s="2066"/>
      <c r="B9036" s="2066"/>
      <c r="C9036" s="2066"/>
      <c r="D9036" s="2066"/>
      <c r="E9036" s="2066"/>
      <c r="F9036" s="2066"/>
      <c r="G9036" s="2066"/>
      <c r="H9036" s="2066"/>
      <c r="I9036" s="2066"/>
      <c r="J9036" s="2066"/>
      <c r="K9036" s="2066"/>
      <c r="L9036" s="2066"/>
      <c r="M9036" s="2066"/>
      <c r="N9036" s="2066"/>
      <c r="O9036" s="2066"/>
      <c r="P9036" s="49"/>
      <c r="Q9036" s="1"/>
      <c r="R9036" s="2066"/>
      <c r="S9036" s="1"/>
      <c r="T9036" s="1"/>
      <c r="U9036" s="1"/>
      <c r="V9036" s="1"/>
      <c r="W9036" s="1"/>
      <c r="X9036" s="1"/>
      <c r="Y9036" s="1"/>
      <c r="Z9036" s="2066"/>
      <c r="AA9036" s="2066"/>
      <c r="AB9036" s="1"/>
      <c r="AC9036" s="1"/>
      <c r="AD9036" s="1"/>
      <c r="AE9036" s="1"/>
      <c r="AF9036" s="1"/>
      <c r="AG9036" s="1"/>
      <c r="AH9036" s="1"/>
      <c r="AI9036" s="1"/>
      <c r="AJ9036" s="1"/>
      <c r="AK9036" s="1"/>
      <c r="AL9036" s="1"/>
      <c r="AM9036" s="1"/>
    </row>
    <row r="9037" spans="1:39" x14ac:dyDescent="0.25">
      <c r="A9037" s="2066"/>
      <c r="B9037" s="2066"/>
      <c r="C9037" s="2066"/>
      <c r="D9037" s="2066"/>
      <c r="E9037" s="2066"/>
      <c r="F9037" s="2066"/>
      <c r="G9037" s="2066"/>
      <c r="H9037" s="2066"/>
      <c r="I9037" s="2066"/>
      <c r="J9037" s="2066"/>
      <c r="K9037" s="2066"/>
      <c r="L9037" s="2066"/>
      <c r="M9037" s="2066"/>
      <c r="N9037" s="2066"/>
      <c r="O9037" s="2066"/>
      <c r="P9037" s="49"/>
      <c r="Q9037" s="1"/>
      <c r="R9037" s="2066"/>
      <c r="S9037" s="1"/>
      <c r="T9037" s="1"/>
      <c r="U9037" s="1"/>
      <c r="V9037" s="1"/>
      <c r="W9037" s="1"/>
      <c r="X9037" s="1"/>
      <c r="Y9037" s="1"/>
      <c r="Z9037" s="2066"/>
      <c r="AA9037" s="2066"/>
      <c r="AB9037" s="1"/>
      <c r="AC9037" s="1"/>
      <c r="AD9037" s="1"/>
      <c r="AE9037" s="1"/>
      <c r="AF9037" s="1"/>
      <c r="AG9037" s="1"/>
      <c r="AH9037" s="1"/>
      <c r="AI9037" s="1"/>
      <c r="AJ9037" s="1"/>
      <c r="AK9037" s="1"/>
      <c r="AL9037" s="1"/>
      <c r="AM9037" s="1"/>
    </row>
    <row r="9038" spans="1:39" x14ac:dyDescent="0.25">
      <c r="A9038" s="2066"/>
      <c r="B9038" s="2066"/>
      <c r="C9038" s="2066"/>
      <c r="D9038" s="2066"/>
      <c r="E9038" s="2066"/>
      <c r="F9038" s="2066"/>
      <c r="G9038" s="2066"/>
      <c r="H9038" s="2066"/>
      <c r="I9038" s="2066"/>
      <c r="J9038" s="2066"/>
      <c r="K9038" s="2066"/>
      <c r="L9038" s="2066"/>
      <c r="M9038" s="2066"/>
      <c r="N9038" s="2066"/>
      <c r="O9038" s="2066"/>
      <c r="P9038" s="49"/>
      <c r="Q9038" s="1"/>
      <c r="R9038" s="2066"/>
      <c r="S9038" s="1"/>
      <c r="T9038" s="1"/>
      <c r="U9038" s="1"/>
      <c r="V9038" s="1"/>
      <c r="W9038" s="1"/>
      <c r="X9038" s="1"/>
      <c r="Y9038" s="1"/>
      <c r="Z9038" s="2066"/>
      <c r="AA9038" s="2066"/>
      <c r="AB9038" s="1"/>
      <c r="AC9038" s="1"/>
      <c r="AD9038" s="1"/>
      <c r="AE9038" s="1"/>
      <c r="AF9038" s="1"/>
      <c r="AG9038" s="1"/>
      <c r="AH9038" s="1"/>
      <c r="AI9038" s="1"/>
      <c r="AJ9038" s="1"/>
      <c r="AK9038" s="1"/>
      <c r="AL9038" s="1"/>
      <c r="AM9038" s="1"/>
    </row>
    <row r="9039" spans="1:39" x14ac:dyDescent="0.25">
      <c r="A9039" s="2066"/>
      <c r="B9039" s="2066"/>
      <c r="C9039" s="2066"/>
      <c r="D9039" s="2066"/>
      <c r="E9039" s="2066"/>
      <c r="F9039" s="2066"/>
      <c r="G9039" s="2066"/>
      <c r="H9039" s="2066"/>
      <c r="I9039" s="2066"/>
      <c r="J9039" s="2066"/>
      <c r="K9039" s="2066"/>
      <c r="L9039" s="2066"/>
      <c r="M9039" s="2066"/>
      <c r="N9039" s="2066"/>
      <c r="O9039" s="2066"/>
      <c r="P9039" s="49"/>
      <c r="Q9039" s="1"/>
      <c r="R9039" s="2066"/>
      <c r="S9039" s="1"/>
      <c r="T9039" s="1"/>
      <c r="U9039" s="1"/>
      <c r="V9039" s="1"/>
      <c r="W9039" s="1"/>
      <c r="X9039" s="1"/>
      <c r="Y9039" s="1"/>
      <c r="Z9039" s="2066"/>
      <c r="AA9039" s="2066"/>
      <c r="AB9039" s="1"/>
      <c r="AC9039" s="1"/>
      <c r="AD9039" s="1"/>
      <c r="AE9039" s="1"/>
      <c r="AF9039" s="1"/>
      <c r="AG9039" s="1"/>
      <c r="AH9039" s="1"/>
      <c r="AI9039" s="1"/>
      <c r="AJ9039" s="1"/>
      <c r="AK9039" s="1"/>
      <c r="AL9039" s="1"/>
      <c r="AM9039" s="1"/>
    </row>
    <row r="9040" spans="1:39" x14ac:dyDescent="0.25">
      <c r="A9040" s="2066"/>
      <c r="B9040" s="2066"/>
      <c r="C9040" s="2066"/>
      <c r="D9040" s="2066"/>
      <c r="E9040" s="2066"/>
      <c r="F9040" s="2066"/>
      <c r="G9040" s="2066"/>
      <c r="H9040" s="2066"/>
      <c r="I9040" s="2066"/>
      <c r="J9040" s="2066"/>
      <c r="K9040" s="2066"/>
      <c r="L9040" s="2066"/>
      <c r="M9040" s="2066"/>
      <c r="N9040" s="2066"/>
      <c r="O9040" s="2066"/>
      <c r="P9040" s="49"/>
      <c r="Q9040" s="1"/>
      <c r="R9040" s="2066"/>
      <c r="S9040" s="1"/>
      <c r="T9040" s="1"/>
      <c r="U9040" s="1"/>
      <c r="V9040" s="1"/>
      <c r="W9040" s="1"/>
      <c r="X9040" s="1"/>
      <c r="Y9040" s="1"/>
      <c r="Z9040" s="2066"/>
      <c r="AA9040" s="2066"/>
      <c r="AB9040" s="1"/>
      <c r="AC9040" s="1"/>
      <c r="AD9040" s="1"/>
      <c r="AE9040" s="1"/>
      <c r="AF9040" s="1"/>
      <c r="AG9040" s="1"/>
      <c r="AH9040" s="1"/>
      <c r="AI9040" s="1"/>
      <c r="AJ9040" s="1"/>
      <c r="AK9040" s="1"/>
      <c r="AL9040" s="1"/>
      <c r="AM9040" s="1"/>
    </row>
    <row r="9041" spans="1:39" x14ac:dyDescent="0.25">
      <c r="A9041" s="2066"/>
      <c r="B9041" s="2066"/>
      <c r="C9041" s="2066"/>
      <c r="D9041" s="2066"/>
      <c r="E9041" s="2066"/>
      <c r="F9041" s="2066"/>
      <c r="G9041" s="2066"/>
      <c r="H9041" s="2066"/>
      <c r="I9041" s="2066"/>
      <c r="J9041" s="2066"/>
      <c r="K9041" s="2066"/>
      <c r="L9041" s="2066"/>
      <c r="M9041" s="2066"/>
      <c r="N9041" s="2066"/>
      <c r="O9041" s="2066"/>
      <c r="P9041" s="49"/>
      <c r="Q9041" s="1"/>
      <c r="R9041" s="2066"/>
      <c r="S9041" s="1"/>
      <c r="T9041" s="1"/>
      <c r="U9041" s="1"/>
      <c r="V9041" s="1"/>
      <c r="W9041" s="1"/>
      <c r="X9041" s="1"/>
      <c r="Y9041" s="1"/>
      <c r="Z9041" s="2066"/>
      <c r="AA9041" s="2066"/>
      <c r="AB9041" s="1"/>
      <c r="AC9041" s="1"/>
      <c r="AD9041" s="1"/>
      <c r="AE9041" s="1"/>
      <c r="AF9041" s="1"/>
      <c r="AG9041" s="1"/>
      <c r="AH9041" s="1"/>
      <c r="AI9041" s="1"/>
      <c r="AJ9041" s="1"/>
      <c r="AK9041" s="1"/>
      <c r="AL9041" s="1"/>
      <c r="AM9041" s="1"/>
    </row>
    <row r="9042" spans="1:39" x14ac:dyDescent="0.25">
      <c r="A9042" s="2066"/>
      <c r="B9042" s="2066"/>
      <c r="C9042" s="2066"/>
      <c r="D9042" s="2066"/>
      <c r="E9042" s="2066"/>
      <c r="F9042" s="2066"/>
      <c r="G9042" s="2066"/>
      <c r="H9042" s="2066"/>
      <c r="I9042" s="2066"/>
      <c r="J9042" s="2066"/>
      <c r="K9042" s="2066"/>
      <c r="L9042" s="2066"/>
      <c r="M9042" s="2066"/>
      <c r="N9042" s="2066"/>
      <c r="O9042" s="2066"/>
      <c r="P9042" s="49"/>
      <c r="Q9042" s="1"/>
      <c r="R9042" s="2066"/>
      <c r="S9042" s="1"/>
      <c r="T9042" s="1"/>
      <c r="U9042" s="1"/>
      <c r="V9042" s="1"/>
      <c r="W9042" s="1"/>
      <c r="X9042" s="1"/>
      <c r="Y9042" s="1"/>
      <c r="Z9042" s="2066"/>
      <c r="AA9042" s="2066"/>
      <c r="AB9042" s="1"/>
      <c r="AC9042" s="1"/>
      <c r="AD9042" s="1"/>
      <c r="AE9042" s="1"/>
      <c r="AF9042" s="1"/>
      <c r="AG9042" s="1"/>
      <c r="AH9042" s="1"/>
      <c r="AI9042" s="1"/>
      <c r="AJ9042" s="1"/>
      <c r="AK9042" s="1"/>
      <c r="AL9042" s="1"/>
      <c r="AM9042" s="1"/>
    </row>
    <row r="9043" spans="1:39" x14ac:dyDescent="0.25">
      <c r="A9043" s="2066"/>
      <c r="B9043" s="2066"/>
      <c r="C9043" s="2066"/>
      <c r="D9043" s="2066"/>
      <c r="E9043" s="2066"/>
      <c r="F9043" s="2066"/>
      <c r="G9043" s="2066"/>
      <c r="H9043" s="2066"/>
      <c r="I9043" s="2066"/>
      <c r="J9043" s="2066"/>
      <c r="K9043" s="2066"/>
      <c r="L9043" s="2066"/>
      <c r="M9043" s="2066"/>
      <c r="N9043" s="2066"/>
      <c r="O9043" s="2066"/>
      <c r="P9043" s="49"/>
      <c r="Q9043" s="1"/>
      <c r="R9043" s="2066"/>
      <c r="S9043" s="1"/>
      <c r="T9043" s="1"/>
      <c r="U9043" s="1"/>
      <c r="V9043" s="1"/>
      <c r="W9043" s="1"/>
      <c r="X9043" s="1"/>
      <c r="Y9043" s="1"/>
      <c r="Z9043" s="2066"/>
      <c r="AA9043" s="2066"/>
      <c r="AB9043" s="1"/>
      <c r="AC9043" s="1"/>
      <c r="AD9043" s="1"/>
      <c r="AE9043" s="1"/>
      <c r="AF9043" s="1"/>
      <c r="AG9043" s="1"/>
      <c r="AH9043" s="1"/>
      <c r="AI9043" s="1"/>
      <c r="AJ9043" s="1"/>
      <c r="AK9043" s="1"/>
      <c r="AL9043" s="1"/>
      <c r="AM9043" s="1"/>
    </row>
    <row r="9044" spans="1:39" x14ac:dyDescent="0.25">
      <c r="A9044" s="2066"/>
      <c r="B9044" s="2066"/>
      <c r="C9044" s="2066"/>
      <c r="D9044" s="2066"/>
      <c r="E9044" s="2066"/>
      <c r="F9044" s="2066"/>
      <c r="G9044" s="2066"/>
      <c r="H9044" s="2066"/>
      <c r="I9044" s="2066"/>
      <c r="J9044" s="2066"/>
      <c r="K9044" s="2066"/>
      <c r="L9044" s="2066"/>
      <c r="M9044" s="2066"/>
      <c r="N9044" s="2066"/>
      <c r="O9044" s="2066"/>
      <c r="P9044" s="49"/>
      <c r="Q9044" s="1"/>
      <c r="R9044" s="2066"/>
      <c r="S9044" s="1"/>
      <c r="T9044" s="1"/>
      <c r="U9044" s="1"/>
      <c r="V9044" s="1"/>
      <c r="W9044" s="1"/>
      <c r="X9044" s="1"/>
      <c r="Y9044" s="1"/>
      <c r="Z9044" s="2066"/>
      <c r="AA9044" s="2066"/>
      <c r="AB9044" s="1"/>
      <c r="AC9044" s="1"/>
      <c r="AD9044" s="1"/>
      <c r="AE9044" s="1"/>
      <c r="AF9044" s="1"/>
      <c r="AG9044" s="1"/>
      <c r="AH9044" s="1"/>
      <c r="AI9044" s="1"/>
      <c r="AJ9044" s="1"/>
      <c r="AK9044" s="1"/>
      <c r="AL9044" s="1"/>
      <c r="AM9044" s="1"/>
    </row>
    <row r="9045" spans="1:39" x14ac:dyDescent="0.25">
      <c r="A9045" s="2066"/>
      <c r="B9045" s="2066"/>
      <c r="C9045" s="2066"/>
      <c r="D9045" s="2066"/>
      <c r="E9045" s="2066"/>
      <c r="F9045" s="2066"/>
      <c r="G9045" s="2066"/>
      <c r="H9045" s="2066"/>
      <c r="I9045" s="2066"/>
      <c r="J9045" s="2066"/>
      <c r="K9045" s="2066"/>
      <c r="L9045" s="2066"/>
      <c r="M9045" s="2066"/>
      <c r="N9045" s="2066"/>
      <c r="O9045" s="2066"/>
      <c r="P9045" s="49"/>
      <c r="Q9045" s="1"/>
      <c r="R9045" s="2066"/>
      <c r="S9045" s="1"/>
      <c r="T9045" s="1"/>
      <c r="U9045" s="1"/>
      <c r="V9045" s="1"/>
      <c r="W9045" s="1"/>
      <c r="X9045" s="1"/>
      <c r="Y9045" s="1"/>
      <c r="Z9045" s="2066"/>
      <c r="AA9045" s="2066"/>
      <c r="AB9045" s="1"/>
      <c r="AC9045" s="1"/>
      <c r="AD9045" s="1"/>
      <c r="AE9045" s="1"/>
      <c r="AF9045" s="1"/>
      <c r="AG9045" s="1"/>
      <c r="AH9045" s="1"/>
      <c r="AI9045" s="1"/>
      <c r="AJ9045" s="1"/>
      <c r="AK9045" s="1"/>
      <c r="AL9045" s="1"/>
      <c r="AM9045" s="1"/>
    </row>
    <row r="9046" spans="1:39" x14ac:dyDescent="0.25">
      <c r="A9046" s="2066"/>
      <c r="B9046" s="2066"/>
      <c r="C9046" s="2066"/>
      <c r="D9046" s="2066"/>
      <c r="E9046" s="2066"/>
      <c r="F9046" s="2066"/>
      <c r="G9046" s="2066"/>
      <c r="H9046" s="2066"/>
      <c r="I9046" s="2066"/>
      <c r="J9046" s="2066"/>
      <c r="K9046" s="2066"/>
      <c r="L9046" s="2066"/>
      <c r="M9046" s="2066"/>
      <c r="N9046" s="2066"/>
      <c r="O9046" s="2066"/>
      <c r="P9046" s="49"/>
      <c r="Q9046" s="1"/>
      <c r="R9046" s="2066"/>
      <c r="S9046" s="1"/>
      <c r="T9046" s="1"/>
      <c r="U9046" s="1"/>
      <c r="V9046" s="1"/>
      <c r="W9046" s="1"/>
      <c r="X9046" s="1"/>
      <c r="Y9046" s="1"/>
      <c r="Z9046" s="2066"/>
      <c r="AA9046" s="2066"/>
      <c r="AB9046" s="1"/>
      <c r="AC9046" s="1"/>
      <c r="AD9046" s="1"/>
      <c r="AE9046" s="1"/>
      <c r="AF9046" s="1"/>
      <c r="AG9046" s="1"/>
      <c r="AH9046" s="1"/>
      <c r="AI9046" s="1"/>
      <c r="AJ9046" s="1"/>
      <c r="AK9046" s="1"/>
      <c r="AL9046" s="1"/>
      <c r="AM9046" s="1"/>
    </row>
    <row r="9047" spans="1:39" x14ac:dyDescent="0.25">
      <c r="A9047" s="2066"/>
      <c r="B9047" s="2066"/>
      <c r="C9047" s="2066"/>
      <c r="D9047" s="2066"/>
      <c r="E9047" s="2066"/>
      <c r="F9047" s="2066"/>
      <c r="G9047" s="2066"/>
      <c r="H9047" s="2066"/>
      <c r="I9047" s="2066"/>
      <c r="J9047" s="2066"/>
      <c r="K9047" s="2066"/>
      <c r="L9047" s="2066"/>
      <c r="M9047" s="2066"/>
      <c r="N9047" s="2066"/>
      <c r="O9047" s="2066"/>
      <c r="P9047" s="49"/>
      <c r="Q9047" s="1"/>
      <c r="R9047" s="2066"/>
      <c r="S9047" s="1"/>
      <c r="T9047" s="1"/>
      <c r="U9047" s="1"/>
      <c r="V9047" s="1"/>
      <c r="W9047" s="1"/>
      <c r="X9047" s="1"/>
      <c r="Y9047" s="1"/>
      <c r="Z9047" s="2066"/>
      <c r="AA9047" s="2066"/>
      <c r="AB9047" s="1"/>
      <c r="AC9047" s="1"/>
      <c r="AD9047" s="1"/>
      <c r="AE9047" s="1"/>
      <c r="AF9047" s="1"/>
      <c r="AG9047" s="1"/>
      <c r="AH9047" s="1"/>
      <c r="AI9047" s="1"/>
      <c r="AJ9047" s="1"/>
      <c r="AK9047" s="1"/>
      <c r="AL9047" s="1"/>
      <c r="AM9047" s="1"/>
    </row>
    <row r="9048" spans="1:39" x14ac:dyDescent="0.25">
      <c r="A9048" s="2066"/>
      <c r="B9048" s="2066"/>
      <c r="C9048" s="2066"/>
      <c r="D9048" s="2066"/>
      <c r="E9048" s="2066"/>
      <c r="F9048" s="2066"/>
      <c r="G9048" s="2066"/>
      <c r="H9048" s="2066"/>
      <c r="I9048" s="2066"/>
      <c r="J9048" s="2066"/>
      <c r="K9048" s="2066"/>
      <c r="L9048" s="2066"/>
      <c r="M9048" s="2066"/>
      <c r="N9048" s="2066"/>
      <c r="O9048" s="2066"/>
      <c r="P9048" s="49"/>
      <c r="Q9048" s="1"/>
      <c r="R9048" s="2066"/>
      <c r="S9048" s="1"/>
      <c r="T9048" s="1"/>
      <c r="U9048" s="1"/>
      <c r="V9048" s="1"/>
      <c r="W9048" s="1"/>
      <c r="X9048" s="1"/>
      <c r="Y9048" s="1"/>
      <c r="Z9048" s="2066"/>
      <c r="AA9048" s="2066"/>
      <c r="AB9048" s="1"/>
      <c r="AC9048" s="1"/>
      <c r="AD9048" s="1"/>
      <c r="AE9048" s="1"/>
      <c r="AF9048" s="1"/>
      <c r="AG9048" s="1"/>
      <c r="AH9048" s="1"/>
      <c r="AI9048" s="1"/>
      <c r="AJ9048" s="1"/>
      <c r="AK9048" s="1"/>
      <c r="AL9048" s="1"/>
      <c r="AM9048" s="1"/>
    </row>
    <row r="9049" spans="1:39" x14ac:dyDescent="0.25">
      <c r="A9049" s="2066"/>
      <c r="B9049" s="2066"/>
      <c r="C9049" s="2066"/>
      <c r="D9049" s="2066"/>
      <c r="E9049" s="2066"/>
      <c r="F9049" s="2066"/>
      <c r="G9049" s="2066"/>
      <c r="H9049" s="2066"/>
      <c r="I9049" s="2066"/>
      <c r="J9049" s="2066"/>
      <c r="K9049" s="2066"/>
      <c r="L9049" s="2066"/>
      <c r="M9049" s="2066"/>
      <c r="N9049" s="2066"/>
      <c r="O9049" s="2066"/>
      <c r="P9049" s="49"/>
      <c r="Q9049" s="1"/>
      <c r="R9049" s="2066"/>
      <c r="S9049" s="1"/>
      <c r="T9049" s="1"/>
      <c r="U9049" s="1"/>
      <c r="V9049" s="1"/>
      <c r="W9049" s="1"/>
      <c r="X9049" s="1"/>
      <c r="Y9049" s="1"/>
      <c r="Z9049" s="2066"/>
      <c r="AA9049" s="2066"/>
      <c r="AB9049" s="1"/>
      <c r="AC9049" s="1"/>
      <c r="AD9049" s="1"/>
      <c r="AE9049" s="1"/>
      <c r="AF9049" s="1"/>
      <c r="AG9049" s="1"/>
      <c r="AH9049" s="1"/>
      <c r="AI9049" s="1"/>
      <c r="AJ9049" s="1"/>
      <c r="AK9049" s="1"/>
      <c r="AL9049" s="1"/>
      <c r="AM9049" s="1"/>
    </row>
    <row r="9050" spans="1:39" x14ac:dyDescent="0.25">
      <c r="A9050" s="2066"/>
      <c r="B9050" s="2066"/>
      <c r="C9050" s="2066"/>
      <c r="D9050" s="2066"/>
      <c r="E9050" s="2066"/>
      <c r="F9050" s="2066"/>
      <c r="G9050" s="2066"/>
      <c r="H9050" s="2066"/>
      <c r="I9050" s="2066"/>
      <c r="J9050" s="2066"/>
      <c r="K9050" s="2066"/>
      <c r="L9050" s="2066"/>
      <c r="M9050" s="2066"/>
      <c r="N9050" s="2066"/>
      <c r="O9050" s="2066"/>
      <c r="P9050" s="49"/>
      <c r="Q9050" s="1"/>
      <c r="R9050" s="2066"/>
      <c r="S9050" s="1"/>
      <c r="T9050" s="1"/>
      <c r="U9050" s="1"/>
      <c r="V9050" s="1"/>
      <c r="W9050" s="1"/>
      <c r="X9050" s="1"/>
      <c r="Y9050" s="1"/>
      <c r="Z9050" s="2066"/>
      <c r="AA9050" s="2066"/>
      <c r="AB9050" s="1"/>
      <c r="AC9050" s="1"/>
      <c r="AD9050" s="1"/>
      <c r="AE9050" s="1"/>
      <c r="AF9050" s="1"/>
      <c r="AG9050" s="1"/>
      <c r="AH9050" s="1"/>
      <c r="AI9050" s="1"/>
      <c r="AJ9050" s="1"/>
      <c r="AK9050" s="1"/>
      <c r="AL9050" s="1"/>
      <c r="AM9050" s="1"/>
    </row>
    <row r="9051" spans="1:39" x14ac:dyDescent="0.25">
      <c r="A9051" s="2066"/>
      <c r="B9051" s="2066"/>
      <c r="C9051" s="2066"/>
      <c r="D9051" s="2066"/>
      <c r="E9051" s="2066"/>
      <c r="F9051" s="2066"/>
      <c r="G9051" s="2066"/>
      <c r="H9051" s="2066"/>
      <c r="I9051" s="2066"/>
      <c r="J9051" s="2066"/>
      <c r="K9051" s="2066"/>
      <c r="L9051" s="2066"/>
      <c r="M9051" s="2066"/>
      <c r="N9051" s="2066"/>
      <c r="O9051" s="2066"/>
      <c r="P9051" s="49"/>
      <c r="Q9051" s="1"/>
      <c r="R9051" s="2066"/>
      <c r="S9051" s="1"/>
      <c r="T9051" s="1"/>
      <c r="U9051" s="1"/>
      <c r="V9051" s="1"/>
      <c r="W9051" s="1"/>
      <c r="X9051" s="1"/>
      <c r="Y9051" s="1"/>
      <c r="Z9051" s="2066"/>
      <c r="AA9051" s="2066"/>
      <c r="AB9051" s="1"/>
      <c r="AC9051" s="1"/>
      <c r="AD9051" s="1"/>
      <c r="AE9051" s="1"/>
      <c r="AF9051" s="1"/>
      <c r="AG9051" s="1"/>
      <c r="AH9051" s="1"/>
      <c r="AI9051" s="1"/>
      <c r="AJ9051" s="1"/>
      <c r="AK9051" s="1"/>
      <c r="AL9051" s="1"/>
      <c r="AM9051" s="1"/>
    </row>
    <row r="9052" spans="1:39" x14ac:dyDescent="0.25">
      <c r="A9052" s="2066"/>
      <c r="B9052" s="2066"/>
      <c r="C9052" s="2066"/>
      <c r="D9052" s="2066"/>
      <c r="E9052" s="2066"/>
      <c r="F9052" s="2066"/>
      <c r="G9052" s="2066"/>
      <c r="H9052" s="2066"/>
      <c r="I9052" s="2066"/>
      <c r="J9052" s="2066"/>
      <c r="K9052" s="2066"/>
      <c r="L9052" s="2066"/>
      <c r="M9052" s="2066"/>
      <c r="N9052" s="2066"/>
      <c r="O9052" s="2066"/>
      <c r="P9052" s="49"/>
      <c r="Q9052" s="1"/>
      <c r="R9052" s="2066"/>
      <c r="S9052" s="1"/>
      <c r="T9052" s="1"/>
      <c r="U9052" s="1"/>
      <c r="V9052" s="1"/>
      <c r="W9052" s="1"/>
      <c r="X9052" s="1"/>
      <c r="Y9052" s="1"/>
      <c r="Z9052" s="2066"/>
      <c r="AA9052" s="2066"/>
      <c r="AB9052" s="1"/>
      <c r="AC9052" s="1"/>
      <c r="AD9052" s="1"/>
      <c r="AE9052" s="1"/>
      <c r="AF9052" s="1"/>
      <c r="AG9052" s="1"/>
      <c r="AH9052" s="1"/>
      <c r="AI9052" s="1"/>
      <c r="AJ9052" s="1"/>
      <c r="AK9052" s="1"/>
      <c r="AL9052" s="1"/>
      <c r="AM9052" s="1"/>
    </row>
    <row r="9053" spans="1:39" x14ac:dyDescent="0.25">
      <c r="A9053" s="2066"/>
      <c r="B9053" s="2066"/>
      <c r="C9053" s="2066"/>
      <c r="D9053" s="2066"/>
      <c r="E9053" s="2066"/>
      <c r="F9053" s="2066"/>
      <c r="G9053" s="2066"/>
      <c r="H9053" s="2066"/>
      <c r="I9053" s="2066"/>
      <c r="J9053" s="2066"/>
      <c r="K9053" s="2066"/>
      <c r="L9053" s="2066"/>
      <c r="M9053" s="2066"/>
      <c r="N9053" s="2066"/>
      <c r="O9053" s="2066"/>
      <c r="P9053" s="49"/>
      <c r="Q9053" s="1"/>
      <c r="R9053" s="2066"/>
      <c r="S9053" s="1"/>
      <c r="T9053" s="1"/>
      <c r="U9053" s="1"/>
      <c r="V9053" s="1"/>
      <c r="W9053" s="1"/>
      <c r="X9053" s="1"/>
      <c r="Y9053" s="1"/>
      <c r="Z9053" s="2066"/>
      <c r="AA9053" s="2066"/>
      <c r="AB9053" s="1"/>
      <c r="AC9053" s="1"/>
      <c r="AD9053" s="1"/>
      <c r="AE9053" s="1"/>
      <c r="AF9053" s="1"/>
      <c r="AG9053" s="1"/>
      <c r="AH9053" s="1"/>
      <c r="AI9053" s="1"/>
      <c r="AJ9053" s="1"/>
      <c r="AK9053" s="1"/>
      <c r="AL9053" s="1"/>
      <c r="AM9053" s="1"/>
    </row>
    <row r="9054" spans="1:39" x14ac:dyDescent="0.25">
      <c r="A9054" s="2066"/>
      <c r="B9054" s="2066"/>
      <c r="C9054" s="2066"/>
      <c r="D9054" s="2066"/>
      <c r="E9054" s="2066"/>
      <c r="F9054" s="2066"/>
      <c r="G9054" s="2066"/>
      <c r="H9054" s="2066"/>
      <c r="I9054" s="2066"/>
      <c r="J9054" s="2066"/>
      <c r="K9054" s="2066"/>
      <c r="L9054" s="2066"/>
      <c r="M9054" s="2066"/>
      <c r="N9054" s="2066"/>
      <c r="O9054" s="2066"/>
      <c r="P9054" s="49"/>
      <c r="Q9054" s="1"/>
      <c r="R9054" s="2066"/>
      <c r="S9054" s="1"/>
      <c r="T9054" s="1"/>
      <c r="U9054" s="1"/>
      <c r="V9054" s="1"/>
      <c r="W9054" s="1"/>
      <c r="X9054" s="1"/>
      <c r="Y9054" s="1"/>
      <c r="Z9054" s="2066"/>
      <c r="AA9054" s="2066"/>
      <c r="AB9054" s="1"/>
      <c r="AC9054" s="1"/>
      <c r="AD9054" s="1"/>
      <c r="AE9054" s="1"/>
      <c r="AF9054" s="1"/>
      <c r="AG9054" s="1"/>
      <c r="AH9054" s="1"/>
      <c r="AI9054" s="1"/>
      <c r="AJ9054" s="1"/>
      <c r="AK9054" s="1"/>
      <c r="AL9054" s="1"/>
      <c r="AM9054" s="1"/>
    </row>
    <row r="9055" spans="1:39" x14ac:dyDescent="0.25">
      <c r="A9055" s="2066"/>
      <c r="B9055" s="2066"/>
      <c r="C9055" s="2066"/>
      <c r="D9055" s="2066"/>
      <c r="E9055" s="2066"/>
      <c r="F9055" s="2066"/>
      <c r="G9055" s="2066"/>
      <c r="H9055" s="2066"/>
      <c r="I9055" s="2066"/>
      <c r="J9055" s="2066"/>
      <c r="K9055" s="2066"/>
      <c r="L9055" s="2066"/>
      <c r="M9055" s="2066"/>
      <c r="N9055" s="2066"/>
      <c r="O9055" s="2066"/>
      <c r="P9055" s="49"/>
      <c r="Q9055" s="1"/>
      <c r="R9055" s="2066"/>
      <c r="S9055" s="1"/>
      <c r="T9055" s="1"/>
      <c r="U9055" s="1"/>
      <c r="V9055" s="1"/>
      <c r="W9055" s="1"/>
      <c r="X9055" s="1"/>
      <c r="Y9055" s="1"/>
      <c r="Z9055" s="2066"/>
      <c r="AA9055" s="2066"/>
      <c r="AB9055" s="1"/>
      <c r="AC9055" s="1"/>
      <c r="AD9055" s="1"/>
      <c r="AE9055" s="1"/>
      <c r="AF9055" s="1"/>
      <c r="AG9055" s="1"/>
      <c r="AH9055" s="1"/>
      <c r="AI9055" s="1"/>
      <c r="AJ9055" s="1"/>
      <c r="AK9055" s="1"/>
      <c r="AL9055" s="1"/>
      <c r="AM9055" s="1"/>
    </row>
    <row r="9056" spans="1:39" x14ac:dyDescent="0.25">
      <c r="A9056" s="2066"/>
      <c r="B9056" s="2066"/>
      <c r="C9056" s="2066"/>
      <c r="D9056" s="2066"/>
      <c r="E9056" s="2066"/>
      <c r="F9056" s="2066"/>
      <c r="G9056" s="2066"/>
      <c r="H9056" s="2066"/>
      <c r="I9056" s="2066"/>
      <c r="J9056" s="2066"/>
      <c r="K9056" s="2066"/>
      <c r="L9056" s="2066"/>
      <c r="M9056" s="2066"/>
      <c r="N9056" s="2066"/>
      <c r="O9056" s="2066"/>
      <c r="P9056" s="49"/>
      <c r="Q9056" s="1"/>
      <c r="R9056" s="2066"/>
      <c r="S9056" s="1"/>
      <c r="T9056" s="1"/>
      <c r="U9056" s="1"/>
      <c r="V9056" s="1"/>
      <c r="W9056" s="1"/>
      <c r="X9056" s="1"/>
      <c r="Y9056" s="1"/>
      <c r="Z9056" s="2066"/>
      <c r="AA9056" s="2066"/>
      <c r="AB9056" s="1"/>
      <c r="AC9056" s="1"/>
      <c r="AD9056" s="1"/>
      <c r="AE9056" s="1"/>
      <c r="AF9056" s="1"/>
      <c r="AG9056" s="1"/>
      <c r="AH9056" s="1"/>
      <c r="AI9056" s="1"/>
      <c r="AJ9056" s="1"/>
      <c r="AK9056" s="1"/>
      <c r="AL9056" s="1"/>
      <c r="AM9056" s="1"/>
    </row>
    <row r="9057" spans="1:39" x14ac:dyDescent="0.25">
      <c r="A9057" s="2066"/>
      <c r="B9057" s="2066"/>
      <c r="C9057" s="2066"/>
      <c r="D9057" s="2066"/>
      <c r="E9057" s="2066"/>
      <c r="F9057" s="2066"/>
      <c r="G9057" s="2066"/>
      <c r="H9057" s="2066"/>
      <c r="I9057" s="2066"/>
      <c r="J9057" s="2066"/>
      <c r="K9057" s="2066"/>
      <c r="L9057" s="2066"/>
      <c r="M9057" s="2066"/>
      <c r="N9057" s="2066"/>
      <c r="O9057" s="2066"/>
      <c r="P9057" s="49"/>
      <c r="Q9057" s="1"/>
      <c r="R9057" s="2066"/>
      <c r="S9057" s="1"/>
      <c r="T9057" s="1"/>
      <c r="U9057" s="1"/>
      <c r="V9057" s="1"/>
      <c r="W9057" s="1"/>
      <c r="X9057" s="1"/>
      <c r="Y9057" s="1"/>
      <c r="Z9057" s="2066"/>
      <c r="AA9057" s="2066"/>
      <c r="AB9057" s="1"/>
      <c r="AC9057" s="1"/>
      <c r="AD9057" s="1"/>
      <c r="AE9057" s="1"/>
      <c r="AF9057" s="1"/>
      <c r="AG9057" s="1"/>
      <c r="AH9057" s="1"/>
      <c r="AI9057" s="1"/>
      <c r="AJ9057" s="1"/>
      <c r="AK9057" s="1"/>
      <c r="AL9057" s="1"/>
      <c r="AM9057" s="1"/>
    </row>
    <row r="9058" spans="1:39" x14ac:dyDescent="0.25">
      <c r="A9058" s="2066"/>
      <c r="B9058" s="2066"/>
      <c r="C9058" s="2066"/>
      <c r="D9058" s="2066"/>
      <c r="E9058" s="2066"/>
      <c r="F9058" s="2066"/>
      <c r="G9058" s="2066"/>
      <c r="H9058" s="2066"/>
      <c r="I9058" s="2066"/>
      <c r="J9058" s="2066"/>
      <c r="K9058" s="2066"/>
      <c r="L9058" s="2066"/>
      <c r="M9058" s="2066"/>
      <c r="N9058" s="2066"/>
      <c r="O9058" s="2066"/>
      <c r="P9058" s="49"/>
      <c r="Q9058" s="1"/>
      <c r="R9058" s="2066"/>
      <c r="S9058" s="1"/>
      <c r="T9058" s="1"/>
      <c r="U9058" s="1"/>
      <c r="V9058" s="1"/>
      <c r="W9058" s="1"/>
      <c r="X9058" s="1"/>
      <c r="Y9058" s="1"/>
      <c r="Z9058" s="2066"/>
      <c r="AA9058" s="2066"/>
      <c r="AB9058" s="1"/>
      <c r="AC9058" s="1"/>
      <c r="AD9058" s="1"/>
      <c r="AE9058" s="1"/>
      <c r="AF9058" s="1"/>
      <c r="AG9058" s="1"/>
      <c r="AH9058" s="1"/>
      <c r="AI9058" s="1"/>
      <c r="AJ9058" s="1"/>
      <c r="AK9058" s="1"/>
      <c r="AL9058" s="1"/>
      <c r="AM9058" s="1"/>
    </row>
    <row r="9059" spans="1:39" x14ac:dyDescent="0.25">
      <c r="A9059" s="2066"/>
      <c r="B9059" s="2066"/>
      <c r="C9059" s="2066"/>
      <c r="D9059" s="2066"/>
      <c r="E9059" s="2066"/>
      <c r="F9059" s="2066"/>
      <c r="G9059" s="2066"/>
      <c r="H9059" s="2066"/>
      <c r="I9059" s="2066"/>
      <c r="J9059" s="2066"/>
      <c r="K9059" s="2066"/>
      <c r="L9059" s="2066"/>
      <c r="M9059" s="2066"/>
      <c r="N9059" s="2066"/>
      <c r="O9059" s="2066"/>
      <c r="P9059" s="49"/>
      <c r="Q9059" s="1"/>
      <c r="R9059" s="2066"/>
      <c r="S9059" s="1"/>
      <c r="T9059" s="1"/>
      <c r="U9059" s="1"/>
      <c r="V9059" s="1"/>
      <c r="W9059" s="1"/>
      <c r="X9059" s="1"/>
      <c r="Y9059" s="1"/>
      <c r="Z9059" s="2066"/>
      <c r="AA9059" s="2066"/>
      <c r="AB9059" s="1"/>
      <c r="AC9059" s="1"/>
      <c r="AD9059" s="1"/>
      <c r="AE9059" s="1"/>
      <c r="AF9059" s="1"/>
      <c r="AG9059" s="1"/>
      <c r="AH9059" s="1"/>
      <c r="AI9059" s="1"/>
      <c r="AJ9059" s="1"/>
      <c r="AK9059" s="1"/>
      <c r="AL9059" s="1"/>
      <c r="AM9059" s="1"/>
    </row>
    <row r="9060" spans="1:39" x14ac:dyDescent="0.25">
      <c r="A9060" s="2066"/>
      <c r="B9060" s="2066"/>
      <c r="C9060" s="2066"/>
      <c r="D9060" s="2066"/>
      <c r="E9060" s="2066"/>
      <c r="F9060" s="2066"/>
      <c r="G9060" s="2066"/>
      <c r="H9060" s="2066"/>
      <c r="I9060" s="2066"/>
      <c r="J9060" s="2066"/>
      <c r="K9060" s="2066"/>
      <c r="L9060" s="2066"/>
      <c r="M9060" s="2066"/>
      <c r="N9060" s="2066"/>
      <c r="O9060" s="2066"/>
      <c r="P9060" s="49"/>
      <c r="Q9060" s="1"/>
      <c r="R9060" s="2066"/>
      <c r="S9060" s="1"/>
      <c r="T9060" s="1"/>
      <c r="U9060" s="1"/>
      <c r="V9060" s="1"/>
      <c r="W9060" s="1"/>
      <c r="X9060" s="1"/>
      <c r="Y9060" s="1"/>
      <c r="Z9060" s="2066"/>
      <c r="AA9060" s="2066"/>
      <c r="AB9060" s="1"/>
      <c r="AC9060" s="1"/>
      <c r="AD9060" s="1"/>
      <c r="AE9060" s="1"/>
      <c r="AF9060" s="1"/>
      <c r="AG9060" s="1"/>
      <c r="AH9060" s="1"/>
      <c r="AI9060" s="1"/>
      <c r="AJ9060" s="1"/>
      <c r="AK9060" s="1"/>
      <c r="AL9060" s="1"/>
      <c r="AM9060" s="1"/>
    </row>
    <row r="9061" spans="1:39" x14ac:dyDescent="0.25">
      <c r="A9061" s="2066"/>
      <c r="B9061" s="2066"/>
      <c r="C9061" s="2066"/>
      <c r="D9061" s="2066"/>
      <c r="E9061" s="2066"/>
      <c r="F9061" s="2066"/>
      <c r="G9061" s="2066"/>
      <c r="H9061" s="2066"/>
      <c r="I9061" s="2066"/>
      <c r="J9061" s="2066"/>
      <c r="K9061" s="2066"/>
      <c r="L9061" s="2066"/>
      <c r="M9061" s="2066"/>
      <c r="N9061" s="2066"/>
      <c r="O9061" s="2066"/>
      <c r="P9061" s="49"/>
      <c r="Q9061" s="1"/>
      <c r="R9061" s="2066"/>
      <c r="S9061" s="1"/>
      <c r="T9061" s="1"/>
      <c r="U9061" s="1"/>
      <c r="V9061" s="1"/>
      <c r="W9061" s="1"/>
      <c r="X9061" s="1"/>
      <c r="Y9061" s="1"/>
      <c r="Z9061" s="2066"/>
      <c r="AA9061" s="2066"/>
      <c r="AB9061" s="1"/>
      <c r="AC9061" s="1"/>
      <c r="AD9061" s="1"/>
      <c r="AE9061" s="1"/>
      <c r="AF9061" s="1"/>
      <c r="AG9061" s="1"/>
      <c r="AH9061" s="1"/>
      <c r="AI9061" s="1"/>
      <c r="AJ9061" s="1"/>
      <c r="AK9061" s="1"/>
      <c r="AL9061" s="1"/>
      <c r="AM9061" s="1"/>
    </row>
    <row r="9062" spans="1:39" x14ac:dyDescent="0.25">
      <c r="A9062" s="2066"/>
      <c r="B9062" s="2066"/>
      <c r="C9062" s="2066"/>
      <c r="D9062" s="2066"/>
      <c r="E9062" s="2066"/>
      <c r="F9062" s="2066"/>
      <c r="G9062" s="2066"/>
      <c r="H9062" s="2066"/>
      <c r="I9062" s="2066"/>
      <c r="J9062" s="2066"/>
      <c r="K9062" s="2066"/>
      <c r="L9062" s="2066"/>
      <c r="M9062" s="2066"/>
      <c r="N9062" s="2066"/>
      <c r="O9062" s="2066"/>
      <c r="P9062" s="49"/>
      <c r="Q9062" s="1"/>
      <c r="R9062" s="2066"/>
      <c r="S9062" s="1"/>
      <c r="T9062" s="1"/>
      <c r="U9062" s="1"/>
      <c r="V9062" s="1"/>
      <c r="W9062" s="1"/>
      <c r="X9062" s="1"/>
      <c r="Y9062" s="1"/>
      <c r="Z9062" s="2066"/>
      <c r="AA9062" s="2066"/>
      <c r="AB9062" s="1"/>
      <c r="AC9062" s="1"/>
      <c r="AD9062" s="1"/>
      <c r="AE9062" s="1"/>
      <c r="AF9062" s="1"/>
      <c r="AG9062" s="1"/>
      <c r="AH9062" s="1"/>
      <c r="AI9062" s="1"/>
      <c r="AJ9062" s="1"/>
      <c r="AK9062" s="1"/>
      <c r="AL9062" s="1"/>
      <c r="AM9062" s="1"/>
    </row>
    <row r="9063" spans="1:39" x14ac:dyDescent="0.25">
      <c r="A9063" s="2066"/>
      <c r="B9063" s="2066"/>
      <c r="C9063" s="2066"/>
      <c r="D9063" s="2066"/>
      <c r="E9063" s="2066"/>
      <c r="F9063" s="2066"/>
      <c r="G9063" s="2066"/>
      <c r="H9063" s="2066"/>
      <c r="I9063" s="2066"/>
      <c r="J9063" s="2066"/>
      <c r="K9063" s="2066"/>
      <c r="L9063" s="2066"/>
      <c r="M9063" s="2066"/>
      <c r="N9063" s="2066"/>
      <c r="O9063" s="2066"/>
      <c r="P9063" s="49"/>
      <c r="Q9063" s="1"/>
      <c r="R9063" s="2066"/>
      <c r="S9063" s="1"/>
      <c r="T9063" s="1"/>
      <c r="U9063" s="1"/>
      <c r="V9063" s="1"/>
      <c r="W9063" s="1"/>
      <c r="X9063" s="1"/>
      <c r="Y9063" s="1"/>
      <c r="Z9063" s="2066"/>
      <c r="AA9063" s="2066"/>
      <c r="AB9063" s="1"/>
      <c r="AC9063" s="1"/>
      <c r="AD9063" s="1"/>
      <c r="AE9063" s="1"/>
      <c r="AF9063" s="1"/>
      <c r="AG9063" s="1"/>
      <c r="AH9063" s="1"/>
      <c r="AI9063" s="1"/>
      <c r="AJ9063" s="1"/>
      <c r="AK9063" s="1"/>
      <c r="AL9063" s="1"/>
      <c r="AM9063" s="1"/>
    </row>
    <row r="9064" spans="1:39" x14ac:dyDescent="0.25">
      <c r="A9064" s="2066"/>
      <c r="B9064" s="2066"/>
      <c r="C9064" s="2066"/>
      <c r="D9064" s="2066"/>
      <c r="E9064" s="2066"/>
      <c r="F9064" s="2066"/>
      <c r="G9064" s="2066"/>
      <c r="H9064" s="2066"/>
      <c r="I9064" s="2066"/>
      <c r="J9064" s="2066"/>
      <c r="K9064" s="2066"/>
      <c r="L9064" s="2066"/>
      <c r="M9064" s="2066"/>
      <c r="N9064" s="2066"/>
      <c r="O9064" s="2066"/>
      <c r="P9064" s="49"/>
      <c r="Q9064" s="1"/>
      <c r="R9064" s="2066"/>
      <c r="S9064" s="1"/>
      <c r="T9064" s="1"/>
      <c r="U9064" s="1"/>
      <c r="V9064" s="1"/>
      <c r="W9064" s="1"/>
      <c r="X9064" s="1"/>
      <c r="Y9064" s="1"/>
      <c r="Z9064" s="2066"/>
      <c r="AA9064" s="2066"/>
      <c r="AB9064" s="1"/>
      <c r="AC9064" s="1"/>
      <c r="AD9064" s="1"/>
      <c r="AE9064" s="1"/>
      <c r="AF9064" s="1"/>
      <c r="AG9064" s="1"/>
      <c r="AH9064" s="1"/>
      <c r="AI9064" s="1"/>
      <c r="AJ9064" s="1"/>
      <c r="AK9064" s="1"/>
      <c r="AL9064" s="1"/>
      <c r="AM9064" s="1"/>
    </row>
    <row r="9065" spans="1:39" x14ac:dyDescent="0.25">
      <c r="A9065" s="2066"/>
      <c r="B9065" s="2066"/>
      <c r="C9065" s="2066"/>
      <c r="D9065" s="2066"/>
      <c r="E9065" s="2066"/>
      <c r="F9065" s="2066"/>
      <c r="G9065" s="2066"/>
      <c r="H9065" s="2066"/>
      <c r="I9065" s="2066"/>
      <c r="J9065" s="2066"/>
      <c r="K9065" s="2066"/>
      <c r="L9065" s="2066"/>
      <c r="M9065" s="2066"/>
      <c r="N9065" s="2066"/>
      <c r="O9065" s="2066"/>
      <c r="P9065" s="49"/>
      <c r="Q9065" s="1"/>
      <c r="R9065" s="2066"/>
      <c r="S9065" s="1"/>
      <c r="T9065" s="1"/>
      <c r="U9065" s="1"/>
      <c r="V9065" s="1"/>
      <c r="W9065" s="1"/>
      <c r="X9065" s="1"/>
      <c r="Y9065" s="1"/>
      <c r="Z9065" s="2066"/>
      <c r="AA9065" s="2066"/>
      <c r="AB9065" s="1"/>
      <c r="AC9065" s="1"/>
      <c r="AD9065" s="1"/>
      <c r="AE9065" s="1"/>
      <c r="AF9065" s="1"/>
      <c r="AG9065" s="1"/>
      <c r="AH9065" s="1"/>
      <c r="AI9065" s="1"/>
      <c r="AJ9065" s="1"/>
      <c r="AK9065" s="1"/>
      <c r="AL9065" s="1"/>
      <c r="AM9065" s="1"/>
    </row>
    <row r="9066" spans="1:39" x14ac:dyDescent="0.25">
      <c r="A9066" s="2066"/>
      <c r="B9066" s="2066"/>
      <c r="C9066" s="2066"/>
      <c r="D9066" s="2066"/>
      <c r="E9066" s="2066"/>
      <c r="F9066" s="2066"/>
      <c r="G9066" s="2066"/>
      <c r="H9066" s="2066"/>
      <c r="I9066" s="2066"/>
      <c r="J9066" s="2066"/>
      <c r="K9066" s="2066"/>
      <c r="L9066" s="2066"/>
      <c r="M9066" s="2066"/>
      <c r="N9066" s="2066"/>
      <c r="O9066" s="2066"/>
      <c r="P9066" s="49"/>
      <c r="Q9066" s="1"/>
      <c r="R9066" s="2066"/>
      <c r="S9066" s="1"/>
      <c r="T9066" s="1"/>
      <c r="U9066" s="1"/>
      <c r="V9066" s="1"/>
      <c r="W9066" s="1"/>
      <c r="X9066" s="1"/>
      <c r="Y9066" s="1"/>
      <c r="Z9066" s="2066"/>
      <c r="AA9066" s="2066"/>
      <c r="AB9066" s="1"/>
      <c r="AC9066" s="1"/>
      <c r="AD9066" s="1"/>
      <c r="AE9066" s="1"/>
      <c r="AF9066" s="1"/>
      <c r="AG9066" s="1"/>
      <c r="AH9066" s="1"/>
      <c r="AI9066" s="1"/>
      <c r="AJ9066" s="1"/>
      <c r="AK9066" s="1"/>
      <c r="AL9066" s="1"/>
      <c r="AM9066" s="1"/>
    </row>
    <row r="9067" spans="1:39" x14ac:dyDescent="0.25">
      <c r="A9067" s="2066"/>
      <c r="B9067" s="2066"/>
      <c r="C9067" s="2066"/>
      <c r="D9067" s="2066"/>
      <c r="E9067" s="2066"/>
      <c r="F9067" s="2066"/>
      <c r="G9067" s="2066"/>
      <c r="H9067" s="2066"/>
      <c r="I9067" s="2066"/>
      <c r="J9067" s="2066"/>
      <c r="K9067" s="2066"/>
      <c r="L9067" s="2066"/>
      <c r="M9067" s="2066"/>
      <c r="N9067" s="2066"/>
      <c r="O9067" s="2066"/>
      <c r="P9067" s="49"/>
      <c r="Q9067" s="1"/>
      <c r="R9067" s="2066"/>
      <c r="S9067" s="1"/>
      <c r="T9067" s="1"/>
      <c r="U9067" s="1"/>
      <c r="V9067" s="1"/>
      <c r="W9067" s="1"/>
      <c r="X9067" s="1"/>
      <c r="Y9067" s="1"/>
      <c r="Z9067" s="2066"/>
      <c r="AA9067" s="2066"/>
      <c r="AB9067" s="1"/>
      <c r="AC9067" s="1"/>
      <c r="AD9067" s="1"/>
      <c r="AE9067" s="1"/>
      <c r="AF9067" s="1"/>
      <c r="AG9067" s="1"/>
      <c r="AH9067" s="1"/>
      <c r="AI9067" s="1"/>
      <c r="AJ9067" s="1"/>
      <c r="AK9067" s="1"/>
      <c r="AL9067" s="1"/>
      <c r="AM9067" s="1"/>
    </row>
    <row r="9068" spans="1:39" x14ac:dyDescent="0.25">
      <c r="A9068" s="2066"/>
      <c r="B9068" s="2066"/>
      <c r="C9068" s="2066"/>
      <c r="D9068" s="2066"/>
      <c r="E9068" s="2066"/>
      <c r="F9068" s="2066"/>
      <c r="G9068" s="2066"/>
      <c r="H9068" s="2066"/>
      <c r="I9068" s="2066"/>
      <c r="J9068" s="2066"/>
      <c r="K9068" s="2066"/>
      <c r="L9068" s="2066"/>
      <c r="M9068" s="2066"/>
      <c r="N9068" s="2066"/>
      <c r="O9068" s="2066"/>
      <c r="P9068" s="49"/>
      <c r="Q9068" s="1"/>
      <c r="R9068" s="2066"/>
      <c r="S9068" s="1"/>
      <c r="T9068" s="1"/>
      <c r="U9068" s="1"/>
      <c r="V9068" s="1"/>
      <c r="W9068" s="1"/>
      <c r="X9068" s="1"/>
      <c r="Y9068" s="1"/>
      <c r="Z9068" s="2066"/>
      <c r="AA9068" s="2066"/>
      <c r="AB9068" s="1"/>
      <c r="AC9068" s="1"/>
      <c r="AD9068" s="1"/>
      <c r="AE9068" s="1"/>
      <c r="AF9068" s="1"/>
      <c r="AG9068" s="1"/>
      <c r="AH9068" s="1"/>
      <c r="AI9068" s="1"/>
      <c r="AJ9068" s="1"/>
      <c r="AK9068" s="1"/>
      <c r="AL9068" s="1"/>
      <c r="AM9068" s="1"/>
    </row>
    <row r="9069" spans="1:39" x14ac:dyDescent="0.25">
      <c r="A9069" s="2066"/>
      <c r="B9069" s="2066"/>
      <c r="C9069" s="2066"/>
      <c r="D9069" s="2066"/>
      <c r="E9069" s="2066"/>
      <c r="F9069" s="2066"/>
      <c r="G9069" s="2066"/>
      <c r="H9069" s="2066"/>
      <c r="I9069" s="2066"/>
      <c r="J9069" s="2066"/>
      <c r="K9069" s="2066"/>
      <c r="L9069" s="2066"/>
      <c r="M9069" s="2066"/>
      <c r="N9069" s="2066"/>
      <c r="O9069" s="2066"/>
      <c r="P9069" s="49"/>
      <c r="Q9069" s="1"/>
      <c r="R9069" s="2066"/>
      <c r="S9069" s="1"/>
      <c r="T9069" s="1"/>
      <c r="U9069" s="1"/>
      <c r="V9069" s="1"/>
      <c r="W9069" s="1"/>
      <c r="X9069" s="1"/>
      <c r="Y9069" s="1"/>
      <c r="Z9069" s="2066"/>
      <c r="AA9069" s="2066"/>
      <c r="AB9069" s="1"/>
      <c r="AC9069" s="1"/>
      <c r="AD9069" s="1"/>
      <c r="AE9069" s="1"/>
      <c r="AF9069" s="1"/>
      <c r="AG9069" s="1"/>
      <c r="AH9069" s="1"/>
      <c r="AI9069" s="1"/>
      <c r="AJ9069" s="1"/>
      <c r="AK9069" s="1"/>
      <c r="AL9069" s="1"/>
      <c r="AM9069" s="1"/>
    </row>
    <row r="9070" spans="1:39" x14ac:dyDescent="0.25">
      <c r="A9070" s="2066"/>
      <c r="B9070" s="2066"/>
      <c r="C9070" s="2066"/>
      <c r="D9070" s="2066"/>
      <c r="E9070" s="2066"/>
      <c r="F9070" s="2066"/>
      <c r="G9070" s="2066"/>
      <c r="H9070" s="2066"/>
      <c r="I9070" s="2066"/>
      <c r="J9070" s="2066"/>
      <c r="K9070" s="2066"/>
      <c r="L9070" s="2066"/>
      <c r="M9070" s="2066"/>
      <c r="N9070" s="2066"/>
      <c r="O9070" s="2066"/>
      <c r="P9070" s="49"/>
      <c r="Q9070" s="1"/>
      <c r="R9070" s="2066"/>
      <c r="S9070" s="1"/>
      <c r="T9070" s="1"/>
      <c r="U9070" s="1"/>
      <c r="V9070" s="1"/>
      <c r="W9070" s="1"/>
      <c r="X9070" s="1"/>
      <c r="Y9070" s="1"/>
      <c r="Z9070" s="2066"/>
      <c r="AA9070" s="2066"/>
      <c r="AB9070" s="1"/>
      <c r="AC9070" s="1"/>
      <c r="AD9070" s="1"/>
      <c r="AE9070" s="1"/>
      <c r="AF9070" s="1"/>
      <c r="AG9070" s="1"/>
      <c r="AH9070" s="1"/>
      <c r="AI9070" s="1"/>
      <c r="AJ9070" s="1"/>
      <c r="AK9070" s="1"/>
      <c r="AL9070" s="1"/>
      <c r="AM9070" s="1"/>
    </row>
    <row r="9071" spans="1:39" x14ac:dyDescent="0.25">
      <c r="A9071" s="2066"/>
      <c r="B9071" s="2066"/>
      <c r="C9071" s="2066"/>
      <c r="D9071" s="2066"/>
      <c r="E9071" s="2066"/>
      <c r="F9071" s="2066"/>
      <c r="G9071" s="2066"/>
      <c r="H9071" s="2066"/>
      <c r="I9071" s="2066"/>
      <c r="J9071" s="2066"/>
      <c r="K9071" s="2066"/>
      <c r="L9071" s="2066"/>
      <c r="M9071" s="2066"/>
      <c r="N9071" s="2066"/>
      <c r="O9071" s="2066"/>
      <c r="P9071" s="49"/>
      <c r="Q9071" s="1"/>
      <c r="R9071" s="2066"/>
      <c r="S9071" s="1"/>
      <c r="T9071" s="1"/>
      <c r="U9071" s="1"/>
      <c r="V9071" s="1"/>
      <c r="W9071" s="1"/>
      <c r="X9071" s="1"/>
      <c r="Y9071" s="1"/>
      <c r="Z9071" s="2066"/>
      <c r="AA9071" s="2066"/>
      <c r="AB9071" s="1"/>
      <c r="AC9071" s="1"/>
      <c r="AD9071" s="1"/>
      <c r="AE9071" s="1"/>
      <c r="AF9071" s="1"/>
      <c r="AG9071" s="1"/>
      <c r="AH9071" s="1"/>
      <c r="AI9071" s="1"/>
      <c r="AJ9071" s="1"/>
      <c r="AK9071" s="1"/>
      <c r="AL9071" s="1"/>
      <c r="AM9071" s="1"/>
    </row>
    <row r="9072" spans="1:39" x14ac:dyDescent="0.25">
      <c r="A9072" s="2066"/>
      <c r="B9072" s="2066"/>
      <c r="C9072" s="2066"/>
      <c r="D9072" s="2066"/>
      <c r="E9072" s="2066"/>
      <c r="F9072" s="2066"/>
      <c r="G9072" s="2066"/>
      <c r="H9072" s="2066"/>
      <c r="I9072" s="2066"/>
      <c r="J9072" s="2066"/>
      <c r="K9072" s="2066"/>
      <c r="L9072" s="2066"/>
      <c r="M9072" s="2066"/>
      <c r="N9072" s="2066"/>
      <c r="O9072" s="2066"/>
      <c r="P9072" s="49"/>
      <c r="Q9072" s="1"/>
      <c r="R9072" s="2066"/>
      <c r="S9072" s="1"/>
      <c r="T9072" s="1"/>
      <c r="U9072" s="1"/>
      <c r="V9072" s="1"/>
      <c r="W9072" s="1"/>
      <c r="X9072" s="1"/>
      <c r="Y9072" s="1"/>
      <c r="Z9072" s="2066"/>
      <c r="AA9072" s="2066"/>
      <c r="AB9072" s="1"/>
      <c r="AC9072" s="1"/>
      <c r="AD9072" s="1"/>
      <c r="AE9072" s="1"/>
      <c r="AF9072" s="1"/>
      <c r="AG9072" s="1"/>
      <c r="AH9072" s="1"/>
      <c r="AI9072" s="1"/>
      <c r="AJ9072" s="1"/>
      <c r="AK9072" s="1"/>
      <c r="AL9072" s="1"/>
      <c r="AM9072" s="1"/>
    </row>
    <row r="9073" spans="1:39" x14ac:dyDescent="0.25">
      <c r="A9073" s="2066"/>
      <c r="B9073" s="2066"/>
      <c r="C9073" s="2066"/>
      <c r="D9073" s="2066"/>
      <c r="E9073" s="2066"/>
      <c r="F9073" s="2066"/>
      <c r="G9073" s="2066"/>
      <c r="H9073" s="2066"/>
      <c r="I9073" s="2066"/>
      <c r="J9073" s="2066"/>
      <c r="K9073" s="2066"/>
      <c r="L9073" s="2066"/>
      <c r="M9073" s="2066"/>
      <c r="N9073" s="2066"/>
      <c r="O9073" s="2066"/>
      <c r="P9073" s="49"/>
      <c r="Q9073" s="1"/>
      <c r="R9073" s="2066"/>
      <c r="S9073" s="1"/>
      <c r="T9073" s="1"/>
      <c r="U9073" s="1"/>
      <c r="V9073" s="1"/>
      <c r="W9073" s="1"/>
      <c r="X9073" s="1"/>
      <c r="Y9073" s="1"/>
      <c r="Z9073" s="2066"/>
      <c r="AA9073" s="2066"/>
      <c r="AB9073" s="1"/>
      <c r="AC9073" s="1"/>
      <c r="AD9073" s="1"/>
      <c r="AE9073" s="1"/>
      <c r="AF9073" s="1"/>
      <c r="AG9073" s="1"/>
      <c r="AH9073" s="1"/>
      <c r="AI9073" s="1"/>
      <c r="AJ9073" s="1"/>
      <c r="AK9073" s="1"/>
      <c r="AL9073" s="1"/>
      <c r="AM9073" s="1"/>
    </row>
    <row r="9074" spans="1:39" x14ac:dyDescent="0.25">
      <c r="A9074" s="2066"/>
      <c r="B9074" s="2066"/>
      <c r="C9074" s="2066"/>
      <c r="D9074" s="2066"/>
      <c r="E9074" s="2066"/>
      <c r="F9074" s="2066"/>
      <c r="G9074" s="2066"/>
      <c r="H9074" s="2066"/>
      <c r="I9074" s="2066"/>
      <c r="J9074" s="2066"/>
      <c r="K9074" s="2066"/>
      <c r="L9074" s="2066"/>
      <c r="M9074" s="2066"/>
      <c r="N9074" s="2066"/>
      <c r="O9074" s="2066"/>
      <c r="P9074" s="49"/>
      <c r="Q9074" s="1"/>
      <c r="R9074" s="2066"/>
      <c r="S9074" s="1"/>
      <c r="T9074" s="1"/>
      <c r="U9074" s="1"/>
      <c r="V9074" s="1"/>
      <c r="W9074" s="1"/>
      <c r="X9074" s="1"/>
      <c r="Y9074" s="1"/>
      <c r="Z9074" s="2066"/>
      <c r="AA9074" s="2066"/>
      <c r="AB9074" s="1"/>
      <c r="AC9074" s="1"/>
      <c r="AD9074" s="1"/>
      <c r="AE9074" s="1"/>
      <c r="AF9074" s="1"/>
      <c r="AG9074" s="1"/>
      <c r="AH9074" s="1"/>
      <c r="AI9074" s="1"/>
      <c r="AJ9074" s="1"/>
      <c r="AK9074" s="1"/>
      <c r="AL9074" s="1"/>
      <c r="AM9074" s="1"/>
    </row>
    <row r="9075" spans="1:39" x14ac:dyDescent="0.25">
      <c r="A9075" s="2066"/>
      <c r="B9075" s="2066"/>
      <c r="C9075" s="2066"/>
      <c r="D9075" s="2066"/>
      <c r="E9075" s="2066"/>
      <c r="F9075" s="2066"/>
      <c r="G9075" s="2066"/>
      <c r="H9075" s="2066"/>
      <c r="I9075" s="2066"/>
      <c r="J9075" s="2066"/>
      <c r="K9075" s="2066"/>
      <c r="L9075" s="2066"/>
      <c r="M9075" s="2066"/>
      <c r="N9075" s="2066"/>
      <c r="O9075" s="2066"/>
      <c r="P9075" s="49"/>
      <c r="Q9075" s="1"/>
      <c r="R9075" s="2066"/>
      <c r="S9075" s="1"/>
      <c r="T9075" s="1"/>
      <c r="U9075" s="1"/>
      <c r="V9075" s="1"/>
      <c r="W9075" s="1"/>
      <c r="X9075" s="1"/>
      <c r="Y9075" s="1"/>
      <c r="Z9075" s="2066"/>
      <c r="AA9075" s="2066"/>
      <c r="AB9075" s="1"/>
      <c r="AC9075" s="1"/>
      <c r="AD9075" s="1"/>
      <c r="AE9075" s="1"/>
      <c r="AF9075" s="1"/>
      <c r="AG9075" s="1"/>
      <c r="AH9075" s="1"/>
      <c r="AI9075" s="1"/>
      <c r="AJ9075" s="1"/>
      <c r="AK9075" s="1"/>
      <c r="AL9075" s="1"/>
      <c r="AM9075" s="1"/>
    </row>
    <row r="9076" spans="1:39" x14ac:dyDescent="0.25">
      <c r="A9076" s="2066"/>
      <c r="B9076" s="2066"/>
      <c r="C9076" s="2066"/>
      <c r="D9076" s="2066"/>
      <c r="E9076" s="2066"/>
      <c r="F9076" s="2066"/>
      <c r="G9076" s="2066"/>
      <c r="H9076" s="2066"/>
      <c r="I9076" s="2066"/>
      <c r="J9076" s="2066"/>
      <c r="K9076" s="2066"/>
      <c r="L9076" s="2066"/>
      <c r="M9076" s="2066"/>
      <c r="N9076" s="2066"/>
      <c r="O9076" s="2066"/>
      <c r="P9076" s="49"/>
      <c r="Q9076" s="1"/>
      <c r="R9076" s="2066"/>
      <c r="S9076" s="1"/>
      <c r="T9076" s="1"/>
      <c r="U9076" s="1"/>
      <c r="V9076" s="1"/>
      <c r="W9076" s="1"/>
      <c r="X9076" s="1"/>
      <c r="Y9076" s="1"/>
      <c r="Z9076" s="2066"/>
      <c r="AA9076" s="2066"/>
      <c r="AB9076" s="1"/>
      <c r="AC9076" s="1"/>
      <c r="AD9076" s="1"/>
      <c r="AE9076" s="1"/>
      <c r="AF9076" s="1"/>
      <c r="AG9076" s="1"/>
      <c r="AH9076" s="1"/>
      <c r="AI9076" s="1"/>
      <c r="AJ9076" s="1"/>
      <c r="AK9076" s="1"/>
      <c r="AL9076" s="1"/>
      <c r="AM9076" s="1"/>
    </row>
    <row r="9077" spans="1:39" x14ac:dyDescent="0.25">
      <c r="A9077" s="2066"/>
      <c r="B9077" s="2066"/>
      <c r="C9077" s="2066"/>
      <c r="D9077" s="2066"/>
      <c r="E9077" s="2066"/>
      <c r="F9077" s="2066"/>
      <c r="G9077" s="2066"/>
      <c r="H9077" s="2066"/>
      <c r="I9077" s="2066"/>
      <c r="J9077" s="2066"/>
      <c r="K9077" s="2066"/>
      <c r="L9077" s="2066"/>
      <c r="M9077" s="2066"/>
      <c r="N9077" s="2066"/>
      <c r="O9077" s="2066"/>
      <c r="P9077" s="49"/>
      <c r="Q9077" s="1"/>
      <c r="R9077" s="2066"/>
      <c r="S9077" s="1"/>
      <c r="T9077" s="1"/>
      <c r="U9077" s="1"/>
      <c r="V9077" s="1"/>
      <c r="W9077" s="1"/>
      <c r="X9077" s="1"/>
      <c r="Y9077" s="1"/>
      <c r="Z9077" s="2066"/>
      <c r="AA9077" s="2066"/>
      <c r="AB9077" s="1"/>
      <c r="AC9077" s="1"/>
      <c r="AD9077" s="1"/>
      <c r="AE9077" s="1"/>
      <c r="AF9077" s="1"/>
      <c r="AG9077" s="1"/>
      <c r="AH9077" s="1"/>
      <c r="AI9077" s="1"/>
      <c r="AJ9077" s="1"/>
      <c r="AK9077" s="1"/>
      <c r="AL9077" s="1"/>
      <c r="AM9077" s="1"/>
    </row>
    <row r="9078" spans="1:39" x14ac:dyDescent="0.25">
      <c r="A9078" s="2066"/>
      <c r="B9078" s="2066"/>
      <c r="C9078" s="2066"/>
      <c r="D9078" s="2066"/>
      <c r="E9078" s="2066"/>
      <c r="F9078" s="2066"/>
      <c r="G9078" s="2066"/>
      <c r="H9078" s="2066"/>
      <c r="I9078" s="2066"/>
      <c r="J9078" s="2066"/>
      <c r="K9078" s="2066"/>
      <c r="L9078" s="2066"/>
      <c r="M9078" s="2066"/>
      <c r="N9078" s="2066"/>
      <c r="O9078" s="2066"/>
      <c r="P9078" s="49"/>
      <c r="Q9078" s="1"/>
      <c r="R9078" s="2066"/>
      <c r="S9078" s="1"/>
      <c r="T9078" s="1"/>
      <c r="U9078" s="1"/>
      <c r="V9078" s="1"/>
      <c r="W9078" s="1"/>
      <c r="X9078" s="1"/>
      <c r="Y9078" s="1"/>
      <c r="Z9078" s="2066"/>
      <c r="AA9078" s="2066"/>
      <c r="AB9078" s="1"/>
      <c r="AC9078" s="1"/>
      <c r="AD9078" s="1"/>
      <c r="AE9078" s="1"/>
      <c r="AF9078" s="1"/>
      <c r="AG9078" s="1"/>
      <c r="AH9078" s="1"/>
      <c r="AI9078" s="1"/>
      <c r="AJ9078" s="1"/>
      <c r="AK9078" s="1"/>
      <c r="AL9078" s="1"/>
      <c r="AM9078" s="1"/>
    </row>
    <row r="9079" spans="1:39" x14ac:dyDescent="0.25">
      <c r="A9079" s="2066"/>
      <c r="B9079" s="2066"/>
      <c r="C9079" s="2066"/>
      <c r="D9079" s="2066"/>
      <c r="E9079" s="2066"/>
      <c r="F9079" s="2066"/>
      <c r="G9079" s="2066"/>
      <c r="H9079" s="2066"/>
      <c r="I9079" s="2066"/>
      <c r="J9079" s="2066"/>
      <c r="K9079" s="2066"/>
      <c r="L9079" s="2066"/>
      <c r="M9079" s="2066"/>
      <c r="N9079" s="2066"/>
      <c r="O9079" s="2066"/>
      <c r="P9079" s="49"/>
      <c r="Q9079" s="1"/>
      <c r="R9079" s="2066"/>
      <c r="S9079" s="1"/>
      <c r="T9079" s="1"/>
      <c r="U9079" s="1"/>
      <c r="V9079" s="1"/>
      <c r="W9079" s="1"/>
      <c r="X9079" s="1"/>
      <c r="Y9079" s="1"/>
      <c r="Z9079" s="2066"/>
      <c r="AA9079" s="2066"/>
      <c r="AB9079" s="1"/>
      <c r="AC9079" s="1"/>
      <c r="AD9079" s="1"/>
      <c r="AE9079" s="1"/>
      <c r="AF9079" s="1"/>
      <c r="AG9079" s="1"/>
      <c r="AH9079" s="1"/>
      <c r="AI9079" s="1"/>
      <c r="AJ9079" s="1"/>
      <c r="AK9079" s="1"/>
      <c r="AL9079" s="1"/>
      <c r="AM9079" s="1"/>
    </row>
    <row r="9080" spans="1:39" x14ac:dyDescent="0.25">
      <c r="A9080" s="2066"/>
      <c r="B9080" s="2066"/>
      <c r="C9080" s="2066"/>
      <c r="D9080" s="2066"/>
      <c r="E9080" s="2066"/>
      <c r="F9080" s="2066"/>
      <c r="G9080" s="2066"/>
      <c r="H9080" s="2066"/>
      <c r="I9080" s="2066"/>
      <c r="J9080" s="2066"/>
      <c r="K9080" s="2066"/>
      <c r="L9080" s="2066"/>
      <c r="M9080" s="2066"/>
      <c r="N9080" s="2066"/>
      <c r="O9080" s="2066"/>
      <c r="P9080" s="49"/>
      <c r="Q9080" s="1"/>
      <c r="R9080" s="2066"/>
      <c r="S9080" s="1"/>
      <c r="T9080" s="1"/>
      <c r="U9080" s="1"/>
      <c r="V9080" s="1"/>
      <c r="W9080" s="1"/>
      <c r="X9080" s="1"/>
      <c r="Y9080" s="1"/>
      <c r="Z9080" s="2066"/>
      <c r="AA9080" s="2066"/>
      <c r="AB9080" s="1"/>
      <c r="AC9080" s="1"/>
      <c r="AD9080" s="1"/>
      <c r="AE9080" s="1"/>
      <c r="AF9080" s="1"/>
      <c r="AG9080" s="1"/>
      <c r="AH9080" s="1"/>
      <c r="AI9080" s="1"/>
      <c r="AJ9080" s="1"/>
      <c r="AK9080" s="1"/>
      <c r="AL9080" s="1"/>
      <c r="AM9080" s="1"/>
    </row>
    <row r="9081" spans="1:39" x14ac:dyDescent="0.25">
      <c r="A9081" s="2066"/>
      <c r="B9081" s="2066"/>
      <c r="C9081" s="2066"/>
      <c r="D9081" s="2066"/>
      <c r="E9081" s="2066"/>
      <c r="F9081" s="2066"/>
      <c r="G9081" s="2066"/>
      <c r="H9081" s="2066"/>
      <c r="I9081" s="2066"/>
      <c r="J9081" s="2066"/>
      <c r="K9081" s="2066"/>
      <c r="L9081" s="2066"/>
      <c r="M9081" s="2066"/>
      <c r="N9081" s="2066"/>
      <c r="O9081" s="2066"/>
      <c r="P9081" s="49"/>
      <c r="Q9081" s="1"/>
      <c r="R9081" s="2066"/>
      <c r="S9081" s="1"/>
      <c r="T9081" s="1"/>
      <c r="U9081" s="1"/>
      <c r="V9081" s="1"/>
      <c r="W9081" s="1"/>
      <c r="X9081" s="1"/>
      <c r="Y9081" s="1"/>
      <c r="Z9081" s="2066"/>
      <c r="AA9081" s="2066"/>
      <c r="AB9081" s="1"/>
      <c r="AC9081" s="1"/>
      <c r="AD9081" s="1"/>
      <c r="AE9081" s="1"/>
      <c r="AF9081" s="1"/>
      <c r="AG9081" s="1"/>
      <c r="AH9081" s="1"/>
      <c r="AI9081" s="1"/>
      <c r="AJ9081" s="1"/>
      <c r="AK9081" s="1"/>
      <c r="AL9081" s="1"/>
      <c r="AM9081" s="1"/>
    </row>
    <row r="9082" spans="1:39" x14ac:dyDescent="0.25">
      <c r="A9082" s="2066"/>
      <c r="B9082" s="2066"/>
      <c r="C9082" s="2066"/>
      <c r="D9082" s="2066"/>
      <c r="E9082" s="2066"/>
      <c r="F9082" s="2066"/>
      <c r="G9082" s="2066"/>
      <c r="H9082" s="2066"/>
      <c r="I9082" s="2066"/>
      <c r="J9082" s="2066"/>
      <c r="K9082" s="2066"/>
      <c r="L9082" s="2066"/>
      <c r="M9082" s="2066"/>
      <c r="N9082" s="2066"/>
      <c r="O9082" s="2066"/>
      <c r="P9082" s="49"/>
      <c r="Q9082" s="1"/>
      <c r="R9082" s="2066"/>
      <c r="S9082" s="1"/>
      <c r="T9082" s="1"/>
      <c r="U9082" s="1"/>
      <c r="V9082" s="1"/>
      <c r="W9082" s="1"/>
      <c r="X9082" s="1"/>
      <c r="Y9082" s="1"/>
      <c r="Z9082" s="2066"/>
      <c r="AA9082" s="2066"/>
      <c r="AB9082" s="1"/>
      <c r="AC9082" s="1"/>
      <c r="AD9082" s="1"/>
      <c r="AE9082" s="1"/>
      <c r="AF9082" s="1"/>
      <c r="AG9082" s="1"/>
      <c r="AH9082" s="1"/>
      <c r="AI9082" s="1"/>
      <c r="AJ9082" s="1"/>
      <c r="AK9082" s="1"/>
      <c r="AL9082" s="1"/>
      <c r="AM9082" s="1"/>
    </row>
    <row r="9083" spans="1:39" x14ac:dyDescent="0.25">
      <c r="A9083" s="2066"/>
      <c r="B9083" s="2066"/>
      <c r="C9083" s="2066"/>
      <c r="D9083" s="2066"/>
      <c r="E9083" s="2066"/>
      <c r="F9083" s="2066"/>
      <c r="G9083" s="2066"/>
      <c r="H9083" s="2066"/>
      <c r="I9083" s="2066"/>
      <c r="J9083" s="2066"/>
      <c r="K9083" s="2066"/>
      <c r="L9083" s="2066"/>
      <c r="M9083" s="2066"/>
      <c r="N9083" s="2066"/>
      <c r="O9083" s="2066"/>
      <c r="P9083" s="49"/>
      <c r="Q9083" s="1"/>
      <c r="R9083" s="2066"/>
      <c r="S9083" s="1"/>
      <c r="T9083" s="1"/>
      <c r="U9083" s="1"/>
      <c r="V9083" s="1"/>
      <c r="W9083" s="1"/>
      <c r="X9083" s="1"/>
      <c r="Y9083" s="1"/>
      <c r="Z9083" s="2066"/>
      <c r="AA9083" s="2066"/>
      <c r="AB9083" s="1"/>
      <c r="AC9083" s="1"/>
      <c r="AD9083" s="1"/>
      <c r="AE9083" s="1"/>
      <c r="AF9083" s="1"/>
      <c r="AG9083" s="1"/>
      <c r="AH9083" s="1"/>
      <c r="AI9083" s="1"/>
      <c r="AJ9083" s="1"/>
      <c r="AK9083" s="1"/>
      <c r="AL9083" s="1"/>
      <c r="AM9083" s="1"/>
    </row>
    <row r="9084" spans="1:39" x14ac:dyDescent="0.25">
      <c r="A9084" s="2066"/>
      <c r="B9084" s="2066"/>
      <c r="C9084" s="2066"/>
      <c r="D9084" s="2066"/>
      <c r="E9084" s="2066"/>
      <c r="F9084" s="2066"/>
      <c r="G9084" s="2066"/>
      <c r="H9084" s="2066"/>
      <c r="I9084" s="2066"/>
      <c r="J9084" s="2066"/>
      <c r="K9084" s="2066"/>
      <c r="L9084" s="2066"/>
      <c r="M9084" s="2066"/>
      <c r="N9084" s="2066"/>
      <c r="O9084" s="2066"/>
      <c r="P9084" s="49"/>
      <c r="Q9084" s="1"/>
      <c r="R9084" s="2066"/>
      <c r="S9084" s="1"/>
      <c r="T9084" s="1"/>
      <c r="U9084" s="1"/>
      <c r="V9084" s="1"/>
      <c r="W9084" s="1"/>
      <c r="X9084" s="1"/>
      <c r="Y9084" s="1"/>
      <c r="Z9084" s="2066"/>
      <c r="AA9084" s="2066"/>
      <c r="AB9084" s="1"/>
      <c r="AC9084" s="1"/>
      <c r="AD9084" s="1"/>
      <c r="AE9084" s="1"/>
      <c r="AF9084" s="1"/>
      <c r="AG9084" s="1"/>
      <c r="AH9084" s="1"/>
      <c r="AI9084" s="1"/>
      <c r="AJ9084" s="1"/>
      <c r="AK9084" s="1"/>
      <c r="AL9084" s="1"/>
      <c r="AM9084" s="1"/>
    </row>
    <row r="9085" spans="1:39" x14ac:dyDescent="0.25">
      <c r="A9085" s="2066"/>
      <c r="B9085" s="2066"/>
      <c r="C9085" s="2066"/>
      <c r="D9085" s="2066"/>
      <c r="E9085" s="2066"/>
      <c r="F9085" s="2066"/>
      <c r="G9085" s="2066"/>
      <c r="H9085" s="2066"/>
      <c r="I9085" s="2066"/>
      <c r="J9085" s="2066"/>
      <c r="K9085" s="2066"/>
      <c r="L9085" s="2066"/>
      <c r="M9085" s="2066"/>
      <c r="N9085" s="2066"/>
      <c r="O9085" s="2066"/>
      <c r="P9085" s="49"/>
      <c r="Q9085" s="1"/>
      <c r="R9085" s="2066"/>
      <c r="S9085" s="1"/>
      <c r="T9085" s="1"/>
      <c r="U9085" s="1"/>
      <c r="V9085" s="1"/>
      <c r="W9085" s="1"/>
      <c r="X9085" s="1"/>
      <c r="Y9085" s="1"/>
      <c r="Z9085" s="2066"/>
      <c r="AA9085" s="2066"/>
      <c r="AB9085" s="1"/>
      <c r="AC9085" s="1"/>
      <c r="AD9085" s="1"/>
      <c r="AE9085" s="1"/>
      <c r="AF9085" s="1"/>
      <c r="AG9085" s="1"/>
      <c r="AH9085" s="1"/>
      <c r="AI9085" s="1"/>
      <c r="AJ9085" s="1"/>
      <c r="AK9085" s="1"/>
      <c r="AL9085" s="1"/>
      <c r="AM9085" s="1"/>
    </row>
    <row r="9086" spans="1:39" x14ac:dyDescent="0.25">
      <c r="A9086" s="2066"/>
      <c r="B9086" s="2066"/>
      <c r="C9086" s="2066"/>
      <c r="D9086" s="2066"/>
      <c r="E9086" s="2066"/>
      <c r="F9086" s="2066"/>
      <c r="G9086" s="2066"/>
      <c r="H9086" s="2066"/>
      <c r="I9086" s="2066"/>
      <c r="J9086" s="2066"/>
      <c r="K9086" s="2066"/>
      <c r="L9086" s="2066"/>
      <c r="M9086" s="2066"/>
      <c r="N9086" s="2066"/>
      <c r="O9086" s="2066"/>
      <c r="P9086" s="49"/>
      <c r="Q9086" s="1"/>
      <c r="R9086" s="2066"/>
      <c r="S9086" s="1"/>
      <c r="T9086" s="1"/>
      <c r="U9086" s="1"/>
      <c r="V9086" s="1"/>
      <c r="W9086" s="1"/>
      <c r="X9086" s="1"/>
      <c r="Y9086" s="1"/>
      <c r="Z9086" s="2066"/>
      <c r="AA9086" s="2066"/>
      <c r="AB9086" s="1"/>
      <c r="AC9086" s="1"/>
      <c r="AD9086" s="1"/>
      <c r="AE9086" s="1"/>
      <c r="AF9086" s="1"/>
      <c r="AG9086" s="1"/>
      <c r="AH9086" s="1"/>
      <c r="AI9086" s="1"/>
      <c r="AJ9086" s="1"/>
      <c r="AK9086" s="1"/>
      <c r="AL9086" s="1"/>
      <c r="AM9086" s="1"/>
    </row>
    <row r="9087" spans="1:39" x14ac:dyDescent="0.25">
      <c r="A9087" s="2066"/>
      <c r="B9087" s="2066"/>
      <c r="C9087" s="2066"/>
      <c r="D9087" s="2066"/>
      <c r="E9087" s="2066"/>
      <c r="F9087" s="2066"/>
      <c r="G9087" s="2066"/>
      <c r="H9087" s="2066"/>
      <c r="I9087" s="2066"/>
      <c r="J9087" s="2066"/>
      <c r="K9087" s="2066"/>
      <c r="L9087" s="2066"/>
      <c r="M9087" s="2066"/>
      <c r="N9087" s="2066"/>
      <c r="O9087" s="2066"/>
      <c r="P9087" s="49"/>
      <c r="Q9087" s="1"/>
      <c r="R9087" s="2066"/>
      <c r="S9087" s="1"/>
      <c r="T9087" s="1"/>
      <c r="U9087" s="1"/>
      <c r="V9087" s="1"/>
      <c r="W9087" s="1"/>
      <c r="X9087" s="1"/>
      <c r="Y9087" s="1"/>
      <c r="Z9087" s="2066"/>
      <c r="AA9087" s="2066"/>
      <c r="AB9087" s="1"/>
      <c r="AC9087" s="1"/>
      <c r="AD9087" s="1"/>
      <c r="AE9087" s="1"/>
      <c r="AF9087" s="1"/>
      <c r="AG9087" s="1"/>
      <c r="AH9087" s="1"/>
      <c r="AI9087" s="1"/>
      <c r="AJ9087" s="1"/>
      <c r="AK9087" s="1"/>
      <c r="AL9087" s="1"/>
      <c r="AM9087" s="1"/>
    </row>
    <row r="9088" spans="1:39" x14ac:dyDescent="0.25">
      <c r="A9088" s="2066"/>
      <c r="B9088" s="2066"/>
      <c r="C9088" s="2066"/>
      <c r="D9088" s="2066"/>
      <c r="E9088" s="2066"/>
      <c r="F9088" s="2066"/>
      <c r="G9088" s="2066"/>
      <c r="H9088" s="2066"/>
      <c r="I9088" s="2066"/>
      <c r="J9088" s="2066"/>
      <c r="K9088" s="2066"/>
      <c r="L9088" s="2066"/>
      <c r="M9088" s="2066"/>
      <c r="N9088" s="2066"/>
      <c r="O9088" s="2066"/>
      <c r="P9088" s="49"/>
      <c r="Q9088" s="1"/>
      <c r="R9088" s="2066"/>
      <c r="S9088" s="1"/>
      <c r="T9088" s="1"/>
      <c r="U9088" s="1"/>
      <c r="V9088" s="1"/>
      <c r="W9088" s="1"/>
      <c r="X9088" s="1"/>
      <c r="Y9088" s="1"/>
      <c r="Z9088" s="2066"/>
      <c r="AA9088" s="2066"/>
      <c r="AB9088" s="1"/>
      <c r="AC9088" s="1"/>
      <c r="AD9088" s="1"/>
      <c r="AE9088" s="1"/>
      <c r="AF9088" s="1"/>
      <c r="AG9088" s="1"/>
      <c r="AH9088" s="1"/>
      <c r="AI9088" s="1"/>
      <c r="AJ9088" s="1"/>
      <c r="AK9088" s="1"/>
      <c r="AL9088" s="1"/>
      <c r="AM9088" s="1"/>
    </row>
    <row r="9089" spans="1:39" x14ac:dyDescent="0.25">
      <c r="A9089" s="2066"/>
      <c r="B9089" s="2066"/>
      <c r="C9089" s="2066"/>
      <c r="D9089" s="2066"/>
      <c r="E9089" s="2066"/>
      <c r="F9089" s="2066"/>
      <c r="G9089" s="2066"/>
      <c r="H9089" s="2066"/>
      <c r="I9089" s="2066"/>
      <c r="J9089" s="2066"/>
      <c r="K9089" s="2066"/>
      <c r="L9089" s="2066"/>
      <c r="M9089" s="2066"/>
      <c r="N9089" s="2066"/>
      <c r="O9089" s="2066"/>
      <c r="P9089" s="49"/>
      <c r="Q9089" s="1"/>
      <c r="R9089" s="2066"/>
      <c r="S9089" s="1"/>
      <c r="T9089" s="1"/>
      <c r="U9089" s="1"/>
      <c r="V9089" s="1"/>
      <c r="W9089" s="1"/>
      <c r="X9089" s="1"/>
      <c r="Y9089" s="1"/>
      <c r="Z9089" s="2066"/>
      <c r="AA9089" s="2066"/>
      <c r="AB9089" s="1"/>
      <c r="AC9089" s="1"/>
      <c r="AD9089" s="1"/>
      <c r="AE9089" s="1"/>
      <c r="AF9089" s="1"/>
      <c r="AG9089" s="1"/>
      <c r="AH9089" s="1"/>
      <c r="AI9089" s="1"/>
      <c r="AJ9089" s="1"/>
      <c r="AK9089" s="1"/>
      <c r="AL9089" s="1"/>
      <c r="AM9089" s="1"/>
    </row>
    <row r="9090" spans="1:39" x14ac:dyDescent="0.25">
      <c r="A9090" s="2066"/>
      <c r="B9090" s="2066"/>
      <c r="C9090" s="2066"/>
      <c r="D9090" s="2066"/>
      <c r="E9090" s="2066"/>
      <c r="F9090" s="2066"/>
      <c r="G9090" s="2066"/>
      <c r="H9090" s="2066"/>
      <c r="I9090" s="2066"/>
      <c r="J9090" s="2066"/>
      <c r="K9090" s="2066"/>
      <c r="L9090" s="2066"/>
      <c r="M9090" s="2066"/>
      <c r="N9090" s="2066"/>
      <c r="O9090" s="2066"/>
      <c r="P9090" s="49"/>
      <c r="Q9090" s="1"/>
      <c r="R9090" s="2066"/>
      <c r="S9090" s="1"/>
      <c r="T9090" s="1"/>
      <c r="U9090" s="1"/>
      <c r="V9090" s="1"/>
      <c r="W9090" s="1"/>
      <c r="X9090" s="1"/>
      <c r="Y9090" s="1"/>
      <c r="Z9090" s="2066"/>
      <c r="AA9090" s="2066"/>
      <c r="AB9090" s="1"/>
      <c r="AC9090" s="1"/>
      <c r="AD9090" s="1"/>
      <c r="AE9090" s="1"/>
      <c r="AF9090" s="1"/>
      <c r="AG9090" s="1"/>
      <c r="AH9090" s="1"/>
      <c r="AI9090" s="1"/>
      <c r="AJ9090" s="1"/>
      <c r="AK9090" s="1"/>
      <c r="AL9090" s="1"/>
      <c r="AM9090" s="1"/>
    </row>
    <row r="9091" spans="1:39" x14ac:dyDescent="0.25">
      <c r="A9091" s="2066"/>
      <c r="B9091" s="2066"/>
      <c r="C9091" s="2066"/>
      <c r="D9091" s="2066"/>
      <c r="E9091" s="2066"/>
      <c r="F9091" s="2066"/>
      <c r="G9091" s="2066"/>
      <c r="H9091" s="2066"/>
      <c r="I9091" s="2066"/>
      <c r="J9091" s="2066"/>
      <c r="K9091" s="2066"/>
      <c r="L9091" s="2066"/>
      <c r="M9091" s="2066"/>
      <c r="N9091" s="2066"/>
      <c r="O9091" s="2066"/>
      <c r="P9091" s="49"/>
      <c r="Q9091" s="1"/>
      <c r="R9091" s="2066"/>
      <c r="S9091" s="1"/>
      <c r="T9091" s="1"/>
      <c r="U9091" s="1"/>
      <c r="V9091" s="1"/>
      <c r="W9091" s="1"/>
      <c r="X9091" s="1"/>
      <c r="Y9091" s="1"/>
      <c r="Z9091" s="2066"/>
      <c r="AA9091" s="2066"/>
      <c r="AB9091" s="1"/>
      <c r="AC9091" s="1"/>
      <c r="AD9091" s="1"/>
      <c r="AE9091" s="1"/>
      <c r="AF9091" s="1"/>
      <c r="AG9091" s="1"/>
      <c r="AH9091" s="1"/>
      <c r="AI9091" s="1"/>
      <c r="AJ9091" s="1"/>
      <c r="AK9091" s="1"/>
      <c r="AL9091" s="1"/>
      <c r="AM9091" s="1"/>
    </row>
    <row r="9092" spans="1:39" x14ac:dyDescent="0.25">
      <c r="A9092" s="2066"/>
      <c r="B9092" s="2066"/>
      <c r="C9092" s="2066"/>
      <c r="D9092" s="2066"/>
      <c r="E9092" s="2066"/>
      <c r="F9092" s="2066"/>
      <c r="G9092" s="2066"/>
      <c r="H9092" s="2066"/>
      <c r="I9092" s="2066"/>
      <c r="J9092" s="2066"/>
      <c r="K9092" s="2066"/>
      <c r="L9092" s="2066"/>
      <c r="M9092" s="2066"/>
      <c r="N9092" s="2066"/>
      <c r="O9092" s="2066"/>
      <c r="P9092" s="49"/>
      <c r="Q9092" s="1"/>
      <c r="R9092" s="2066"/>
      <c r="S9092" s="1"/>
      <c r="T9092" s="1"/>
      <c r="U9092" s="1"/>
      <c r="V9092" s="1"/>
      <c r="W9092" s="1"/>
      <c r="X9092" s="1"/>
      <c r="Y9092" s="1"/>
      <c r="Z9092" s="2066"/>
      <c r="AA9092" s="2066"/>
      <c r="AB9092" s="1"/>
      <c r="AC9092" s="1"/>
      <c r="AD9092" s="1"/>
      <c r="AE9092" s="1"/>
      <c r="AF9092" s="1"/>
      <c r="AG9092" s="1"/>
      <c r="AH9092" s="1"/>
      <c r="AI9092" s="1"/>
      <c r="AJ9092" s="1"/>
      <c r="AK9092" s="1"/>
      <c r="AL9092" s="1"/>
      <c r="AM9092" s="1"/>
    </row>
    <row r="9093" spans="1:39" x14ac:dyDescent="0.25">
      <c r="A9093" s="2066"/>
      <c r="B9093" s="2066"/>
      <c r="C9093" s="2066"/>
      <c r="D9093" s="2066"/>
      <c r="E9093" s="2066"/>
      <c r="F9093" s="2066"/>
      <c r="G9093" s="2066"/>
      <c r="H9093" s="2066"/>
      <c r="I9093" s="2066"/>
      <c r="J9093" s="2066"/>
      <c r="K9093" s="2066"/>
      <c r="L9093" s="2066"/>
      <c r="M9093" s="2066"/>
      <c r="N9093" s="2066"/>
      <c r="O9093" s="2066"/>
      <c r="P9093" s="49"/>
      <c r="Q9093" s="1"/>
      <c r="R9093" s="2066"/>
      <c r="S9093" s="1"/>
      <c r="T9093" s="1"/>
      <c r="U9093" s="1"/>
      <c r="V9093" s="1"/>
      <c r="W9093" s="1"/>
      <c r="X9093" s="1"/>
      <c r="Y9093" s="1"/>
      <c r="Z9093" s="2066"/>
      <c r="AA9093" s="2066"/>
      <c r="AB9093" s="1"/>
      <c r="AC9093" s="1"/>
      <c r="AD9093" s="1"/>
      <c r="AE9093" s="1"/>
      <c r="AF9093" s="1"/>
      <c r="AG9093" s="1"/>
      <c r="AH9093" s="1"/>
      <c r="AI9093" s="1"/>
      <c r="AJ9093" s="1"/>
      <c r="AK9093" s="1"/>
      <c r="AL9093" s="1"/>
      <c r="AM9093" s="1"/>
    </row>
    <row r="9094" spans="1:39" x14ac:dyDescent="0.25">
      <c r="A9094" s="2066"/>
      <c r="B9094" s="2066"/>
      <c r="C9094" s="2066"/>
      <c r="D9094" s="2066"/>
      <c r="E9094" s="2066"/>
      <c r="F9094" s="2066"/>
      <c r="G9094" s="2066"/>
      <c r="H9094" s="2066"/>
      <c r="I9094" s="2066"/>
      <c r="J9094" s="2066"/>
      <c r="K9094" s="2066"/>
      <c r="L9094" s="2066"/>
      <c r="M9094" s="2066"/>
      <c r="N9094" s="2066"/>
      <c r="O9094" s="2066"/>
      <c r="P9094" s="49"/>
      <c r="Q9094" s="1"/>
      <c r="R9094" s="2066"/>
      <c r="S9094" s="1"/>
      <c r="T9094" s="1"/>
      <c r="U9094" s="1"/>
      <c r="V9094" s="1"/>
      <c r="W9094" s="1"/>
      <c r="X9094" s="1"/>
      <c r="Y9094" s="1"/>
      <c r="Z9094" s="2066"/>
      <c r="AA9094" s="2066"/>
      <c r="AB9094" s="1"/>
      <c r="AC9094" s="1"/>
      <c r="AD9094" s="1"/>
      <c r="AE9094" s="1"/>
      <c r="AF9094" s="1"/>
      <c r="AG9094" s="1"/>
      <c r="AH9094" s="1"/>
      <c r="AI9094" s="1"/>
      <c r="AJ9094" s="1"/>
      <c r="AK9094" s="1"/>
      <c r="AL9094" s="1"/>
      <c r="AM9094" s="1"/>
    </row>
    <row r="9095" spans="1:39" x14ac:dyDescent="0.25">
      <c r="A9095" s="2066"/>
      <c r="B9095" s="2066"/>
      <c r="C9095" s="2066"/>
      <c r="D9095" s="2066"/>
      <c r="E9095" s="2066"/>
      <c r="F9095" s="2066"/>
      <c r="G9095" s="2066"/>
      <c r="H9095" s="2066"/>
      <c r="I9095" s="2066"/>
      <c r="J9095" s="2066"/>
      <c r="K9095" s="2066"/>
      <c r="L9095" s="2066"/>
      <c r="M9095" s="2066"/>
      <c r="N9095" s="2066"/>
      <c r="O9095" s="2066"/>
      <c r="P9095" s="49"/>
      <c r="Q9095" s="1"/>
      <c r="R9095" s="2066"/>
      <c r="S9095" s="1"/>
      <c r="T9095" s="1"/>
      <c r="U9095" s="1"/>
      <c r="V9095" s="1"/>
      <c r="W9095" s="1"/>
      <c r="X9095" s="1"/>
      <c r="Y9095" s="1"/>
      <c r="Z9095" s="2066"/>
      <c r="AA9095" s="2066"/>
      <c r="AB9095" s="1"/>
      <c r="AC9095" s="1"/>
      <c r="AD9095" s="1"/>
      <c r="AE9095" s="1"/>
      <c r="AF9095" s="1"/>
      <c r="AG9095" s="1"/>
      <c r="AH9095" s="1"/>
      <c r="AI9095" s="1"/>
      <c r="AJ9095" s="1"/>
      <c r="AK9095" s="1"/>
      <c r="AL9095" s="1"/>
      <c r="AM9095" s="1"/>
    </row>
    <row r="9096" spans="1:39" x14ac:dyDescent="0.25">
      <c r="A9096" s="2066"/>
      <c r="B9096" s="2066"/>
      <c r="C9096" s="2066"/>
      <c r="D9096" s="2066"/>
      <c r="E9096" s="2066"/>
      <c r="F9096" s="2066"/>
      <c r="G9096" s="2066"/>
      <c r="H9096" s="2066"/>
      <c r="I9096" s="2066"/>
      <c r="J9096" s="2066"/>
      <c r="K9096" s="2066"/>
      <c r="L9096" s="2066"/>
      <c r="M9096" s="2066"/>
      <c r="N9096" s="2066"/>
      <c r="O9096" s="2066"/>
      <c r="P9096" s="49"/>
      <c r="Q9096" s="1"/>
      <c r="R9096" s="2066"/>
      <c r="S9096" s="1"/>
      <c r="T9096" s="1"/>
      <c r="U9096" s="1"/>
      <c r="V9096" s="1"/>
      <c r="W9096" s="1"/>
      <c r="X9096" s="1"/>
      <c r="Y9096" s="1"/>
      <c r="Z9096" s="2066"/>
      <c r="AA9096" s="2066"/>
      <c r="AB9096" s="1"/>
      <c r="AC9096" s="1"/>
      <c r="AD9096" s="1"/>
      <c r="AE9096" s="1"/>
      <c r="AF9096" s="1"/>
      <c r="AG9096" s="1"/>
      <c r="AH9096" s="1"/>
      <c r="AI9096" s="1"/>
      <c r="AJ9096" s="1"/>
      <c r="AK9096" s="1"/>
      <c r="AL9096" s="1"/>
      <c r="AM9096" s="1"/>
    </row>
    <row r="9097" spans="1:39" x14ac:dyDescent="0.25">
      <c r="A9097" s="2066"/>
      <c r="B9097" s="2066"/>
      <c r="C9097" s="2066"/>
      <c r="D9097" s="2066"/>
      <c r="E9097" s="2066"/>
      <c r="F9097" s="2066"/>
      <c r="G9097" s="2066"/>
      <c r="H9097" s="2066"/>
      <c r="I9097" s="2066"/>
      <c r="J9097" s="2066"/>
      <c r="K9097" s="2066"/>
      <c r="L9097" s="2066"/>
      <c r="M9097" s="2066"/>
      <c r="N9097" s="2066"/>
      <c r="O9097" s="2066"/>
      <c r="P9097" s="49"/>
      <c r="Q9097" s="1"/>
      <c r="R9097" s="2066"/>
      <c r="S9097" s="1"/>
      <c r="T9097" s="1"/>
      <c r="U9097" s="1"/>
      <c r="V9097" s="1"/>
      <c r="W9097" s="1"/>
      <c r="X9097" s="1"/>
      <c r="Y9097" s="1"/>
      <c r="Z9097" s="2066"/>
      <c r="AA9097" s="2066"/>
      <c r="AB9097" s="1"/>
      <c r="AC9097" s="1"/>
      <c r="AD9097" s="1"/>
      <c r="AE9097" s="1"/>
      <c r="AF9097" s="1"/>
      <c r="AG9097" s="1"/>
      <c r="AH9097" s="1"/>
      <c r="AI9097" s="1"/>
      <c r="AJ9097" s="1"/>
      <c r="AK9097" s="1"/>
      <c r="AL9097" s="1"/>
      <c r="AM9097" s="1"/>
    </row>
    <row r="9098" spans="1:39" x14ac:dyDescent="0.25">
      <c r="A9098" s="2066"/>
      <c r="B9098" s="2066"/>
      <c r="C9098" s="2066"/>
      <c r="D9098" s="2066"/>
      <c r="E9098" s="2066"/>
      <c r="F9098" s="2066"/>
      <c r="G9098" s="2066"/>
      <c r="H9098" s="2066"/>
      <c r="I9098" s="2066"/>
      <c r="J9098" s="2066"/>
      <c r="K9098" s="2066"/>
      <c r="L9098" s="2066"/>
      <c r="M9098" s="2066"/>
      <c r="N9098" s="2066"/>
      <c r="O9098" s="2066"/>
      <c r="P9098" s="49"/>
      <c r="Q9098" s="1"/>
      <c r="R9098" s="2066"/>
      <c r="S9098" s="1"/>
      <c r="T9098" s="1"/>
      <c r="U9098" s="1"/>
      <c r="V9098" s="1"/>
      <c r="W9098" s="1"/>
      <c r="X9098" s="1"/>
      <c r="Y9098" s="1"/>
      <c r="Z9098" s="2066"/>
      <c r="AA9098" s="2066"/>
      <c r="AB9098" s="1"/>
      <c r="AC9098" s="1"/>
      <c r="AD9098" s="1"/>
      <c r="AE9098" s="1"/>
      <c r="AF9098" s="1"/>
      <c r="AG9098" s="1"/>
      <c r="AH9098" s="1"/>
      <c r="AI9098" s="1"/>
      <c r="AJ9098" s="1"/>
      <c r="AK9098" s="1"/>
      <c r="AL9098" s="1"/>
      <c r="AM9098" s="1"/>
    </row>
    <row r="9099" spans="1:39" x14ac:dyDescent="0.25">
      <c r="A9099" s="2066"/>
      <c r="B9099" s="2066"/>
      <c r="C9099" s="2066"/>
      <c r="D9099" s="2066"/>
      <c r="E9099" s="2066"/>
      <c r="F9099" s="2066"/>
      <c r="G9099" s="2066"/>
      <c r="H9099" s="2066"/>
      <c r="I9099" s="2066"/>
      <c r="J9099" s="2066"/>
      <c r="K9099" s="2066"/>
      <c r="L9099" s="2066"/>
      <c r="M9099" s="2066"/>
      <c r="N9099" s="2066"/>
      <c r="O9099" s="2066"/>
      <c r="P9099" s="49"/>
      <c r="Q9099" s="1"/>
      <c r="R9099" s="2066"/>
      <c r="S9099" s="1"/>
      <c r="T9099" s="1"/>
      <c r="U9099" s="1"/>
      <c r="V9099" s="1"/>
      <c r="W9099" s="1"/>
      <c r="X9099" s="1"/>
      <c r="Y9099" s="1"/>
      <c r="Z9099" s="2066"/>
      <c r="AA9099" s="2066"/>
      <c r="AB9099" s="1"/>
      <c r="AC9099" s="1"/>
      <c r="AD9099" s="1"/>
      <c r="AE9099" s="1"/>
      <c r="AF9099" s="1"/>
      <c r="AG9099" s="1"/>
      <c r="AH9099" s="1"/>
      <c r="AI9099" s="1"/>
      <c r="AJ9099" s="1"/>
      <c r="AK9099" s="1"/>
      <c r="AL9099" s="1"/>
      <c r="AM9099" s="1"/>
    </row>
    <row r="9100" spans="1:39" x14ac:dyDescent="0.25">
      <c r="A9100" s="2066"/>
      <c r="B9100" s="2066"/>
      <c r="C9100" s="2066"/>
      <c r="D9100" s="2066"/>
      <c r="E9100" s="2066"/>
      <c r="F9100" s="2066"/>
      <c r="G9100" s="2066"/>
      <c r="H9100" s="2066"/>
      <c r="I9100" s="2066"/>
      <c r="J9100" s="2066"/>
      <c r="K9100" s="2066"/>
      <c r="L9100" s="2066"/>
      <c r="M9100" s="2066"/>
      <c r="N9100" s="2066"/>
      <c r="O9100" s="2066"/>
      <c r="P9100" s="49"/>
      <c r="Q9100" s="1"/>
      <c r="R9100" s="2066"/>
      <c r="S9100" s="1"/>
      <c r="T9100" s="1"/>
      <c r="U9100" s="1"/>
      <c r="V9100" s="1"/>
      <c r="W9100" s="1"/>
      <c r="X9100" s="1"/>
      <c r="Y9100" s="1"/>
      <c r="Z9100" s="2066"/>
      <c r="AA9100" s="2066"/>
      <c r="AB9100" s="1"/>
      <c r="AC9100" s="1"/>
      <c r="AD9100" s="1"/>
      <c r="AE9100" s="1"/>
      <c r="AF9100" s="1"/>
      <c r="AG9100" s="1"/>
      <c r="AH9100" s="1"/>
      <c r="AI9100" s="1"/>
      <c r="AJ9100" s="1"/>
      <c r="AK9100" s="1"/>
      <c r="AL9100" s="1"/>
      <c r="AM9100" s="1"/>
    </row>
    <row r="9101" spans="1:39" x14ac:dyDescent="0.25">
      <c r="A9101" s="2066"/>
      <c r="B9101" s="2066"/>
      <c r="C9101" s="2066"/>
      <c r="D9101" s="2066"/>
      <c r="E9101" s="2066"/>
      <c r="F9101" s="2066"/>
      <c r="G9101" s="2066"/>
      <c r="H9101" s="2066"/>
      <c r="I9101" s="2066"/>
      <c r="J9101" s="2066"/>
      <c r="K9101" s="2066"/>
      <c r="L9101" s="2066"/>
      <c r="M9101" s="2066"/>
      <c r="N9101" s="2066"/>
      <c r="O9101" s="2066"/>
      <c r="P9101" s="49"/>
      <c r="Q9101" s="1"/>
      <c r="R9101" s="2066"/>
      <c r="S9101" s="1"/>
      <c r="T9101" s="1"/>
      <c r="U9101" s="1"/>
      <c r="V9101" s="1"/>
      <c r="W9101" s="1"/>
      <c r="X9101" s="1"/>
      <c r="Y9101" s="1"/>
      <c r="Z9101" s="2066"/>
      <c r="AA9101" s="2066"/>
      <c r="AB9101" s="1"/>
      <c r="AC9101" s="1"/>
      <c r="AD9101" s="1"/>
      <c r="AE9101" s="1"/>
      <c r="AF9101" s="1"/>
      <c r="AG9101" s="1"/>
      <c r="AH9101" s="1"/>
      <c r="AI9101" s="1"/>
      <c r="AJ9101" s="1"/>
      <c r="AK9101" s="1"/>
      <c r="AL9101" s="1"/>
      <c r="AM9101" s="1"/>
    </row>
    <row r="9102" spans="1:39" x14ac:dyDescent="0.25">
      <c r="A9102" s="2066"/>
      <c r="B9102" s="2066"/>
      <c r="C9102" s="2066"/>
      <c r="D9102" s="2066"/>
      <c r="E9102" s="2066"/>
      <c r="F9102" s="2066"/>
      <c r="G9102" s="2066"/>
      <c r="H9102" s="2066"/>
      <c r="I9102" s="2066"/>
      <c r="J9102" s="2066"/>
      <c r="K9102" s="2066"/>
      <c r="L9102" s="2066"/>
      <c r="M9102" s="2066"/>
      <c r="N9102" s="2066"/>
      <c r="O9102" s="2066"/>
      <c r="P9102" s="49"/>
      <c r="Q9102" s="1"/>
      <c r="R9102" s="2066"/>
      <c r="S9102" s="1"/>
      <c r="T9102" s="1"/>
      <c r="U9102" s="1"/>
      <c r="V9102" s="1"/>
      <c r="W9102" s="1"/>
      <c r="X9102" s="1"/>
      <c r="Y9102" s="1"/>
      <c r="Z9102" s="2066"/>
      <c r="AA9102" s="2066"/>
      <c r="AB9102" s="1"/>
      <c r="AC9102" s="1"/>
      <c r="AD9102" s="1"/>
      <c r="AE9102" s="1"/>
      <c r="AF9102" s="1"/>
      <c r="AG9102" s="1"/>
      <c r="AH9102" s="1"/>
      <c r="AI9102" s="1"/>
      <c r="AJ9102" s="1"/>
      <c r="AK9102" s="1"/>
      <c r="AL9102" s="1"/>
      <c r="AM9102" s="1"/>
    </row>
    <row r="9103" spans="1:39" x14ac:dyDescent="0.25">
      <c r="A9103" s="2066"/>
      <c r="B9103" s="2066"/>
      <c r="C9103" s="2066"/>
      <c r="D9103" s="2066"/>
      <c r="E9103" s="2066"/>
      <c r="F9103" s="2066"/>
      <c r="G9103" s="2066"/>
      <c r="H9103" s="2066"/>
      <c r="I9103" s="2066"/>
      <c r="J9103" s="2066"/>
      <c r="K9103" s="2066"/>
      <c r="L9103" s="2066"/>
      <c r="M9103" s="2066"/>
      <c r="N9103" s="2066"/>
      <c r="O9103" s="2066"/>
      <c r="P9103" s="49"/>
      <c r="Q9103" s="1"/>
      <c r="R9103" s="2066"/>
      <c r="S9103" s="1"/>
      <c r="T9103" s="1"/>
      <c r="U9103" s="1"/>
      <c r="V9103" s="1"/>
      <c r="W9103" s="1"/>
      <c r="X9103" s="1"/>
      <c r="Y9103" s="1"/>
      <c r="Z9103" s="2066"/>
      <c r="AA9103" s="2066"/>
      <c r="AB9103" s="1"/>
      <c r="AC9103" s="1"/>
      <c r="AD9103" s="1"/>
      <c r="AE9103" s="1"/>
      <c r="AF9103" s="1"/>
      <c r="AG9103" s="1"/>
      <c r="AH9103" s="1"/>
      <c r="AI9103" s="1"/>
      <c r="AJ9103" s="1"/>
      <c r="AK9103" s="1"/>
      <c r="AL9103" s="1"/>
      <c r="AM9103" s="1"/>
    </row>
    <row r="9104" spans="1:39" x14ac:dyDescent="0.25">
      <c r="A9104" s="2066"/>
      <c r="B9104" s="2066"/>
      <c r="C9104" s="2066"/>
      <c r="D9104" s="2066"/>
      <c r="E9104" s="2066"/>
      <c r="F9104" s="2066"/>
      <c r="G9104" s="2066"/>
      <c r="H9104" s="2066"/>
      <c r="I9104" s="2066"/>
      <c r="J9104" s="2066"/>
      <c r="K9104" s="2066"/>
      <c r="L9104" s="2066"/>
      <c r="M9104" s="2066"/>
      <c r="N9104" s="2066"/>
      <c r="O9104" s="2066"/>
      <c r="P9104" s="49"/>
      <c r="Q9104" s="1"/>
      <c r="R9104" s="2066"/>
      <c r="S9104" s="1"/>
      <c r="T9104" s="1"/>
      <c r="U9104" s="1"/>
      <c r="V9104" s="1"/>
      <c r="W9104" s="1"/>
      <c r="X9104" s="1"/>
      <c r="Y9104" s="1"/>
      <c r="Z9104" s="2066"/>
      <c r="AA9104" s="2066"/>
      <c r="AB9104" s="1"/>
      <c r="AC9104" s="1"/>
      <c r="AD9104" s="1"/>
      <c r="AE9104" s="1"/>
      <c r="AF9104" s="1"/>
      <c r="AG9104" s="1"/>
      <c r="AH9104" s="1"/>
      <c r="AI9104" s="1"/>
      <c r="AJ9104" s="1"/>
      <c r="AK9104" s="1"/>
      <c r="AL9104" s="1"/>
      <c r="AM9104" s="1"/>
    </row>
    <row r="9105" spans="1:39" x14ac:dyDescent="0.25">
      <c r="A9105" s="2066"/>
      <c r="B9105" s="2066"/>
      <c r="C9105" s="2066"/>
      <c r="D9105" s="2066"/>
      <c r="E9105" s="2066"/>
      <c r="F9105" s="2066"/>
      <c r="G9105" s="2066"/>
      <c r="H9105" s="2066"/>
      <c r="I9105" s="2066"/>
      <c r="J9105" s="2066"/>
      <c r="K9105" s="2066"/>
      <c r="L9105" s="2066"/>
      <c r="M9105" s="2066"/>
      <c r="N9105" s="2066"/>
      <c r="O9105" s="2066"/>
      <c r="P9105" s="49"/>
      <c r="Q9105" s="1"/>
      <c r="R9105" s="2066"/>
      <c r="S9105" s="1"/>
      <c r="T9105" s="1"/>
      <c r="U9105" s="1"/>
      <c r="V9105" s="1"/>
      <c r="W9105" s="1"/>
      <c r="X9105" s="1"/>
      <c r="Y9105" s="1"/>
      <c r="Z9105" s="2066"/>
      <c r="AA9105" s="2066"/>
      <c r="AB9105" s="1"/>
      <c r="AC9105" s="1"/>
      <c r="AD9105" s="1"/>
      <c r="AE9105" s="1"/>
      <c r="AF9105" s="1"/>
      <c r="AG9105" s="1"/>
      <c r="AH9105" s="1"/>
      <c r="AI9105" s="1"/>
      <c r="AJ9105" s="1"/>
      <c r="AK9105" s="1"/>
      <c r="AL9105" s="1"/>
      <c r="AM9105" s="1"/>
    </row>
    <row r="9106" spans="1:39" x14ac:dyDescent="0.25">
      <c r="A9106" s="2066"/>
      <c r="B9106" s="2066"/>
      <c r="C9106" s="2066"/>
      <c r="D9106" s="2066"/>
      <c r="E9106" s="2066"/>
      <c r="F9106" s="2066"/>
      <c r="G9106" s="2066"/>
      <c r="H9106" s="2066"/>
      <c r="I9106" s="2066"/>
      <c r="J9106" s="2066"/>
      <c r="K9106" s="2066"/>
      <c r="L9106" s="2066"/>
      <c r="M9106" s="2066"/>
      <c r="N9106" s="2066"/>
      <c r="O9106" s="2066"/>
      <c r="P9106" s="49"/>
      <c r="Q9106" s="1"/>
      <c r="R9106" s="2066"/>
      <c r="S9106" s="1"/>
      <c r="T9106" s="1"/>
      <c r="U9106" s="1"/>
      <c r="V9106" s="1"/>
      <c r="W9106" s="1"/>
      <c r="X9106" s="1"/>
      <c r="Y9106" s="1"/>
      <c r="Z9106" s="2066"/>
      <c r="AA9106" s="2066"/>
      <c r="AB9106" s="1"/>
      <c r="AC9106" s="1"/>
      <c r="AD9106" s="1"/>
      <c r="AE9106" s="1"/>
      <c r="AF9106" s="1"/>
      <c r="AG9106" s="1"/>
      <c r="AH9106" s="1"/>
      <c r="AI9106" s="1"/>
      <c r="AJ9106" s="1"/>
      <c r="AK9106" s="1"/>
      <c r="AL9106" s="1"/>
      <c r="AM9106" s="1"/>
    </row>
    <row r="9107" spans="1:39" x14ac:dyDescent="0.25">
      <c r="A9107" s="2066"/>
      <c r="B9107" s="2066"/>
      <c r="C9107" s="2066"/>
      <c r="D9107" s="2066"/>
      <c r="E9107" s="2066"/>
      <c r="F9107" s="2066"/>
      <c r="G9107" s="2066"/>
      <c r="H9107" s="2066"/>
      <c r="I9107" s="2066"/>
      <c r="J9107" s="2066"/>
      <c r="K9107" s="2066"/>
      <c r="L9107" s="2066"/>
      <c r="M9107" s="2066"/>
      <c r="N9107" s="2066"/>
      <c r="O9107" s="2066"/>
      <c r="P9107" s="49"/>
      <c r="Q9107" s="1"/>
      <c r="R9107" s="2066"/>
      <c r="S9107" s="1"/>
      <c r="T9107" s="1"/>
      <c r="U9107" s="1"/>
      <c r="V9107" s="1"/>
      <c r="W9107" s="1"/>
      <c r="X9107" s="1"/>
      <c r="Y9107" s="1"/>
      <c r="Z9107" s="2066"/>
      <c r="AA9107" s="2066"/>
      <c r="AB9107" s="1"/>
      <c r="AC9107" s="1"/>
      <c r="AD9107" s="1"/>
      <c r="AE9107" s="1"/>
      <c r="AF9107" s="1"/>
      <c r="AG9107" s="1"/>
      <c r="AH9107" s="1"/>
      <c r="AI9107" s="1"/>
      <c r="AJ9107" s="1"/>
      <c r="AK9107" s="1"/>
      <c r="AL9107" s="1"/>
      <c r="AM9107" s="1"/>
    </row>
    <row r="9108" spans="1:39" x14ac:dyDescent="0.25">
      <c r="A9108" s="2066"/>
      <c r="B9108" s="2066"/>
      <c r="C9108" s="2066"/>
      <c r="D9108" s="2066"/>
      <c r="E9108" s="2066"/>
      <c r="F9108" s="2066"/>
      <c r="G9108" s="2066"/>
      <c r="H9108" s="2066"/>
      <c r="I9108" s="2066"/>
      <c r="J9108" s="2066"/>
      <c r="K9108" s="2066"/>
      <c r="L9108" s="2066"/>
      <c r="M9108" s="2066"/>
      <c r="N9108" s="2066"/>
      <c r="O9108" s="2066"/>
      <c r="P9108" s="49"/>
      <c r="Q9108" s="1"/>
      <c r="R9108" s="2066"/>
      <c r="S9108" s="1"/>
      <c r="T9108" s="1"/>
      <c r="U9108" s="1"/>
      <c r="V9108" s="1"/>
      <c r="W9108" s="1"/>
      <c r="X9108" s="1"/>
      <c r="Y9108" s="1"/>
      <c r="Z9108" s="2066"/>
      <c r="AA9108" s="2066"/>
      <c r="AB9108" s="1"/>
      <c r="AC9108" s="1"/>
      <c r="AD9108" s="1"/>
      <c r="AE9108" s="1"/>
      <c r="AF9108" s="1"/>
      <c r="AG9108" s="1"/>
      <c r="AH9108" s="1"/>
      <c r="AI9108" s="1"/>
      <c r="AJ9108" s="1"/>
      <c r="AK9108" s="1"/>
      <c r="AL9108" s="1"/>
      <c r="AM9108" s="1"/>
    </row>
    <row r="9109" spans="1:39" x14ac:dyDescent="0.25">
      <c r="A9109" s="2066"/>
      <c r="B9109" s="2066"/>
      <c r="C9109" s="2066"/>
      <c r="D9109" s="2066"/>
      <c r="E9109" s="2066"/>
      <c r="F9109" s="2066"/>
      <c r="G9109" s="2066"/>
      <c r="H9109" s="2066"/>
      <c r="I9109" s="2066"/>
      <c r="J9109" s="2066"/>
      <c r="K9109" s="2066"/>
      <c r="L9109" s="2066"/>
      <c r="M9109" s="2066"/>
      <c r="N9109" s="2066"/>
      <c r="O9109" s="2066"/>
      <c r="P9109" s="49"/>
      <c r="Q9109" s="1"/>
      <c r="R9109" s="2066"/>
      <c r="S9109" s="1"/>
      <c r="T9109" s="1"/>
      <c r="U9109" s="1"/>
      <c r="V9109" s="1"/>
      <c r="W9109" s="1"/>
      <c r="X9109" s="1"/>
      <c r="Y9109" s="1"/>
      <c r="Z9109" s="2066"/>
      <c r="AA9109" s="2066"/>
      <c r="AB9109" s="1"/>
      <c r="AC9109" s="1"/>
      <c r="AD9109" s="1"/>
      <c r="AE9109" s="1"/>
      <c r="AF9109" s="1"/>
      <c r="AG9109" s="1"/>
      <c r="AH9109" s="1"/>
      <c r="AI9109" s="1"/>
      <c r="AJ9109" s="1"/>
      <c r="AK9109" s="1"/>
      <c r="AL9109" s="1"/>
      <c r="AM9109" s="1"/>
    </row>
    <row r="9110" spans="1:39" x14ac:dyDescent="0.25">
      <c r="A9110" s="2066"/>
      <c r="B9110" s="2066"/>
      <c r="C9110" s="2066"/>
      <c r="D9110" s="2066"/>
      <c r="E9110" s="2066"/>
      <c r="F9110" s="2066"/>
      <c r="G9110" s="2066"/>
      <c r="H9110" s="2066"/>
      <c r="I9110" s="2066"/>
      <c r="J9110" s="2066"/>
      <c r="K9110" s="2066"/>
      <c r="L9110" s="2066"/>
      <c r="M9110" s="2066"/>
      <c r="N9110" s="2066"/>
      <c r="O9110" s="2066"/>
      <c r="P9110" s="49"/>
      <c r="Q9110" s="1"/>
      <c r="R9110" s="2066"/>
      <c r="S9110" s="1"/>
      <c r="T9110" s="1"/>
      <c r="U9110" s="1"/>
      <c r="V9110" s="1"/>
      <c r="W9110" s="1"/>
      <c r="X9110" s="1"/>
      <c r="Y9110" s="1"/>
      <c r="Z9110" s="2066"/>
      <c r="AA9110" s="2066"/>
      <c r="AB9110" s="1"/>
      <c r="AC9110" s="1"/>
      <c r="AD9110" s="1"/>
      <c r="AE9110" s="1"/>
      <c r="AF9110" s="1"/>
      <c r="AG9110" s="1"/>
      <c r="AH9110" s="1"/>
      <c r="AI9110" s="1"/>
      <c r="AJ9110" s="1"/>
      <c r="AK9110" s="1"/>
      <c r="AL9110" s="1"/>
      <c r="AM9110" s="1"/>
    </row>
    <row r="9111" spans="1:39" x14ac:dyDescent="0.25">
      <c r="A9111" s="2066"/>
      <c r="B9111" s="2066"/>
      <c r="C9111" s="2066"/>
      <c r="D9111" s="2066"/>
      <c r="E9111" s="2066"/>
      <c r="F9111" s="2066"/>
      <c r="G9111" s="2066"/>
      <c r="H9111" s="2066"/>
      <c r="I9111" s="2066"/>
      <c r="J9111" s="2066"/>
      <c r="K9111" s="2066"/>
      <c r="L9111" s="2066"/>
      <c r="M9111" s="2066"/>
      <c r="N9111" s="2066"/>
      <c r="O9111" s="2066"/>
      <c r="P9111" s="49"/>
      <c r="Q9111" s="1"/>
      <c r="R9111" s="2066"/>
      <c r="S9111" s="1"/>
      <c r="T9111" s="1"/>
      <c r="U9111" s="1"/>
      <c r="V9111" s="1"/>
      <c r="W9111" s="1"/>
      <c r="X9111" s="1"/>
      <c r="Y9111" s="1"/>
      <c r="Z9111" s="2066"/>
      <c r="AA9111" s="2066"/>
      <c r="AB9111" s="1"/>
      <c r="AC9111" s="1"/>
      <c r="AD9111" s="1"/>
      <c r="AE9111" s="1"/>
      <c r="AF9111" s="1"/>
      <c r="AG9111" s="1"/>
      <c r="AH9111" s="1"/>
      <c r="AI9111" s="1"/>
      <c r="AJ9111" s="1"/>
      <c r="AK9111" s="1"/>
      <c r="AL9111" s="1"/>
      <c r="AM9111" s="1"/>
    </row>
    <row r="9112" spans="1:39" x14ac:dyDescent="0.25">
      <c r="A9112" s="2066"/>
      <c r="B9112" s="2066"/>
      <c r="C9112" s="2066"/>
      <c r="D9112" s="2066"/>
      <c r="E9112" s="2066"/>
      <c r="F9112" s="2066"/>
      <c r="G9112" s="2066"/>
      <c r="H9112" s="2066"/>
      <c r="I9112" s="2066"/>
      <c r="J9112" s="2066"/>
      <c r="K9112" s="2066"/>
      <c r="L9112" s="2066"/>
      <c r="M9112" s="2066"/>
      <c r="N9112" s="2066"/>
      <c r="O9112" s="2066"/>
      <c r="P9112" s="49"/>
      <c r="Q9112" s="1"/>
      <c r="R9112" s="2066"/>
      <c r="S9112" s="1"/>
      <c r="T9112" s="1"/>
      <c r="U9112" s="1"/>
      <c r="V9112" s="1"/>
      <c r="W9112" s="1"/>
      <c r="X9112" s="1"/>
      <c r="Y9112" s="1"/>
      <c r="Z9112" s="2066"/>
      <c r="AA9112" s="2066"/>
      <c r="AB9112" s="1"/>
      <c r="AC9112" s="1"/>
      <c r="AD9112" s="1"/>
      <c r="AE9112" s="1"/>
      <c r="AF9112" s="1"/>
      <c r="AG9112" s="1"/>
      <c r="AH9112" s="1"/>
      <c r="AI9112" s="1"/>
      <c r="AJ9112" s="1"/>
      <c r="AK9112" s="1"/>
      <c r="AL9112" s="1"/>
      <c r="AM9112" s="1"/>
    </row>
    <row r="9113" spans="1:39" x14ac:dyDescent="0.25">
      <c r="A9113" s="2066"/>
      <c r="B9113" s="2066"/>
      <c r="C9113" s="2066"/>
      <c r="D9113" s="2066"/>
      <c r="E9113" s="2066"/>
      <c r="F9113" s="2066"/>
      <c r="G9113" s="2066"/>
      <c r="H9113" s="2066"/>
      <c r="I9113" s="2066"/>
      <c r="J9113" s="2066"/>
      <c r="K9113" s="2066"/>
      <c r="L9113" s="2066"/>
      <c r="M9113" s="2066"/>
      <c r="N9113" s="2066"/>
      <c r="O9113" s="2066"/>
      <c r="P9113" s="49"/>
      <c r="Q9113" s="1"/>
      <c r="R9113" s="2066"/>
      <c r="S9113" s="1"/>
      <c r="T9113" s="1"/>
      <c r="U9113" s="1"/>
      <c r="V9113" s="1"/>
      <c r="W9113" s="1"/>
      <c r="X9113" s="1"/>
      <c r="Y9113" s="1"/>
      <c r="Z9113" s="2066"/>
      <c r="AA9113" s="2066"/>
      <c r="AB9113" s="1"/>
      <c r="AC9113" s="1"/>
      <c r="AD9113" s="1"/>
      <c r="AE9113" s="1"/>
      <c r="AF9113" s="1"/>
      <c r="AG9113" s="1"/>
      <c r="AH9113" s="1"/>
      <c r="AI9113" s="1"/>
      <c r="AJ9113" s="1"/>
      <c r="AK9113" s="1"/>
      <c r="AL9113" s="1"/>
      <c r="AM9113" s="1"/>
    </row>
    <row r="9114" spans="1:39" x14ac:dyDescent="0.25">
      <c r="A9114" s="2066"/>
      <c r="B9114" s="2066"/>
      <c r="C9114" s="2066"/>
      <c r="D9114" s="2066"/>
      <c r="E9114" s="2066"/>
      <c r="F9114" s="2066"/>
      <c r="G9114" s="2066"/>
      <c r="H9114" s="2066"/>
      <c r="I9114" s="2066"/>
      <c r="J9114" s="2066"/>
      <c r="K9114" s="2066"/>
      <c r="L9114" s="2066"/>
      <c r="M9114" s="2066"/>
      <c r="N9114" s="2066"/>
      <c r="O9114" s="2066"/>
      <c r="P9114" s="49"/>
      <c r="Q9114" s="1"/>
      <c r="R9114" s="2066"/>
      <c r="S9114" s="1"/>
      <c r="T9114" s="1"/>
      <c r="U9114" s="1"/>
      <c r="V9114" s="1"/>
      <c r="W9114" s="1"/>
      <c r="X9114" s="1"/>
      <c r="Y9114" s="1"/>
      <c r="Z9114" s="2066"/>
      <c r="AA9114" s="2066"/>
      <c r="AB9114" s="1"/>
      <c r="AC9114" s="1"/>
      <c r="AD9114" s="1"/>
      <c r="AE9114" s="1"/>
      <c r="AF9114" s="1"/>
      <c r="AG9114" s="1"/>
      <c r="AH9114" s="1"/>
      <c r="AI9114" s="1"/>
      <c r="AJ9114" s="1"/>
      <c r="AK9114" s="1"/>
      <c r="AL9114" s="1"/>
      <c r="AM9114" s="1"/>
    </row>
    <row r="9115" spans="1:39" x14ac:dyDescent="0.25">
      <c r="A9115" s="2066"/>
      <c r="B9115" s="2066"/>
      <c r="C9115" s="2066"/>
      <c r="D9115" s="2066"/>
      <c r="E9115" s="2066"/>
      <c r="F9115" s="2066"/>
      <c r="G9115" s="2066"/>
      <c r="H9115" s="2066"/>
      <c r="I9115" s="2066"/>
      <c r="J9115" s="2066"/>
      <c r="K9115" s="2066"/>
      <c r="L9115" s="2066"/>
      <c r="M9115" s="2066"/>
      <c r="N9115" s="2066"/>
      <c r="O9115" s="2066"/>
      <c r="P9115" s="49"/>
      <c r="Q9115" s="1"/>
      <c r="R9115" s="2066"/>
      <c r="S9115" s="1"/>
      <c r="T9115" s="1"/>
      <c r="U9115" s="1"/>
      <c r="V9115" s="1"/>
      <c r="W9115" s="1"/>
      <c r="X9115" s="1"/>
      <c r="Y9115" s="1"/>
      <c r="Z9115" s="2066"/>
      <c r="AA9115" s="2066"/>
      <c r="AB9115" s="1"/>
      <c r="AC9115" s="1"/>
      <c r="AD9115" s="1"/>
      <c r="AE9115" s="1"/>
      <c r="AF9115" s="1"/>
      <c r="AG9115" s="1"/>
      <c r="AH9115" s="1"/>
      <c r="AI9115" s="1"/>
      <c r="AJ9115" s="1"/>
      <c r="AK9115" s="1"/>
      <c r="AL9115" s="1"/>
      <c r="AM9115" s="1"/>
    </row>
    <row r="9116" spans="1:39" x14ac:dyDescent="0.25">
      <c r="A9116" s="2066"/>
      <c r="B9116" s="2066"/>
      <c r="C9116" s="2066"/>
      <c r="D9116" s="2066"/>
      <c r="E9116" s="2066"/>
      <c r="F9116" s="2066"/>
      <c r="G9116" s="2066"/>
      <c r="H9116" s="2066"/>
      <c r="I9116" s="2066"/>
      <c r="J9116" s="2066"/>
      <c r="K9116" s="2066"/>
      <c r="L9116" s="2066"/>
      <c r="M9116" s="2066"/>
      <c r="N9116" s="2066"/>
      <c r="O9116" s="2066"/>
      <c r="P9116" s="49"/>
      <c r="Q9116" s="1"/>
      <c r="R9116" s="2066"/>
      <c r="S9116" s="1"/>
      <c r="T9116" s="1"/>
      <c r="U9116" s="1"/>
      <c r="V9116" s="1"/>
      <c r="W9116" s="1"/>
      <c r="X9116" s="1"/>
      <c r="Y9116" s="1"/>
      <c r="Z9116" s="2066"/>
      <c r="AA9116" s="2066"/>
      <c r="AB9116" s="1"/>
      <c r="AC9116" s="1"/>
      <c r="AD9116" s="1"/>
      <c r="AE9116" s="1"/>
      <c r="AF9116" s="1"/>
      <c r="AG9116" s="1"/>
      <c r="AH9116" s="1"/>
      <c r="AI9116" s="1"/>
      <c r="AJ9116" s="1"/>
      <c r="AK9116" s="1"/>
      <c r="AL9116" s="1"/>
      <c r="AM9116" s="1"/>
    </row>
    <row r="9117" spans="1:39" x14ac:dyDescent="0.25">
      <c r="A9117" s="2066"/>
      <c r="B9117" s="2066"/>
      <c r="C9117" s="2066"/>
      <c r="D9117" s="2066"/>
      <c r="E9117" s="2066"/>
      <c r="F9117" s="2066"/>
      <c r="G9117" s="2066"/>
      <c r="H9117" s="2066"/>
      <c r="I9117" s="2066"/>
      <c r="J9117" s="2066"/>
      <c r="K9117" s="2066"/>
      <c r="L9117" s="2066"/>
      <c r="M9117" s="2066"/>
      <c r="N9117" s="2066"/>
      <c r="O9117" s="2066"/>
      <c r="P9117" s="49"/>
      <c r="Q9117" s="1"/>
      <c r="R9117" s="2066"/>
      <c r="S9117" s="1"/>
      <c r="T9117" s="1"/>
      <c r="U9117" s="1"/>
      <c r="V9117" s="1"/>
      <c r="W9117" s="1"/>
      <c r="X9117" s="1"/>
      <c r="Y9117" s="1"/>
      <c r="Z9117" s="2066"/>
      <c r="AA9117" s="2066"/>
      <c r="AB9117" s="1"/>
      <c r="AC9117" s="1"/>
      <c r="AD9117" s="1"/>
      <c r="AE9117" s="1"/>
      <c r="AF9117" s="1"/>
      <c r="AG9117" s="1"/>
      <c r="AH9117" s="1"/>
      <c r="AI9117" s="1"/>
      <c r="AJ9117" s="1"/>
      <c r="AK9117" s="1"/>
      <c r="AL9117" s="1"/>
      <c r="AM9117" s="1"/>
    </row>
    <row r="9118" spans="1:39" x14ac:dyDescent="0.25">
      <c r="A9118" s="2066"/>
      <c r="B9118" s="2066"/>
      <c r="C9118" s="2066"/>
      <c r="D9118" s="2066"/>
      <c r="E9118" s="2066"/>
      <c r="F9118" s="2066"/>
      <c r="G9118" s="2066"/>
      <c r="H9118" s="2066"/>
      <c r="I9118" s="2066"/>
      <c r="J9118" s="2066"/>
      <c r="K9118" s="2066"/>
      <c r="L9118" s="2066"/>
      <c r="M9118" s="2066"/>
      <c r="N9118" s="2066"/>
      <c r="O9118" s="2066"/>
      <c r="P9118" s="49"/>
      <c r="Q9118" s="1"/>
      <c r="R9118" s="2066"/>
      <c r="S9118" s="1"/>
      <c r="T9118" s="1"/>
      <c r="U9118" s="1"/>
      <c r="V9118" s="1"/>
      <c r="W9118" s="1"/>
      <c r="X9118" s="1"/>
      <c r="Y9118" s="1"/>
      <c r="Z9118" s="2066"/>
      <c r="AA9118" s="2066"/>
      <c r="AB9118" s="1"/>
      <c r="AC9118" s="1"/>
      <c r="AD9118" s="1"/>
      <c r="AE9118" s="1"/>
      <c r="AF9118" s="1"/>
      <c r="AG9118" s="1"/>
      <c r="AH9118" s="1"/>
      <c r="AI9118" s="1"/>
      <c r="AJ9118" s="1"/>
      <c r="AK9118" s="1"/>
      <c r="AL9118" s="1"/>
      <c r="AM9118" s="1"/>
    </row>
    <row r="9119" spans="1:39" x14ac:dyDescent="0.25">
      <c r="A9119" s="2066"/>
      <c r="B9119" s="2066"/>
      <c r="C9119" s="2066"/>
      <c r="D9119" s="2066"/>
      <c r="E9119" s="2066"/>
      <c r="F9119" s="2066"/>
      <c r="G9119" s="2066"/>
      <c r="H9119" s="2066"/>
      <c r="I9119" s="2066"/>
      <c r="J9119" s="2066"/>
      <c r="K9119" s="2066"/>
      <c r="L9119" s="2066"/>
      <c r="M9119" s="2066"/>
      <c r="N9119" s="2066"/>
      <c r="O9119" s="2066"/>
      <c r="P9119" s="49"/>
      <c r="Q9119" s="1"/>
      <c r="R9119" s="2066"/>
      <c r="S9119" s="1"/>
      <c r="T9119" s="1"/>
      <c r="U9119" s="1"/>
      <c r="V9119" s="1"/>
      <c r="W9119" s="1"/>
      <c r="X9119" s="1"/>
      <c r="Y9119" s="1"/>
      <c r="Z9119" s="2066"/>
      <c r="AA9119" s="2066"/>
      <c r="AB9119" s="1"/>
      <c r="AC9119" s="1"/>
      <c r="AD9119" s="1"/>
      <c r="AE9119" s="1"/>
      <c r="AF9119" s="1"/>
      <c r="AG9119" s="1"/>
      <c r="AH9119" s="1"/>
      <c r="AI9119" s="1"/>
      <c r="AJ9119" s="1"/>
      <c r="AK9119" s="1"/>
      <c r="AL9119" s="1"/>
      <c r="AM9119" s="1"/>
    </row>
    <row r="9120" spans="1:39" x14ac:dyDescent="0.25">
      <c r="A9120" s="2066"/>
      <c r="B9120" s="2066"/>
      <c r="C9120" s="2066"/>
      <c r="D9120" s="2066"/>
      <c r="E9120" s="2066"/>
      <c r="F9120" s="2066"/>
      <c r="G9120" s="2066"/>
      <c r="H9120" s="2066"/>
      <c r="I9120" s="2066"/>
      <c r="J9120" s="2066"/>
      <c r="K9120" s="2066"/>
      <c r="L9120" s="2066"/>
      <c r="M9120" s="2066"/>
      <c r="N9120" s="2066"/>
      <c r="O9120" s="2066"/>
      <c r="P9120" s="49"/>
      <c r="Q9120" s="1"/>
      <c r="R9120" s="2066"/>
      <c r="S9120" s="1"/>
      <c r="T9120" s="1"/>
      <c r="U9120" s="1"/>
      <c r="V9120" s="1"/>
      <c r="W9120" s="1"/>
      <c r="X9120" s="1"/>
      <c r="Y9120" s="1"/>
      <c r="Z9120" s="2066"/>
      <c r="AA9120" s="2066"/>
      <c r="AB9120" s="1"/>
      <c r="AC9120" s="1"/>
      <c r="AD9120" s="1"/>
      <c r="AE9120" s="1"/>
      <c r="AF9120" s="1"/>
      <c r="AG9120" s="1"/>
      <c r="AH9120" s="1"/>
      <c r="AI9120" s="1"/>
      <c r="AJ9120" s="1"/>
      <c r="AK9120" s="1"/>
      <c r="AL9120" s="1"/>
      <c r="AM9120" s="1"/>
    </row>
    <row r="9121" spans="1:39" x14ac:dyDescent="0.25">
      <c r="A9121" s="2066"/>
      <c r="B9121" s="2066"/>
      <c r="C9121" s="2066"/>
      <c r="D9121" s="2066"/>
      <c r="E9121" s="2066"/>
      <c r="F9121" s="2066"/>
      <c r="G9121" s="2066"/>
      <c r="H9121" s="2066"/>
      <c r="I9121" s="2066"/>
      <c r="J9121" s="2066"/>
      <c r="K9121" s="2066"/>
      <c r="L9121" s="2066"/>
      <c r="M9121" s="2066"/>
      <c r="N9121" s="2066"/>
      <c r="O9121" s="2066"/>
      <c r="P9121" s="49"/>
      <c r="Q9121" s="1"/>
      <c r="R9121" s="2066"/>
      <c r="S9121" s="1"/>
      <c r="T9121" s="1"/>
      <c r="U9121" s="1"/>
      <c r="V9121" s="1"/>
      <c r="W9121" s="1"/>
      <c r="X9121" s="1"/>
      <c r="Y9121" s="1"/>
      <c r="Z9121" s="2066"/>
      <c r="AA9121" s="2066"/>
      <c r="AB9121" s="1"/>
      <c r="AC9121" s="1"/>
      <c r="AD9121" s="1"/>
      <c r="AE9121" s="1"/>
      <c r="AF9121" s="1"/>
      <c r="AG9121" s="1"/>
      <c r="AH9121" s="1"/>
      <c r="AI9121" s="1"/>
      <c r="AJ9121" s="1"/>
      <c r="AK9121" s="1"/>
      <c r="AL9121" s="1"/>
      <c r="AM9121" s="1"/>
    </row>
    <row r="9122" spans="1:39" x14ac:dyDescent="0.25">
      <c r="A9122" s="2066"/>
      <c r="B9122" s="2066"/>
      <c r="C9122" s="2066"/>
      <c r="D9122" s="2066"/>
      <c r="E9122" s="2066"/>
      <c r="F9122" s="2066"/>
      <c r="G9122" s="2066"/>
      <c r="H9122" s="2066"/>
      <c r="I9122" s="2066"/>
      <c r="J9122" s="2066"/>
      <c r="K9122" s="2066"/>
      <c r="L9122" s="2066"/>
      <c r="M9122" s="2066"/>
      <c r="N9122" s="2066"/>
      <c r="O9122" s="2066"/>
      <c r="P9122" s="49"/>
      <c r="Q9122" s="1"/>
      <c r="R9122" s="2066"/>
      <c r="S9122" s="1"/>
      <c r="T9122" s="1"/>
      <c r="U9122" s="1"/>
      <c r="V9122" s="1"/>
      <c r="W9122" s="1"/>
      <c r="X9122" s="1"/>
      <c r="Y9122" s="1"/>
      <c r="Z9122" s="2066"/>
      <c r="AA9122" s="2066"/>
      <c r="AB9122" s="1"/>
      <c r="AC9122" s="1"/>
      <c r="AD9122" s="1"/>
      <c r="AE9122" s="1"/>
      <c r="AF9122" s="1"/>
      <c r="AG9122" s="1"/>
      <c r="AH9122" s="1"/>
      <c r="AI9122" s="1"/>
      <c r="AJ9122" s="1"/>
      <c r="AK9122" s="1"/>
      <c r="AL9122" s="1"/>
      <c r="AM9122" s="1"/>
    </row>
    <row r="9123" spans="1:39" x14ac:dyDescent="0.25">
      <c r="A9123" s="2066"/>
      <c r="B9123" s="2066"/>
      <c r="C9123" s="2066"/>
      <c r="D9123" s="2066"/>
      <c r="E9123" s="2066"/>
      <c r="F9123" s="2066"/>
      <c r="G9123" s="2066"/>
      <c r="H9123" s="2066"/>
      <c r="I9123" s="2066"/>
      <c r="J9123" s="2066"/>
      <c r="K9123" s="2066"/>
      <c r="L9123" s="2066"/>
      <c r="M9123" s="2066"/>
      <c r="N9123" s="2066"/>
      <c r="O9123" s="2066"/>
      <c r="P9123" s="49"/>
      <c r="Q9123" s="1"/>
      <c r="R9123" s="2066"/>
      <c r="S9123" s="1"/>
      <c r="T9123" s="1"/>
      <c r="U9123" s="1"/>
      <c r="V9123" s="1"/>
      <c r="W9123" s="1"/>
      <c r="X9123" s="1"/>
      <c r="Y9123" s="1"/>
      <c r="Z9123" s="2066"/>
      <c r="AA9123" s="2066"/>
      <c r="AB9123" s="1"/>
      <c r="AC9123" s="1"/>
      <c r="AD9123" s="1"/>
      <c r="AE9123" s="1"/>
      <c r="AF9123" s="1"/>
      <c r="AG9123" s="1"/>
      <c r="AH9123" s="1"/>
      <c r="AI9123" s="1"/>
      <c r="AJ9123" s="1"/>
      <c r="AK9123" s="1"/>
      <c r="AL9123" s="1"/>
      <c r="AM9123" s="1"/>
    </row>
    <row r="9124" spans="1:39" x14ac:dyDescent="0.25">
      <c r="A9124" s="2066"/>
      <c r="B9124" s="2066"/>
      <c r="C9124" s="2066"/>
      <c r="D9124" s="2066"/>
      <c r="E9124" s="2066"/>
      <c r="F9124" s="2066"/>
      <c r="G9124" s="2066"/>
      <c r="H9124" s="2066"/>
      <c r="I9124" s="2066"/>
      <c r="J9124" s="2066"/>
      <c r="K9124" s="2066"/>
      <c r="L9124" s="2066"/>
      <c r="M9124" s="2066"/>
      <c r="N9124" s="2066"/>
      <c r="O9124" s="2066"/>
      <c r="P9124" s="49"/>
      <c r="Q9124" s="1"/>
      <c r="R9124" s="2066"/>
      <c r="S9124" s="1"/>
      <c r="T9124" s="1"/>
      <c r="U9124" s="1"/>
      <c r="V9124" s="1"/>
      <c r="W9124" s="1"/>
      <c r="X9124" s="1"/>
      <c r="Y9124" s="1"/>
      <c r="Z9124" s="2066"/>
      <c r="AA9124" s="2066"/>
      <c r="AB9124" s="1"/>
      <c r="AC9124" s="1"/>
      <c r="AD9124" s="1"/>
      <c r="AE9124" s="1"/>
      <c r="AF9124" s="1"/>
      <c r="AG9124" s="1"/>
      <c r="AH9124" s="1"/>
      <c r="AI9124" s="1"/>
      <c r="AJ9124" s="1"/>
      <c r="AK9124" s="1"/>
      <c r="AL9124" s="1"/>
      <c r="AM9124" s="1"/>
    </row>
    <row r="9125" spans="1:39" x14ac:dyDescent="0.25">
      <c r="A9125" s="2066"/>
      <c r="B9125" s="2066"/>
      <c r="C9125" s="2066"/>
      <c r="D9125" s="2066"/>
      <c r="E9125" s="2066"/>
      <c r="F9125" s="2066"/>
      <c r="G9125" s="2066"/>
      <c r="H9125" s="2066"/>
      <c r="I9125" s="2066"/>
      <c r="J9125" s="2066"/>
      <c r="K9125" s="2066"/>
      <c r="L9125" s="2066"/>
      <c r="M9125" s="2066"/>
      <c r="N9125" s="2066"/>
      <c r="O9125" s="2066"/>
      <c r="P9125" s="49"/>
      <c r="Q9125" s="1"/>
      <c r="R9125" s="2066"/>
      <c r="S9125" s="1"/>
      <c r="T9125" s="1"/>
      <c r="U9125" s="1"/>
      <c r="V9125" s="1"/>
      <c r="W9125" s="1"/>
      <c r="X9125" s="1"/>
      <c r="Y9125" s="1"/>
      <c r="Z9125" s="2066"/>
      <c r="AA9125" s="2066"/>
      <c r="AB9125" s="1"/>
      <c r="AC9125" s="1"/>
      <c r="AD9125" s="1"/>
      <c r="AE9125" s="1"/>
      <c r="AF9125" s="1"/>
      <c r="AG9125" s="1"/>
      <c r="AH9125" s="1"/>
      <c r="AI9125" s="1"/>
      <c r="AJ9125" s="1"/>
      <c r="AK9125" s="1"/>
      <c r="AL9125" s="1"/>
      <c r="AM9125" s="1"/>
    </row>
    <row r="9126" spans="1:39" x14ac:dyDescent="0.25">
      <c r="A9126" s="2066"/>
      <c r="B9126" s="2066"/>
      <c r="C9126" s="2066"/>
      <c r="D9126" s="2066"/>
      <c r="E9126" s="2066"/>
      <c r="F9126" s="2066"/>
      <c r="G9126" s="2066"/>
      <c r="H9126" s="2066"/>
      <c r="I9126" s="2066"/>
      <c r="J9126" s="2066"/>
      <c r="K9126" s="2066"/>
      <c r="L9126" s="2066"/>
      <c r="M9126" s="2066"/>
      <c r="N9126" s="2066"/>
      <c r="O9126" s="2066"/>
      <c r="P9126" s="49"/>
      <c r="Q9126" s="1"/>
      <c r="R9126" s="2066"/>
      <c r="S9126" s="1"/>
      <c r="T9126" s="1"/>
      <c r="U9126" s="1"/>
      <c r="V9126" s="1"/>
      <c r="W9126" s="1"/>
      <c r="X9126" s="1"/>
      <c r="Y9126" s="1"/>
      <c r="Z9126" s="2066"/>
      <c r="AA9126" s="2066"/>
      <c r="AB9126" s="1"/>
      <c r="AC9126" s="1"/>
      <c r="AD9126" s="1"/>
      <c r="AE9126" s="1"/>
      <c r="AF9126" s="1"/>
      <c r="AG9126" s="1"/>
      <c r="AH9126" s="1"/>
      <c r="AI9126" s="1"/>
      <c r="AJ9126" s="1"/>
      <c r="AK9126" s="1"/>
      <c r="AL9126" s="1"/>
      <c r="AM9126" s="1"/>
    </row>
    <row r="9127" spans="1:39" x14ac:dyDescent="0.25">
      <c r="A9127" s="2066"/>
      <c r="B9127" s="2066"/>
      <c r="C9127" s="2066"/>
      <c r="D9127" s="2066"/>
      <c r="E9127" s="2066"/>
      <c r="F9127" s="2066"/>
      <c r="G9127" s="2066"/>
      <c r="H9127" s="2066"/>
      <c r="I9127" s="2066"/>
      <c r="J9127" s="2066"/>
      <c r="K9127" s="2066"/>
      <c r="L9127" s="2066"/>
      <c r="M9127" s="2066"/>
      <c r="N9127" s="2066"/>
      <c r="O9127" s="2066"/>
      <c r="P9127" s="49"/>
      <c r="Q9127" s="1"/>
      <c r="R9127" s="2066"/>
      <c r="S9127" s="1"/>
      <c r="T9127" s="1"/>
      <c r="U9127" s="1"/>
      <c r="V9127" s="1"/>
      <c r="W9127" s="1"/>
      <c r="X9127" s="1"/>
      <c r="Y9127" s="1"/>
      <c r="Z9127" s="2066"/>
      <c r="AA9127" s="2066"/>
      <c r="AB9127" s="1"/>
      <c r="AC9127" s="1"/>
      <c r="AD9127" s="1"/>
      <c r="AE9127" s="1"/>
      <c r="AF9127" s="1"/>
      <c r="AG9127" s="1"/>
      <c r="AH9127" s="1"/>
      <c r="AI9127" s="1"/>
      <c r="AJ9127" s="1"/>
      <c r="AK9127" s="1"/>
      <c r="AL9127" s="1"/>
      <c r="AM9127" s="1"/>
    </row>
    <row r="9128" spans="1:39" x14ac:dyDescent="0.25">
      <c r="A9128" s="2066"/>
      <c r="B9128" s="2066"/>
      <c r="C9128" s="2066"/>
      <c r="D9128" s="2066"/>
      <c r="E9128" s="2066"/>
      <c r="F9128" s="2066"/>
      <c r="G9128" s="2066"/>
      <c r="H9128" s="2066"/>
      <c r="I9128" s="2066"/>
      <c r="J9128" s="2066"/>
      <c r="K9128" s="2066"/>
      <c r="L9128" s="2066"/>
      <c r="M9128" s="2066"/>
      <c r="N9128" s="2066"/>
      <c r="O9128" s="2066"/>
      <c r="P9128" s="49"/>
      <c r="Q9128" s="1"/>
      <c r="R9128" s="2066"/>
      <c r="S9128" s="1"/>
      <c r="T9128" s="1"/>
      <c r="U9128" s="1"/>
      <c r="V9128" s="1"/>
      <c r="W9128" s="1"/>
      <c r="X9128" s="1"/>
      <c r="Y9128" s="1"/>
      <c r="Z9128" s="2066"/>
      <c r="AA9128" s="2066"/>
      <c r="AB9128" s="1"/>
      <c r="AC9128" s="1"/>
      <c r="AD9128" s="1"/>
      <c r="AE9128" s="1"/>
      <c r="AF9128" s="1"/>
      <c r="AG9128" s="1"/>
      <c r="AH9128" s="1"/>
      <c r="AI9128" s="1"/>
      <c r="AJ9128" s="1"/>
      <c r="AK9128" s="1"/>
      <c r="AL9128" s="1"/>
      <c r="AM9128" s="1"/>
    </row>
    <row r="9129" spans="1:39" x14ac:dyDescent="0.25">
      <c r="A9129" s="2066"/>
      <c r="B9129" s="2066"/>
      <c r="C9129" s="2066"/>
      <c r="D9129" s="2066"/>
      <c r="E9129" s="2066"/>
      <c r="F9129" s="2066"/>
      <c r="G9129" s="2066"/>
      <c r="H9129" s="2066"/>
      <c r="I9129" s="2066"/>
      <c r="J9129" s="2066"/>
      <c r="K9129" s="2066"/>
      <c r="L9129" s="2066"/>
      <c r="M9129" s="2066"/>
      <c r="N9129" s="2066"/>
      <c r="O9129" s="2066"/>
      <c r="P9129" s="49"/>
      <c r="Q9129" s="1"/>
      <c r="R9129" s="2066"/>
      <c r="S9129" s="1"/>
      <c r="T9129" s="1"/>
      <c r="U9129" s="1"/>
      <c r="V9129" s="1"/>
      <c r="W9129" s="1"/>
      <c r="X9129" s="1"/>
      <c r="Y9129" s="1"/>
      <c r="Z9129" s="2066"/>
      <c r="AA9129" s="2066"/>
      <c r="AB9129" s="1"/>
      <c r="AC9129" s="1"/>
      <c r="AD9129" s="1"/>
      <c r="AE9129" s="1"/>
      <c r="AF9129" s="1"/>
      <c r="AG9129" s="1"/>
      <c r="AH9129" s="1"/>
      <c r="AI9129" s="1"/>
      <c r="AJ9129" s="1"/>
      <c r="AK9129" s="1"/>
      <c r="AL9129" s="1"/>
      <c r="AM9129" s="1"/>
    </row>
    <row r="9130" spans="1:39" x14ac:dyDescent="0.25">
      <c r="A9130" s="2066"/>
      <c r="B9130" s="2066"/>
      <c r="C9130" s="2066"/>
      <c r="D9130" s="2066"/>
      <c r="E9130" s="2066"/>
      <c r="F9130" s="2066"/>
      <c r="G9130" s="2066"/>
      <c r="H9130" s="2066"/>
      <c r="I9130" s="2066"/>
      <c r="J9130" s="2066"/>
      <c r="K9130" s="2066"/>
      <c r="L9130" s="2066"/>
      <c r="M9130" s="2066"/>
      <c r="N9130" s="2066"/>
      <c r="O9130" s="2066"/>
      <c r="P9130" s="49"/>
      <c r="Q9130" s="1"/>
      <c r="R9130" s="2066"/>
      <c r="S9130" s="1"/>
      <c r="T9130" s="1"/>
      <c r="U9130" s="1"/>
      <c r="V9130" s="1"/>
      <c r="W9130" s="1"/>
      <c r="X9130" s="1"/>
      <c r="Y9130" s="1"/>
      <c r="Z9130" s="2066"/>
      <c r="AA9130" s="2066"/>
      <c r="AB9130" s="1"/>
      <c r="AC9130" s="1"/>
      <c r="AD9130" s="1"/>
      <c r="AE9130" s="1"/>
      <c r="AF9130" s="1"/>
      <c r="AG9130" s="1"/>
      <c r="AH9130" s="1"/>
      <c r="AI9130" s="1"/>
      <c r="AJ9130" s="1"/>
      <c r="AK9130" s="1"/>
      <c r="AL9130" s="1"/>
      <c r="AM9130" s="1"/>
    </row>
    <row r="9131" spans="1:39" x14ac:dyDescent="0.25">
      <c r="A9131" s="2066"/>
      <c r="B9131" s="2066"/>
      <c r="C9131" s="2066"/>
      <c r="D9131" s="2066"/>
      <c r="E9131" s="2066"/>
      <c r="F9131" s="2066"/>
      <c r="G9131" s="2066"/>
      <c r="H9131" s="2066"/>
      <c r="I9131" s="2066"/>
      <c r="J9131" s="2066"/>
      <c r="K9131" s="2066"/>
      <c r="L9131" s="2066"/>
      <c r="M9131" s="2066"/>
      <c r="N9131" s="2066"/>
      <c r="O9131" s="2066"/>
      <c r="P9131" s="49"/>
      <c r="Q9131" s="1"/>
      <c r="R9131" s="2066"/>
      <c r="S9131" s="1"/>
      <c r="T9131" s="1"/>
      <c r="U9131" s="1"/>
      <c r="V9131" s="1"/>
      <c r="W9131" s="1"/>
      <c r="X9131" s="1"/>
      <c r="Y9131" s="1"/>
      <c r="Z9131" s="2066"/>
      <c r="AA9131" s="2066"/>
      <c r="AB9131" s="1"/>
      <c r="AC9131" s="1"/>
      <c r="AD9131" s="1"/>
      <c r="AE9131" s="1"/>
      <c r="AF9131" s="1"/>
      <c r="AG9131" s="1"/>
      <c r="AH9131" s="1"/>
      <c r="AI9131" s="1"/>
      <c r="AJ9131" s="1"/>
      <c r="AK9131" s="1"/>
      <c r="AL9131" s="1"/>
      <c r="AM9131" s="1"/>
    </row>
    <row r="9132" spans="1:39" x14ac:dyDescent="0.25">
      <c r="A9132" s="2066"/>
      <c r="B9132" s="2066"/>
      <c r="C9132" s="2066"/>
      <c r="D9132" s="2066"/>
      <c r="E9132" s="2066"/>
      <c r="F9132" s="2066"/>
      <c r="G9132" s="2066"/>
      <c r="H9132" s="2066"/>
      <c r="I9132" s="2066"/>
      <c r="J9132" s="2066"/>
      <c r="K9132" s="2066"/>
      <c r="L9132" s="2066"/>
      <c r="M9132" s="2066"/>
      <c r="N9132" s="2066"/>
      <c r="O9132" s="2066"/>
      <c r="P9132" s="49"/>
      <c r="Q9132" s="1"/>
      <c r="R9132" s="2066"/>
      <c r="S9132" s="1"/>
      <c r="T9132" s="1"/>
      <c r="U9132" s="1"/>
      <c r="V9132" s="1"/>
      <c r="W9132" s="1"/>
      <c r="X9132" s="1"/>
      <c r="Y9132" s="1"/>
      <c r="Z9132" s="2066"/>
      <c r="AA9132" s="2066"/>
      <c r="AB9132" s="1"/>
      <c r="AC9132" s="1"/>
      <c r="AD9132" s="1"/>
      <c r="AE9132" s="1"/>
      <c r="AF9132" s="1"/>
      <c r="AG9132" s="1"/>
      <c r="AH9132" s="1"/>
      <c r="AI9132" s="1"/>
      <c r="AJ9132" s="1"/>
      <c r="AK9132" s="1"/>
      <c r="AL9132" s="1"/>
      <c r="AM9132" s="1"/>
    </row>
    <row r="9133" spans="1:39" x14ac:dyDescent="0.25">
      <c r="A9133" s="2066"/>
      <c r="B9133" s="2066"/>
      <c r="C9133" s="2066"/>
      <c r="D9133" s="2066"/>
      <c r="E9133" s="2066"/>
      <c r="F9133" s="2066"/>
      <c r="G9133" s="2066"/>
      <c r="H9133" s="2066"/>
      <c r="I9133" s="2066"/>
      <c r="J9133" s="2066"/>
      <c r="K9133" s="2066"/>
      <c r="L9133" s="2066"/>
      <c r="M9133" s="2066"/>
      <c r="N9133" s="2066"/>
      <c r="O9133" s="2066"/>
      <c r="P9133" s="49"/>
      <c r="Q9133" s="1"/>
      <c r="R9133" s="2066"/>
      <c r="S9133" s="1"/>
      <c r="T9133" s="1"/>
      <c r="U9133" s="1"/>
      <c r="V9133" s="1"/>
      <c r="W9133" s="1"/>
      <c r="X9133" s="1"/>
      <c r="Y9133" s="1"/>
      <c r="Z9133" s="2066"/>
      <c r="AA9133" s="2066"/>
      <c r="AB9133" s="1"/>
      <c r="AC9133" s="1"/>
      <c r="AD9133" s="1"/>
      <c r="AE9133" s="1"/>
      <c r="AF9133" s="1"/>
      <c r="AG9133" s="1"/>
      <c r="AH9133" s="1"/>
      <c r="AI9133" s="1"/>
      <c r="AJ9133" s="1"/>
      <c r="AK9133" s="1"/>
      <c r="AL9133" s="1"/>
      <c r="AM9133" s="1"/>
    </row>
    <row r="9134" spans="1:39" x14ac:dyDescent="0.25">
      <c r="A9134" s="2066"/>
      <c r="B9134" s="2066"/>
      <c r="C9134" s="2066"/>
      <c r="D9134" s="2066"/>
      <c r="E9134" s="2066"/>
      <c r="F9134" s="2066"/>
      <c r="G9134" s="2066"/>
      <c r="H9134" s="2066"/>
      <c r="I9134" s="2066"/>
      <c r="J9134" s="2066"/>
      <c r="K9134" s="2066"/>
      <c r="L9134" s="2066"/>
      <c r="M9134" s="2066"/>
      <c r="N9134" s="2066"/>
      <c r="O9134" s="2066"/>
      <c r="P9134" s="49"/>
      <c r="Q9134" s="1"/>
      <c r="R9134" s="2066"/>
      <c r="S9134" s="1"/>
      <c r="T9134" s="1"/>
      <c r="U9134" s="1"/>
      <c r="V9134" s="1"/>
      <c r="W9134" s="1"/>
      <c r="X9134" s="1"/>
      <c r="Y9134" s="1"/>
      <c r="Z9134" s="2066"/>
      <c r="AA9134" s="2066"/>
      <c r="AB9134" s="1"/>
      <c r="AC9134" s="1"/>
      <c r="AD9134" s="1"/>
      <c r="AE9134" s="1"/>
      <c r="AF9134" s="1"/>
      <c r="AG9134" s="1"/>
      <c r="AH9134" s="1"/>
      <c r="AI9134" s="1"/>
      <c r="AJ9134" s="1"/>
      <c r="AK9134" s="1"/>
      <c r="AL9134" s="1"/>
      <c r="AM9134" s="1"/>
    </row>
    <row r="9135" spans="1:39" x14ac:dyDescent="0.25">
      <c r="A9135" s="2066"/>
      <c r="B9135" s="2066"/>
      <c r="C9135" s="2066"/>
      <c r="D9135" s="2066"/>
      <c r="E9135" s="2066"/>
      <c r="F9135" s="2066"/>
      <c r="G9135" s="2066"/>
      <c r="H9135" s="2066"/>
      <c r="I9135" s="2066"/>
      <c r="J9135" s="2066"/>
      <c r="K9135" s="2066"/>
      <c r="L9135" s="2066"/>
      <c r="M9135" s="2066"/>
      <c r="N9135" s="2066"/>
      <c r="O9135" s="2066"/>
      <c r="P9135" s="49"/>
      <c r="Q9135" s="1"/>
      <c r="R9135" s="2066"/>
      <c r="S9135" s="1"/>
      <c r="T9135" s="1"/>
      <c r="U9135" s="1"/>
      <c r="V9135" s="1"/>
      <c r="W9135" s="1"/>
      <c r="X9135" s="1"/>
      <c r="Y9135" s="1"/>
      <c r="Z9135" s="2066"/>
      <c r="AA9135" s="2066"/>
      <c r="AB9135" s="1"/>
      <c r="AC9135" s="1"/>
      <c r="AD9135" s="1"/>
      <c r="AE9135" s="1"/>
      <c r="AF9135" s="1"/>
      <c r="AG9135" s="1"/>
      <c r="AH9135" s="1"/>
      <c r="AI9135" s="1"/>
      <c r="AJ9135" s="1"/>
      <c r="AK9135" s="1"/>
      <c r="AL9135" s="1"/>
      <c r="AM9135" s="1"/>
    </row>
    <row r="9136" spans="1:39" x14ac:dyDescent="0.25">
      <c r="A9136" s="2066"/>
      <c r="B9136" s="2066"/>
      <c r="C9136" s="2066"/>
      <c r="D9136" s="2066"/>
      <c r="E9136" s="2066"/>
      <c r="F9136" s="2066"/>
      <c r="G9136" s="2066"/>
      <c r="H9136" s="2066"/>
      <c r="I9136" s="2066"/>
      <c r="J9136" s="2066"/>
      <c r="K9136" s="2066"/>
      <c r="L9136" s="2066"/>
      <c r="M9136" s="2066"/>
      <c r="N9136" s="2066"/>
      <c r="O9136" s="2066"/>
      <c r="P9136" s="49"/>
      <c r="Q9136" s="1"/>
      <c r="R9136" s="2066"/>
      <c r="S9136" s="1"/>
      <c r="T9136" s="1"/>
      <c r="U9136" s="1"/>
      <c r="V9136" s="1"/>
      <c r="W9136" s="1"/>
      <c r="X9136" s="1"/>
      <c r="Y9136" s="1"/>
      <c r="Z9136" s="2066"/>
      <c r="AA9136" s="2066"/>
      <c r="AB9136" s="1"/>
      <c r="AC9136" s="1"/>
      <c r="AD9136" s="1"/>
      <c r="AE9136" s="1"/>
      <c r="AF9136" s="1"/>
      <c r="AG9136" s="1"/>
      <c r="AH9136" s="1"/>
      <c r="AI9136" s="1"/>
      <c r="AJ9136" s="1"/>
      <c r="AK9136" s="1"/>
      <c r="AL9136" s="1"/>
      <c r="AM9136" s="1"/>
    </row>
    <row r="9137" spans="1:39" x14ac:dyDescent="0.25">
      <c r="A9137" s="2066"/>
      <c r="B9137" s="2066"/>
      <c r="C9137" s="2066"/>
      <c r="D9137" s="2066"/>
      <c r="E9137" s="2066"/>
      <c r="F9137" s="2066"/>
      <c r="G9137" s="2066"/>
      <c r="H9137" s="2066"/>
      <c r="I9137" s="2066"/>
      <c r="J9137" s="2066"/>
      <c r="K9137" s="2066"/>
      <c r="L9137" s="2066"/>
      <c r="M9137" s="2066"/>
      <c r="N9137" s="2066"/>
      <c r="O9137" s="2066"/>
      <c r="P9137" s="49"/>
      <c r="Q9137" s="1"/>
      <c r="R9137" s="2066"/>
      <c r="S9137" s="1"/>
      <c r="T9137" s="1"/>
      <c r="U9137" s="1"/>
      <c r="V9137" s="1"/>
      <c r="W9137" s="1"/>
      <c r="X9137" s="1"/>
      <c r="Y9137" s="1"/>
      <c r="Z9137" s="2066"/>
      <c r="AA9137" s="2066"/>
      <c r="AB9137" s="1"/>
      <c r="AC9137" s="1"/>
      <c r="AD9137" s="1"/>
      <c r="AE9137" s="1"/>
      <c r="AF9137" s="1"/>
      <c r="AG9137" s="1"/>
      <c r="AH9137" s="1"/>
      <c r="AI9137" s="1"/>
      <c r="AJ9137" s="1"/>
      <c r="AK9137" s="1"/>
      <c r="AL9137" s="1"/>
      <c r="AM9137" s="1"/>
    </row>
    <row r="9138" spans="1:39" x14ac:dyDescent="0.25">
      <c r="A9138" s="2066"/>
      <c r="B9138" s="2066"/>
      <c r="C9138" s="2066"/>
      <c r="D9138" s="2066"/>
      <c r="E9138" s="2066"/>
      <c r="F9138" s="2066"/>
      <c r="G9138" s="2066"/>
      <c r="H9138" s="2066"/>
      <c r="I9138" s="2066"/>
      <c r="J9138" s="2066"/>
      <c r="K9138" s="2066"/>
      <c r="L9138" s="2066"/>
      <c r="M9138" s="2066"/>
      <c r="N9138" s="2066"/>
      <c r="O9138" s="2066"/>
      <c r="P9138" s="49"/>
      <c r="Q9138" s="1"/>
      <c r="R9138" s="2066"/>
      <c r="S9138" s="1"/>
      <c r="T9138" s="1"/>
      <c r="U9138" s="1"/>
      <c r="V9138" s="1"/>
      <c r="W9138" s="1"/>
      <c r="X9138" s="1"/>
      <c r="Y9138" s="1"/>
      <c r="Z9138" s="2066"/>
      <c r="AA9138" s="2066"/>
      <c r="AB9138" s="1"/>
      <c r="AC9138" s="1"/>
      <c r="AD9138" s="1"/>
      <c r="AE9138" s="1"/>
      <c r="AF9138" s="1"/>
      <c r="AG9138" s="1"/>
      <c r="AH9138" s="1"/>
      <c r="AI9138" s="1"/>
      <c r="AJ9138" s="1"/>
      <c r="AK9138" s="1"/>
      <c r="AL9138" s="1"/>
      <c r="AM9138" s="1"/>
    </row>
    <row r="9139" spans="1:39" x14ac:dyDescent="0.25">
      <c r="A9139" s="2066"/>
      <c r="B9139" s="2066"/>
      <c r="C9139" s="2066"/>
      <c r="D9139" s="2066"/>
      <c r="E9139" s="2066"/>
      <c r="F9139" s="2066"/>
      <c r="G9139" s="2066"/>
      <c r="H9139" s="2066"/>
      <c r="I9139" s="2066"/>
      <c r="J9139" s="2066"/>
      <c r="K9139" s="2066"/>
      <c r="L9139" s="2066"/>
      <c r="M9139" s="2066"/>
      <c r="N9139" s="2066"/>
      <c r="O9139" s="2066"/>
      <c r="P9139" s="49"/>
      <c r="Q9139" s="1"/>
      <c r="R9139" s="2066"/>
      <c r="S9139" s="1"/>
      <c r="T9139" s="1"/>
      <c r="U9139" s="1"/>
      <c r="V9139" s="1"/>
      <c r="W9139" s="1"/>
      <c r="X9139" s="1"/>
      <c r="Y9139" s="1"/>
      <c r="Z9139" s="2066"/>
      <c r="AA9139" s="2066"/>
      <c r="AB9139" s="1"/>
      <c r="AC9139" s="1"/>
      <c r="AD9139" s="1"/>
      <c r="AE9139" s="1"/>
      <c r="AF9139" s="1"/>
      <c r="AG9139" s="1"/>
      <c r="AH9139" s="1"/>
      <c r="AI9139" s="1"/>
      <c r="AJ9139" s="1"/>
      <c r="AK9139" s="1"/>
      <c r="AL9139" s="1"/>
      <c r="AM9139" s="1"/>
    </row>
    <row r="9140" spans="1:39" x14ac:dyDescent="0.25">
      <c r="A9140" s="2066"/>
      <c r="B9140" s="2066"/>
      <c r="C9140" s="2066"/>
      <c r="D9140" s="2066"/>
      <c r="E9140" s="2066"/>
      <c r="F9140" s="2066"/>
      <c r="G9140" s="2066"/>
      <c r="H9140" s="2066"/>
      <c r="I9140" s="2066"/>
      <c r="J9140" s="2066"/>
      <c r="K9140" s="2066"/>
      <c r="L9140" s="2066"/>
      <c r="M9140" s="2066"/>
      <c r="N9140" s="2066"/>
      <c r="O9140" s="2066"/>
      <c r="P9140" s="49"/>
      <c r="Q9140" s="1"/>
      <c r="R9140" s="2066"/>
      <c r="S9140" s="1"/>
      <c r="T9140" s="1"/>
      <c r="U9140" s="1"/>
      <c r="V9140" s="1"/>
      <c r="W9140" s="1"/>
      <c r="X9140" s="1"/>
      <c r="Y9140" s="1"/>
      <c r="Z9140" s="2066"/>
      <c r="AA9140" s="2066"/>
      <c r="AB9140" s="1"/>
      <c r="AC9140" s="1"/>
      <c r="AD9140" s="1"/>
      <c r="AE9140" s="1"/>
      <c r="AF9140" s="1"/>
      <c r="AG9140" s="1"/>
      <c r="AH9140" s="1"/>
      <c r="AI9140" s="1"/>
      <c r="AJ9140" s="1"/>
      <c r="AK9140" s="1"/>
      <c r="AL9140" s="1"/>
      <c r="AM9140" s="1"/>
    </row>
    <row r="9141" spans="1:39" x14ac:dyDescent="0.25">
      <c r="A9141" s="2066"/>
      <c r="B9141" s="2066"/>
      <c r="C9141" s="2066"/>
      <c r="D9141" s="2066"/>
      <c r="E9141" s="2066"/>
      <c r="F9141" s="2066"/>
      <c r="G9141" s="2066"/>
      <c r="H9141" s="2066"/>
      <c r="I9141" s="2066"/>
      <c r="J9141" s="2066"/>
      <c r="K9141" s="2066"/>
      <c r="L9141" s="2066"/>
      <c r="M9141" s="2066"/>
      <c r="N9141" s="2066"/>
      <c r="O9141" s="2066"/>
      <c r="P9141" s="49"/>
      <c r="Q9141" s="1"/>
      <c r="R9141" s="2066"/>
      <c r="S9141" s="1"/>
      <c r="T9141" s="1"/>
      <c r="U9141" s="1"/>
      <c r="V9141" s="1"/>
      <c r="W9141" s="1"/>
      <c r="X9141" s="1"/>
      <c r="Y9141" s="1"/>
      <c r="Z9141" s="2066"/>
      <c r="AA9141" s="2066"/>
      <c r="AB9141" s="1"/>
      <c r="AC9141" s="1"/>
      <c r="AD9141" s="1"/>
      <c r="AE9141" s="1"/>
      <c r="AF9141" s="1"/>
      <c r="AG9141" s="1"/>
      <c r="AH9141" s="1"/>
      <c r="AI9141" s="1"/>
      <c r="AJ9141" s="1"/>
      <c r="AK9141" s="1"/>
      <c r="AL9141" s="1"/>
      <c r="AM9141" s="1"/>
    </row>
    <row r="9142" spans="1:39" x14ac:dyDescent="0.25">
      <c r="A9142" s="2066"/>
      <c r="B9142" s="2066"/>
      <c r="C9142" s="2066"/>
      <c r="D9142" s="2066"/>
      <c r="E9142" s="2066"/>
      <c r="F9142" s="2066"/>
      <c r="G9142" s="2066"/>
      <c r="H9142" s="2066"/>
      <c r="I9142" s="2066"/>
      <c r="J9142" s="2066"/>
      <c r="K9142" s="2066"/>
      <c r="L9142" s="2066"/>
      <c r="M9142" s="2066"/>
      <c r="N9142" s="2066"/>
      <c r="O9142" s="2066"/>
      <c r="P9142" s="49"/>
      <c r="Q9142" s="1"/>
      <c r="R9142" s="2066"/>
      <c r="S9142" s="1"/>
      <c r="T9142" s="1"/>
      <c r="U9142" s="1"/>
      <c r="V9142" s="1"/>
      <c r="W9142" s="1"/>
      <c r="X9142" s="1"/>
      <c r="Y9142" s="1"/>
      <c r="Z9142" s="2066"/>
      <c r="AA9142" s="2066"/>
      <c r="AB9142" s="1"/>
      <c r="AC9142" s="1"/>
      <c r="AD9142" s="1"/>
      <c r="AE9142" s="1"/>
      <c r="AF9142" s="1"/>
      <c r="AG9142" s="1"/>
      <c r="AH9142" s="1"/>
      <c r="AI9142" s="1"/>
      <c r="AJ9142" s="1"/>
      <c r="AK9142" s="1"/>
      <c r="AL9142" s="1"/>
      <c r="AM9142" s="1"/>
    </row>
    <row r="9143" spans="1:39" x14ac:dyDescent="0.25">
      <c r="A9143" s="2066"/>
      <c r="B9143" s="2066"/>
      <c r="C9143" s="2066"/>
      <c r="D9143" s="2066"/>
      <c r="E9143" s="2066"/>
      <c r="F9143" s="2066"/>
      <c r="G9143" s="2066"/>
      <c r="H9143" s="2066"/>
      <c r="I9143" s="2066"/>
      <c r="J9143" s="2066"/>
      <c r="K9143" s="2066"/>
      <c r="L9143" s="2066"/>
      <c r="M9143" s="2066"/>
      <c r="N9143" s="2066"/>
      <c r="O9143" s="2066"/>
      <c r="P9143" s="49"/>
      <c r="Q9143" s="1"/>
      <c r="R9143" s="2066"/>
      <c r="S9143" s="1"/>
      <c r="T9143" s="1"/>
      <c r="U9143" s="1"/>
      <c r="V9143" s="1"/>
      <c r="W9143" s="1"/>
      <c r="X9143" s="1"/>
      <c r="Y9143" s="1"/>
      <c r="Z9143" s="2066"/>
      <c r="AA9143" s="2066"/>
      <c r="AB9143" s="1"/>
      <c r="AC9143" s="1"/>
      <c r="AD9143" s="1"/>
      <c r="AE9143" s="1"/>
      <c r="AF9143" s="1"/>
      <c r="AG9143" s="1"/>
      <c r="AH9143" s="1"/>
      <c r="AI9143" s="1"/>
      <c r="AJ9143" s="1"/>
      <c r="AK9143" s="1"/>
      <c r="AL9143" s="1"/>
      <c r="AM9143" s="1"/>
    </row>
    <row r="9144" spans="1:39" x14ac:dyDescent="0.25">
      <c r="A9144" s="2066"/>
      <c r="B9144" s="2066"/>
      <c r="C9144" s="2066"/>
      <c r="D9144" s="2066"/>
      <c r="E9144" s="2066"/>
      <c r="F9144" s="2066"/>
      <c r="G9144" s="2066"/>
      <c r="H9144" s="2066"/>
      <c r="I9144" s="2066"/>
      <c r="J9144" s="2066"/>
      <c r="K9144" s="2066"/>
      <c r="L9144" s="2066"/>
      <c r="M9144" s="2066"/>
      <c r="N9144" s="2066"/>
      <c r="O9144" s="2066"/>
      <c r="P9144" s="49"/>
      <c r="Q9144" s="1"/>
      <c r="R9144" s="2066"/>
      <c r="S9144" s="1"/>
      <c r="T9144" s="1"/>
      <c r="U9144" s="1"/>
      <c r="V9144" s="1"/>
      <c r="W9144" s="1"/>
      <c r="X9144" s="1"/>
      <c r="Y9144" s="1"/>
      <c r="Z9144" s="2066"/>
      <c r="AA9144" s="2066"/>
      <c r="AB9144" s="1"/>
      <c r="AC9144" s="1"/>
      <c r="AD9144" s="1"/>
      <c r="AE9144" s="1"/>
      <c r="AF9144" s="1"/>
      <c r="AG9144" s="1"/>
      <c r="AH9144" s="1"/>
      <c r="AI9144" s="1"/>
      <c r="AJ9144" s="1"/>
      <c r="AK9144" s="1"/>
      <c r="AL9144" s="1"/>
      <c r="AM9144" s="1"/>
    </row>
    <row r="9145" spans="1:39" x14ac:dyDescent="0.25">
      <c r="A9145" s="2066"/>
      <c r="B9145" s="2066"/>
      <c r="C9145" s="2066"/>
      <c r="D9145" s="2066"/>
      <c r="E9145" s="2066"/>
      <c r="F9145" s="2066"/>
      <c r="G9145" s="2066"/>
      <c r="H9145" s="2066"/>
      <c r="I9145" s="2066"/>
      <c r="J9145" s="2066"/>
      <c r="K9145" s="2066"/>
      <c r="L9145" s="2066"/>
      <c r="M9145" s="2066"/>
      <c r="N9145" s="2066"/>
      <c r="O9145" s="2066"/>
      <c r="P9145" s="49"/>
      <c r="Q9145" s="1"/>
      <c r="R9145" s="2066"/>
      <c r="S9145" s="1"/>
      <c r="T9145" s="1"/>
      <c r="U9145" s="1"/>
      <c r="V9145" s="1"/>
      <c r="W9145" s="1"/>
      <c r="X9145" s="1"/>
      <c r="Y9145" s="1"/>
      <c r="Z9145" s="2066"/>
      <c r="AA9145" s="2066"/>
      <c r="AB9145" s="1"/>
      <c r="AC9145" s="1"/>
      <c r="AD9145" s="1"/>
      <c r="AE9145" s="1"/>
      <c r="AF9145" s="1"/>
      <c r="AG9145" s="1"/>
      <c r="AH9145" s="1"/>
      <c r="AI9145" s="1"/>
      <c r="AJ9145" s="1"/>
      <c r="AK9145" s="1"/>
      <c r="AL9145" s="1"/>
      <c r="AM9145" s="1"/>
    </row>
    <row r="9146" spans="1:39" x14ac:dyDescent="0.25">
      <c r="A9146" s="2066"/>
      <c r="B9146" s="2066"/>
      <c r="C9146" s="2066"/>
      <c r="D9146" s="2066"/>
      <c r="E9146" s="2066"/>
      <c r="F9146" s="2066"/>
      <c r="G9146" s="2066"/>
      <c r="H9146" s="2066"/>
      <c r="I9146" s="2066"/>
      <c r="J9146" s="2066"/>
      <c r="K9146" s="2066"/>
      <c r="L9146" s="2066"/>
      <c r="M9146" s="2066"/>
      <c r="N9146" s="2066"/>
      <c r="O9146" s="2066"/>
      <c r="P9146" s="49"/>
      <c r="Q9146" s="1"/>
      <c r="R9146" s="2066"/>
      <c r="S9146" s="1"/>
      <c r="T9146" s="1"/>
      <c r="U9146" s="1"/>
      <c r="V9146" s="1"/>
      <c r="W9146" s="1"/>
      <c r="X9146" s="1"/>
      <c r="Y9146" s="1"/>
      <c r="Z9146" s="2066"/>
      <c r="AA9146" s="2066"/>
      <c r="AB9146" s="1"/>
      <c r="AC9146" s="1"/>
      <c r="AD9146" s="1"/>
      <c r="AE9146" s="1"/>
      <c r="AF9146" s="1"/>
      <c r="AG9146" s="1"/>
      <c r="AH9146" s="1"/>
      <c r="AI9146" s="1"/>
      <c r="AJ9146" s="1"/>
      <c r="AK9146" s="1"/>
      <c r="AL9146" s="1"/>
      <c r="AM9146" s="1"/>
    </row>
    <row r="9147" spans="1:39" x14ac:dyDescent="0.25">
      <c r="A9147" s="2066"/>
      <c r="B9147" s="2066"/>
      <c r="C9147" s="2066"/>
      <c r="D9147" s="2066"/>
      <c r="E9147" s="2066"/>
      <c r="F9147" s="2066"/>
      <c r="G9147" s="2066"/>
      <c r="H9147" s="2066"/>
      <c r="I9147" s="2066"/>
      <c r="J9147" s="2066"/>
      <c r="K9147" s="2066"/>
      <c r="L9147" s="2066"/>
      <c r="M9147" s="2066"/>
      <c r="N9147" s="2066"/>
      <c r="O9147" s="2066"/>
      <c r="P9147" s="49"/>
      <c r="Q9147" s="1"/>
      <c r="R9147" s="2066"/>
      <c r="S9147" s="1"/>
      <c r="T9147" s="1"/>
      <c r="U9147" s="1"/>
      <c r="V9147" s="1"/>
      <c r="W9147" s="1"/>
      <c r="X9147" s="1"/>
      <c r="Y9147" s="1"/>
      <c r="Z9147" s="2066"/>
      <c r="AA9147" s="2066"/>
      <c r="AB9147" s="1"/>
      <c r="AC9147" s="1"/>
      <c r="AD9147" s="1"/>
      <c r="AE9147" s="1"/>
      <c r="AF9147" s="1"/>
      <c r="AG9147" s="1"/>
      <c r="AH9147" s="1"/>
      <c r="AI9147" s="1"/>
      <c r="AJ9147" s="1"/>
      <c r="AK9147" s="1"/>
      <c r="AL9147" s="1"/>
      <c r="AM9147" s="1"/>
    </row>
    <row r="9148" spans="1:39" x14ac:dyDescent="0.25">
      <c r="A9148" s="2066"/>
      <c r="B9148" s="2066"/>
      <c r="C9148" s="2066"/>
      <c r="D9148" s="2066"/>
      <c r="E9148" s="2066"/>
      <c r="F9148" s="2066"/>
      <c r="G9148" s="2066"/>
      <c r="H9148" s="2066"/>
      <c r="I9148" s="2066"/>
      <c r="J9148" s="2066"/>
      <c r="K9148" s="2066"/>
      <c r="L9148" s="2066"/>
      <c r="M9148" s="2066"/>
      <c r="N9148" s="2066"/>
      <c r="O9148" s="2066"/>
      <c r="P9148" s="49"/>
      <c r="Q9148" s="1"/>
      <c r="R9148" s="2066"/>
      <c r="S9148" s="1"/>
      <c r="T9148" s="1"/>
      <c r="U9148" s="1"/>
      <c r="V9148" s="1"/>
      <c r="W9148" s="1"/>
      <c r="X9148" s="1"/>
      <c r="Y9148" s="1"/>
      <c r="Z9148" s="2066"/>
      <c r="AA9148" s="2066"/>
      <c r="AB9148" s="1"/>
      <c r="AC9148" s="1"/>
      <c r="AD9148" s="1"/>
      <c r="AE9148" s="1"/>
      <c r="AF9148" s="1"/>
      <c r="AG9148" s="1"/>
      <c r="AH9148" s="1"/>
      <c r="AI9148" s="1"/>
      <c r="AJ9148" s="1"/>
      <c r="AK9148" s="1"/>
      <c r="AL9148" s="1"/>
      <c r="AM9148" s="1"/>
    </row>
    <row r="9149" spans="1:39" x14ac:dyDescent="0.25">
      <c r="A9149" s="2066"/>
      <c r="B9149" s="2066"/>
      <c r="C9149" s="2066"/>
      <c r="D9149" s="2066"/>
      <c r="E9149" s="2066"/>
      <c r="F9149" s="2066"/>
      <c r="G9149" s="2066"/>
      <c r="H9149" s="2066"/>
      <c r="I9149" s="2066"/>
      <c r="J9149" s="2066"/>
      <c r="K9149" s="2066"/>
      <c r="L9149" s="2066"/>
      <c r="M9149" s="2066"/>
      <c r="N9149" s="2066"/>
      <c r="O9149" s="2066"/>
      <c r="P9149" s="49"/>
      <c r="Q9149" s="1"/>
      <c r="R9149" s="2066"/>
      <c r="S9149" s="1"/>
      <c r="T9149" s="1"/>
      <c r="U9149" s="1"/>
      <c r="V9149" s="1"/>
      <c r="W9149" s="1"/>
      <c r="X9149" s="1"/>
      <c r="Y9149" s="1"/>
      <c r="Z9149" s="2066"/>
      <c r="AA9149" s="2066"/>
      <c r="AB9149" s="1"/>
      <c r="AC9149" s="1"/>
      <c r="AD9149" s="1"/>
      <c r="AE9149" s="1"/>
      <c r="AF9149" s="1"/>
      <c r="AG9149" s="1"/>
      <c r="AH9149" s="1"/>
      <c r="AI9149" s="1"/>
      <c r="AJ9149" s="1"/>
      <c r="AK9149" s="1"/>
      <c r="AL9149" s="1"/>
      <c r="AM9149" s="1"/>
    </row>
    <row r="9150" spans="1:39" x14ac:dyDescent="0.25">
      <c r="A9150" s="2066"/>
      <c r="B9150" s="2066"/>
      <c r="C9150" s="2066"/>
      <c r="D9150" s="2066"/>
      <c r="E9150" s="2066"/>
      <c r="F9150" s="2066"/>
      <c r="G9150" s="2066"/>
      <c r="H9150" s="2066"/>
      <c r="I9150" s="2066"/>
      <c r="J9150" s="2066"/>
      <c r="K9150" s="2066"/>
      <c r="L9150" s="2066"/>
      <c r="M9150" s="2066"/>
      <c r="N9150" s="2066"/>
      <c r="O9150" s="2066"/>
      <c r="P9150" s="49"/>
      <c r="Q9150" s="1"/>
      <c r="R9150" s="2066"/>
      <c r="S9150" s="1"/>
      <c r="T9150" s="1"/>
      <c r="U9150" s="1"/>
      <c r="V9150" s="1"/>
      <c r="W9150" s="1"/>
      <c r="X9150" s="1"/>
      <c r="Y9150" s="1"/>
      <c r="Z9150" s="2066"/>
      <c r="AA9150" s="2066"/>
      <c r="AB9150" s="1"/>
      <c r="AC9150" s="1"/>
      <c r="AD9150" s="1"/>
      <c r="AE9150" s="1"/>
      <c r="AF9150" s="1"/>
      <c r="AG9150" s="1"/>
      <c r="AH9150" s="1"/>
      <c r="AI9150" s="1"/>
      <c r="AJ9150" s="1"/>
      <c r="AK9150" s="1"/>
      <c r="AL9150" s="1"/>
      <c r="AM9150" s="1"/>
    </row>
    <row r="9151" spans="1:39" x14ac:dyDescent="0.25">
      <c r="A9151" s="2066"/>
      <c r="B9151" s="2066"/>
      <c r="C9151" s="2066"/>
      <c r="D9151" s="2066"/>
      <c r="E9151" s="2066"/>
      <c r="F9151" s="2066"/>
      <c r="G9151" s="2066"/>
      <c r="H9151" s="2066"/>
      <c r="I9151" s="2066"/>
      <c r="J9151" s="2066"/>
      <c r="K9151" s="2066"/>
      <c r="L9151" s="2066"/>
      <c r="M9151" s="2066"/>
      <c r="N9151" s="2066"/>
      <c r="O9151" s="2066"/>
      <c r="P9151" s="49"/>
      <c r="Q9151" s="1"/>
      <c r="R9151" s="2066"/>
      <c r="S9151" s="1"/>
      <c r="T9151" s="1"/>
      <c r="U9151" s="1"/>
      <c r="V9151" s="1"/>
      <c r="W9151" s="1"/>
      <c r="X9151" s="1"/>
      <c r="Y9151" s="1"/>
      <c r="Z9151" s="2066"/>
      <c r="AA9151" s="2066"/>
      <c r="AB9151" s="1"/>
      <c r="AC9151" s="1"/>
      <c r="AD9151" s="1"/>
      <c r="AE9151" s="1"/>
      <c r="AF9151" s="1"/>
      <c r="AG9151" s="1"/>
      <c r="AH9151" s="1"/>
      <c r="AI9151" s="1"/>
      <c r="AJ9151" s="1"/>
      <c r="AK9151" s="1"/>
      <c r="AL9151" s="1"/>
      <c r="AM9151" s="1"/>
    </row>
    <row r="9152" spans="1:39" x14ac:dyDescent="0.25">
      <c r="A9152" s="2066"/>
      <c r="B9152" s="2066"/>
      <c r="C9152" s="2066"/>
      <c r="D9152" s="2066"/>
      <c r="E9152" s="2066"/>
      <c r="F9152" s="2066"/>
      <c r="G9152" s="2066"/>
      <c r="H9152" s="2066"/>
      <c r="I9152" s="2066"/>
      <c r="J9152" s="2066"/>
      <c r="K9152" s="2066"/>
      <c r="L9152" s="2066"/>
      <c r="M9152" s="2066"/>
      <c r="N9152" s="2066"/>
      <c r="O9152" s="2066"/>
      <c r="P9152" s="49"/>
      <c r="Q9152" s="1"/>
      <c r="R9152" s="2066"/>
      <c r="S9152" s="1"/>
      <c r="T9152" s="1"/>
      <c r="U9152" s="1"/>
      <c r="V9152" s="1"/>
      <c r="W9152" s="1"/>
      <c r="X9152" s="1"/>
      <c r="Y9152" s="1"/>
      <c r="Z9152" s="2066"/>
      <c r="AA9152" s="2066"/>
      <c r="AB9152" s="1"/>
      <c r="AC9152" s="1"/>
      <c r="AD9152" s="1"/>
      <c r="AE9152" s="1"/>
      <c r="AF9152" s="1"/>
      <c r="AG9152" s="1"/>
      <c r="AH9152" s="1"/>
      <c r="AI9152" s="1"/>
      <c r="AJ9152" s="1"/>
      <c r="AK9152" s="1"/>
      <c r="AL9152" s="1"/>
      <c r="AM9152" s="1"/>
    </row>
    <row r="9153" spans="1:39" x14ac:dyDescent="0.25">
      <c r="A9153" s="2066"/>
      <c r="B9153" s="2066"/>
      <c r="C9153" s="2066"/>
      <c r="D9153" s="2066"/>
      <c r="E9153" s="2066"/>
      <c r="F9153" s="2066"/>
      <c r="G9153" s="2066"/>
      <c r="H9153" s="2066"/>
      <c r="I9153" s="2066"/>
      <c r="J9153" s="2066"/>
      <c r="K9153" s="2066"/>
      <c r="L9153" s="2066"/>
      <c r="M9153" s="2066"/>
      <c r="N9153" s="2066"/>
      <c r="O9153" s="2066"/>
      <c r="P9153" s="49"/>
      <c r="Q9153" s="1"/>
      <c r="R9153" s="2066"/>
      <c r="S9153" s="1"/>
      <c r="T9153" s="1"/>
      <c r="U9153" s="1"/>
      <c r="V9153" s="1"/>
      <c r="W9153" s="1"/>
      <c r="X9153" s="1"/>
      <c r="Y9153" s="1"/>
      <c r="Z9153" s="2066"/>
      <c r="AA9153" s="2066"/>
      <c r="AB9153" s="1"/>
      <c r="AC9153" s="1"/>
      <c r="AD9153" s="1"/>
      <c r="AE9153" s="1"/>
      <c r="AF9153" s="1"/>
      <c r="AG9153" s="1"/>
      <c r="AH9153" s="1"/>
      <c r="AI9153" s="1"/>
      <c r="AJ9153" s="1"/>
      <c r="AK9153" s="1"/>
      <c r="AL9153" s="1"/>
      <c r="AM9153" s="1"/>
    </row>
    <row r="9154" spans="1:39" x14ac:dyDescent="0.25">
      <c r="A9154" s="2066"/>
      <c r="B9154" s="2066"/>
      <c r="C9154" s="2066"/>
      <c r="D9154" s="2066"/>
      <c r="E9154" s="2066"/>
      <c r="F9154" s="2066"/>
      <c r="G9154" s="2066"/>
      <c r="H9154" s="2066"/>
      <c r="I9154" s="2066"/>
      <c r="J9154" s="2066"/>
      <c r="K9154" s="2066"/>
      <c r="L9154" s="2066"/>
      <c r="M9154" s="2066"/>
      <c r="N9154" s="2066"/>
      <c r="O9154" s="2066"/>
      <c r="P9154" s="49"/>
      <c r="Q9154" s="1"/>
      <c r="R9154" s="2066"/>
      <c r="S9154" s="1"/>
      <c r="T9154" s="1"/>
      <c r="U9154" s="1"/>
      <c r="V9154" s="1"/>
      <c r="W9154" s="1"/>
      <c r="X9154" s="1"/>
      <c r="Y9154" s="1"/>
      <c r="Z9154" s="2066"/>
      <c r="AA9154" s="2066"/>
      <c r="AB9154" s="1"/>
      <c r="AC9154" s="1"/>
      <c r="AD9154" s="1"/>
      <c r="AE9154" s="1"/>
      <c r="AF9154" s="1"/>
      <c r="AG9154" s="1"/>
      <c r="AH9154" s="1"/>
      <c r="AI9154" s="1"/>
      <c r="AJ9154" s="1"/>
      <c r="AK9154" s="1"/>
      <c r="AL9154" s="1"/>
      <c r="AM9154" s="1"/>
    </row>
    <row r="9155" spans="1:39" x14ac:dyDescent="0.25">
      <c r="A9155" s="2066"/>
      <c r="B9155" s="2066"/>
      <c r="C9155" s="2066"/>
      <c r="D9155" s="2066"/>
      <c r="E9155" s="2066"/>
      <c r="F9155" s="2066"/>
      <c r="G9155" s="2066"/>
      <c r="H9155" s="2066"/>
      <c r="I9155" s="2066"/>
      <c r="J9155" s="2066"/>
      <c r="K9155" s="2066"/>
      <c r="L9155" s="2066"/>
      <c r="M9155" s="2066"/>
      <c r="N9155" s="2066"/>
      <c r="O9155" s="2066"/>
      <c r="P9155" s="49"/>
      <c r="Q9155" s="1"/>
      <c r="R9155" s="2066"/>
      <c r="S9155" s="1"/>
      <c r="T9155" s="1"/>
      <c r="U9155" s="1"/>
      <c r="V9155" s="1"/>
      <c r="W9155" s="1"/>
      <c r="X9155" s="1"/>
      <c r="Y9155" s="1"/>
      <c r="Z9155" s="2066"/>
      <c r="AA9155" s="2066"/>
      <c r="AB9155" s="1"/>
      <c r="AC9155" s="1"/>
      <c r="AD9155" s="1"/>
      <c r="AE9155" s="1"/>
      <c r="AF9155" s="1"/>
      <c r="AG9155" s="1"/>
      <c r="AH9155" s="1"/>
      <c r="AI9155" s="1"/>
      <c r="AJ9155" s="1"/>
      <c r="AK9155" s="1"/>
      <c r="AL9155" s="1"/>
      <c r="AM9155" s="1"/>
    </row>
    <row r="9156" spans="1:39" x14ac:dyDescent="0.25">
      <c r="A9156" s="2066"/>
      <c r="B9156" s="2066"/>
      <c r="C9156" s="2066"/>
      <c r="D9156" s="2066"/>
      <c r="E9156" s="2066"/>
      <c r="F9156" s="2066"/>
      <c r="G9156" s="2066"/>
      <c r="H9156" s="2066"/>
      <c r="I9156" s="2066"/>
      <c r="J9156" s="2066"/>
      <c r="K9156" s="2066"/>
      <c r="L9156" s="2066"/>
      <c r="M9156" s="2066"/>
      <c r="N9156" s="2066"/>
      <c r="O9156" s="2066"/>
      <c r="P9156" s="49"/>
      <c r="Q9156" s="1"/>
      <c r="R9156" s="2066"/>
      <c r="S9156" s="1"/>
      <c r="T9156" s="1"/>
      <c r="U9156" s="1"/>
      <c r="V9156" s="1"/>
      <c r="W9156" s="1"/>
      <c r="X9156" s="1"/>
      <c r="Y9156" s="1"/>
      <c r="Z9156" s="2066"/>
      <c r="AA9156" s="2066"/>
      <c r="AB9156" s="1"/>
      <c r="AC9156" s="1"/>
      <c r="AD9156" s="1"/>
      <c r="AE9156" s="1"/>
      <c r="AF9156" s="1"/>
      <c r="AG9156" s="1"/>
      <c r="AH9156" s="1"/>
      <c r="AI9156" s="1"/>
      <c r="AJ9156" s="1"/>
      <c r="AK9156" s="1"/>
      <c r="AL9156" s="1"/>
      <c r="AM9156" s="1"/>
    </row>
    <row r="9157" spans="1:39" x14ac:dyDescent="0.25">
      <c r="A9157" s="2066"/>
      <c r="B9157" s="2066"/>
      <c r="C9157" s="2066"/>
      <c r="D9157" s="2066"/>
      <c r="E9157" s="2066"/>
      <c r="F9157" s="2066"/>
      <c r="G9157" s="2066"/>
      <c r="H9157" s="2066"/>
      <c r="I9157" s="2066"/>
      <c r="J9157" s="2066"/>
      <c r="K9157" s="2066"/>
      <c r="L9157" s="2066"/>
      <c r="M9157" s="2066"/>
      <c r="N9157" s="2066"/>
      <c r="O9157" s="2066"/>
      <c r="P9157" s="49"/>
      <c r="Q9157" s="1"/>
      <c r="R9157" s="2066"/>
      <c r="S9157" s="1"/>
      <c r="T9157" s="1"/>
      <c r="U9157" s="1"/>
      <c r="V9157" s="1"/>
      <c r="W9157" s="1"/>
      <c r="X9157" s="1"/>
      <c r="Y9157" s="1"/>
      <c r="Z9157" s="2066"/>
      <c r="AA9157" s="2066"/>
      <c r="AB9157" s="1"/>
      <c r="AC9157" s="1"/>
      <c r="AD9157" s="1"/>
      <c r="AE9157" s="1"/>
      <c r="AF9157" s="1"/>
      <c r="AG9157" s="1"/>
      <c r="AH9157" s="1"/>
      <c r="AI9157" s="1"/>
      <c r="AJ9157" s="1"/>
      <c r="AK9157" s="1"/>
      <c r="AL9157" s="1"/>
      <c r="AM9157" s="1"/>
    </row>
    <row r="9158" spans="1:39" x14ac:dyDescent="0.25">
      <c r="A9158" s="2066"/>
      <c r="B9158" s="2066"/>
      <c r="C9158" s="2066"/>
      <c r="D9158" s="2066"/>
      <c r="E9158" s="2066"/>
      <c r="F9158" s="2066"/>
      <c r="G9158" s="2066"/>
      <c r="H9158" s="2066"/>
      <c r="I9158" s="2066"/>
      <c r="J9158" s="2066"/>
      <c r="K9158" s="2066"/>
      <c r="L9158" s="2066"/>
      <c r="M9158" s="2066"/>
      <c r="N9158" s="2066"/>
      <c r="O9158" s="2066"/>
      <c r="P9158" s="49"/>
      <c r="Q9158" s="1"/>
      <c r="R9158" s="2066"/>
      <c r="S9158" s="1"/>
      <c r="T9158" s="1"/>
      <c r="U9158" s="1"/>
      <c r="V9158" s="1"/>
      <c r="W9158" s="1"/>
      <c r="X9158" s="1"/>
      <c r="Y9158" s="1"/>
      <c r="Z9158" s="2066"/>
      <c r="AA9158" s="2066"/>
      <c r="AB9158" s="1"/>
      <c r="AC9158" s="1"/>
      <c r="AD9158" s="1"/>
      <c r="AE9158" s="1"/>
      <c r="AF9158" s="1"/>
      <c r="AG9158" s="1"/>
      <c r="AH9158" s="1"/>
      <c r="AI9158" s="1"/>
      <c r="AJ9158" s="1"/>
      <c r="AK9158" s="1"/>
      <c r="AL9158" s="1"/>
      <c r="AM9158" s="1"/>
    </row>
    <row r="9159" spans="1:39" x14ac:dyDescent="0.25">
      <c r="A9159" s="2066"/>
      <c r="B9159" s="2066"/>
      <c r="C9159" s="2066"/>
      <c r="D9159" s="2066"/>
      <c r="E9159" s="2066"/>
      <c r="F9159" s="2066"/>
      <c r="G9159" s="2066"/>
      <c r="H9159" s="2066"/>
      <c r="I9159" s="2066"/>
      <c r="J9159" s="2066"/>
      <c r="K9159" s="2066"/>
      <c r="L9159" s="2066"/>
      <c r="M9159" s="2066"/>
      <c r="N9159" s="2066"/>
      <c r="O9159" s="2066"/>
      <c r="P9159" s="49"/>
      <c r="Q9159" s="1"/>
      <c r="R9159" s="2066"/>
      <c r="S9159" s="1"/>
      <c r="T9159" s="1"/>
      <c r="U9159" s="1"/>
      <c r="V9159" s="1"/>
      <c r="W9159" s="1"/>
      <c r="X9159" s="1"/>
      <c r="Y9159" s="1"/>
      <c r="Z9159" s="2066"/>
      <c r="AA9159" s="2066"/>
      <c r="AB9159" s="1"/>
      <c r="AC9159" s="1"/>
      <c r="AD9159" s="1"/>
      <c r="AE9159" s="1"/>
      <c r="AF9159" s="1"/>
      <c r="AG9159" s="1"/>
      <c r="AH9159" s="1"/>
      <c r="AI9159" s="1"/>
      <c r="AJ9159" s="1"/>
      <c r="AK9159" s="1"/>
      <c r="AL9159" s="1"/>
      <c r="AM9159" s="1"/>
    </row>
    <row r="9160" spans="1:39" x14ac:dyDescent="0.25">
      <c r="A9160" s="2066"/>
      <c r="B9160" s="2066"/>
      <c r="C9160" s="2066"/>
      <c r="D9160" s="2066"/>
      <c r="E9160" s="2066"/>
      <c r="F9160" s="2066"/>
      <c r="G9160" s="2066"/>
      <c r="H9160" s="2066"/>
      <c r="I9160" s="2066"/>
      <c r="J9160" s="2066"/>
      <c r="K9160" s="2066"/>
      <c r="L9160" s="2066"/>
      <c r="M9160" s="2066"/>
      <c r="N9160" s="2066"/>
      <c r="O9160" s="2066"/>
      <c r="P9160" s="49"/>
      <c r="Q9160" s="1"/>
      <c r="R9160" s="2066"/>
      <c r="S9160" s="1"/>
      <c r="T9160" s="1"/>
      <c r="U9160" s="1"/>
      <c r="V9160" s="1"/>
      <c r="W9160" s="1"/>
      <c r="X9160" s="1"/>
      <c r="Y9160" s="1"/>
      <c r="Z9160" s="2066"/>
      <c r="AA9160" s="2066"/>
      <c r="AB9160" s="1"/>
      <c r="AC9160" s="1"/>
      <c r="AD9160" s="1"/>
      <c r="AE9160" s="1"/>
      <c r="AF9160" s="1"/>
      <c r="AG9160" s="1"/>
      <c r="AH9160" s="1"/>
      <c r="AI9160" s="1"/>
      <c r="AJ9160" s="1"/>
      <c r="AK9160" s="1"/>
      <c r="AL9160" s="1"/>
      <c r="AM9160" s="1"/>
    </row>
    <row r="9161" spans="1:39" x14ac:dyDescent="0.25">
      <c r="A9161" s="2066"/>
      <c r="B9161" s="2066"/>
      <c r="C9161" s="2066"/>
      <c r="D9161" s="2066"/>
      <c r="E9161" s="2066"/>
      <c r="F9161" s="2066"/>
      <c r="G9161" s="2066"/>
      <c r="H9161" s="2066"/>
      <c r="I9161" s="2066"/>
      <c r="J9161" s="2066"/>
      <c r="K9161" s="2066"/>
      <c r="L9161" s="2066"/>
      <c r="M9161" s="2066"/>
      <c r="N9161" s="2066"/>
      <c r="O9161" s="2066"/>
      <c r="P9161" s="49"/>
      <c r="Q9161" s="1"/>
      <c r="R9161" s="2066"/>
      <c r="S9161" s="1"/>
      <c r="T9161" s="1"/>
      <c r="U9161" s="1"/>
      <c r="V9161" s="1"/>
      <c r="W9161" s="1"/>
      <c r="X9161" s="1"/>
      <c r="Y9161" s="1"/>
      <c r="Z9161" s="2066"/>
      <c r="AA9161" s="2066"/>
      <c r="AB9161" s="1"/>
      <c r="AC9161" s="1"/>
      <c r="AD9161" s="1"/>
      <c r="AE9161" s="1"/>
      <c r="AF9161" s="1"/>
      <c r="AG9161" s="1"/>
      <c r="AH9161" s="1"/>
      <c r="AI9161" s="1"/>
      <c r="AJ9161" s="1"/>
      <c r="AK9161" s="1"/>
      <c r="AL9161" s="1"/>
      <c r="AM9161" s="1"/>
    </row>
    <row r="9162" spans="1:39" x14ac:dyDescent="0.25">
      <c r="A9162" s="2066"/>
      <c r="B9162" s="2066"/>
      <c r="C9162" s="2066"/>
      <c r="D9162" s="2066"/>
      <c r="E9162" s="2066"/>
      <c r="F9162" s="2066"/>
      <c r="G9162" s="2066"/>
      <c r="H9162" s="2066"/>
      <c r="I9162" s="2066"/>
      <c r="J9162" s="2066"/>
      <c r="K9162" s="2066"/>
      <c r="L9162" s="2066"/>
      <c r="M9162" s="2066"/>
      <c r="N9162" s="2066"/>
      <c r="O9162" s="2066"/>
      <c r="P9162" s="49"/>
      <c r="Q9162" s="1"/>
      <c r="R9162" s="2066"/>
      <c r="S9162" s="1"/>
      <c r="T9162" s="1"/>
      <c r="U9162" s="1"/>
      <c r="V9162" s="1"/>
      <c r="W9162" s="1"/>
      <c r="X9162" s="1"/>
      <c r="Y9162" s="1"/>
      <c r="Z9162" s="2066"/>
      <c r="AA9162" s="2066"/>
      <c r="AB9162" s="1"/>
      <c r="AC9162" s="1"/>
      <c r="AD9162" s="1"/>
      <c r="AE9162" s="1"/>
      <c r="AF9162" s="1"/>
      <c r="AG9162" s="1"/>
      <c r="AH9162" s="1"/>
      <c r="AI9162" s="1"/>
      <c r="AJ9162" s="1"/>
      <c r="AK9162" s="1"/>
      <c r="AL9162" s="1"/>
      <c r="AM9162" s="1"/>
    </row>
    <row r="9163" spans="1:39" x14ac:dyDescent="0.25">
      <c r="A9163" s="2066"/>
      <c r="B9163" s="2066"/>
      <c r="C9163" s="2066"/>
      <c r="D9163" s="2066"/>
      <c r="E9163" s="2066"/>
      <c r="F9163" s="2066"/>
      <c r="G9163" s="2066"/>
      <c r="H9163" s="2066"/>
      <c r="I9163" s="2066"/>
      <c r="J9163" s="2066"/>
      <c r="K9163" s="2066"/>
      <c r="L9163" s="2066"/>
      <c r="M9163" s="2066"/>
      <c r="N9163" s="2066"/>
      <c r="O9163" s="2066"/>
      <c r="P9163" s="49"/>
      <c r="Q9163" s="1"/>
      <c r="R9163" s="2066"/>
      <c r="S9163" s="1"/>
      <c r="T9163" s="1"/>
      <c r="U9163" s="1"/>
      <c r="V9163" s="1"/>
      <c r="W9163" s="1"/>
      <c r="X9163" s="1"/>
      <c r="Y9163" s="1"/>
      <c r="Z9163" s="2066"/>
      <c r="AA9163" s="2066"/>
      <c r="AB9163" s="1"/>
      <c r="AC9163" s="1"/>
      <c r="AD9163" s="1"/>
      <c r="AE9163" s="1"/>
      <c r="AF9163" s="1"/>
      <c r="AG9163" s="1"/>
      <c r="AH9163" s="1"/>
      <c r="AI9163" s="1"/>
      <c r="AJ9163" s="1"/>
      <c r="AK9163" s="1"/>
      <c r="AL9163" s="1"/>
      <c r="AM9163" s="1"/>
    </row>
    <row r="9164" spans="1:39" x14ac:dyDescent="0.25">
      <c r="A9164" s="2066"/>
      <c r="B9164" s="2066"/>
      <c r="C9164" s="2066"/>
      <c r="D9164" s="2066"/>
      <c r="E9164" s="2066"/>
      <c r="F9164" s="2066"/>
      <c r="G9164" s="2066"/>
      <c r="H9164" s="2066"/>
      <c r="I9164" s="2066"/>
      <c r="J9164" s="2066"/>
      <c r="K9164" s="2066"/>
      <c r="L9164" s="2066"/>
      <c r="M9164" s="2066"/>
      <c r="N9164" s="2066"/>
      <c r="O9164" s="2066"/>
      <c r="P9164" s="49"/>
      <c r="Q9164" s="1"/>
      <c r="R9164" s="2066"/>
      <c r="S9164" s="1"/>
      <c r="T9164" s="1"/>
      <c r="U9164" s="1"/>
      <c r="V9164" s="1"/>
      <c r="W9164" s="1"/>
      <c r="X9164" s="1"/>
      <c r="Y9164" s="1"/>
      <c r="Z9164" s="2066"/>
      <c r="AA9164" s="2066"/>
      <c r="AB9164" s="1"/>
      <c r="AC9164" s="1"/>
      <c r="AD9164" s="1"/>
      <c r="AE9164" s="1"/>
      <c r="AF9164" s="1"/>
      <c r="AG9164" s="1"/>
      <c r="AH9164" s="1"/>
      <c r="AI9164" s="1"/>
      <c r="AJ9164" s="1"/>
      <c r="AK9164" s="1"/>
      <c r="AL9164" s="1"/>
      <c r="AM9164" s="1"/>
    </row>
    <row r="9165" spans="1:39" x14ac:dyDescent="0.25">
      <c r="A9165" s="2066"/>
      <c r="B9165" s="2066"/>
      <c r="C9165" s="2066"/>
      <c r="D9165" s="2066"/>
      <c r="E9165" s="2066"/>
      <c r="F9165" s="2066"/>
      <c r="G9165" s="2066"/>
      <c r="H9165" s="2066"/>
      <c r="I9165" s="2066"/>
      <c r="J9165" s="2066"/>
      <c r="K9165" s="2066"/>
      <c r="L9165" s="2066"/>
      <c r="M9165" s="2066"/>
      <c r="N9165" s="2066"/>
      <c r="O9165" s="2066"/>
      <c r="P9165" s="49"/>
      <c r="Q9165" s="1"/>
      <c r="R9165" s="2066"/>
      <c r="S9165" s="1"/>
      <c r="T9165" s="1"/>
      <c r="U9165" s="1"/>
      <c r="V9165" s="1"/>
      <c r="W9165" s="1"/>
      <c r="X9165" s="1"/>
      <c r="Y9165" s="1"/>
      <c r="Z9165" s="2066"/>
      <c r="AA9165" s="2066"/>
      <c r="AB9165" s="1"/>
      <c r="AC9165" s="1"/>
      <c r="AD9165" s="1"/>
      <c r="AE9165" s="1"/>
      <c r="AF9165" s="1"/>
      <c r="AG9165" s="1"/>
      <c r="AH9165" s="1"/>
      <c r="AI9165" s="1"/>
      <c r="AJ9165" s="1"/>
      <c r="AK9165" s="1"/>
      <c r="AL9165" s="1"/>
      <c r="AM9165" s="1"/>
    </row>
    <row r="9166" spans="1:39" x14ac:dyDescent="0.25">
      <c r="A9166" s="2066"/>
      <c r="B9166" s="2066"/>
      <c r="C9166" s="2066"/>
      <c r="D9166" s="2066"/>
      <c r="E9166" s="2066"/>
      <c r="F9166" s="2066"/>
      <c r="G9166" s="2066"/>
      <c r="H9166" s="2066"/>
      <c r="I9166" s="2066"/>
      <c r="J9166" s="2066"/>
      <c r="K9166" s="2066"/>
      <c r="L9166" s="2066"/>
      <c r="M9166" s="2066"/>
      <c r="N9166" s="2066"/>
      <c r="O9166" s="2066"/>
      <c r="P9166" s="49"/>
      <c r="Q9166" s="1"/>
      <c r="R9166" s="2066"/>
      <c r="S9166" s="1"/>
      <c r="T9166" s="1"/>
      <c r="U9166" s="1"/>
      <c r="V9166" s="1"/>
      <c r="W9166" s="1"/>
      <c r="X9166" s="1"/>
      <c r="Y9166" s="1"/>
      <c r="Z9166" s="2066"/>
      <c r="AA9166" s="2066"/>
      <c r="AB9166" s="1"/>
      <c r="AC9166" s="1"/>
      <c r="AD9166" s="1"/>
      <c r="AE9166" s="1"/>
      <c r="AF9166" s="1"/>
      <c r="AG9166" s="1"/>
      <c r="AH9166" s="1"/>
      <c r="AI9166" s="1"/>
      <c r="AJ9166" s="1"/>
      <c r="AK9166" s="1"/>
      <c r="AL9166" s="1"/>
      <c r="AM9166" s="1"/>
    </row>
    <row r="9167" spans="1:39" x14ac:dyDescent="0.25">
      <c r="A9167" s="2066"/>
      <c r="B9167" s="2066"/>
      <c r="C9167" s="2066"/>
      <c r="D9167" s="2066"/>
      <c r="E9167" s="2066"/>
      <c r="F9167" s="2066"/>
      <c r="G9167" s="2066"/>
      <c r="H9167" s="2066"/>
      <c r="I9167" s="2066"/>
      <c r="J9167" s="2066"/>
      <c r="K9167" s="2066"/>
      <c r="L9167" s="2066"/>
      <c r="M9167" s="2066"/>
      <c r="N9167" s="2066"/>
      <c r="O9167" s="2066"/>
      <c r="P9167" s="49"/>
      <c r="Q9167" s="1"/>
      <c r="R9167" s="2066"/>
      <c r="S9167" s="1"/>
      <c r="T9167" s="1"/>
      <c r="U9167" s="1"/>
      <c r="V9167" s="1"/>
      <c r="W9167" s="1"/>
      <c r="X9167" s="1"/>
      <c r="Y9167" s="1"/>
      <c r="Z9167" s="2066"/>
      <c r="AA9167" s="2066"/>
      <c r="AB9167" s="1"/>
      <c r="AC9167" s="1"/>
      <c r="AD9167" s="1"/>
      <c r="AE9167" s="1"/>
      <c r="AF9167" s="1"/>
      <c r="AG9167" s="1"/>
      <c r="AH9167" s="1"/>
      <c r="AI9167" s="1"/>
      <c r="AJ9167" s="1"/>
      <c r="AK9167" s="1"/>
      <c r="AL9167" s="1"/>
      <c r="AM9167" s="1"/>
    </row>
    <row r="9168" spans="1:39" x14ac:dyDescent="0.25">
      <c r="A9168" s="2066"/>
      <c r="B9168" s="2066"/>
      <c r="C9168" s="2066"/>
      <c r="D9168" s="2066"/>
      <c r="E9168" s="2066"/>
      <c r="F9168" s="2066"/>
      <c r="G9168" s="2066"/>
      <c r="H9168" s="2066"/>
      <c r="I9168" s="2066"/>
      <c r="J9168" s="2066"/>
      <c r="K9168" s="2066"/>
      <c r="L9168" s="2066"/>
      <c r="M9168" s="2066"/>
      <c r="N9168" s="2066"/>
      <c r="O9168" s="2066"/>
      <c r="P9168" s="49"/>
      <c r="Q9168" s="1"/>
      <c r="R9168" s="2066"/>
      <c r="S9168" s="1"/>
      <c r="T9168" s="1"/>
      <c r="U9168" s="1"/>
      <c r="V9168" s="1"/>
      <c r="W9168" s="1"/>
      <c r="X9168" s="1"/>
      <c r="Y9168" s="1"/>
      <c r="Z9168" s="2066"/>
      <c r="AA9168" s="2066"/>
      <c r="AB9168" s="1"/>
      <c r="AC9168" s="1"/>
      <c r="AD9168" s="1"/>
      <c r="AE9168" s="1"/>
      <c r="AF9168" s="1"/>
      <c r="AG9168" s="1"/>
      <c r="AH9168" s="1"/>
      <c r="AI9168" s="1"/>
      <c r="AJ9168" s="1"/>
      <c r="AK9168" s="1"/>
      <c r="AL9168" s="1"/>
      <c r="AM9168" s="1"/>
    </row>
    <row r="9169" spans="1:39" x14ac:dyDescent="0.25">
      <c r="A9169" s="2066"/>
      <c r="B9169" s="2066"/>
      <c r="C9169" s="2066"/>
      <c r="D9169" s="2066"/>
      <c r="E9169" s="2066"/>
      <c r="F9169" s="2066"/>
      <c r="G9169" s="2066"/>
      <c r="H9169" s="2066"/>
      <c r="I9169" s="2066"/>
      <c r="J9169" s="2066"/>
      <c r="K9169" s="2066"/>
      <c r="L9169" s="2066"/>
      <c r="M9169" s="2066"/>
      <c r="N9169" s="2066"/>
      <c r="O9169" s="2066"/>
      <c r="P9169" s="49"/>
      <c r="Q9169" s="1"/>
      <c r="R9169" s="2066"/>
      <c r="S9169" s="1"/>
      <c r="T9169" s="1"/>
      <c r="U9169" s="1"/>
      <c r="V9169" s="1"/>
      <c r="W9169" s="1"/>
      <c r="X9169" s="1"/>
      <c r="Y9169" s="1"/>
      <c r="Z9169" s="2066"/>
      <c r="AA9169" s="2066"/>
      <c r="AB9169" s="1"/>
      <c r="AC9169" s="1"/>
      <c r="AD9169" s="1"/>
      <c r="AE9169" s="1"/>
      <c r="AF9169" s="1"/>
      <c r="AG9169" s="1"/>
      <c r="AH9169" s="1"/>
      <c r="AI9169" s="1"/>
      <c r="AJ9169" s="1"/>
      <c r="AK9169" s="1"/>
      <c r="AL9169" s="1"/>
      <c r="AM9169" s="1"/>
    </row>
    <row r="9170" spans="1:39" x14ac:dyDescent="0.25">
      <c r="A9170" s="2066"/>
      <c r="B9170" s="2066"/>
      <c r="C9170" s="2066"/>
      <c r="D9170" s="2066"/>
      <c r="E9170" s="2066"/>
      <c r="F9170" s="2066"/>
      <c r="G9170" s="2066"/>
      <c r="H9170" s="2066"/>
      <c r="I9170" s="2066"/>
      <c r="J9170" s="2066"/>
      <c r="K9170" s="2066"/>
      <c r="L9170" s="2066"/>
      <c r="M9170" s="2066"/>
      <c r="N9170" s="2066"/>
      <c r="O9170" s="2066"/>
      <c r="P9170" s="49"/>
      <c r="Q9170" s="1"/>
      <c r="R9170" s="2066"/>
      <c r="S9170" s="1"/>
      <c r="T9170" s="1"/>
      <c r="U9170" s="1"/>
      <c r="V9170" s="1"/>
      <c r="W9170" s="1"/>
      <c r="X9170" s="1"/>
      <c r="Y9170" s="1"/>
      <c r="Z9170" s="2066"/>
      <c r="AA9170" s="2066"/>
      <c r="AB9170" s="1"/>
      <c r="AC9170" s="1"/>
      <c r="AD9170" s="1"/>
      <c r="AE9170" s="1"/>
      <c r="AF9170" s="1"/>
      <c r="AG9170" s="1"/>
      <c r="AH9170" s="1"/>
      <c r="AI9170" s="1"/>
      <c r="AJ9170" s="1"/>
      <c r="AK9170" s="1"/>
      <c r="AL9170" s="1"/>
      <c r="AM9170" s="1"/>
    </row>
    <row r="9171" spans="1:39" x14ac:dyDescent="0.25">
      <c r="A9171" s="2066"/>
      <c r="B9171" s="2066"/>
      <c r="C9171" s="2066"/>
      <c r="D9171" s="2066"/>
      <c r="E9171" s="2066"/>
      <c r="F9171" s="2066"/>
      <c r="G9171" s="2066"/>
      <c r="H9171" s="2066"/>
      <c r="I9171" s="2066"/>
      <c r="J9171" s="2066"/>
      <c r="K9171" s="2066"/>
      <c r="L9171" s="2066"/>
      <c r="M9171" s="2066"/>
      <c r="N9171" s="2066"/>
      <c r="O9171" s="2066"/>
      <c r="P9171" s="49"/>
      <c r="Q9171" s="1"/>
      <c r="R9171" s="2066"/>
      <c r="S9171" s="1"/>
      <c r="T9171" s="1"/>
      <c r="U9171" s="1"/>
      <c r="V9171" s="1"/>
      <c r="W9171" s="1"/>
      <c r="X9171" s="1"/>
      <c r="Y9171" s="1"/>
      <c r="Z9171" s="2066"/>
      <c r="AA9171" s="2066"/>
      <c r="AB9171" s="1"/>
      <c r="AC9171" s="1"/>
      <c r="AD9171" s="1"/>
      <c r="AE9171" s="1"/>
      <c r="AF9171" s="1"/>
      <c r="AG9171" s="1"/>
      <c r="AH9171" s="1"/>
      <c r="AI9171" s="1"/>
      <c r="AJ9171" s="1"/>
      <c r="AK9171" s="1"/>
      <c r="AL9171" s="1"/>
      <c r="AM9171" s="1"/>
    </row>
    <row r="9172" spans="1:39" x14ac:dyDescent="0.25">
      <c r="A9172" s="2066"/>
      <c r="B9172" s="2066"/>
      <c r="C9172" s="2066"/>
      <c r="D9172" s="2066"/>
      <c r="E9172" s="2066"/>
      <c r="F9172" s="2066"/>
      <c r="G9172" s="2066"/>
      <c r="H9172" s="2066"/>
      <c r="I9172" s="2066"/>
      <c r="J9172" s="2066"/>
      <c r="K9172" s="2066"/>
      <c r="L9172" s="2066"/>
      <c r="M9172" s="2066"/>
      <c r="N9172" s="2066"/>
      <c r="O9172" s="2066"/>
      <c r="P9172" s="49"/>
      <c r="Q9172" s="1"/>
      <c r="R9172" s="2066"/>
      <c r="S9172" s="1"/>
      <c r="T9172" s="1"/>
      <c r="U9172" s="1"/>
      <c r="V9172" s="1"/>
      <c r="W9172" s="1"/>
      <c r="X9172" s="1"/>
      <c r="Y9172" s="1"/>
      <c r="Z9172" s="2066"/>
      <c r="AA9172" s="2066"/>
      <c r="AB9172" s="1"/>
      <c r="AC9172" s="1"/>
      <c r="AD9172" s="1"/>
      <c r="AE9172" s="1"/>
      <c r="AF9172" s="1"/>
      <c r="AG9172" s="1"/>
      <c r="AH9172" s="1"/>
      <c r="AI9172" s="1"/>
      <c r="AJ9172" s="1"/>
      <c r="AK9172" s="1"/>
      <c r="AL9172" s="1"/>
      <c r="AM9172" s="1"/>
    </row>
    <row r="9173" spans="1:39" x14ac:dyDescent="0.25">
      <c r="A9173" s="2066"/>
      <c r="B9173" s="2066"/>
      <c r="C9173" s="2066"/>
      <c r="D9173" s="2066"/>
      <c r="E9173" s="2066"/>
      <c r="F9173" s="2066"/>
      <c r="G9173" s="2066"/>
      <c r="H9173" s="2066"/>
      <c r="I9173" s="2066"/>
      <c r="J9173" s="2066"/>
      <c r="K9173" s="2066"/>
      <c r="L9173" s="2066"/>
      <c r="M9173" s="2066"/>
      <c r="N9173" s="2066"/>
      <c r="O9173" s="2066"/>
      <c r="P9173" s="49"/>
      <c r="Q9173" s="1"/>
      <c r="R9173" s="2066"/>
      <c r="S9173" s="1"/>
      <c r="T9173" s="1"/>
      <c r="U9173" s="1"/>
      <c r="V9173" s="1"/>
      <c r="W9173" s="1"/>
      <c r="X9173" s="1"/>
      <c r="Y9173" s="1"/>
      <c r="Z9173" s="2066"/>
      <c r="AA9173" s="2066"/>
      <c r="AB9173" s="1"/>
      <c r="AC9173" s="1"/>
      <c r="AD9173" s="1"/>
      <c r="AE9173" s="1"/>
      <c r="AF9173" s="1"/>
      <c r="AG9173" s="1"/>
      <c r="AH9173" s="1"/>
      <c r="AI9173" s="1"/>
      <c r="AJ9173" s="1"/>
      <c r="AK9173" s="1"/>
      <c r="AL9173" s="1"/>
      <c r="AM9173" s="1"/>
    </row>
    <row r="9174" spans="1:39" x14ac:dyDescent="0.25">
      <c r="A9174" s="2066"/>
      <c r="B9174" s="2066"/>
      <c r="C9174" s="2066"/>
      <c r="D9174" s="2066"/>
      <c r="E9174" s="2066"/>
      <c r="F9174" s="2066"/>
      <c r="G9174" s="2066"/>
      <c r="H9174" s="2066"/>
      <c r="I9174" s="2066"/>
      <c r="J9174" s="2066"/>
      <c r="K9174" s="2066"/>
      <c r="L9174" s="2066"/>
      <c r="M9174" s="2066"/>
      <c r="N9174" s="2066"/>
      <c r="O9174" s="2066"/>
      <c r="P9174" s="49"/>
      <c r="Q9174" s="1"/>
      <c r="R9174" s="2066"/>
      <c r="S9174" s="1"/>
      <c r="T9174" s="1"/>
      <c r="U9174" s="1"/>
      <c r="V9174" s="1"/>
      <c r="W9174" s="1"/>
      <c r="X9174" s="1"/>
      <c r="Y9174" s="1"/>
      <c r="Z9174" s="2066"/>
      <c r="AA9174" s="2066"/>
      <c r="AB9174" s="1"/>
      <c r="AC9174" s="1"/>
      <c r="AD9174" s="1"/>
      <c r="AE9174" s="1"/>
      <c r="AF9174" s="1"/>
      <c r="AG9174" s="1"/>
      <c r="AH9174" s="1"/>
      <c r="AI9174" s="1"/>
      <c r="AJ9174" s="1"/>
      <c r="AK9174" s="1"/>
      <c r="AL9174" s="1"/>
      <c r="AM9174" s="1"/>
    </row>
    <row r="9175" spans="1:39" x14ac:dyDescent="0.25">
      <c r="A9175" s="2066"/>
      <c r="B9175" s="2066"/>
      <c r="C9175" s="2066"/>
      <c r="D9175" s="2066"/>
      <c r="E9175" s="2066"/>
      <c r="F9175" s="2066"/>
      <c r="G9175" s="2066"/>
      <c r="H9175" s="2066"/>
      <c r="I9175" s="2066"/>
      <c r="J9175" s="2066"/>
      <c r="K9175" s="2066"/>
      <c r="L9175" s="2066"/>
      <c r="M9175" s="2066"/>
      <c r="N9175" s="2066"/>
      <c r="O9175" s="2066"/>
      <c r="P9175" s="49"/>
      <c r="Q9175" s="1"/>
      <c r="R9175" s="2066"/>
      <c r="S9175" s="1"/>
      <c r="T9175" s="1"/>
      <c r="U9175" s="1"/>
      <c r="V9175" s="1"/>
      <c r="W9175" s="1"/>
      <c r="X9175" s="1"/>
      <c r="Y9175" s="1"/>
      <c r="Z9175" s="2066"/>
      <c r="AA9175" s="2066"/>
      <c r="AB9175" s="1"/>
      <c r="AC9175" s="1"/>
      <c r="AD9175" s="1"/>
      <c r="AE9175" s="1"/>
      <c r="AF9175" s="1"/>
      <c r="AG9175" s="1"/>
      <c r="AH9175" s="1"/>
      <c r="AI9175" s="1"/>
      <c r="AJ9175" s="1"/>
      <c r="AK9175" s="1"/>
      <c r="AL9175" s="1"/>
      <c r="AM9175" s="1"/>
    </row>
    <row r="9176" spans="1:39" x14ac:dyDescent="0.25">
      <c r="A9176" s="2066"/>
      <c r="B9176" s="2066"/>
      <c r="C9176" s="2066"/>
      <c r="D9176" s="2066"/>
      <c r="E9176" s="2066"/>
      <c r="F9176" s="2066"/>
      <c r="G9176" s="2066"/>
      <c r="H9176" s="2066"/>
      <c r="I9176" s="2066"/>
      <c r="J9176" s="2066"/>
      <c r="K9176" s="2066"/>
      <c r="L9176" s="2066"/>
      <c r="M9176" s="2066"/>
      <c r="N9176" s="2066"/>
      <c r="O9176" s="2066"/>
      <c r="P9176" s="49"/>
      <c r="Q9176" s="1"/>
      <c r="R9176" s="2066"/>
      <c r="S9176" s="1"/>
      <c r="T9176" s="1"/>
      <c r="U9176" s="1"/>
      <c r="V9176" s="1"/>
      <c r="W9176" s="1"/>
      <c r="X9176" s="1"/>
      <c r="Y9176" s="1"/>
      <c r="Z9176" s="2066"/>
      <c r="AA9176" s="2066"/>
      <c r="AB9176" s="1"/>
      <c r="AC9176" s="1"/>
      <c r="AD9176" s="1"/>
      <c r="AE9176" s="1"/>
      <c r="AF9176" s="1"/>
      <c r="AG9176" s="1"/>
      <c r="AH9176" s="1"/>
      <c r="AI9176" s="1"/>
      <c r="AJ9176" s="1"/>
      <c r="AK9176" s="1"/>
      <c r="AL9176" s="1"/>
      <c r="AM9176" s="1"/>
    </row>
    <row r="9177" spans="1:39" x14ac:dyDescent="0.25">
      <c r="A9177" s="2066"/>
      <c r="B9177" s="2066"/>
      <c r="C9177" s="2066"/>
      <c r="D9177" s="2066"/>
      <c r="E9177" s="2066"/>
      <c r="F9177" s="2066"/>
      <c r="G9177" s="2066"/>
      <c r="H9177" s="2066"/>
      <c r="I9177" s="2066"/>
      <c r="J9177" s="2066"/>
      <c r="K9177" s="2066"/>
      <c r="L9177" s="2066"/>
      <c r="M9177" s="2066"/>
      <c r="N9177" s="2066"/>
      <c r="O9177" s="2066"/>
      <c r="P9177" s="49"/>
      <c r="Q9177" s="1"/>
      <c r="R9177" s="2066"/>
      <c r="S9177" s="1"/>
      <c r="T9177" s="1"/>
      <c r="U9177" s="1"/>
      <c r="V9177" s="1"/>
      <c r="W9177" s="1"/>
      <c r="X9177" s="1"/>
      <c r="Y9177" s="1"/>
      <c r="Z9177" s="2066"/>
      <c r="AA9177" s="2066"/>
      <c r="AB9177" s="1"/>
      <c r="AC9177" s="1"/>
      <c r="AD9177" s="1"/>
      <c r="AE9177" s="1"/>
      <c r="AF9177" s="1"/>
      <c r="AG9177" s="1"/>
      <c r="AH9177" s="1"/>
      <c r="AI9177" s="1"/>
      <c r="AJ9177" s="1"/>
      <c r="AK9177" s="1"/>
      <c r="AL9177" s="1"/>
      <c r="AM9177" s="1"/>
    </row>
    <row r="9178" spans="1:39" x14ac:dyDescent="0.25">
      <c r="A9178" s="2066"/>
      <c r="B9178" s="2066"/>
      <c r="C9178" s="2066"/>
      <c r="D9178" s="2066"/>
      <c r="E9178" s="2066"/>
      <c r="F9178" s="2066"/>
      <c r="G9178" s="2066"/>
      <c r="H9178" s="2066"/>
      <c r="I9178" s="2066"/>
      <c r="J9178" s="2066"/>
      <c r="K9178" s="2066"/>
      <c r="L9178" s="2066"/>
      <c r="M9178" s="2066"/>
      <c r="N9178" s="2066"/>
      <c r="O9178" s="2066"/>
      <c r="P9178" s="49"/>
      <c r="Q9178" s="1"/>
      <c r="R9178" s="2066"/>
      <c r="S9178" s="1"/>
      <c r="T9178" s="1"/>
      <c r="U9178" s="1"/>
      <c r="V9178" s="1"/>
      <c r="W9178" s="1"/>
      <c r="X9178" s="1"/>
      <c r="Y9178" s="1"/>
      <c r="Z9178" s="2066"/>
      <c r="AA9178" s="2066"/>
      <c r="AB9178" s="1"/>
      <c r="AC9178" s="1"/>
      <c r="AD9178" s="1"/>
      <c r="AE9178" s="1"/>
      <c r="AF9178" s="1"/>
      <c r="AG9178" s="1"/>
      <c r="AH9178" s="1"/>
      <c r="AI9178" s="1"/>
      <c r="AJ9178" s="1"/>
      <c r="AK9178" s="1"/>
      <c r="AL9178" s="1"/>
      <c r="AM9178" s="1"/>
    </row>
    <row r="9179" spans="1:39" x14ac:dyDescent="0.25">
      <c r="A9179" s="2066"/>
      <c r="B9179" s="2066"/>
      <c r="C9179" s="2066"/>
      <c r="D9179" s="2066"/>
      <c r="E9179" s="2066"/>
      <c r="F9179" s="2066"/>
      <c r="G9179" s="2066"/>
      <c r="H9179" s="2066"/>
      <c r="I9179" s="2066"/>
      <c r="J9179" s="2066"/>
      <c r="K9179" s="2066"/>
      <c r="L9179" s="2066"/>
      <c r="M9179" s="2066"/>
      <c r="N9179" s="2066"/>
      <c r="O9179" s="2066"/>
      <c r="P9179" s="49"/>
      <c r="Q9179" s="1"/>
      <c r="R9179" s="2066"/>
      <c r="S9179" s="1"/>
      <c r="T9179" s="1"/>
      <c r="U9179" s="1"/>
      <c r="V9179" s="1"/>
      <c r="W9179" s="1"/>
      <c r="X9179" s="1"/>
      <c r="Y9179" s="1"/>
      <c r="Z9179" s="2066"/>
      <c r="AA9179" s="2066"/>
      <c r="AB9179" s="1"/>
      <c r="AC9179" s="1"/>
      <c r="AD9179" s="1"/>
      <c r="AE9179" s="1"/>
      <c r="AF9179" s="1"/>
      <c r="AG9179" s="1"/>
      <c r="AH9179" s="1"/>
      <c r="AI9179" s="1"/>
      <c r="AJ9179" s="1"/>
      <c r="AK9179" s="1"/>
      <c r="AL9179" s="1"/>
      <c r="AM9179" s="1"/>
    </row>
    <row r="9180" spans="1:39" x14ac:dyDescent="0.25">
      <c r="A9180" s="2066"/>
      <c r="B9180" s="2066"/>
      <c r="C9180" s="2066"/>
      <c r="D9180" s="2066"/>
      <c r="E9180" s="2066"/>
      <c r="F9180" s="2066"/>
      <c r="G9180" s="2066"/>
      <c r="H9180" s="2066"/>
      <c r="I9180" s="2066"/>
      <c r="J9180" s="2066"/>
      <c r="K9180" s="2066"/>
      <c r="L9180" s="2066"/>
      <c r="M9180" s="2066"/>
      <c r="N9180" s="2066"/>
      <c r="O9180" s="2066"/>
      <c r="P9180" s="49"/>
      <c r="Q9180" s="1"/>
      <c r="R9180" s="2066"/>
      <c r="S9180" s="1"/>
      <c r="T9180" s="1"/>
      <c r="U9180" s="1"/>
      <c r="V9180" s="1"/>
      <c r="W9180" s="1"/>
      <c r="X9180" s="1"/>
      <c r="Y9180" s="1"/>
      <c r="Z9180" s="2066"/>
      <c r="AA9180" s="2066"/>
      <c r="AB9180" s="1"/>
      <c r="AC9180" s="1"/>
      <c r="AD9180" s="1"/>
      <c r="AE9180" s="1"/>
      <c r="AF9180" s="1"/>
      <c r="AG9180" s="1"/>
      <c r="AH9180" s="1"/>
      <c r="AI9180" s="1"/>
      <c r="AJ9180" s="1"/>
      <c r="AK9180" s="1"/>
      <c r="AL9180" s="1"/>
      <c r="AM9180" s="1"/>
    </row>
    <row r="9181" spans="1:39" x14ac:dyDescent="0.25">
      <c r="A9181" s="2066"/>
      <c r="B9181" s="2066"/>
      <c r="C9181" s="2066"/>
      <c r="D9181" s="2066"/>
      <c r="E9181" s="2066"/>
      <c r="F9181" s="2066"/>
      <c r="G9181" s="2066"/>
      <c r="H9181" s="2066"/>
      <c r="I9181" s="2066"/>
      <c r="J9181" s="2066"/>
      <c r="K9181" s="2066"/>
      <c r="L9181" s="2066"/>
      <c r="M9181" s="2066"/>
      <c r="N9181" s="2066"/>
      <c r="O9181" s="2066"/>
      <c r="P9181" s="49"/>
      <c r="Q9181" s="1"/>
      <c r="R9181" s="2066"/>
      <c r="S9181" s="1"/>
      <c r="T9181" s="1"/>
      <c r="U9181" s="1"/>
      <c r="V9181" s="1"/>
      <c r="W9181" s="1"/>
      <c r="X9181" s="1"/>
      <c r="Y9181" s="1"/>
      <c r="Z9181" s="2066"/>
      <c r="AA9181" s="2066"/>
      <c r="AB9181" s="1"/>
      <c r="AC9181" s="1"/>
      <c r="AD9181" s="1"/>
      <c r="AE9181" s="1"/>
      <c r="AF9181" s="1"/>
      <c r="AG9181" s="1"/>
      <c r="AH9181" s="1"/>
      <c r="AI9181" s="1"/>
      <c r="AJ9181" s="1"/>
      <c r="AK9181" s="1"/>
      <c r="AL9181" s="1"/>
      <c r="AM9181" s="1"/>
    </row>
    <row r="9182" spans="1:39" x14ac:dyDescent="0.25">
      <c r="A9182" s="2066"/>
      <c r="B9182" s="2066"/>
      <c r="C9182" s="2066"/>
      <c r="D9182" s="2066"/>
      <c r="E9182" s="2066"/>
      <c r="F9182" s="2066"/>
      <c r="G9182" s="2066"/>
      <c r="H9182" s="2066"/>
      <c r="I9182" s="2066"/>
      <c r="J9182" s="2066"/>
      <c r="K9182" s="2066"/>
      <c r="L9182" s="2066"/>
      <c r="M9182" s="2066"/>
      <c r="N9182" s="2066"/>
      <c r="O9182" s="2066"/>
      <c r="P9182" s="49"/>
      <c r="Q9182" s="1"/>
      <c r="R9182" s="2066"/>
      <c r="S9182" s="1"/>
      <c r="T9182" s="1"/>
      <c r="U9182" s="1"/>
      <c r="V9182" s="1"/>
      <c r="W9182" s="1"/>
      <c r="X9182" s="1"/>
      <c r="Y9182" s="1"/>
      <c r="Z9182" s="2066"/>
      <c r="AA9182" s="2066"/>
      <c r="AB9182" s="1"/>
      <c r="AC9182" s="1"/>
      <c r="AD9182" s="1"/>
      <c r="AE9182" s="1"/>
      <c r="AF9182" s="1"/>
      <c r="AG9182" s="1"/>
      <c r="AH9182" s="1"/>
      <c r="AI9182" s="1"/>
      <c r="AJ9182" s="1"/>
      <c r="AK9182" s="1"/>
      <c r="AL9182" s="1"/>
      <c r="AM9182" s="1"/>
    </row>
    <row r="9183" spans="1:39" x14ac:dyDescent="0.25">
      <c r="A9183" s="2066"/>
      <c r="B9183" s="2066"/>
      <c r="C9183" s="2066"/>
      <c r="D9183" s="2066"/>
      <c r="E9183" s="2066"/>
      <c r="F9183" s="2066"/>
      <c r="G9183" s="2066"/>
      <c r="H9183" s="2066"/>
      <c r="I9183" s="2066"/>
      <c r="J9183" s="2066"/>
      <c r="K9183" s="2066"/>
      <c r="L9183" s="2066"/>
      <c r="M9183" s="2066"/>
      <c r="N9183" s="2066"/>
      <c r="O9183" s="2066"/>
      <c r="P9183" s="49"/>
      <c r="Q9183" s="1"/>
      <c r="R9183" s="2066"/>
      <c r="S9183" s="1"/>
      <c r="T9183" s="1"/>
      <c r="U9183" s="1"/>
      <c r="V9183" s="1"/>
      <c r="W9183" s="1"/>
      <c r="X9183" s="1"/>
      <c r="Y9183" s="1"/>
      <c r="Z9183" s="2066"/>
      <c r="AA9183" s="2066"/>
      <c r="AB9183" s="1"/>
      <c r="AC9183" s="1"/>
      <c r="AD9183" s="1"/>
      <c r="AE9183" s="1"/>
      <c r="AF9183" s="1"/>
      <c r="AG9183" s="1"/>
      <c r="AH9183" s="1"/>
      <c r="AI9183" s="1"/>
      <c r="AJ9183" s="1"/>
      <c r="AK9183" s="1"/>
      <c r="AL9183" s="1"/>
      <c r="AM9183" s="1"/>
    </row>
    <row r="9184" spans="1:39" x14ac:dyDescent="0.25">
      <c r="A9184" s="2066"/>
      <c r="B9184" s="2066"/>
      <c r="C9184" s="2066"/>
      <c r="D9184" s="2066"/>
      <c r="E9184" s="2066"/>
      <c r="F9184" s="2066"/>
      <c r="G9184" s="2066"/>
      <c r="H9184" s="2066"/>
      <c r="I9184" s="2066"/>
      <c r="J9184" s="2066"/>
      <c r="K9184" s="2066"/>
      <c r="L9184" s="2066"/>
      <c r="M9184" s="2066"/>
      <c r="N9184" s="2066"/>
      <c r="O9184" s="2066"/>
      <c r="P9184" s="49"/>
      <c r="Q9184" s="1"/>
      <c r="R9184" s="2066"/>
      <c r="S9184" s="1"/>
      <c r="T9184" s="1"/>
      <c r="U9184" s="1"/>
      <c r="V9184" s="1"/>
      <c r="W9184" s="1"/>
      <c r="X9184" s="1"/>
      <c r="Y9184" s="1"/>
      <c r="Z9184" s="2066"/>
      <c r="AA9184" s="2066"/>
      <c r="AB9184" s="1"/>
      <c r="AC9184" s="1"/>
      <c r="AD9184" s="1"/>
      <c r="AE9184" s="1"/>
      <c r="AF9184" s="1"/>
      <c r="AG9184" s="1"/>
      <c r="AH9184" s="1"/>
      <c r="AI9184" s="1"/>
      <c r="AJ9184" s="1"/>
      <c r="AK9184" s="1"/>
      <c r="AL9184" s="1"/>
      <c r="AM9184" s="1"/>
    </row>
    <row r="9185" spans="1:39" x14ac:dyDescent="0.25">
      <c r="A9185" s="2066"/>
      <c r="B9185" s="2066"/>
      <c r="C9185" s="2066"/>
      <c r="D9185" s="2066"/>
      <c r="E9185" s="2066"/>
      <c r="F9185" s="2066"/>
      <c r="G9185" s="2066"/>
      <c r="H9185" s="2066"/>
      <c r="I9185" s="2066"/>
      <c r="J9185" s="2066"/>
      <c r="K9185" s="2066"/>
      <c r="L9185" s="2066"/>
      <c r="M9185" s="2066"/>
      <c r="N9185" s="2066"/>
      <c r="O9185" s="2066"/>
      <c r="P9185" s="49"/>
      <c r="Q9185" s="1"/>
      <c r="R9185" s="2066"/>
      <c r="S9185" s="1"/>
      <c r="T9185" s="1"/>
      <c r="U9185" s="1"/>
      <c r="V9185" s="1"/>
      <c r="W9185" s="1"/>
      <c r="X9185" s="1"/>
      <c r="Y9185" s="1"/>
      <c r="Z9185" s="2066"/>
      <c r="AA9185" s="2066"/>
      <c r="AB9185" s="1"/>
      <c r="AC9185" s="1"/>
      <c r="AD9185" s="1"/>
      <c r="AE9185" s="1"/>
      <c r="AF9185" s="1"/>
      <c r="AG9185" s="1"/>
      <c r="AH9185" s="1"/>
      <c r="AI9185" s="1"/>
      <c r="AJ9185" s="1"/>
      <c r="AK9185" s="1"/>
      <c r="AL9185" s="1"/>
      <c r="AM9185" s="1"/>
    </row>
    <row r="9186" spans="1:39" x14ac:dyDescent="0.25">
      <c r="A9186" s="2066"/>
      <c r="B9186" s="2066"/>
      <c r="C9186" s="2066"/>
      <c r="D9186" s="2066"/>
      <c r="E9186" s="2066"/>
      <c r="F9186" s="2066"/>
      <c r="G9186" s="2066"/>
      <c r="H9186" s="2066"/>
      <c r="I9186" s="2066"/>
      <c r="J9186" s="2066"/>
      <c r="K9186" s="2066"/>
      <c r="L9186" s="2066"/>
      <c r="M9186" s="2066"/>
      <c r="N9186" s="2066"/>
      <c r="O9186" s="2066"/>
      <c r="P9186" s="49"/>
      <c r="Q9186" s="1"/>
      <c r="R9186" s="2066"/>
      <c r="S9186" s="1"/>
      <c r="T9186" s="1"/>
      <c r="U9186" s="1"/>
      <c r="V9186" s="1"/>
      <c r="W9186" s="1"/>
      <c r="X9186" s="1"/>
      <c r="Y9186" s="1"/>
      <c r="Z9186" s="2066"/>
      <c r="AA9186" s="2066"/>
      <c r="AB9186" s="1"/>
      <c r="AC9186" s="1"/>
      <c r="AD9186" s="1"/>
      <c r="AE9186" s="1"/>
      <c r="AF9186" s="1"/>
      <c r="AG9186" s="1"/>
      <c r="AH9186" s="1"/>
      <c r="AI9186" s="1"/>
      <c r="AJ9186" s="1"/>
      <c r="AK9186" s="1"/>
      <c r="AL9186" s="1"/>
      <c r="AM9186" s="1"/>
    </row>
    <row r="9187" spans="1:39" x14ac:dyDescent="0.25">
      <c r="A9187" s="2066"/>
      <c r="B9187" s="2066"/>
      <c r="C9187" s="2066"/>
      <c r="D9187" s="2066"/>
      <c r="E9187" s="2066"/>
      <c r="F9187" s="2066"/>
      <c r="G9187" s="2066"/>
      <c r="H9187" s="2066"/>
      <c r="I9187" s="2066"/>
      <c r="J9187" s="2066"/>
      <c r="K9187" s="2066"/>
      <c r="L9187" s="2066"/>
      <c r="M9187" s="2066"/>
      <c r="N9187" s="2066"/>
      <c r="O9187" s="2066"/>
      <c r="P9187" s="49"/>
      <c r="Q9187" s="1"/>
      <c r="R9187" s="2066"/>
      <c r="S9187" s="1"/>
      <c r="T9187" s="1"/>
      <c r="U9187" s="1"/>
      <c r="V9187" s="1"/>
      <c r="W9187" s="1"/>
      <c r="X9187" s="1"/>
      <c r="Y9187" s="1"/>
      <c r="Z9187" s="2066"/>
      <c r="AA9187" s="2066"/>
      <c r="AB9187" s="1"/>
      <c r="AC9187" s="1"/>
      <c r="AD9187" s="1"/>
      <c r="AE9187" s="1"/>
      <c r="AF9187" s="1"/>
      <c r="AG9187" s="1"/>
      <c r="AH9187" s="1"/>
      <c r="AI9187" s="1"/>
      <c r="AJ9187" s="1"/>
      <c r="AK9187" s="1"/>
      <c r="AL9187" s="1"/>
      <c r="AM9187" s="1"/>
    </row>
    <row r="9188" spans="1:39" x14ac:dyDescent="0.25">
      <c r="A9188" s="2066"/>
      <c r="B9188" s="2066"/>
      <c r="C9188" s="2066"/>
      <c r="D9188" s="2066"/>
      <c r="E9188" s="2066"/>
      <c r="F9188" s="2066"/>
      <c r="G9188" s="2066"/>
      <c r="H9188" s="2066"/>
      <c r="I9188" s="2066"/>
      <c r="J9188" s="2066"/>
      <c r="K9188" s="2066"/>
      <c r="L9188" s="2066"/>
      <c r="M9188" s="2066"/>
      <c r="N9188" s="2066"/>
      <c r="O9188" s="2066"/>
      <c r="P9188" s="49"/>
      <c r="Q9188" s="1"/>
      <c r="R9188" s="2066"/>
      <c r="S9188" s="1"/>
      <c r="T9188" s="1"/>
      <c r="U9188" s="1"/>
      <c r="V9188" s="1"/>
      <c r="W9188" s="1"/>
      <c r="X9188" s="1"/>
      <c r="Y9188" s="1"/>
      <c r="Z9188" s="2066"/>
      <c r="AA9188" s="2066"/>
      <c r="AB9188" s="1"/>
      <c r="AC9188" s="1"/>
      <c r="AD9188" s="1"/>
      <c r="AE9188" s="1"/>
      <c r="AF9188" s="1"/>
      <c r="AG9188" s="1"/>
      <c r="AH9188" s="1"/>
      <c r="AI9188" s="1"/>
      <c r="AJ9188" s="1"/>
      <c r="AK9188" s="1"/>
      <c r="AL9188" s="1"/>
      <c r="AM9188" s="1"/>
    </row>
    <row r="9189" spans="1:39" x14ac:dyDescent="0.25">
      <c r="A9189" s="2066"/>
      <c r="B9189" s="2066"/>
      <c r="C9189" s="2066"/>
      <c r="D9189" s="2066"/>
      <c r="E9189" s="2066"/>
      <c r="F9189" s="2066"/>
      <c r="G9189" s="2066"/>
      <c r="H9189" s="2066"/>
      <c r="I9189" s="2066"/>
      <c r="J9189" s="2066"/>
      <c r="K9189" s="2066"/>
      <c r="L9189" s="2066"/>
      <c r="M9189" s="2066"/>
      <c r="N9189" s="2066"/>
      <c r="O9189" s="2066"/>
      <c r="P9189" s="49"/>
      <c r="Q9189" s="1"/>
      <c r="R9189" s="2066"/>
      <c r="S9189" s="1"/>
      <c r="T9189" s="1"/>
      <c r="U9189" s="1"/>
      <c r="V9189" s="1"/>
      <c r="W9189" s="1"/>
      <c r="X9189" s="1"/>
      <c r="Y9189" s="1"/>
      <c r="Z9189" s="2066"/>
      <c r="AA9189" s="2066"/>
      <c r="AB9189" s="1"/>
      <c r="AC9189" s="1"/>
      <c r="AD9189" s="1"/>
      <c r="AE9189" s="1"/>
      <c r="AF9189" s="1"/>
      <c r="AG9189" s="1"/>
      <c r="AH9189" s="1"/>
      <c r="AI9189" s="1"/>
      <c r="AJ9189" s="1"/>
      <c r="AK9189" s="1"/>
      <c r="AL9189" s="1"/>
      <c r="AM9189" s="1"/>
    </row>
    <row r="9190" spans="1:39" x14ac:dyDescent="0.25">
      <c r="A9190" s="2066"/>
      <c r="B9190" s="2066"/>
      <c r="C9190" s="2066"/>
      <c r="D9190" s="2066"/>
      <c r="E9190" s="2066"/>
      <c r="F9190" s="2066"/>
      <c r="G9190" s="2066"/>
      <c r="H9190" s="2066"/>
      <c r="I9190" s="2066"/>
      <c r="J9190" s="2066"/>
      <c r="K9190" s="2066"/>
      <c r="L9190" s="2066"/>
      <c r="M9190" s="2066"/>
      <c r="N9190" s="2066"/>
      <c r="O9190" s="2066"/>
      <c r="P9190" s="49"/>
      <c r="Q9190" s="1"/>
      <c r="R9190" s="2066"/>
      <c r="S9190" s="1"/>
      <c r="T9190" s="1"/>
      <c r="U9190" s="1"/>
      <c r="V9190" s="1"/>
      <c r="W9190" s="1"/>
      <c r="X9190" s="1"/>
      <c r="Y9190" s="1"/>
      <c r="Z9190" s="2066"/>
      <c r="AA9190" s="2066"/>
      <c r="AB9190" s="1"/>
      <c r="AC9190" s="1"/>
      <c r="AD9190" s="1"/>
      <c r="AE9190" s="1"/>
      <c r="AF9190" s="1"/>
      <c r="AG9190" s="1"/>
      <c r="AH9190" s="1"/>
      <c r="AI9190" s="1"/>
      <c r="AJ9190" s="1"/>
      <c r="AK9190" s="1"/>
      <c r="AL9190" s="1"/>
      <c r="AM9190" s="1"/>
    </row>
    <row r="9191" spans="1:39" x14ac:dyDescent="0.25">
      <c r="A9191" s="2066"/>
      <c r="B9191" s="2066"/>
      <c r="C9191" s="2066"/>
      <c r="D9191" s="2066"/>
      <c r="E9191" s="2066"/>
      <c r="F9191" s="2066"/>
      <c r="G9191" s="2066"/>
      <c r="H9191" s="2066"/>
      <c r="I9191" s="2066"/>
      <c r="J9191" s="2066"/>
      <c r="K9191" s="2066"/>
      <c r="L9191" s="2066"/>
      <c r="M9191" s="2066"/>
      <c r="N9191" s="2066"/>
      <c r="O9191" s="2066"/>
      <c r="P9191" s="49"/>
      <c r="Q9191" s="1"/>
      <c r="R9191" s="2066"/>
      <c r="S9191" s="1"/>
      <c r="T9191" s="1"/>
      <c r="U9191" s="1"/>
      <c r="V9191" s="1"/>
      <c r="W9191" s="1"/>
      <c r="X9191" s="1"/>
      <c r="Y9191" s="1"/>
      <c r="Z9191" s="2066"/>
      <c r="AA9191" s="2066"/>
      <c r="AB9191" s="1"/>
      <c r="AC9191" s="1"/>
      <c r="AD9191" s="1"/>
      <c r="AE9191" s="1"/>
      <c r="AF9191" s="1"/>
      <c r="AG9191" s="1"/>
      <c r="AH9191" s="1"/>
      <c r="AI9191" s="1"/>
      <c r="AJ9191" s="1"/>
      <c r="AK9191" s="1"/>
      <c r="AL9191" s="1"/>
      <c r="AM9191" s="1"/>
    </row>
    <row r="9192" spans="1:39" x14ac:dyDescent="0.25">
      <c r="A9192" s="2066"/>
      <c r="B9192" s="2066"/>
      <c r="C9192" s="2066"/>
      <c r="D9192" s="2066"/>
      <c r="E9192" s="2066"/>
      <c r="F9192" s="2066"/>
      <c r="G9192" s="2066"/>
      <c r="H9192" s="2066"/>
      <c r="I9192" s="2066"/>
      <c r="J9192" s="2066"/>
      <c r="K9192" s="2066"/>
      <c r="L9192" s="2066"/>
      <c r="M9192" s="2066"/>
      <c r="N9192" s="2066"/>
      <c r="O9192" s="2066"/>
      <c r="P9192" s="49"/>
      <c r="Q9192" s="1"/>
      <c r="R9192" s="2066"/>
      <c r="S9192" s="1"/>
      <c r="T9192" s="1"/>
      <c r="U9192" s="1"/>
      <c r="V9192" s="1"/>
      <c r="W9192" s="1"/>
      <c r="X9192" s="1"/>
      <c r="Y9192" s="1"/>
      <c r="Z9192" s="2066"/>
      <c r="AA9192" s="2066"/>
      <c r="AB9192" s="1"/>
      <c r="AC9192" s="1"/>
      <c r="AD9192" s="1"/>
      <c r="AE9192" s="1"/>
      <c r="AF9192" s="1"/>
      <c r="AG9192" s="1"/>
      <c r="AH9192" s="1"/>
      <c r="AI9192" s="1"/>
      <c r="AJ9192" s="1"/>
      <c r="AK9192" s="1"/>
      <c r="AL9192" s="1"/>
      <c r="AM9192" s="1"/>
    </row>
    <row r="9193" spans="1:39" x14ac:dyDescent="0.25">
      <c r="A9193" s="2066"/>
      <c r="B9193" s="2066"/>
      <c r="C9193" s="2066"/>
      <c r="D9193" s="2066"/>
      <c r="E9193" s="2066"/>
      <c r="F9193" s="2066"/>
      <c r="G9193" s="2066"/>
      <c r="H9193" s="2066"/>
      <c r="I9193" s="2066"/>
      <c r="J9193" s="2066"/>
      <c r="K9193" s="2066"/>
      <c r="L9193" s="2066"/>
      <c r="M9193" s="2066"/>
      <c r="N9193" s="2066"/>
      <c r="O9193" s="2066"/>
      <c r="P9193" s="49"/>
      <c r="Q9193" s="1"/>
      <c r="R9193" s="2066"/>
      <c r="S9193" s="1"/>
      <c r="T9193" s="1"/>
      <c r="U9193" s="1"/>
      <c r="V9193" s="1"/>
      <c r="W9193" s="1"/>
      <c r="X9193" s="1"/>
      <c r="Y9193" s="1"/>
      <c r="Z9193" s="2066"/>
      <c r="AA9193" s="2066"/>
      <c r="AB9193" s="1"/>
      <c r="AC9193" s="1"/>
      <c r="AD9193" s="1"/>
      <c r="AE9193" s="1"/>
      <c r="AF9193" s="1"/>
      <c r="AG9193" s="1"/>
      <c r="AH9193" s="1"/>
      <c r="AI9193" s="1"/>
      <c r="AJ9193" s="1"/>
      <c r="AK9193" s="1"/>
      <c r="AL9193" s="1"/>
      <c r="AM9193" s="1"/>
    </row>
    <row r="9194" spans="1:39" x14ac:dyDescent="0.25">
      <c r="A9194" s="2066"/>
      <c r="B9194" s="2066"/>
      <c r="C9194" s="2066"/>
      <c r="D9194" s="2066"/>
      <c r="E9194" s="2066"/>
      <c r="F9194" s="2066"/>
      <c r="G9194" s="2066"/>
      <c r="H9194" s="2066"/>
      <c r="I9194" s="2066"/>
      <c r="J9194" s="2066"/>
      <c r="K9194" s="2066"/>
      <c r="L9194" s="2066"/>
      <c r="M9194" s="2066"/>
      <c r="N9194" s="2066"/>
      <c r="O9194" s="2066"/>
      <c r="P9194" s="49"/>
      <c r="Q9194" s="1"/>
      <c r="R9194" s="2066"/>
      <c r="S9194" s="1"/>
      <c r="T9194" s="1"/>
      <c r="U9194" s="1"/>
      <c r="V9194" s="1"/>
      <c r="W9194" s="1"/>
      <c r="X9194" s="1"/>
      <c r="Y9194" s="1"/>
      <c r="Z9194" s="2066"/>
      <c r="AA9194" s="2066"/>
      <c r="AB9194" s="1"/>
      <c r="AC9194" s="1"/>
      <c r="AD9194" s="1"/>
      <c r="AE9194" s="1"/>
      <c r="AF9194" s="1"/>
      <c r="AG9194" s="1"/>
      <c r="AH9194" s="1"/>
      <c r="AI9194" s="1"/>
      <c r="AJ9194" s="1"/>
      <c r="AK9194" s="1"/>
      <c r="AL9194" s="1"/>
      <c r="AM9194" s="1"/>
    </row>
    <row r="9195" spans="1:39" x14ac:dyDescent="0.25">
      <c r="A9195" s="2066"/>
      <c r="B9195" s="2066"/>
      <c r="C9195" s="2066"/>
      <c r="D9195" s="2066"/>
      <c r="E9195" s="2066"/>
      <c r="F9195" s="2066"/>
      <c r="G9195" s="2066"/>
      <c r="H9195" s="2066"/>
      <c r="I9195" s="2066"/>
      <c r="J9195" s="2066"/>
      <c r="K9195" s="2066"/>
      <c r="L9195" s="2066"/>
      <c r="M9195" s="2066"/>
      <c r="N9195" s="2066"/>
      <c r="O9195" s="2066"/>
      <c r="P9195" s="49"/>
      <c r="Q9195" s="1"/>
      <c r="R9195" s="2066"/>
      <c r="S9195" s="1"/>
      <c r="T9195" s="1"/>
      <c r="U9195" s="1"/>
      <c r="V9195" s="1"/>
      <c r="W9195" s="1"/>
      <c r="X9195" s="1"/>
      <c r="Y9195" s="1"/>
      <c r="Z9195" s="2066"/>
      <c r="AA9195" s="2066"/>
      <c r="AB9195" s="1"/>
      <c r="AC9195" s="1"/>
      <c r="AD9195" s="1"/>
      <c r="AE9195" s="1"/>
      <c r="AF9195" s="1"/>
      <c r="AG9195" s="1"/>
      <c r="AH9195" s="1"/>
      <c r="AI9195" s="1"/>
      <c r="AJ9195" s="1"/>
      <c r="AK9195" s="1"/>
      <c r="AL9195" s="1"/>
      <c r="AM9195" s="1"/>
    </row>
    <row r="9196" spans="1:39" x14ac:dyDescent="0.25">
      <c r="A9196" s="2066"/>
      <c r="B9196" s="2066"/>
      <c r="C9196" s="2066"/>
      <c r="D9196" s="2066"/>
      <c r="E9196" s="2066"/>
      <c r="F9196" s="2066"/>
      <c r="G9196" s="2066"/>
      <c r="H9196" s="2066"/>
      <c r="I9196" s="2066"/>
      <c r="J9196" s="2066"/>
      <c r="K9196" s="2066"/>
      <c r="L9196" s="2066"/>
      <c r="M9196" s="2066"/>
      <c r="N9196" s="2066"/>
      <c r="O9196" s="2066"/>
      <c r="P9196" s="49"/>
      <c r="Q9196" s="1"/>
      <c r="R9196" s="2066"/>
      <c r="S9196" s="1"/>
      <c r="T9196" s="1"/>
      <c r="U9196" s="1"/>
      <c r="V9196" s="1"/>
      <c r="W9196" s="1"/>
      <c r="X9196" s="1"/>
      <c r="Y9196" s="1"/>
      <c r="Z9196" s="2066"/>
      <c r="AA9196" s="2066"/>
      <c r="AB9196" s="1"/>
      <c r="AC9196" s="1"/>
      <c r="AD9196" s="1"/>
      <c r="AE9196" s="1"/>
      <c r="AF9196" s="1"/>
      <c r="AG9196" s="1"/>
      <c r="AH9196" s="1"/>
      <c r="AI9196" s="1"/>
      <c r="AJ9196" s="1"/>
      <c r="AK9196" s="1"/>
      <c r="AL9196" s="1"/>
      <c r="AM9196" s="1"/>
    </row>
    <row r="9197" spans="1:39" x14ac:dyDescent="0.25">
      <c r="A9197" s="2066"/>
      <c r="B9197" s="2066"/>
      <c r="C9197" s="2066"/>
      <c r="D9197" s="2066"/>
      <c r="E9197" s="2066"/>
      <c r="F9197" s="2066"/>
      <c r="G9197" s="2066"/>
      <c r="H9197" s="2066"/>
      <c r="I9197" s="2066"/>
      <c r="J9197" s="2066"/>
      <c r="K9197" s="2066"/>
      <c r="L9197" s="2066"/>
      <c r="M9197" s="2066"/>
      <c r="N9197" s="2066"/>
      <c r="O9197" s="2066"/>
      <c r="P9197" s="49"/>
      <c r="Q9197" s="1"/>
      <c r="R9197" s="2066"/>
      <c r="S9197" s="1"/>
      <c r="T9197" s="1"/>
      <c r="U9197" s="1"/>
      <c r="V9197" s="1"/>
      <c r="W9197" s="1"/>
      <c r="X9197" s="1"/>
      <c r="Y9197" s="1"/>
      <c r="Z9197" s="2066"/>
      <c r="AA9197" s="2066"/>
      <c r="AB9197" s="1"/>
      <c r="AC9197" s="1"/>
      <c r="AD9197" s="1"/>
      <c r="AE9197" s="1"/>
      <c r="AF9197" s="1"/>
      <c r="AG9197" s="1"/>
      <c r="AH9197" s="1"/>
      <c r="AI9197" s="1"/>
      <c r="AJ9197" s="1"/>
      <c r="AK9197" s="1"/>
      <c r="AL9197" s="1"/>
      <c r="AM9197" s="1"/>
    </row>
    <row r="9198" spans="1:39" x14ac:dyDescent="0.25">
      <c r="A9198" s="2066"/>
      <c r="B9198" s="2066"/>
      <c r="C9198" s="2066"/>
      <c r="D9198" s="2066"/>
      <c r="E9198" s="2066"/>
      <c r="F9198" s="2066"/>
      <c r="G9198" s="2066"/>
      <c r="H9198" s="2066"/>
      <c r="I9198" s="2066"/>
      <c r="J9198" s="2066"/>
      <c r="K9198" s="2066"/>
      <c r="L9198" s="2066"/>
      <c r="M9198" s="2066"/>
      <c r="N9198" s="2066"/>
      <c r="O9198" s="2066"/>
      <c r="P9198" s="49"/>
      <c r="Q9198" s="1"/>
      <c r="R9198" s="2066"/>
      <c r="S9198" s="1"/>
      <c r="T9198" s="1"/>
      <c r="U9198" s="1"/>
      <c r="V9198" s="1"/>
      <c r="W9198" s="1"/>
      <c r="X9198" s="1"/>
      <c r="Y9198" s="1"/>
      <c r="Z9198" s="2066"/>
      <c r="AA9198" s="2066"/>
      <c r="AB9198" s="1"/>
      <c r="AC9198" s="1"/>
      <c r="AD9198" s="1"/>
      <c r="AE9198" s="1"/>
      <c r="AF9198" s="1"/>
      <c r="AG9198" s="1"/>
      <c r="AH9198" s="1"/>
      <c r="AI9198" s="1"/>
      <c r="AJ9198" s="1"/>
      <c r="AK9198" s="1"/>
      <c r="AL9198" s="1"/>
      <c r="AM9198" s="1"/>
    </row>
    <row r="9199" spans="1:39" x14ac:dyDescent="0.25">
      <c r="A9199" s="2066"/>
      <c r="B9199" s="2066"/>
      <c r="C9199" s="2066"/>
      <c r="D9199" s="2066"/>
      <c r="E9199" s="2066"/>
      <c r="F9199" s="2066"/>
      <c r="G9199" s="2066"/>
      <c r="H9199" s="2066"/>
      <c r="I9199" s="2066"/>
      <c r="J9199" s="2066"/>
      <c r="K9199" s="2066"/>
      <c r="L9199" s="2066"/>
      <c r="M9199" s="2066"/>
      <c r="N9199" s="2066"/>
      <c r="O9199" s="2066"/>
      <c r="P9199" s="49"/>
      <c r="Q9199" s="1"/>
      <c r="R9199" s="2066"/>
      <c r="S9199" s="1"/>
      <c r="T9199" s="1"/>
      <c r="U9199" s="1"/>
      <c r="V9199" s="1"/>
      <c r="W9199" s="1"/>
      <c r="X9199" s="1"/>
      <c r="Y9199" s="1"/>
      <c r="Z9199" s="2066"/>
      <c r="AA9199" s="2066"/>
      <c r="AB9199" s="1"/>
      <c r="AC9199" s="1"/>
      <c r="AD9199" s="1"/>
      <c r="AE9199" s="1"/>
      <c r="AF9199" s="1"/>
      <c r="AG9199" s="1"/>
      <c r="AH9199" s="1"/>
      <c r="AI9199" s="1"/>
      <c r="AJ9199" s="1"/>
      <c r="AK9199" s="1"/>
      <c r="AL9199" s="1"/>
      <c r="AM9199" s="1"/>
    </row>
    <row r="9200" spans="1:39" x14ac:dyDescent="0.25">
      <c r="A9200" s="2066"/>
      <c r="B9200" s="2066"/>
      <c r="C9200" s="2066"/>
      <c r="D9200" s="2066"/>
      <c r="E9200" s="2066"/>
      <c r="F9200" s="2066"/>
      <c r="G9200" s="2066"/>
      <c r="H9200" s="2066"/>
      <c r="I9200" s="2066"/>
      <c r="J9200" s="2066"/>
      <c r="K9200" s="2066"/>
      <c r="L9200" s="2066"/>
      <c r="M9200" s="2066"/>
      <c r="N9200" s="2066"/>
      <c r="O9200" s="2066"/>
      <c r="P9200" s="49"/>
      <c r="Q9200" s="1"/>
      <c r="R9200" s="2066"/>
      <c r="S9200" s="1"/>
      <c r="T9200" s="1"/>
      <c r="U9200" s="1"/>
      <c r="V9200" s="1"/>
      <c r="W9200" s="1"/>
      <c r="X9200" s="1"/>
      <c r="Y9200" s="1"/>
      <c r="Z9200" s="2066"/>
      <c r="AA9200" s="2066"/>
      <c r="AB9200" s="1"/>
      <c r="AC9200" s="1"/>
      <c r="AD9200" s="1"/>
      <c r="AE9200" s="1"/>
      <c r="AF9200" s="1"/>
      <c r="AG9200" s="1"/>
      <c r="AH9200" s="1"/>
      <c r="AI9200" s="1"/>
      <c r="AJ9200" s="1"/>
      <c r="AK9200" s="1"/>
      <c r="AL9200" s="1"/>
      <c r="AM9200" s="1"/>
    </row>
    <row r="9201" spans="1:39" x14ac:dyDescent="0.25">
      <c r="A9201" s="2066"/>
      <c r="B9201" s="2066"/>
      <c r="C9201" s="2066"/>
      <c r="D9201" s="2066"/>
      <c r="E9201" s="2066"/>
      <c r="F9201" s="2066"/>
      <c r="G9201" s="2066"/>
      <c r="H9201" s="2066"/>
      <c r="I9201" s="2066"/>
      <c r="J9201" s="2066"/>
      <c r="K9201" s="2066"/>
      <c r="L9201" s="2066"/>
      <c r="M9201" s="2066"/>
      <c r="N9201" s="2066"/>
      <c r="O9201" s="2066"/>
      <c r="P9201" s="49"/>
      <c r="Q9201" s="1"/>
      <c r="R9201" s="2066"/>
      <c r="S9201" s="1"/>
      <c r="T9201" s="1"/>
      <c r="U9201" s="1"/>
      <c r="V9201" s="1"/>
      <c r="W9201" s="1"/>
      <c r="X9201" s="1"/>
      <c r="Y9201" s="1"/>
      <c r="Z9201" s="2066"/>
      <c r="AA9201" s="2066"/>
      <c r="AB9201" s="1"/>
      <c r="AC9201" s="1"/>
      <c r="AD9201" s="1"/>
      <c r="AE9201" s="1"/>
      <c r="AF9201" s="1"/>
      <c r="AG9201" s="1"/>
      <c r="AH9201" s="1"/>
      <c r="AI9201" s="1"/>
      <c r="AJ9201" s="1"/>
      <c r="AK9201" s="1"/>
      <c r="AL9201" s="1"/>
      <c r="AM9201" s="1"/>
    </row>
    <row r="9202" spans="1:39" x14ac:dyDescent="0.25">
      <c r="A9202" s="2066"/>
      <c r="B9202" s="2066"/>
      <c r="C9202" s="2066"/>
      <c r="D9202" s="2066"/>
      <c r="E9202" s="2066"/>
      <c r="F9202" s="2066"/>
      <c r="G9202" s="2066"/>
      <c r="H9202" s="2066"/>
      <c r="I9202" s="2066"/>
      <c r="J9202" s="2066"/>
      <c r="K9202" s="2066"/>
      <c r="L9202" s="2066"/>
      <c r="M9202" s="2066"/>
      <c r="N9202" s="2066"/>
      <c r="O9202" s="2066"/>
      <c r="P9202" s="49"/>
      <c r="Q9202" s="1"/>
      <c r="R9202" s="2066"/>
      <c r="S9202" s="1"/>
      <c r="T9202" s="1"/>
      <c r="U9202" s="1"/>
      <c r="V9202" s="1"/>
      <c r="W9202" s="1"/>
      <c r="X9202" s="1"/>
      <c r="Y9202" s="1"/>
      <c r="Z9202" s="2066"/>
      <c r="AA9202" s="2066"/>
      <c r="AB9202" s="1"/>
      <c r="AC9202" s="1"/>
      <c r="AD9202" s="1"/>
      <c r="AE9202" s="1"/>
      <c r="AF9202" s="1"/>
      <c r="AG9202" s="1"/>
      <c r="AH9202" s="1"/>
      <c r="AI9202" s="1"/>
      <c r="AJ9202" s="1"/>
      <c r="AK9202" s="1"/>
      <c r="AL9202" s="1"/>
      <c r="AM9202" s="1"/>
    </row>
    <row r="9203" spans="1:39" x14ac:dyDescent="0.25">
      <c r="A9203" s="2066"/>
      <c r="B9203" s="2066"/>
      <c r="C9203" s="2066"/>
      <c r="D9203" s="2066"/>
      <c r="E9203" s="2066"/>
      <c r="F9203" s="2066"/>
      <c r="G9203" s="2066"/>
      <c r="H9203" s="2066"/>
      <c r="I9203" s="2066"/>
      <c r="J9203" s="2066"/>
      <c r="K9203" s="2066"/>
      <c r="L9203" s="2066"/>
      <c r="M9203" s="2066"/>
      <c r="N9203" s="2066"/>
      <c r="O9203" s="2066"/>
      <c r="P9203" s="49"/>
      <c r="Q9203" s="1"/>
      <c r="R9203" s="2066"/>
      <c r="S9203" s="1"/>
      <c r="T9203" s="1"/>
      <c r="U9203" s="1"/>
      <c r="V9203" s="1"/>
      <c r="W9203" s="1"/>
      <c r="X9203" s="1"/>
      <c r="Y9203" s="1"/>
      <c r="Z9203" s="2066"/>
      <c r="AA9203" s="2066"/>
      <c r="AB9203" s="1"/>
      <c r="AC9203" s="1"/>
      <c r="AD9203" s="1"/>
      <c r="AE9203" s="1"/>
      <c r="AF9203" s="1"/>
      <c r="AG9203" s="1"/>
      <c r="AH9203" s="1"/>
      <c r="AI9203" s="1"/>
      <c r="AJ9203" s="1"/>
      <c r="AK9203" s="1"/>
      <c r="AL9203" s="1"/>
      <c r="AM9203" s="1"/>
    </row>
    <row r="9204" spans="1:39" x14ac:dyDescent="0.25">
      <c r="A9204" s="2066"/>
      <c r="B9204" s="2066"/>
      <c r="C9204" s="2066"/>
      <c r="D9204" s="2066"/>
      <c r="E9204" s="2066"/>
      <c r="F9204" s="2066"/>
      <c r="G9204" s="2066"/>
      <c r="H9204" s="2066"/>
      <c r="I9204" s="2066"/>
      <c r="J9204" s="2066"/>
      <c r="K9204" s="2066"/>
      <c r="L9204" s="2066"/>
      <c r="M9204" s="2066"/>
      <c r="N9204" s="2066"/>
      <c r="O9204" s="2066"/>
      <c r="P9204" s="49"/>
      <c r="Q9204" s="1"/>
      <c r="R9204" s="2066"/>
      <c r="S9204" s="1"/>
      <c r="T9204" s="1"/>
      <c r="U9204" s="1"/>
      <c r="V9204" s="1"/>
      <c r="W9204" s="1"/>
      <c r="X9204" s="1"/>
      <c r="Y9204" s="1"/>
      <c r="Z9204" s="2066"/>
      <c r="AA9204" s="2066"/>
      <c r="AB9204" s="1"/>
      <c r="AC9204" s="1"/>
      <c r="AD9204" s="1"/>
      <c r="AE9204" s="1"/>
      <c r="AF9204" s="1"/>
      <c r="AG9204" s="1"/>
      <c r="AH9204" s="1"/>
      <c r="AI9204" s="1"/>
      <c r="AJ9204" s="1"/>
      <c r="AK9204" s="1"/>
      <c r="AL9204" s="1"/>
      <c r="AM9204" s="1"/>
    </row>
    <row r="9205" spans="1:39" x14ac:dyDescent="0.25">
      <c r="A9205" s="2066"/>
      <c r="B9205" s="2066"/>
      <c r="C9205" s="2066"/>
      <c r="D9205" s="2066"/>
      <c r="E9205" s="2066"/>
      <c r="F9205" s="2066"/>
      <c r="G9205" s="2066"/>
      <c r="H9205" s="2066"/>
      <c r="I9205" s="2066"/>
      <c r="J9205" s="2066"/>
      <c r="K9205" s="2066"/>
      <c r="L9205" s="2066"/>
      <c r="M9205" s="2066"/>
      <c r="N9205" s="2066"/>
      <c r="O9205" s="2066"/>
      <c r="P9205" s="49"/>
      <c r="Q9205" s="1"/>
      <c r="R9205" s="2066"/>
      <c r="S9205" s="1"/>
      <c r="T9205" s="1"/>
      <c r="U9205" s="1"/>
      <c r="V9205" s="1"/>
      <c r="W9205" s="1"/>
      <c r="X9205" s="1"/>
      <c r="Y9205" s="1"/>
      <c r="Z9205" s="2066"/>
      <c r="AA9205" s="2066"/>
      <c r="AB9205" s="1"/>
      <c r="AC9205" s="1"/>
      <c r="AD9205" s="1"/>
      <c r="AE9205" s="1"/>
      <c r="AF9205" s="1"/>
      <c r="AG9205" s="1"/>
      <c r="AH9205" s="1"/>
      <c r="AI9205" s="1"/>
      <c r="AJ9205" s="1"/>
      <c r="AK9205" s="1"/>
      <c r="AL9205" s="1"/>
      <c r="AM9205" s="1"/>
    </row>
    <row r="9206" spans="1:39" x14ac:dyDescent="0.25">
      <c r="A9206" s="2066"/>
      <c r="B9206" s="2066"/>
      <c r="C9206" s="2066"/>
      <c r="D9206" s="2066"/>
      <c r="E9206" s="2066"/>
      <c r="F9206" s="2066"/>
      <c r="G9206" s="2066"/>
      <c r="H9206" s="2066"/>
      <c r="I9206" s="2066"/>
      <c r="J9206" s="2066"/>
      <c r="K9206" s="2066"/>
      <c r="L9206" s="2066"/>
      <c r="M9206" s="2066"/>
      <c r="N9206" s="2066"/>
      <c r="O9206" s="2066"/>
      <c r="P9206" s="49"/>
      <c r="Q9206" s="1"/>
      <c r="R9206" s="2066"/>
      <c r="S9206" s="1"/>
      <c r="T9206" s="1"/>
      <c r="U9206" s="1"/>
      <c r="V9206" s="1"/>
      <c r="W9206" s="1"/>
      <c r="X9206" s="1"/>
      <c r="Y9206" s="1"/>
      <c r="Z9206" s="2066"/>
      <c r="AA9206" s="2066"/>
      <c r="AB9206" s="1"/>
      <c r="AC9206" s="1"/>
      <c r="AD9206" s="1"/>
      <c r="AE9206" s="1"/>
      <c r="AF9206" s="1"/>
      <c r="AG9206" s="1"/>
      <c r="AH9206" s="1"/>
      <c r="AI9206" s="1"/>
      <c r="AJ9206" s="1"/>
      <c r="AK9206" s="1"/>
      <c r="AL9206" s="1"/>
      <c r="AM9206" s="1"/>
    </row>
    <row r="9207" spans="1:39" x14ac:dyDescent="0.25">
      <c r="A9207" s="2066"/>
      <c r="B9207" s="2066"/>
      <c r="C9207" s="2066"/>
      <c r="D9207" s="2066"/>
      <c r="E9207" s="2066"/>
      <c r="F9207" s="2066"/>
      <c r="G9207" s="2066"/>
      <c r="H9207" s="2066"/>
      <c r="I9207" s="2066"/>
      <c r="J9207" s="2066"/>
      <c r="K9207" s="2066"/>
      <c r="L9207" s="2066"/>
      <c r="M9207" s="2066"/>
      <c r="N9207" s="2066"/>
      <c r="O9207" s="2066"/>
      <c r="P9207" s="49"/>
      <c r="Q9207" s="1"/>
      <c r="R9207" s="2066"/>
      <c r="S9207" s="1"/>
      <c r="T9207" s="1"/>
      <c r="U9207" s="1"/>
      <c r="V9207" s="1"/>
      <c r="W9207" s="1"/>
      <c r="X9207" s="1"/>
      <c r="Y9207" s="1"/>
      <c r="Z9207" s="2066"/>
      <c r="AA9207" s="2066"/>
      <c r="AB9207" s="1"/>
      <c r="AC9207" s="1"/>
      <c r="AD9207" s="1"/>
      <c r="AE9207" s="1"/>
      <c r="AF9207" s="1"/>
      <c r="AG9207" s="1"/>
      <c r="AH9207" s="1"/>
      <c r="AI9207" s="1"/>
      <c r="AJ9207" s="1"/>
      <c r="AK9207" s="1"/>
      <c r="AL9207" s="1"/>
      <c r="AM9207" s="1"/>
    </row>
    <row r="9208" spans="1:39" x14ac:dyDescent="0.25">
      <c r="A9208" s="2066"/>
      <c r="B9208" s="2066"/>
      <c r="C9208" s="2066"/>
      <c r="D9208" s="2066"/>
      <c r="E9208" s="2066"/>
      <c r="F9208" s="2066"/>
      <c r="G9208" s="2066"/>
      <c r="H9208" s="2066"/>
      <c r="I9208" s="2066"/>
      <c r="J9208" s="2066"/>
      <c r="K9208" s="2066"/>
      <c r="L9208" s="2066"/>
      <c r="M9208" s="2066"/>
      <c r="N9208" s="2066"/>
      <c r="O9208" s="2066"/>
      <c r="P9208" s="49"/>
      <c r="Q9208" s="1"/>
      <c r="R9208" s="2066"/>
      <c r="S9208" s="1"/>
      <c r="T9208" s="1"/>
      <c r="U9208" s="1"/>
      <c r="V9208" s="1"/>
      <c r="W9208" s="1"/>
      <c r="X9208" s="1"/>
      <c r="Y9208" s="1"/>
      <c r="Z9208" s="2066"/>
      <c r="AA9208" s="2066"/>
      <c r="AB9208" s="1"/>
      <c r="AC9208" s="1"/>
      <c r="AD9208" s="1"/>
      <c r="AE9208" s="1"/>
      <c r="AF9208" s="1"/>
      <c r="AG9208" s="1"/>
      <c r="AH9208" s="1"/>
      <c r="AI9208" s="1"/>
      <c r="AJ9208" s="1"/>
      <c r="AK9208" s="1"/>
      <c r="AL9208" s="1"/>
      <c r="AM9208" s="1"/>
    </row>
    <row r="9209" spans="1:39" x14ac:dyDescent="0.25">
      <c r="A9209" s="2066"/>
      <c r="B9209" s="2066"/>
      <c r="C9209" s="2066"/>
      <c r="D9209" s="2066"/>
      <c r="E9209" s="2066"/>
      <c r="F9209" s="2066"/>
      <c r="G9209" s="2066"/>
      <c r="H9209" s="2066"/>
      <c r="I9209" s="2066"/>
      <c r="J9209" s="2066"/>
      <c r="K9209" s="2066"/>
      <c r="L9209" s="2066"/>
      <c r="M9209" s="2066"/>
      <c r="N9209" s="2066"/>
      <c r="O9209" s="2066"/>
      <c r="P9209" s="49"/>
      <c r="Q9209" s="1"/>
      <c r="R9209" s="2066"/>
      <c r="S9209" s="1"/>
      <c r="T9209" s="1"/>
      <c r="U9209" s="1"/>
      <c r="V9209" s="1"/>
      <c r="W9209" s="1"/>
      <c r="X9209" s="1"/>
      <c r="Y9209" s="1"/>
      <c r="Z9209" s="2066"/>
      <c r="AA9209" s="2066"/>
      <c r="AB9209" s="1"/>
      <c r="AC9209" s="1"/>
      <c r="AD9209" s="1"/>
      <c r="AE9209" s="1"/>
      <c r="AF9209" s="1"/>
      <c r="AG9209" s="1"/>
      <c r="AH9209" s="1"/>
      <c r="AI9209" s="1"/>
      <c r="AJ9209" s="1"/>
      <c r="AK9209" s="1"/>
      <c r="AL9209" s="1"/>
      <c r="AM9209" s="1"/>
    </row>
    <row r="9210" spans="1:39" x14ac:dyDescent="0.25">
      <c r="A9210" s="2066"/>
      <c r="B9210" s="2066"/>
      <c r="C9210" s="2066"/>
      <c r="D9210" s="2066"/>
      <c r="E9210" s="2066"/>
      <c r="F9210" s="2066"/>
      <c r="G9210" s="2066"/>
      <c r="H9210" s="2066"/>
      <c r="I9210" s="2066"/>
      <c r="J9210" s="2066"/>
      <c r="K9210" s="2066"/>
      <c r="L9210" s="2066"/>
      <c r="M9210" s="2066"/>
      <c r="N9210" s="2066"/>
      <c r="O9210" s="2066"/>
      <c r="P9210" s="49"/>
      <c r="Q9210" s="1"/>
      <c r="R9210" s="2066"/>
      <c r="S9210" s="1"/>
      <c r="T9210" s="1"/>
      <c r="U9210" s="1"/>
      <c r="V9210" s="1"/>
      <c r="W9210" s="1"/>
      <c r="X9210" s="1"/>
      <c r="Y9210" s="1"/>
      <c r="Z9210" s="2066"/>
      <c r="AA9210" s="2066"/>
      <c r="AB9210" s="1"/>
      <c r="AC9210" s="1"/>
      <c r="AD9210" s="1"/>
      <c r="AE9210" s="1"/>
      <c r="AF9210" s="1"/>
      <c r="AG9210" s="1"/>
      <c r="AH9210" s="1"/>
      <c r="AI9210" s="1"/>
      <c r="AJ9210" s="1"/>
      <c r="AK9210" s="1"/>
      <c r="AL9210" s="1"/>
      <c r="AM9210" s="1"/>
    </row>
    <row r="9211" spans="1:39" x14ac:dyDescent="0.25">
      <c r="A9211" s="2066"/>
      <c r="B9211" s="2066"/>
      <c r="C9211" s="2066"/>
      <c r="D9211" s="2066"/>
      <c r="E9211" s="2066"/>
      <c r="F9211" s="2066"/>
      <c r="G9211" s="2066"/>
      <c r="H9211" s="2066"/>
      <c r="I9211" s="2066"/>
      <c r="J9211" s="2066"/>
      <c r="K9211" s="2066"/>
      <c r="L9211" s="2066"/>
      <c r="M9211" s="2066"/>
      <c r="N9211" s="2066"/>
      <c r="O9211" s="2066"/>
      <c r="P9211" s="49"/>
      <c r="Q9211" s="1"/>
      <c r="R9211" s="2066"/>
      <c r="S9211" s="1"/>
      <c r="T9211" s="1"/>
      <c r="U9211" s="1"/>
      <c r="V9211" s="1"/>
      <c r="W9211" s="1"/>
      <c r="X9211" s="1"/>
      <c r="Y9211" s="1"/>
      <c r="Z9211" s="2066"/>
      <c r="AA9211" s="2066"/>
      <c r="AB9211" s="1"/>
      <c r="AC9211" s="1"/>
      <c r="AD9211" s="1"/>
      <c r="AE9211" s="1"/>
      <c r="AF9211" s="1"/>
      <c r="AG9211" s="1"/>
      <c r="AH9211" s="1"/>
      <c r="AI9211" s="1"/>
      <c r="AJ9211" s="1"/>
      <c r="AK9211" s="1"/>
      <c r="AL9211" s="1"/>
      <c r="AM9211" s="1"/>
    </row>
    <row r="9212" spans="1:39" x14ac:dyDescent="0.25">
      <c r="A9212" s="2066"/>
      <c r="B9212" s="2066"/>
      <c r="C9212" s="2066"/>
      <c r="D9212" s="2066"/>
      <c r="E9212" s="2066"/>
      <c r="F9212" s="2066"/>
      <c r="G9212" s="2066"/>
      <c r="H9212" s="2066"/>
      <c r="I9212" s="2066"/>
      <c r="J9212" s="2066"/>
      <c r="K9212" s="2066"/>
      <c r="L9212" s="2066"/>
      <c r="M9212" s="2066"/>
      <c r="N9212" s="2066"/>
      <c r="O9212" s="2066"/>
      <c r="P9212" s="49"/>
      <c r="Q9212" s="1"/>
      <c r="R9212" s="2066"/>
      <c r="S9212" s="1"/>
      <c r="T9212" s="1"/>
      <c r="U9212" s="1"/>
      <c r="V9212" s="1"/>
      <c r="W9212" s="1"/>
      <c r="X9212" s="1"/>
      <c r="Y9212" s="1"/>
      <c r="Z9212" s="2066"/>
      <c r="AA9212" s="2066"/>
      <c r="AB9212" s="1"/>
      <c r="AC9212" s="1"/>
      <c r="AD9212" s="1"/>
      <c r="AE9212" s="1"/>
      <c r="AF9212" s="1"/>
      <c r="AG9212" s="1"/>
      <c r="AH9212" s="1"/>
      <c r="AI9212" s="1"/>
      <c r="AJ9212" s="1"/>
      <c r="AK9212" s="1"/>
      <c r="AL9212" s="1"/>
      <c r="AM9212" s="1"/>
    </row>
    <row r="9213" spans="1:39" x14ac:dyDescent="0.25">
      <c r="A9213" s="2066"/>
      <c r="B9213" s="2066"/>
      <c r="C9213" s="2066"/>
      <c r="D9213" s="2066"/>
      <c r="E9213" s="2066"/>
      <c r="F9213" s="2066"/>
      <c r="G9213" s="2066"/>
      <c r="H9213" s="2066"/>
      <c r="I9213" s="2066"/>
      <c r="J9213" s="2066"/>
      <c r="K9213" s="2066"/>
      <c r="L9213" s="2066"/>
      <c r="M9213" s="2066"/>
      <c r="N9213" s="2066"/>
      <c r="O9213" s="2066"/>
      <c r="P9213" s="49"/>
      <c r="Q9213" s="1"/>
      <c r="R9213" s="2066"/>
      <c r="S9213" s="1"/>
      <c r="T9213" s="1"/>
      <c r="U9213" s="1"/>
      <c r="V9213" s="1"/>
      <c r="W9213" s="1"/>
      <c r="X9213" s="1"/>
      <c r="Y9213" s="1"/>
      <c r="Z9213" s="2066"/>
      <c r="AA9213" s="2066"/>
      <c r="AB9213" s="1"/>
      <c r="AC9213" s="1"/>
      <c r="AD9213" s="1"/>
      <c r="AE9213" s="1"/>
      <c r="AF9213" s="1"/>
      <c r="AG9213" s="1"/>
      <c r="AH9213" s="1"/>
      <c r="AI9213" s="1"/>
      <c r="AJ9213" s="1"/>
      <c r="AK9213" s="1"/>
      <c r="AL9213" s="1"/>
      <c r="AM9213" s="1"/>
    </row>
    <row r="9214" spans="1:39" x14ac:dyDescent="0.25">
      <c r="A9214" s="2066"/>
      <c r="B9214" s="2066"/>
      <c r="C9214" s="2066"/>
      <c r="D9214" s="2066"/>
      <c r="E9214" s="2066"/>
      <c r="F9214" s="2066"/>
      <c r="G9214" s="2066"/>
      <c r="H9214" s="2066"/>
      <c r="I9214" s="2066"/>
      <c r="J9214" s="2066"/>
      <c r="K9214" s="2066"/>
      <c r="L9214" s="2066"/>
      <c r="M9214" s="2066"/>
      <c r="N9214" s="2066"/>
      <c r="O9214" s="2066"/>
      <c r="P9214" s="49"/>
      <c r="Q9214" s="1"/>
      <c r="R9214" s="2066"/>
      <c r="S9214" s="1"/>
      <c r="T9214" s="1"/>
      <c r="U9214" s="1"/>
      <c r="V9214" s="1"/>
      <c r="W9214" s="1"/>
      <c r="X9214" s="1"/>
      <c r="Y9214" s="1"/>
      <c r="Z9214" s="2066"/>
      <c r="AA9214" s="2066"/>
      <c r="AB9214" s="1"/>
      <c r="AC9214" s="1"/>
      <c r="AD9214" s="1"/>
      <c r="AE9214" s="1"/>
      <c r="AF9214" s="1"/>
      <c r="AG9214" s="1"/>
      <c r="AH9214" s="1"/>
      <c r="AI9214" s="1"/>
      <c r="AJ9214" s="1"/>
      <c r="AK9214" s="1"/>
      <c r="AL9214" s="1"/>
      <c r="AM9214" s="1"/>
    </row>
    <row r="9215" spans="1:39" x14ac:dyDescent="0.25">
      <c r="A9215" s="2066"/>
      <c r="B9215" s="2066"/>
      <c r="C9215" s="2066"/>
      <c r="D9215" s="2066"/>
      <c r="E9215" s="2066"/>
      <c r="F9215" s="2066"/>
      <c r="G9215" s="2066"/>
      <c r="H9215" s="2066"/>
      <c r="I9215" s="2066"/>
      <c r="J9215" s="2066"/>
      <c r="K9215" s="2066"/>
      <c r="L9215" s="2066"/>
      <c r="M9215" s="2066"/>
      <c r="N9215" s="2066"/>
      <c r="O9215" s="2066"/>
      <c r="P9215" s="49"/>
      <c r="Q9215" s="1"/>
      <c r="R9215" s="2066"/>
      <c r="S9215" s="1"/>
      <c r="T9215" s="1"/>
      <c r="U9215" s="1"/>
      <c r="V9215" s="1"/>
      <c r="W9215" s="1"/>
      <c r="X9215" s="1"/>
      <c r="Y9215" s="1"/>
      <c r="Z9215" s="2066"/>
      <c r="AA9215" s="2066"/>
      <c r="AB9215" s="1"/>
      <c r="AC9215" s="1"/>
      <c r="AD9215" s="1"/>
      <c r="AE9215" s="1"/>
      <c r="AF9215" s="1"/>
      <c r="AG9215" s="1"/>
      <c r="AH9215" s="1"/>
      <c r="AI9215" s="1"/>
      <c r="AJ9215" s="1"/>
      <c r="AK9215" s="1"/>
      <c r="AL9215" s="1"/>
      <c r="AM9215" s="1"/>
    </row>
    <row r="9216" spans="1:39" x14ac:dyDescent="0.25">
      <c r="A9216" s="2066"/>
      <c r="B9216" s="2066"/>
      <c r="C9216" s="2066"/>
      <c r="D9216" s="2066"/>
      <c r="E9216" s="2066"/>
      <c r="F9216" s="2066"/>
      <c r="G9216" s="2066"/>
      <c r="H9216" s="2066"/>
      <c r="I9216" s="2066"/>
      <c r="J9216" s="2066"/>
      <c r="K9216" s="2066"/>
      <c r="L9216" s="2066"/>
      <c r="M9216" s="2066"/>
      <c r="N9216" s="2066"/>
      <c r="O9216" s="2066"/>
      <c r="P9216" s="49"/>
      <c r="Q9216" s="1"/>
      <c r="R9216" s="2066"/>
      <c r="S9216" s="1"/>
      <c r="T9216" s="1"/>
      <c r="U9216" s="1"/>
      <c r="V9216" s="1"/>
      <c r="W9216" s="1"/>
      <c r="X9216" s="1"/>
      <c r="Y9216" s="1"/>
      <c r="Z9216" s="2066"/>
      <c r="AA9216" s="2066"/>
      <c r="AB9216" s="1"/>
      <c r="AC9216" s="1"/>
      <c r="AD9216" s="1"/>
      <c r="AE9216" s="1"/>
      <c r="AF9216" s="1"/>
      <c r="AG9216" s="1"/>
      <c r="AH9216" s="1"/>
      <c r="AI9216" s="1"/>
      <c r="AJ9216" s="1"/>
      <c r="AK9216" s="1"/>
      <c r="AL9216" s="1"/>
      <c r="AM9216" s="1"/>
    </row>
    <row r="9217" spans="1:39" x14ac:dyDescent="0.25">
      <c r="A9217" s="2066"/>
      <c r="B9217" s="2066"/>
      <c r="C9217" s="2066"/>
      <c r="D9217" s="2066"/>
      <c r="E9217" s="2066"/>
      <c r="F9217" s="2066"/>
      <c r="G9217" s="2066"/>
      <c r="H9217" s="2066"/>
      <c r="I9217" s="2066"/>
      <c r="J9217" s="2066"/>
      <c r="K9217" s="2066"/>
      <c r="L9217" s="2066"/>
      <c r="M9217" s="2066"/>
      <c r="N9217" s="2066"/>
      <c r="O9217" s="2066"/>
      <c r="P9217" s="49"/>
      <c r="Q9217" s="1"/>
      <c r="R9217" s="2066"/>
      <c r="S9217" s="1"/>
      <c r="T9217" s="1"/>
      <c r="U9217" s="1"/>
      <c r="V9217" s="1"/>
      <c r="W9217" s="1"/>
      <c r="X9217" s="1"/>
      <c r="Y9217" s="1"/>
      <c r="Z9217" s="2066"/>
      <c r="AA9217" s="2066"/>
      <c r="AB9217" s="1"/>
      <c r="AC9217" s="1"/>
      <c r="AD9217" s="1"/>
      <c r="AE9217" s="1"/>
      <c r="AF9217" s="1"/>
      <c r="AG9217" s="1"/>
      <c r="AH9217" s="1"/>
      <c r="AI9217" s="1"/>
      <c r="AJ9217" s="1"/>
      <c r="AK9217" s="1"/>
      <c r="AL9217" s="1"/>
      <c r="AM9217" s="1"/>
    </row>
    <row r="9218" spans="1:39" x14ac:dyDescent="0.25">
      <c r="A9218" s="2066"/>
      <c r="B9218" s="2066"/>
      <c r="C9218" s="2066"/>
      <c r="D9218" s="2066"/>
      <c r="E9218" s="2066"/>
      <c r="F9218" s="2066"/>
      <c r="G9218" s="2066"/>
      <c r="H9218" s="2066"/>
      <c r="I9218" s="2066"/>
      <c r="J9218" s="2066"/>
      <c r="K9218" s="2066"/>
      <c r="L9218" s="2066"/>
      <c r="M9218" s="2066"/>
      <c r="N9218" s="2066"/>
      <c r="O9218" s="2066"/>
      <c r="P9218" s="49"/>
      <c r="Q9218" s="1"/>
      <c r="R9218" s="2066"/>
      <c r="S9218" s="1"/>
      <c r="T9218" s="1"/>
      <c r="U9218" s="1"/>
      <c r="V9218" s="1"/>
      <c r="W9218" s="1"/>
      <c r="X9218" s="1"/>
      <c r="Y9218" s="1"/>
      <c r="Z9218" s="2066"/>
      <c r="AA9218" s="2066"/>
      <c r="AB9218" s="1"/>
      <c r="AC9218" s="1"/>
      <c r="AD9218" s="1"/>
      <c r="AE9218" s="1"/>
      <c r="AF9218" s="1"/>
      <c r="AG9218" s="1"/>
      <c r="AH9218" s="1"/>
      <c r="AI9218" s="1"/>
      <c r="AJ9218" s="1"/>
      <c r="AK9218" s="1"/>
      <c r="AL9218" s="1"/>
      <c r="AM9218" s="1"/>
    </row>
    <row r="9219" spans="1:39" x14ac:dyDescent="0.25">
      <c r="A9219" s="2066"/>
      <c r="B9219" s="2066"/>
      <c r="C9219" s="2066"/>
      <c r="D9219" s="2066"/>
      <c r="E9219" s="2066"/>
      <c r="F9219" s="2066"/>
      <c r="G9219" s="2066"/>
      <c r="H9219" s="2066"/>
      <c r="I9219" s="2066"/>
      <c r="J9219" s="2066"/>
      <c r="K9219" s="2066"/>
      <c r="L9219" s="2066"/>
      <c r="M9219" s="2066"/>
      <c r="N9219" s="2066"/>
      <c r="O9219" s="2066"/>
      <c r="P9219" s="49"/>
      <c r="Q9219" s="1"/>
      <c r="R9219" s="2066"/>
      <c r="S9219" s="1"/>
      <c r="T9219" s="1"/>
      <c r="U9219" s="1"/>
      <c r="V9219" s="1"/>
      <c r="W9219" s="1"/>
      <c r="X9219" s="1"/>
      <c r="Y9219" s="1"/>
      <c r="Z9219" s="2066"/>
      <c r="AA9219" s="2066"/>
      <c r="AB9219" s="1"/>
      <c r="AC9219" s="1"/>
      <c r="AD9219" s="1"/>
      <c r="AE9219" s="1"/>
      <c r="AF9219" s="1"/>
      <c r="AG9219" s="1"/>
      <c r="AH9219" s="1"/>
      <c r="AI9219" s="1"/>
      <c r="AJ9219" s="1"/>
      <c r="AK9219" s="1"/>
      <c r="AL9219" s="1"/>
      <c r="AM9219" s="1"/>
    </row>
    <row r="9220" spans="1:39" x14ac:dyDescent="0.25">
      <c r="A9220" s="2066"/>
      <c r="B9220" s="2066"/>
      <c r="C9220" s="2066"/>
      <c r="D9220" s="2066"/>
      <c r="E9220" s="2066"/>
      <c r="F9220" s="2066"/>
      <c r="G9220" s="2066"/>
      <c r="H9220" s="2066"/>
      <c r="I9220" s="2066"/>
      <c r="J9220" s="2066"/>
      <c r="K9220" s="2066"/>
      <c r="L9220" s="2066"/>
      <c r="M9220" s="2066"/>
      <c r="N9220" s="2066"/>
      <c r="O9220" s="2066"/>
      <c r="P9220" s="49"/>
      <c r="Q9220" s="1"/>
      <c r="R9220" s="2066"/>
      <c r="S9220" s="1"/>
      <c r="T9220" s="1"/>
      <c r="U9220" s="1"/>
      <c r="V9220" s="1"/>
      <c r="W9220" s="1"/>
      <c r="X9220" s="1"/>
      <c r="Y9220" s="1"/>
      <c r="Z9220" s="2066"/>
      <c r="AA9220" s="2066"/>
      <c r="AB9220" s="1"/>
      <c r="AC9220" s="1"/>
      <c r="AD9220" s="1"/>
      <c r="AE9220" s="1"/>
      <c r="AF9220" s="1"/>
      <c r="AG9220" s="1"/>
      <c r="AH9220" s="1"/>
      <c r="AI9220" s="1"/>
      <c r="AJ9220" s="1"/>
      <c r="AK9220" s="1"/>
      <c r="AL9220" s="1"/>
      <c r="AM9220" s="1"/>
    </row>
    <row r="9221" spans="1:39" x14ac:dyDescent="0.25">
      <c r="A9221" s="2066"/>
      <c r="B9221" s="2066"/>
      <c r="C9221" s="2066"/>
      <c r="D9221" s="2066"/>
      <c r="E9221" s="2066"/>
      <c r="F9221" s="2066"/>
      <c r="G9221" s="2066"/>
      <c r="H9221" s="2066"/>
      <c r="I9221" s="2066"/>
      <c r="J9221" s="2066"/>
      <c r="K9221" s="2066"/>
      <c r="L9221" s="2066"/>
      <c r="M9221" s="2066"/>
      <c r="N9221" s="2066"/>
      <c r="O9221" s="2066"/>
      <c r="P9221" s="49"/>
      <c r="Q9221" s="1"/>
      <c r="R9221" s="2066"/>
      <c r="S9221" s="1"/>
      <c r="T9221" s="1"/>
      <c r="U9221" s="1"/>
      <c r="V9221" s="1"/>
      <c r="W9221" s="1"/>
      <c r="X9221" s="1"/>
      <c r="Y9221" s="1"/>
      <c r="Z9221" s="2066"/>
      <c r="AA9221" s="2066"/>
      <c r="AB9221" s="1"/>
      <c r="AC9221" s="1"/>
      <c r="AD9221" s="1"/>
      <c r="AE9221" s="1"/>
      <c r="AF9221" s="1"/>
      <c r="AG9221" s="1"/>
      <c r="AH9221" s="1"/>
      <c r="AI9221" s="1"/>
      <c r="AJ9221" s="1"/>
      <c r="AK9221" s="1"/>
      <c r="AL9221" s="1"/>
      <c r="AM9221" s="1"/>
    </row>
    <row r="9222" spans="1:39" x14ac:dyDescent="0.25">
      <c r="A9222" s="2066"/>
      <c r="B9222" s="2066"/>
      <c r="C9222" s="2066"/>
      <c r="D9222" s="2066"/>
      <c r="E9222" s="2066"/>
      <c r="F9222" s="2066"/>
      <c r="G9222" s="2066"/>
      <c r="H9222" s="2066"/>
      <c r="I9222" s="2066"/>
      <c r="J9222" s="2066"/>
      <c r="K9222" s="2066"/>
      <c r="L9222" s="2066"/>
      <c r="M9222" s="2066"/>
      <c r="N9222" s="2066"/>
      <c r="O9222" s="2066"/>
      <c r="P9222" s="49"/>
      <c r="Q9222" s="1"/>
      <c r="R9222" s="2066"/>
      <c r="S9222" s="1"/>
      <c r="T9222" s="1"/>
      <c r="U9222" s="1"/>
      <c r="V9222" s="1"/>
      <c r="W9222" s="1"/>
      <c r="X9222" s="1"/>
      <c r="Y9222" s="1"/>
      <c r="Z9222" s="2066"/>
      <c r="AA9222" s="2066"/>
      <c r="AB9222" s="1"/>
      <c r="AC9222" s="1"/>
      <c r="AD9222" s="1"/>
      <c r="AE9222" s="1"/>
      <c r="AF9222" s="1"/>
      <c r="AG9222" s="1"/>
      <c r="AH9222" s="1"/>
      <c r="AI9222" s="1"/>
      <c r="AJ9222" s="1"/>
      <c r="AK9222" s="1"/>
      <c r="AL9222" s="1"/>
      <c r="AM9222" s="1"/>
    </row>
    <row r="9223" spans="1:39" x14ac:dyDescent="0.25">
      <c r="A9223" s="2066"/>
      <c r="B9223" s="2066"/>
      <c r="C9223" s="2066"/>
      <c r="D9223" s="2066"/>
      <c r="E9223" s="2066"/>
      <c r="F9223" s="2066"/>
      <c r="G9223" s="2066"/>
      <c r="H9223" s="2066"/>
      <c r="I9223" s="2066"/>
      <c r="J9223" s="2066"/>
      <c r="K9223" s="2066"/>
      <c r="L9223" s="2066"/>
      <c r="M9223" s="2066"/>
      <c r="N9223" s="2066"/>
      <c r="O9223" s="2066"/>
      <c r="P9223" s="49"/>
      <c r="Q9223" s="1"/>
      <c r="R9223" s="2066"/>
      <c r="S9223" s="1"/>
      <c r="T9223" s="1"/>
      <c r="U9223" s="1"/>
      <c r="V9223" s="1"/>
      <c r="W9223" s="1"/>
      <c r="X9223" s="1"/>
      <c r="Y9223" s="1"/>
      <c r="Z9223" s="2066"/>
      <c r="AA9223" s="2066"/>
      <c r="AB9223" s="1"/>
      <c r="AC9223" s="1"/>
      <c r="AD9223" s="1"/>
      <c r="AE9223" s="1"/>
      <c r="AF9223" s="1"/>
      <c r="AG9223" s="1"/>
      <c r="AH9223" s="1"/>
      <c r="AI9223" s="1"/>
      <c r="AJ9223" s="1"/>
      <c r="AK9223" s="1"/>
      <c r="AL9223" s="1"/>
      <c r="AM9223" s="1"/>
    </row>
    <row r="9224" spans="1:39" x14ac:dyDescent="0.25">
      <c r="A9224" s="2066"/>
      <c r="B9224" s="2066"/>
      <c r="C9224" s="2066"/>
      <c r="D9224" s="2066"/>
      <c r="E9224" s="2066"/>
      <c r="F9224" s="2066"/>
      <c r="G9224" s="2066"/>
      <c r="H9224" s="2066"/>
      <c r="I9224" s="2066"/>
      <c r="J9224" s="2066"/>
      <c r="K9224" s="2066"/>
      <c r="L9224" s="2066"/>
      <c r="M9224" s="2066"/>
      <c r="N9224" s="2066"/>
      <c r="O9224" s="2066"/>
      <c r="P9224" s="49"/>
      <c r="Q9224" s="1"/>
      <c r="R9224" s="2066"/>
      <c r="S9224" s="1"/>
      <c r="T9224" s="1"/>
      <c r="U9224" s="1"/>
      <c r="V9224" s="1"/>
      <c r="W9224" s="1"/>
      <c r="X9224" s="1"/>
      <c r="Y9224" s="1"/>
      <c r="Z9224" s="2066"/>
      <c r="AA9224" s="2066"/>
      <c r="AB9224" s="1"/>
      <c r="AC9224" s="1"/>
      <c r="AD9224" s="1"/>
      <c r="AE9224" s="1"/>
      <c r="AF9224" s="1"/>
      <c r="AG9224" s="1"/>
      <c r="AH9224" s="1"/>
      <c r="AI9224" s="1"/>
      <c r="AJ9224" s="1"/>
      <c r="AK9224" s="1"/>
      <c r="AL9224" s="1"/>
      <c r="AM9224" s="1"/>
    </row>
    <row r="9225" spans="1:39" x14ac:dyDescent="0.25">
      <c r="A9225" s="2066"/>
      <c r="B9225" s="2066"/>
      <c r="C9225" s="2066"/>
      <c r="D9225" s="2066"/>
      <c r="E9225" s="2066"/>
      <c r="F9225" s="2066"/>
      <c r="G9225" s="2066"/>
      <c r="H9225" s="2066"/>
      <c r="I9225" s="2066"/>
      <c r="J9225" s="2066"/>
      <c r="K9225" s="2066"/>
      <c r="L9225" s="2066"/>
      <c r="M9225" s="2066"/>
      <c r="N9225" s="2066"/>
      <c r="O9225" s="2066"/>
      <c r="P9225" s="49"/>
      <c r="Q9225" s="1"/>
      <c r="R9225" s="2066"/>
      <c r="S9225" s="1"/>
      <c r="T9225" s="1"/>
      <c r="U9225" s="1"/>
      <c r="V9225" s="1"/>
      <c r="W9225" s="1"/>
      <c r="X9225" s="1"/>
      <c r="Y9225" s="1"/>
      <c r="Z9225" s="2066"/>
      <c r="AA9225" s="2066"/>
      <c r="AB9225" s="1"/>
      <c r="AC9225" s="1"/>
      <c r="AD9225" s="1"/>
      <c r="AE9225" s="1"/>
      <c r="AF9225" s="1"/>
      <c r="AG9225" s="1"/>
      <c r="AH9225" s="1"/>
      <c r="AI9225" s="1"/>
      <c r="AJ9225" s="1"/>
      <c r="AK9225" s="1"/>
      <c r="AL9225" s="1"/>
      <c r="AM9225" s="1"/>
    </row>
    <row r="9226" spans="1:39" x14ac:dyDescent="0.25">
      <c r="A9226" s="2066"/>
      <c r="B9226" s="2066"/>
      <c r="C9226" s="2066"/>
      <c r="D9226" s="2066"/>
      <c r="E9226" s="2066"/>
      <c r="F9226" s="2066"/>
      <c r="G9226" s="2066"/>
      <c r="H9226" s="2066"/>
      <c r="I9226" s="2066"/>
      <c r="J9226" s="2066"/>
      <c r="K9226" s="2066"/>
      <c r="L9226" s="2066"/>
      <c r="M9226" s="2066"/>
      <c r="N9226" s="2066"/>
      <c r="O9226" s="2066"/>
      <c r="P9226" s="49"/>
      <c r="Q9226" s="1"/>
      <c r="R9226" s="2066"/>
      <c r="S9226" s="1"/>
      <c r="T9226" s="1"/>
      <c r="U9226" s="1"/>
      <c r="V9226" s="1"/>
      <c r="W9226" s="1"/>
      <c r="X9226" s="1"/>
      <c r="Y9226" s="1"/>
      <c r="Z9226" s="2066"/>
      <c r="AA9226" s="2066"/>
      <c r="AB9226" s="1"/>
      <c r="AC9226" s="1"/>
      <c r="AD9226" s="1"/>
      <c r="AE9226" s="1"/>
      <c r="AF9226" s="1"/>
      <c r="AG9226" s="1"/>
      <c r="AH9226" s="1"/>
      <c r="AI9226" s="1"/>
      <c r="AJ9226" s="1"/>
      <c r="AK9226" s="1"/>
      <c r="AL9226" s="1"/>
      <c r="AM9226" s="1"/>
    </row>
    <row r="9227" spans="1:39" x14ac:dyDescent="0.25">
      <c r="A9227" s="2066"/>
      <c r="B9227" s="2066"/>
      <c r="C9227" s="2066"/>
      <c r="D9227" s="2066"/>
      <c r="E9227" s="2066"/>
      <c r="F9227" s="2066"/>
      <c r="G9227" s="2066"/>
      <c r="H9227" s="2066"/>
      <c r="I9227" s="2066"/>
      <c r="J9227" s="2066"/>
      <c r="K9227" s="2066"/>
      <c r="L9227" s="2066"/>
      <c r="M9227" s="2066"/>
      <c r="N9227" s="2066"/>
      <c r="O9227" s="2066"/>
      <c r="P9227" s="49"/>
      <c r="Q9227" s="1"/>
      <c r="R9227" s="2066"/>
      <c r="S9227" s="1"/>
      <c r="T9227" s="1"/>
      <c r="U9227" s="1"/>
      <c r="V9227" s="1"/>
      <c r="W9227" s="1"/>
      <c r="X9227" s="1"/>
      <c r="Y9227" s="1"/>
      <c r="Z9227" s="2066"/>
      <c r="AA9227" s="2066"/>
      <c r="AB9227" s="1"/>
      <c r="AC9227" s="1"/>
      <c r="AD9227" s="1"/>
      <c r="AE9227" s="1"/>
      <c r="AF9227" s="1"/>
      <c r="AG9227" s="1"/>
      <c r="AH9227" s="1"/>
      <c r="AI9227" s="1"/>
      <c r="AJ9227" s="1"/>
      <c r="AK9227" s="1"/>
      <c r="AL9227" s="1"/>
      <c r="AM9227" s="1"/>
    </row>
    <row r="9228" spans="1:39" x14ac:dyDescent="0.25">
      <c r="A9228" s="2066"/>
      <c r="B9228" s="2066"/>
      <c r="C9228" s="2066"/>
      <c r="D9228" s="2066"/>
      <c r="E9228" s="2066"/>
      <c r="F9228" s="2066"/>
      <c r="G9228" s="2066"/>
      <c r="H9228" s="2066"/>
      <c r="I9228" s="2066"/>
      <c r="J9228" s="2066"/>
      <c r="K9228" s="2066"/>
      <c r="L9228" s="2066"/>
      <c r="M9228" s="2066"/>
      <c r="N9228" s="2066"/>
      <c r="O9228" s="2066"/>
      <c r="P9228" s="49"/>
      <c r="Q9228" s="1"/>
      <c r="R9228" s="2066"/>
      <c r="S9228" s="1"/>
      <c r="T9228" s="1"/>
      <c r="U9228" s="1"/>
      <c r="V9228" s="1"/>
      <c r="W9228" s="1"/>
      <c r="X9228" s="1"/>
      <c r="Y9228" s="1"/>
      <c r="Z9228" s="2066"/>
      <c r="AA9228" s="2066"/>
      <c r="AB9228" s="1"/>
      <c r="AC9228" s="1"/>
      <c r="AD9228" s="1"/>
      <c r="AE9228" s="1"/>
      <c r="AF9228" s="1"/>
      <c r="AG9228" s="1"/>
      <c r="AH9228" s="1"/>
      <c r="AI9228" s="1"/>
      <c r="AJ9228" s="1"/>
      <c r="AK9228" s="1"/>
      <c r="AL9228" s="1"/>
      <c r="AM9228" s="1"/>
    </row>
    <row r="9229" spans="1:39" x14ac:dyDescent="0.25">
      <c r="A9229" s="2066"/>
      <c r="B9229" s="2066"/>
      <c r="C9229" s="2066"/>
      <c r="D9229" s="2066"/>
      <c r="E9229" s="2066"/>
      <c r="F9229" s="2066"/>
      <c r="G9229" s="2066"/>
      <c r="H9229" s="2066"/>
      <c r="I9229" s="2066"/>
      <c r="J9229" s="2066"/>
      <c r="K9229" s="2066"/>
      <c r="L9229" s="2066"/>
      <c r="M9229" s="2066"/>
      <c r="N9229" s="2066"/>
      <c r="O9229" s="2066"/>
      <c r="P9229" s="49"/>
      <c r="Q9229" s="1"/>
      <c r="R9229" s="2066"/>
      <c r="S9229" s="1"/>
      <c r="T9229" s="1"/>
      <c r="U9229" s="1"/>
      <c r="V9229" s="1"/>
      <c r="W9229" s="1"/>
      <c r="X9229" s="1"/>
      <c r="Y9229" s="1"/>
      <c r="Z9229" s="2066"/>
      <c r="AA9229" s="2066"/>
      <c r="AB9229" s="1"/>
      <c r="AC9229" s="1"/>
      <c r="AD9229" s="1"/>
      <c r="AE9229" s="1"/>
      <c r="AF9229" s="1"/>
      <c r="AG9229" s="1"/>
      <c r="AH9229" s="1"/>
      <c r="AI9229" s="1"/>
      <c r="AJ9229" s="1"/>
      <c r="AK9229" s="1"/>
      <c r="AL9229" s="1"/>
      <c r="AM9229" s="1"/>
    </row>
    <row r="9230" spans="1:39" x14ac:dyDescent="0.25">
      <c r="A9230" s="2066"/>
      <c r="B9230" s="2066"/>
      <c r="C9230" s="2066"/>
      <c r="D9230" s="2066"/>
      <c r="E9230" s="2066"/>
      <c r="F9230" s="2066"/>
      <c r="G9230" s="2066"/>
      <c r="H9230" s="2066"/>
      <c r="I9230" s="2066"/>
      <c r="J9230" s="2066"/>
      <c r="K9230" s="2066"/>
      <c r="L9230" s="2066"/>
      <c r="M9230" s="2066"/>
      <c r="N9230" s="2066"/>
      <c r="O9230" s="2066"/>
      <c r="P9230" s="49"/>
      <c r="Q9230" s="1"/>
      <c r="R9230" s="2066"/>
      <c r="S9230" s="1"/>
      <c r="T9230" s="1"/>
      <c r="U9230" s="1"/>
      <c r="V9230" s="1"/>
      <c r="W9230" s="1"/>
      <c r="X9230" s="1"/>
      <c r="Y9230" s="1"/>
      <c r="Z9230" s="2066"/>
      <c r="AA9230" s="2066"/>
      <c r="AB9230" s="1"/>
      <c r="AC9230" s="1"/>
      <c r="AD9230" s="1"/>
      <c r="AE9230" s="1"/>
      <c r="AF9230" s="1"/>
      <c r="AG9230" s="1"/>
      <c r="AH9230" s="1"/>
      <c r="AI9230" s="1"/>
      <c r="AJ9230" s="1"/>
      <c r="AK9230" s="1"/>
      <c r="AL9230" s="1"/>
      <c r="AM9230" s="1"/>
    </row>
    <row r="9231" spans="1:39" x14ac:dyDescent="0.25">
      <c r="A9231" s="2066"/>
      <c r="B9231" s="2066"/>
      <c r="C9231" s="2066"/>
      <c r="D9231" s="2066"/>
      <c r="E9231" s="2066"/>
      <c r="F9231" s="2066"/>
      <c r="G9231" s="2066"/>
      <c r="H9231" s="2066"/>
      <c r="I9231" s="2066"/>
      <c r="J9231" s="2066"/>
      <c r="K9231" s="2066"/>
      <c r="L9231" s="2066"/>
      <c r="M9231" s="2066"/>
      <c r="N9231" s="2066"/>
      <c r="O9231" s="2066"/>
      <c r="P9231" s="49"/>
      <c r="Q9231" s="1"/>
      <c r="R9231" s="2066"/>
      <c r="S9231" s="1"/>
      <c r="T9231" s="1"/>
      <c r="U9231" s="1"/>
      <c r="V9231" s="1"/>
      <c r="W9231" s="1"/>
      <c r="X9231" s="1"/>
      <c r="Y9231" s="1"/>
      <c r="Z9231" s="2066"/>
      <c r="AA9231" s="2066"/>
      <c r="AB9231" s="1"/>
      <c r="AC9231" s="1"/>
      <c r="AD9231" s="1"/>
      <c r="AE9231" s="1"/>
      <c r="AF9231" s="1"/>
      <c r="AG9231" s="1"/>
      <c r="AH9231" s="1"/>
      <c r="AI9231" s="1"/>
      <c r="AJ9231" s="1"/>
      <c r="AK9231" s="1"/>
      <c r="AL9231" s="1"/>
      <c r="AM9231" s="1"/>
    </row>
    <row r="9232" spans="1:39" x14ac:dyDescent="0.25">
      <c r="A9232" s="2066"/>
      <c r="B9232" s="2066"/>
      <c r="C9232" s="2066"/>
      <c r="D9232" s="2066"/>
      <c r="E9232" s="2066"/>
      <c r="F9232" s="2066"/>
      <c r="G9232" s="2066"/>
      <c r="H9232" s="2066"/>
      <c r="I9232" s="2066"/>
      <c r="J9232" s="2066"/>
      <c r="K9232" s="2066"/>
      <c r="L9232" s="2066"/>
      <c r="M9232" s="2066"/>
      <c r="N9232" s="2066"/>
      <c r="O9232" s="2066"/>
      <c r="P9232" s="49"/>
      <c r="Q9232" s="1"/>
      <c r="R9232" s="2066"/>
      <c r="S9232" s="1"/>
      <c r="T9232" s="1"/>
      <c r="U9232" s="1"/>
      <c r="V9232" s="1"/>
      <c r="W9232" s="1"/>
      <c r="X9232" s="1"/>
      <c r="Y9232" s="1"/>
      <c r="Z9232" s="2066"/>
      <c r="AA9232" s="2066"/>
      <c r="AB9232" s="1"/>
      <c r="AC9232" s="1"/>
      <c r="AD9232" s="1"/>
      <c r="AE9232" s="1"/>
      <c r="AF9232" s="1"/>
      <c r="AG9232" s="1"/>
      <c r="AH9232" s="1"/>
      <c r="AI9232" s="1"/>
      <c r="AJ9232" s="1"/>
      <c r="AK9232" s="1"/>
      <c r="AL9232" s="1"/>
      <c r="AM9232" s="1"/>
    </row>
    <row r="9233" spans="1:39" x14ac:dyDescent="0.25">
      <c r="A9233" s="2066"/>
      <c r="B9233" s="2066"/>
      <c r="C9233" s="2066"/>
      <c r="D9233" s="2066"/>
      <c r="E9233" s="2066"/>
      <c r="F9233" s="2066"/>
      <c r="G9233" s="2066"/>
      <c r="H9233" s="2066"/>
      <c r="I9233" s="2066"/>
      <c r="J9233" s="2066"/>
      <c r="K9233" s="2066"/>
      <c r="L9233" s="2066"/>
      <c r="M9233" s="2066"/>
      <c r="N9233" s="2066"/>
      <c r="O9233" s="2066"/>
      <c r="P9233" s="49"/>
      <c r="Q9233" s="1"/>
      <c r="R9233" s="2066"/>
      <c r="S9233" s="1"/>
      <c r="T9233" s="1"/>
      <c r="U9233" s="1"/>
      <c r="V9233" s="1"/>
      <c r="W9233" s="1"/>
      <c r="X9233" s="1"/>
      <c r="Y9233" s="1"/>
      <c r="Z9233" s="2066"/>
      <c r="AA9233" s="2066"/>
      <c r="AB9233" s="1"/>
      <c r="AC9233" s="1"/>
      <c r="AD9233" s="1"/>
      <c r="AE9233" s="1"/>
      <c r="AF9233" s="1"/>
      <c r="AG9233" s="1"/>
      <c r="AH9233" s="1"/>
      <c r="AI9233" s="1"/>
      <c r="AJ9233" s="1"/>
      <c r="AK9233" s="1"/>
      <c r="AL9233" s="1"/>
      <c r="AM9233" s="1"/>
    </row>
    <row r="9234" spans="1:39" x14ac:dyDescent="0.25">
      <c r="A9234" s="2066"/>
      <c r="B9234" s="2066"/>
      <c r="C9234" s="2066"/>
      <c r="D9234" s="2066"/>
      <c r="E9234" s="2066"/>
      <c r="F9234" s="2066"/>
      <c r="G9234" s="2066"/>
      <c r="H9234" s="2066"/>
      <c r="I9234" s="2066"/>
      <c r="J9234" s="2066"/>
      <c r="K9234" s="2066"/>
      <c r="L9234" s="2066"/>
      <c r="M9234" s="2066"/>
      <c r="N9234" s="2066"/>
      <c r="O9234" s="2066"/>
      <c r="P9234" s="49"/>
      <c r="Q9234" s="1"/>
      <c r="R9234" s="2066"/>
      <c r="S9234" s="1"/>
      <c r="T9234" s="1"/>
      <c r="U9234" s="1"/>
      <c r="V9234" s="1"/>
      <c r="W9234" s="1"/>
      <c r="X9234" s="1"/>
      <c r="Y9234" s="1"/>
      <c r="Z9234" s="2066"/>
      <c r="AA9234" s="2066"/>
      <c r="AB9234" s="1"/>
      <c r="AC9234" s="1"/>
      <c r="AD9234" s="1"/>
      <c r="AE9234" s="1"/>
      <c r="AF9234" s="1"/>
      <c r="AG9234" s="1"/>
      <c r="AH9234" s="1"/>
      <c r="AI9234" s="1"/>
      <c r="AJ9234" s="1"/>
      <c r="AK9234" s="1"/>
      <c r="AL9234" s="1"/>
      <c r="AM9234" s="1"/>
    </row>
    <row r="9235" spans="1:39" x14ac:dyDescent="0.25">
      <c r="A9235" s="2066"/>
      <c r="B9235" s="2066"/>
      <c r="C9235" s="2066"/>
      <c r="D9235" s="2066"/>
      <c r="E9235" s="2066"/>
      <c r="F9235" s="2066"/>
      <c r="G9235" s="2066"/>
      <c r="H9235" s="2066"/>
      <c r="I9235" s="2066"/>
      <c r="J9235" s="2066"/>
      <c r="K9235" s="2066"/>
      <c r="L9235" s="2066"/>
      <c r="M9235" s="2066"/>
      <c r="N9235" s="2066"/>
      <c r="O9235" s="2066"/>
      <c r="P9235" s="49"/>
      <c r="Q9235" s="1"/>
      <c r="R9235" s="2066"/>
      <c r="S9235" s="1"/>
      <c r="T9235" s="1"/>
      <c r="U9235" s="1"/>
      <c r="V9235" s="1"/>
      <c r="W9235" s="1"/>
      <c r="X9235" s="1"/>
      <c r="Y9235" s="1"/>
      <c r="Z9235" s="2066"/>
      <c r="AA9235" s="2066"/>
      <c r="AB9235" s="1"/>
      <c r="AC9235" s="1"/>
      <c r="AD9235" s="1"/>
      <c r="AE9235" s="1"/>
      <c r="AF9235" s="1"/>
      <c r="AG9235" s="1"/>
      <c r="AH9235" s="1"/>
      <c r="AI9235" s="1"/>
      <c r="AJ9235" s="1"/>
      <c r="AK9235" s="1"/>
      <c r="AL9235" s="1"/>
      <c r="AM9235" s="1"/>
    </row>
    <row r="9236" spans="1:39" x14ac:dyDescent="0.25">
      <c r="A9236" s="2066"/>
      <c r="B9236" s="2066"/>
      <c r="C9236" s="2066"/>
      <c r="D9236" s="2066"/>
      <c r="E9236" s="2066"/>
      <c r="F9236" s="2066"/>
      <c r="G9236" s="2066"/>
      <c r="H9236" s="2066"/>
      <c r="I9236" s="2066"/>
      <c r="J9236" s="2066"/>
      <c r="K9236" s="2066"/>
      <c r="L9236" s="2066"/>
      <c r="M9236" s="2066"/>
      <c r="N9236" s="2066"/>
      <c r="O9236" s="2066"/>
      <c r="P9236" s="49"/>
      <c r="Q9236" s="1"/>
      <c r="R9236" s="2066"/>
      <c r="S9236" s="1"/>
      <c r="T9236" s="1"/>
      <c r="U9236" s="1"/>
      <c r="V9236" s="1"/>
      <c r="W9236" s="1"/>
      <c r="X9236" s="1"/>
      <c r="Y9236" s="1"/>
      <c r="Z9236" s="2066"/>
      <c r="AA9236" s="2066"/>
      <c r="AB9236" s="1"/>
      <c r="AC9236" s="1"/>
      <c r="AD9236" s="1"/>
      <c r="AE9236" s="1"/>
      <c r="AF9236" s="1"/>
      <c r="AG9236" s="1"/>
      <c r="AH9236" s="1"/>
      <c r="AI9236" s="1"/>
      <c r="AJ9236" s="1"/>
      <c r="AK9236" s="1"/>
      <c r="AL9236" s="1"/>
      <c r="AM9236" s="1"/>
    </row>
    <row r="9237" spans="1:39" x14ac:dyDescent="0.25">
      <c r="A9237" s="2066"/>
      <c r="B9237" s="2066"/>
      <c r="C9237" s="2066"/>
      <c r="D9237" s="2066"/>
      <c r="E9237" s="2066"/>
      <c r="F9237" s="2066"/>
      <c r="G9237" s="2066"/>
      <c r="H9237" s="2066"/>
      <c r="I9237" s="2066"/>
      <c r="J9237" s="2066"/>
      <c r="K9237" s="2066"/>
      <c r="L9237" s="2066"/>
      <c r="M9237" s="2066"/>
      <c r="N9237" s="2066"/>
      <c r="O9237" s="2066"/>
      <c r="P9237" s="49"/>
      <c r="Q9237" s="1"/>
      <c r="R9237" s="2066"/>
      <c r="S9237" s="1"/>
      <c r="T9237" s="1"/>
      <c r="U9237" s="1"/>
      <c r="V9237" s="1"/>
      <c r="W9237" s="1"/>
      <c r="X9237" s="1"/>
      <c r="Y9237" s="1"/>
      <c r="Z9237" s="2066"/>
      <c r="AA9237" s="2066"/>
      <c r="AB9237" s="1"/>
      <c r="AC9237" s="1"/>
      <c r="AD9237" s="1"/>
      <c r="AE9237" s="1"/>
      <c r="AF9237" s="1"/>
      <c r="AG9237" s="1"/>
      <c r="AH9237" s="1"/>
      <c r="AI9237" s="1"/>
      <c r="AJ9237" s="1"/>
      <c r="AK9237" s="1"/>
      <c r="AL9237" s="1"/>
      <c r="AM9237" s="1"/>
    </row>
    <row r="9238" spans="1:39" x14ac:dyDescent="0.25">
      <c r="A9238" s="2066"/>
      <c r="B9238" s="2066"/>
      <c r="C9238" s="2066"/>
      <c r="D9238" s="2066"/>
      <c r="E9238" s="2066"/>
      <c r="F9238" s="2066"/>
      <c r="G9238" s="2066"/>
      <c r="H9238" s="2066"/>
      <c r="I9238" s="2066"/>
      <c r="J9238" s="2066"/>
      <c r="K9238" s="2066"/>
      <c r="L9238" s="2066"/>
      <c r="M9238" s="2066"/>
      <c r="N9238" s="2066"/>
      <c r="O9238" s="2066"/>
      <c r="P9238" s="49"/>
      <c r="Q9238" s="1"/>
      <c r="R9238" s="2066"/>
      <c r="S9238" s="1"/>
      <c r="T9238" s="1"/>
      <c r="U9238" s="1"/>
      <c r="V9238" s="1"/>
      <c r="W9238" s="1"/>
      <c r="X9238" s="1"/>
      <c r="Y9238" s="1"/>
      <c r="Z9238" s="2066"/>
      <c r="AA9238" s="2066"/>
      <c r="AB9238" s="1"/>
      <c r="AC9238" s="1"/>
      <c r="AD9238" s="1"/>
      <c r="AE9238" s="1"/>
      <c r="AF9238" s="1"/>
      <c r="AG9238" s="1"/>
      <c r="AH9238" s="1"/>
      <c r="AI9238" s="1"/>
      <c r="AJ9238" s="1"/>
      <c r="AK9238" s="1"/>
      <c r="AL9238" s="1"/>
      <c r="AM9238" s="1"/>
    </row>
    <row r="9239" spans="1:39" x14ac:dyDescent="0.25">
      <c r="A9239" s="2066"/>
      <c r="B9239" s="2066"/>
      <c r="C9239" s="2066"/>
      <c r="D9239" s="2066"/>
      <c r="E9239" s="2066"/>
      <c r="F9239" s="2066"/>
      <c r="G9239" s="2066"/>
      <c r="H9239" s="2066"/>
      <c r="I9239" s="2066"/>
      <c r="J9239" s="2066"/>
      <c r="K9239" s="2066"/>
      <c r="L9239" s="2066"/>
      <c r="M9239" s="2066"/>
      <c r="N9239" s="2066"/>
      <c r="O9239" s="2066"/>
      <c r="P9239" s="49"/>
      <c r="Q9239" s="1"/>
      <c r="R9239" s="2066"/>
      <c r="S9239" s="1"/>
      <c r="T9239" s="1"/>
      <c r="U9239" s="1"/>
      <c r="V9239" s="1"/>
      <c r="W9239" s="1"/>
      <c r="X9239" s="1"/>
      <c r="Y9239" s="1"/>
      <c r="Z9239" s="2066"/>
      <c r="AA9239" s="2066"/>
      <c r="AB9239" s="1"/>
      <c r="AC9239" s="1"/>
      <c r="AD9239" s="1"/>
      <c r="AE9239" s="1"/>
      <c r="AF9239" s="1"/>
      <c r="AG9239" s="1"/>
      <c r="AH9239" s="1"/>
      <c r="AI9239" s="1"/>
      <c r="AJ9239" s="1"/>
      <c r="AK9239" s="1"/>
      <c r="AL9239" s="1"/>
      <c r="AM9239" s="1"/>
    </row>
    <row r="9240" spans="1:39" x14ac:dyDescent="0.25">
      <c r="A9240" s="2066"/>
      <c r="B9240" s="2066"/>
      <c r="C9240" s="2066"/>
      <c r="D9240" s="2066"/>
      <c r="E9240" s="2066"/>
      <c r="F9240" s="2066"/>
      <c r="G9240" s="2066"/>
      <c r="H9240" s="2066"/>
      <c r="I9240" s="2066"/>
      <c r="J9240" s="2066"/>
      <c r="K9240" s="2066"/>
      <c r="L9240" s="2066"/>
      <c r="M9240" s="2066"/>
      <c r="N9240" s="2066"/>
      <c r="O9240" s="2066"/>
      <c r="P9240" s="49"/>
      <c r="Q9240" s="1"/>
      <c r="R9240" s="2066"/>
      <c r="S9240" s="1"/>
      <c r="T9240" s="1"/>
      <c r="U9240" s="1"/>
      <c r="V9240" s="1"/>
      <c r="W9240" s="1"/>
      <c r="X9240" s="1"/>
      <c r="Y9240" s="1"/>
      <c r="Z9240" s="2066"/>
      <c r="AA9240" s="2066"/>
      <c r="AB9240" s="1"/>
      <c r="AC9240" s="1"/>
      <c r="AD9240" s="1"/>
      <c r="AE9240" s="1"/>
      <c r="AF9240" s="1"/>
      <c r="AG9240" s="1"/>
      <c r="AH9240" s="1"/>
      <c r="AI9240" s="1"/>
      <c r="AJ9240" s="1"/>
      <c r="AK9240" s="1"/>
      <c r="AL9240" s="1"/>
      <c r="AM9240" s="1"/>
    </row>
    <row r="9241" spans="1:39" x14ac:dyDescent="0.25">
      <c r="A9241" s="2066"/>
      <c r="B9241" s="2066"/>
      <c r="C9241" s="2066"/>
      <c r="D9241" s="2066"/>
      <c r="E9241" s="2066"/>
      <c r="F9241" s="2066"/>
      <c r="G9241" s="2066"/>
      <c r="H9241" s="2066"/>
      <c r="I9241" s="2066"/>
      <c r="J9241" s="2066"/>
      <c r="K9241" s="2066"/>
      <c r="L9241" s="2066"/>
      <c r="M9241" s="2066"/>
      <c r="N9241" s="2066"/>
      <c r="O9241" s="2066"/>
      <c r="P9241" s="49"/>
      <c r="Q9241" s="1"/>
      <c r="R9241" s="2066"/>
      <c r="S9241" s="1"/>
      <c r="T9241" s="1"/>
      <c r="U9241" s="1"/>
      <c r="V9241" s="1"/>
      <c r="W9241" s="1"/>
      <c r="X9241" s="1"/>
      <c r="Y9241" s="1"/>
      <c r="Z9241" s="2066"/>
      <c r="AA9241" s="2066"/>
      <c r="AB9241" s="1"/>
      <c r="AC9241" s="1"/>
      <c r="AD9241" s="1"/>
      <c r="AE9241" s="1"/>
      <c r="AF9241" s="1"/>
      <c r="AG9241" s="1"/>
      <c r="AH9241" s="1"/>
      <c r="AI9241" s="1"/>
      <c r="AJ9241" s="1"/>
      <c r="AK9241" s="1"/>
      <c r="AL9241" s="1"/>
      <c r="AM9241" s="1"/>
    </row>
    <row r="9242" spans="1:39" x14ac:dyDescent="0.25">
      <c r="A9242" s="2066"/>
      <c r="B9242" s="2066"/>
      <c r="C9242" s="2066"/>
      <c r="D9242" s="2066"/>
      <c r="E9242" s="2066"/>
      <c r="F9242" s="2066"/>
      <c r="G9242" s="2066"/>
      <c r="H9242" s="2066"/>
      <c r="I9242" s="2066"/>
      <c r="J9242" s="2066"/>
      <c r="K9242" s="2066"/>
      <c r="L9242" s="2066"/>
      <c r="M9242" s="2066"/>
      <c r="N9242" s="2066"/>
      <c r="O9242" s="2066"/>
      <c r="P9242" s="49"/>
      <c r="Q9242" s="1"/>
      <c r="R9242" s="2066"/>
      <c r="S9242" s="1"/>
      <c r="T9242" s="1"/>
      <c r="U9242" s="1"/>
      <c r="V9242" s="1"/>
      <c r="W9242" s="1"/>
      <c r="X9242" s="1"/>
      <c r="Y9242" s="1"/>
      <c r="Z9242" s="2066"/>
      <c r="AA9242" s="2066"/>
      <c r="AB9242" s="1"/>
      <c r="AC9242" s="1"/>
      <c r="AD9242" s="1"/>
      <c r="AE9242" s="1"/>
      <c r="AF9242" s="1"/>
      <c r="AG9242" s="1"/>
      <c r="AH9242" s="1"/>
      <c r="AI9242" s="1"/>
      <c r="AJ9242" s="1"/>
      <c r="AK9242" s="1"/>
      <c r="AL9242" s="1"/>
      <c r="AM9242" s="1"/>
    </row>
    <row r="9243" spans="1:39" x14ac:dyDescent="0.25">
      <c r="A9243" s="2066"/>
      <c r="B9243" s="2066"/>
      <c r="C9243" s="2066"/>
      <c r="D9243" s="2066"/>
      <c r="E9243" s="2066"/>
      <c r="F9243" s="2066"/>
      <c r="G9243" s="2066"/>
      <c r="H9243" s="2066"/>
      <c r="I9243" s="2066"/>
      <c r="J9243" s="2066"/>
      <c r="K9243" s="2066"/>
      <c r="L9243" s="2066"/>
      <c r="M9243" s="2066"/>
      <c r="N9243" s="2066"/>
      <c r="O9243" s="2066"/>
      <c r="P9243" s="49"/>
      <c r="Q9243" s="1"/>
      <c r="R9243" s="2066"/>
      <c r="S9243" s="1"/>
      <c r="T9243" s="1"/>
      <c r="U9243" s="1"/>
      <c r="V9243" s="1"/>
      <c r="W9243" s="1"/>
      <c r="X9243" s="1"/>
      <c r="Y9243" s="1"/>
      <c r="Z9243" s="2066"/>
      <c r="AA9243" s="2066"/>
      <c r="AB9243" s="1"/>
      <c r="AC9243" s="1"/>
      <c r="AD9243" s="1"/>
      <c r="AE9243" s="1"/>
      <c r="AF9243" s="1"/>
      <c r="AG9243" s="1"/>
      <c r="AH9243" s="1"/>
      <c r="AI9243" s="1"/>
      <c r="AJ9243" s="1"/>
      <c r="AK9243" s="1"/>
      <c r="AL9243" s="1"/>
      <c r="AM9243" s="1"/>
    </row>
    <row r="9244" spans="1:39" x14ac:dyDescent="0.25">
      <c r="A9244" s="2066"/>
      <c r="B9244" s="2066"/>
      <c r="C9244" s="2066"/>
      <c r="D9244" s="2066"/>
      <c r="E9244" s="2066"/>
      <c r="F9244" s="2066"/>
      <c r="G9244" s="2066"/>
      <c r="H9244" s="2066"/>
      <c r="I9244" s="2066"/>
      <c r="J9244" s="2066"/>
      <c r="K9244" s="2066"/>
      <c r="L9244" s="2066"/>
      <c r="M9244" s="2066"/>
      <c r="N9244" s="2066"/>
      <c r="O9244" s="2066"/>
      <c r="P9244" s="49"/>
      <c r="Q9244" s="1"/>
      <c r="R9244" s="2066"/>
      <c r="S9244" s="1"/>
      <c r="T9244" s="1"/>
      <c r="U9244" s="1"/>
      <c r="V9244" s="1"/>
      <c r="W9244" s="1"/>
      <c r="X9244" s="1"/>
      <c r="Y9244" s="1"/>
      <c r="Z9244" s="2066"/>
      <c r="AA9244" s="2066"/>
      <c r="AB9244" s="1"/>
      <c r="AC9244" s="1"/>
      <c r="AD9244" s="1"/>
      <c r="AE9244" s="1"/>
      <c r="AF9244" s="1"/>
      <c r="AG9244" s="1"/>
      <c r="AH9244" s="1"/>
      <c r="AI9244" s="1"/>
      <c r="AJ9244" s="1"/>
      <c r="AK9244" s="1"/>
      <c r="AL9244" s="1"/>
      <c r="AM9244" s="1"/>
    </row>
    <row r="9245" spans="1:39" x14ac:dyDescent="0.25">
      <c r="A9245" s="2066"/>
      <c r="B9245" s="2066"/>
      <c r="C9245" s="2066"/>
      <c r="D9245" s="2066"/>
      <c r="E9245" s="2066"/>
      <c r="F9245" s="2066"/>
      <c r="G9245" s="2066"/>
      <c r="H9245" s="2066"/>
      <c r="I9245" s="2066"/>
      <c r="J9245" s="2066"/>
      <c r="K9245" s="2066"/>
      <c r="L9245" s="2066"/>
      <c r="M9245" s="2066"/>
      <c r="N9245" s="2066"/>
      <c r="O9245" s="2066"/>
      <c r="P9245" s="49"/>
      <c r="Q9245" s="1"/>
      <c r="R9245" s="2066"/>
      <c r="S9245" s="1"/>
      <c r="T9245" s="1"/>
      <c r="U9245" s="1"/>
      <c r="V9245" s="1"/>
      <c r="W9245" s="1"/>
      <c r="X9245" s="1"/>
      <c r="Y9245" s="1"/>
      <c r="Z9245" s="2066"/>
      <c r="AA9245" s="2066"/>
      <c r="AB9245" s="1"/>
      <c r="AC9245" s="1"/>
      <c r="AD9245" s="1"/>
      <c r="AE9245" s="1"/>
      <c r="AF9245" s="1"/>
      <c r="AG9245" s="1"/>
      <c r="AH9245" s="1"/>
      <c r="AI9245" s="1"/>
      <c r="AJ9245" s="1"/>
      <c r="AK9245" s="1"/>
      <c r="AL9245" s="1"/>
      <c r="AM9245" s="1"/>
    </row>
    <row r="9246" spans="1:39" x14ac:dyDescent="0.25">
      <c r="A9246" s="2066"/>
      <c r="B9246" s="2066"/>
      <c r="C9246" s="2066"/>
      <c r="D9246" s="2066"/>
      <c r="E9246" s="2066"/>
      <c r="F9246" s="2066"/>
      <c r="G9246" s="2066"/>
      <c r="H9246" s="2066"/>
      <c r="I9246" s="2066"/>
      <c r="J9246" s="2066"/>
      <c r="K9246" s="2066"/>
      <c r="L9246" s="2066"/>
      <c r="M9246" s="2066"/>
      <c r="N9246" s="2066"/>
      <c r="O9246" s="2066"/>
      <c r="P9246" s="49"/>
      <c r="Q9246" s="1"/>
      <c r="R9246" s="2066"/>
      <c r="S9246" s="1"/>
      <c r="T9246" s="1"/>
      <c r="U9246" s="1"/>
      <c r="V9246" s="1"/>
      <c r="W9246" s="1"/>
      <c r="X9246" s="1"/>
      <c r="Y9246" s="1"/>
      <c r="Z9246" s="2066"/>
      <c r="AA9246" s="2066"/>
      <c r="AB9246" s="1"/>
      <c r="AC9246" s="1"/>
      <c r="AD9246" s="1"/>
      <c r="AE9246" s="1"/>
      <c r="AF9246" s="1"/>
      <c r="AG9246" s="1"/>
      <c r="AH9246" s="1"/>
      <c r="AI9246" s="1"/>
      <c r="AJ9246" s="1"/>
      <c r="AK9246" s="1"/>
      <c r="AL9246" s="1"/>
      <c r="AM9246" s="1"/>
    </row>
    <row r="9247" spans="1:39" x14ac:dyDescent="0.25">
      <c r="A9247" s="2066"/>
      <c r="B9247" s="2066"/>
      <c r="C9247" s="2066"/>
      <c r="D9247" s="2066"/>
      <c r="E9247" s="2066"/>
      <c r="F9247" s="2066"/>
      <c r="G9247" s="2066"/>
      <c r="H9247" s="2066"/>
      <c r="I9247" s="2066"/>
      <c r="J9247" s="2066"/>
      <c r="K9247" s="2066"/>
      <c r="L9247" s="2066"/>
      <c r="M9247" s="2066"/>
      <c r="N9247" s="2066"/>
      <c r="O9247" s="2066"/>
      <c r="P9247" s="49"/>
      <c r="Q9247" s="1"/>
      <c r="R9247" s="2066"/>
      <c r="S9247" s="1"/>
      <c r="T9247" s="1"/>
      <c r="U9247" s="1"/>
      <c r="V9247" s="1"/>
      <c r="W9247" s="1"/>
      <c r="X9247" s="1"/>
      <c r="Y9247" s="1"/>
      <c r="Z9247" s="2066"/>
      <c r="AA9247" s="2066"/>
      <c r="AB9247" s="1"/>
      <c r="AC9247" s="1"/>
      <c r="AD9247" s="1"/>
      <c r="AE9247" s="1"/>
      <c r="AF9247" s="1"/>
      <c r="AG9247" s="1"/>
      <c r="AH9247" s="1"/>
      <c r="AI9247" s="1"/>
      <c r="AJ9247" s="1"/>
      <c r="AK9247" s="1"/>
      <c r="AL9247" s="1"/>
      <c r="AM9247" s="1"/>
    </row>
    <row r="9248" spans="1:39" x14ac:dyDescent="0.25">
      <c r="A9248" s="2066"/>
      <c r="B9248" s="2066"/>
      <c r="C9248" s="2066"/>
      <c r="D9248" s="2066"/>
      <c r="E9248" s="2066"/>
      <c r="F9248" s="2066"/>
      <c r="G9248" s="2066"/>
      <c r="H9248" s="2066"/>
      <c r="I9248" s="2066"/>
      <c r="J9248" s="2066"/>
      <c r="K9248" s="2066"/>
      <c r="L9248" s="2066"/>
      <c r="M9248" s="2066"/>
      <c r="N9248" s="2066"/>
      <c r="O9248" s="2066"/>
      <c r="P9248" s="49"/>
      <c r="Q9248" s="1"/>
      <c r="R9248" s="2066"/>
      <c r="S9248" s="1"/>
      <c r="T9248" s="1"/>
      <c r="U9248" s="1"/>
      <c r="V9248" s="1"/>
      <c r="W9248" s="1"/>
      <c r="X9248" s="1"/>
      <c r="Y9248" s="1"/>
      <c r="Z9248" s="2066"/>
      <c r="AA9248" s="2066"/>
      <c r="AB9248" s="1"/>
      <c r="AC9248" s="1"/>
      <c r="AD9248" s="1"/>
      <c r="AE9248" s="1"/>
      <c r="AF9248" s="1"/>
      <c r="AG9248" s="1"/>
      <c r="AH9248" s="1"/>
      <c r="AI9248" s="1"/>
      <c r="AJ9248" s="1"/>
      <c r="AK9248" s="1"/>
      <c r="AL9248" s="1"/>
      <c r="AM9248" s="1"/>
    </row>
    <row r="9249" spans="1:39" x14ac:dyDescent="0.25">
      <c r="A9249" s="2066"/>
      <c r="B9249" s="2066"/>
      <c r="C9249" s="2066"/>
      <c r="D9249" s="2066"/>
      <c r="E9249" s="2066"/>
      <c r="F9249" s="2066"/>
      <c r="G9249" s="2066"/>
      <c r="H9249" s="2066"/>
      <c r="I9249" s="2066"/>
      <c r="J9249" s="2066"/>
      <c r="K9249" s="2066"/>
      <c r="L9249" s="2066"/>
      <c r="M9249" s="2066"/>
      <c r="N9249" s="2066"/>
      <c r="O9249" s="2066"/>
      <c r="P9249" s="49"/>
      <c r="Q9249" s="1"/>
      <c r="R9249" s="2066"/>
      <c r="S9249" s="1"/>
      <c r="T9249" s="1"/>
      <c r="U9249" s="1"/>
      <c r="V9249" s="1"/>
      <c r="W9249" s="1"/>
      <c r="X9249" s="1"/>
      <c r="Y9249" s="1"/>
      <c r="Z9249" s="2066"/>
      <c r="AA9249" s="2066"/>
      <c r="AB9249" s="1"/>
      <c r="AC9249" s="1"/>
      <c r="AD9249" s="1"/>
      <c r="AE9249" s="1"/>
      <c r="AF9249" s="1"/>
      <c r="AG9249" s="1"/>
      <c r="AH9249" s="1"/>
      <c r="AI9249" s="1"/>
      <c r="AJ9249" s="1"/>
      <c r="AK9249" s="1"/>
      <c r="AL9249" s="1"/>
      <c r="AM9249" s="1"/>
    </row>
    <row r="9250" spans="1:39" x14ac:dyDescent="0.25">
      <c r="A9250" s="2066"/>
      <c r="B9250" s="2066"/>
      <c r="C9250" s="2066"/>
      <c r="D9250" s="2066"/>
      <c r="E9250" s="2066"/>
      <c r="F9250" s="2066"/>
      <c r="G9250" s="2066"/>
      <c r="H9250" s="2066"/>
      <c r="I9250" s="2066"/>
      <c r="J9250" s="2066"/>
      <c r="K9250" s="2066"/>
      <c r="L9250" s="2066"/>
      <c r="M9250" s="2066"/>
      <c r="N9250" s="2066"/>
      <c r="O9250" s="2066"/>
      <c r="P9250" s="49"/>
      <c r="Q9250" s="1"/>
      <c r="R9250" s="2066"/>
      <c r="S9250" s="1"/>
      <c r="T9250" s="1"/>
      <c r="U9250" s="1"/>
      <c r="V9250" s="1"/>
      <c r="W9250" s="1"/>
      <c r="X9250" s="1"/>
      <c r="Y9250" s="1"/>
      <c r="Z9250" s="2066"/>
      <c r="AA9250" s="2066"/>
      <c r="AB9250" s="1"/>
      <c r="AC9250" s="1"/>
      <c r="AD9250" s="1"/>
      <c r="AE9250" s="1"/>
      <c r="AF9250" s="1"/>
      <c r="AG9250" s="1"/>
      <c r="AH9250" s="1"/>
      <c r="AI9250" s="1"/>
      <c r="AJ9250" s="1"/>
      <c r="AK9250" s="1"/>
      <c r="AL9250" s="1"/>
      <c r="AM9250" s="1"/>
    </row>
    <row r="9251" spans="1:39" x14ac:dyDescent="0.25">
      <c r="A9251" s="2066"/>
      <c r="B9251" s="2066"/>
      <c r="C9251" s="2066"/>
      <c r="D9251" s="2066"/>
      <c r="E9251" s="2066"/>
      <c r="F9251" s="2066"/>
      <c r="G9251" s="2066"/>
      <c r="H9251" s="2066"/>
      <c r="I9251" s="2066"/>
      <c r="J9251" s="2066"/>
      <c r="K9251" s="2066"/>
      <c r="L9251" s="2066"/>
      <c r="M9251" s="2066"/>
      <c r="N9251" s="2066"/>
      <c r="O9251" s="2066"/>
      <c r="P9251" s="49"/>
      <c r="Q9251" s="1"/>
      <c r="R9251" s="2066"/>
      <c r="S9251" s="1"/>
      <c r="T9251" s="1"/>
      <c r="U9251" s="1"/>
      <c r="V9251" s="1"/>
      <c r="W9251" s="1"/>
      <c r="X9251" s="1"/>
      <c r="Y9251" s="1"/>
      <c r="Z9251" s="2066"/>
      <c r="AA9251" s="2066"/>
      <c r="AB9251" s="1"/>
      <c r="AC9251" s="1"/>
      <c r="AD9251" s="1"/>
      <c r="AE9251" s="1"/>
      <c r="AF9251" s="1"/>
      <c r="AG9251" s="1"/>
      <c r="AH9251" s="1"/>
      <c r="AI9251" s="1"/>
      <c r="AJ9251" s="1"/>
      <c r="AK9251" s="1"/>
      <c r="AL9251" s="1"/>
      <c r="AM9251" s="1"/>
    </row>
    <row r="9252" spans="1:39" x14ac:dyDescent="0.25">
      <c r="A9252" s="2066"/>
      <c r="B9252" s="2066"/>
      <c r="C9252" s="2066"/>
      <c r="D9252" s="2066"/>
      <c r="E9252" s="2066"/>
      <c r="F9252" s="2066"/>
      <c r="G9252" s="2066"/>
      <c r="H9252" s="2066"/>
      <c r="I9252" s="2066"/>
      <c r="J9252" s="2066"/>
      <c r="K9252" s="2066"/>
      <c r="L9252" s="2066"/>
      <c r="M9252" s="2066"/>
      <c r="N9252" s="2066"/>
      <c r="O9252" s="2066"/>
      <c r="P9252" s="49"/>
      <c r="Q9252" s="1"/>
      <c r="R9252" s="2066"/>
      <c r="S9252" s="1"/>
      <c r="T9252" s="1"/>
      <c r="U9252" s="1"/>
      <c r="V9252" s="1"/>
      <c r="W9252" s="1"/>
      <c r="X9252" s="1"/>
      <c r="Y9252" s="1"/>
      <c r="Z9252" s="2066"/>
      <c r="AA9252" s="2066"/>
      <c r="AB9252" s="1"/>
      <c r="AC9252" s="1"/>
      <c r="AD9252" s="1"/>
      <c r="AE9252" s="1"/>
      <c r="AF9252" s="1"/>
      <c r="AG9252" s="1"/>
      <c r="AH9252" s="1"/>
      <c r="AI9252" s="1"/>
      <c r="AJ9252" s="1"/>
      <c r="AK9252" s="1"/>
      <c r="AL9252" s="1"/>
      <c r="AM9252" s="1"/>
    </row>
    <row r="9253" spans="1:39" x14ac:dyDescent="0.25">
      <c r="A9253" s="2066"/>
      <c r="B9253" s="2066"/>
      <c r="C9253" s="2066"/>
      <c r="D9253" s="2066"/>
      <c r="E9253" s="2066"/>
      <c r="F9253" s="2066"/>
      <c r="G9253" s="2066"/>
      <c r="H9253" s="2066"/>
      <c r="I9253" s="2066"/>
      <c r="J9253" s="2066"/>
      <c r="K9253" s="2066"/>
      <c r="L9253" s="2066"/>
      <c r="M9253" s="2066"/>
      <c r="N9253" s="2066"/>
      <c r="O9253" s="2066"/>
      <c r="P9253" s="49"/>
      <c r="Q9253" s="1"/>
      <c r="R9253" s="2066"/>
      <c r="S9253" s="1"/>
      <c r="T9253" s="1"/>
      <c r="U9253" s="1"/>
      <c r="V9253" s="1"/>
      <c r="W9253" s="1"/>
      <c r="X9253" s="1"/>
      <c r="Y9253" s="1"/>
      <c r="Z9253" s="2066"/>
      <c r="AA9253" s="2066"/>
      <c r="AB9253" s="1"/>
      <c r="AC9253" s="1"/>
      <c r="AD9253" s="1"/>
      <c r="AE9253" s="1"/>
      <c r="AF9253" s="1"/>
      <c r="AG9253" s="1"/>
      <c r="AH9253" s="1"/>
      <c r="AI9253" s="1"/>
      <c r="AJ9253" s="1"/>
      <c r="AK9253" s="1"/>
      <c r="AL9253" s="1"/>
      <c r="AM9253" s="1"/>
    </row>
    <row r="9254" spans="1:39" x14ac:dyDescent="0.25">
      <c r="A9254" s="2066"/>
      <c r="B9254" s="2066"/>
      <c r="C9254" s="2066"/>
      <c r="D9254" s="2066"/>
      <c r="E9254" s="2066"/>
      <c r="F9254" s="2066"/>
      <c r="G9254" s="2066"/>
      <c r="H9254" s="2066"/>
      <c r="I9254" s="2066"/>
      <c r="J9254" s="2066"/>
      <c r="K9254" s="2066"/>
      <c r="L9254" s="2066"/>
      <c r="M9254" s="2066"/>
      <c r="N9254" s="2066"/>
      <c r="O9254" s="2066"/>
      <c r="P9254" s="49"/>
      <c r="Q9254" s="1"/>
      <c r="R9254" s="2066"/>
      <c r="S9254" s="1"/>
      <c r="T9254" s="1"/>
      <c r="U9254" s="1"/>
      <c r="V9254" s="1"/>
      <c r="W9254" s="1"/>
      <c r="X9254" s="1"/>
      <c r="Y9254" s="1"/>
      <c r="Z9254" s="2066"/>
      <c r="AA9254" s="2066"/>
      <c r="AB9254" s="1"/>
      <c r="AC9254" s="1"/>
      <c r="AD9254" s="1"/>
      <c r="AE9254" s="1"/>
      <c r="AF9254" s="1"/>
      <c r="AG9254" s="1"/>
      <c r="AH9254" s="1"/>
      <c r="AI9254" s="1"/>
      <c r="AJ9254" s="1"/>
      <c r="AK9254" s="1"/>
      <c r="AL9254" s="1"/>
      <c r="AM9254" s="1"/>
    </row>
    <row r="9255" spans="1:39" x14ac:dyDescent="0.25">
      <c r="A9255" s="2066"/>
      <c r="B9255" s="2066"/>
      <c r="C9255" s="2066"/>
      <c r="D9255" s="2066"/>
      <c r="E9255" s="2066"/>
      <c r="F9255" s="2066"/>
      <c r="G9255" s="2066"/>
      <c r="H9255" s="2066"/>
      <c r="I9255" s="2066"/>
      <c r="J9255" s="2066"/>
      <c r="K9255" s="2066"/>
      <c r="L9255" s="2066"/>
      <c r="M9255" s="2066"/>
      <c r="N9255" s="2066"/>
      <c r="O9255" s="2066"/>
      <c r="P9255" s="49"/>
      <c r="Q9255" s="1"/>
      <c r="R9255" s="2066"/>
      <c r="S9255" s="1"/>
      <c r="T9255" s="1"/>
      <c r="U9255" s="1"/>
      <c r="V9255" s="1"/>
      <c r="W9255" s="1"/>
      <c r="X9255" s="1"/>
      <c r="Y9255" s="1"/>
      <c r="Z9255" s="2066"/>
      <c r="AA9255" s="2066"/>
      <c r="AB9255" s="1"/>
      <c r="AC9255" s="1"/>
      <c r="AD9255" s="1"/>
      <c r="AE9255" s="1"/>
      <c r="AF9255" s="1"/>
      <c r="AG9255" s="1"/>
      <c r="AH9255" s="1"/>
      <c r="AI9255" s="1"/>
      <c r="AJ9255" s="1"/>
      <c r="AK9255" s="1"/>
      <c r="AL9255" s="1"/>
      <c r="AM9255" s="1"/>
    </row>
    <row r="9256" spans="1:39" x14ac:dyDescent="0.25">
      <c r="A9256" s="2066"/>
      <c r="B9256" s="2066"/>
      <c r="C9256" s="2066"/>
      <c r="D9256" s="2066"/>
      <c r="E9256" s="2066"/>
      <c r="F9256" s="2066"/>
      <c r="G9256" s="2066"/>
      <c r="H9256" s="2066"/>
      <c r="I9256" s="2066"/>
      <c r="J9256" s="2066"/>
      <c r="K9256" s="2066"/>
      <c r="L9256" s="2066"/>
      <c r="M9256" s="2066"/>
      <c r="N9256" s="2066"/>
      <c r="O9256" s="2066"/>
      <c r="P9256" s="49"/>
      <c r="Q9256" s="1"/>
      <c r="R9256" s="2066"/>
      <c r="S9256" s="1"/>
      <c r="T9256" s="1"/>
      <c r="U9256" s="1"/>
      <c r="V9256" s="1"/>
      <c r="W9256" s="1"/>
      <c r="X9256" s="1"/>
      <c r="Y9256" s="1"/>
      <c r="Z9256" s="2066"/>
      <c r="AA9256" s="2066"/>
      <c r="AB9256" s="1"/>
      <c r="AC9256" s="1"/>
      <c r="AD9256" s="1"/>
      <c r="AE9256" s="1"/>
      <c r="AF9256" s="1"/>
      <c r="AG9256" s="1"/>
      <c r="AH9256" s="1"/>
      <c r="AI9256" s="1"/>
      <c r="AJ9256" s="1"/>
      <c r="AK9256" s="1"/>
      <c r="AL9256" s="1"/>
      <c r="AM9256" s="1"/>
    </row>
    <row r="9257" spans="1:39" x14ac:dyDescent="0.25">
      <c r="A9257" s="2066"/>
      <c r="B9257" s="2066"/>
      <c r="C9257" s="2066"/>
      <c r="D9257" s="2066"/>
      <c r="E9257" s="2066"/>
      <c r="F9257" s="2066"/>
      <c r="G9257" s="2066"/>
      <c r="H9257" s="2066"/>
      <c r="I9257" s="2066"/>
      <c r="J9257" s="2066"/>
      <c r="K9257" s="2066"/>
      <c r="L9257" s="2066"/>
      <c r="M9257" s="2066"/>
      <c r="N9257" s="2066"/>
      <c r="O9257" s="2066"/>
      <c r="P9257" s="49"/>
      <c r="Q9257" s="1"/>
      <c r="R9257" s="2066"/>
      <c r="S9257" s="1"/>
      <c r="T9257" s="1"/>
      <c r="U9257" s="1"/>
      <c r="V9257" s="1"/>
      <c r="W9257" s="1"/>
      <c r="X9257" s="1"/>
      <c r="Y9257" s="1"/>
      <c r="Z9257" s="2066"/>
      <c r="AA9257" s="2066"/>
      <c r="AB9257" s="1"/>
      <c r="AC9257" s="1"/>
      <c r="AD9257" s="1"/>
      <c r="AE9257" s="1"/>
      <c r="AF9257" s="1"/>
      <c r="AG9257" s="1"/>
      <c r="AH9257" s="1"/>
      <c r="AI9257" s="1"/>
      <c r="AJ9257" s="1"/>
      <c r="AK9257" s="1"/>
      <c r="AL9257" s="1"/>
      <c r="AM9257" s="1"/>
    </row>
    <row r="9258" spans="1:39" x14ac:dyDescent="0.25">
      <c r="A9258" s="2066"/>
      <c r="B9258" s="2066"/>
      <c r="C9258" s="2066"/>
      <c r="D9258" s="2066"/>
      <c r="E9258" s="2066"/>
      <c r="F9258" s="2066"/>
      <c r="G9258" s="2066"/>
      <c r="H9258" s="2066"/>
      <c r="I9258" s="2066"/>
      <c r="J9258" s="2066"/>
      <c r="K9258" s="2066"/>
      <c r="L9258" s="2066"/>
      <c r="M9258" s="2066"/>
      <c r="N9258" s="2066"/>
      <c r="O9258" s="2066"/>
      <c r="P9258" s="49"/>
      <c r="Q9258" s="1"/>
      <c r="R9258" s="2066"/>
      <c r="S9258" s="1"/>
      <c r="T9258" s="1"/>
      <c r="U9258" s="1"/>
      <c r="V9258" s="1"/>
      <c r="W9258" s="1"/>
      <c r="X9258" s="1"/>
      <c r="Y9258" s="1"/>
      <c r="Z9258" s="2066"/>
      <c r="AA9258" s="2066"/>
      <c r="AB9258" s="1"/>
      <c r="AC9258" s="1"/>
      <c r="AD9258" s="1"/>
      <c r="AE9258" s="1"/>
      <c r="AF9258" s="1"/>
      <c r="AG9258" s="1"/>
      <c r="AH9258" s="1"/>
      <c r="AI9258" s="1"/>
      <c r="AJ9258" s="1"/>
      <c r="AK9258" s="1"/>
      <c r="AL9258" s="1"/>
      <c r="AM9258" s="1"/>
    </row>
    <row r="9259" spans="1:39" x14ac:dyDescent="0.25">
      <c r="A9259" s="2066"/>
      <c r="B9259" s="2066"/>
      <c r="C9259" s="2066"/>
      <c r="D9259" s="2066"/>
      <c r="E9259" s="2066"/>
      <c r="F9259" s="2066"/>
      <c r="G9259" s="2066"/>
      <c r="H9259" s="2066"/>
      <c r="I9259" s="2066"/>
      <c r="J9259" s="2066"/>
      <c r="K9259" s="2066"/>
      <c r="L9259" s="2066"/>
      <c r="M9259" s="2066"/>
      <c r="N9259" s="2066"/>
      <c r="O9259" s="2066"/>
      <c r="P9259" s="49"/>
      <c r="Q9259" s="1"/>
      <c r="R9259" s="2066"/>
      <c r="S9259" s="1"/>
      <c r="T9259" s="1"/>
      <c r="U9259" s="1"/>
      <c r="V9259" s="1"/>
      <c r="W9259" s="1"/>
      <c r="X9259" s="1"/>
      <c r="Y9259" s="1"/>
      <c r="Z9259" s="2066"/>
      <c r="AA9259" s="2066"/>
      <c r="AB9259" s="1"/>
      <c r="AC9259" s="1"/>
      <c r="AD9259" s="1"/>
      <c r="AE9259" s="1"/>
      <c r="AF9259" s="1"/>
      <c r="AG9259" s="1"/>
      <c r="AH9259" s="1"/>
      <c r="AI9259" s="1"/>
      <c r="AJ9259" s="1"/>
      <c r="AK9259" s="1"/>
      <c r="AL9259" s="1"/>
      <c r="AM9259" s="1"/>
    </row>
    <row r="9260" spans="1:39" x14ac:dyDescent="0.25">
      <c r="A9260" s="2066"/>
      <c r="B9260" s="2066"/>
      <c r="C9260" s="2066"/>
      <c r="D9260" s="2066"/>
      <c r="E9260" s="2066"/>
      <c r="F9260" s="2066"/>
      <c r="G9260" s="2066"/>
      <c r="H9260" s="2066"/>
      <c r="I9260" s="2066"/>
      <c r="J9260" s="2066"/>
      <c r="K9260" s="2066"/>
      <c r="L9260" s="2066"/>
      <c r="M9260" s="2066"/>
      <c r="N9260" s="2066"/>
      <c r="O9260" s="2066"/>
      <c r="P9260" s="49"/>
      <c r="Q9260" s="1"/>
      <c r="R9260" s="2066"/>
      <c r="S9260" s="1"/>
      <c r="T9260" s="1"/>
      <c r="U9260" s="1"/>
      <c r="V9260" s="1"/>
      <c r="W9260" s="1"/>
      <c r="X9260" s="1"/>
      <c r="Y9260" s="1"/>
      <c r="Z9260" s="2066"/>
      <c r="AA9260" s="2066"/>
      <c r="AB9260" s="1"/>
      <c r="AC9260" s="1"/>
      <c r="AD9260" s="1"/>
      <c r="AE9260" s="1"/>
      <c r="AF9260" s="1"/>
      <c r="AG9260" s="1"/>
      <c r="AH9260" s="1"/>
      <c r="AI9260" s="1"/>
      <c r="AJ9260" s="1"/>
      <c r="AK9260" s="1"/>
      <c r="AL9260" s="1"/>
      <c r="AM9260" s="1"/>
    </row>
    <row r="9261" spans="1:39" x14ac:dyDescent="0.25">
      <c r="A9261" s="2066"/>
      <c r="B9261" s="2066"/>
      <c r="C9261" s="2066"/>
      <c r="D9261" s="2066"/>
      <c r="E9261" s="2066"/>
      <c r="F9261" s="2066"/>
      <c r="G9261" s="2066"/>
      <c r="H9261" s="2066"/>
      <c r="I9261" s="2066"/>
      <c r="J9261" s="2066"/>
      <c r="K9261" s="2066"/>
      <c r="L9261" s="2066"/>
      <c r="M9261" s="2066"/>
      <c r="N9261" s="2066"/>
      <c r="O9261" s="2066"/>
      <c r="P9261" s="49"/>
      <c r="Q9261" s="1"/>
      <c r="R9261" s="2066"/>
      <c r="S9261" s="1"/>
      <c r="T9261" s="1"/>
      <c r="U9261" s="1"/>
      <c r="V9261" s="1"/>
      <c r="W9261" s="1"/>
      <c r="X9261" s="1"/>
      <c r="Y9261" s="1"/>
      <c r="Z9261" s="2066"/>
      <c r="AA9261" s="2066"/>
      <c r="AB9261" s="1"/>
      <c r="AC9261" s="1"/>
      <c r="AD9261" s="1"/>
      <c r="AE9261" s="1"/>
      <c r="AF9261" s="1"/>
      <c r="AG9261" s="1"/>
      <c r="AH9261" s="1"/>
      <c r="AI9261" s="1"/>
      <c r="AJ9261" s="1"/>
      <c r="AK9261" s="1"/>
      <c r="AL9261" s="1"/>
      <c r="AM9261" s="1"/>
    </row>
    <row r="9262" spans="1:39" x14ac:dyDescent="0.25">
      <c r="A9262" s="2066"/>
      <c r="B9262" s="2066"/>
      <c r="C9262" s="2066"/>
      <c r="D9262" s="2066"/>
      <c r="E9262" s="2066"/>
      <c r="F9262" s="2066"/>
      <c r="G9262" s="2066"/>
      <c r="H9262" s="2066"/>
      <c r="I9262" s="2066"/>
      <c r="J9262" s="2066"/>
      <c r="K9262" s="2066"/>
      <c r="L9262" s="2066"/>
      <c r="M9262" s="2066"/>
      <c r="N9262" s="2066"/>
      <c r="O9262" s="2066"/>
      <c r="P9262" s="49"/>
      <c r="Q9262" s="1"/>
      <c r="R9262" s="2066"/>
      <c r="S9262" s="1"/>
      <c r="T9262" s="1"/>
      <c r="U9262" s="1"/>
      <c r="V9262" s="1"/>
      <c r="W9262" s="1"/>
      <c r="X9262" s="1"/>
      <c r="Y9262" s="1"/>
      <c r="Z9262" s="2066"/>
      <c r="AA9262" s="2066"/>
      <c r="AB9262" s="1"/>
      <c r="AC9262" s="1"/>
      <c r="AD9262" s="1"/>
      <c r="AE9262" s="1"/>
      <c r="AF9262" s="1"/>
      <c r="AG9262" s="1"/>
      <c r="AH9262" s="1"/>
      <c r="AI9262" s="1"/>
      <c r="AJ9262" s="1"/>
      <c r="AK9262" s="1"/>
      <c r="AL9262" s="1"/>
      <c r="AM9262" s="1"/>
    </row>
    <row r="9263" spans="1:39" x14ac:dyDescent="0.25">
      <c r="A9263" s="2066"/>
      <c r="B9263" s="2066"/>
      <c r="C9263" s="2066"/>
      <c r="D9263" s="2066"/>
      <c r="E9263" s="2066"/>
      <c r="F9263" s="2066"/>
      <c r="G9263" s="2066"/>
      <c r="H9263" s="2066"/>
      <c r="I9263" s="2066"/>
      <c r="J9263" s="2066"/>
      <c r="K9263" s="2066"/>
      <c r="L9263" s="2066"/>
      <c r="M9263" s="2066"/>
      <c r="N9263" s="2066"/>
      <c r="O9263" s="2066"/>
      <c r="P9263" s="49"/>
      <c r="Q9263" s="1"/>
      <c r="R9263" s="2066"/>
      <c r="S9263" s="1"/>
      <c r="T9263" s="1"/>
      <c r="U9263" s="1"/>
      <c r="V9263" s="1"/>
      <c r="W9263" s="1"/>
      <c r="X9263" s="1"/>
      <c r="Y9263" s="1"/>
      <c r="Z9263" s="2066"/>
      <c r="AA9263" s="2066"/>
      <c r="AB9263" s="1"/>
      <c r="AC9263" s="1"/>
      <c r="AD9263" s="1"/>
      <c r="AE9263" s="1"/>
      <c r="AF9263" s="1"/>
      <c r="AG9263" s="1"/>
      <c r="AH9263" s="1"/>
      <c r="AI9263" s="1"/>
      <c r="AJ9263" s="1"/>
      <c r="AK9263" s="1"/>
      <c r="AL9263" s="1"/>
      <c r="AM9263" s="1"/>
    </row>
    <row r="9264" spans="1:39" x14ac:dyDescent="0.25">
      <c r="A9264" s="2066"/>
      <c r="B9264" s="2066"/>
      <c r="C9264" s="2066"/>
      <c r="D9264" s="2066"/>
      <c r="E9264" s="2066"/>
      <c r="F9264" s="2066"/>
      <c r="G9264" s="2066"/>
      <c r="H9264" s="2066"/>
      <c r="I9264" s="2066"/>
      <c r="J9264" s="2066"/>
      <c r="K9264" s="2066"/>
      <c r="L9264" s="2066"/>
      <c r="M9264" s="2066"/>
      <c r="N9264" s="2066"/>
      <c r="O9264" s="2066"/>
      <c r="P9264" s="49"/>
      <c r="Q9264" s="1"/>
      <c r="R9264" s="2066"/>
      <c r="S9264" s="1"/>
      <c r="T9264" s="1"/>
      <c r="U9264" s="1"/>
      <c r="V9264" s="1"/>
      <c r="W9264" s="1"/>
      <c r="X9264" s="1"/>
      <c r="Y9264" s="1"/>
      <c r="Z9264" s="2066"/>
      <c r="AA9264" s="2066"/>
      <c r="AB9264" s="1"/>
      <c r="AC9264" s="1"/>
      <c r="AD9264" s="1"/>
      <c r="AE9264" s="1"/>
      <c r="AF9264" s="1"/>
      <c r="AG9264" s="1"/>
      <c r="AH9264" s="1"/>
      <c r="AI9264" s="1"/>
      <c r="AJ9264" s="1"/>
      <c r="AK9264" s="1"/>
      <c r="AL9264" s="1"/>
      <c r="AM9264" s="1"/>
    </row>
    <row r="9265" spans="1:39" x14ac:dyDescent="0.25">
      <c r="A9265" s="2066"/>
      <c r="B9265" s="2066"/>
      <c r="C9265" s="2066"/>
      <c r="D9265" s="2066"/>
      <c r="E9265" s="2066"/>
      <c r="F9265" s="2066"/>
      <c r="G9265" s="2066"/>
      <c r="H9265" s="2066"/>
      <c r="I9265" s="2066"/>
      <c r="J9265" s="2066"/>
      <c r="K9265" s="2066"/>
      <c r="L9265" s="2066"/>
      <c r="M9265" s="2066"/>
      <c r="N9265" s="2066"/>
      <c r="O9265" s="2066"/>
      <c r="P9265" s="49"/>
      <c r="Q9265" s="1"/>
      <c r="R9265" s="2066"/>
      <c r="S9265" s="1"/>
      <c r="T9265" s="1"/>
      <c r="U9265" s="1"/>
      <c r="V9265" s="1"/>
      <c r="W9265" s="1"/>
      <c r="X9265" s="1"/>
      <c r="Y9265" s="1"/>
      <c r="Z9265" s="2066"/>
      <c r="AA9265" s="2066"/>
      <c r="AB9265" s="1"/>
      <c r="AC9265" s="1"/>
      <c r="AD9265" s="1"/>
      <c r="AE9265" s="1"/>
      <c r="AF9265" s="1"/>
      <c r="AG9265" s="1"/>
      <c r="AH9265" s="1"/>
      <c r="AI9265" s="1"/>
      <c r="AJ9265" s="1"/>
      <c r="AK9265" s="1"/>
      <c r="AL9265" s="1"/>
      <c r="AM9265" s="1"/>
    </row>
    <row r="9266" spans="1:39" x14ac:dyDescent="0.25">
      <c r="A9266" s="2066"/>
      <c r="B9266" s="2066"/>
      <c r="C9266" s="2066"/>
      <c r="D9266" s="2066"/>
      <c r="E9266" s="2066"/>
      <c r="F9266" s="2066"/>
      <c r="G9266" s="2066"/>
      <c r="H9266" s="2066"/>
      <c r="I9266" s="2066"/>
      <c r="J9266" s="2066"/>
      <c r="K9266" s="2066"/>
      <c r="L9266" s="2066"/>
      <c r="M9266" s="2066"/>
      <c r="N9266" s="2066"/>
      <c r="O9266" s="2066"/>
      <c r="P9266" s="49"/>
      <c r="Q9266" s="1"/>
      <c r="R9266" s="2066"/>
      <c r="S9266" s="1"/>
      <c r="T9266" s="1"/>
      <c r="U9266" s="1"/>
      <c r="V9266" s="1"/>
      <c r="W9266" s="1"/>
      <c r="X9266" s="1"/>
      <c r="Y9266" s="1"/>
      <c r="Z9266" s="2066"/>
      <c r="AA9266" s="2066"/>
      <c r="AB9266" s="1"/>
      <c r="AC9266" s="1"/>
      <c r="AD9266" s="1"/>
      <c r="AE9266" s="1"/>
      <c r="AF9266" s="1"/>
      <c r="AG9266" s="1"/>
      <c r="AH9266" s="1"/>
      <c r="AI9266" s="1"/>
      <c r="AJ9266" s="1"/>
      <c r="AK9266" s="1"/>
      <c r="AL9266" s="1"/>
      <c r="AM9266" s="1"/>
    </row>
    <row r="9267" spans="1:39" x14ac:dyDescent="0.25">
      <c r="A9267" s="2066"/>
      <c r="B9267" s="2066"/>
      <c r="C9267" s="2066"/>
      <c r="D9267" s="2066"/>
      <c r="E9267" s="2066"/>
      <c r="F9267" s="2066"/>
      <c r="G9267" s="2066"/>
      <c r="H9267" s="2066"/>
      <c r="I9267" s="2066"/>
      <c r="J9267" s="2066"/>
      <c r="K9267" s="2066"/>
      <c r="L9267" s="2066"/>
      <c r="M9267" s="2066"/>
      <c r="N9267" s="2066"/>
      <c r="O9267" s="2066"/>
      <c r="P9267" s="49"/>
      <c r="Q9267" s="1"/>
      <c r="R9267" s="2066"/>
      <c r="S9267" s="1"/>
      <c r="T9267" s="1"/>
      <c r="U9267" s="1"/>
      <c r="V9267" s="1"/>
      <c r="W9267" s="1"/>
      <c r="X9267" s="1"/>
      <c r="Y9267" s="1"/>
      <c r="Z9267" s="2066"/>
      <c r="AA9267" s="2066"/>
      <c r="AB9267" s="1"/>
      <c r="AC9267" s="1"/>
      <c r="AD9267" s="1"/>
      <c r="AE9267" s="1"/>
      <c r="AF9267" s="1"/>
      <c r="AG9267" s="1"/>
      <c r="AH9267" s="1"/>
      <c r="AI9267" s="1"/>
      <c r="AJ9267" s="1"/>
      <c r="AK9267" s="1"/>
      <c r="AL9267" s="1"/>
      <c r="AM9267" s="1"/>
    </row>
    <row r="9268" spans="1:39" x14ac:dyDescent="0.25">
      <c r="A9268" s="2066"/>
      <c r="B9268" s="2066"/>
      <c r="C9268" s="2066"/>
      <c r="D9268" s="2066"/>
      <c r="E9268" s="2066"/>
      <c r="F9268" s="2066"/>
      <c r="G9268" s="2066"/>
      <c r="H9268" s="2066"/>
      <c r="I9268" s="2066"/>
      <c r="J9268" s="2066"/>
      <c r="K9268" s="2066"/>
      <c r="L9268" s="2066"/>
      <c r="M9268" s="2066"/>
      <c r="N9268" s="2066"/>
      <c r="O9268" s="2066"/>
      <c r="P9268" s="49"/>
      <c r="Q9268" s="1"/>
      <c r="R9268" s="2066"/>
      <c r="S9268" s="1"/>
      <c r="T9268" s="1"/>
      <c r="U9268" s="1"/>
      <c r="V9268" s="1"/>
      <c r="W9268" s="1"/>
      <c r="X9268" s="1"/>
      <c r="Y9268" s="1"/>
      <c r="Z9268" s="2066"/>
      <c r="AA9268" s="2066"/>
      <c r="AB9268" s="1"/>
      <c r="AC9268" s="1"/>
      <c r="AD9268" s="1"/>
      <c r="AE9268" s="1"/>
      <c r="AF9268" s="1"/>
      <c r="AG9268" s="1"/>
      <c r="AH9268" s="1"/>
      <c r="AI9268" s="1"/>
      <c r="AJ9268" s="1"/>
      <c r="AK9268" s="1"/>
      <c r="AL9268" s="1"/>
      <c r="AM9268" s="1"/>
    </row>
    <row r="9269" spans="1:39" x14ac:dyDescent="0.25">
      <c r="A9269" s="2066"/>
      <c r="B9269" s="2066"/>
      <c r="C9269" s="2066"/>
      <c r="D9269" s="2066"/>
      <c r="E9269" s="2066"/>
      <c r="F9269" s="2066"/>
      <c r="G9269" s="2066"/>
      <c r="H9269" s="2066"/>
      <c r="I9269" s="2066"/>
      <c r="J9269" s="2066"/>
      <c r="K9269" s="2066"/>
      <c r="L9269" s="2066"/>
      <c r="M9269" s="2066"/>
      <c r="N9269" s="2066"/>
      <c r="O9269" s="2066"/>
      <c r="P9269" s="49"/>
      <c r="Q9269" s="1"/>
      <c r="R9269" s="2066"/>
      <c r="S9269" s="1"/>
      <c r="T9269" s="1"/>
      <c r="U9269" s="1"/>
      <c r="V9269" s="1"/>
      <c r="W9269" s="1"/>
      <c r="X9269" s="1"/>
      <c r="Y9269" s="1"/>
      <c r="Z9269" s="2066"/>
      <c r="AA9269" s="2066"/>
      <c r="AB9269" s="1"/>
      <c r="AC9269" s="1"/>
      <c r="AD9269" s="1"/>
      <c r="AE9269" s="1"/>
      <c r="AF9269" s="1"/>
      <c r="AG9269" s="1"/>
      <c r="AH9269" s="1"/>
      <c r="AI9269" s="1"/>
      <c r="AJ9269" s="1"/>
      <c r="AK9269" s="1"/>
      <c r="AL9269" s="1"/>
      <c r="AM9269" s="1"/>
    </row>
    <row r="9270" spans="1:39" x14ac:dyDescent="0.25">
      <c r="A9270" s="2066"/>
      <c r="B9270" s="2066"/>
      <c r="C9270" s="2066"/>
      <c r="D9270" s="2066"/>
      <c r="E9270" s="2066"/>
      <c r="F9270" s="2066"/>
      <c r="G9270" s="2066"/>
      <c r="H9270" s="2066"/>
      <c r="I9270" s="2066"/>
      <c r="J9270" s="2066"/>
      <c r="K9270" s="2066"/>
      <c r="L9270" s="2066"/>
      <c r="M9270" s="2066"/>
      <c r="N9270" s="2066"/>
      <c r="O9270" s="2066"/>
      <c r="P9270" s="49"/>
      <c r="Q9270" s="1"/>
      <c r="R9270" s="2066"/>
      <c r="S9270" s="1"/>
      <c r="T9270" s="1"/>
      <c r="U9270" s="1"/>
      <c r="V9270" s="1"/>
      <c r="W9270" s="1"/>
      <c r="X9270" s="1"/>
      <c r="Y9270" s="1"/>
      <c r="Z9270" s="2066"/>
      <c r="AA9270" s="2066"/>
      <c r="AB9270" s="1"/>
      <c r="AC9270" s="1"/>
      <c r="AD9270" s="1"/>
      <c r="AE9270" s="1"/>
      <c r="AF9270" s="1"/>
      <c r="AG9270" s="1"/>
      <c r="AH9270" s="1"/>
      <c r="AI9270" s="1"/>
      <c r="AJ9270" s="1"/>
      <c r="AK9270" s="1"/>
      <c r="AL9270" s="1"/>
      <c r="AM9270" s="1"/>
    </row>
    <row r="9271" spans="1:39" x14ac:dyDescent="0.25">
      <c r="A9271" s="2066"/>
      <c r="B9271" s="2066"/>
      <c r="C9271" s="2066"/>
      <c r="D9271" s="2066"/>
      <c r="E9271" s="2066"/>
      <c r="F9271" s="2066"/>
      <c r="G9271" s="2066"/>
      <c r="H9271" s="2066"/>
      <c r="I9271" s="2066"/>
      <c r="J9271" s="2066"/>
      <c r="K9271" s="2066"/>
      <c r="L9271" s="2066"/>
      <c r="M9271" s="2066"/>
      <c r="N9271" s="2066"/>
      <c r="O9271" s="2066"/>
      <c r="P9271" s="49"/>
      <c r="Q9271" s="1"/>
      <c r="R9271" s="2066"/>
      <c r="S9271" s="1"/>
      <c r="T9271" s="1"/>
      <c r="U9271" s="1"/>
      <c r="V9271" s="1"/>
      <c r="W9271" s="1"/>
      <c r="X9271" s="1"/>
      <c r="Y9271" s="1"/>
      <c r="Z9271" s="2066"/>
      <c r="AA9271" s="2066"/>
      <c r="AB9271" s="1"/>
      <c r="AC9271" s="1"/>
      <c r="AD9271" s="1"/>
      <c r="AE9271" s="1"/>
      <c r="AF9271" s="1"/>
      <c r="AG9271" s="1"/>
      <c r="AH9271" s="1"/>
      <c r="AI9271" s="1"/>
      <c r="AJ9271" s="1"/>
      <c r="AK9271" s="1"/>
      <c r="AL9271" s="1"/>
      <c r="AM9271" s="1"/>
    </row>
    <row r="9272" spans="1:39" x14ac:dyDescent="0.25">
      <c r="A9272" s="2066"/>
      <c r="B9272" s="2066"/>
      <c r="C9272" s="2066"/>
      <c r="D9272" s="2066"/>
      <c r="E9272" s="2066"/>
      <c r="F9272" s="2066"/>
      <c r="G9272" s="2066"/>
      <c r="H9272" s="2066"/>
      <c r="I9272" s="2066"/>
      <c r="J9272" s="2066"/>
      <c r="K9272" s="2066"/>
      <c r="L9272" s="2066"/>
      <c r="M9272" s="2066"/>
      <c r="N9272" s="2066"/>
      <c r="O9272" s="2066"/>
      <c r="P9272" s="49"/>
      <c r="Q9272" s="1"/>
      <c r="R9272" s="2066"/>
      <c r="S9272" s="1"/>
      <c r="T9272" s="1"/>
      <c r="U9272" s="1"/>
      <c r="V9272" s="1"/>
      <c r="W9272" s="1"/>
      <c r="X9272" s="1"/>
      <c r="Y9272" s="1"/>
      <c r="Z9272" s="2066"/>
      <c r="AA9272" s="2066"/>
      <c r="AB9272" s="1"/>
      <c r="AC9272" s="1"/>
      <c r="AD9272" s="1"/>
      <c r="AE9272" s="1"/>
      <c r="AF9272" s="1"/>
      <c r="AG9272" s="1"/>
      <c r="AH9272" s="1"/>
      <c r="AI9272" s="1"/>
      <c r="AJ9272" s="1"/>
      <c r="AK9272" s="1"/>
      <c r="AL9272" s="1"/>
      <c r="AM9272" s="1"/>
    </row>
    <row r="9273" spans="1:39" x14ac:dyDescent="0.25">
      <c r="A9273" s="2066"/>
      <c r="B9273" s="2066"/>
      <c r="C9273" s="2066"/>
      <c r="D9273" s="2066"/>
      <c r="E9273" s="2066"/>
      <c r="F9273" s="2066"/>
      <c r="G9273" s="2066"/>
      <c r="H9273" s="2066"/>
      <c r="I9273" s="2066"/>
      <c r="J9273" s="2066"/>
      <c r="K9273" s="2066"/>
      <c r="L9273" s="2066"/>
      <c r="M9273" s="2066"/>
      <c r="N9273" s="2066"/>
      <c r="O9273" s="2066"/>
      <c r="P9273" s="49"/>
      <c r="Q9273" s="1"/>
      <c r="R9273" s="2066"/>
      <c r="S9273" s="1"/>
      <c r="T9273" s="1"/>
      <c r="U9273" s="1"/>
      <c r="V9273" s="1"/>
      <c r="W9273" s="1"/>
      <c r="X9273" s="1"/>
      <c r="Y9273" s="1"/>
      <c r="Z9273" s="2066"/>
      <c r="AA9273" s="2066"/>
      <c r="AB9273" s="1"/>
      <c r="AC9273" s="1"/>
      <c r="AD9273" s="1"/>
      <c r="AE9273" s="1"/>
      <c r="AF9273" s="1"/>
      <c r="AG9273" s="1"/>
      <c r="AH9273" s="1"/>
      <c r="AI9273" s="1"/>
      <c r="AJ9273" s="1"/>
      <c r="AK9273" s="1"/>
      <c r="AL9273" s="1"/>
      <c r="AM9273" s="1"/>
    </row>
    <row r="9274" spans="1:39" x14ac:dyDescent="0.25">
      <c r="A9274" s="2066"/>
      <c r="B9274" s="2066"/>
      <c r="C9274" s="2066"/>
      <c r="D9274" s="2066"/>
      <c r="E9274" s="2066"/>
      <c r="F9274" s="2066"/>
      <c r="G9274" s="2066"/>
      <c r="H9274" s="2066"/>
      <c r="I9274" s="2066"/>
      <c r="J9274" s="2066"/>
      <c r="K9274" s="2066"/>
      <c r="L9274" s="2066"/>
      <c r="M9274" s="2066"/>
      <c r="N9274" s="2066"/>
      <c r="O9274" s="2066"/>
      <c r="P9274" s="49"/>
      <c r="Q9274" s="1"/>
      <c r="R9274" s="2066"/>
      <c r="S9274" s="1"/>
      <c r="T9274" s="1"/>
      <c r="U9274" s="1"/>
      <c r="V9274" s="1"/>
      <c r="W9274" s="1"/>
      <c r="X9274" s="1"/>
      <c r="Y9274" s="1"/>
      <c r="Z9274" s="2066"/>
      <c r="AA9274" s="2066"/>
      <c r="AB9274" s="1"/>
      <c r="AC9274" s="1"/>
      <c r="AD9274" s="1"/>
      <c r="AE9274" s="1"/>
      <c r="AF9274" s="1"/>
      <c r="AG9274" s="1"/>
      <c r="AH9274" s="1"/>
      <c r="AI9274" s="1"/>
      <c r="AJ9274" s="1"/>
      <c r="AK9274" s="1"/>
      <c r="AL9274" s="1"/>
      <c r="AM9274" s="1"/>
    </row>
    <row r="9275" spans="1:39" x14ac:dyDescent="0.25">
      <c r="A9275" s="2066"/>
      <c r="B9275" s="2066"/>
      <c r="C9275" s="2066"/>
      <c r="D9275" s="2066"/>
      <c r="E9275" s="2066"/>
      <c r="F9275" s="2066"/>
      <c r="G9275" s="2066"/>
      <c r="H9275" s="2066"/>
      <c r="I9275" s="2066"/>
      <c r="J9275" s="2066"/>
      <c r="K9275" s="2066"/>
      <c r="L9275" s="2066"/>
      <c r="M9275" s="2066"/>
      <c r="N9275" s="2066"/>
      <c r="O9275" s="2066"/>
      <c r="P9275" s="49"/>
      <c r="Q9275" s="1"/>
      <c r="R9275" s="2066"/>
      <c r="S9275" s="1"/>
      <c r="T9275" s="1"/>
      <c r="U9275" s="1"/>
      <c r="V9275" s="1"/>
      <c r="W9275" s="1"/>
      <c r="X9275" s="1"/>
      <c r="Y9275" s="1"/>
      <c r="Z9275" s="2066"/>
      <c r="AA9275" s="2066"/>
      <c r="AB9275" s="1"/>
      <c r="AC9275" s="1"/>
      <c r="AD9275" s="1"/>
      <c r="AE9275" s="1"/>
      <c r="AF9275" s="1"/>
      <c r="AG9275" s="1"/>
      <c r="AH9275" s="1"/>
      <c r="AI9275" s="1"/>
      <c r="AJ9275" s="1"/>
      <c r="AK9275" s="1"/>
      <c r="AL9275" s="1"/>
      <c r="AM9275" s="1"/>
    </row>
    <row r="9276" spans="1:39" x14ac:dyDescent="0.25">
      <c r="A9276" s="2066"/>
      <c r="B9276" s="2066"/>
      <c r="C9276" s="2066"/>
      <c r="D9276" s="2066"/>
      <c r="E9276" s="2066"/>
      <c r="F9276" s="2066"/>
      <c r="G9276" s="2066"/>
      <c r="H9276" s="2066"/>
      <c r="I9276" s="2066"/>
      <c r="J9276" s="2066"/>
      <c r="K9276" s="2066"/>
      <c r="L9276" s="2066"/>
      <c r="M9276" s="2066"/>
      <c r="N9276" s="2066"/>
      <c r="O9276" s="2066"/>
      <c r="P9276" s="49"/>
      <c r="Q9276" s="1"/>
      <c r="R9276" s="2066"/>
      <c r="S9276" s="1"/>
      <c r="T9276" s="1"/>
      <c r="U9276" s="1"/>
      <c r="V9276" s="1"/>
      <c r="W9276" s="1"/>
      <c r="X9276" s="1"/>
      <c r="Y9276" s="1"/>
      <c r="Z9276" s="2066"/>
      <c r="AA9276" s="2066"/>
      <c r="AB9276" s="1"/>
      <c r="AC9276" s="1"/>
      <c r="AD9276" s="1"/>
      <c r="AE9276" s="1"/>
      <c r="AF9276" s="1"/>
      <c r="AG9276" s="1"/>
      <c r="AH9276" s="1"/>
      <c r="AI9276" s="1"/>
      <c r="AJ9276" s="1"/>
      <c r="AK9276" s="1"/>
      <c r="AL9276" s="1"/>
      <c r="AM9276" s="1"/>
    </row>
    <row r="9277" spans="1:39" x14ac:dyDescent="0.25">
      <c r="A9277" s="2066"/>
      <c r="B9277" s="2066"/>
      <c r="C9277" s="2066"/>
      <c r="D9277" s="2066"/>
      <c r="E9277" s="2066"/>
      <c r="F9277" s="2066"/>
      <c r="G9277" s="2066"/>
      <c r="H9277" s="2066"/>
      <c r="I9277" s="2066"/>
      <c r="J9277" s="2066"/>
      <c r="K9277" s="2066"/>
      <c r="L9277" s="2066"/>
      <c r="M9277" s="2066"/>
      <c r="N9277" s="2066"/>
      <c r="O9277" s="2066"/>
      <c r="P9277" s="49"/>
      <c r="Q9277" s="1"/>
      <c r="R9277" s="2066"/>
      <c r="S9277" s="1"/>
      <c r="T9277" s="1"/>
      <c r="U9277" s="1"/>
      <c r="V9277" s="1"/>
      <c r="W9277" s="1"/>
      <c r="X9277" s="1"/>
      <c r="Y9277" s="1"/>
      <c r="Z9277" s="2066"/>
      <c r="AA9277" s="2066"/>
      <c r="AB9277" s="1"/>
      <c r="AC9277" s="1"/>
      <c r="AD9277" s="1"/>
      <c r="AE9277" s="1"/>
      <c r="AF9277" s="1"/>
      <c r="AG9277" s="1"/>
      <c r="AH9277" s="1"/>
      <c r="AI9277" s="1"/>
      <c r="AJ9277" s="1"/>
      <c r="AK9277" s="1"/>
      <c r="AL9277" s="1"/>
      <c r="AM9277" s="1"/>
    </row>
    <row r="9278" spans="1:39" x14ac:dyDescent="0.25">
      <c r="A9278" s="2066"/>
      <c r="B9278" s="2066"/>
      <c r="C9278" s="2066"/>
      <c r="D9278" s="2066"/>
      <c r="E9278" s="2066"/>
      <c r="F9278" s="2066"/>
      <c r="G9278" s="2066"/>
      <c r="H9278" s="2066"/>
      <c r="I9278" s="2066"/>
      <c r="J9278" s="2066"/>
      <c r="K9278" s="2066"/>
      <c r="L9278" s="2066"/>
      <c r="M9278" s="2066"/>
      <c r="N9278" s="2066"/>
      <c r="O9278" s="2066"/>
      <c r="P9278" s="49"/>
      <c r="Q9278" s="1"/>
      <c r="R9278" s="2066"/>
      <c r="S9278" s="1"/>
      <c r="T9278" s="1"/>
      <c r="U9278" s="1"/>
      <c r="V9278" s="1"/>
      <c r="W9278" s="1"/>
      <c r="X9278" s="1"/>
      <c r="Y9278" s="1"/>
      <c r="Z9278" s="2066"/>
      <c r="AA9278" s="2066"/>
      <c r="AB9278" s="1"/>
      <c r="AC9278" s="1"/>
      <c r="AD9278" s="1"/>
      <c r="AE9278" s="1"/>
      <c r="AF9278" s="1"/>
      <c r="AG9278" s="1"/>
      <c r="AH9278" s="1"/>
      <c r="AI9278" s="1"/>
      <c r="AJ9278" s="1"/>
      <c r="AK9278" s="1"/>
      <c r="AL9278" s="1"/>
      <c r="AM9278" s="1"/>
    </row>
    <row r="9279" spans="1:39" x14ac:dyDescent="0.25">
      <c r="A9279" s="2066"/>
      <c r="B9279" s="2066"/>
      <c r="C9279" s="2066"/>
      <c r="D9279" s="2066"/>
      <c r="E9279" s="2066"/>
      <c r="F9279" s="2066"/>
      <c r="G9279" s="2066"/>
      <c r="H9279" s="2066"/>
      <c r="I9279" s="2066"/>
      <c r="J9279" s="2066"/>
      <c r="K9279" s="2066"/>
      <c r="L9279" s="2066"/>
      <c r="M9279" s="2066"/>
      <c r="N9279" s="2066"/>
      <c r="O9279" s="2066"/>
      <c r="P9279" s="49"/>
      <c r="Q9279" s="1"/>
      <c r="R9279" s="2066"/>
      <c r="S9279" s="1"/>
      <c r="T9279" s="1"/>
      <c r="U9279" s="1"/>
      <c r="V9279" s="1"/>
      <c r="W9279" s="1"/>
      <c r="X9279" s="1"/>
      <c r="Y9279" s="1"/>
      <c r="Z9279" s="2066"/>
      <c r="AA9279" s="2066"/>
      <c r="AB9279" s="1"/>
      <c r="AC9279" s="1"/>
      <c r="AD9279" s="1"/>
      <c r="AE9279" s="1"/>
      <c r="AF9279" s="1"/>
      <c r="AG9279" s="1"/>
      <c r="AH9279" s="1"/>
      <c r="AI9279" s="1"/>
      <c r="AJ9279" s="1"/>
      <c r="AK9279" s="1"/>
      <c r="AL9279" s="1"/>
      <c r="AM9279" s="1"/>
    </row>
    <row r="9280" spans="1:39" x14ac:dyDescent="0.25">
      <c r="A9280" s="2066"/>
      <c r="B9280" s="2066"/>
      <c r="C9280" s="2066"/>
      <c r="D9280" s="2066"/>
      <c r="E9280" s="2066"/>
      <c r="F9280" s="2066"/>
      <c r="G9280" s="2066"/>
      <c r="H9280" s="2066"/>
      <c r="I9280" s="2066"/>
      <c r="J9280" s="2066"/>
      <c r="K9280" s="2066"/>
      <c r="L9280" s="2066"/>
      <c r="M9280" s="2066"/>
      <c r="N9280" s="2066"/>
      <c r="O9280" s="2066"/>
      <c r="P9280" s="49"/>
      <c r="Q9280" s="1"/>
      <c r="R9280" s="2066"/>
      <c r="S9280" s="1"/>
      <c r="T9280" s="1"/>
      <c r="U9280" s="1"/>
      <c r="V9280" s="1"/>
      <c r="W9280" s="1"/>
      <c r="X9280" s="1"/>
      <c r="Y9280" s="1"/>
      <c r="Z9280" s="2066"/>
      <c r="AA9280" s="2066"/>
      <c r="AB9280" s="1"/>
      <c r="AC9280" s="1"/>
      <c r="AD9280" s="1"/>
      <c r="AE9280" s="1"/>
      <c r="AF9280" s="1"/>
      <c r="AG9280" s="1"/>
      <c r="AH9280" s="1"/>
      <c r="AI9280" s="1"/>
      <c r="AJ9280" s="1"/>
      <c r="AK9280" s="1"/>
      <c r="AL9280" s="1"/>
      <c r="AM9280" s="1"/>
    </row>
    <row r="9281" spans="1:39" x14ac:dyDescent="0.25">
      <c r="A9281" s="2066"/>
      <c r="B9281" s="2066"/>
      <c r="C9281" s="2066"/>
      <c r="D9281" s="2066"/>
      <c r="E9281" s="2066"/>
      <c r="F9281" s="2066"/>
      <c r="G9281" s="2066"/>
      <c r="H9281" s="2066"/>
      <c r="I9281" s="2066"/>
      <c r="J9281" s="2066"/>
      <c r="K9281" s="2066"/>
      <c r="L9281" s="2066"/>
      <c r="M9281" s="2066"/>
      <c r="N9281" s="2066"/>
      <c r="O9281" s="2066"/>
      <c r="P9281" s="49"/>
      <c r="Q9281" s="1"/>
      <c r="R9281" s="2066"/>
      <c r="S9281" s="1"/>
      <c r="T9281" s="1"/>
      <c r="U9281" s="1"/>
      <c r="V9281" s="1"/>
      <c r="W9281" s="1"/>
      <c r="X9281" s="1"/>
      <c r="Y9281" s="1"/>
      <c r="Z9281" s="2066"/>
      <c r="AA9281" s="2066"/>
      <c r="AB9281" s="1"/>
      <c r="AC9281" s="1"/>
      <c r="AD9281" s="1"/>
      <c r="AE9281" s="1"/>
      <c r="AF9281" s="1"/>
      <c r="AG9281" s="1"/>
      <c r="AH9281" s="1"/>
      <c r="AI9281" s="1"/>
      <c r="AJ9281" s="1"/>
      <c r="AK9281" s="1"/>
      <c r="AL9281" s="1"/>
      <c r="AM9281" s="1"/>
    </row>
    <row r="9282" spans="1:39" x14ac:dyDescent="0.25">
      <c r="A9282" s="2066"/>
      <c r="B9282" s="2066"/>
      <c r="C9282" s="2066"/>
      <c r="D9282" s="2066"/>
      <c r="E9282" s="2066"/>
      <c r="F9282" s="2066"/>
      <c r="G9282" s="2066"/>
      <c r="H9282" s="2066"/>
      <c r="I9282" s="2066"/>
      <c r="J9282" s="2066"/>
      <c r="K9282" s="2066"/>
      <c r="L9282" s="2066"/>
      <c r="M9282" s="2066"/>
      <c r="N9282" s="2066"/>
      <c r="O9282" s="2066"/>
      <c r="P9282" s="49"/>
      <c r="Q9282" s="1"/>
      <c r="R9282" s="2066"/>
      <c r="S9282" s="1"/>
      <c r="T9282" s="1"/>
      <c r="U9282" s="1"/>
      <c r="V9282" s="1"/>
      <c r="W9282" s="1"/>
      <c r="X9282" s="1"/>
      <c r="Y9282" s="1"/>
      <c r="Z9282" s="2066"/>
      <c r="AA9282" s="2066"/>
      <c r="AB9282" s="1"/>
      <c r="AC9282" s="1"/>
      <c r="AD9282" s="1"/>
      <c r="AE9282" s="1"/>
      <c r="AF9282" s="1"/>
      <c r="AG9282" s="1"/>
      <c r="AH9282" s="1"/>
      <c r="AI9282" s="1"/>
      <c r="AJ9282" s="1"/>
      <c r="AK9282" s="1"/>
      <c r="AL9282" s="1"/>
      <c r="AM9282" s="1"/>
    </row>
    <row r="9283" spans="1:39" x14ac:dyDescent="0.25">
      <c r="A9283" s="2066"/>
      <c r="B9283" s="2066"/>
      <c r="C9283" s="2066"/>
      <c r="D9283" s="2066"/>
      <c r="E9283" s="2066"/>
      <c r="F9283" s="2066"/>
      <c r="G9283" s="2066"/>
      <c r="H9283" s="2066"/>
      <c r="I9283" s="2066"/>
      <c r="J9283" s="2066"/>
      <c r="K9283" s="2066"/>
      <c r="L9283" s="2066"/>
      <c r="M9283" s="2066"/>
      <c r="N9283" s="2066"/>
      <c r="O9283" s="2066"/>
      <c r="P9283" s="49"/>
      <c r="Q9283" s="1"/>
      <c r="R9283" s="2066"/>
      <c r="S9283" s="1"/>
      <c r="T9283" s="1"/>
      <c r="U9283" s="1"/>
      <c r="V9283" s="1"/>
      <c r="W9283" s="1"/>
      <c r="X9283" s="1"/>
      <c r="Y9283" s="1"/>
      <c r="Z9283" s="2066"/>
      <c r="AA9283" s="2066"/>
      <c r="AB9283" s="1"/>
      <c r="AC9283" s="1"/>
      <c r="AD9283" s="1"/>
      <c r="AE9283" s="1"/>
      <c r="AF9283" s="1"/>
      <c r="AG9283" s="1"/>
      <c r="AH9283" s="1"/>
      <c r="AI9283" s="1"/>
      <c r="AJ9283" s="1"/>
      <c r="AK9283" s="1"/>
      <c r="AL9283" s="1"/>
      <c r="AM9283" s="1"/>
    </row>
    <row r="9284" spans="1:39" x14ac:dyDescent="0.25">
      <c r="A9284" s="2066"/>
      <c r="B9284" s="2066"/>
      <c r="C9284" s="2066"/>
      <c r="D9284" s="2066"/>
      <c r="E9284" s="2066"/>
      <c r="F9284" s="2066"/>
      <c r="G9284" s="2066"/>
      <c r="H9284" s="2066"/>
      <c r="I9284" s="2066"/>
      <c r="J9284" s="2066"/>
      <c r="K9284" s="2066"/>
      <c r="L9284" s="2066"/>
      <c r="M9284" s="2066"/>
      <c r="N9284" s="2066"/>
      <c r="O9284" s="2066"/>
      <c r="P9284" s="49"/>
      <c r="Q9284" s="1"/>
      <c r="R9284" s="2066"/>
      <c r="S9284" s="1"/>
      <c r="T9284" s="1"/>
      <c r="U9284" s="1"/>
      <c r="V9284" s="1"/>
      <c r="W9284" s="1"/>
      <c r="X9284" s="1"/>
      <c r="Y9284" s="1"/>
      <c r="Z9284" s="2066"/>
      <c r="AA9284" s="2066"/>
      <c r="AB9284" s="1"/>
      <c r="AC9284" s="1"/>
      <c r="AD9284" s="1"/>
      <c r="AE9284" s="1"/>
      <c r="AF9284" s="1"/>
      <c r="AG9284" s="1"/>
      <c r="AH9284" s="1"/>
      <c r="AI9284" s="1"/>
      <c r="AJ9284" s="1"/>
      <c r="AK9284" s="1"/>
      <c r="AL9284" s="1"/>
      <c r="AM9284" s="1"/>
    </row>
    <row r="9285" spans="1:39" x14ac:dyDescent="0.25">
      <c r="A9285" s="2066"/>
      <c r="B9285" s="2066"/>
      <c r="C9285" s="2066"/>
      <c r="D9285" s="2066"/>
      <c r="E9285" s="2066"/>
      <c r="F9285" s="2066"/>
      <c r="G9285" s="2066"/>
      <c r="H9285" s="2066"/>
      <c r="I9285" s="2066"/>
      <c r="J9285" s="2066"/>
      <c r="K9285" s="2066"/>
      <c r="L9285" s="2066"/>
      <c r="M9285" s="2066"/>
      <c r="N9285" s="2066"/>
      <c r="O9285" s="2066"/>
      <c r="P9285" s="49"/>
      <c r="Q9285" s="1"/>
      <c r="R9285" s="2066"/>
      <c r="S9285" s="1"/>
      <c r="T9285" s="1"/>
      <c r="U9285" s="1"/>
      <c r="V9285" s="1"/>
      <c r="W9285" s="1"/>
      <c r="X9285" s="1"/>
      <c r="Y9285" s="1"/>
      <c r="Z9285" s="2066"/>
      <c r="AA9285" s="2066"/>
      <c r="AB9285" s="1"/>
      <c r="AC9285" s="1"/>
      <c r="AD9285" s="1"/>
      <c r="AE9285" s="1"/>
      <c r="AF9285" s="1"/>
      <c r="AG9285" s="1"/>
      <c r="AH9285" s="1"/>
      <c r="AI9285" s="1"/>
      <c r="AJ9285" s="1"/>
      <c r="AK9285" s="1"/>
      <c r="AL9285" s="1"/>
      <c r="AM9285" s="1"/>
    </row>
    <row r="9286" spans="1:39" x14ac:dyDescent="0.25">
      <c r="A9286" s="2066"/>
      <c r="B9286" s="2066"/>
      <c r="C9286" s="2066"/>
      <c r="D9286" s="2066"/>
      <c r="E9286" s="2066"/>
      <c r="F9286" s="2066"/>
      <c r="G9286" s="2066"/>
      <c r="H9286" s="2066"/>
      <c r="I9286" s="2066"/>
      <c r="J9286" s="2066"/>
      <c r="K9286" s="2066"/>
      <c r="L9286" s="2066"/>
      <c r="M9286" s="2066"/>
      <c r="N9286" s="2066"/>
      <c r="O9286" s="2066"/>
      <c r="P9286" s="49"/>
      <c r="Q9286" s="1"/>
      <c r="R9286" s="2066"/>
      <c r="S9286" s="1"/>
      <c r="T9286" s="1"/>
      <c r="U9286" s="1"/>
      <c r="V9286" s="1"/>
      <c r="W9286" s="1"/>
      <c r="X9286" s="1"/>
      <c r="Y9286" s="1"/>
      <c r="Z9286" s="2066"/>
      <c r="AA9286" s="2066"/>
      <c r="AB9286" s="1"/>
      <c r="AC9286" s="1"/>
      <c r="AD9286" s="1"/>
      <c r="AE9286" s="1"/>
      <c r="AF9286" s="1"/>
      <c r="AG9286" s="1"/>
      <c r="AH9286" s="1"/>
      <c r="AI9286" s="1"/>
      <c r="AJ9286" s="1"/>
      <c r="AK9286" s="1"/>
      <c r="AL9286" s="1"/>
      <c r="AM9286" s="1"/>
    </row>
    <row r="9287" spans="1:39" x14ac:dyDescent="0.25">
      <c r="A9287" s="2066"/>
      <c r="B9287" s="2066"/>
      <c r="C9287" s="2066"/>
      <c r="D9287" s="2066"/>
      <c r="E9287" s="2066"/>
      <c r="F9287" s="2066"/>
      <c r="G9287" s="2066"/>
      <c r="H9287" s="2066"/>
      <c r="I9287" s="2066"/>
      <c r="J9287" s="2066"/>
      <c r="K9287" s="2066"/>
      <c r="L9287" s="2066"/>
      <c r="M9287" s="2066"/>
      <c r="N9287" s="2066"/>
      <c r="O9287" s="2066"/>
      <c r="P9287" s="49"/>
      <c r="Q9287" s="1"/>
      <c r="R9287" s="2066"/>
      <c r="S9287" s="1"/>
      <c r="T9287" s="1"/>
      <c r="U9287" s="1"/>
      <c r="V9287" s="1"/>
      <c r="W9287" s="1"/>
      <c r="X9287" s="1"/>
      <c r="Y9287" s="1"/>
      <c r="Z9287" s="2066"/>
      <c r="AA9287" s="2066"/>
      <c r="AB9287" s="1"/>
      <c r="AC9287" s="1"/>
      <c r="AD9287" s="1"/>
      <c r="AE9287" s="1"/>
      <c r="AF9287" s="1"/>
      <c r="AG9287" s="1"/>
      <c r="AH9287" s="1"/>
      <c r="AI9287" s="1"/>
      <c r="AJ9287" s="1"/>
      <c r="AK9287" s="1"/>
      <c r="AL9287" s="1"/>
      <c r="AM9287" s="1"/>
    </row>
    <row r="9288" spans="1:39" x14ac:dyDescent="0.25">
      <c r="A9288" s="2066"/>
      <c r="B9288" s="2066"/>
      <c r="C9288" s="2066"/>
      <c r="D9288" s="2066"/>
      <c r="E9288" s="2066"/>
      <c r="F9288" s="2066"/>
      <c r="G9288" s="2066"/>
      <c r="H9288" s="2066"/>
      <c r="I9288" s="2066"/>
      <c r="J9288" s="2066"/>
      <c r="K9288" s="2066"/>
      <c r="L9288" s="2066"/>
      <c r="M9288" s="2066"/>
      <c r="N9288" s="2066"/>
      <c r="O9288" s="2066"/>
      <c r="P9288" s="49"/>
      <c r="Q9288" s="1"/>
      <c r="R9288" s="2066"/>
      <c r="S9288" s="1"/>
      <c r="T9288" s="1"/>
      <c r="U9288" s="1"/>
      <c r="V9288" s="1"/>
      <c r="W9288" s="1"/>
      <c r="X9288" s="1"/>
      <c r="Y9288" s="1"/>
      <c r="Z9288" s="2066"/>
      <c r="AA9288" s="2066"/>
      <c r="AB9288" s="1"/>
      <c r="AC9288" s="1"/>
      <c r="AD9288" s="1"/>
      <c r="AE9288" s="1"/>
      <c r="AF9288" s="1"/>
      <c r="AG9288" s="1"/>
      <c r="AH9288" s="1"/>
      <c r="AI9288" s="1"/>
      <c r="AJ9288" s="1"/>
      <c r="AK9288" s="1"/>
      <c r="AL9288" s="1"/>
      <c r="AM9288" s="1"/>
    </row>
    <row r="9289" spans="1:39" x14ac:dyDescent="0.25">
      <c r="A9289" s="2066"/>
      <c r="B9289" s="2066"/>
      <c r="C9289" s="2066"/>
      <c r="D9289" s="2066"/>
      <c r="E9289" s="2066"/>
      <c r="F9289" s="2066"/>
      <c r="G9289" s="2066"/>
      <c r="H9289" s="2066"/>
      <c r="I9289" s="2066"/>
      <c r="J9289" s="2066"/>
      <c r="K9289" s="2066"/>
      <c r="L9289" s="2066"/>
      <c r="M9289" s="2066"/>
      <c r="N9289" s="2066"/>
      <c r="O9289" s="2066"/>
      <c r="P9289" s="49"/>
      <c r="Q9289" s="1"/>
      <c r="R9289" s="2066"/>
      <c r="S9289" s="1"/>
      <c r="T9289" s="1"/>
      <c r="U9289" s="1"/>
      <c r="V9289" s="1"/>
      <c r="W9289" s="1"/>
      <c r="X9289" s="1"/>
      <c r="Y9289" s="1"/>
      <c r="Z9289" s="2066"/>
      <c r="AA9289" s="2066"/>
      <c r="AB9289" s="1"/>
      <c r="AC9289" s="1"/>
      <c r="AD9289" s="1"/>
      <c r="AE9289" s="1"/>
      <c r="AF9289" s="1"/>
      <c r="AG9289" s="1"/>
      <c r="AH9289" s="1"/>
      <c r="AI9289" s="1"/>
      <c r="AJ9289" s="1"/>
      <c r="AK9289" s="1"/>
      <c r="AL9289" s="1"/>
      <c r="AM9289" s="1"/>
    </row>
    <row r="9290" spans="1:39" x14ac:dyDescent="0.25">
      <c r="A9290" s="2066"/>
      <c r="B9290" s="2066"/>
      <c r="C9290" s="2066"/>
      <c r="D9290" s="2066"/>
      <c r="E9290" s="2066"/>
      <c r="F9290" s="2066"/>
      <c r="G9290" s="2066"/>
      <c r="H9290" s="2066"/>
      <c r="I9290" s="2066"/>
      <c r="J9290" s="2066"/>
      <c r="K9290" s="2066"/>
      <c r="L9290" s="2066"/>
      <c r="M9290" s="2066"/>
      <c r="N9290" s="2066"/>
      <c r="O9290" s="2066"/>
      <c r="P9290" s="49"/>
      <c r="Q9290" s="1"/>
      <c r="R9290" s="2066"/>
      <c r="S9290" s="1"/>
      <c r="T9290" s="1"/>
      <c r="U9290" s="1"/>
      <c r="V9290" s="1"/>
      <c r="W9290" s="1"/>
      <c r="X9290" s="1"/>
      <c r="Y9290" s="1"/>
      <c r="Z9290" s="2066"/>
      <c r="AA9290" s="2066"/>
      <c r="AB9290" s="1"/>
      <c r="AC9290" s="1"/>
      <c r="AD9290" s="1"/>
      <c r="AE9290" s="1"/>
      <c r="AF9290" s="1"/>
      <c r="AG9290" s="1"/>
      <c r="AH9290" s="1"/>
      <c r="AI9290" s="1"/>
      <c r="AJ9290" s="1"/>
      <c r="AK9290" s="1"/>
      <c r="AL9290" s="1"/>
      <c r="AM9290" s="1"/>
    </row>
    <row r="9291" spans="1:39" x14ac:dyDescent="0.25">
      <c r="A9291" s="2066"/>
      <c r="B9291" s="2066"/>
      <c r="C9291" s="2066"/>
      <c r="D9291" s="2066"/>
      <c r="E9291" s="2066"/>
      <c r="F9291" s="2066"/>
      <c r="G9291" s="2066"/>
      <c r="H9291" s="2066"/>
      <c r="I9291" s="2066"/>
      <c r="J9291" s="2066"/>
      <c r="K9291" s="2066"/>
      <c r="L9291" s="2066"/>
      <c r="M9291" s="2066"/>
      <c r="N9291" s="2066"/>
      <c r="O9291" s="2066"/>
      <c r="P9291" s="49"/>
      <c r="Q9291" s="1"/>
      <c r="R9291" s="2066"/>
      <c r="S9291" s="1"/>
      <c r="T9291" s="1"/>
      <c r="U9291" s="1"/>
      <c r="V9291" s="1"/>
      <c r="W9291" s="1"/>
      <c r="X9291" s="1"/>
      <c r="Y9291" s="1"/>
      <c r="Z9291" s="2066"/>
      <c r="AA9291" s="2066"/>
      <c r="AB9291" s="1"/>
      <c r="AC9291" s="1"/>
      <c r="AD9291" s="1"/>
      <c r="AE9291" s="1"/>
      <c r="AF9291" s="1"/>
      <c r="AG9291" s="1"/>
      <c r="AH9291" s="1"/>
      <c r="AI9291" s="1"/>
      <c r="AJ9291" s="1"/>
      <c r="AK9291" s="1"/>
      <c r="AL9291" s="1"/>
      <c r="AM9291" s="1"/>
    </row>
    <row r="9292" spans="1:39" x14ac:dyDescent="0.25">
      <c r="A9292" s="2066"/>
      <c r="B9292" s="2066"/>
      <c r="C9292" s="2066"/>
      <c r="D9292" s="2066"/>
      <c r="E9292" s="2066"/>
      <c r="F9292" s="2066"/>
      <c r="G9292" s="2066"/>
      <c r="H9292" s="2066"/>
      <c r="I9292" s="2066"/>
      <c r="J9292" s="2066"/>
      <c r="K9292" s="2066"/>
      <c r="L9292" s="2066"/>
      <c r="M9292" s="2066"/>
      <c r="N9292" s="2066"/>
      <c r="O9292" s="2066"/>
      <c r="P9292" s="49"/>
      <c r="Q9292" s="1"/>
      <c r="R9292" s="2066"/>
      <c r="S9292" s="1"/>
      <c r="T9292" s="1"/>
      <c r="U9292" s="1"/>
      <c r="V9292" s="1"/>
      <c r="W9292" s="1"/>
      <c r="X9292" s="1"/>
      <c r="Y9292" s="1"/>
      <c r="Z9292" s="2066"/>
      <c r="AA9292" s="2066"/>
      <c r="AB9292" s="1"/>
      <c r="AC9292" s="1"/>
      <c r="AD9292" s="1"/>
      <c r="AE9292" s="1"/>
      <c r="AF9292" s="1"/>
      <c r="AG9292" s="1"/>
      <c r="AH9292" s="1"/>
      <c r="AI9292" s="1"/>
      <c r="AJ9292" s="1"/>
      <c r="AK9292" s="1"/>
      <c r="AL9292" s="1"/>
      <c r="AM9292" s="1"/>
    </row>
    <row r="9293" spans="1:39" x14ac:dyDescent="0.25">
      <c r="A9293" s="2066"/>
      <c r="B9293" s="2066"/>
      <c r="C9293" s="2066"/>
      <c r="D9293" s="2066"/>
      <c r="E9293" s="2066"/>
      <c r="F9293" s="2066"/>
      <c r="G9293" s="2066"/>
      <c r="H9293" s="2066"/>
      <c r="I9293" s="2066"/>
      <c r="J9293" s="2066"/>
      <c r="K9293" s="2066"/>
      <c r="L9293" s="2066"/>
      <c r="M9293" s="2066"/>
      <c r="N9293" s="2066"/>
      <c r="O9293" s="2066"/>
      <c r="P9293" s="49"/>
      <c r="Q9293" s="1"/>
      <c r="R9293" s="2066"/>
      <c r="S9293" s="1"/>
      <c r="T9293" s="1"/>
      <c r="U9293" s="1"/>
      <c r="V9293" s="1"/>
      <c r="W9293" s="1"/>
      <c r="X9293" s="1"/>
      <c r="Y9293" s="1"/>
      <c r="Z9293" s="2066"/>
      <c r="AA9293" s="2066"/>
      <c r="AB9293" s="1"/>
      <c r="AC9293" s="1"/>
      <c r="AD9293" s="1"/>
      <c r="AE9293" s="1"/>
      <c r="AF9293" s="1"/>
      <c r="AG9293" s="1"/>
      <c r="AH9293" s="1"/>
      <c r="AI9293" s="1"/>
      <c r="AJ9293" s="1"/>
      <c r="AK9293" s="1"/>
      <c r="AL9293" s="1"/>
      <c r="AM9293" s="1"/>
    </row>
    <row r="9294" spans="1:39" x14ac:dyDescent="0.25">
      <c r="A9294" s="2066"/>
      <c r="B9294" s="2066"/>
      <c r="C9294" s="2066"/>
      <c r="D9294" s="2066"/>
      <c r="E9294" s="2066"/>
      <c r="F9294" s="2066"/>
      <c r="G9294" s="2066"/>
      <c r="H9294" s="2066"/>
      <c r="I9294" s="2066"/>
      <c r="J9294" s="2066"/>
      <c r="K9294" s="2066"/>
      <c r="L9294" s="2066"/>
      <c r="M9294" s="2066"/>
      <c r="N9294" s="2066"/>
      <c r="O9294" s="2066"/>
      <c r="P9294" s="49"/>
      <c r="Q9294" s="1"/>
      <c r="R9294" s="2066"/>
      <c r="S9294" s="1"/>
      <c r="T9294" s="1"/>
      <c r="U9294" s="1"/>
      <c r="V9294" s="1"/>
      <c r="W9294" s="1"/>
      <c r="X9294" s="1"/>
      <c r="Y9294" s="1"/>
      <c r="Z9294" s="2066"/>
      <c r="AA9294" s="2066"/>
      <c r="AB9294" s="1"/>
      <c r="AC9294" s="1"/>
      <c r="AD9294" s="1"/>
      <c r="AE9294" s="1"/>
      <c r="AF9294" s="1"/>
      <c r="AG9294" s="1"/>
      <c r="AH9294" s="1"/>
      <c r="AI9294" s="1"/>
      <c r="AJ9294" s="1"/>
      <c r="AK9294" s="1"/>
      <c r="AL9294" s="1"/>
      <c r="AM9294" s="1"/>
    </row>
    <row r="9295" spans="1:39" x14ac:dyDescent="0.25">
      <c r="A9295" s="2066"/>
      <c r="B9295" s="2066"/>
      <c r="C9295" s="2066"/>
      <c r="D9295" s="2066"/>
      <c r="E9295" s="2066"/>
      <c r="F9295" s="2066"/>
      <c r="G9295" s="2066"/>
      <c r="H9295" s="2066"/>
      <c r="I9295" s="2066"/>
      <c r="J9295" s="2066"/>
      <c r="K9295" s="2066"/>
      <c r="L9295" s="2066"/>
      <c r="M9295" s="2066"/>
      <c r="N9295" s="2066"/>
      <c r="O9295" s="2066"/>
      <c r="P9295" s="49"/>
      <c r="Q9295" s="1"/>
      <c r="R9295" s="2066"/>
      <c r="S9295" s="1"/>
      <c r="T9295" s="1"/>
      <c r="U9295" s="1"/>
      <c r="V9295" s="1"/>
      <c r="W9295" s="1"/>
      <c r="X9295" s="1"/>
      <c r="Y9295" s="1"/>
      <c r="Z9295" s="2066"/>
      <c r="AA9295" s="2066"/>
      <c r="AB9295" s="1"/>
      <c r="AC9295" s="1"/>
      <c r="AD9295" s="1"/>
      <c r="AE9295" s="1"/>
      <c r="AF9295" s="1"/>
      <c r="AG9295" s="1"/>
      <c r="AH9295" s="1"/>
      <c r="AI9295" s="1"/>
      <c r="AJ9295" s="1"/>
      <c r="AK9295" s="1"/>
      <c r="AL9295" s="1"/>
      <c r="AM9295" s="1"/>
    </row>
    <row r="9296" spans="1:39" x14ac:dyDescent="0.25">
      <c r="A9296" s="2066"/>
      <c r="B9296" s="2066"/>
      <c r="C9296" s="2066"/>
      <c r="D9296" s="2066"/>
      <c r="E9296" s="2066"/>
      <c r="F9296" s="2066"/>
      <c r="G9296" s="2066"/>
      <c r="H9296" s="2066"/>
      <c r="I9296" s="2066"/>
      <c r="J9296" s="2066"/>
      <c r="K9296" s="2066"/>
      <c r="L9296" s="2066"/>
      <c r="M9296" s="2066"/>
      <c r="N9296" s="2066"/>
      <c r="O9296" s="2066"/>
      <c r="P9296" s="49"/>
      <c r="Q9296" s="1"/>
      <c r="R9296" s="2066"/>
      <c r="S9296" s="1"/>
      <c r="T9296" s="1"/>
      <c r="U9296" s="1"/>
      <c r="V9296" s="1"/>
      <c r="W9296" s="1"/>
      <c r="X9296" s="1"/>
      <c r="Y9296" s="1"/>
      <c r="Z9296" s="2066"/>
      <c r="AA9296" s="2066"/>
      <c r="AB9296" s="1"/>
      <c r="AC9296" s="1"/>
      <c r="AD9296" s="1"/>
      <c r="AE9296" s="1"/>
      <c r="AF9296" s="1"/>
      <c r="AG9296" s="1"/>
      <c r="AH9296" s="1"/>
      <c r="AI9296" s="1"/>
      <c r="AJ9296" s="1"/>
      <c r="AK9296" s="1"/>
      <c r="AL9296" s="1"/>
      <c r="AM9296" s="1"/>
    </row>
    <row r="9297" spans="1:39" x14ac:dyDescent="0.25">
      <c r="A9297" s="2066"/>
      <c r="B9297" s="2066"/>
      <c r="C9297" s="2066"/>
      <c r="D9297" s="2066"/>
      <c r="E9297" s="2066"/>
      <c r="F9297" s="2066"/>
      <c r="G9297" s="2066"/>
      <c r="H9297" s="2066"/>
      <c r="I9297" s="2066"/>
      <c r="J9297" s="2066"/>
      <c r="K9297" s="2066"/>
      <c r="L9297" s="2066"/>
      <c r="M9297" s="2066"/>
      <c r="N9297" s="2066"/>
      <c r="O9297" s="2066"/>
      <c r="P9297" s="49"/>
      <c r="Q9297" s="1"/>
      <c r="R9297" s="2066"/>
      <c r="S9297" s="1"/>
      <c r="T9297" s="1"/>
      <c r="U9297" s="1"/>
      <c r="V9297" s="1"/>
      <c r="W9297" s="1"/>
      <c r="X9297" s="1"/>
      <c r="Y9297" s="1"/>
      <c r="Z9297" s="2066"/>
      <c r="AA9297" s="2066"/>
      <c r="AB9297" s="1"/>
      <c r="AC9297" s="1"/>
      <c r="AD9297" s="1"/>
      <c r="AE9297" s="1"/>
      <c r="AF9297" s="1"/>
      <c r="AG9297" s="1"/>
      <c r="AH9297" s="1"/>
      <c r="AI9297" s="1"/>
      <c r="AJ9297" s="1"/>
      <c r="AK9297" s="1"/>
      <c r="AL9297" s="1"/>
      <c r="AM9297" s="1"/>
    </row>
    <row r="9298" spans="1:39" x14ac:dyDescent="0.25">
      <c r="A9298" s="2066"/>
      <c r="B9298" s="2066"/>
      <c r="C9298" s="2066"/>
      <c r="D9298" s="2066"/>
      <c r="E9298" s="2066"/>
      <c r="F9298" s="2066"/>
      <c r="G9298" s="2066"/>
      <c r="H9298" s="2066"/>
      <c r="I9298" s="2066"/>
      <c r="J9298" s="2066"/>
      <c r="K9298" s="2066"/>
      <c r="L9298" s="2066"/>
      <c r="M9298" s="2066"/>
      <c r="N9298" s="2066"/>
      <c r="O9298" s="2066"/>
      <c r="P9298" s="49"/>
      <c r="Q9298" s="1"/>
      <c r="R9298" s="2066"/>
      <c r="S9298" s="1"/>
      <c r="T9298" s="1"/>
      <c r="U9298" s="1"/>
      <c r="V9298" s="1"/>
      <c r="W9298" s="1"/>
      <c r="X9298" s="1"/>
      <c r="Y9298" s="1"/>
      <c r="Z9298" s="2066"/>
      <c r="AA9298" s="2066"/>
      <c r="AB9298" s="1"/>
      <c r="AC9298" s="1"/>
      <c r="AD9298" s="1"/>
      <c r="AE9298" s="1"/>
      <c r="AF9298" s="1"/>
      <c r="AG9298" s="1"/>
      <c r="AH9298" s="1"/>
      <c r="AI9298" s="1"/>
      <c r="AJ9298" s="1"/>
      <c r="AK9298" s="1"/>
      <c r="AL9298" s="1"/>
      <c r="AM9298" s="1"/>
    </row>
    <row r="9299" spans="1:39" x14ac:dyDescent="0.25">
      <c r="A9299" s="2066"/>
      <c r="B9299" s="2066"/>
      <c r="C9299" s="2066"/>
      <c r="D9299" s="2066"/>
      <c r="E9299" s="2066"/>
      <c r="F9299" s="2066"/>
      <c r="G9299" s="2066"/>
      <c r="H9299" s="2066"/>
      <c r="I9299" s="2066"/>
      <c r="J9299" s="2066"/>
      <c r="K9299" s="2066"/>
      <c r="L9299" s="2066"/>
      <c r="M9299" s="2066"/>
      <c r="N9299" s="2066"/>
      <c r="O9299" s="2066"/>
      <c r="P9299" s="49"/>
      <c r="Q9299" s="1"/>
      <c r="R9299" s="2066"/>
      <c r="S9299" s="1"/>
      <c r="T9299" s="1"/>
      <c r="U9299" s="1"/>
      <c r="V9299" s="1"/>
      <c r="W9299" s="1"/>
      <c r="X9299" s="1"/>
      <c r="Y9299" s="1"/>
      <c r="Z9299" s="2066"/>
      <c r="AA9299" s="2066"/>
      <c r="AB9299" s="1"/>
      <c r="AC9299" s="1"/>
      <c r="AD9299" s="1"/>
      <c r="AE9299" s="1"/>
      <c r="AF9299" s="1"/>
      <c r="AG9299" s="1"/>
      <c r="AH9299" s="1"/>
      <c r="AI9299" s="1"/>
      <c r="AJ9299" s="1"/>
      <c r="AK9299" s="1"/>
      <c r="AL9299" s="1"/>
      <c r="AM9299" s="1"/>
    </row>
    <row r="9300" spans="1:39" x14ac:dyDescent="0.25">
      <c r="A9300" s="2066"/>
      <c r="B9300" s="2066"/>
      <c r="C9300" s="2066"/>
      <c r="D9300" s="2066"/>
      <c r="E9300" s="2066"/>
      <c r="F9300" s="2066"/>
      <c r="G9300" s="2066"/>
      <c r="H9300" s="2066"/>
      <c r="I9300" s="2066"/>
      <c r="J9300" s="2066"/>
      <c r="K9300" s="2066"/>
      <c r="L9300" s="2066"/>
      <c r="M9300" s="2066"/>
      <c r="N9300" s="2066"/>
      <c r="O9300" s="2066"/>
      <c r="P9300" s="49"/>
      <c r="Q9300" s="1"/>
      <c r="R9300" s="2066"/>
      <c r="S9300" s="1"/>
      <c r="T9300" s="1"/>
      <c r="U9300" s="1"/>
      <c r="V9300" s="1"/>
      <c r="W9300" s="1"/>
      <c r="X9300" s="1"/>
      <c r="Y9300" s="1"/>
      <c r="Z9300" s="2066"/>
      <c r="AA9300" s="2066"/>
      <c r="AB9300" s="1"/>
      <c r="AC9300" s="1"/>
      <c r="AD9300" s="1"/>
      <c r="AE9300" s="1"/>
      <c r="AF9300" s="1"/>
      <c r="AG9300" s="1"/>
      <c r="AH9300" s="1"/>
      <c r="AI9300" s="1"/>
      <c r="AJ9300" s="1"/>
      <c r="AK9300" s="1"/>
      <c r="AL9300" s="1"/>
      <c r="AM9300" s="1"/>
    </row>
    <row r="9301" spans="1:39" x14ac:dyDescent="0.25">
      <c r="A9301" s="2066"/>
      <c r="B9301" s="2066"/>
      <c r="C9301" s="2066"/>
      <c r="D9301" s="2066"/>
      <c r="E9301" s="2066"/>
      <c r="F9301" s="2066"/>
      <c r="G9301" s="2066"/>
      <c r="H9301" s="2066"/>
      <c r="I9301" s="2066"/>
      <c r="J9301" s="2066"/>
      <c r="K9301" s="2066"/>
      <c r="L9301" s="2066"/>
      <c r="M9301" s="2066"/>
      <c r="N9301" s="2066"/>
      <c r="O9301" s="2066"/>
      <c r="P9301" s="49"/>
      <c r="Q9301" s="1"/>
      <c r="R9301" s="2066"/>
      <c r="S9301" s="1"/>
      <c r="T9301" s="1"/>
      <c r="U9301" s="1"/>
      <c r="V9301" s="1"/>
      <c r="W9301" s="1"/>
      <c r="X9301" s="1"/>
      <c r="Y9301" s="1"/>
      <c r="Z9301" s="2066"/>
      <c r="AA9301" s="2066"/>
      <c r="AB9301" s="1"/>
      <c r="AC9301" s="1"/>
      <c r="AD9301" s="1"/>
      <c r="AE9301" s="1"/>
      <c r="AF9301" s="1"/>
      <c r="AG9301" s="1"/>
      <c r="AH9301" s="1"/>
      <c r="AI9301" s="1"/>
      <c r="AJ9301" s="1"/>
      <c r="AK9301" s="1"/>
      <c r="AL9301" s="1"/>
      <c r="AM9301" s="1"/>
    </row>
    <row r="9302" spans="1:39" x14ac:dyDescent="0.25">
      <c r="A9302" s="2066"/>
      <c r="B9302" s="2066"/>
      <c r="C9302" s="2066"/>
      <c r="D9302" s="2066"/>
      <c r="E9302" s="2066"/>
      <c r="F9302" s="2066"/>
      <c r="G9302" s="2066"/>
      <c r="H9302" s="2066"/>
      <c r="I9302" s="2066"/>
      <c r="J9302" s="2066"/>
      <c r="K9302" s="2066"/>
      <c r="L9302" s="2066"/>
      <c r="M9302" s="2066"/>
      <c r="N9302" s="2066"/>
      <c r="O9302" s="2066"/>
      <c r="P9302" s="49"/>
      <c r="Q9302" s="1"/>
      <c r="R9302" s="2066"/>
      <c r="S9302" s="1"/>
      <c r="T9302" s="1"/>
      <c r="U9302" s="1"/>
      <c r="V9302" s="1"/>
      <c r="W9302" s="1"/>
      <c r="X9302" s="1"/>
      <c r="Y9302" s="1"/>
      <c r="Z9302" s="2066"/>
      <c r="AA9302" s="2066"/>
      <c r="AB9302" s="1"/>
      <c r="AC9302" s="1"/>
      <c r="AD9302" s="1"/>
      <c r="AE9302" s="1"/>
      <c r="AF9302" s="1"/>
      <c r="AG9302" s="1"/>
      <c r="AH9302" s="1"/>
      <c r="AI9302" s="1"/>
      <c r="AJ9302" s="1"/>
      <c r="AK9302" s="1"/>
      <c r="AL9302" s="1"/>
      <c r="AM9302" s="1"/>
    </row>
    <row r="9303" spans="1:39" x14ac:dyDescent="0.25">
      <c r="A9303" s="2066"/>
      <c r="B9303" s="2066"/>
      <c r="C9303" s="2066"/>
      <c r="D9303" s="2066"/>
      <c r="E9303" s="2066"/>
      <c r="F9303" s="2066"/>
      <c r="G9303" s="2066"/>
      <c r="H9303" s="2066"/>
      <c r="I9303" s="2066"/>
      <c r="J9303" s="2066"/>
      <c r="K9303" s="2066"/>
      <c r="L9303" s="2066"/>
      <c r="M9303" s="2066"/>
      <c r="N9303" s="2066"/>
      <c r="O9303" s="2066"/>
      <c r="P9303" s="49"/>
      <c r="Q9303" s="1"/>
      <c r="R9303" s="2066"/>
      <c r="S9303" s="1"/>
      <c r="T9303" s="1"/>
      <c r="U9303" s="1"/>
      <c r="V9303" s="1"/>
      <c r="W9303" s="1"/>
      <c r="X9303" s="1"/>
      <c r="Y9303" s="1"/>
      <c r="Z9303" s="2066"/>
      <c r="AA9303" s="2066"/>
      <c r="AB9303" s="1"/>
      <c r="AC9303" s="1"/>
      <c r="AD9303" s="1"/>
      <c r="AE9303" s="1"/>
      <c r="AF9303" s="1"/>
      <c r="AG9303" s="1"/>
      <c r="AH9303" s="1"/>
      <c r="AI9303" s="1"/>
      <c r="AJ9303" s="1"/>
      <c r="AK9303" s="1"/>
      <c r="AL9303" s="1"/>
      <c r="AM9303" s="1"/>
    </row>
    <row r="9304" spans="1:39" x14ac:dyDescent="0.25">
      <c r="A9304" s="2066"/>
      <c r="B9304" s="2066"/>
      <c r="C9304" s="2066"/>
      <c r="D9304" s="2066"/>
      <c r="E9304" s="2066"/>
      <c r="F9304" s="2066"/>
      <c r="G9304" s="2066"/>
      <c r="H9304" s="2066"/>
      <c r="I9304" s="2066"/>
      <c r="J9304" s="2066"/>
      <c r="K9304" s="2066"/>
      <c r="L9304" s="2066"/>
      <c r="M9304" s="2066"/>
      <c r="N9304" s="2066"/>
      <c r="O9304" s="2066"/>
      <c r="P9304" s="49"/>
      <c r="Q9304" s="1"/>
      <c r="R9304" s="2066"/>
      <c r="S9304" s="1"/>
      <c r="T9304" s="1"/>
      <c r="U9304" s="1"/>
      <c r="V9304" s="1"/>
      <c r="W9304" s="1"/>
      <c r="X9304" s="1"/>
      <c r="Y9304" s="1"/>
      <c r="Z9304" s="2066"/>
      <c r="AA9304" s="2066"/>
      <c r="AB9304" s="1"/>
      <c r="AC9304" s="1"/>
      <c r="AD9304" s="1"/>
      <c r="AE9304" s="1"/>
      <c r="AF9304" s="1"/>
      <c r="AG9304" s="1"/>
      <c r="AH9304" s="1"/>
      <c r="AI9304" s="1"/>
      <c r="AJ9304" s="1"/>
      <c r="AK9304" s="1"/>
      <c r="AL9304" s="1"/>
      <c r="AM9304" s="1"/>
    </row>
    <row r="9305" spans="1:39" x14ac:dyDescent="0.25">
      <c r="A9305" s="2066"/>
      <c r="B9305" s="2066"/>
      <c r="C9305" s="2066"/>
      <c r="D9305" s="2066"/>
      <c r="E9305" s="2066"/>
      <c r="F9305" s="2066"/>
      <c r="G9305" s="2066"/>
      <c r="H9305" s="2066"/>
      <c r="I9305" s="2066"/>
      <c r="J9305" s="2066"/>
      <c r="K9305" s="2066"/>
      <c r="L9305" s="2066"/>
      <c r="M9305" s="2066"/>
      <c r="N9305" s="2066"/>
      <c r="O9305" s="2066"/>
      <c r="P9305" s="49"/>
      <c r="Q9305" s="1"/>
      <c r="R9305" s="2066"/>
      <c r="S9305" s="1"/>
      <c r="T9305" s="1"/>
      <c r="U9305" s="1"/>
      <c r="V9305" s="1"/>
      <c r="W9305" s="1"/>
      <c r="X9305" s="1"/>
      <c r="Y9305" s="1"/>
      <c r="Z9305" s="2066"/>
      <c r="AA9305" s="2066"/>
      <c r="AB9305" s="1"/>
      <c r="AC9305" s="1"/>
      <c r="AD9305" s="1"/>
      <c r="AE9305" s="1"/>
      <c r="AF9305" s="1"/>
      <c r="AG9305" s="1"/>
      <c r="AH9305" s="1"/>
      <c r="AI9305" s="1"/>
      <c r="AJ9305" s="1"/>
      <c r="AK9305" s="1"/>
      <c r="AL9305" s="1"/>
      <c r="AM9305" s="1"/>
    </row>
    <row r="9306" spans="1:39" x14ac:dyDescent="0.25">
      <c r="A9306" s="2066"/>
      <c r="B9306" s="2066"/>
      <c r="C9306" s="2066"/>
      <c r="D9306" s="2066"/>
      <c r="E9306" s="2066"/>
      <c r="F9306" s="2066"/>
      <c r="G9306" s="2066"/>
      <c r="H9306" s="2066"/>
      <c r="I9306" s="2066"/>
      <c r="J9306" s="2066"/>
      <c r="K9306" s="2066"/>
      <c r="L9306" s="2066"/>
      <c r="M9306" s="2066"/>
      <c r="N9306" s="2066"/>
      <c r="O9306" s="2066"/>
      <c r="P9306" s="49"/>
      <c r="Q9306" s="1"/>
      <c r="R9306" s="2066"/>
      <c r="S9306" s="1"/>
      <c r="T9306" s="1"/>
      <c r="U9306" s="1"/>
      <c r="V9306" s="1"/>
      <c r="W9306" s="1"/>
      <c r="X9306" s="1"/>
      <c r="Y9306" s="1"/>
      <c r="Z9306" s="2066"/>
      <c r="AA9306" s="2066"/>
      <c r="AB9306" s="1"/>
      <c r="AC9306" s="1"/>
      <c r="AD9306" s="1"/>
      <c r="AE9306" s="1"/>
      <c r="AF9306" s="1"/>
      <c r="AG9306" s="1"/>
      <c r="AH9306" s="1"/>
      <c r="AI9306" s="1"/>
      <c r="AJ9306" s="1"/>
      <c r="AK9306" s="1"/>
      <c r="AL9306" s="1"/>
      <c r="AM9306" s="1"/>
    </row>
    <row r="9307" spans="1:39" x14ac:dyDescent="0.25">
      <c r="A9307" s="2066"/>
      <c r="B9307" s="2066"/>
      <c r="C9307" s="2066"/>
      <c r="D9307" s="2066"/>
      <c r="E9307" s="2066"/>
      <c r="F9307" s="2066"/>
      <c r="G9307" s="2066"/>
      <c r="H9307" s="2066"/>
      <c r="I9307" s="2066"/>
      <c r="J9307" s="2066"/>
      <c r="K9307" s="2066"/>
      <c r="L9307" s="2066"/>
      <c r="M9307" s="2066"/>
      <c r="N9307" s="2066"/>
      <c r="O9307" s="2066"/>
      <c r="P9307" s="49"/>
      <c r="Q9307" s="1"/>
      <c r="R9307" s="2066"/>
      <c r="S9307" s="1"/>
      <c r="T9307" s="1"/>
      <c r="U9307" s="1"/>
      <c r="V9307" s="1"/>
      <c r="W9307" s="1"/>
      <c r="X9307" s="1"/>
      <c r="Y9307" s="1"/>
      <c r="Z9307" s="2066"/>
      <c r="AA9307" s="2066"/>
      <c r="AB9307" s="1"/>
      <c r="AC9307" s="1"/>
      <c r="AD9307" s="1"/>
      <c r="AE9307" s="1"/>
      <c r="AF9307" s="1"/>
      <c r="AG9307" s="1"/>
      <c r="AH9307" s="1"/>
      <c r="AI9307" s="1"/>
      <c r="AJ9307" s="1"/>
      <c r="AK9307" s="1"/>
      <c r="AL9307" s="1"/>
      <c r="AM9307" s="1"/>
    </row>
    <row r="9308" spans="1:39" x14ac:dyDescent="0.25">
      <c r="A9308" s="2066"/>
      <c r="B9308" s="2066"/>
      <c r="C9308" s="2066"/>
      <c r="D9308" s="2066"/>
      <c r="E9308" s="2066"/>
      <c r="F9308" s="2066"/>
      <c r="G9308" s="2066"/>
      <c r="H9308" s="2066"/>
      <c r="I9308" s="2066"/>
      <c r="J9308" s="2066"/>
      <c r="K9308" s="2066"/>
      <c r="L9308" s="2066"/>
      <c r="M9308" s="2066"/>
      <c r="N9308" s="2066"/>
      <c r="O9308" s="2066"/>
      <c r="P9308" s="49"/>
      <c r="Q9308" s="1"/>
      <c r="R9308" s="2066"/>
      <c r="S9308" s="1"/>
      <c r="T9308" s="1"/>
      <c r="U9308" s="1"/>
      <c r="V9308" s="1"/>
      <c r="W9308" s="1"/>
      <c r="X9308" s="1"/>
      <c r="Y9308" s="1"/>
      <c r="Z9308" s="2066"/>
      <c r="AA9308" s="2066"/>
      <c r="AB9308" s="1"/>
      <c r="AC9308" s="1"/>
      <c r="AD9308" s="1"/>
      <c r="AE9308" s="1"/>
      <c r="AF9308" s="1"/>
      <c r="AG9308" s="1"/>
      <c r="AH9308" s="1"/>
      <c r="AI9308" s="1"/>
      <c r="AJ9308" s="1"/>
      <c r="AK9308" s="1"/>
      <c r="AL9308" s="1"/>
      <c r="AM9308" s="1"/>
    </row>
    <row r="9309" spans="1:39" x14ac:dyDescent="0.25">
      <c r="A9309" s="2066"/>
      <c r="B9309" s="2066"/>
      <c r="C9309" s="2066"/>
      <c r="D9309" s="2066"/>
      <c r="E9309" s="2066"/>
      <c r="F9309" s="2066"/>
      <c r="G9309" s="2066"/>
      <c r="H9309" s="2066"/>
      <c r="I9309" s="2066"/>
      <c r="J9309" s="2066"/>
      <c r="K9309" s="2066"/>
      <c r="L9309" s="2066"/>
      <c r="M9309" s="2066"/>
      <c r="N9309" s="2066"/>
      <c r="O9309" s="2066"/>
      <c r="P9309" s="49"/>
      <c r="Q9309" s="1"/>
      <c r="R9309" s="2066"/>
      <c r="S9309" s="1"/>
      <c r="T9309" s="1"/>
      <c r="U9309" s="1"/>
      <c r="V9309" s="1"/>
      <c r="W9309" s="1"/>
      <c r="X9309" s="1"/>
      <c r="Y9309" s="1"/>
      <c r="Z9309" s="2066"/>
      <c r="AA9309" s="2066"/>
      <c r="AB9309" s="1"/>
      <c r="AC9309" s="1"/>
      <c r="AD9309" s="1"/>
      <c r="AE9309" s="1"/>
      <c r="AF9309" s="1"/>
      <c r="AG9309" s="1"/>
      <c r="AH9309" s="1"/>
      <c r="AI9309" s="1"/>
      <c r="AJ9309" s="1"/>
      <c r="AK9309" s="1"/>
      <c r="AL9309" s="1"/>
      <c r="AM9309" s="1"/>
    </row>
    <row r="9310" spans="1:39" x14ac:dyDescent="0.25">
      <c r="A9310" s="2066"/>
      <c r="B9310" s="2066"/>
      <c r="C9310" s="2066"/>
      <c r="D9310" s="2066"/>
      <c r="E9310" s="2066"/>
      <c r="F9310" s="2066"/>
      <c r="G9310" s="2066"/>
      <c r="H9310" s="2066"/>
      <c r="I9310" s="2066"/>
      <c r="J9310" s="2066"/>
      <c r="K9310" s="2066"/>
      <c r="L9310" s="2066"/>
      <c r="M9310" s="2066"/>
      <c r="N9310" s="2066"/>
      <c r="O9310" s="2066"/>
      <c r="P9310" s="49"/>
      <c r="Q9310" s="1"/>
      <c r="R9310" s="2066"/>
      <c r="S9310" s="1"/>
      <c r="T9310" s="1"/>
      <c r="U9310" s="1"/>
      <c r="V9310" s="1"/>
      <c r="W9310" s="1"/>
      <c r="X9310" s="1"/>
      <c r="Y9310" s="1"/>
      <c r="Z9310" s="2066"/>
      <c r="AA9310" s="2066"/>
      <c r="AB9310" s="1"/>
      <c r="AC9310" s="1"/>
      <c r="AD9310" s="1"/>
      <c r="AE9310" s="1"/>
      <c r="AF9310" s="1"/>
      <c r="AG9310" s="1"/>
      <c r="AH9310" s="1"/>
      <c r="AI9310" s="1"/>
      <c r="AJ9310" s="1"/>
      <c r="AK9310" s="1"/>
      <c r="AL9310" s="1"/>
      <c r="AM9310" s="1"/>
    </row>
    <row r="9311" spans="1:39" x14ac:dyDescent="0.25">
      <c r="A9311" s="2066"/>
      <c r="B9311" s="2066"/>
      <c r="C9311" s="2066"/>
      <c r="D9311" s="2066"/>
      <c r="E9311" s="2066"/>
      <c r="F9311" s="2066"/>
      <c r="G9311" s="2066"/>
      <c r="H9311" s="2066"/>
      <c r="I9311" s="2066"/>
      <c r="J9311" s="2066"/>
      <c r="K9311" s="2066"/>
      <c r="L9311" s="2066"/>
      <c r="M9311" s="2066"/>
      <c r="N9311" s="2066"/>
      <c r="O9311" s="2066"/>
      <c r="P9311" s="49"/>
      <c r="Q9311" s="1"/>
      <c r="R9311" s="2066"/>
      <c r="S9311" s="1"/>
      <c r="T9311" s="1"/>
      <c r="U9311" s="1"/>
      <c r="V9311" s="1"/>
      <c r="W9311" s="1"/>
      <c r="X9311" s="1"/>
      <c r="Y9311" s="1"/>
      <c r="Z9311" s="2066"/>
      <c r="AA9311" s="2066"/>
      <c r="AB9311" s="1"/>
      <c r="AC9311" s="1"/>
      <c r="AD9311" s="1"/>
      <c r="AE9311" s="1"/>
      <c r="AF9311" s="1"/>
      <c r="AG9311" s="1"/>
      <c r="AH9311" s="1"/>
      <c r="AI9311" s="1"/>
      <c r="AJ9311" s="1"/>
      <c r="AK9311" s="1"/>
      <c r="AL9311" s="1"/>
      <c r="AM9311" s="1"/>
    </row>
    <row r="9312" spans="1:39" x14ac:dyDescent="0.25">
      <c r="A9312" s="2066"/>
      <c r="B9312" s="2066"/>
      <c r="C9312" s="2066"/>
      <c r="D9312" s="2066"/>
      <c r="E9312" s="2066"/>
      <c r="F9312" s="2066"/>
      <c r="G9312" s="2066"/>
      <c r="H9312" s="2066"/>
      <c r="I9312" s="2066"/>
      <c r="J9312" s="2066"/>
      <c r="K9312" s="2066"/>
      <c r="L9312" s="2066"/>
      <c r="M9312" s="2066"/>
      <c r="N9312" s="2066"/>
      <c r="O9312" s="2066"/>
      <c r="P9312" s="49"/>
      <c r="Q9312" s="1"/>
      <c r="R9312" s="2066"/>
      <c r="S9312" s="1"/>
      <c r="T9312" s="1"/>
      <c r="U9312" s="1"/>
      <c r="V9312" s="1"/>
      <c r="W9312" s="1"/>
      <c r="X9312" s="1"/>
      <c r="Y9312" s="1"/>
      <c r="Z9312" s="2066"/>
      <c r="AA9312" s="2066"/>
      <c r="AB9312" s="1"/>
      <c r="AC9312" s="1"/>
      <c r="AD9312" s="1"/>
      <c r="AE9312" s="1"/>
      <c r="AF9312" s="1"/>
      <c r="AG9312" s="1"/>
      <c r="AH9312" s="1"/>
      <c r="AI9312" s="1"/>
      <c r="AJ9312" s="1"/>
      <c r="AK9312" s="1"/>
      <c r="AL9312" s="1"/>
      <c r="AM9312" s="1"/>
    </row>
    <row r="9313" spans="1:39" x14ac:dyDescent="0.25">
      <c r="A9313" s="2066"/>
      <c r="B9313" s="2066"/>
      <c r="C9313" s="2066"/>
      <c r="D9313" s="2066"/>
      <c r="E9313" s="2066"/>
      <c r="F9313" s="2066"/>
      <c r="G9313" s="2066"/>
      <c r="H9313" s="2066"/>
      <c r="I9313" s="2066"/>
      <c r="J9313" s="2066"/>
      <c r="K9313" s="2066"/>
      <c r="L9313" s="2066"/>
      <c r="M9313" s="2066"/>
      <c r="N9313" s="2066"/>
      <c r="O9313" s="2066"/>
      <c r="P9313" s="49"/>
      <c r="Q9313" s="1"/>
      <c r="R9313" s="2066"/>
      <c r="S9313" s="1"/>
      <c r="T9313" s="1"/>
      <c r="U9313" s="1"/>
      <c r="V9313" s="1"/>
      <c r="W9313" s="1"/>
      <c r="X9313" s="1"/>
      <c r="Y9313" s="1"/>
      <c r="Z9313" s="2066"/>
      <c r="AA9313" s="2066"/>
      <c r="AB9313" s="1"/>
      <c r="AC9313" s="1"/>
      <c r="AD9313" s="1"/>
      <c r="AE9313" s="1"/>
      <c r="AF9313" s="1"/>
      <c r="AG9313" s="1"/>
      <c r="AH9313" s="1"/>
      <c r="AI9313" s="1"/>
      <c r="AJ9313" s="1"/>
      <c r="AK9313" s="1"/>
      <c r="AL9313" s="1"/>
      <c r="AM9313" s="1"/>
    </row>
    <row r="9314" spans="1:39" x14ac:dyDescent="0.25">
      <c r="A9314" s="2066"/>
      <c r="B9314" s="2066"/>
      <c r="C9314" s="2066"/>
      <c r="D9314" s="2066"/>
      <c r="E9314" s="2066"/>
      <c r="F9314" s="2066"/>
      <c r="G9314" s="2066"/>
      <c r="H9314" s="2066"/>
      <c r="I9314" s="2066"/>
      <c r="J9314" s="2066"/>
      <c r="K9314" s="2066"/>
      <c r="L9314" s="2066"/>
      <c r="M9314" s="2066"/>
      <c r="N9314" s="2066"/>
      <c r="O9314" s="2066"/>
      <c r="P9314" s="49"/>
      <c r="Q9314" s="1"/>
      <c r="R9314" s="2066"/>
      <c r="S9314" s="1"/>
      <c r="T9314" s="1"/>
      <c r="U9314" s="1"/>
      <c r="V9314" s="1"/>
      <c r="W9314" s="1"/>
      <c r="X9314" s="1"/>
      <c r="Y9314" s="1"/>
      <c r="Z9314" s="2066"/>
      <c r="AA9314" s="2066"/>
      <c r="AB9314" s="1"/>
      <c r="AC9314" s="1"/>
      <c r="AD9314" s="1"/>
      <c r="AE9314" s="1"/>
      <c r="AF9314" s="1"/>
      <c r="AG9314" s="1"/>
      <c r="AH9314" s="1"/>
      <c r="AI9314" s="1"/>
      <c r="AJ9314" s="1"/>
      <c r="AK9314" s="1"/>
      <c r="AL9314" s="1"/>
      <c r="AM9314" s="1"/>
    </row>
    <row r="9315" spans="1:39" x14ac:dyDescent="0.25">
      <c r="A9315" s="2066"/>
      <c r="B9315" s="2066"/>
      <c r="C9315" s="2066"/>
      <c r="D9315" s="2066"/>
      <c r="E9315" s="2066"/>
      <c r="F9315" s="2066"/>
      <c r="G9315" s="2066"/>
      <c r="H9315" s="2066"/>
      <c r="I9315" s="2066"/>
      <c r="J9315" s="2066"/>
      <c r="K9315" s="2066"/>
      <c r="L9315" s="2066"/>
      <c r="M9315" s="2066"/>
      <c r="N9315" s="2066"/>
      <c r="O9315" s="2066"/>
      <c r="P9315" s="49"/>
      <c r="Q9315" s="1"/>
      <c r="R9315" s="2066"/>
      <c r="S9315" s="1"/>
      <c r="T9315" s="1"/>
      <c r="U9315" s="1"/>
      <c r="V9315" s="1"/>
      <c r="W9315" s="1"/>
      <c r="X9315" s="1"/>
      <c r="Y9315" s="1"/>
      <c r="Z9315" s="2066"/>
      <c r="AA9315" s="2066"/>
      <c r="AB9315" s="1"/>
      <c r="AC9315" s="1"/>
      <c r="AD9315" s="1"/>
      <c r="AE9315" s="1"/>
      <c r="AF9315" s="1"/>
      <c r="AG9315" s="1"/>
      <c r="AH9315" s="1"/>
      <c r="AI9315" s="1"/>
      <c r="AJ9315" s="1"/>
      <c r="AK9315" s="1"/>
      <c r="AL9315" s="1"/>
      <c r="AM9315" s="1"/>
    </row>
    <row r="9316" spans="1:39" x14ac:dyDescent="0.25">
      <c r="A9316" s="2066"/>
      <c r="B9316" s="2066"/>
      <c r="C9316" s="2066"/>
      <c r="D9316" s="2066"/>
      <c r="E9316" s="2066"/>
      <c r="F9316" s="2066"/>
      <c r="G9316" s="2066"/>
      <c r="H9316" s="2066"/>
      <c r="I9316" s="2066"/>
      <c r="J9316" s="2066"/>
      <c r="K9316" s="2066"/>
      <c r="L9316" s="2066"/>
      <c r="M9316" s="2066"/>
      <c r="N9316" s="2066"/>
      <c r="O9316" s="2066"/>
      <c r="P9316" s="49"/>
      <c r="Q9316" s="1"/>
      <c r="R9316" s="2066"/>
      <c r="S9316" s="1"/>
      <c r="T9316" s="1"/>
      <c r="U9316" s="1"/>
      <c r="V9316" s="1"/>
      <c r="W9316" s="1"/>
      <c r="X9316" s="1"/>
      <c r="Y9316" s="1"/>
      <c r="Z9316" s="2066"/>
      <c r="AA9316" s="2066"/>
      <c r="AB9316" s="1"/>
      <c r="AC9316" s="1"/>
      <c r="AD9316" s="1"/>
      <c r="AE9316" s="1"/>
      <c r="AF9316" s="1"/>
      <c r="AG9316" s="1"/>
      <c r="AH9316" s="1"/>
      <c r="AI9316" s="1"/>
      <c r="AJ9316" s="1"/>
      <c r="AK9316" s="1"/>
      <c r="AL9316" s="1"/>
      <c r="AM9316" s="1"/>
    </row>
    <row r="9317" spans="1:39" x14ac:dyDescent="0.25">
      <c r="A9317" s="2066"/>
      <c r="B9317" s="2066"/>
      <c r="C9317" s="2066"/>
      <c r="D9317" s="2066"/>
      <c r="E9317" s="2066"/>
      <c r="F9317" s="2066"/>
      <c r="G9317" s="2066"/>
      <c r="H9317" s="2066"/>
      <c r="I9317" s="2066"/>
      <c r="J9317" s="2066"/>
      <c r="K9317" s="2066"/>
      <c r="L9317" s="2066"/>
      <c r="M9317" s="2066"/>
      <c r="N9317" s="2066"/>
      <c r="O9317" s="2066"/>
      <c r="P9317" s="49"/>
      <c r="Q9317" s="1"/>
      <c r="R9317" s="2066"/>
      <c r="S9317" s="1"/>
      <c r="T9317" s="1"/>
      <c r="U9317" s="1"/>
      <c r="V9317" s="1"/>
      <c r="W9317" s="1"/>
      <c r="X9317" s="1"/>
      <c r="Y9317" s="1"/>
      <c r="Z9317" s="2066"/>
      <c r="AA9317" s="2066"/>
      <c r="AB9317" s="1"/>
      <c r="AC9317" s="1"/>
      <c r="AD9317" s="1"/>
      <c r="AE9317" s="1"/>
      <c r="AF9317" s="1"/>
      <c r="AG9317" s="1"/>
      <c r="AH9317" s="1"/>
      <c r="AI9317" s="1"/>
      <c r="AJ9317" s="1"/>
      <c r="AK9317" s="1"/>
      <c r="AL9317" s="1"/>
      <c r="AM9317" s="1"/>
    </row>
    <row r="9318" spans="1:39" x14ac:dyDescent="0.25">
      <c r="A9318" s="2066"/>
      <c r="B9318" s="2066"/>
      <c r="C9318" s="2066"/>
      <c r="D9318" s="2066"/>
      <c r="E9318" s="2066"/>
      <c r="F9318" s="2066"/>
      <c r="G9318" s="2066"/>
      <c r="H9318" s="2066"/>
      <c r="I9318" s="2066"/>
      <c r="J9318" s="2066"/>
      <c r="K9318" s="2066"/>
      <c r="L9318" s="2066"/>
      <c r="M9318" s="2066"/>
      <c r="N9318" s="2066"/>
      <c r="O9318" s="2066"/>
      <c r="P9318" s="49"/>
      <c r="Q9318" s="1"/>
      <c r="R9318" s="2066"/>
      <c r="S9318" s="1"/>
      <c r="T9318" s="1"/>
      <c r="U9318" s="1"/>
      <c r="V9318" s="1"/>
      <c r="W9318" s="1"/>
      <c r="X9318" s="1"/>
      <c r="Y9318" s="1"/>
      <c r="Z9318" s="2066"/>
      <c r="AA9318" s="2066"/>
      <c r="AB9318" s="1"/>
      <c r="AC9318" s="1"/>
      <c r="AD9318" s="1"/>
      <c r="AE9318" s="1"/>
      <c r="AF9318" s="1"/>
      <c r="AG9318" s="1"/>
      <c r="AH9318" s="1"/>
      <c r="AI9318" s="1"/>
      <c r="AJ9318" s="1"/>
      <c r="AK9318" s="1"/>
      <c r="AL9318" s="1"/>
      <c r="AM9318" s="1"/>
    </row>
    <row r="9319" spans="1:39" x14ac:dyDescent="0.25">
      <c r="A9319" s="2066"/>
      <c r="B9319" s="2066"/>
      <c r="C9319" s="2066"/>
      <c r="D9319" s="2066"/>
      <c r="E9319" s="2066"/>
      <c r="F9319" s="2066"/>
      <c r="G9319" s="2066"/>
      <c r="H9319" s="2066"/>
      <c r="I9319" s="2066"/>
      <c r="J9319" s="2066"/>
      <c r="K9319" s="2066"/>
      <c r="L9319" s="2066"/>
      <c r="M9319" s="2066"/>
      <c r="N9319" s="2066"/>
      <c r="O9319" s="2066"/>
      <c r="P9319" s="49"/>
      <c r="Q9319" s="1"/>
      <c r="R9319" s="2066"/>
      <c r="S9319" s="1"/>
      <c r="T9319" s="1"/>
      <c r="U9319" s="1"/>
      <c r="V9319" s="1"/>
      <c r="W9319" s="1"/>
      <c r="X9319" s="1"/>
      <c r="Y9319" s="1"/>
      <c r="Z9319" s="2066"/>
      <c r="AA9319" s="2066"/>
      <c r="AB9319" s="1"/>
      <c r="AC9319" s="1"/>
      <c r="AD9319" s="1"/>
      <c r="AE9319" s="1"/>
      <c r="AF9319" s="1"/>
      <c r="AG9319" s="1"/>
      <c r="AH9319" s="1"/>
      <c r="AI9319" s="1"/>
      <c r="AJ9319" s="1"/>
      <c r="AK9319" s="1"/>
      <c r="AL9319" s="1"/>
      <c r="AM9319" s="1"/>
    </row>
    <row r="9320" spans="1:39" x14ac:dyDescent="0.25">
      <c r="A9320" s="2066"/>
      <c r="B9320" s="2066"/>
      <c r="C9320" s="2066"/>
      <c r="D9320" s="2066"/>
      <c r="E9320" s="2066"/>
      <c r="F9320" s="2066"/>
      <c r="G9320" s="2066"/>
      <c r="H9320" s="2066"/>
      <c r="I9320" s="2066"/>
      <c r="J9320" s="2066"/>
      <c r="K9320" s="2066"/>
      <c r="L9320" s="2066"/>
      <c r="M9320" s="2066"/>
      <c r="N9320" s="2066"/>
      <c r="O9320" s="2066"/>
      <c r="P9320" s="49"/>
      <c r="Q9320" s="1"/>
      <c r="R9320" s="2066"/>
      <c r="S9320" s="1"/>
      <c r="T9320" s="1"/>
      <c r="U9320" s="1"/>
      <c r="V9320" s="1"/>
      <c r="W9320" s="1"/>
      <c r="X9320" s="1"/>
      <c r="Y9320" s="1"/>
      <c r="Z9320" s="2066"/>
      <c r="AA9320" s="2066"/>
      <c r="AB9320" s="1"/>
      <c r="AC9320" s="1"/>
      <c r="AD9320" s="1"/>
      <c r="AE9320" s="1"/>
      <c r="AF9320" s="1"/>
      <c r="AG9320" s="1"/>
      <c r="AH9320" s="1"/>
      <c r="AI9320" s="1"/>
      <c r="AJ9320" s="1"/>
      <c r="AK9320" s="1"/>
      <c r="AL9320" s="1"/>
      <c r="AM9320" s="1"/>
    </row>
    <row r="9321" spans="1:39" x14ac:dyDescent="0.25">
      <c r="A9321" s="2066"/>
      <c r="B9321" s="2066"/>
      <c r="C9321" s="2066"/>
      <c r="D9321" s="2066"/>
      <c r="E9321" s="2066"/>
      <c r="F9321" s="2066"/>
      <c r="G9321" s="2066"/>
      <c r="H9321" s="2066"/>
      <c r="I9321" s="2066"/>
      <c r="J9321" s="2066"/>
      <c r="K9321" s="2066"/>
      <c r="L9321" s="2066"/>
      <c r="M9321" s="2066"/>
      <c r="N9321" s="2066"/>
      <c r="O9321" s="2066"/>
      <c r="P9321" s="49"/>
      <c r="Q9321" s="1"/>
      <c r="R9321" s="2066"/>
      <c r="S9321" s="1"/>
      <c r="T9321" s="1"/>
      <c r="U9321" s="1"/>
      <c r="V9321" s="1"/>
      <c r="W9321" s="1"/>
      <c r="X9321" s="1"/>
      <c r="Y9321" s="1"/>
      <c r="Z9321" s="2066"/>
      <c r="AA9321" s="2066"/>
      <c r="AB9321" s="1"/>
      <c r="AC9321" s="1"/>
      <c r="AD9321" s="1"/>
      <c r="AE9321" s="1"/>
      <c r="AF9321" s="1"/>
      <c r="AG9321" s="1"/>
      <c r="AH9321" s="1"/>
      <c r="AI9321" s="1"/>
      <c r="AJ9321" s="1"/>
      <c r="AK9321" s="1"/>
      <c r="AL9321" s="1"/>
      <c r="AM9321" s="1"/>
    </row>
    <row r="9322" spans="1:39" x14ac:dyDescent="0.25">
      <c r="A9322" s="2066"/>
      <c r="B9322" s="2066"/>
      <c r="C9322" s="2066"/>
      <c r="D9322" s="2066"/>
      <c r="E9322" s="2066"/>
      <c r="F9322" s="2066"/>
      <c r="G9322" s="2066"/>
      <c r="H9322" s="2066"/>
      <c r="I9322" s="2066"/>
      <c r="J9322" s="2066"/>
      <c r="K9322" s="2066"/>
      <c r="L9322" s="2066"/>
      <c r="M9322" s="2066"/>
      <c r="N9322" s="2066"/>
      <c r="O9322" s="2066"/>
      <c r="P9322" s="49"/>
      <c r="Q9322" s="1"/>
      <c r="R9322" s="2066"/>
      <c r="S9322" s="1"/>
      <c r="T9322" s="1"/>
      <c r="U9322" s="1"/>
      <c r="V9322" s="1"/>
      <c r="W9322" s="1"/>
      <c r="X9322" s="1"/>
      <c r="Y9322" s="1"/>
      <c r="Z9322" s="2066"/>
      <c r="AA9322" s="2066"/>
      <c r="AB9322" s="1"/>
      <c r="AC9322" s="1"/>
      <c r="AD9322" s="1"/>
      <c r="AE9322" s="1"/>
      <c r="AF9322" s="1"/>
      <c r="AG9322" s="1"/>
      <c r="AH9322" s="1"/>
      <c r="AI9322" s="1"/>
      <c r="AJ9322" s="1"/>
      <c r="AK9322" s="1"/>
      <c r="AL9322" s="1"/>
      <c r="AM9322" s="1"/>
    </row>
    <row r="9323" spans="1:39" x14ac:dyDescent="0.25">
      <c r="A9323" s="2066"/>
      <c r="B9323" s="2066"/>
      <c r="C9323" s="2066"/>
      <c r="D9323" s="2066"/>
      <c r="E9323" s="2066"/>
      <c r="F9323" s="2066"/>
      <c r="G9323" s="2066"/>
      <c r="H9323" s="2066"/>
      <c r="I9323" s="2066"/>
      <c r="J9323" s="2066"/>
      <c r="K9323" s="2066"/>
      <c r="L9323" s="2066"/>
      <c r="M9323" s="2066"/>
      <c r="N9323" s="2066"/>
      <c r="O9323" s="2066"/>
      <c r="P9323" s="49"/>
      <c r="Q9323" s="1"/>
      <c r="R9323" s="2066"/>
      <c r="S9323" s="1"/>
      <c r="T9323" s="1"/>
      <c r="U9323" s="1"/>
      <c r="V9323" s="1"/>
      <c r="W9323" s="1"/>
      <c r="X9323" s="1"/>
      <c r="Y9323" s="1"/>
      <c r="Z9323" s="2066"/>
      <c r="AA9323" s="2066"/>
      <c r="AB9323" s="1"/>
      <c r="AC9323" s="1"/>
      <c r="AD9323" s="1"/>
      <c r="AE9323" s="1"/>
      <c r="AF9323" s="1"/>
      <c r="AG9323" s="1"/>
      <c r="AH9323" s="1"/>
      <c r="AI9323" s="1"/>
      <c r="AJ9323" s="1"/>
      <c r="AK9323" s="1"/>
      <c r="AL9323" s="1"/>
      <c r="AM9323" s="1"/>
    </row>
    <row r="9324" spans="1:39" x14ac:dyDescent="0.25">
      <c r="A9324" s="2066"/>
      <c r="B9324" s="2066"/>
      <c r="C9324" s="2066"/>
      <c r="D9324" s="2066"/>
      <c r="E9324" s="2066"/>
      <c r="F9324" s="2066"/>
      <c r="G9324" s="2066"/>
      <c r="H9324" s="2066"/>
      <c r="I9324" s="2066"/>
      <c r="J9324" s="2066"/>
      <c r="K9324" s="2066"/>
      <c r="L9324" s="2066"/>
      <c r="M9324" s="2066"/>
      <c r="N9324" s="2066"/>
      <c r="O9324" s="2066"/>
      <c r="P9324" s="49"/>
      <c r="Q9324" s="1"/>
      <c r="R9324" s="2066"/>
      <c r="S9324" s="1"/>
      <c r="T9324" s="1"/>
      <c r="U9324" s="1"/>
      <c r="V9324" s="1"/>
      <c r="W9324" s="1"/>
      <c r="X9324" s="1"/>
      <c r="Y9324" s="1"/>
      <c r="Z9324" s="2066"/>
      <c r="AA9324" s="2066"/>
      <c r="AB9324" s="1"/>
      <c r="AC9324" s="1"/>
      <c r="AD9324" s="1"/>
      <c r="AE9324" s="1"/>
      <c r="AF9324" s="1"/>
      <c r="AG9324" s="1"/>
      <c r="AH9324" s="1"/>
      <c r="AI9324" s="1"/>
      <c r="AJ9324" s="1"/>
      <c r="AK9324" s="1"/>
      <c r="AL9324" s="1"/>
      <c r="AM9324" s="1"/>
    </row>
    <row r="9325" spans="1:39" x14ac:dyDescent="0.25">
      <c r="A9325" s="2066"/>
      <c r="B9325" s="2066"/>
      <c r="C9325" s="2066"/>
      <c r="D9325" s="2066"/>
      <c r="E9325" s="2066"/>
      <c r="F9325" s="2066"/>
      <c r="G9325" s="2066"/>
      <c r="H9325" s="2066"/>
      <c r="I9325" s="2066"/>
      <c r="J9325" s="2066"/>
      <c r="K9325" s="2066"/>
      <c r="L9325" s="2066"/>
      <c r="M9325" s="2066"/>
      <c r="N9325" s="2066"/>
      <c r="O9325" s="2066"/>
      <c r="P9325" s="49"/>
      <c r="Q9325" s="1"/>
      <c r="R9325" s="2066"/>
      <c r="S9325" s="1"/>
      <c r="T9325" s="1"/>
      <c r="U9325" s="1"/>
      <c r="V9325" s="1"/>
      <c r="W9325" s="1"/>
      <c r="X9325" s="1"/>
      <c r="Y9325" s="1"/>
      <c r="Z9325" s="2066"/>
      <c r="AA9325" s="2066"/>
      <c r="AB9325" s="1"/>
      <c r="AC9325" s="1"/>
      <c r="AD9325" s="1"/>
      <c r="AE9325" s="1"/>
      <c r="AF9325" s="1"/>
      <c r="AG9325" s="1"/>
      <c r="AH9325" s="1"/>
      <c r="AI9325" s="1"/>
      <c r="AJ9325" s="1"/>
      <c r="AK9325" s="1"/>
      <c r="AL9325" s="1"/>
      <c r="AM9325" s="1"/>
    </row>
    <row r="9326" spans="1:39" x14ac:dyDescent="0.25">
      <c r="A9326" s="2066"/>
      <c r="B9326" s="2066"/>
      <c r="C9326" s="2066"/>
      <c r="D9326" s="2066"/>
      <c r="E9326" s="2066"/>
      <c r="F9326" s="2066"/>
      <c r="G9326" s="2066"/>
      <c r="H9326" s="2066"/>
      <c r="I9326" s="2066"/>
      <c r="J9326" s="2066"/>
      <c r="K9326" s="2066"/>
      <c r="L9326" s="2066"/>
      <c r="M9326" s="2066"/>
      <c r="N9326" s="2066"/>
      <c r="O9326" s="2066"/>
      <c r="P9326" s="49"/>
      <c r="Q9326" s="1"/>
      <c r="R9326" s="2066"/>
      <c r="S9326" s="1"/>
      <c r="T9326" s="1"/>
      <c r="U9326" s="1"/>
      <c r="V9326" s="1"/>
      <c r="W9326" s="1"/>
      <c r="X9326" s="1"/>
      <c r="Y9326" s="1"/>
      <c r="Z9326" s="2066"/>
      <c r="AA9326" s="2066"/>
      <c r="AB9326" s="1"/>
      <c r="AC9326" s="1"/>
      <c r="AD9326" s="1"/>
      <c r="AE9326" s="1"/>
      <c r="AF9326" s="1"/>
      <c r="AG9326" s="1"/>
      <c r="AH9326" s="1"/>
      <c r="AI9326" s="1"/>
      <c r="AJ9326" s="1"/>
      <c r="AK9326" s="1"/>
      <c r="AL9326" s="1"/>
      <c r="AM9326" s="1"/>
    </row>
    <row r="9327" spans="1:39" x14ac:dyDescent="0.25">
      <c r="A9327" s="2066"/>
      <c r="B9327" s="2066"/>
      <c r="C9327" s="2066"/>
      <c r="D9327" s="2066"/>
      <c r="E9327" s="2066"/>
      <c r="F9327" s="2066"/>
      <c r="G9327" s="2066"/>
      <c r="H9327" s="2066"/>
      <c r="I9327" s="2066"/>
      <c r="J9327" s="2066"/>
      <c r="K9327" s="2066"/>
      <c r="L9327" s="2066"/>
      <c r="M9327" s="2066"/>
      <c r="N9327" s="2066"/>
      <c r="O9327" s="2066"/>
      <c r="P9327" s="49"/>
      <c r="Q9327" s="1"/>
      <c r="R9327" s="2066"/>
      <c r="S9327" s="1"/>
      <c r="T9327" s="1"/>
      <c r="U9327" s="1"/>
      <c r="V9327" s="1"/>
      <c r="W9327" s="1"/>
      <c r="X9327" s="1"/>
      <c r="Y9327" s="1"/>
      <c r="Z9327" s="2066"/>
      <c r="AA9327" s="2066"/>
      <c r="AB9327" s="1"/>
      <c r="AC9327" s="1"/>
      <c r="AD9327" s="1"/>
      <c r="AE9327" s="1"/>
      <c r="AF9327" s="1"/>
      <c r="AG9327" s="1"/>
      <c r="AH9327" s="1"/>
      <c r="AI9327" s="1"/>
      <c r="AJ9327" s="1"/>
      <c r="AK9327" s="1"/>
      <c r="AL9327" s="1"/>
      <c r="AM9327" s="1"/>
    </row>
    <row r="9328" spans="1:39" x14ac:dyDescent="0.25">
      <c r="A9328" s="2066"/>
      <c r="B9328" s="2066"/>
      <c r="C9328" s="2066"/>
      <c r="D9328" s="2066"/>
      <c r="E9328" s="2066"/>
      <c r="F9328" s="2066"/>
      <c r="G9328" s="2066"/>
      <c r="H9328" s="2066"/>
      <c r="I9328" s="2066"/>
      <c r="J9328" s="2066"/>
      <c r="K9328" s="2066"/>
      <c r="L9328" s="2066"/>
      <c r="M9328" s="2066"/>
      <c r="N9328" s="2066"/>
      <c r="O9328" s="2066"/>
      <c r="P9328" s="49"/>
      <c r="Q9328" s="1"/>
      <c r="R9328" s="2066"/>
      <c r="S9328" s="1"/>
      <c r="T9328" s="1"/>
      <c r="U9328" s="1"/>
      <c r="V9328" s="1"/>
      <c r="W9328" s="1"/>
      <c r="X9328" s="1"/>
      <c r="Y9328" s="1"/>
      <c r="Z9328" s="2066"/>
      <c r="AA9328" s="2066"/>
      <c r="AB9328" s="1"/>
      <c r="AC9328" s="1"/>
      <c r="AD9328" s="1"/>
      <c r="AE9328" s="1"/>
      <c r="AF9328" s="1"/>
      <c r="AG9328" s="1"/>
      <c r="AH9328" s="1"/>
      <c r="AI9328" s="1"/>
      <c r="AJ9328" s="1"/>
      <c r="AK9328" s="1"/>
      <c r="AL9328" s="1"/>
      <c r="AM9328" s="1"/>
    </row>
    <row r="9329" spans="1:39" x14ac:dyDescent="0.25">
      <c r="A9329" s="2066"/>
      <c r="B9329" s="2066"/>
      <c r="C9329" s="2066"/>
      <c r="D9329" s="2066"/>
      <c r="E9329" s="2066"/>
      <c r="F9329" s="2066"/>
      <c r="G9329" s="2066"/>
      <c r="H9329" s="2066"/>
      <c r="I9329" s="2066"/>
      <c r="J9329" s="2066"/>
      <c r="K9329" s="2066"/>
      <c r="L9329" s="2066"/>
      <c r="M9329" s="2066"/>
      <c r="N9329" s="2066"/>
      <c r="O9329" s="2066"/>
      <c r="P9329" s="49"/>
      <c r="Q9329" s="1"/>
      <c r="R9329" s="2066"/>
      <c r="S9329" s="1"/>
      <c r="T9329" s="1"/>
      <c r="U9329" s="1"/>
      <c r="V9329" s="1"/>
      <c r="W9329" s="1"/>
      <c r="X9329" s="1"/>
      <c r="Y9329" s="1"/>
      <c r="Z9329" s="2066"/>
      <c r="AA9329" s="2066"/>
      <c r="AB9329" s="1"/>
      <c r="AC9329" s="1"/>
      <c r="AD9329" s="1"/>
      <c r="AE9329" s="1"/>
      <c r="AF9329" s="1"/>
      <c r="AG9329" s="1"/>
      <c r="AH9329" s="1"/>
      <c r="AI9329" s="1"/>
      <c r="AJ9329" s="1"/>
      <c r="AK9329" s="1"/>
      <c r="AL9329" s="1"/>
      <c r="AM9329" s="1"/>
    </row>
    <row r="9330" spans="1:39" x14ac:dyDescent="0.25">
      <c r="A9330" s="2066"/>
      <c r="B9330" s="2066"/>
      <c r="C9330" s="2066"/>
      <c r="D9330" s="2066"/>
      <c r="E9330" s="2066"/>
      <c r="F9330" s="2066"/>
      <c r="G9330" s="2066"/>
      <c r="H9330" s="2066"/>
      <c r="I9330" s="2066"/>
      <c r="J9330" s="2066"/>
      <c r="K9330" s="2066"/>
      <c r="L9330" s="2066"/>
      <c r="M9330" s="2066"/>
      <c r="N9330" s="2066"/>
      <c r="O9330" s="2066"/>
      <c r="P9330" s="49"/>
      <c r="Q9330" s="1"/>
      <c r="R9330" s="2066"/>
      <c r="S9330" s="1"/>
      <c r="T9330" s="1"/>
      <c r="U9330" s="1"/>
      <c r="V9330" s="1"/>
      <c r="W9330" s="1"/>
      <c r="X9330" s="1"/>
      <c r="Y9330" s="1"/>
      <c r="Z9330" s="2066"/>
      <c r="AA9330" s="2066"/>
      <c r="AB9330" s="1"/>
      <c r="AC9330" s="1"/>
      <c r="AD9330" s="1"/>
      <c r="AE9330" s="1"/>
      <c r="AF9330" s="1"/>
      <c r="AG9330" s="1"/>
      <c r="AH9330" s="1"/>
      <c r="AI9330" s="1"/>
      <c r="AJ9330" s="1"/>
      <c r="AK9330" s="1"/>
      <c r="AL9330" s="1"/>
      <c r="AM9330" s="1"/>
    </row>
    <row r="9331" spans="1:39" x14ac:dyDescent="0.25">
      <c r="A9331" s="2066"/>
      <c r="B9331" s="2066"/>
      <c r="C9331" s="2066"/>
      <c r="D9331" s="2066"/>
      <c r="E9331" s="2066"/>
      <c r="F9331" s="2066"/>
      <c r="G9331" s="2066"/>
      <c r="H9331" s="2066"/>
      <c r="I9331" s="2066"/>
      <c r="J9331" s="2066"/>
      <c r="K9331" s="2066"/>
      <c r="L9331" s="2066"/>
      <c r="M9331" s="2066"/>
      <c r="N9331" s="2066"/>
      <c r="O9331" s="2066"/>
      <c r="P9331" s="49"/>
      <c r="Q9331" s="1"/>
      <c r="R9331" s="2066"/>
      <c r="S9331" s="1"/>
      <c r="T9331" s="1"/>
      <c r="U9331" s="1"/>
      <c r="V9331" s="1"/>
      <c r="W9331" s="1"/>
      <c r="X9331" s="1"/>
      <c r="Y9331" s="1"/>
      <c r="Z9331" s="2066"/>
      <c r="AA9331" s="2066"/>
      <c r="AB9331" s="1"/>
      <c r="AC9331" s="1"/>
      <c r="AD9331" s="1"/>
      <c r="AE9331" s="1"/>
      <c r="AF9331" s="1"/>
      <c r="AG9331" s="1"/>
      <c r="AH9331" s="1"/>
      <c r="AI9331" s="1"/>
      <c r="AJ9331" s="1"/>
      <c r="AK9331" s="1"/>
      <c r="AL9331" s="1"/>
      <c r="AM9331" s="1"/>
    </row>
    <row r="9332" spans="1:39" x14ac:dyDescent="0.25">
      <c r="A9332" s="2066"/>
      <c r="B9332" s="2066"/>
      <c r="C9332" s="2066"/>
      <c r="D9332" s="2066"/>
      <c r="E9332" s="2066"/>
      <c r="F9332" s="2066"/>
      <c r="G9332" s="2066"/>
      <c r="H9332" s="2066"/>
      <c r="I9332" s="2066"/>
      <c r="J9332" s="2066"/>
      <c r="K9332" s="2066"/>
      <c r="L9332" s="2066"/>
      <c r="M9332" s="2066"/>
      <c r="N9332" s="2066"/>
      <c r="O9332" s="2066"/>
      <c r="P9332" s="49"/>
      <c r="Q9332" s="1"/>
      <c r="R9332" s="2066"/>
      <c r="S9332" s="1"/>
      <c r="T9332" s="1"/>
      <c r="U9332" s="1"/>
      <c r="V9332" s="1"/>
      <c r="W9332" s="1"/>
      <c r="X9332" s="1"/>
      <c r="Y9332" s="1"/>
      <c r="Z9332" s="2066"/>
      <c r="AA9332" s="2066"/>
      <c r="AB9332" s="1"/>
      <c r="AC9332" s="1"/>
      <c r="AD9332" s="1"/>
      <c r="AE9332" s="1"/>
      <c r="AF9332" s="1"/>
      <c r="AG9332" s="1"/>
      <c r="AH9332" s="1"/>
      <c r="AI9332" s="1"/>
      <c r="AJ9332" s="1"/>
      <c r="AK9332" s="1"/>
      <c r="AL9332" s="1"/>
      <c r="AM9332" s="1"/>
    </row>
    <row r="9333" spans="1:39" x14ac:dyDescent="0.25">
      <c r="A9333" s="2066"/>
      <c r="B9333" s="2066"/>
      <c r="C9333" s="2066"/>
      <c r="D9333" s="2066"/>
      <c r="E9333" s="2066"/>
      <c r="F9333" s="2066"/>
      <c r="G9333" s="2066"/>
      <c r="H9333" s="2066"/>
      <c r="I9333" s="2066"/>
      <c r="J9333" s="2066"/>
      <c r="K9333" s="2066"/>
      <c r="L9333" s="2066"/>
      <c r="M9333" s="2066"/>
      <c r="N9333" s="2066"/>
      <c r="O9333" s="2066"/>
      <c r="P9333" s="49"/>
      <c r="Q9333" s="1"/>
      <c r="R9333" s="2066"/>
      <c r="S9333" s="1"/>
      <c r="T9333" s="1"/>
      <c r="U9333" s="1"/>
      <c r="V9333" s="1"/>
      <c r="W9333" s="1"/>
      <c r="X9333" s="1"/>
      <c r="Y9333" s="1"/>
      <c r="Z9333" s="2066"/>
      <c r="AA9333" s="2066"/>
      <c r="AB9333" s="1"/>
      <c r="AC9333" s="1"/>
      <c r="AD9333" s="1"/>
      <c r="AE9333" s="1"/>
      <c r="AF9333" s="1"/>
      <c r="AG9333" s="1"/>
      <c r="AH9333" s="1"/>
      <c r="AI9333" s="1"/>
      <c r="AJ9333" s="1"/>
      <c r="AK9333" s="1"/>
      <c r="AL9333" s="1"/>
      <c r="AM9333" s="1"/>
    </row>
    <row r="9334" spans="1:39" x14ac:dyDescent="0.25">
      <c r="A9334" s="2066"/>
      <c r="B9334" s="2066"/>
      <c r="C9334" s="2066"/>
      <c r="D9334" s="2066"/>
      <c r="E9334" s="2066"/>
      <c r="F9334" s="2066"/>
      <c r="G9334" s="2066"/>
      <c r="H9334" s="2066"/>
      <c r="I9334" s="2066"/>
      <c r="J9334" s="2066"/>
      <c r="K9334" s="2066"/>
      <c r="L9334" s="2066"/>
      <c r="M9334" s="2066"/>
      <c r="N9334" s="2066"/>
      <c r="O9334" s="2066"/>
      <c r="P9334" s="49"/>
      <c r="Q9334" s="1"/>
      <c r="R9334" s="2066"/>
      <c r="S9334" s="1"/>
      <c r="T9334" s="1"/>
      <c r="U9334" s="1"/>
      <c r="V9334" s="1"/>
      <c r="W9334" s="1"/>
      <c r="X9334" s="1"/>
      <c r="Y9334" s="1"/>
      <c r="Z9334" s="2066"/>
      <c r="AA9334" s="2066"/>
      <c r="AB9334" s="1"/>
      <c r="AC9334" s="1"/>
      <c r="AD9334" s="1"/>
      <c r="AE9334" s="1"/>
      <c r="AF9334" s="1"/>
      <c r="AG9334" s="1"/>
      <c r="AH9334" s="1"/>
      <c r="AI9334" s="1"/>
      <c r="AJ9334" s="1"/>
      <c r="AK9334" s="1"/>
      <c r="AL9334" s="1"/>
      <c r="AM9334" s="1"/>
    </row>
    <row r="9335" spans="1:39" x14ac:dyDescent="0.25">
      <c r="A9335" s="2066"/>
      <c r="B9335" s="2066"/>
      <c r="C9335" s="2066"/>
      <c r="D9335" s="2066"/>
      <c r="E9335" s="2066"/>
      <c r="F9335" s="2066"/>
      <c r="G9335" s="2066"/>
      <c r="H9335" s="2066"/>
      <c r="I9335" s="2066"/>
      <c r="J9335" s="2066"/>
      <c r="K9335" s="2066"/>
      <c r="L9335" s="2066"/>
      <c r="M9335" s="2066"/>
      <c r="N9335" s="2066"/>
      <c r="O9335" s="2066"/>
      <c r="P9335" s="49"/>
      <c r="Q9335" s="1"/>
      <c r="R9335" s="2066"/>
      <c r="S9335" s="1"/>
      <c r="T9335" s="1"/>
      <c r="U9335" s="1"/>
      <c r="V9335" s="1"/>
      <c r="W9335" s="1"/>
      <c r="X9335" s="1"/>
      <c r="Y9335" s="1"/>
      <c r="Z9335" s="2066"/>
      <c r="AA9335" s="2066"/>
      <c r="AB9335" s="1"/>
      <c r="AC9335" s="1"/>
      <c r="AD9335" s="1"/>
      <c r="AE9335" s="1"/>
      <c r="AF9335" s="1"/>
      <c r="AG9335" s="1"/>
      <c r="AH9335" s="1"/>
      <c r="AI9335" s="1"/>
      <c r="AJ9335" s="1"/>
      <c r="AK9335" s="1"/>
      <c r="AL9335" s="1"/>
      <c r="AM9335" s="1"/>
    </row>
    <row r="9336" spans="1:39" x14ac:dyDescent="0.25">
      <c r="A9336" s="2066"/>
      <c r="B9336" s="2066"/>
      <c r="C9336" s="2066"/>
      <c r="D9336" s="2066"/>
      <c r="E9336" s="2066"/>
      <c r="F9336" s="2066"/>
      <c r="G9336" s="2066"/>
      <c r="H9336" s="2066"/>
      <c r="I9336" s="2066"/>
      <c r="J9336" s="2066"/>
      <c r="K9336" s="2066"/>
      <c r="L9336" s="2066"/>
      <c r="M9336" s="2066"/>
      <c r="N9336" s="2066"/>
      <c r="O9336" s="2066"/>
      <c r="P9336" s="49"/>
      <c r="Q9336" s="1"/>
      <c r="R9336" s="2066"/>
      <c r="S9336" s="1"/>
      <c r="T9336" s="1"/>
      <c r="U9336" s="1"/>
      <c r="V9336" s="1"/>
      <c r="W9336" s="1"/>
      <c r="X9336" s="1"/>
      <c r="Y9336" s="1"/>
      <c r="Z9336" s="2066"/>
      <c r="AA9336" s="2066"/>
      <c r="AB9336" s="1"/>
      <c r="AC9336" s="1"/>
      <c r="AD9336" s="1"/>
      <c r="AE9336" s="1"/>
      <c r="AF9336" s="1"/>
      <c r="AG9336" s="1"/>
      <c r="AH9336" s="1"/>
      <c r="AI9336" s="1"/>
      <c r="AJ9336" s="1"/>
      <c r="AK9336" s="1"/>
      <c r="AL9336" s="1"/>
      <c r="AM9336" s="1"/>
    </row>
    <row r="9337" spans="1:39" x14ac:dyDescent="0.25">
      <c r="A9337" s="2066"/>
      <c r="B9337" s="2066"/>
      <c r="C9337" s="2066"/>
      <c r="D9337" s="2066"/>
      <c r="E9337" s="2066"/>
      <c r="F9337" s="2066"/>
      <c r="G9337" s="2066"/>
      <c r="H9337" s="2066"/>
      <c r="I9337" s="2066"/>
      <c r="J9337" s="2066"/>
      <c r="K9337" s="2066"/>
      <c r="L9337" s="2066"/>
      <c r="M9337" s="2066"/>
      <c r="N9337" s="2066"/>
      <c r="O9337" s="2066"/>
      <c r="P9337" s="49"/>
      <c r="Q9337" s="1"/>
      <c r="R9337" s="2066"/>
      <c r="S9337" s="1"/>
      <c r="T9337" s="1"/>
      <c r="U9337" s="1"/>
      <c r="V9337" s="1"/>
      <c r="W9337" s="1"/>
      <c r="X9337" s="1"/>
      <c r="Y9337" s="1"/>
      <c r="Z9337" s="2066"/>
      <c r="AA9337" s="2066"/>
      <c r="AB9337" s="1"/>
      <c r="AC9337" s="1"/>
      <c r="AD9337" s="1"/>
      <c r="AE9337" s="1"/>
      <c r="AF9337" s="1"/>
      <c r="AG9337" s="1"/>
      <c r="AH9337" s="1"/>
      <c r="AI9337" s="1"/>
      <c r="AJ9337" s="1"/>
      <c r="AK9337" s="1"/>
      <c r="AL9337" s="1"/>
      <c r="AM9337" s="1"/>
    </row>
    <row r="9338" spans="1:39" x14ac:dyDescent="0.25">
      <c r="A9338" s="2066"/>
      <c r="B9338" s="2066"/>
      <c r="C9338" s="2066"/>
      <c r="D9338" s="2066"/>
      <c r="E9338" s="2066"/>
      <c r="F9338" s="2066"/>
      <c r="G9338" s="2066"/>
      <c r="H9338" s="2066"/>
      <c r="I9338" s="2066"/>
      <c r="J9338" s="2066"/>
      <c r="K9338" s="2066"/>
      <c r="L9338" s="2066"/>
      <c r="M9338" s="2066"/>
      <c r="N9338" s="2066"/>
      <c r="O9338" s="2066"/>
      <c r="P9338" s="49"/>
      <c r="Q9338" s="1"/>
      <c r="R9338" s="2066"/>
      <c r="S9338" s="1"/>
      <c r="T9338" s="1"/>
      <c r="U9338" s="1"/>
      <c r="V9338" s="1"/>
      <c r="W9338" s="1"/>
      <c r="X9338" s="1"/>
      <c r="Y9338" s="1"/>
      <c r="Z9338" s="2066"/>
      <c r="AA9338" s="2066"/>
      <c r="AB9338" s="1"/>
      <c r="AC9338" s="1"/>
      <c r="AD9338" s="1"/>
      <c r="AE9338" s="1"/>
      <c r="AF9338" s="1"/>
      <c r="AG9338" s="1"/>
      <c r="AH9338" s="1"/>
      <c r="AI9338" s="1"/>
      <c r="AJ9338" s="1"/>
      <c r="AK9338" s="1"/>
      <c r="AL9338" s="1"/>
      <c r="AM9338" s="1"/>
    </row>
    <row r="9339" spans="1:39" x14ac:dyDescent="0.25">
      <c r="A9339" s="2066"/>
      <c r="B9339" s="2066"/>
      <c r="C9339" s="2066"/>
      <c r="D9339" s="2066"/>
      <c r="E9339" s="2066"/>
      <c r="F9339" s="2066"/>
      <c r="G9339" s="2066"/>
      <c r="H9339" s="2066"/>
      <c r="I9339" s="2066"/>
      <c r="J9339" s="2066"/>
      <c r="K9339" s="2066"/>
      <c r="L9339" s="2066"/>
      <c r="M9339" s="2066"/>
      <c r="N9339" s="2066"/>
      <c r="O9339" s="2066"/>
      <c r="P9339" s="49"/>
      <c r="Q9339" s="1"/>
      <c r="R9339" s="2066"/>
      <c r="S9339" s="1"/>
      <c r="T9339" s="1"/>
      <c r="U9339" s="1"/>
      <c r="V9339" s="1"/>
      <c r="W9339" s="1"/>
      <c r="X9339" s="1"/>
      <c r="Y9339" s="1"/>
      <c r="Z9339" s="2066"/>
      <c r="AA9339" s="2066"/>
      <c r="AB9339" s="1"/>
      <c r="AC9339" s="1"/>
      <c r="AD9339" s="1"/>
      <c r="AE9339" s="1"/>
      <c r="AF9339" s="1"/>
      <c r="AG9339" s="1"/>
      <c r="AH9339" s="1"/>
      <c r="AI9339" s="1"/>
      <c r="AJ9339" s="1"/>
      <c r="AK9339" s="1"/>
      <c r="AL9339" s="1"/>
      <c r="AM9339" s="1"/>
    </row>
    <row r="9340" spans="1:39" x14ac:dyDescent="0.25">
      <c r="A9340" s="2066"/>
      <c r="B9340" s="2066"/>
      <c r="C9340" s="2066"/>
      <c r="D9340" s="2066"/>
      <c r="E9340" s="2066"/>
      <c r="F9340" s="2066"/>
      <c r="G9340" s="2066"/>
      <c r="H9340" s="2066"/>
      <c r="I9340" s="2066"/>
      <c r="J9340" s="2066"/>
      <c r="K9340" s="2066"/>
      <c r="L9340" s="2066"/>
      <c r="M9340" s="2066"/>
      <c r="N9340" s="2066"/>
      <c r="O9340" s="2066"/>
      <c r="P9340" s="49"/>
      <c r="Q9340" s="1"/>
      <c r="R9340" s="2066"/>
      <c r="S9340" s="1"/>
      <c r="T9340" s="1"/>
      <c r="U9340" s="1"/>
      <c r="V9340" s="1"/>
      <c r="W9340" s="1"/>
      <c r="X9340" s="1"/>
      <c r="Y9340" s="1"/>
      <c r="Z9340" s="2066"/>
      <c r="AA9340" s="2066"/>
      <c r="AB9340" s="1"/>
      <c r="AC9340" s="1"/>
      <c r="AD9340" s="1"/>
      <c r="AE9340" s="1"/>
      <c r="AF9340" s="1"/>
      <c r="AG9340" s="1"/>
      <c r="AH9340" s="1"/>
      <c r="AI9340" s="1"/>
      <c r="AJ9340" s="1"/>
      <c r="AK9340" s="1"/>
      <c r="AL9340" s="1"/>
      <c r="AM9340" s="1"/>
    </row>
    <row r="9341" spans="1:39" x14ac:dyDescent="0.25">
      <c r="A9341" s="2066"/>
      <c r="B9341" s="2066"/>
      <c r="C9341" s="2066"/>
      <c r="D9341" s="2066"/>
      <c r="E9341" s="2066"/>
      <c r="F9341" s="2066"/>
      <c r="G9341" s="2066"/>
      <c r="H9341" s="2066"/>
      <c r="I9341" s="2066"/>
      <c r="J9341" s="2066"/>
      <c r="K9341" s="2066"/>
      <c r="L9341" s="2066"/>
      <c r="M9341" s="2066"/>
      <c r="N9341" s="2066"/>
      <c r="O9341" s="2066"/>
      <c r="P9341" s="49"/>
      <c r="Q9341" s="1"/>
      <c r="R9341" s="2066"/>
      <c r="S9341" s="1"/>
      <c r="T9341" s="1"/>
      <c r="U9341" s="1"/>
      <c r="V9341" s="1"/>
      <c r="W9341" s="1"/>
      <c r="X9341" s="1"/>
      <c r="Y9341" s="1"/>
      <c r="Z9341" s="2066"/>
      <c r="AA9341" s="2066"/>
      <c r="AB9341" s="1"/>
      <c r="AC9341" s="1"/>
      <c r="AD9341" s="1"/>
      <c r="AE9341" s="1"/>
      <c r="AF9341" s="1"/>
      <c r="AG9341" s="1"/>
      <c r="AH9341" s="1"/>
      <c r="AI9341" s="1"/>
      <c r="AJ9341" s="1"/>
      <c r="AK9341" s="1"/>
      <c r="AL9341" s="1"/>
      <c r="AM9341" s="1"/>
    </row>
    <row r="9342" spans="1:39" x14ac:dyDescent="0.25">
      <c r="A9342" s="2066"/>
      <c r="B9342" s="2066"/>
      <c r="C9342" s="2066"/>
      <c r="D9342" s="2066"/>
      <c r="E9342" s="2066"/>
      <c r="F9342" s="2066"/>
      <c r="G9342" s="2066"/>
      <c r="H9342" s="2066"/>
      <c r="I9342" s="2066"/>
      <c r="J9342" s="2066"/>
      <c r="K9342" s="2066"/>
      <c r="L9342" s="2066"/>
      <c r="M9342" s="2066"/>
      <c r="N9342" s="2066"/>
      <c r="O9342" s="2066"/>
      <c r="P9342" s="49"/>
      <c r="Q9342" s="1"/>
      <c r="R9342" s="2066"/>
      <c r="S9342" s="1"/>
      <c r="T9342" s="1"/>
      <c r="U9342" s="1"/>
      <c r="V9342" s="1"/>
      <c r="W9342" s="1"/>
      <c r="X9342" s="1"/>
      <c r="Y9342" s="1"/>
      <c r="Z9342" s="2066"/>
      <c r="AA9342" s="2066"/>
      <c r="AB9342" s="1"/>
      <c r="AC9342" s="1"/>
      <c r="AD9342" s="1"/>
      <c r="AE9342" s="1"/>
      <c r="AF9342" s="1"/>
      <c r="AG9342" s="1"/>
      <c r="AH9342" s="1"/>
      <c r="AI9342" s="1"/>
      <c r="AJ9342" s="1"/>
      <c r="AK9342" s="1"/>
      <c r="AL9342" s="1"/>
      <c r="AM9342" s="1"/>
    </row>
    <row r="9343" spans="1:39" x14ac:dyDescent="0.25">
      <c r="A9343" s="2066"/>
      <c r="B9343" s="2066"/>
      <c r="C9343" s="2066"/>
      <c r="D9343" s="2066"/>
      <c r="E9343" s="2066"/>
      <c r="F9343" s="2066"/>
      <c r="G9343" s="2066"/>
      <c r="H9343" s="2066"/>
      <c r="I9343" s="2066"/>
      <c r="J9343" s="2066"/>
      <c r="K9343" s="2066"/>
      <c r="L9343" s="2066"/>
      <c r="M9343" s="2066"/>
      <c r="N9343" s="2066"/>
      <c r="O9343" s="2066"/>
      <c r="P9343" s="49"/>
      <c r="Q9343" s="1"/>
      <c r="R9343" s="2066"/>
      <c r="S9343" s="1"/>
      <c r="T9343" s="1"/>
      <c r="U9343" s="1"/>
      <c r="V9343" s="1"/>
      <c r="W9343" s="1"/>
      <c r="X9343" s="1"/>
      <c r="Y9343" s="1"/>
      <c r="Z9343" s="2066"/>
      <c r="AA9343" s="2066"/>
      <c r="AB9343" s="1"/>
      <c r="AC9343" s="1"/>
      <c r="AD9343" s="1"/>
      <c r="AE9343" s="1"/>
      <c r="AF9343" s="1"/>
      <c r="AG9343" s="1"/>
      <c r="AH9343" s="1"/>
      <c r="AI9343" s="1"/>
      <c r="AJ9343" s="1"/>
      <c r="AK9343" s="1"/>
      <c r="AL9343" s="1"/>
      <c r="AM9343" s="1"/>
    </row>
    <row r="9344" spans="1:39" x14ac:dyDescent="0.25">
      <c r="A9344" s="2066"/>
      <c r="B9344" s="2066"/>
      <c r="C9344" s="2066"/>
      <c r="D9344" s="2066"/>
      <c r="E9344" s="2066"/>
      <c r="F9344" s="2066"/>
      <c r="G9344" s="2066"/>
      <c r="H9344" s="2066"/>
      <c r="I9344" s="2066"/>
      <c r="J9344" s="2066"/>
      <c r="K9344" s="2066"/>
      <c r="L9344" s="2066"/>
      <c r="M9344" s="2066"/>
      <c r="N9344" s="2066"/>
      <c r="O9344" s="2066"/>
      <c r="P9344" s="49"/>
      <c r="Q9344" s="1"/>
      <c r="R9344" s="2066"/>
      <c r="S9344" s="1"/>
      <c r="T9344" s="1"/>
      <c r="U9344" s="1"/>
      <c r="V9344" s="1"/>
      <c r="W9344" s="1"/>
      <c r="X9344" s="1"/>
      <c r="Y9344" s="1"/>
      <c r="Z9344" s="2066"/>
      <c r="AA9344" s="2066"/>
      <c r="AB9344" s="1"/>
      <c r="AC9344" s="1"/>
      <c r="AD9344" s="1"/>
      <c r="AE9344" s="1"/>
      <c r="AF9344" s="1"/>
      <c r="AG9344" s="1"/>
      <c r="AH9344" s="1"/>
      <c r="AI9344" s="1"/>
      <c r="AJ9344" s="1"/>
      <c r="AK9344" s="1"/>
      <c r="AL9344" s="1"/>
      <c r="AM9344" s="1"/>
    </row>
    <row r="9345" spans="1:39" x14ac:dyDescent="0.25">
      <c r="A9345" s="2066"/>
      <c r="B9345" s="2066"/>
      <c r="C9345" s="2066"/>
      <c r="D9345" s="2066"/>
      <c r="E9345" s="2066"/>
      <c r="F9345" s="2066"/>
      <c r="G9345" s="2066"/>
      <c r="H9345" s="2066"/>
      <c r="I9345" s="2066"/>
      <c r="J9345" s="2066"/>
      <c r="K9345" s="2066"/>
      <c r="L9345" s="2066"/>
      <c r="M9345" s="2066"/>
      <c r="N9345" s="2066"/>
      <c r="O9345" s="2066"/>
      <c r="P9345" s="49"/>
      <c r="Q9345" s="1"/>
      <c r="R9345" s="2066"/>
      <c r="S9345" s="1"/>
      <c r="T9345" s="1"/>
      <c r="U9345" s="1"/>
      <c r="V9345" s="1"/>
      <c r="W9345" s="1"/>
      <c r="X9345" s="1"/>
      <c r="Y9345" s="1"/>
      <c r="Z9345" s="2066"/>
      <c r="AA9345" s="2066"/>
      <c r="AB9345" s="1"/>
      <c r="AC9345" s="1"/>
      <c r="AD9345" s="1"/>
      <c r="AE9345" s="1"/>
      <c r="AF9345" s="1"/>
      <c r="AG9345" s="1"/>
      <c r="AH9345" s="1"/>
      <c r="AI9345" s="1"/>
      <c r="AJ9345" s="1"/>
      <c r="AK9345" s="1"/>
      <c r="AL9345" s="1"/>
      <c r="AM9345" s="1"/>
    </row>
    <row r="9346" spans="1:39" x14ac:dyDescent="0.25">
      <c r="A9346" s="2066"/>
      <c r="B9346" s="2066"/>
      <c r="C9346" s="2066"/>
      <c r="D9346" s="2066"/>
      <c r="E9346" s="2066"/>
      <c r="F9346" s="2066"/>
      <c r="G9346" s="2066"/>
      <c r="H9346" s="2066"/>
      <c r="I9346" s="2066"/>
      <c r="J9346" s="2066"/>
      <c r="K9346" s="2066"/>
      <c r="L9346" s="2066"/>
      <c r="M9346" s="2066"/>
      <c r="N9346" s="2066"/>
      <c r="O9346" s="2066"/>
      <c r="P9346" s="49"/>
      <c r="Q9346" s="1"/>
      <c r="R9346" s="2066"/>
      <c r="S9346" s="1"/>
      <c r="T9346" s="1"/>
      <c r="U9346" s="1"/>
      <c r="V9346" s="1"/>
      <c r="W9346" s="1"/>
      <c r="X9346" s="1"/>
      <c r="Y9346" s="1"/>
      <c r="Z9346" s="2066"/>
      <c r="AA9346" s="2066"/>
      <c r="AB9346" s="1"/>
      <c r="AC9346" s="1"/>
      <c r="AD9346" s="1"/>
      <c r="AE9346" s="1"/>
      <c r="AF9346" s="1"/>
      <c r="AG9346" s="1"/>
      <c r="AH9346" s="1"/>
      <c r="AI9346" s="1"/>
      <c r="AJ9346" s="1"/>
      <c r="AK9346" s="1"/>
      <c r="AL9346" s="1"/>
      <c r="AM9346" s="1"/>
    </row>
    <row r="9347" spans="1:39" x14ac:dyDescent="0.25">
      <c r="A9347" s="2066"/>
      <c r="B9347" s="2066"/>
      <c r="C9347" s="2066"/>
      <c r="D9347" s="2066"/>
      <c r="E9347" s="2066"/>
      <c r="F9347" s="2066"/>
      <c r="G9347" s="2066"/>
      <c r="H9347" s="2066"/>
      <c r="I9347" s="2066"/>
      <c r="J9347" s="2066"/>
      <c r="K9347" s="2066"/>
      <c r="L9347" s="2066"/>
      <c r="M9347" s="2066"/>
      <c r="N9347" s="2066"/>
      <c r="O9347" s="2066"/>
      <c r="P9347" s="49"/>
      <c r="Q9347" s="1"/>
      <c r="R9347" s="2066"/>
      <c r="S9347" s="1"/>
      <c r="T9347" s="1"/>
      <c r="U9347" s="1"/>
      <c r="V9347" s="1"/>
      <c r="W9347" s="1"/>
      <c r="X9347" s="1"/>
      <c r="Y9347" s="1"/>
      <c r="Z9347" s="2066"/>
      <c r="AA9347" s="2066"/>
      <c r="AB9347" s="1"/>
      <c r="AC9347" s="1"/>
      <c r="AD9347" s="1"/>
      <c r="AE9347" s="1"/>
      <c r="AF9347" s="1"/>
      <c r="AG9347" s="1"/>
      <c r="AH9347" s="1"/>
      <c r="AI9347" s="1"/>
      <c r="AJ9347" s="1"/>
      <c r="AK9347" s="1"/>
      <c r="AL9347" s="1"/>
      <c r="AM9347" s="1"/>
    </row>
    <row r="9348" spans="1:39" x14ac:dyDescent="0.25">
      <c r="A9348" s="2066"/>
      <c r="B9348" s="2066"/>
      <c r="C9348" s="2066"/>
      <c r="D9348" s="2066"/>
      <c r="E9348" s="2066"/>
      <c r="F9348" s="2066"/>
      <c r="G9348" s="2066"/>
      <c r="H9348" s="2066"/>
      <c r="I9348" s="2066"/>
      <c r="J9348" s="2066"/>
      <c r="K9348" s="2066"/>
      <c r="L9348" s="2066"/>
      <c r="M9348" s="2066"/>
      <c r="N9348" s="2066"/>
      <c r="O9348" s="2066"/>
      <c r="P9348" s="49"/>
      <c r="Q9348" s="1"/>
      <c r="R9348" s="2066"/>
      <c r="S9348" s="1"/>
      <c r="T9348" s="1"/>
      <c r="U9348" s="1"/>
      <c r="V9348" s="1"/>
      <c r="W9348" s="1"/>
      <c r="X9348" s="1"/>
      <c r="Y9348" s="1"/>
      <c r="Z9348" s="2066"/>
      <c r="AA9348" s="2066"/>
      <c r="AB9348" s="1"/>
      <c r="AC9348" s="1"/>
      <c r="AD9348" s="1"/>
      <c r="AE9348" s="1"/>
      <c r="AF9348" s="1"/>
      <c r="AG9348" s="1"/>
      <c r="AH9348" s="1"/>
      <c r="AI9348" s="1"/>
      <c r="AJ9348" s="1"/>
      <c r="AK9348" s="1"/>
      <c r="AL9348" s="1"/>
      <c r="AM9348" s="1"/>
    </row>
    <row r="9349" spans="1:39" x14ac:dyDescent="0.25">
      <c r="A9349" s="2066"/>
      <c r="B9349" s="2066"/>
      <c r="C9349" s="2066"/>
      <c r="D9349" s="2066"/>
      <c r="E9349" s="2066"/>
      <c r="F9349" s="2066"/>
      <c r="G9349" s="2066"/>
      <c r="H9349" s="2066"/>
      <c r="I9349" s="2066"/>
      <c r="J9349" s="2066"/>
      <c r="K9349" s="2066"/>
      <c r="L9349" s="2066"/>
      <c r="M9349" s="2066"/>
      <c r="N9349" s="2066"/>
      <c r="O9349" s="2066"/>
      <c r="P9349" s="49"/>
      <c r="Q9349" s="1"/>
      <c r="R9349" s="2066"/>
      <c r="S9349" s="1"/>
      <c r="T9349" s="1"/>
      <c r="U9349" s="1"/>
      <c r="V9349" s="1"/>
      <c r="W9349" s="1"/>
      <c r="X9349" s="1"/>
      <c r="Y9349" s="1"/>
      <c r="Z9349" s="2066"/>
      <c r="AA9349" s="2066"/>
      <c r="AB9349" s="1"/>
      <c r="AC9349" s="1"/>
      <c r="AD9349" s="1"/>
      <c r="AE9349" s="1"/>
      <c r="AF9349" s="1"/>
      <c r="AG9349" s="1"/>
      <c r="AH9349" s="1"/>
      <c r="AI9349" s="1"/>
      <c r="AJ9349" s="1"/>
      <c r="AK9349" s="1"/>
      <c r="AL9349" s="1"/>
      <c r="AM9349" s="1"/>
    </row>
    <row r="9350" spans="1:39" x14ac:dyDescent="0.25">
      <c r="A9350" s="2066"/>
      <c r="B9350" s="2066"/>
      <c r="C9350" s="2066"/>
      <c r="D9350" s="2066"/>
      <c r="E9350" s="2066"/>
      <c r="F9350" s="2066"/>
      <c r="G9350" s="2066"/>
      <c r="H9350" s="2066"/>
      <c r="I9350" s="2066"/>
      <c r="J9350" s="2066"/>
      <c r="K9350" s="2066"/>
      <c r="L9350" s="2066"/>
      <c r="M9350" s="2066"/>
      <c r="N9350" s="2066"/>
      <c r="O9350" s="2066"/>
      <c r="P9350" s="49"/>
      <c r="Q9350" s="1"/>
      <c r="R9350" s="2066"/>
      <c r="S9350" s="1"/>
      <c r="T9350" s="1"/>
      <c r="U9350" s="1"/>
      <c r="V9350" s="1"/>
      <c r="W9350" s="1"/>
      <c r="X9350" s="1"/>
      <c r="Y9350" s="1"/>
      <c r="Z9350" s="2066"/>
      <c r="AA9350" s="2066"/>
      <c r="AB9350" s="1"/>
      <c r="AC9350" s="1"/>
      <c r="AD9350" s="1"/>
      <c r="AE9350" s="1"/>
      <c r="AF9350" s="1"/>
      <c r="AG9350" s="1"/>
      <c r="AH9350" s="1"/>
      <c r="AI9350" s="1"/>
      <c r="AJ9350" s="1"/>
      <c r="AK9350" s="1"/>
      <c r="AL9350" s="1"/>
      <c r="AM9350" s="1"/>
    </row>
    <row r="9351" spans="1:39" x14ac:dyDescent="0.25">
      <c r="A9351" s="2066"/>
      <c r="B9351" s="2066"/>
      <c r="C9351" s="2066"/>
      <c r="D9351" s="2066"/>
      <c r="E9351" s="2066"/>
      <c r="F9351" s="2066"/>
      <c r="G9351" s="2066"/>
      <c r="H9351" s="2066"/>
      <c r="I9351" s="2066"/>
      <c r="J9351" s="2066"/>
      <c r="K9351" s="2066"/>
      <c r="L9351" s="2066"/>
      <c r="M9351" s="2066"/>
      <c r="N9351" s="2066"/>
      <c r="O9351" s="2066"/>
      <c r="P9351" s="49"/>
      <c r="Q9351" s="1"/>
      <c r="R9351" s="2066"/>
      <c r="S9351" s="1"/>
      <c r="T9351" s="1"/>
      <c r="U9351" s="1"/>
      <c r="V9351" s="1"/>
      <c r="W9351" s="1"/>
      <c r="X9351" s="1"/>
      <c r="Y9351" s="1"/>
      <c r="Z9351" s="2066"/>
      <c r="AA9351" s="2066"/>
      <c r="AB9351" s="1"/>
      <c r="AC9351" s="1"/>
      <c r="AD9351" s="1"/>
      <c r="AE9351" s="1"/>
      <c r="AF9351" s="1"/>
      <c r="AG9351" s="1"/>
      <c r="AH9351" s="1"/>
      <c r="AI9351" s="1"/>
      <c r="AJ9351" s="1"/>
      <c r="AK9351" s="1"/>
      <c r="AL9351" s="1"/>
      <c r="AM9351" s="1"/>
    </row>
    <row r="9352" spans="1:39" x14ac:dyDescent="0.25">
      <c r="A9352" s="2066"/>
      <c r="B9352" s="2066"/>
      <c r="C9352" s="2066"/>
      <c r="D9352" s="2066"/>
      <c r="E9352" s="2066"/>
      <c r="F9352" s="2066"/>
      <c r="G9352" s="2066"/>
      <c r="H9352" s="2066"/>
      <c r="I9352" s="2066"/>
      <c r="J9352" s="2066"/>
      <c r="K9352" s="2066"/>
      <c r="L9352" s="2066"/>
      <c r="M9352" s="2066"/>
      <c r="N9352" s="2066"/>
      <c r="O9352" s="2066"/>
      <c r="P9352" s="49"/>
      <c r="Q9352" s="1"/>
      <c r="R9352" s="2066"/>
      <c r="S9352" s="1"/>
      <c r="T9352" s="1"/>
      <c r="U9352" s="1"/>
      <c r="V9352" s="1"/>
      <c r="W9352" s="1"/>
      <c r="X9352" s="1"/>
      <c r="Y9352" s="1"/>
      <c r="Z9352" s="2066"/>
      <c r="AA9352" s="2066"/>
      <c r="AB9352" s="1"/>
      <c r="AC9352" s="1"/>
      <c r="AD9352" s="1"/>
      <c r="AE9352" s="1"/>
      <c r="AF9352" s="1"/>
      <c r="AG9352" s="1"/>
      <c r="AH9352" s="1"/>
      <c r="AI9352" s="1"/>
      <c r="AJ9352" s="1"/>
      <c r="AK9352" s="1"/>
      <c r="AL9352" s="1"/>
      <c r="AM9352" s="1"/>
    </row>
  </sheetData>
  <pageMargins left="0.511811024" right="0.511811024" top="0.78740157499999996" bottom="0.78740157499999996" header="0.31496062000000002" footer="0.31496062000000002"/>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L47"/>
  <sheetViews>
    <sheetView workbookViewId="0">
      <selection activeCell="C12" sqref="C12:J13"/>
    </sheetView>
  </sheetViews>
  <sheetFormatPr defaultRowHeight="15" x14ac:dyDescent="0.25"/>
  <cols>
    <col min="1" max="1" width="47.140625" bestFit="1" customWidth="1"/>
    <col min="2" max="2" width="13.140625" style="127" bestFit="1" customWidth="1"/>
    <col min="3" max="3" width="12.42578125" style="137" bestFit="1" customWidth="1"/>
    <col min="4" max="4" width="9.140625" style="142"/>
    <col min="5" max="5" width="9.140625" style="154"/>
  </cols>
  <sheetData>
    <row r="1" spans="1:7" x14ac:dyDescent="0.25">
      <c r="A1" t="s">
        <v>406</v>
      </c>
      <c r="B1" s="127" t="s">
        <v>94</v>
      </c>
      <c r="C1" s="137" t="s">
        <v>173</v>
      </c>
      <c r="D1" s="142" t="s">
        <v>502</v>
      </c>
      <c r="E1" s="154" t="s">
        <v>592</v>
      </c>
      <c r="F1" s="157" t="s">
        <v>170</v>
      </c>
      <c r="G1" s="158" t="s">
        <v>169</v>
      </c>
    </row>
    <row r="2" spans="1:7" x14ac:dyDescent="0.25">
      <c r="A2" t="s">
        <v>409</v>
      </c>
      <c r="B2" s="127" t="s">
        <v>408</v>
      </c>
      <c r="C2" s="137" t="s">
        <v>408</v>
      </c>
      <c r="D2" s="142" t="s">
        <v>408</v>
      </c>
      <c r="E2" s="154" t="s">
        <v>587</v>
      </c>
      <c r="F2" s="157" t="s">
        <v>408</v>
      </c>
      <c r="G2" s="158" t="s">
        <v>408</v>
      </c>
    </row>
    <row r="3" spans="1:7" x14ac:dyDescent="0.25">
      <c r="A3" s="133" t="s">
        <v>584</v>
      </c>
      <c r="B3" s="152" t="s">
        <v>408</v>
      </c>
      <c r="C3" s="151" t="s">
        <v>408</v>
      </c>
      <c r="D3" s="151"/>
    </row>
    <row r="4" spans="1:7" x14ac:dyDescent="0.25">
      <c r="A4" t="s">
        <v>407</v>
      </c>
      <c r="B4" s="127" t="s">
        <v>408</v>
      </c>
    </row>
    <row r="5" spans="1:7" x14ac:dyDescent="0.25">
      <c r="A5" s="24" t="s">
        <v>585</v>
      </c>
      <c r="B5" s="127" t="s">
        <v>588</v>
      </c>
    </row>
    <row r="6" spans="1:7" x14ac:dyDescent="0.25">
      <c r="A6" t="s">
        <v>586</v>
      </c>
      <c r="B6" s="127" t="s">
        <v>587</v>
      </c>
      <c r="C6" s="137" t="s">
        <v>408</v>
      </c>
    </row>
    <row r="7" spans="1:7" x14ac:dyDescent="0.25">
      <c r="A7" s="24" t="s">
        <v>449</v>
      </c>
      <c r="B7" s="152"/>
      <c r="C7" s="151" t="s">
        <v>408</v>
      </c>
      <c r="D7" s="151"/>
    </row>
    <row r="8" spans="1:7" x14ac:dyDescent="0.25">
      <c r="A8" t="s">
        <v>589</v>
      </c>
      <c r="B8" s="152"/>
      <c r="C8" s="151" t="s">
        <v>408</v>
      </c>
      <c r="D8" s="151" t="s">
        <v>408</v>
      </c>
    </row>
    <row r="9" spans="1:7" x14ac:dyDescent="0.25">
      <c r="A9" s="24" t="s">
        <v>590</v>
      </c>
      <c r="B9" s="152"/>
      <c r="C9" s="151"/>
      <c r="D9" s="151" t="s">
        <v>408</v>
      </c>
    </row>
    <row r="10" spans="1:7" x14ac:dyDescent="0.25">
      <c r="A10" s="138" t="s">
        <v>503</v>
      </c>
      <c r="D10" s="142" t="s">
        <v>408</v>
      </c>
    </row>
    <row r="11" spans="1:7" x14ac:dyDescent="0.25">
      <c r="A11" s="24" t="s">
        <v>591</v>
      </c>
      <c r="D11" s="142" t="s">
        <v>408</v>
      </c>
    </row>
    <row r="12" spans="1:7" x14ac:dyDescent="0.25">
      <c r="A12" s="138" t="s">
        <v>504</v>
      </c>
      <c r="B12" s="152"/>
      <c r="C12" s="151"/>
      <c r="D12" s="151" t="s">
        <v>408</v>
      </c>
    </row>
    <row r="13" spans="1:7" x14ac:dyDescent="0.25">
      <c r="A13" s="138" t="s">
        <v>505</v>
      </c>
      <c r="D13" s="142" t="s">
        <v>408</v>
      </c>
    </row>
    <row r="14" spans="1:7" x14ac:dyDescent="0.25">
      <c r="A14" s="24" t="s">
        <v>594</v>
      </c>
      <c r="B14" s="152"/>
      <c r="C14" s="151"/>
      <c r="D14" s="151"/>
      <c r="E14" s="154" t="s">
        <v>408</v>
      </c>
    </row>
    <row r="15" spans="1:7" x14ac:dyDescent="0.25">
      <c r="A15" s="138" t="s">
        <v>593</v>
      </c>
      <c r="B15" s="152"/>
      <c r="C15" s="151"/>
      <c r="D15" s="151"/>
      <c r="E15" s="154" t="s">
        <v>408</v>
      </c>
    </row>
    <row r="16" spans="1:7" x14ac:dyDescent="0.25">
      <c r="A16" s="24" t="s">
        <v>595</v>
      </c>
      <c r="B16" s="152"/>
      <c r="C16" s="151"/>
      <c r="D16" s="151"/>
      <c r="E16" s="154" t="s">
        <v>408</v>
      </c>
    </row>
    <row r="17" spans="1:12" x14ac:dyDescent="0.25">
      <c r="A17" s="138" t="s">
        <v>596</v>
      </c>
      <c r="B17" s="152"/>
      <c r="C17" s="151"/>
      <c r="D17" s="151"/>
      <c r="E17" s="154" t="s">
        <v>408</v>
      </c>
    </row>
    <row r="18" spans="1:12" x14ac:dyDescent="0.25">
      <c r="A18" s="24" t="s">
        <v>597</v>
      </c>
      <c r="B18" s="152"/>
      <c r="C18" s="151"/>
      <c r="D18" s="151"/>
      <c r="F18" s="157" t="s">
        <v>408</v>
      </c>
    </row>
    <row r="19" spans="1:12" x14ac:dyDescent="0.25">
      <c r="A19" s="24" t="s">
        <v>598</v>
      </c>
      <c r="B19" s="152"/>
      <c r="C19" s="151"/>
      <c r="D19" s="151"/>
      <c r="G19" s="158" t="s">
        <v>408</v>
      </c>
    </row>
    <row r="20" spans="1:12" x14ac:dyDescent="0.25">
      <c r="A20" s="138"/>
      <c r="B20" s="152"/>
      <c r="C20" s="151"/>
      <c r="D20" s="151"/>
    </row>
    <row r="22" spans="1:12" x14ac:dyDescent="0.25">
      <c r="A22" s="24" t="s">
        <v>410</v>
      </c>
    </row>
    <row r="28" spans="1:12" x14ac:dyDescent="0.25">
      <c r="A28" s="1909" t="s">
        <v>1991</v>
      </c>
      <c r="B28" s="152" t="s">
        <v>94</v>
      </c>
      <c r="C28" s="1909" t="s">
        <v>173</v>
      </c>
      <c r="D28" s="1909" t="s">
        <v>502</v>
      </c>
      <c r="E28" s="1909" t="s">
        <v>592</v>
      </c>
      <c r="F28" s="1909" t="s">
        <v>170</v>
      </c>
      <c r="G28" s="1909" t="s">
        <v>169</v>
      </c>
      <c r="H28" s="1910" t="s">
        <v>1975</v>
      </c>
      <c r="I28" s="1911"/>
      <c r="J28" s="620"/>
      <c r="K28" s="620"/>
      <c r="L28" s="1910" t="s">
        <v>1976</v>
      </c>
    </row>
    <row r="29" spans="1:12" x14ac:dyDescent="0.25">
      <c r="A29" s="620" t="s">
        <v>409</v>
      </c>
      <c r="B29" s="152" t="s">
        <v>408</v>
      </c>
      <c r="C29" s="1909" t="s">
        <v>408</v>
      </c>
      <c r="D29" s="1909" t="s">
        <v>408</v>
      </c>
      <c r="E29" s="1909" t="s">
        <v>408</v>
      </c>
      <c r="F29" s="1909" t="s">
        <v>408</v>
      </c>
      <c r="G29" s="1909" t="s">
        <v>408</v>
      </c>
      <c r="H29" s="1909">
        <v>3</v>
      </c>
      <c r="I29" s="1911" t="s">
        <v>1977</v>
      </c>
      <c r="J29" s="620"/>
      <c r="K29" s="620"/>
      <c r="L29" s="1909">
        <f>6-H29</f>
        <v>3</v>
      </c>
    </row>
    <row r="30" spans="1:12" x14ac:dyDescent="0.25">
      <c r="A30" s="620" t="s">
        <v>1978</v>
      </c>
      <c r="B30" s="152" t="s">
        <v>408</v>
      </c>
      <c r="C30" s="1909" t="s">
        <v>408</v>
      </c>
      <c r="D30" s="1909" t="s">
        <v>408</v>
      </c>
      <c r="E30" s="1909"/>
      <c r="F30" s="620"/>
      <c r="G30" s="620"/>
      <c r="H30" s="1909">
        <v>5</v>
      </c>
      <c r="I30" s="1911"/>
      <c r="J30" s="620"/>
      <c r="K30" s="620"/>
      <c r="L30" s="1909">
        <f t="shared" ref="L30:L46" si="0">6-H30</f>
        <v>1</v>
      </c>
    </row>
    <row r="31" spans="1:12" x14ac:dyDescent="0.25">
      <c r="A31" s="620" t="s">
        <v>1979</v>
      </c>
      <c r="B31" s="152" t="s">
        <v>408</v>
      </c>
      <c r="C31" s="1909" t="s">
        <v>408</v>
      </c>
      <c r="D31" s="1909" t="s">
        <v>408</v>
      </c>
      <c r="E31" s="1909"/>
      <c r="F31" s="1909" t="s">
        <v>408</v>
      </c>
      <c r="G31" s="1909" t="s">
        <v>408</v>
      </c>
      <c r="H31" s="1909">
        <v>9</v>
      </c>
      <c r="I31" s="1911"/>
      <c r="J31" s="620"/>
      <c r="K31" s="620"/>
      <c r="L31" s="1909" t="s">
        <v>240</v>
      </c>
    </row>
    <row r="32" spans="1:12" x14ac:dyDescent="0.25">
      <c r="A32" s="620" t="s">
        <v>407</v>
      </c>
      <c r="B32" s="152" t="s">
        <v>408</v>
      </c>
      <c r="C32" s="1909" t="s">
        <v>408</v>
      </c>
      <c r="D32" s="1909" t="s">
        <v>588</v>
      </c>
      <c r="E32" s="1909"/>
      <c r="F32" s="620"/>
      <c r="G32" s="620"/>
      <c r="H32" s="1909">
        <v>6</v>
      </c>
      <c r="I32" s="1911" t="s">
        <v>1980</v>
      </c>
      <c r="J32" s="620"/>
      <c r="K32" s="620"/>
      <c r="L32" s="1909">
        <f t="shared" si="0"/>
        <v>0</v>
      </c>
    </row>
    <row r="33" spans="1:12" x14ac:dyDescent="0.25">
      <c r="A33" s="24" t="s">
        <v>1981</v>
      </c>
      <c r="B33" s="152" t="s">
        <v>408</v>
      </c>
      <c r="C33" s="1909" t="s">
        <v>408</v>
      </c>
      <c r="D33" s="1909"/>
      <c r="E33" s="1909"/>
      <c r="F33" s="620"/>
      <c r="G33" s="620"/>
      <c r="H33" s="1909">
        <v>0</v>
      </c>
      <c r="I33" s="1911"/>
      <c r="J33" s="620"/>
      <c r="K33" s="620"/>
      <c r="L33" s="1909">
        <f t="shared" si="0"/>
        <v>6</v>
      </c>
    </row>
    <row r="34" spans="1:12" x14ac:dyDescent="0.25">
      <c r="A34" s="24" t="s">
        <v>1982</v>
      </c>
      <c r="B34" s="1912" t="s">
        <v>408</v>
      </c>
      <c r="C34" s="1909"/>
      <c r="D34" s="1909"/>
      <c r="E34" s="1909"/>
      <c r="F34" s="620"/>
      <c r="G34" s="620"/>
      <c r="H34" s="1909">
        <v>1</v>
      </c>
      <c r="I34" s="1911"/>
      <c r="J34" s="620"/>
      <c r="K34" s="620"/>
      <c r="L34" s="1909">
        <f t="shared" si="0"/>
        <v>5</v>
      </c>
    </row>
    <row r="35" spans="1:12" x14ac:dyDescent="0.25">
      <c r="A35" s="620" t="s">
        <v>586</v>
      </c>
      <c r="B35" s="152"/>
      <c r="C35" s="1909" t="s">
        <v>408</v>
      </c>
      <c r="D35" s="1909"/>
      <c r="E35" s="1909"/>
      <c r="F35" s="620"/>
      <c r="G35" s="620"/>
      <c r="H35" s="1909">
        <v>8</v>
      </c>
      <c r="I35" s="1911"/>
      <c r="J35" s="620"/>
      <c r="K35" s="620"/>
      <c r="L35" s="1909" t="s">
        <v>240</v>
      </c>
    </row>
    <row r="36" spans="1:12" x14ac:dyDescent="0.25">
      <c r="A36" s="620" t="s">
        <v>763</v>
      </c>
      <c r="B36" s="152"/>
      <c r="C36" s="1909"/>
      <c r="D36" s="1909" t="s">
        <v>408</v>
      </c>
      <c r="E36" s="1909"/>
      <c r="F36" s="620"/>
      <c r="G36" s="620"/>
      <c r="H36" s="1909">
        <v>8</v>
      </c>
      <c r="I36" s="1911"/>
      <c r="J36" s="620"/>
      <c r="K36" s="620"/>
      <c r="L36" s="1909" t="s">
        <v>240</v>
      </c>
    </row>
    <row r="37" spans="1:12" x14ac:dyDescent="0.25">
      <c r="A37" s="24" t="s">
        <v>591</v>
      </c>
      <c r="B37" s="152"/>
      <c r="C37" s="1909"/>
      <c r="D37" s="1909" t="s">
        <v>408</v>
      </c>
      <c r="E37" s="1909"/>
      <c r="F37" s="620"/>
      <c r="G37" s="620"/>
      <c r="H37" s="1909">
        <v>0</v>
      </c>
      <c r="I37" s="1911"/>
      <c r="J37" s="620"/>
      <c r="K37" s="620"/>
      <c r="L37" s="1909">
        <f t="shared" si="0"/>
        <v>6</v>
      </c>
    </row>
    <row r="38" spans="1:12" x14ac:dyDescent="0.25">
      <c r="A38" s="620" t="s">
        <v>1983</v>
      </c>
      <c r="B38" s="152"/>
      <c r="C38" s="1909"/>
      <c r="D38" s="1909" t="s">
        <v>408</v>
      </c>
      <c r="E38" s="1909"/>
      <c r="F38" s="620"/>
      <c r="G38" s="620"/>
      <c r="H38" s="1909">
        <v>10</v>
      </c>
      <c r="I38" s="1911"/>
      <c r="J38" s="620"/>
      <c r="K38" s="620"/>
      <c r="L38" s="1909" t="s">
        <v>240</v>
      </c>
    </row>
    <row r="39" spans="1:12" x14ac:dyDescent="0.25">
      <c r="A39" s="620" t="s">
        <v>504</v>
      </c>
      <c r="B39" s="152"/>
      <c r="C39" s="1909"/>
      <c r="D39" s="1909" t="s">
        <v>408</v>
      </c>
      <c r="E39" s="1909"/>
      <c r="F39" s="620"/>
      <c r="G39" s="620"/>
      <c r="H39" s="1909">
        <v>10</v>
      </c>
      <c r="I39" s="1911" t="s">
        <v>1984</v>
      </c>
      <c r="J39" s="620"/>
      <c r="K39" s="620"/>
      <c r="L39" s="1909" t="s">
        <v>240</v>
      </c>
    </row>
    <row r="40" spans="1:12" x14ac:dyDescent="0.25">
      <c r="A40" s="620" t="s">
        <v>505</v>
      </c>
      <c r="B40" s="152"/>
      <c r="C40" s="1909"/>
      <c r="D40" s="1909" t="s">
        <v>408</v>
      </c>
      <c r="E40" s="1909"/>
      <c r="F40" s="620"/>
      <c r="G40" s="620"/>
      <c r="H40" s="1909">
        <v>12</v>
      </c>
      <c r="I40" s="1911"/>
      <c r="J40" s="620"/>
      <c r="K40" s="620"/>
      <c r="L40" s="1909" t="s">
        <v>240</v>
      </c>
    </row>
    <row r="41" spans="1:12" x14ac:dyDescent="0.25">
      <c r="A41" s="24" t="s">
        <v>594</v>
      </c>
      <c r="B41" s="152"/>
      <c r="C41" s="1909"/>
      <c r="D41" s="1909"/>
      <c r="E41" s="1909" t="s">
        <v>408</v>
      </c>
      <c r="F41" s="620"/>
      <c r="G41" s="620"/>
      <c r="H41" s="1909">
        <v>1</v>
      </c>
      <c r="I41" s="1911"/>
      <c r="J41" s="620"/>
      <c r="K41" s="620"/>
      <c r="L41" s="1909">
        <f t="shared" si="0"/>
        <v>5</v>
      </c>
    </row>
    <row r="42" spans="1:12" x14ac:dyDescent="0.25">
      <c r="A42" s="620" t="s">
        <v>593</v>
      </c>
      <c r="B42" s="152"/>
      <c r="C42" s="1909"/>
      <c r="D42" s="1909"/>
      <c r="E42" s="1909" t="s">
        <v>408</v>
      </c>
      <c r="F42" s="1909" t="s">
        <v>408</v>
      </c>
      <c r="G42" s="620"/>
      <c r="H42" s="1909">
        <v>2</v>
      </c>
      <c r="I42" s="1911" t="s">
        <v>1985</v>
      </c>
      <c r="J42" s="620"/>
      <c r="K42" s="620"/>
      <c r="L42" s="1909">
        <f t="shared" si="0"/>
        <v>4</v>
      </c>
    </row>
    <row r="43" spans="1:12" x14ac:dyDescent="0.25">
      <c r="A43" s="620" t="s">
        <v>596</v>
      </c>
      <c r="B43" s="152"/>
      <c r="C43" s="1909"/>
      <c r="D43" s="1909"/>
      <c r="E43" s="1909" t="s">
        <v>408</v>
      </c>
      <c r="F43" s="1909"/>
      <c r="G43" s="620"/>
      <c r="H43" s="1909">
        <v>2</v>
      </c>
      <c r="I43" s="1911" t="s">
        <v>1986</v>
      </c>
      <c r="J43" s="620"/>
      <c r="K43" s="620"/>
      <c r="L43" s="1909">
        <f t="shared" si="0"/>
        <v>4</v>
      </c>
    </row>
    <row r="44" spans="1:12" x14ac:dyDescent="0.25">
      <c r="A44" s="620" t="s">
        <v>598</v>
      </c>
      <c r="B44" s="152"/>
      <c r="C44" s="1909"/>
      <c r="D44" s="1909"/>
      <c r="E44" s="1909"/>
      <c r="F44" s="620"/>
      <c r="G44" s="1909" t="s">
        <v>408</v>
      </c>
      <c r="H44" s="1909">
        <v>1</v>
      </c>
      <c r="I44" s="1911"/>
      <c r="J44" s="620"/>
      <c r="K44" s="620"/>
      <c r="L44" s="1909">
        <f t="shared" si="0"/>
        <v>5</v>
      </c>
    </row>
    <row r="45" spans="1:12" x14ac:dyDescent="0.25">
      <c r="A45" s="620" t="s">
        <v>1987</v>
      </c>
      <c r="B45" s="152" t="s">
        <v>408</v>
      </c>
      <c r="C45" s="1909"/>
      <c r="D45" s="1909" t="s">
        <v>408</v>
      </c>
      <c r="E45" s="1909" t="s">
        <v>408</v>
      </c>
      <c r="F45" s="1909" t="s">
        <v>408</v>
      </c>
      <c r="G45" s="1909" t="s">
        <v>408</v>
      </c>
      <c r="H45" s="1909">
        <v>8</v>
      </c>
      <c r="I45" s="1911" t="s">
        <v>1988</v>
      </c>
      <c r="J45" s="620"/>
      <c r="K45" s="620"/>
      <c r="L45" s="1909" t="s">
        <v>240</v>
      </c>
    </row>
    <row r="46" spans="1:12" x14ac:dyDescent="0.25">
      <c r="A46" s="620" t="s">
        <v>1989</v>
      </c>
      <c r="B46" s="152" t="s">
        <v>408</v>
      </c>
      <c r="C46" s="1909"/>
      <c r="D46" s="1909"/>
      <c r="E46" s="1909"/>
      <c r="F46" s="1909" t="s">
        <v>408</v>
      </c>
      <c r="G46" s="620"/>
      <c r="H46" s="1909">
        <v>5</v>
      </c>
      <c r="I46" s="1911"/>
      <c r="J46" s="620"/>
      <c r="K46" s="620"/>
      <c r="L46" s="1909">
        <f t="shared" si="0"/>
        <v>1</v>
      </c>
    </row>
    <row r="47" spans="1:12" x14ac:dyDescent="0.25">
      <c r="A47" s="620" t="s">
        <v>1990</v>
      </c>
      <c r="B47" s="152"/>
      <c r="C47" s="1909"/>
      <c r="D47" s="1909" t="s">
        <v>408</v>
      </c>
      <c r="E47" s="1909"/>
      <c r="F47" s="620"/>
      <c r="G47" s="620"/>
      <c r="H47" s="1909">
        <v>12</v>
      </c>
      <c r="I47" s="1911"/>
      <c r="J47" s="620"/>
      <c r="K47" s="620"/>
      <c r="L47" s="1909" t="s">
        <v>240</v>
      </c>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6"/>
  <sheetViews>
    <sheetView topLeftCell="A40" workbookViewId="0">
      <selection activeCell="C12" sqref="C12:J13"/>
    </sheetView>
  </sheetViews>
  <sheetFormatPr defaultRowHeight="15" x14ac:dyDescent="0.25"/>
  <sheetData>
    <row r="1" spans="1:10" x14ac:dyDescent="0.25">
      <c r="A1" s="2580" t="e">
        <f>Cabeçalho!B6</f>
        <v>#N/A</v>
      </c>
      <c r="B1" s="2580"/>
      <c r="C1" s="2580"/>
      <c r="D1" s="2580"/>
      <c r="E1" s="2856" t="s">
        <v>951</v>
      </c>
      <c r="F1" s="2856"/>
      <c r="G1" s="2856"/>
      <c r="H1" s="2057"/>
      <c r="I1" s="277" t="s">
        <v>341</v>
      </c>
      <c r="J1" s="278" t="e">
        <f>IF(Cabeçalho!B12="","",Cabeçalho!B12)</f>
        <v>#N/A</v>
      </c>
    </row>
    <row r="2" spans="1:10" ht="15.75" x14ac:dyDescent="0.25">
      <c r="A2" s="2054"/>
      <c r="B2" s="2054"/>
      <c r="C2" s="2054"/>
      <c r="D2" s="2054"/>
      <c r="E2" s="2054"/>
      <c r="F2" s="2054"/>
      <c r="G2" s="2054"/>
      <c r="H2" s="2054"/>
      <c r="I2" s="2054"/>
      <c r="J2" s="2054"/>
    </row>
    <row r="3" spans="1:10" ht="15.75" x14ac:dyDescent="0.25">
      <c r="A3" s="2483" t="s">
        <v>952</v>
      </c>
      <c r="B3" s="2483"/>
      <c r="C3" s="2483"/>
      <c r="D3" s="2483"/>
      <c r="E3" s="2483"/>
      <c r="F3" s="2483"/>
      <c r="G3" s="2483"/>
      <c r="H3" s="2483"/>
      <c r="I3" s="2483"/>
      <c r="J3" s="2483"/>
    </row>
    <row r="4" spans="1:10" ht="15.75" x14ac:dyDescent="0.25">
      <c r="A4" s="2054"/>
      <c r="B4" s="2054"/>
      <c r="C4" s="2054"/>
      <c r="D4" s="2054"/>
      <c r="E4" s="2054"/>
      <c r="F4" s="2054"/>
      <c r="G4" s="2054"/>
      <c r="H4" s="2054"/>
      <c r="I4" s="2054"/>
      <c r="J4" s="2054"/>
    </row>
    <row r="5" spans="1:10" ht="15.75" x14ac:dyDescent="0.25">
      <c r="A5" s="2483" t="s">
        <v>114</v>
      </c>
      <c r="B5" s="2483"/>
      <c r="C5" s="2483"/>
      <c r="D5" s="2483"/>
      <c r="E5" s="2483"/>
      <c r="F5" s="2483"/>
      <c r="G5" s="2483"/>
      <c r="H5" s="2483"/>
      <c r="I5" s="2483"/>
      <c r="J5" s="2483"/>
    </row>
    <row r="6" spans="1:10" ht="15.75" x14ac:dyDescent="0.25">
      <c r="A6" s="2054"/>
      <c r="B6" s="2054"/>
      <c r="C6" s="2054"/>
      <c r="D6" s="2054"/>
      <c r="E6" s="2054"/>
      <c r="F6" s="2054"/>
      <c r="G6" s="2054"/>
      <c r="H6" s="2054"/>
      <c r="I6" s="2054"/>
      <c r="J6" s="2054"/>
    </row>
    <row r="7" spans="1:10" ht="15.75" x14ac:dyDescent="0.25">
      <c r="A7" s="2054"/>
      <c r="B7" s="2054"/>
      <c r="C7" s="2054"/>
      <c r="D7" s="2054"/>
      <c r="E7" s="2054"/>
      <c r="F7" s="2054"/>
      <c r="G7" s="2054"/>
      <c r="H7" s="2054"/>
      <c r="I7" s="2054"/>
      <c r="J7" s="2054"/>
    </row>
    <row r="8" spans="1:10" ht="15.75" x14ac:dyDescent="0.25">
      <c r="A8" s="2054"/>
      <c r="B8" s="2054"/>
      <c r="C8" s="2054"/>
      <c r="D8" s="2054"/>
      <c r="E8" s="2054"/>
      <c r="F8" s="2054"/>
      <c r="G8" s="2054"/>
      <c r="H8" s="2054"/>
      <c r="I8" s="2054"/>
      <c r="J8" s="2054"/>
    </row>
    <row r="9" spans="1:10" ht="15.75" x14ac:dyDescent="0.25">
      <c r="A9" s="2054"/>
      <c r="B9" s="2054"/>
      <c r="C9" s="2484" t="e">
        <f>Cabeçalho!B6</f>
        <v>#N/A</v>
      </c>
      <c r="D9" s="2484"/>
      <c r="E9" s="2484"/>
      <c r="F9" s="2484"/>
      <c r="G9" s="2484"/>
      <c r="H9" s="2484"/>
      <c r="I9" s="2484"/>
      <c r="J9" s="2484"/>
    </row>
    <row r="10" spans="1:10" ht="15.75" x14ac:dyDescent="0.25">
      <c r="A10" s="2054"/>
      <c r="B10" s="2054"/>
      <c r="C10" s="2484"/>
      <c r="D10" s="2484"/>
      <c r="E10" s="2484"/>
      <c r="F10" s="2484"/>
      <c r="G10" s="2484"/>
      <c r="H10" s="2484"/>
      <c r="I10" s="2484"/>
      <c r="J10" s="2484"/>
    </row>
    <row r="11" spans="1:10" ht="15.75" x14ac:dyDescent="0.25">
      <c r="A11" s="2054"/>
      <c r="B11" s="281"/>
      <c r="C11" s="281"/>
      <c r="D11" s="281"/>
      <c r="E11" s="281"/>
      <c r="F11" s="281"/>
      <c r="G11" s="281"/>
      <c r="H11" s="281"/>
      <c r="I11" s="2054"/>
      <c r="J11" s="2054"/>
    </row>
    <row r="12" spans="1:10" ht="15.75" x14ac:dyDescent="0.25">
      <c r="A12" s="2054"/>
      <c r="B12" s="2054"/>
      <c r="C12" s="2478" t="e">
        <f>Cabeçalho!B7</f>
        <v>#N/A</v>
      </c>
      <c r="D12" s="2478"/>
      <c r="E12" s="2478"/>
      <c r="F12" s="2478"/>
      <c r="G12" s="2478"/>
      <c r="H12" s="2478"/>
      <c r="I12" s="2478"/>
      <c r="J12" s="2478"/>
    </row>
    <row r="13" spans="1:10" ht="15.75" x14ac:dyDescent="0.25">
      <c r="A13" s="2054"/>
      <c r="B13" s="281"/>
      <c r="C13" s="2478"/>
      <c r="D13" s="2478"/>
      <c r="E13" s="2478"/>
      <c r="F13" s="2478"/>
      <c r="G13" s="2478"/>
      <c r="H13" s="2478"/>
      <c r="I13" s="2478"/>
      <c r="J13" s="2478"/>
    </row>
    <row r="14" spans="1:10" ht="15.75" x14ac:dyDescent="0.25">
      <c r="A14" s="2054"/>
      <c r="B14" s="281"/>
      <c r="C14" s="281"/>
      <c r="D14" s="281"/>
      <c r="E14" s="281"/>
      <c r="F14" s="281"/>
      <c r="G14" s="281"/>
      <c r="H14" s="281"/>
      <c r="I14" s="2054"/>
      <c r="J14" s="2054"/>
    </row>
    <row r="15" spans="1:10" ht="15.75" x14ac:dyDescent="0.25">
      <c r="A15" s="2054"/>
      <c r="B15" s="2054"/>
      <c r="C15" s="280" t="e">
        <f>Cabeçalho!B8</f>
        <v>#N/A</v>
      </c>
      <c r="D15" s="2054"/>
      <c r="E15" s="281" t="e">
        <f>CONCATENATE(Cabeçalho!B9,", ",Cabeçalho!B10)</f>
        <v>#N/A</v>
      </c>
      <c r="F15" s="281"/>
      <c r="G15" s="281"/>
      <c r="H15" s="281"/>
      <c r="I15" s="2054"/>
      <c r="J15" s="2054"/>
    </row>
    <row r="16" spans="1:10" ht="15.75" x14ac:dyDescent="0.25">
      <c r="A16" s="2054"/>
      <c r="B16" s="2054"/>
      <c r="C16" s="2054"/>
      <c r="D16" s="2054"/>
      <c r="E16" s="2054"/>
      <c r="F16" s="2054"/>
      <c r="G16" s="2054"/>
      <c r="H16" s="2054"/>
      <c r="I16" s="2054"/>
      <c r="J16" s="2054"/>
    </row>
    <row r="17" spans="1:10" ht="15.75" x14ac:dyDescent="0.25">
      <c r="A17" s="2054" t="s">
        <v>115</v>
      </c>
      <c r="B17" s="2054"/>
      <c r="C17" s="2486" t="e">
        <f>Cabeçalho!B4</f>
        <v>#N/A</v>
      </c>
      <c r="D17" s="2486"/>
      <c r="E17" s="2486"/>
      <c r="F17" s="2486"/>
      <c r="G17" s="2486"/>
      <c r="H17" s="2486"/>
      <c r="I17" s="2486"/>
      <c r="J17" s="2486"/>
    </row>
    <row r="18" spans="1:10" ht="15.75" x14ac:dyDescent="0.25">
      <c r="A18" s="2054"/>
      <c r="B18" s="2054"/>
      <c r="C18" s="280" t="e">
        <f>Cabeçalho!B5</f>
        <v>#N/A</v>
      </c>
      <c r="D18" s="2054"/>
      <c r="E18" s="2054"/>
      <c r="F18" s="2054"/>
      <c r="G18" s="2054"/>
      <c r="H18" s="2054"/>
      <c r="I18" s="2054"/>
      <c r="J18" s="2054"/>
    </row>
    <row r="19" spans="1:10" ht="15.75" x14ac:dyDescent="0.25">
      <c r="A19" s="2054"/>
      <c r="B19" s="2054"/>
      <c r="C19" s="281"/>
      <c r="D19" s="2054"/>
      <c r="E19" s="2054"/>
      <c r="F19" s="2054"/>
      <c r="G19" s="2054"/>
      <c r="H19" s="2054"/>
      <c r="I19" s="2054"/>
      <c r="J19" s="2054"/>
    </row>
    <row r="20" spans="1:10" ht="15.75" x14ac:dyDescent="0.25">
      <c r="A20" s="281" t="s">
        <v>2413</v>
      </c>
      <c r="B20" s="2054"/>
      <c r="C20" s="282"/>
      <c r="D20" s="2054"/>
      <c r="E20" s="2054"/>
      <c r="F20" s="2054"/>
      <c r="G20" s="2054"/>
      <c r="H20" s="2054"/>
      <c r="I20" s="2054"/>
      <c r="J20" s="2054"/>
    </row>
    <row r="22" spans="1:10" s="2066" customFormat="1" x14ac:dyDescent="0.25">
      <c r="A22" s="2984" t="s">
        <v>146</v>
      </c>
      <c r="B22" s="2984"/>
      <c r="C22" s="2984"/>
      <c r="D22" s="2984"/>
      <c r="E22" s="2984"/>
      <c r="F22" s="2056" t="s">
        <v>2423</v>
      </c>
    </row>
    <row r="23" spans="1:10" ht="29.25" customHeight="1" x14ac:dyDescent="0.25">
      <c r="A23" s="3157" t="s">
        <v>2414</v>
      </c>
      <c r="B23" s="3157"/>
      <c r="C23" s="3157"/>
      <c r="D23" s="3157"/>
      <c r="E23" s="3157"/>
      <c r="F23" s="2055" t="s">
        <v>857</v>
      </c>
    </row>
    <row r="24" spans="1:10" x14ac:dyDescent="0.25">
      <c r="A24" s="3157" t="s">
        <v>1228</v>
      </c>
      <c r="B24" s="3157"/>
      <c r="C24" s="3157"/>
      <c r="D24" s="3157"/>
      <c r="E24" s="3157"/>
      <c r="F24" s="2055" t="s">
        <v>857</v>
      </c>
    </row>
    <row r="25" spans="1:10" x14ac:dyDescent="0.25">
      <c r="A25" s="3157" t="s">
        <v>2415</v>
      </c>
      <c r="B25" s="3157"/>
      <c r="C25" s="3157"/>
      <c r="D25" s="3157"/>
      <c r="E25" s="3157"/>
      <c r="F25" s="2055" t="s">
        <v>857</v>
      </c>
    </row>
    <row r="26" spans="1:10" x14ac:dyDescent="0.25">
      <c r="A26" s="3157" t="s">
        <v>73</v>
      </c>
      <c r="B26" s="3157"/>
      <c r="C26" s="3157"/>
      <c r="D26" s="3157"/>
      <c r="E26" s="3157"/>
      <c r="F26" s="2055" t="s">
        <v>857</v>
      </c>
    </row>
    <row r="27" spans="1:10" x14ac:dyDescent="0.25">
      <c r="A27" s="3157" t="s">
        <v>2411</v>
      </c>
      <c r="B27" s="3157"/>
      <c r="C27" s="3157"/>
      <c r="D27" s="3157"/>
      <c r="E27" s="3157"/>
      <c r="F27" s="2055" t="s">
        <v>857</v>
      </c>
    </row>
    <row r="28" spans="1:10" x14ac:dyDescent="0.25">
      <c r="A28" s="3157" t="s">
        <v>2424</v>
      </c>
      <c r="B28" s="3157"/>
      <c r="C28" s="3157"/>
      <c r="D28" s="3157"/>
      <c r="E28" s="3157"/>
      <c r="F28" s="2055" t="s">
        <v>857</v>
      </c>
    </row>
    <row r="29" spans="1:10" x14ac:dyDescent="0.25">
      <c r="A29" s="3157" t="s">
        <v>1257</v>
      </c>
      <c r="B29" s="3157"/>
      <c r="C29" s="3157"/>
      <c r="D29" s="3157"/>
      <c r="E29" s="3157"/>
      <c r="F29" s="2055" t="s">
        <v>857</v>
      </c>
    </row>
    <row r="30" spans="1:10" x14ac:dyDescent="0.25">
      <c r="A30" s="3157" t="s">
        <v>2416</v>
      </c>
      <c r="B30" s="3157"/>
      <c r="C30" s="3157"/>
      <c r="D30" s="3157"/>
      <c r="E30" s="3157"/>
      <c r="F30" s="2055" t="s">
        <v>857</v>
      </c>
    </row>
    <row r="31" spans="1:10" x14ac:dyDescent="0.25">
      <c r="A31" s="3157" t="s">
        <v>2417</v>
      </c>
      <c r="B31" s="3157"/>
      <c r="C31" s="3157"/>
      <c r="D31" s="3157"/>
      <c r="E31" s="3157"/>
      <c r="F31" s="2055" t="s">
        <v>857</v>
      </c>
    </row>
    <row r="32" spans="1:10" x14ac:dyDescent="0.25">
      <c r="A32" s="3157" t="s">
        <v>448</v>
      </c>
      <c r="B32" s="3157"/>
      <c r="C32" s="3157"/>
      <c r="D32" s="3157"/>
      <c r="E32" s="3157"/>
      <c r="F32" s="2055" t="s">
        <v>857</v>
      </c>
    </row>
    <row r="33" spans="1:6" x14ac:dyDescent="0.25">
      <c r="A33" s="3157" t="s">
        <v>1275</v>
      </c>
      <c r="B33" s="3157"/>
      <c r="C33" s="3157"/>
      <c r="D33" s="3157"/>
      <c r="E33" s="3157"/>
      <c r="F33" s="2055" t="s">
        <v>857</v>
      </c>
    </row>
    <row r="34" spans="1:6" x14ac:dyDescent="0.25">
      <c r="A34" s="3157" t="s">
        <v>2425</v>
      </c>
      <c r="B34" s="3157"/>
      <c r="C34" s="3157"/>
      <c r="D34" s="3157"/>
      <c r="E34" s="3157"/>
      <c r="F34" s="2055" t="s">
        <v>857</v>
      </c>
    </row>
    <row r="35" spans="1:6" ht="30" customHeight="1" x14ac:dyDescent="0.25">
      <c r="A35" s="3157" t="s">
        <v>2426</v>
      </c>
      <c r="B35" s="3157"/>
      <c r="C35" s="3157"/>
      <c r="D35" s="3157"/>
      <c r="E35" s="3157"/>
      <c r="F35" s="2055" t="s">
        <v>857</v>
      </c>
    </row>
    <row r="36" spans="1:6" ht="31.5" customHeight="1" x14ac:dyDescent="0.25">
      <c r="A36" s="3157" t="s">
        <v>2427</v>
      </c>
      <c r="B36" s="3157"/>
      <c r="C36" s="3157"/>
      <c r="D36" s="3157"/>
      <c r="E36" s="3157"/>
      <c r="F36" s="2055" t="s">
        <v>142</v>
      </c>
    </row>
    <row r="37" spans="1:6" x14ac:dyDescent="0.25">
      <c r="A37" s="3157" t="s">
        <v>2418</v>
      </c>
      <c r="B37" s="3157"/>
      <c r="C37" s="3157"/>
      <c r="D37" s="3157"/>
      <c r="E37" s="3157"/>
      <c r="F37" s="2055" t="s">
        <v>857</v>
      </c>
    </row>
    <row r="38" spans="1:6" x14ac:dyDescent="0.25">
      <c r="A38" s="3157" t="s">
        <v>2419</v>
      </c>
      <c r="B38" s="3157"/>
      <c r="C38" s="3157"/>
      <c r="D38" s="3157"/>
      <c r="E38" s="3157"/>
      <c r="F38" s="2055" t="s">
        <v>857</v>
      </c>
    </row>
    <row r="39" spans="1:6" x14ac:dyDescent="0.25">
      <c r="A39" s="3157" t="s">
        <v>306</v>
      </c>
      <c r="B39" s="3157"/>
      <c r="C39" s="3157"/>
      <c r="D39" s="3157"/>
      <c r="E39" s="3157"/>
      <c r="F39" s="2055" t="s">
        <v>857</v>
      </c>
    </row>
    <row r="40" spans="1:6" x14ac:dyDescent="0.25">
      <c r="A40" s="3157" t="s">
        <v>777</v>
      </c>
      <c r="B40" s="3157"/>
      <c r="C40" s="3157"/>
      <c r="D40" s="3157"/>
      <c r="E40" s="3157"/>
      <c r="F40" s="2055" t="s">
        <v>142</v>
      </c>
    </row>
    <row r="41" spans="1:6" x14ac:dyDescent="0.25">
      <c r="A41" s="3157" t="s">
        <v>1702</v>
      </c>
      <c r="B41" s="3157"/>
      <c r="C41" s="3157"/>
      <c r="D41" s="3157"/>
      <c r="E41" s="3157"/>
      <c r="F41" s="2055" t="s">
        <v>857</v>
      </c>
    </row>
    <row r="42" spans="1:6" x14ac:dyDescent="0.25">
      <c r="A42" s="3157" t="s">
        <v>2428</v>
      </c>
      <c r="B42" s="3157"/>
      <c r="C42" s="3157"/>
      <c r="D42" s="3157"/>
      <c r="E42" s="3157"/>
      <c r="F42" s="2055" t="s">
        <v>142</v>
      </c>
    </row>
    <row r="43" spans="1:6" x14ac:dyDescent="0.25">
      <c r="A43" s="3157" t="s">
        <v>1538</v>
      </c>
      <c r="B43" s="3157"/>
      <c r="C43" s="3157"/>
      <c r="D43" s="3157"/>
      <c r="E43" s="3157"/>
      <c r="F43" s="2055" t="s">
        <v>857</v>
      </c>
    </row>
    <row r="44" spans="1:6" ht="42.75" customHeight="1" x14ac:dyDescent="0.25">
      <c r="A44" s="3157" t="s">
        <v>2410</v>
      </c>
      <c r="B44" s="3157"/>
      <c r="C44" s="3157"/>
      <c r="D44" s="3157"/>
      <c r="E44" s="3157"/>
      <c r="F44" s="2055" t="s">
        <v>857</v>
      </c>
    </row>
    <row r="45" spans="1:6" ht="30.75" customHeight="1" x14ac:dyDescent="0.25">
      <c r="A45" s="3157" t="s">
        <v>2429</v>
      </c>
      <c r="B45" s="3157"/>
      <c r="C45" s="3157"/>
      <c r="D45" s="3157"/>
      <c r="E45" s="3157"/>
      <c r="F45" s="2055" t="s">
        <v>857</v>
      </c>
    </row>
    <row r="46" spans="1:6" x14ac:dyDescent="0.25">
      <c r="A46" s="3157" t="s">
        <v>422</v>
      </c>
      <c r="B46" s="3157"/>
      <c r="C46" s="3157"/>
      <c r="D46" s="3157"/>
      <c r="E46" s="3157"/>
      <c r="F46" s="2055" t="s">
        <v>142</v>
      </c>
    </row>
    <row r="47" spans="1:6" x14ac:dyDescent="0.25">
      <c r="A47" s="3157" t="s">
        <v>1773</v>
      </c>
      <c r="B47" s="3157"/>
      <c r="C47" s="3157"/>
      <c r="D47" s="3157"/>
      <c r="E47" s="3157"/>
      <c r="F47" s="2055" t="s">
        <v>857</v>
      </c>
    </row>
    <row r="48" spans="1:6" x14ac:dyDescent="0.25">
      <c r="A48" s="3157" t="s">
        <v>2430</v>
      </c>
      <c r="B48" s="3157"/>
      <c r="C48" s="3157"/>
      <c r="D48" s="3157"/>
      <c r="E48" s="3157"/>
      <c r="F48" s="2055" t="s">
        <v>2434</v>
      </c>
    </row>
    <row r="49" spans="1:9" ht="29.25" customHeight="1" x14ac:dyDescent="0.25">
      <c r="A49" s="3157" t="s">
        <v>2431</v>
      </c>
      <c r="B49" s="3157"/>
      <c r="C49" s="3157"/>
      <c r="D49" s="3157"/>
      <c r="E49" s="3157"/>
      <c r="F49" s="2055" t="s">
        <v>2434</v>
      </c>
    </row>
    <row r="50" spans="1:9" ht="30.75" customHeight="1" x14ac:dyDescent="0.25">
      <c r="A50" s="3157" t="s">
        <v>2432</v>
      </c>
      <c r="B50" s="3157"/>
      <c r="C50" s="3157"/>
      <c r="D50" s="3157"/>
      <c r="E50" s="3157"/>
      <c r="F50" s="2055" t="s">
        <v>2434</v>
      </c>
    </row>
    <row r="51" spans="1:9" x14ac:dyDescent="0.25">
      <c r="A51" s="3157" t="s">
        <v>2420</v>
      </c>
      <c r="B51" s="3157"/>
      <c r="C51" s="3157"/>
      <c r="D51" s="3157"/>
      <c r="E51" s="3157"/>
      <c r="F51" s="2055" t="s">
        <v>2434</v>
      </c>
    </row>
    <row r="52" spans="1:9" ht="29.25" customHeight="1" x14ac:dyDescent="0.25">
      <c r="A52" s="3157" t="s">
        <v>2433</v>
      </c>
      <c r="B52" s="3157"/>
      <c r="C52" s="3157"/>
      <c r="D52" s="3157"/>
      <c r="E52" s="3157"/>
      <c r="F52" s="2055" t="s">
        <v>857</v>
      </c>
    </row>
    <row r="53" spans="1:9" x14ac:dyDescent="0.25">
      <c r="A53" s="3157" t="s">
        <v>567</v>
      </c>
      <c r="B53" s="3157"/>
      <c r="C53" s="3157"/>
      <c r="D53" s="3157"/>
      <c r="E53" s="3157"/>
      <c r="F53" s="2055" t="s">
        <v>857</v>
      </c>
    </row>
    <row r="54" spans="1:9" x14ac:dyDescent="0.25">
      <c r="A54" s="3157" t="s">
        <v>2421</v>
      </c>
      <c r="B54" s="3157"/>
      <c r="C54" s="3157"/>
      <c r="D54" s="3157"/>
      <c r="E54" s="3157"/>
      <c r="F54" s="2055" t="s">
        <v>2434</v>
      </c>
    </row>
    <row r="55" spans="1:9" x14ac:dyDescent="0.25">
      <c r="A55" s="3157" t="s">
        <v>2422</v>
      </c>
      <c r="B55" s="3157"/>
      <c r="C55" s="3157"/>
      <c r="D55" s="3157"/>
      <c r="E55" s="3157"/>
      <c r="F55" s="2055" t="s">
        <v>2434</v>
      </c>
    </row>
    <row r="56" spans="1:9" s="2054" customFormat="1" ht="15.75" x14ac:dyDescent="0.25">
      <c r="A56" s="284" t="s">
        <v>2435</v>
      </c>
      <c r="B56" s="2064"/>
      <c r="C56" s="287"/>
      <c r="D56" s="287"/>
      <c r="E56" s="287"/>
      <c r="F56" s="287"/>
      <c r="G56" s="2065"/>
      <c r="H56" s="287"/>
      <c r="I56" s="287"/>
    </row>
  </sheetData>
  <mergeCells count="41">
    <mergeCell ref="A52:E52"/>
    <mergeCell ref="A53:E53"/>
    <mergeCell ref="A54:E54"/>
    <mergeCell ref="A55:E55"/>
    <mergeCell ref="A22:E22"/>
    <mergeCell ref="A46:E46"/>
    <mergeCell ref="A47:E47"/>
    <mergeCell ref="A48:E48"/>
    <mergeCell ref="A49:E49"/>
    <mergeCell ref="A50:E50"/>
    <mergeCell ref="A51:E51"/>
    <mergeCell ref="A40:E40"/>
    <mergeCell ref="A41:E41"/>
    <mergeCell ref="A42:E42"/>
    <mergeCell ref="A43:E43"/>
    <mergeCell ref="A44:E44"/>
    <mergeCell ref="A45:E45"/>
    <mergeCell ref="A34:E34"/>
    <mergeCell ref="A35:E35"/>
    <mergeCell ref="A36:E36"/>
    <mergeCell ref="A37:E37"/>
    <mergeCell ref="A38:E38"/>
    <mergeCell ref="A39:E39"/>
    <mergeCell ref="A33:E33"/>
    <mergeCell ref="C17:J17"/>
    <mergeCell ref="A23:E23"/>
    <mergeCell ref="A24:E24"/>
    <mergeCell ref="A25:E25"/>
    <mergeCell ref="A26:E26"/>
    <mergeCell ref="A27:E27"/>
    <mergeCell ref="A28:E28"/>
    <mergeCell ref="A29:E29"/>
    <mergeCell ref="A30:E30"/>
    <mergeCell ref="A31:E31"/>
    <mergeCell ref="A32:E32"/>
    <mergeCell ref="C12:J13"/>
    <mergeCell ref="A1:D1"/>
    <mergeCell ref="E1:G1"/>
    <mergeCell ref="A3:J3"/>
    <mergeCell ref="A5:J5"/>
    <mergeCell ref="C9:J10"/>
  </mergeCells>
  <conditionalFormatting sqref="H56:I5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AG15"/>
  <sheetViews>
    <sheetView workbookViewId="0">
      <selection activeCell="C12" sqref="C12:J13"/>
    </sheetView>
  </sheetViews>
  <sheetFormatPr defaultRowHeight="15" x14ac:dyDescent="0.25"/>
  <cols>
    <col min="1" max="1" width="21" bestFit="1" customWidth="1"/>
    <col min="2" max="5" width="8.5703125" bestFit="1" customWidth="1"/>
    <col min="6" max="6" width="16.42578125" bestFit="1" customWidth="1"/>
    <col min="7" max="7" width="14.5703125" bestFit="1" customWidth="1"/>
    <col min="8" max="8" width="9.42578125" bestFit="1" customWidth="1"/>
    <col min="9" max="9" width="8.42578125" bestFit="1" customWidth="1"/>
    <col min="10" max="10" width="20.140625" bestFit="1" customWidth="1"/>
    <col min="11" max="11" width="9.5703125" bestFit="1" customWidth="1"/>
    <col min="12" max="12" width="8.42578125" bestFit="1" customWidth="1"/>
    <col min="13" max="13" width="14.5703125" bestFit="1" customWidth="1"/>
    <col min="14" max="14" width="16.42578125" bestFit="1" customWidth="1"/>
    <col min="15" max="16" width="8.42578125" bestFit="1" customWidth="1"/>
    <col min="17" max="17" width="9.42578125" bestFit="1" customWidth="1"/>
    <col min="18" max="18" width="16.42578125" bestFit="1" customWidth="1"/>
    <col min="19" max="19" width="14.5703125" bestFit="1" customWidth="1"/>
    <col min="20" max="20" width="16.42578125" bestFit="1" customWidth="1"/>
    <col min="21" max="21" width="8.42578125" bestFit="1" customWidth="1"/>
    <col min="22" max="22" width="16.42578125" bestFit="1" customWidth="1"/>
    <col min="23" max="23" width="8.5703125" bestFit="1" customWidth="1"/>
    <col min="24" max="24" width="16.42578125" bestFit="1" customWidth="1"/>
    <col min="25" max="25" width="16.85546875" bestFit="1" customWidth="1"/>
    <col min="26" max="26" width="16.42578125" bestFit="1" customWidth="1"/>
    <col min="27" max="28" width="8.42578125" bestFit="1" customWidth="1"/>
    <col min="29" max="29" width="8.5703125" bestFit="1" customWidth="1"/>
    <col min="30" max="30" width="16.42578125" bestFit="1" customWidth="1"/>
    <col min="31" max="31" width="16.85546875" bestFit="1" customWidth="1"/>
    <col min="32" max="33" width="8.42578125" bestFit="1" customWidth="1"/>
    <col min="34" max="34" width="4.42578125" bestFit="1" customWidth="1"/>
    <col min="35" max="35" width="8.5703125" bestFit="1" customWidth="1"/>
    <col min="36" max="36" width="8.5703125" customWidth="1"/>
    <col min="37" max="37" width="14.5703125" bestFit="1" customWidth="1"/>
    <col min="38" max="38" width="7.5703125" bestFit="1" customWidth="1"/>
    <col min="39" max="39" width="8.42578125" bestFit="1" customWidth="1"/>
    <col min="40" max="40" width="4.42578125" bestFit="1" customWidth="1"/>
    <col min="41" max="42" width="8.5703125" customWidth="1"/>
    <col min="43" max="43" width="14.5703125" bestFit="1" customWidth="1"/>
    <col min="44" max="44" width="7.5703125" bestFit="1" customWidth="1"/>
    <col min="45" max="45" width="8.42578125" bestFit="1" customWidth="1"/>
    <col min="46" max="46" width="4.42578125" bestFit="1" customWidth="1"/>
    <col min="47" max="47" width="8.5703125" bestFit="1" customWidth="1"/>
    <col min="49" max="49" width="14.5703125" bestFit="1" customWidth="1"/>
    <col min="50" max="50" width="7.5703125" bestFit="1" customWidth="1"/>
    <col min="55" max="55" width="14.5703125" bestFit="1" customWidth="1"/>
    <col min="56" max="56" width="7.5703125" bestFit="1" customWidth="1"/>
    <col min="61" max="61" width="14.5703125" bestFit="1" customWidth="1"/>
    <col min="62" max="62" width="7.5703125" bestFit="1" customWidth="1"/>
    <col min="67" max="67" width="14.5703125" bestFit="1" customWidth="1"/>
    <col min="68" max="68" width="7.5703125" bestFit="1" customWidth="1"/>
    <col min="73" max="73" width="14.5703125" bestFit="1" customWidth="1"/>
    <col min="74" max="74" width="7.5703125" bestFit="1" customWidth="1"/>
  </cols>
  <sheetData>
    <row r="1" spans="1:33" x14ac:dyDescent="0.25">
      <c r="A1" s="2392" t="s">
        <v>24</v>
      </c>
      <c r="B1" s="2392"/>
      <c r="C1" s="2392"/>
      <c r="D1" s="2392"/>
      <c r="E1" s="2392"/>
      <c r="F1" s="2392"/>
      <c r="G1" s="2392"/>
      <c r="H1" s="2392"/>
    </row>
    <row r="2" spans="1:33" x14ac:dyDescent="0.25">
      <c r="A2" s="39" t="s">
        <v>25</v>
      </c>
      <c r="B2" s="109">
        <f>Cabeçalho!G25</f>
        <v>0</v>
      </c>
      <c r="C2" s="3141" t="s">
        <v>26</v>
      </c>
      <c r="D2" s="3141"/>
      <c r="E2" s="3141"/>
      <c r="F2" s="48" t="s">
        <v>204</v>
      </c>
      <c r="G2" s="39" t="str">
        <f>IF(B2=120,2.4,IF(B2="---",4.8,"NA"))</f>
        <v>NA</v>
      </c>
      <c r="H2" s="48"/>
      <c r="I2" s="48"/>
      <c r="J2" s="48"/>
      <c r="K2" s="48"/>
      <c r="L2" s="48"/>
      <c r="M2" s="48"/>
      <c r="N2" s="48"/>
      <c r="O2" s="48"/>
      <c r="P2" s="48"/>
      <c r="Q2" s="48"/>
      <c r="R2" s="48"/>
      <c r="S2" s="48"/>
      <c r="T2" s="48"/>
      <c r="U2" s="48"/>
      <c r="V2" s="48"/>
      <c r="AE2" s="3"/>
    </row>
    <row r="3" spans="1:33" x14ac:dyDescent="0.25">
      <c r="A3" s="39"/>
      <c r="B3" s="36"/>
      <c r="C3" s="44"/>
      <c r="D3" s="44"/>
      <c r="E3" s="44"/>
      <c r="F3" s="48" t="s">
        <v>205</v>
      </c>
      <c r="G3" s="39" t="str">
        <f>IF(B2=120,4.8,IF(B2="---",6.4,"NA"))</f>
        <v>NA</v>
      </c>
      <c r="H3" s="48"/>
      <c r="I3" s="48"/>
      <c r="J3" s="48"/>
      <c r="K3" s="48"/>
      <c r="L3" s="48"/>
      <c r="M3" s="48"/>
      <c r="N3" s="48"/>
      <c r="O3" s="48"/>
      <c r="P3" s="48"/>
      <c r="Q3" s="48"/>
      <c r="R3" s="48"/>
      <c r="S3" s="48"/>
      <c r="T3" s="48"/>
      <c r="U3" s="48"/>
      <c r="V3" s="48"/>
      <c r="AE3" s="3"/>
    </row>
    <row r="4" spans="1:33" x14ac:dyDescent="0.25">
      <c r="A4" s="39" t="s">
        <v>18</v>
      </c>
      <c r="B4" s="46">
        <v>80</v>
      </c>
      <c r="C4" s="3158" t="s">
        <v>19</v>
      </c>
      <c r="D4" s="3158"/>
      <c r="E4" s="14"/>
      <c r="F4" s="48"/>
      <c r="G4" s="48"/>
      <c r="H4" s="48"/>
      <c r="I4" s="48"/>
      <c r="J4" s="48"/>
      <c r="K4" s="48"/>
      <c r="L4" s="48"/>
      <c r="M4" s="48"/>
      <c r="N4" s="48"/>
      <c r="O4" s="48"/>
      <c r="P4" s="48"/>
      <c r="Q4" s="48"/>
      <c r="R4" s="48"/>
      <c r="S4" s="48"/>
      <c r="T4" s="48"/>
      <c r="U4" s="48"/>
      <c r="V4" s="48"/>
      <c r="AE4" s="3"/>
    </row>
    <row r="5" spans="1:33" x14ac:dyDescent="0.25">
      <c r="A5" s="4" t="s">
        <v>52</v>
      </c>
      <c r="B5" s="46">
        <v>300</v>
      </c>
      <c r="C5" t="s">
        <v>13</v>
      </c>
      <c r="F5" s="4" t="s">
        <v>52</v>
      </c>
      <c r="G5" s="46">
        <v>50</v>
      </c>
      <c r="H5" t="s">
        <v>13</v>
      </c>
      <c r="J5" s="4" t="s">
        <v>52</v>
      </c>
      <c r="K5" s="46">
        <v>200</v>
      </c>
      <c r="L5" t="s">
        <v>13</v>
      </c>
      <c r="N5" s="4" t="s">
        <v>52</v>
      </c>
      <c r="O5" s="46">
        <v>300</v>
      </c>
      <c r="P5" t="s">
        <v>13</v>
      </c>
      <c r="R5" s="4" t="s">
        <v>52</v>
      </c>
      <c r="S5" s="46">
        <v>250</v>
      </c>
      <c r="T5" t="s">
        <v>13</v>
      </c>
      <c r="V5" s="4" t="s">
        <v>52</v>
      </c>
      <c r="W5" s="46">
        <v>300</v>
      </c>
      <c r="X5" t="s">
        <v>13</v>
      </c>
      <c r="Z5" s="4" t="s">
        <v>52</v>
      </c>
      <c r="AA5" s="46">
        <v>400</v>
      </c>
      <c r="AB5" t="s">
        <v>13</v>
      </c>
      <c r="AD5" s="4"/>
      <c r="AE5" s="3"/>
    </row>
    <row r="6" spans="1:33" x14ac:dyDescent="0.25">
      <c r="A6" s="39" t="s">
        <v>53</v>
      </c>
      <c r="B6" s="45">
        <v>50</v>
      </c>
      <c r="C6" s="43" t="s">
        <v>12</v>
      </c>
      <c r="E6" s="3"/>
      <c r="F6" s="39" t="s">
        <v>53</v>
      </c>
      <c r="G6" s="45">
        <v>100</v>
      </c>
      <c r="H6" s="43" t="s">
        <v>12</v>
      </c>
      <c r="J6" s="39" t="s">
        <v>53</v>
      </c>
      <c r="K6" s="45">
        <v>100</v>
      </c>
      <c r="L6" s="43" t="s">
        <v>12</v>
      </c>
      <c r="N6" s="39" t="s">
        <v>53</v>
      </c>
      <c r="O6" s="45">
        <v>100</v>
      </c>
      <c r="P6" s="43" t="s">
        <v>12</v>
      </c>
      <c r="R6" s="39" t="s">
        <v>53</v>
      </c>
      <c r="S6" s="45"/>
      <c r="T6" s="43" t="s">
        <v>12</v>
      </c>
      <c r="V6" s="39" t="s">
        <v>53</v>
      </c>
      <c r="W6" s="45"/>
      <c r="X6" s="43" t="s">
        <v>12</v>
      </c>
      <c r="Z6" s="39" t="s">
        <v>53</v>
      </c>
      <c r="AA6" s="45"/>
      <c r="AB6" s="43" t="s">
        <v>12</v>
      </c>
      <c r="AD6" s="39"/>
      <c r="AE6" s="3"/>
      <c r="AF6" s="43"/>
    </row>
    <row r="7" spans="1:33" x14ac:dyDescent="0.25">
      <c r="B7" s="3">
        <v>79.16</v>
      </c>
      <c r="C7" s="42" t="s">
        <v>0</v>
      </c>
      <c r="G7" s="3" t="e">
        <f ca="1">IF(#REF!="Unfors",INDIRECT(ADDRESS(#REF!,1,1,1,"medidas Unfors"),1),INDIRECT(ADDRESS(#REF!,1,1,1,"medidas Fluke"),1))</f>
        <v>#REF!</v>
      </c>
      <c r="H7" s="42" t="s">
        <v>0</v>
      </c>
      <c r="K7" s="3" t="e">
        <f ca="1">IF(#REF!="Unfors",INDIRECT(ADDRESS(#REF!,1,1,1,"medidas Unfors"),1),INDIRECT(ADDRESS(#REF!,1,1,1,"medidas Fluke"),1))</f>
        <v>#REF!</v>
      </c>
      <c r="L7" s="42" t="s">
        <v>0</v>
      </c>
      <c r="O7" s="3" t="e">
        <f ca="1">IF(#REF!="Unfors",INDIRECT(ADDRESS(#REF!,1,1,1,"medidas Unfors"),1),INDIRECT(ADDRESS(#REF!,1,1,1,"medidas Fluke"),1))</f>
        <v>#REF!</v>
      </c>
      <c r="P7" s="42" t="s">
        <v>0</v>
      </c>
      <c r="S7" s="3" t="e">
        <f ca="1">IF(#REF!="Unfors",INDIRECT(ADDRESS(#REF!,1,1,1,"medidas Unfors"),1),INDIRECT(ADDRESS(#REF!,1,1,1,"medidas Fluke"),1))</f>
        <v>#REF!</v>
      </c>
      <c r="T7" s="42" t="s">
        <v>0</v>
      </c>
      <c r="W7" s="3" t="e">
        <f ca="1">IF(#REF!="Unfors",INDIRECT(ADDRESS(#REF!,1,1,1,"medidas Unfors"),1),INDIRECT(ADDRESS(#REF!,1,1,1,"medidas Fluke"),1))</f>
        <v>#REF!</v>
      </c>
      <c r="X7" s="42" t="s">
        <v>0</v>
      </c>
      <c r="AA7" s="3" t="e">
        <f ca="1">IF(#REF!="Unfors",INDIRECT(ADDRESS(#REF!,1,1,1,"medidas Unfors"),1),INDIRECT(ADDRESS(#REF!,1,1,1,"medidas Fluke"),1))</f>
        <v>#REF!</v>
      </c>
      <c r="AB7" s="42" t="s">
        <v>0</v>
      </c>
      <c r="AE7" s="3"/>
      <c r="AF7" s="42"/>
    </row>
    <row r="8" spans="1:33" x14ac:dyDescent="0.25">
      <c r="B8" s="3">
        <v>30.68</v>
      </c>
      <c r="C8" s="41" t="s">
        <v>2</v>
      </c>
      <c r="G8" s="3" t="e">
        <f ca="1">IF(#REF!="Unfors",INDIRECT(ADDRESS(#REF!,5,1,1,"medidas Unfors"),1),INDIRECT(ADDRESS(#REF!,5,1,1,"medidas Fluke"),1)/1000)</f>
        <v>#REF!</v>
      </c>
      <c r="H8" s="41" t="s">
        <v>2</v>
      </c>
      <c r="K8" s="3" t="e">
        <f ca="1">IF(#REF!="Unfors",INDIRECT(ADDRESS(#REF!,5,1,1,"medidas Unfors"),1),INDIRECT(ADDRESS(#REF!,5,1,1,"medidas Fluke"),1)/1000)</f>
        <v>#REF!</v>
      </c>
      <c r="L8" s="41" t="s">
        <v>2</v>
      </c>
      <c r="O8" s="3" t="e">
        <f ca="1">IF(#REF!="Unfors",INDIRECT(ADDRESS(#REF!,5,1,1,"medidas Unfors"),1),INDIRECT(ADDRESS(#REF!,5,1,1,"medidas Fluke"),1)/1000)</f>
        <v>#REF!</v>
      </c>
      <c r="P8" s="41" t="s">
        <v>2</v>
      </c>
      <c r="S8" s="3" t="e">
        <f ca="1">IF(#REF!="Unfors",INDIRECT(ADDRESS(#REF!,5,1,1,"medidas Unfors"),1),INDIRECT(ADDRESS(#REF!,5,1,1,"medidas Fluke"),1)/1000)</f>
        <v>#REF!</v>
      </c>
      <c r="T8" s="41" t="s">
        <v>2</v>
      </c>
      <c r="W8" s="3" t="e">
        <f ca="1">IF(#REF!="Unfors",INDIRECT(ADDRESS(#REF!,5,1,1,"medidas Unfors"),1),INDIRECT(ADDRESS(#REF!,5,1,1,"medidas Fluke"),1)/1000)</f>
        <v>#REF!</v>
      </c>
      <c r="X8" s="41" t="s">
        <v>2</v>
      </c>
      <c r="AA8" s="3" t="e">
        <f ca="1">IF(#REF!="Unfors",INDIRECT(ADDRESS(#REF!,5,1,1,"medidas Unfors"),1),INDIRECT(ADDRESS(#REF!,5,1,1,"medidas Fluke"),1)/1000)</f>
        <v>#REF!</v>
      </c>
      <c r="AB8" s="41" t="s">
        <v>2</v>
      </c>
      <c r="AE8" s="3"/>
      <c r="AF8" s="41"/>
    </row>
    <row r="9" spans="1:33" x14ac:dyDescent="0.25">
      <c r="B9" s="3">
        <v>3</v>
      </c>
      <c r="C9" s="42" t="s">
        <v>8</v>
      </c>
      <c r="G9" s="3" t="e">
        <f ca="1">IF(#REF!="Unfors",INDIRECT(ADDRESS(#REF!,17,1,1,"medidas Unfors"),1),INDIRECT(ADDRESS(#REF!,8,1,1,"medidas Fluke"),1))</f>
        <v>#REF!</v>
      </c>
      <c r="H9" s="42" t="s">
        <v>8</v>
      </c>
      <c r="K9" s="3" t="e">
        <f ca="1">IF(#REF!="Unfors",INDIRECT(ADDRESS(#REF!,17,1,1,"medidas Unfors"),1),INDIRECT(ADDRESS(#REF!,8,1,1,"medidas Fluke"),1))</f>
        <v>#REF!</v>
      </c>
      <c r="L9" s="42" t="s">
        <v>8</v>
      </c>
      <c r="O9" s="3" t="e">
        <f ca="1">IF(#REF!="Unfors",INDIRECT(ADDRESS(#REF!,17,1,1,"medidas Unfors"),1),INDIRECT(ADDRESS(#REF!,8,1,1,"medidas Fluke"),1))</f>
        <v>#REF!</v>
      </c>
      <c r="P9" s="42" t="s">
        <v>8</v>
      </c>
      <c r="S9" s="3" t="e">
        <f ca="1">IF(#REF!="Unfors",INDIRECT(ADDRESS(#REF!,17,1,1,"medidas Unfors"),1),INDIRECT(ADDRESS(#REF!,8,1,1,"medidas Fluke"),1))</f>
        <v>#REF!</v>
      </c>
      <c r="T9" s="42" t="s">
        <v>8</v>
      </c>
      <c r="W9" s="3" t="e">
        <f ca="1">IF(#REF!="Unfors",INDIRECT(ADDRESS(#REF!,17,1,1,"medidas Unfors"),1),INDIRECT(ADDRESS(#REF!,8,1,1,"medidas Fluke"),1))</f>
        <v>#REF!</v>
      </c>
      <c r="X9" s="42" t="s">
        <v>8</v>
      </c>
      <c r="AA9" s="3" t="e">
        <f ca="1">IF(#REF!="Unfors",INDIRECT(ADDRESS(#REF!,17,1,1,"medidas Unfors"),1),INDIRECT(ADDRESS(#REF!,8,1,1,"medidas Fluke"),1))</f>
        <v>#REF!</v>
      </c>
      <c r="AB9" s="42" t="s">
        <v>8</v>
      </c>
      <c r="AE9" s="3"/>
      <c r="AF9" s="42"/>
    </row>
    <row r="10" spans="1:33" ht="17.25" x14ac:dyDescent="0.25">
      <c r="A10" s="48" t="s">
        <v>29</v>
      </c>
      <c r="B10" s="2">
        <f>B8*60/B5*($B$4/B7)^2*(B6/100)^2</f>
        <v>1.5667285681055836</v>
      </c>
      <c r="C10" s="3159" t="s">
        <v>30</v>
      </c>
      <c r="D10" s="3159"/>
      <c r="E10" s="8"/>
      <c r="F10" s="48" t="s">
        <v>29</v>
      </c>
      <c r="G10" s="2" t="e">
        <f ca="1">G8*60/G5*($B$4/G7)^2*(G6/100)^2</f>
        <v>#REF!</v>
      </c>
      <c r="H10" s="3158" t="s">
        <v>30</v>
      </c>
      <c r="I10" s="3158"/>
      <c r="J10" s="48" t="s">
        <v>29</v>
      </c>
      <c r="K10" s="2" t="e">
        <f ca="1">K8*60/K5*($B$4/K7)^2*(K6/100)^2</f>
        <v>#REF!</v>
      </c>
      <c r="L10" s="3158" t="s">
        <v>30</v>
      </c>
      <c r="M10" s="3158"/>
      <c r="N10" s="48" t="s">
        <v>29</v>
      </c>
      <c r="O10" s="2" t="e">
        <f ca="1">O8*60/O5*($B$4/O7)^2*(O6/100)^2</f>
        <v>#REF!</v>
      </c>
      <c r="P10" s="3158" t="s">
        <v>30</v>
      </c>
      <c r="Q10" s="3158"/>
      <c r="R10" s="48" t="s">
        <v>29</v>
      </c>
      <c r="S10" s="2" t="e">
        <f ca="1">S8*60/S5*($B$4/S7)^2*(S6/100)^2</f>
        <v>#REF!</v>
      </c>
      <c r="T10" s="4" t="s">
        <v>30</v>
      </c>
      <c r="V10" s="48" t="s">
        <v>29</v>
      </c>
      <c r="W10" s="2" t="e">
        <f ca="1">W8*60/W5*($B$4/W7)^2*(W6/100)^2</f>
        <v>#REF!</v>
      </c>
      <c r="X10" s="4" t="s">
        <v>30</v>
      </c>
      <c r="Z10" s="48" t="s">
        <v>29</v>
      </c>
      <c r="AA10" s="2" t="e">
        <f ca="1">AA8*60/AA5*($B$4/AA7)^2*(AA6/100)^2</f>
        <v>#REF!</v>
      </c>
      <c r="AB10" s="3158" t="s">
        <v>30</v>
      </c>
      <c r="AC10" s="3158"/>
      <c r="AD10" s="48"/>
      <c r="AE10" s="2"/>
      <c r="AF10" s="3158"/>
      <c r="AG10" s="3158"/>
    </row>
    <row r="12" spans="1:33" x14ac:dyDescent="0.25">
      <c r="A12" s="37" t="s">
        <v>206</v>
      </c>
      <c r="B12" s="40" t="str">
        <f>IF(AND(B10&gt;=$G$2,B10&lt;=$G$3),"sim","não")</f>
        <v>não</v>
      </c>
      <c r="G12" s="40" t="e">
        <f ca="1">IF(AND(G10&gt;=$G$2,G10&lt;=$G$3),"sim","não")</f>
        <v>#REF!</v>
      </c>
      <c r="K12" s="40" t="e">
        <f ca="1">IF(AND(K10&gt;=$G$2,K10&lt;=$G$3),"sim","não")</f>
        <v>#REF!</v>
      </c>
      <c r="O12" s="40" t="e">
        <f ca="1">IF(AND(O10&gt;=$G$2,O10&lt;=$G$3),"sim","não")</f>
        <v>#REF!</v>
      </c>
      <c r="S12" s="40" t="e">
        <f ca="1">IF(AND(S10&gt;=$G$2,S10&lt;=$G$3),"sim","não")</f>
        <v>#REF!</v>
      </c>
      <c r="W12" s="40" t="e">
        <f ca="1">IF(AND(W10&gt;=$G$2,W10&lt;=$G$3),"sim","não")</f>
        <v>#REF!</v>
      </c>
      <c r="AA12" s="40" t="e">
        <f ca="1">IF(AND(AA10&gt;=$G$2,AA10&lt;=$G$3),"sim","não")</f>
        <v>#REF!</v>
      </c>
    </row>
    <row r="14" spans="1:33" ht="17.25" x14ac:dyDescent="0.25">
      <c r="A14" s="47" t="s">
        <v>197</v>
      </c>
      <c r="B14" s="3" t="str">
        <f>IF($B$2=120,7.72*EXP(-0.405*B9), IF($B$2="---",0.18135+33.12558*EXP(-B9/1.49995),"NA"))</f>
        <v>NA</v>
      </c>
      <c r="C14" s="3061" t="s">
        <v>28</v>
      </c>
      <c r="D14" s="3160"/>
      <c r="F14" s="47" t="s">
        <v>197</v>
      </c>
      <c r="G14" s="3" t="str">
        <f>IF($B$2=120,7.72*EXP(-0.405*G9), IF($B$2="---",0.18135+33.12558*EXP(-G9/1.49995),"NA"))</f>
        <v>NA</v>
      </c>
      <c r="H14" s="3061" t="s">
        <v>28</v>
      </c>
      <c r="I14" s="3160"/>
      <c r="J14" s="47" t="s">
        <v>197</v>
      </c>
      <c r="K14" s="3" t="str">
        <f>IF($B$2=120,7.72*EXP(-0.405*K9), IF($B$2="---",0.18135+33.12558*EXP(-K9/1.49995),"NA"))</f>
        <v>NA</v>
      </c>
      <c r="L14" s="3061" t="s">
        <v>28</v>
      </c>
      <c r="M14" s="3160"/>
      <c r="N14" s="47" t="s">
        <v>197</v>
      </c>
      <c r="O14" s="3" t="str">
        <f>IF($B$2=120,7.72*EXP(-0.405*O9), IF($B$2="---",0.18135+33.12558*EXP(-O9/1.49995),"NA"))</f>
        <v>NA</v>
      </c>
      <c r="P14" s="3061" t="s">
        <v>28</v>
      </c>
      <c r="Q14" s="3160"/>
      <c r="R14" s="47" t="s">
        <v>197</v>
      </c>
      <c r="S14" s="3" t="str">
        <f>IF($B$2=120,7.72*EXP(-0.405*S9), IF($B$2="---",0.18135+33.12558*EXP(-S9/1.49995),"NA"))</f>
        <v>NA</v>
      </c>
      <c r="T14" s="3061" t="s">
        <v>28</v>
      </c>
      <c r="U14" s="3160"/>
      <c r="V14" s="47" t="s">
        <v>197</v>
      </c>
      <c r="W14" s="3" t="str">
        <f>IF($B$2=120,7.72*EXP(-0.405*W9), IF($B$2="---",0.18135+33.12558*EXP(-W9/1.49995),"NA"))</f>
        <v>NA</v>
      </c>
      <c r="X14" s="3061" t="s">
        <v>28</v>
      </c>
      <c r="Y14" s="3160"/>
      <c r="Z14" s="47" t="s">
        <v>197</v>
      </c>
      <c r="AA14" s="3" t="str">
        <f>IF($B$2=120,7.72*EXP(-0.405*AA9), IF($B$2="---",0.18135+33.12558*EXP(-AA9/1.49995),"NA"))</f>
        <v>NA</v>
      </c>
      <c r="AB14" s="3061" t="s">
        <v>28</v>
      </c>
      <c r="AC14" s="3160"/>
      <c r="AD14" s="47"/>
      <c r="AE14" s="3"/>
      <c r="AF14" s="3061"/>
      <c r="AG14" s="3160"/>
    </row>
    <row r="15" spans="1:33" x14ac:dyDescent="0.25">
      <c r="A15" s="47" t="s">
        <v>27</v>
      </c>
      <c r="B15" s="12" t="e">
        <f>B10*B5/B14</f>
        <v>#VALUE!</v>
      </c>
      <c r="C15" t="s">
        <v>13</v>
      </c>
      <c r="G15" s="12" t="e">
        <f ca="1">G10*G5/G14</f>
        <v>#REF!</v>
      </c>
      <c r="H15" t="s">
        <v>13</v>
      </c>
      <c r="K15" s="12" t="e">
        <f ca="1">K10*K5/K14</f>
        <v>#REF!</v>
      </c>
      <c r="L15" t="s">
        <v>13</v>
      </c>
      <c r="O15" s="12" t="e">
        <f ca="1">O10*O5/O14</f>
        <v>#REF!</v>
      </c>
      <c r="P15" t="s">
        <v>13</v>
      </c>
      <c r="S15" s="12" t="e">
        <f ca="1">S10*S5/S14</f>
        <v>#REF!</v>
      </c>
      <c r="T15" t="s">
        <v>13</v>
      </c>
      <c r="W15" s="12" t="e">
        <f ca="1">W10*W5/W14</f>
        <v>#REF!</v>
      </c>
      <c r="X15" t="s">
        <v>13</v>
      </c>
      <c r="AA15" s="12" t="e">
        <f ca="1">AA10*AA5/AA14</f>
        <v>#REF!</v>
      </c>
      <c r="AB15" t="s">
        <v>13</v>
      </c>
      <c r="AE15" s="12"/>
    </row>
  </sheetData>
  <mergeCells count="17">
    <mergeCell ref="AB14:AC14"/>
    <mergeCell ref="AF14:AG14"/>
    <mergeCell ref="C14:D14"/>
    <mergeCell ref="H14:I14"/>
    <mergeCell ref="L14:M14"/>
    <mergeCell ref="P14:Q14"/>
    <mergeCell ref="T14:U14"/>
    <mergeCell ref="X14:Y14"/>
    <mergeCell ref="AF10:AG10"/>
    <mergeCell ref="A1:H1"/>
    <mergeCell ref="C2:E2"/>
    <mergeCell ref="C4:D4"/>
    <mergeCell ref="C10:D10"/>
    <mergeCell ref="H10:I10"/>
    <mergeCell ref="L10:M10"/>
    <mergeCell ref="P10:Q10"/>
    <mergeCell ref="AB10:AC10"/>
  </mergeCells>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45</vt:i4>
      </vt:variant>
      <vt:variant>
        <vt:lpstr>Intervalos nomeados</vt:lpstr>
      </vt:variant>
      <vt:variant>
        <vt:i4>52</vt:i4>
      </vt:variant>
    </vt:vector>
  </HeadingPairs>
  <TitlesOfParts>
    <vt:vector size="97" baseType="lpstr">
      <vt:lpstr>Cabeçalho</vt:lpstr>
      <vt:lpstr>Plan4</vt:lpstr>
      <vt:lpstr>Plan3</vt:lpstr>
      <vt:lpstr>medidas Unfors</vt:lpstr>
      <vt:lpstr>medidas Fluke</vt:lpstr>
      <vt:lpstr>Tabelas</vt:lpstr>
      <vt:lpstr>Normas Utilizadas</vt:lpstr>
      <vt:lpstr>Calibração</vt:lpstr>
      <vt:lpstr>Tabelas2</vt:lpstr>
      <vt:lpstr>convencional</vt:lpstr>
      <vt:lpstr>LAUDO convencional</vt:lpstr>
      <vt:lpstr>fluor</vt:lpstr>
      <vt:lpstr>LAUDO fluor</vt:lpstr>
      <vt:lpstr>fantoma mama</vt:lpstr>
      <vt:lpstr>LAUDO Fantoma Diário</vt:lpstr>
      <vt:lpstr>LAUDO Fantoma</vt:lpstr>
      <vt:lpstr>mamo</vt:lpstr>
      <vt:lpstr>LAUDO mamo</vt:lpstr>
      <vt:lpstr>N° CT</vt:lpstr>
      <vt:lpstr>LAUDO N° CT</vt:lpstr>
      <vt:lpstr>tomografia</vt:lpstr>
      <vt:lpstr>LAUDO tomo</vt:lpstr>
      <vt:lpstr>extraoral</vt:lpstr>
      <vt:lpstr>LAUDO extra</vt:lpstr>
      <vt:lpstr>intraoral</vt:lpstr>
      <vt:lpstr>LAUDO intra</vt:lpstr>
      <vt:lpstr>doses</vt:lpstr>
      <vt:lpstr>LAUDO doses</vt:lpstr>
      <vt:lpstr>Ultrassom</vt:lpstr>
      <vt:lpstr>LAUDO Ultrassom</vt:lpstr>
      <vt:lpstr>Ressonância</vt:lpstr>
      <vt:lpstr>LAUDO Ressonância</vt:lpstr>
      <vt:lpstr>LAUDO EPIs</vt:lpstr>
      <vt:lpstr>negat e monit</vt:lpstr>
      <vt:lpstr>LAUDO negat e monit</vt:lpstr>
      <vt:lpstr>Acessórios</vt:lpstr>
      <vt:lpstr>LAUDO Acessórios</vt:lpstr>
      <vt:lpstr>LR e FUGA</vt:lpstr>
      <vt:lpstr>LAUDO Levantamento</vt:lpstr>
      <vt:lpstr>Mini Auditoria</vt:lpstr>
      <vt:lpstr>Rel_MiniAuditoria</vt:lpstr>
      <vt:lpstr>DB</vt:lpstr>
      <vt:lpstr>Plan1</vt:lpstr>
      <vt:lpstr>Plan2</vt:lpstr>
      <vt:lpstr>rendimento</vt:lpstr>
      <vt:lpstr>'fantoma mama'!Area_de_impressao</vt:lpstr>
      <vt:lpstr>'LAUDO Acessórios'!Area_de_impressao</vt:lpstr>
      <vt:lpstr>'LAUDO convencional'!Area_de_impressao</vt:lpstr>
      <vt:lpstr>'LAUDO doses'!Area_de_impressao</vt:lpstr>
      <vt:lpstr>'LAUDO EPIs'!Area_de_impressao</vt:lpstr>
      <vt:lpstr>'LAUDO extra'!Area_de_impressao</vt:lpstr>
      <vt:lpstr>'LAUDO Fantoma'!Area_de_impressao</vt:lpstr>
      <vt:lpstr>'LAUDO Fantoma Diário'!Area_de_impressao</vt:lpstr>
      <vt:lpstr>'LAUDO fluor'!Area_de_impressao</vt:lpstr>
      <vt:lpstr>'LAUDO intra'!Area_de_impressao</vt:lpstr>
      <vt:lpstr>'LAUDO Levantamento'!Area_de_impressao</vt:lpstr>
      <vt:lpstr>'LAUDO mamo'!Area_de_impressao</vt:lpstr>
      <vt:lpstr>'LAUDO N° CT'!Area_de_impressao</vt:lpstr>
      <vt:lpstr>'LAUDO negat e monit'!Area_de_impressao</vt:lpstr>
      <vt:lpstr>'LAUDO Ressonância'!Area_de_impressao</vt:lpstr>
      <vt:lpstr>'LAUDO tomo'!Area_de_impressao</vt:lpstr>
      <vt:lpstr>'LAUDO Ultrassom'!Area_de_impressao</vt:lpstr>
      <vt:lpstr>Plan2!Area_de_impressao</vt:lpstr>
      <vt:lpstr>Rel_MiniAuditoria!Area_de_impressao</vt:lpstr>
      <vt:lpstr>campo</vt:lpstr>
      <vt:lpstr>CampoMagneticoRM</vt:lpstr>
      <vt:lpstr>Certificado</vt:lpstr>
      <vt:lpstr>F_lamor</vt:lpstr>
      <vt:lpstr>FCluximetro</vt:lpstr>
      <vt:lpstr>FR20cm</vt:lpstr>
      <vt:lpstr>FR27cm</vt:lpstr>
      <vt:lpstr>FugaCabecote</vt:lpstr>
      <vt:lpstr>IntroNR32</vt:lpstr>
      <vt:lpstr>IntroPrazoArmazenamento</vt:lpstr>
      <vt:lpstr>IntroProtocolo</vt:lpstr>
      <vt:lpstr>IntroRDC</vt:lpstr>
      <vt:lpstr>OBJETIVO</vt:lpstr>
      <vt:lpstr>ObjetivoCorreções</vt:lpstr>
      <vt:lpstr>posto</vt:lpstr>
      <vt:lpstr>Profissional</vt:lpstr>
      <vt:lpstr>Responsável</vt:lpstr>
      <vt:lpstr>RESTRICAO</vt:lpstr>
      <vt:lpstr>retardo</vt:lpstr>
      <vt:lpstr>tipocolimador</vt:lpstr>
      <vt:lpstr>tipofluor</vt:lpstr>
      <vt:lpstr>'LAUDO Acessórios'!Titulos_de_impressao</vt:lpstr>
      <vt:lpstr>'LAUDO convencional'!Titulos_de_impressao</vt:lpstr>
      <vt:lpstr>'LAUDO doses'!Titulos_de_impressao</vt:lpstr>
      <vt:lpstr>'LAUDO EPIs'!Titulos_de_impressao</vt:lpstr>
      <vt:lpstr>'LAUDO extra'!Titulos_de_impressao</vt:lpstr>
      <vt:lpstr>'LAUDO fluor'!Titulos_de_impressao</vt:lpstr>
      <vt:lpstr>'LAUDO intra'!Titulos_de_impressao</vt:lpstr>
      <vt:lpstr>'LAUDO Levantamento'!Titulos_de_impressao</vt:lpstr>
      <vt:lpstr>'LAUDO mamo'!Titulos_de_impressao</vt:lpstr>
      <vt:lpstr>'LAUDO negat e monit'!Titulos_de_impressao</vt:lpstr>
      <vt:lpstr>'LAUDO tomo'!Titulos_de_impressao</vt:lpstr>
      <vt:lpstr>VALIDADE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LARRE GODOLFIM</dc:creator>
  <cp:lastModifiedBy>LAURA LARRE GODOLFIM</cp:lastModifiedBy>
  <cp:lastPrinted>2026-03-16T14:42:58Z</cp:lastPrinted>
  <dcterms:created xsi:type="dcterms:W3CDTF">2013-02-22T12:28:17Z</dcterms:created>
  <dcterms:modified xsi:type="dcterms:W3CDTF">2026-04-28T17:02:37Z</dcterms:modified>
</cp:coreProperties>
</file>